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2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6f125912a86f6cd/Escritorio/"/>
    </mc:Choice>
  </mc:AlternateContent>
  <xr:revisionPtr revIDLastSave="104" documentId="13_ncr:1_{783A8C48-242B-4FCD-93FF-7413B11D6AA0}" xr6:coauthVersionLast="47" xr6:coauthVersionMax="47" xr10:uidLastSave="{0909F64D-DC6D-4050-8C25-F9C4C0066287}"/>
  <bookViews>
    <workbookView xWindow="-120" yWindow="-120" windowWidth="29040" windowHeight="15990" tabRatio="768" firstSheet="1" activeTab="1" xr2:uid="{00000000-000D-0000-FFFF-FFFF00000000}"/>
  </bookViews>
  <sheets>
    <sheet name="BDD" sheetId="1" state="hidden" r:id="rId1"/>
    <sheet name="IMPORTS" sheetId="2" r:id="rId2"/>
    <sheet name="REPORTE 1 " sheetId="14" r:id="rId3"/>
    <sheet name="REPORTE 2 " sheetId="15" r:id="rId4"/>
    <sheet name="INGRESOS OC's" sheetId="5" state="hidden" r:id="rId5"/>
    <sheet name="SUCAMEC" sheetId="6" state="hidden" r:id="rId6"/>
    <sheet name="FAM-CLASS" sheetId="9" state="hidden" r:id="rId7"/>
    <sheet name="ABC" sheetId="11" state="hidden" r:id="rId8"/>
    <sheet name="Hoja3" sheetId="12" state="hidden" r:id="rId9"/>
  </sheets>
  <externalReferences>
    <externalReference r:id="rId10"/>
  </externalReferences>
  <definedNames>
    <definedName name="_xlnm._FilterDatabase" localSheetId="6" hidden="1">'FAM-CLASS'!$A$1:$C$151</definedName>
    <definedName name="_xlnm._FilterDatabase" localSheetId="1" hidden="1">IMPORTS!$A$1:$CJ$2034</definedName>
    <definedName name="_xlnm._FilterDatabase" localSheetId="4" hidden="1">'INGRESOS OC''s'!$A$1:$O$381</definedName>
    <definedName name="BL" localSheetId="2">#REF!</definedName>
    <definedName name="BL" localSheetId="3">#REF!</definedName>
    <definedName name="BL">BDD!$H$18:$H$20</definedName>
    <definedName name="CANAL" localSheetId="6">[1]BDD!$Y$1:$Y$3</definedName>
    <definedName name="CANAL">BDD!$Z$1:$Z$3</definedName>
    <definedName name="DIRECCIONAMIENTO" localSheetId="2">#REF!</definedName>
    <definedName name="DIRECCIONAMIENTO" localSheetId="3">#REF!</definedName>
    <definedName name="DIRECCIONAMIENTO">BDD!$H$13:$H$15</definedName>
    <definedName name="ESTADOdePAGO" localSheetId="6">[1]BDD!$K$1:$K$2</definedName>
    <definedName name="ESTADOdePAGO" localSheetId="2">#REF!</definedName>
    <definedName name="ESTADOdePAGO" localSheetId="3">#REF!</definedName>
    <definedName name="ESTADOdePAGO">BDD!$L$1:$L$2</definedName>
    <definedName name="INCOTERMS" localSheetId="6">[1]BDD!$Q$1:$Q$11</definedName>
    <definedName name="INCOTERMS" localSheetId="2">#REF!</definedName>
    <definedName name="INCOTERMS" localSheetId="3">#REF!</definedName>
    <definedName name="INCOTERMS">BDD!$R$1:$R$11</definedName>
    <definedName name="MATERIALES" localSheetId="6">[1]BDD!$C$1:$C$101</definedName>
    <definedName name="MATERIALES" localSheetId="2">#REF!</definedName>
    <definedName name="MATERIALES" localSheetId="3">#REF!</definedName>
    <definedName name="MATERIALES">BDD!$D$1:$D$162</definedName>
    <definedName name="MATRIZ1">IMPORTS!$A$2:$BV$1298</definedName>
    <definedName name="NAVIERA" localSheetId="6">[1]BDD!$AA$1:$AA$35</definedName>
    <definedName name="NAVIERA" localSheetId="2">#REF!</definedName>
    <definedName name="NAVIERA" localSheetId="3">#REF!</definedName>
    <definedName name="NAVIERA">BDD!$AB$1:$AB$37</definedName>
    <definedName name="NEGOCIO" localSheetId="6">[1]BDD!$K$5:$K$8</definedName>
    <definedName name="NEGOCIO" localSheetId="2">#REF!</definedName>
    <definedName name="NEGOCIO" localSheetId="3">#REF!</definedName>
    <definedName name="NEGOCIO">BDD!$L$5:$L$8</definedName>
    <definedName name="PLAZOdePAGO" localSheetId="2">#REF!</definedName>
    <definedName name="PLAZOdePAGO" localSheetId="3">#REF!</definedName>
    <definedName name="PLAZOdePAGO">BDD!$J$1:$J$10</definedName>
    <definedName name="PLAZOdePAGO2" localSheetId="2">#REF!</definedName>
    <definedName name="PLAZOdePAGO2" localSheetId="3">#REF!</definedName>
    <definedName name="PLAZOdePAGO2">BDD!$J$13:$J$16</definedName>
    <definedName name="PRESENTACIÓN" localSheetId="6">[1]BDD!$O$1:$O$9:'[1]BDD'!$O$15</definedName>
    <definedName name="PRESENTACIÓN" localSheetId="2">#REF!:#REF!</definedName>
    <definedName name="PRESENTACIÓN" localSheetId="3">#REF!:#REF!</definedName>
    <definedName name="PRESENTACIÓN">BDD!$P$1:$P$9:'BDD'!$P$17</definedName>
    <definedName name="PROVEEDORES" localSheetId="6">[1]BDD!$A$1:$A$58</definedName>
    <definedName name="PROVEEDORES" localSheetId="2">#REF!</definedName>
    <definedName name="PROVEEDORES" localSheetId="3">#REF!</definedName>
    <definedName name="PROVEEDORES">BDD!$A$1:$A$67</definedName>
    <definedName name="PTOdeENTRADA" localSheetId="6">[1]BDD!$U$1:$U$6</definedName>
    <definedName name="PTOdeENTRADA" localSheetId="2">#REF!</definedName>
    <definedName name="PTOdeENTRADA" localSheetId="3">#REF!</definedName>
    <definedName name="PTOdeENTRADA">BDD!$V$1:$V$6</definedName>
    <definedName name="PTOdeSALIDA" localSheetId="6">[1]BDD!$S$1:$S$80</definedName>
    <definedName name="PTOdeSALIDA" localSheetId="2">#REF!</definedName>
    <definedName name="PTOdeSALIDA" localSheetId="3">#REF!</definedName>
    <definedName name="PTOdeSALIDA">BDD!$T$1:$T$82</definedName>
    <definedName name="RÉGIMEN" localSheetId="6">[1]BDD!$M$9:$M$10</definedName>
    <definedName name="RÉGIMEN" localSheetId="2">#REF!</definedName>
    <definedName name="RÉGIMEN" localSheetId="3">#REF!</definedName>
    <definedName name="RÉGIMEN">BDD!$N$10:$N$11</definedName>
    <definedName name="SEGUIMIENTO" localSheetId="6">[1]BDD!$G$1:$G$8</definedName>
    <definedName name="SEGUIMIENTO" localSheetId="2">#REF!</definedName>
    <definedName name="SEGUIMIENTO" localSheetId="3">#REF!</definedName>
    <definedName name="SEGUIMIENTO">BDD!$H$1:$H$9</definedName>
    <definedName name="STATUS_RETRASO">BDD!$J$21:$J$23</definedName>
    <definedName name="STATUSdocs" localSheetId="6">[1]BDD!$AC$1:$AC$2</definedName>
    <definedName name="STATUSdocs">BDD!$AD$1:$AD$2</definedName>
    <definedName name="TIPOdeCARGA" localSheetId="6">[1]BDD!$M$1:$M$4</definedName>
    <definedName name="TIPOdeCARGA">BDD!$N$1:$N$5</definedName>
    <definedName name="TIPOdeDESPACHO" localSheetId="6">[1]BDD!$W$1:$W$5</definedName>
    <definedName name="TIPOdeDESPACHO">BDD!$X$1:$X$5</definedName>
    <definedName name="Z_001FC309_33DA_4752_A02E_EFDF3651D4A1_.wvu.FilterData" localSheetId="1" hidden="1">IMPORTS!$A$1:$BV$881</definedName>
    <definedName name="Z_00295111_83AA_42D9_9133_97F1B947FB11_.wvu.FilterData" localSheetId="1" hidden="1">IMPORTS!$A$1:$BV$732</definedName>
    <definedName name="Z_005ED7BE_7FAE_4491_B9C6_EA58C4C08EB7_.wvu.FilterData" localSheetId="1" hidden="1">IMPORTS!$A$1:$CF$1929</definedName>
    <definedName name="Z_01088199_CA39_4329_983A_238E9F7DEDDA_.wvu.FilterData" localSheetId="1" hidden="1">IMPORTS!$A$1:$CF$1933</definedName>
    <definedName name="Z_01088199_CA39_4329_983A_238E9F7DEDDA_.wvu.FilterData" localSheetId="4" hidden="1">'INGRESOS OC''s'!$A$1:$N$331</definedName>
    <definedName name="Z_0124083C_DE30_4527_B7A7_AF35E5F44BBC_.wvu.FilterData" localSheetId="1" hidden="1">IMPORTS!$A$1:$BV$732</definedName>
    <definedName name="Z_01DB825C_01A4_4880_A4EC_EBE7245F23BA_.wvu.FilterData" localSheetId="1" hidden="1">IMPORTS!$A$1:$CC$1672</definedName>
    <definedName name="Z_01DC833E_BDEF_4D61_A5F9_B7BFE5E9D925_.wvu.FilterData" localSheetId="6" hidden="1">'FAM-CLASS'!$A$1:$D$144</definedName>
    <definedName name="Z_01DC833E_BDEF_4D61_A5F9_B7BFE5E9D925_.wvu.FilterData" localSheetId="1" hidden="1">IMPORTS!$A$1:$BV$1091</definedName>
    <definedName name="Z_024628F6_3CCF_48BA_9E4C_252457799567_.wvu.FilterData" localSheetId="1" hidden="1">IMPORTS!$A$1:$CC$1744</definedName>
    <definedName name="Z_02E968F2_8540_40F2_B13F_453350AC2948_.wvu.FilterData" localSheetId="1" hidden="1">IMPORTS!$A$1:$CC$1504</definedName>
    <definedName name="Z_03020A35_A90E_4E10_90E3_E76841CD926A_.wvu.FilterData" localSheetId="1" hidden="1">IMPORTS!$A$1:$BV$850</definedName>
    <definedName name="Z_03276CD4_DF62_4BEA_8D82_2D64ED809484_.wvu.FilterData" localSheetId="1" hidden="1">IMPORTS!$A$1:$CC$1808</definedName>
    <definedName name="Z_03276CD4_DF62_4BEA_8D82_2D64ED809484_.wvu.FilterData" localSheetId="4" hidden="1">'INGRESOS OC''s'!$A$1:$N$151</definedName>
    <definedName name="Z_033F40BA_1316_4994_A3E1_6A590246BC17_.wvu.Cols" localSheetId="7" hidden="1">ABC!$D:$D</definedName>
    <definedName name="Z_033F40BA_1316_4994_A3E1_6A590246BC17_.wvu.Cols" localSheetId="4" hidden="1">'INGRESOS OC''s'!$N:$N</definedName>
    <definedName name="Z_033F40BA_1316_4994_A3E1_6A590246BC17_.wvu.FilterData" localSheetId="6" hidden="1">'FAM-CLASS'!$A$1:$C$151</definedName>
    <definedName name="Z_033F40BA_1316_4994_A3E1_6A590246BC17_.wvu.FilterData" localSheetId="1" hidden="1">IMPORTS!$A$1:$CF$1980</definedName>
    <definedName name="Z_033F40BA_1316_4994_A3E1_6A590246BC17_.wvu.FilterData" localSheetId="4" hidden="1">'INGRESOS OC''s'!$A$1:$N$333</definedName>
    <definedName name="Z_03434AAE_9706_42ED_B7BB_F3C037F4552B_.wvu.FilterData" localSheetId="1" hidden="1">IMPORTS!$A$1:$CC$1513</definedName>
    <definedName name="Z_034E7F54_06E4_4697_B060_A1349F5D882F_.wvu.FilterData" localSheetId="1" hidden="1">IMPORTS!$A$1:$CC$1704</definedName>
    <definedName name="Z_035A9B8E_0D80_4246_9370_93BE73C329AA_.wvu.FilterData" localSheetId="1" hidden="1">IMPORTS!$A$1:$CC$1243</definedName>
    <definedName name="Z_03CC18C3_1590_4C42_B452_DA11682733FF_.wvu.FilterData" localSheetId="1" hidden="1">IMPORTS!$A$1:$BV$1058</definedName>
    <definedName name="Z_03DD3DD2_0F29_4452_A2F0_595CC48E0173_.wvu.FilterData" localSheetId="1" hidden="1">IMPORTS!$A$1:$BV$807</definedName>
    <definedName name="Z_03E415B3_F974_4CC5_A181_5A209B86F204_.wvu.FilterData" localSheetId="1" hidden="1">IMPORTS!$A$1:$CC$1781</definedName>
    <definedName name="Z_03E75B45_03F6_4917_9E58_E439B79992FC_.wvu.FilterData" localSheetId="1" hidden="1">IMPORTS!$A$1:$CF$1918</definedName>
    <definedName name="Z_03FDFEF1_35E1_403A_AB08_D5997D224D49_.wvu.FilterData" localSheetId="1" hidden="1">IMPORTS!$A$1:$BV$1602</definedName>
    <definedName name="Z_040F0A9F_AFFE_4DD4_9014_081FF090E46D_.wvu.FilterData" localSheetId="1" hidden="1">IMPORTS!$A$1:$CC$1293</definedName>
    <definedName name="Z_045DD2F8_1DEB_44B9_971B_62776415D617_.wvu.FilterData" localSheetId="1" hidden="1">IMPORTS!$A$1:$CC$1353</definedName>
    <definedName name="Z_045FF87F_613C_4980_9EF9_B8753810A800_.wvu.FilterData" localSheetId="1" hidden="1">IMPORTS!$A$1:$CC$1353</definedName>
    <definedName name="Z_0464864D_97B7_4DB9_B722_2914CED05F6B_.wvu.FilterData" localSheetId="1" hidden="1">IMPORTS!$A$1:$CF$2011</definedName>
    <definedName name="Z_04CD4220_9666_4491_82B8_48323394E882_.wvu.FilterData" localSheetId="1" hidden="1">IMPORTS!$A$1:$CC$1277</definedName>
    <definedName name="Z_04D45A0B_0E1B_4296_9358_8981DBE5CF89_.wvu.FilterData" localSheetId="1" hidden="1">IMPORTS!$A$1:$BV$807</definedName>
    <definedName name="Z_04DDE98C_CB77_43C4_A9C4_06C8F1648AEB_.wvu.FilterData" localSheetId="1" hidden="1">IMPORTS!$A$1:$CC$1820</definedName>
    <definedName name="Z_04FA8C1A_8A0B_4054_A766_8D02CA192C87_.wvu.FilterData" localSheetId="1" hidden="1">IMPORTS!$A$1:$CC$1504</definedName>
    <definedName name="Z_04FEC890_CD02_4A54_8086_EE9E37001CA7_.wvu.FilterData" localSheetId="1" hidden="1">IMPORTS!$A$1:$CC$1880</definedName>
    <definedName name="Z_052409B6_439C_484A_985D_C95547AC9F10_.wvu.FilterData" localSheetId="1" hidden="1">IMPORTS!$A$1:$CC$1591</definedName>
    <definedName name="Z_0538627E_8838_41C5_A0E7_30E07A89029E_.wvu.FilterData" localSheetId="1" hidden="1">IMPORTS!$A$1:$CC$1880</definedName>
    <definedName name="Z_055C9F08_0A7D_4C26_9D2B_EFCD4532B0E8_.wvu.FilterData" localSheetId="1" hidden="1">IMPORTS!$A$1:$CC$1736</definedName>
    <definedName name="Z_05780150_B26D_4597_8D9A_3E3799538A25_.wvu.FilterData" localSheetId="1" hidden="1">IMPORTS!$A$1:$CC$1879</definedName>
    <definedName name="Z_05F6E0C7_B581_4C7E_A9FE_F24CE8FDB82D_.wvu.FilterData" localSheetId="1" hidden="1">IMPORTS!$A$1:$CF$1912</definedName>
    <definedName name="Z_061FBAEB_7299_4203_AEBD_0B3607CCC8DB_.wvu.FilterData" localSheetId="1" hidden="1">IMPORTS!$A$1:$BV$1602</definedName>
    <definedName name="Z_064637AF_E277_4084_AD4D_BE1C37C0B535_.wvu.FilterData" localSheetId="1" hidden="1">IMPORTS!$A$1:$BV$1058</definedName>
    <definedName name="Z_06689C5C_2F1B_40FE_8423_542CFA56C1E5_.wvu.FilterData" localSheetId="1" hidden="1">IMPORTS!$A$1:$BV$881</definedName>
    <definedName name="Z_068F4C15_A2B9_4F67_B72A_848D06F11594_.wvu.FilterData" localSheetId="1" hidden="1">IMPORTS!$A$1:$BV$881</definedName>
    <definedName name="Z_072C3B73_270B_4959_B830_D384DE3EF76C_.wvu.FilterData" localSheetId="1" hidden="1">IMPORTS!$A$1:$CF$1957</definedName>
    <definedName name="Z_07BC5A83_F99D_47D8_9C2A_ADFDE813E901_.wvu.FilterData" localSheetId="1" hidden="1">IMPORTS!$A$1:$BV$769</definedName>
    <definedName name="Z_07BE2ED6_CDF8_406D_A121_485F969E6E4A_.wvu.FilterData" localSheetId="1" hidden="1">IMPORTS!$A$1:$CF$2011</definedName>
    <definedName name="Z_07C9B397_2F2A_4AE6_A5AB_99C09654480D_.wvu.FilterData" localSheetId="1" hidden="1">IMPORTS!$A$1:$CC$1811</definedName>
    <definedName name="Z_07C9B397_2F2A_4AE6_A5AB_99C09654480D_.wvu.FilterData" localSheetId="4" hidden="1">'INGRESOS OC''s'!$A$1:$N$151</definedName>
    <definedName name="Z_07FEF126_2E77_467F_8147_B6B9B331F6E6_.wvu.FilterData" localSheetId="1" hidden="1">IMPORTS!$A$1:$CC$1293</definedName>
    <definedName name="Z_0858549D_2993_416D_B6D0_FCD6C3DF0DFA_.wvu.FilterData" localSheetId="1" hidden="1">IMPORTS!$A$1:$CF$2008</definedName>
    <definedName name="Z_0858549D_2993_416D_B6D0_FCD6C3DF0DFA_.wvu.FilterData" localSheetId="4" hidden="1">'INGRESOS OC''s'!$A$1:$N$360</definedName>
    <definedName name="Z_085866C3_BA2F_4266_BF9C_654D53CC8F0B_.wvu.FilterData" localSheetId="1" hidden="1">IMPORTS!$A$1:$CF$2009</definedName>
    <definedName name="Z_08A6B29F_D617_4D3A_8E6C_3D1DAE0AED85_.wvu.FilterData" localSheetId="1" hidden="1">IMPORTS!$A$1:$CC$1838</definedName>
    <definedName name="Z_08BFA2C0_8A1A_4868_BF4B_218467BCEA83_.wvu.FilterData" localSheetId="1" hidden="1">IMPORTS!$A$1:$CF$1902</definedName>
    <definedName name="Z_09152FCC_95F6_46B5_AF6D_B9CE9A609EFB_.wvu.FilterData" localSheetId="1" hidden="1">IMPORTS!$A$1:$BV$732</definedName>
    <definedName name="Z_091647D6_A6D2_46F7_8CDD_B8E0AF651026_.wvu.FilterData" localSheetId="1" hidden="1">IMPORTS!$A$1:$CF$1980</definedName>
    <definedName name="Z_09166DB4_1CE2_4D67_9C33_4AEEC248F32B_.wvu.FilterData" localSheetId="1" hidden="1">IMPORTS!$A$1:$CC$1591</definedName>
    <definedName name="Z_09564209_E8AF_48BA_AC40_AC4927302EEA_.wvu.FilterData" localSheetId="1" hidden="1">IMPORTS!$A$1:$CC$1739</definedName>
    <definedName name="Z_09B244CF_CF26_470D_A9A6_8108549C8354_.wvu.FilterData" localSheetId="1" hidden="1">IMPORTS!$A$1:$CC$1353</definedName>
    <definedName name="Z_09CA91FA_DF97_4DB9_B285_35D278D345EF_.wvu.FilterData" localSheetId="1" hidden="1">IMPORTS!$A$1:$BV$733</definedName>
    <definedName name="Z_09DE3A61_F49A_4900_9CA4_CE72228364D3_.wvu.FilterData" localSheetId="1" hidden="1">IMPORTS!$A$1:$CF$1933</definedName>
    <definedName name="Z_09DE3A61_F49A_4900_9CA4_CE72228364D3_.wvu.FilterData" localSheetId="4" hidden="1">'INGRESOS OC''s'!$A$1:$N$331</definedName>
    <definedName name="Z_09FF4F8B_EE93_4172_A506_66953930637A_.wvu.FilterData" localSheetId="1" hidden="1">IMPORTS!$A$1:$CC$1739</definedName>
    <definedName name="Z_0A53F413_B94A_400A_A45A_704771E33006_.wvu.FilterData" localSheetId="1" hidden="1">IMPORTS!$A$1:$CC$1820</definedName>
    <definedName name="Z_0A80C0B7_2D6C_47DF_A0B2_20144879F1AD_.wvu.FilterData" localSheetId="1" hidden="1">IMPORTS!$A$1:$CC$1353</definedName>
    <definedName name="Z_0A8612A4_D1E4_4CF6_8FB6_0C9D0C527945_.wvu.FilterData" localSheetId="1" hidden="1">IMPORTS!$A$1:$BV$1142</definedName>
    <definedName name="Z_0B04135B_D269_405E_867E_32A0E2FB8941_.wvu.FilterData" localSheetId="1" hidden="1">IMPORTS!$A$1:$CC$1606</definedName>
    <definedName name="Z_0B7FBBCB_7034_4BA0_B573_B7E4F4B47EF7_.wvu.FilterData" localSheetId="1" hidden="1">IMPORTS!$A$1:$CC$1668</definedName>
    <definedName name="Z_0B900020_402D_48CA_BE25_5CDA2923D6D1_.wvu.FilterData" localSheetId="1" hidden="1">IMPORTS!$A$1:$CF$1889</definedName>
    <definedName name="Z_0BDDCAF6_4B7D_4FE3_9094_FDC2A03A9C78_.wvu.FilterData" localSheetId="1" hidden="1">IMPORTS!$A$1:$CC$1353</definedName>
    <definedName name="Z_0C02642E_A8D0_4F8C_AA96_4930C6FA0572_.wvu.FilterData" localSheetId="1" hidden="1">IMPORTS!$A$1:$BV$1043</definedName>
    <definedName name="Z_0C09E45A_3884_4EB4_A1DD_4CC446339B77_.wvu.FilterData" localSheetId="1" hidden="1">IMPORTS!$A$1:$CC$1808</definedName>
    <definedName name="Z_0C0EEB8A_ABB8_4B5D_A5D9_AAE98DB5BF52_.wvu.FilterData" localSheetId="1" hidden="1">IMPORTS!$A$1:$BV$850</definedName>
    <definedName name="Z_0C170E2E_33FF_4694_A4B0_5767C5884925_.wvu.FilterData" localSheetId="1" hidden="1">IMPORTS!$A$1:$CC$1582</definedName>
    <definedName name="Z_0C7D8617_F335_4F07_9B66_AFE12C2834D8_.wvu.FilterData" localSheetId="1" hidden="1">IMPORTS!$A$1:$CC$1559</definedName>
    <definedName name="Z_0C98042F_107E_455C_8076_F752437F0B16_.wvu.FilterData" localSheetId="1" hidden="1">IMPORTS!$A$1:$CC$1439</definedName>
    <definedName name="Z_0CAE6B2B_0CB5_46CE_B4DA_B6AB32A0D75C_.wvu.FilterData" localSheetId="1" hidden="1">IMPORTS!$A$1:$CF$1918</definedName>
    <definedName name="Z_0CE418F7_57CE_400D_8D57_07D2F777CF81_.wvu.FilterData" localSheetId="1" hidden="1">IMPORTS!$A$1:$CC$1504</definedName>
    <definedName name="Z_0CF5A638_11DD_49AB_921A_5A3AEBFD4D54_.wvu.FilterData" localSheetId="1" hidden="1">IMPORTS!$A$1:$CC$1352</definedName>
    <definedName name="Z_0D0E9E51_C33E_42EE_9F50_58558E68120C_.wvu.FilterData" localSheetId="1" hidden="1">IMPORTS!$A$1:$BV$1604</definedName>
    <definedName name="Z_0D714171_884B_4ECA_BA40_1A4477D71DC9_.wvu.FilterData" localSheetId="1" hidden="1">IMPORTS!$A$1:$CC$1591</definedName>
    <definedName name="Z_0DA13A2B_5F84_4D0A_AC0D_689715D3617F_.wvu.FilterData" localSheetId="1" hidden="1">IMPORTS!$A$1:$CC$1744</definedName>
    <definedName name="Z_0DBD136A_2487_4162_AE01_7235CDE661DE_.wvu.FilterData" localSheetId="1" hidden="1">IMPORTS!$A$1:$CC$1472</definedName>
    <definedName name="Z_0E1C59D6_C323_4CE1_B70D_20E67DE1558A_.wvu.FilterData" localSheetId="1" hidden="1">IMPORTS!$A$1:$BV$1114</definedName>
    <definedName name="Z_0E2E404B_AF92_4158_838E_6EA9570BD5BB_.wvu.FilterData" localSheetId="1" hidden="1">IMPORTS!$A$1:$CF$1903</definedName>
    <definedName name="Z_0E66ACB0_31AC_4A47_894A_0903B2EF46FA_.wvu.FilterData" localSheetId="1" hidden="1">IMPORTS!$A$1:$CF$2011</definedName>
    <definedName name="Z_0E6EE3A2_44A9_4349_AF2D_5CBAB55F0BE9_.wvu.FilterData" localSheetId="1" hidden="1">IMPORTS!$A$1:$CC$1591</definedName>
    <definedName name="Z_0E8519F5_23B6_4956_8FDD_90C69BF468B6_.wvu.FilterData" localSheetId="1" hidden="1">IMPORTS!$A$1:$CF$1889</definedName>
    <definedName name="Z_0E8519F5_23B6_4956_8FDD_90C69BF468B6_.wvu.FilterData" localSheetId="4" hidden="1">'INGRESOS OC''s'!$A$1:$N$266</definedName>
    <definedName name="Z_0E8E0EB5_8D3A_4C88_A5B8_45883D922695_.wvu.FilterData" localSheetId="1" hidden="1">IMPORTS!$A$1:$BV$807</definedName>
    <definedName name="Z_0EC0B91B_FB96_4818_B6F3_4568304F9C37_.wvu.FilterData" localSheetId="1" hidden="1">IMPORTS!$A$1:$CF$2006</definedName>
    <definedName name="Z_0ED2DAD6_3B80_4B71_9EA1_070AEA74A0EF_.wvu.FilterData" localSheetId="1" hidden="1">IMPORTS!$A$1:$BV$1217</definedName>
    <definedName name="Z_0EF19B4C_0E13_429A_A51B_AD6F2FDBC840_.wvu.FilterData" localSheetId="1" hidden="1">IMPORTS!$A$1:$CC$1439</definedName>
    <definedName name="Z_0F2A355A_EDD5_47BE_838D_C022FDD23245_.wvu.FilterData" localSheetId="1" hidden="1">IMPORTS!$A$1:$CF$2009</definedName>
    <definedName name="Z_0F4C6CFF_519A_467E_B826_21C54806658D_.wvu.FilterData" localSheetId="1" hidden="1">IMPORTS!$A$1:$BV$732</definedName>
    <definedName name="Z_0F7A3F8E_92E1_45B1_AABE_46073CC1C7E7_.wvu.FilterData" localSheetId="1" hidden="1">IMPORTS!$A$1:$CC$1582</definedName>
    <definedName name="Z_0FBAA611_FD95_47A6_8738_07979B01B122_.wvu.FilterData" localSheetId="1" hidden="1">IMPORTS!$A$1:$CC$1810</definedName>
    <definedName name="Z_0FC601D5_4239_4100_BC96_6A1D766CD9B0_.wvu.FilterData" localSheetId="1" hidden="1">IMPORTS!$A$1:$BV$1602</definedName>
    <definedName name="Z_105B899A_C4CF_4D24_A280_B6C793628AB0_.wvu.FilterData" localSheetId="1" hidden="1">IMPORTS!$A$1:$CF$1902</definedName>
    <definedName name="Z_10D4D727_B2F7_406F_BD8A_FD2DBA5CB1DC_.wvu.FilterData" localSheetId="1" hidden="1">IMPORTS!$A$1:$CC$1672</definedName>
    <definedName name="Z_10DA3EEC_CBE5_4C51_ACF1_48BB51DDDEE0_.wvu.FilterData" localSheetId="1" hidden="1">IMPORTS!$A$1:$BV$732</definedName>
    <definedName name="Z_110BD92A_5CAD_41D2_85D0_7613E3A6C83E_.wvu.FilterData" localSheetId="1" hidden="1">IMPORTS!$A$1:$CC$1672</definedName>
    <definedName name="Z_113ED9C2_1ED7_4F53_AA18_D11CA0C12318_.wvu.FilterData" localSheetId="1" hidden="1">IMPORTS!$A$1:$CC$1582</definedName>
    <definedName name="Z_114EEF86_39EC_4AD1_83D6_4D86063A5FC2_.wvu.FilterData" localSheetId="1" hidden="1">IMPORTS!$A$1:$CC$1886</definedName>
    <definedName name="Z_1158FD6E_DBCC_46CD_BE53_1AC91E9222C1_.wvu.FilterData" localSheetId="1" hidden="1">IMPORTS!$A$1:$BV$732</definedName>
    <definedName name="Z_117F4522_0715_446B_9DD1_D3CFDC88145C_.wvu.FilterData" localSheetId="1" hidden="1">IMPORTS!$A$1:$CC$1880</definedName>
    <definedName name="Z_11A107A0_C345_4409_B082_A61C69C340B0_.wvu.FilterData" localSheetId="1" hidden="1">IMPORTS!$A$1:$CC$1247</definedName>
    <definedName name="Z_11F9E205_9AB1_4581_887C_6A0F830771B6_.wvu.FilterData" localSheetId="1" hidden="1">IMPORTS!$A$1:$BV$1034</definedName>
    <definedName name="Z_1229A248_6A72_44B7_9D0A_6FBAE6563276_.wvu.FilterData" localSheetId="1" hidden="1">IMPORTS!$A$1:$CC$1880</definedName>
    <definedName name="Z_1230262D_1EF5_419E_967C_7135A3EF9DB5_.wvu.FilterData" localSheetId="1" hidden="1">IMPORTS!$A$1:$BV$860</definedName>
    <definedName name="Z_12C06358_FA6A_4050_AF93_DFC9EFDE0DA2_.wvu.FilterData" localSheetId="1" hidden="1">IMPORTS!$A$1:$CC$1352</definedName>
    <definedName name="Z_1316A2E8_30B2_4292_BC72_EB1E9F8930F4_.wvu.FilterData" localSheetId="1" hidden="1">IMPORTS!$A$1:$BV$733</definedName>
    <definedName name="Z_138507B5_CE0B_4854_B60F_B98A4DECB1B2_.wvu.FilterData" localSheetId="1" hidden="1">IMPORTS!$A$1:$BV$1034</definedName>
    <definedName name="Z_13B0AA59_5A29_406C_AFD0_4C1C1462CCD6_.wvu.FilterData" localSheetId="1" hidden="1">IMPORTS!$A$1:$CF$1924</definedName>
    <definedName name="Z_14137CCC_A9E5_42CC_8E7C_F569BB0A97A3_.wvu.FilterData" localSheetId="1" hidden="1">IMPORTS!$A$1:$CC$1602</definedName>
    <definedName name="Z_1429F0AA_B862_4F8D_A7C2_93FD14843695_.wvu.FilterData" localSheetId="1" hidden="1">IMPORTS!$A$1:$BV$1092</definedName>
    <definedName name="Z_14330DF1_CFBC_49B9_BC86_6857B03149D2_.wvu.FilterData" localSheetId="1" hidden="1">IMPORTS!$A$1:$BV$807</definedName>
    <definedName name="Z_14471D77_F394_42D2_B51F_D40B5112DB28_.wvu.FilterData" localSheetId="1" hidden="1">IMPORTS!$A$1:$CC$1739</definedName>
    <definedName name="Z_14471D77_F394_42D2_B51F_D40B5112DB28_.wvu.FilterData" localSheetId="4" hidden="1">'INGRESOS OC''s'!$A$1:$N$112</definedName>
    <definedName name="Z_1495661C_735F_43BA_96FE_DBD2AFF7F8DF_.wvu.FilterData" localSheetId="1" hidden="1">IMPORTS!$A$1:$CC$1880</definedName>
    <definedName name="Z_14B76F15_F136_4F7F_922F_7401A2AC91A8_.wvu.FilterData" localSheetId="1" hidden="1">IMPORTS!$A$1:$CC$1269</definedName>
    <definedName name="Z_150EC9BD_F45D_4B23_9FAA_6EE7E20E54CD_.wvu.FilterData" localSheetId="1" hidden="1">IMPORTS!$A$1:$CC$1739</definedName>
    <definedName name="Z_15DC6969_2EF1_4449_9057_036827846333_.wvu.FilterData" localSheetId="1" hidden="1">IMPORTS!$A$1:$BV$822</definedName>
    <definedName name="Z_15EDCB71_E21F_462B_97D4_9FDCC73C8E92_.wvu.FilterData" localSheetId="1" hidden="1">IMPORTS!$A$1:$CC$1535</definedName>
    <definedName name="Z_160B57FA_9444_4169_AEDF_3D684F909AAA_.wvu.FilterData" localSheetId="1" hidden="1">IMPORTS!$A$1:$BV$807</definedName>
    <definedName name="Z_1633AC0D_D665_4906_8A86_AD908934E6B6_.wvu.FilterData" localSheetId="1" hidden="1">IMPORTS!$A$1:$CC$1593</definedName>
    <definedName name="Z_1646FF39_37B0_4D54_AC2A_51EA4CDD507D_.wvu.FilterData" localSheetId="4" hidden="1">'INGRESOS OC''s'!$A$1:$N$324</definedName>
    <definedName name="Z_1676ECF5_8F3F_40AA_8F3A_A86F45A9ED35_.wvu.FilterData" localSheetId="1" hidden="1">IMPORTS!$A$1:$CC$1352</definedName>
    <definedName name="Z_16A17131_4A64_4D34_9A30_42ED9319E9CD_.wvu.FilterData" localSheetId="1" hidden="1">IMPORTS!$A$1:$CF$1956</definedName>
    <definedName name="Z_16E4477A_33F2_4202_A0FF_F0B3CFCB397A_.wvu.FilterData" localSheetId="1" hidden="1">IMPORTS!$A$1:$CC$1293</definedName>
    <definedName name="Z_17679ACA_D779_49FD_93EB_B71F0B7456BC_.wvu.FilterData" localSheetId="1" hidden="1">IMPORTS!$A$1:$CC$1854</definedName>
    <definedName name="Z_177BFCC9_6EFC_4947_BD69_A48AE966B9E1_.wvu.FilterData" localSheetId="1" hidden="1">IMPORTS!$A$1:$CF$1904</definedName>
    <definedName name="Z_17837CC0_F1C1_403C_95DC_DE3C2F4FE2C2_.wvu.FilterData" localSheetId="1" hidden="1">IMPORTS!$A$1:$BV$1034</definedName>
    <definedName name="Z_17E21D20_4642_4E06_A533_7948F182909C_.wvu.FilterData" localSheetId="1" hidden="1">IMPORTS!$A$1:$CF$2006</definedName>
    <definedName name="Z_17EBB822_710C_4614_826F_D4E28EB7E032_.wvu.FilterData" localSheetId="1" hidden="1">IMPORTS!$A$1:$BV$807</definedName>
    <definedName name="Z_180D4C99_5E71_4B0C_9569_ED04E7E4541E_.wvu.FilterData" localSheetId="1" hidden="1">IMPORTS!$A$1:$CC$1660</definedName>
    <definedName name="Z_1861187B_4A1E_4777_AE73_EBB01305E2B8_.wvu.FilterData" localSheetId="1" hidden="1">IMPORTS!$A$1:$CF$2011</definedName>
    <definedName name="Z_18744979_63A0_48D6_98C3_6B6411AE3CB3_.wvu.FilterData" localSheetId="1" hidden="1">IMPORTS!$A$1:$CF$1889</definedName>
    <definedName name="Z_18AB66C4_22D3_4D2A_B05A_3BD2BAE0E73F_.wvu.FilterData" localSheetId="1" hidden="1">IMPORTS!$A$1:$BV$807</definedName>
    <definedName name="Z_18ADE3B0_401D_4D0F_9600_207EA8D79438_.wvu.FilterData" localSheetId="1" hidden="1">IMPORTS!$A$1:$CC$1582</definedName>
    <definedName name="Z_18B515CB_E2E4_43A3_A93A_C940BD976CDB_.wvu.FilterData" localSheetId="1" hidden="1">IMPORTS!$A$1:$CF$1957</definedName>
    <definedName name="Z_18F7C64E_15F6_46C5_941F_B565A78A0DD6_.wvu.FilterData" localSheetId="1" hidden="1">IMPORTS!$A$1:$CF$1980</definedName>
    <definedName name="Z_1914615E_3381_4D6F_9A4C_B1DD488FE616_.wvu.FilterData" localSheetId="1" hidden="1">IMPORTS!$A$1:$CC$1389</definedName>
    <definedName name="Z_19166763_89D0_4105_814B_C505218660D6_.wvu.FilterData" localSheetId="1" hidden="1">IMPORTS!$A$1:$BV$769</definedName>
    <definedName name="Z_193D2606_3E55_4993_9B83_0BF23109DFE0_.wvu.FilterData" localSheetId="1" hidden="1">IMPORTS!$A$1:$BV$807</definedName>
    <definedName name="Z_194AAC06_7D57_4F29_AB35_DB2F1D615C42_.wvu.FilterData" localSheetId="1" hidden="1">IMPORTS!$A$1:$CC$1724</definedName>
    <definedName name="Z_1955AE96_A583_464D_BB6D_A5EC861CFA48_.wvu.FilterData" localSheetId="1" hidden="1">IMPORTS!$A$1:$CC$1353</definedName>
    <definedName name="Z_196E0218_4742_41B3_8C2C_70F3370EA433_.wvu.FilterData" localSheetId="1" hidden="1">IMPORTS!$A$1:$CC$1353</definedName>
    <definedName name="Z_19793D83_1B1C_472C_9947_9CBD1CD0C252_.wvu.FilterData" localSheetId="1" hidden="1">IMPORTS!$A$1:$CC$1820</definedName>
    <definedName name="Z_1A02E270_B835_4D08_9950_483A93C6998F_.wvu.FilterData" localSheetId="1" hidden="1">IMPORTS!$A$1:$BV$1058</definedName>
    <definedName name="Z_1A184CAE_B549_43E3_9FBC_27FB6211158B_.wvu.FilterData" localSheetId="1" hidden="1">IMPORTS!$A$1:$BV$892</definedName>
    <definedName name="Z_1A9E64C0_E802_4CC0_B712_CEA4231CF066_.wvu.FilterData" localSheetId="1" hidden="1">IMPORTS!$A$1:$CC$1472</definedName>
    <definedName name="Z_1ABEC6C4_9168_4F28_BAEA_87BA8408A678_.wvu.FilterData" localSheetId="1" hidden="1">IMPORTS!$A$1:$BV$1058</definedName>
    <definedName name="Z_1AC85AD3_A5D9_4A52_970F_152DC85F09F2_.wvu.FilterData" localSheetId="1" hidden="1">IMPORTS!$A$1:$CC$1591</definedName>
    <definedName name="Z_1AEE68B6_DA0A_4670_8BAE_54A2388EFF19_.wvu.FilterData" localSheetId="1" hidden="1">IMPORTS!$A$1:$CC$1781</definedName>
    <definedName name="Z_1B328A6F_1251_4257_AB4A_CD3E8762B438_.wvu.FilterData" localSheetId="1" hidden="1">IMPORTS!$A$1:$CC$1591</definedName>
    <definedName name="Z_1B68922D_D441_431E_A15C_6E2A14AC8026_.wvu.FilterData" localSheetId="1" hidden="1">IMPORTS!$A$1:$BV$1006</definedName>
    <definedName name="Z_1B6AD136_657C_4930_8488_46B44A6C0097_.wvu.FilterData" localSheetId="1" hidden="1">IMPORTS!$A$1:$CC$1352</definedName>
    <definedName name="Z_1B90C1B1_4C2D_4F65_9DB1_A9184F8C3490_.wvu.FilterData" localSheetId="1" hidden="1">IMPORTS!$A$1:$CC$1668</definedName>
    <definedName name="Z_1B90C1B1_4C2D_4F65_9DB1_A9184F8C3490_.wvu.FilterData" localSheetId="4" hidden="1">'INGRESOS OC''s'!$A$1:$N$55</definedName>
    <definedName name="Z_1B9EA475_4558_4F41_B751_FEEBB38D1F54_.wvu.FilterData" localSheetId="1" hidden="1">IMPORTS!$A$1:$BV$1142</definedName>
    <definedName name="Z_1BF50FB8_3AE9_4CC2_A6CA_6FC847784EFF_.wvu.FilterData" localSheetId="1" hidden="1">IMPORTS!$A$1:$BV$1043</definedName>
    <definedName name="Z_1BFCD6C5_92D1_4C35_9B53_2038E3E1F089_.wvu.FilterData" localSheetId="1" hidden="1">IMPORTS!$A$1:$BV$769</definedName>
    <definedName name="Z_1C2198FA_F0AE_428A_893E_50068633724E_.wvu.FilterData" localSheetId="1" hidden="1">IMPORTS!$A$1:$CF$2009</definedName>
    <definedName name="Z_1C2198FA_F0AE_428A_893E_50068633724E_.wvu.FilterData" localSheetId="4" hidden="1">'INGRESOS OC''s'!$A$1:$N$381</definedName>
    <definedName name="Z_1C475069_0896_4D6A_87EE_2B1D81D44524_.wvu.FilterData" localSheetId="1" hidden="1">IMPORTS!$A$1:$CF$1924</definedName>
    <definedName name="Z_1D35CA3F_5657_4F92_A9EC_042712236EC4_.wvu.FilterData" localSheetId="1" hidden="1">IMPORTS!$A$1:$ARG$1892</definedName>
    <definedName name="Z_1D79A39E_C4EF_4D68_9C12_3AA32FB96985_.wvu.FilterData" localSheetId="1" hidden="1">IMPORTS!$A$1:$BV$807</definedName>
    <definedName name="Z_1D9EE08C_8D76_4D1D_8EF8_0C2340B20B65_.wvu.FilterData" localSheetId="1" hidden="1">IMPORTS!$A$1:$CC$1845</definedName>
    <definedName name="Z_1D9EE08C_8D76_4D1D_8EF8_0C2340B20B65_.wvu.FilterData" localSheetId="4" hidden="1">'INGRESOS OC''s'!$A$1:$N$203</definedName>
    <definedName name="Z_1DD7DE79_4B29_4EB5_85D0_12BA66CD4DD7_.wvu.FilterData" localSheetId="1" hidden="1">IMPORTS!$A$1:$CF$2009</definedName>
    <definedName name="Z_1E4ABAAD_F67C_422D_94A3_2B514ED6EEF8_.wvu.FilterData" localSheetId="1" hidden="1">IMPORTS!$A$1:$CC$1451</definedName>
    <definedName name="Z_1E57B6BD_8BF9_40CA_89AD_25BA05BD1DB2_.wvu.FilterData" localSheetId="1" hidden="1">IMPORTS!$A$1:$CC$1660</definedName>
    <definedName name="Z_1E6B39DF_D735_4142_8A6D_49FB28531C5F_.wvu.FilterData" localSheetId="1" hidden="1">IMPORTS!$A$1:$CC$1845</definedName>
    <definedName name="Z_1E6B39DF_D735_4142_8A6D_49FB28531C5F_.wvu.FilterData" localSheetId="4" hidden="1">'INGRESOS OC''s'!$A$1:$N$203</definedName>
    <definedName name="Z_1E9A9583_5322_4B6B_B1FF_4694F4CE35AA_.wvu.FilterData" localSheetId="1" hidden="1">IMPORTS!$A$1:$CC$1639</definedName>
    <definedName name="Z_1EBC4E60_960C_4E63_89BA_28C3C9A6EF1D_.wvu.FilterData" localSheetId="1" hidden="1">IMPORTS!$A$1:$ARG$1892</definedName>
    <definedName name="Z_1EE9B0C2_B700_4309_995D_CDD4ADB47FED_.wvu.FilterData" localSheetId="1" hidden="1">IMPORTS!$A$1:$CF$1965</definedName>
    <definedName name="Z_1EF979DC_A3EA_43D6_8BE9_6300BA1B099B_.wvu.FilterData" localSheetId="1" hidden="1">IMPORTS!$A$1:$ARG$1892</definedName>
    <definedName name="Z_1F062E37_EF9B_48B8_BD32_C0802F58F5F8_.wvu.FilterData" localSheetId="1" hidden="1">IMPORTS!$A$1:$CC$1880</definedName>
    <definedName name="Z_1FA74930_93E3_4299_88B9_EDCCED18D857_.wvu.FilterData" localSheetId="1" hidden="1">IMPORTS!$A$1:$CC$1727</definedName>
    <definedName name="Z_1FA74930_93E3_4299_88B9_EDCCED18D857_.wvu.FilterData" localSheetId="4" hidden="1">'INGRESOS OC''s'!$A$1:$N$96</definedName>
    <definedName name="Z_1FA826FD_EADE_465C_8710_DFF810169BE7_.wvu.FilterData" localSheetId="1" hidden="1">IMPORTS!$A$1:$CF$1912</definedName>
    <definedName name="Z_1FA826FD_EADE_465C_8710_DFF810169BE7_.wvu.FilterData" localSheetId="4" hidden="1">'INGRESOS OC''s'!$A$1:$N$324</definedName>
    <definedName name="Z_1FAA9E21_1B4A_4B98_9928_7998E1B55C97_.wvu.FilterData" localSheetId="1" hidden="1">IMPORTS!$A$1:$BV$1602</definedName>
    <definedName name="Z_20489278_914E_40E7_890D_7EDE0A604505_.wvu.FilterData" localSheetId="1" hidden="1">IMPORTS!$A$1:$CF$1965</definedName>
    <definedName name="Z_2056C5CE_CD94_462F_96A9_1142FF07317A_.wvu.FilterData" localSheetId="1" hidden="1">IMPORTS!$A$1:$CC$1582</definedName>
    <definedName name="Z_209E4627_3850_4F27_90A5_F2BCCCF0C8C1_.wvu.FilterData" localSheetId="1" hidden="1">IMPORTS!$A$1:$CC$1247</definedName>
    <definedName name="Z_20C424B1_085D_4DB7_A6D0_6F98FFE19027_.wvu.FilterData" localSheetId="1" hidden="1">IMPORTS!$A$1:$CC$1742</definedName>
    <definedName name="Z_20CD8838_1A8D_4350_BC08_4DBD547E33FC_.wvu.FilterData" localSheetId="1" hidden="1">IMPORTS!$A$1:$BV$1092</definedName>
    <definedName name="Z_20DDCD40_9DEC_4E0C_BDFD_5753C11CFC19_.wvu.Cols" localSheetId="7" hidden="1">ABC!$D:$D</definedName>
    <definedName name="Z_20DDCD40_9DEC_4E0C_BDFD_5753C11CFC19_.wvu.Cols" localSheetId="1" hidden="1">IMPORTS!$BA:$BA,IMPORTS!#REF!</definedName>
    <definedName name="Z_20DDCD40_9DEC_4E0C_BDFD_5753C11CFC19_.wvu.Cols" localSheetId="4" hidden="1">'INGRESOS OC''s'!$N:$N</definedName>
    <definedName name="Z_20DDCD40_9DEC_4E0C_BDFD_5753C11CFC19_.wvu.FilterData" localSheetId="6" hidden="1">'FAM-CLASS'!$A$1:$C$151</definedName>
    <definedName name="Z_20DDCD40_9DEC_4E0C_BDFD_5753C11CFC19_.wvu.FilterData" localSheetId="1" hidden="1">IMPORTS!$A$1:$CF$2011</definedName>
    <definedName name="Z_20DDCD40_9DEC_4E0C_BDFD_5753C11CFC19_.wvu.FilterData" localSheetId="4" hidden="1">'INGRESOS OC''s'!$A$1:$N$381</definedName>
    <definedName name="Z_20FDE9A3_C98B_4032_8AB7_6F8768FD969E_.wvu.FilterData" localSheetId="1" hidden="1">IMPORTS!$A$1:$CC$1558</definedName>
    <definedName name="Z_2130669D_AB3E_4D37_B6FC_249929CE1BF1_.wvu.FilterData" localSheetId="1" hidden="1">IMPORTS!$A$1:$CC$1545</definedName>
    <definedName name="Z_21A56EEB_7B96_4178_A66A_BCEF5EA75A82_.wvu.FilterData" localSheetId="1" hidden="1">IMPORTS!$A$1:$CC$1247</definedName>
    <definedName name="Z_21B147B3_B53F_48B2_A28B_B12B4142369C_.wvu.FilterData" localSheetId="1" hidden="1">IMPORTS!$A$1:$CC$1293</definedName>
    <definedName name="Z_220F5BDC_E9AE_407F_A093_9337F2810863_.wvu.Cols" localSheetId="7" hidden="1">ABC!$D:$D</definedName>
    <definedName name="Z_220F5BDC_E9AE_407F_A093_9337F2810863_.wvu.Cols" localSheetId="1" hidden="1">IMPORTS!$AD:$AD,IMPORTS!$AM:$AP,IMPORTS!$AR:$AR</definedName>
    <definedName name="Z_220F5BDC_E9AE_407F_A093_9337F2810863_.wvu.Cols" localSheetId="4" hidden="1">'INGRESOS OC''s'!$E:$F,'INGRESOS OC''s'!$N:$N,'INGRESOS OC''s'!$S:$T</definedName>
    <definedName name="Z_220F5BDC_E9AE_407F_A093_9337F2810863_.wvu.FilterData" localSheetId="6" hidden="1">'FAM-CLASS'!$A$1:$D$144</definedName>
    <definedName name="Z_220F5BDC_E9AE_407F_A093_9337F2810863_.wvu.FilterData" localSheetId="1" hidden="1">IMPORTS!$A$1:$CC$1878</definedName>
    <definedName name="Z_220F5BDC_E9AE_407F_A093_9337F2810863_.wvu.FilterData" localSheetId="4" hidden="1">'INGRESOS OC''s'!$A$1:$N$203</definedName>
    <definedName name="Z_22324594_6497_4534_A8D5_C7D68C237164_.wvu.FilterData" localSheetId="1" hidden="1">IMPORTS!$A$1:$CC$1639</definedName>
    <definedName name="Z_22328593_D9F1_4E32_8CAC_D66168DB2E1D_.wvu.FilterData" localSheetId="6" hidden="1">'FAM-CLASS'!$A$1:$D$144</definedName>
    <definedName name="Z_22328593_D9F1_4E32_8CAC_D66168DB2E1D_.wvu.FilterData" localSheetId="1" hidden="1">IMPORTS!$A$1:$BV$1058</definedName>
    <definedName name="Z_225B374A_48C8_468C_AD79_1951B7C231C2_.wvu.FilterData" localSheetId="1" hidden="1">IMPORTS!$A$1:$CC$1293</definedName>
    <definedName name="Z_22651F05_AA77_4121_BDBE_6F803D8A131A_.wvu.FilterData" localSheetId="1" hidden="1">IMPORTS!$A$1:$BV$769</definedName>
    <definedName name="Z_22908DA7_0559_4D08_A8FF_53D98EC59568_.wvu.FilterData" localSheetId="1" hidden="1">IMPORTS!$A$1:$BV$807</definedName>
    <definedName name="Z_22F688A6_44A3_4777_AB95_821D22AB74FA_.wvu.FilterData" localSheetId="1" hidden="1">IMPORTS!$A$1:$CC$1879</definedName>
    <definedName name="Z_2331958D_6753_4236_B777_3C5AB9B9DE41_.wvu.FilterData" localSheetId="1" hidden="1">IMPORTS!$A$1:$CC$1878</definedName>
    <definedName name="Z_23364A84_0391_4A38_B9E9_EE9E020D039D_.wvu.FilterData" localSheetId="1" hidden="1">IMPORTS!$A$1:$CC$1353</definedName>
    <definedName name="Z_238E71F9_91B4_44B4_AA42_ADF6A3D6B06C_.wvu.FilterData" localSheetId="1" hidden="1">IMPORTS!$A$1:$CC$1388</definedName>
    <definedName name="Z_23AC13D8_A254_40EB_A6E2_2C092210E47D_.wvu.FilterData" localSheetId="1" hidden="1">IMPORTS!$A$1:$CF$1930</definedName>
    <definedName name="Z_240782BB_9210_4935_A9C9_2D8096F23D51_.wvu.FilterData" localSheetId="1" hidden="1">IMPORTS!$A$1:$ARG$1893</definedName>
    <definedName name="Z_24599FF1_B6B5_430F_8FD8_ED2E8F697394_.wvu.FilterData" localSheetId="1" hidden="1">IMPORTS!$A$1:$BV$881</definedName>
    <definedName name="Z_245AF732_9A05_481F_B9E9_2F0E9CE99381_.wvu.FilterData" localSheetId="1" hidden="1">IMPORTS!$A$1:$CF$1903</definedName>
    <definedName name="Z_24D142FE_4F56_4072_8C7B_5B708D94214F_.wvu.FilterData" localSheetId="1" hidden="1">IMPORTS!$A$1:$CC$1815</definedName>
    <definedName name="Z_2568DB59_8181_4DA1_B30B_C676100E1A14_.wvu.FilterData" localSheetId="1" hidden="1">IMPORTS!$A$1:$BV$1092</definedName>
    <definedName name="Z_2588A9FB_C0C3_4A75_95B8_1396EB3F4E2A_.wvu.FilterData" localSheetId="1" hidden="1">IMPORTS!$A$1:$CC$1578</definedName>
    <definedName name="Z_2590BF90_4334_490B_9D5B_579A42B9C56D_.wvu.FilterData" localSheetId="1" hidden="1">IMPORTS!$A$1:$CC$1795</definedName>
    <definedName name="Z_2590BF90_4334_490B_9D5B_579A42B9C56D_.wvu.FilterData" localSheetId="4" hidden="1">'INGRESOS OC''s'!$A$1:$N$140</definedName>
    <definedName name="Z_25AD5838_6568_452E_8393_5E48E9E34C9F_.wvu.FilterData" localSheetId="1" hidden="1">IMPORTS!$A$1:$BV$760</definedName>
    <definedName name="Z_25BE0746_49DD_4052_882B_69F9D4C7DAB3_.wvu.FilterData" localSheetId="1" hidden="1">IMPORTS!$A$1:$BV$906</definedName>
    <definedName name="Z_25C29598_283E_447F_87F0_A4D8EBFF2D8A_.wvu.FilterData" localSheetId="1" hidden="1">IMPORTS!$A$1:$CC$1542</definedName>
    <definedName name="Z_25DEEF74_5747_4C4C_A1F9_9459A2BEFA44_.wvu.FilterData" localSheetId="1" hidden="1">IMPORTS!$A$1:$BV$1034</definedName>
    <definedName name="Z_25E3B507_E5FC_402E_820B_490E63AA1794_.wvu.FilterData" localSheetId="1" hidden="1">IMPORTS!$A$1:$CC$1781</definedName>
    <definedName name="Z_25F3CB73_2E1B_415A_8D4E_683C772424BE_.wvu.FilterData" localSheetId="1" hidden="1">IMPORTS!$A$1:$CC$1820</definedName>
    <definedName name="Z_25FDECCE_E365_4A6E_B208_27402BC054A6_.wvu.FilterData" localSheetId="1" hidden="1">IMPORTS!$A$1:$CC$1591</definedName>
    <definedName name="Z_25FF4F3C_8D3E_40EB_8A0E_233597F30E90_.wvu.FilterData" localSheetId="1" hidden="1">IMPORTS!$A$1:$CC$1724</definedName>
    <definedName name="Z_26015A5E_F103_40CD_A1C0_50067F3371F5_.wvu.FilterData" localSheetId="1" hidden="1">IMPORTS!$A$1:$CC$1781</definedName>
    <definedName name="Z_260FA7AF_39E7_4832_9052_29523FD47C93_.wvu.FilterData" localSheetId="1" hidden="1">IMPORTS!$A$1:$BV$796</definedName>
    <definedName name="Z_26170DC6_2809_4FD5_A3CD_30610754C100_.wvu.FilterData" localSheetId="1" hidden="1">IMPORTS!$A$1:$CC$1353</definedName>
    <definedName name="Z_26312307_E74E_41BC_A88A_7F5F7AA40EBD_.wvu.FilterData" localSheetId="1" hidden="1">IMPORTS!$A$1:$CC$1700</definedName>
    <definedName name="Z_2646E092_E7C2_439D_9433_77E6C7F040ED_.wvu.FilterData" localSheetId="1" hidden="1">IMPORTS!$A$1:$CC$1606</definedName>
    <definedName name="Z_2679C647_1DAC_4B36_BA5E_E0B095B4C9E4_.wvu.FilterData" localSheetId="1" hidden="1">IMPORTS!$A$1:$CC$1724</definedName>
    <definedName name="Z_26934E25_88E7_4A41_8060_3089D58DB1B1_.wvu.FilterData" localSheetId="1" hidden="1">IMPORTS!$A$1:$CF$1904</definedName>
    <definedName name="Z_269F283B_F23C_4C89_9A84_AB0754F00175_.wvu.FilterData" localSheetId="1" hidden="1">IMPORTS!$A$1:$CC$1439</definedName>
    <definedName name="Z_26ADC1A4_3D14_4598_B3AA_F7D052D8E8F7_.wvu.FilterData" localSheetId="1" hidden="1">IMPORTS!$A$1:$CC$1817</definedName>
    <definedName name="Z_26E1F45D_1AE2_460F_A84C_54F9F533EAC7_.wvu.FilterData" localSheetId="1" hidden="1">IMPORTS!$A$1:$CC$1886</definedName>
    <definedName name="Z_27101542_70E9_4FD6_A0E5_A5BC95913A43_.wvu.FilterData" localSheetId="1" hidden="1">IMPORTS!$A$1:$CC$1790</definedName>
    <definedName name="Z_2733F310_EBCF_458E_BB94_65F3F0CDEFB8_.wvu.FilterData" localSheetId="1" hidden="1">IMPORTS!$A$1:$CF$1903</definedName>
    <definedName name="Z_27511E9D_81C1_45CF_81D3_755352B70BD0_.wvu.FilterData" localSheetId="1" hidden="1">IMPORTS!$A$1:$CF$2011</definedName>
    <definedName name="Z_27511E9D_81C1_45CF_81D3_755352B70BD0_.wvu.FilterData" localSheetId="4" hidden="1">'INGRESOS OC''s'!$A$1:$N$381</definedName>
    <definedName name="Z_2754B589_9E9D_45E4_8CEC_1BBE58E16751_.wvu.FilterData" localSheetId="1" hidden="1">IMPORTS!$A$1:$CC$1820</definedName>
    <definedName name="Z_27A14314_E55B_43D3_87F9_916C104389F6_.wvu.FilterData" localSheetId="1" hidden="1">IMPORTS!$A$1:$CF$2011</definedName>
    <definedName name="Z_2817A1B9_20DC_4746_BE8D_B2F802FF7CE6_.wvu.FilterData" localSheetId="1" hidden="1">IMPORTS!$A$1:$CF$1903</definedName>
    <definedName name="Z_28CDB817_F51E_4F36_92FD_9F94F68B0645_.wvu.FilterData" localSheetId="1" hidden="1">IMPORTS!$A$1:$CC$1739</definedName>
    <definedName name="Z_28EFB2A0_12C1_442F_B0D2_2110F4E7C61E_.wvu.FilterData" localSheetId="1" hidden="1">IMPORTS!$A$1:$BV$807</definedName>
    <definedName name="Z_29520DCE_DB1A_4CC0_8787_9F9D007C0808_.wvu.FilterData" localSheetId="1" hidden="1">IMPORTS!$A$1:$BV$881</definedName>
    <definedName name="Z_29D6B730_1391_4CEA_BB90_50E573962FF8_.wvu.FilterData" localSheetId="1" hidden="1">IMPORTS!$A$1:$BV$807</definedName>
    <definedName name="Z_29DCE471_0182_4C84_AD9F_476CC31F8B66_.wvu.FilterData" localSheetId="1" hidden="1">IMPORTS!$A$1:$CF$2009</definedName>
    <definedName name="Z_29DCE471_0182_4C84_AD9F_476CC31F8B66_.wvu.FilterData" localSheetId="4" hidden="1">'INGRESOS OC''s'!$A$1:$N$381</definedName>
    <definedName name="Z_29EECDB0_5F03_428D_94E8_54D2ABC7A62E_.wvu.FilterData" localSheetId="1" hidden="1">IMPORTS!$A$1:$CC$1591</definedName>
    <definedName name="Z_29FA6F26_3AD1_44A4_B2F3_835C7A684D83_.wvu.FilterData" localSheetId="1" hidden="1">IMPORTS!$A$1:$CC$1504</definedName>
    <definedName name="Z_2A183AA5_B884_47D8_B7E0_34CCFA5C4AFA_.wvu.FilterData" localSheetId="1" hidden="1">IMPORTS!$A$1:$CF$1889</definedName>
    <definedName name="Z_2B459DD9_6A34_4C5E_9869_DEFFB764A170_.wvu.FilterData" localSheetId="1" hidden="1">IMPORTS!$A$1:$ARG$1893</definedName>
    <definedName name="Z_2B5EABD1_78AA_4C91_8D48_54DB3AA0E141_.wvu.FilterData" localSheetId="1" hidden="1">IMPORTS!$A$1:$CC$1672</definedName>
    <definedName name="Z_2BE7DE6B_37A2_4D5F_860B_7B00AC0C758E_.wvu.FilterData" localSheetId="1" hidden="1">IMPORTS!$A$1:$CC$1755</definedName>
    <definedName name="Z_2BF4B77D_8159_4325_968A_08BB3DF6302E_.wvu.FilterData" localSheetId="1" hidden="1">IMPORTS!$A$1:$CC$1582</definedName>
    <definedName name="Z_2BFA5CC5_B535_40D4_9DC4_8DC65916C1F9_.wvu.FilterData" localSheetId="1" hidden="1">IMPORTS!$A$1:$BV$1092</definedName>
    <definedName name="Z_2C1F4E6E_636A_42C5_ABA4_DFF9E81DC87B_.wvu.FilterData" localSheetId="1" hidden="1">IMPORTS!$A$1:$CC$1565</definedName>
    <definedName name="Z_2C3E79C0_06F9_48B5_894E_DF20EA005881_.wvu.FilterData" localSheetId="1" hidden="1">IMPORTS!$A$1:$BV$921</definedName>
    <definedName name="Z_2CA89762_C2E1_4525_BC81_5703E0536028_.wvu.FilterData" localSheetId="1" hidden="1">IMPORTS!$A$1:$CC$1845</definedName>
    <definedName name="Z_2CDA0A6A_738A_40F6_9EC8_21DFBE81AD8B_.wvu.FilterData" localSheetId="1" hidden="1">IMPORTS!$A$1:$BV$850</definedName>
    <definedName name="Z_2CE2A13B_36EA_4F51_B6E1_EAD4135E3197_.wvu.FilterData" localSheetId="1" hidden="1">IMPORTS!$A$1:$CC$1513</definedName>
    <definedName name="Z_2D50AD7A_FC8D_4076_81CD_C73689DD269F_.wvu.FilterData" localSheetId="1" hidden="1">IMPORTS!$A$1:$CC$1730</definedName>
    <definedName name="Z_2D582B9F_7903_48B3_BFC0_E24F99B1FAF0_.wvu.FilterData" localSheetId="1" hidden="1">IMPORTS!$A$1:$BV$807</definedName>
    <definedName name="Z_2D7B905D_6C85_4E4B_927C_5DB6B40D8AD8_.wvu.FilterData" localSheetId="1" hidden="1">IMPORTS!$A$1:$BV$759</definedName>
    <definedName name="Z_2D96DE58_0787_41F9_A8D4_C71B9C471DDB_.wvu.FilterData" localSheetId="1" hidden="1">IMPORTS!$A$1:$BV$807</definedName>
    <definedName name="Z_2E544950_5285_40E0_B563_DF979FD078C5_.wvu.FilterData" localSheetId="1" hidden="1">IMPORTS!$A$1:$CC$1247</definedName>
    <definedName name="Z_2E85B455_876E_44D8_9E3C_A33A9CCE3A57_.wvu.FilterData" localSheetId="1" hidden="1">IMPORTS!$A$1:$CC$1352</definedName>
    <definedName name="Z_2E94DD38_BE5A_4782_A0AA_2033206A5D18_.wvu.FilterData" localSheetId="1" hidden="1">IMPORTS!$A$1:$BV$1043</definedName>
    <definedName name="Z_2EB0123E_152A_496B_A69B_E0A0F1EA5350_.wvu.FilterData" localSheetId="1" hidden="1">IMPORTS!$A$1:$CC$1591</definedName>
    <definedName name="Z_2EE16EEA_A11E_4B86_BD71_146D18922946_.wvu.FilterData" localSheetId="1" hidden="1">IMPORTS!$A$1:$BV$796</definedName>
    <definedName name="Z_2EF70219_D129_471F_A3B7_7EE467F44682_.wvu.FilterData" localSheetId="1" hidden="1">IMPORTS!$A$1:$CC$1838</definedName>
    <definedName name="Z_2F226EDA_5B2F_4628_9873_7425EACD8515_.wvu.FilterData" localSheetId="1" hidden="1">IMPORTS!$A$1:$CC$1558</definedName>
    <definedName name="Z_2F640252_8F8A_4550_AECA_F5276DA6E7D3_.wvu.FilterData" localSheetId="1" hidden="1">IMPORTS!$A$1:$CF$1955</definedName>
    <definedName name="Z_300268DB_7191_42D2_8F6A_1C4ABCBB10AC_.wvu.FilterData" localSheetId="1" hidden="1">IMPORTS!$A$1:$CC$1545</definedName>
    <definedName name="Z_3033B2FA_2F55_4CB2_8154_7BB2B98D0535_.wvu.FilterData" localSheetId="1" hidden="1">IMPORTS!$A$1:$CC$1660</definedName>
    <definedName name="Z_30FAA20E_73D6_439B_890D_FD72E282502C_.wvu.FilterData" localSheetId="1" hidden="1">IMPORTS!$A$1:$CC$1878</definedName>
    <definedName name="Z_314E032A_F2FB_49BB_8DBE_20A2FBA05BDB_.wvu.FilterData" localSheetId="1" hidden="1">IMPORTS!$A$1:$CC$1389</definedName>
    <definedName name="Z_3179C1FE_7233_49DD_8A9E_C4305F5F9958_.wvu.FilterData" localSheetId="1" hidden="1">IMPORTS!$A$1:$CC$1879</definedName>
    <definedName name="Z_318E50EF_9E2C_45D3_B122_6C171139727E_.wvu.FilterData" localSheetId="1" hidden="1">IMPORTS!$A$1:$CF$2009</definedName>
    <definedName name="Z_31A1854A_2D40_4927_B0A4_14CA73AF87EE_.wvu.FilterData" localSheetId="1" hidden="1">IMPORTS!$A$1:$CC$1439</definedName>
    <definedName name="Z_31CDD505_A57E_43FB_AA94_30C6CAFF5311_.wvu.FilterData" localSheetId="1" hidden="1">IMPORTS!$A$1:$BV$749</definedName>
    <definedName name="Z_31CE9202_C33B_4845_B2F9_74A92DA0A074_.wvu.FilterData" localSheetId="1" hidden="1">IMPORTS!$A$1:$BV$733</definedName>
    <definedName name="Z_32373E64_7E62_4E9B_B52D_5F2D3D9004BC_.wvu.FilterData" localSheetId="1" hidden="1">IMPORTS!$A$1:$CF$1903</definedName>
    <definedName name="Z_3298066B_6E65_40E9_A78F_2B58D6FB8F50_.wvu.FilterData" localSheetId="1" hidden="1">IMPORTS!$A$1:$BV$732</definedName>
    <definedName name="Z_32AD2FAC_E13C_42B4_AF07_7279F3BCBAFD_.wvu.FilterData" localSheetId="1" hidden="1">IMPORTS!$A$1:$CF$1903</definedName>
    <definedName name="Z_330BB27D_1C6D_4087_A7CB_A2AB8707EE53_.wvu.FilterData" localSheetId="1" hidden="1">IMPORTS!$A$1:$CC$1545</definedName>
    <definedName name="Z_333FB0FD_22EE_4460_BD9A_D1835BEDF8F8_.wvu.FilterData" localSheetId="1" hidden="1">IMPORTS!$A$1:$CC$1558</definedName>
    <definedName name="Z_3355C1F9_49C4_4783_9D5C_F724B5EC92B0_.wvu.FilterData" localSheetId="1" hidden="1">IMPORTS!$A$1:$CC$1247</definedName>
    <definedName name="Z_3379D9EA_DEB3_4E02_8297_FE49300CAC5F_.wvu.FilterData" localSheetId="1" hidden="1">IMPORTS!$A$1:$CC$1353</definedName>
    <definedName name="Z_33806218_1791_4801_BDBF_1AF6193E4713_.wvu.FilterData" localSheetId="1" hidden="1">IMPORTS!$A$1:$CC$1247</definedName>
    <definedName name="Z_338D1401_D478_48A5_952E_D974244180E3_.wvu.FilterData" localSheetId="1" hidden="1">IMPORTS!$A$1:$CC$1582</definedName>
    <definedName name="Z_340F5CA7_BD71_4AFA_BF0A_AA4D939B3A51_.wvu.FilterData" localSheetId="1" hidden="1">IMPORTS!$A$1:$CC$1672</definedName>
    <definedName name="Z_34293E13_BCA6_452B_BB87_67004FC4487C_.wvu.FilterData" localSheetId="1" hidden="1">IMPORTS!$A$1:$BV$1142</definedName>
    <definedName name="Z_34FD1B53_4C36_47FB_AB68_7784745D6221_.wvu.FilterData" localSheetId="1" hidden="1">IMPORTS!$A$1:$CC$1758</definedName>
    <definedName name="Z_3548873B_1778_4578_B5F2_825CF385E76A_.wvu.FilterData" localSheetId="1" hidden="1">IMPORTS!$A$1:$BV$769</definedName>
    <definedName name="Z_356D5826_3C27_4FBA_8F77_E88943E0C4B5_.wvu.FilterData" localSheetId="1" hidden="1">IMPORTS!$A$1:$CC$1353</definedName>
    <definedName name="Z_357A2C87_8B92_4BC5_B726_126D907A6615_.wvu.FilterData" localSheetId="1" hidden="1">IMPORTS!$A$1:$CC$1545</definedName>
    <definedName name="Z_35CD110C_B72E_443B_9AE5_C336375B377E_.wvu.FilterData" localSheetId="1" hidden="1">IMPORTS!$A$1:$CC$1575</definedName>
    <definedName name="Z_35D94FA9_5B28_4A13_86A8_8F6C9738D0C0_.wvu.FilterData" localSheetId="1" hidden="1">IMPORTS!$A$1:$CC$1247</definedName>
    <definedName name="Z_36020657_3475_433B_A889_A1E47F043C90_.wvu.FilterData" localSheetId="1" hidden="1">IMPORTS!$A$1:$BV$769</definedName>
    <definedName name="Z_3612474A_8A76_4953_A9CF_14822F6CDCCA_.wvu.FilterData" localSheetId="1" hidden="1">IMPORTS!$A$1:$CF$2011</definedName>
    <definedName name="Z_365494D4_8ACF_4218_B5E0_EF88F3634334_.wvu.FilterData" localSheetId="1" hidden="1">IMPORTS!$A$1:$CC$1582</definedName>
    <definedName name="Z_369A243A_0DB1_4B93_828C_0E678A0947D0_.wvu.FilterData" localSheetId="1" hidden="1">IMPORTS!$A$1:$CF$1911</definedName>
    <definedName name="Z_3707EFF7_3977_46B1_892E_BBE4D4F45104_.wvu.FilterData" localSheetId="1" hidden="1">IMPORTS!$A$1:$CC$1353</definedName>
    <definedName name="Z_371A2A77_63F1_4124_920B_75BCD8D4AF49_.wvu.Cols" localSheetId="7" hidden="1">ABC!$D:$D</definedName>
    <definedName name="Z_371A2A77_63F1_4124_920B_75BCD8D4AF49_.wvu.Cols" localSheetId="4" hidden="1">'INGRESOS OC''s'!$N:$N</definedName>
    <definedName name="Z_371A2A77_63F1_4124_920B_75BCD8D4AF49_.wvu.FilterData" localSheetId="6" hidden="1">'FAM-CLASS'!$A$1:$C$151</definedName>
    <definedName name="Z_371A2A77_63F1_4124_920B_75BCD8D4AF49_.wvu.FilterData" localSheetId="1" hidden="1">IMPORTS!$A$1:$CF$1933</definedName>
    <definedName name="Z_371A2A77_63F1_4124_920B_75BCD8D4AF49_.wvu.FilterData" localSheetId="4" hidden="1">'INGRESOS OC''s'!$A$1:$O$331</definedName>
    <definedName name="Z_37918C6B_A9FF_4D9E_B4A2_374187062191_.wvu.FilterData" localSheetId="1" hidden="1">IMPORTS!$A$1:$CC$1845</definedName>
    <definedName name="Z_37979DBB_A630_4746_B11E_7E1D72BB6494_.wvu.FilterData" localSheetId="1" hidden="1">IMPORTS!$A$1:$CC$1766</definedName>
    <definedName name="Z_379BB87B_9CCD_4541_B2A1_4B728AF3EE1F_.wvu.FilterData" localSheetId="1" hidden="1">IMPORTS!$A$1:$CF$1933</definedName>
    <definedName name="Z_379BB87B_9CCD_4541_B2A1_4B728AF3EE1F_.wvu.FilterData" localSheetId="4" hidden="1">'INGRESOS OC''s'!$A$1:$N$331</definedName>
    <definedName name="Z_37A19613_9A99_42A2_8B1A_E194CFA1C185_.wvu.FilterData" localSheetId="1" hidden="1">IMPORTS!$A$1:$CC$1888</definedName>
    <definedName name="Z_37F224BF_9C1F_491B_BE0A_BF45716904D8_.wvu.FilterData" localSheetId="1" hidden="1">IMPORTS!$A$1:$CC$1724</definedName>
    <definedName name="Z_38F335EE_9F0E_4DCB_A18F_365B3260FD4A_.wvu.FilterData" localSheetId="1" hidden="1">IMPORTS!$A$1:$BV$1092</definedName>
    <definedName name="Z_38F50B4D_A37A_4B79_962F_840A9EF2F9AA_.wvu.FilterData" localSheetId="1" hidden="1">IMPORTS!$A$1:$CC$1439</definedName>
    <definedName name="Z_39083613_E3AA_4EF0_B70E_CBA383E6B111_.wvu.FilterData" localSheetId="1" hidden="1">IMPORTS!$A$1:$CC$1633</definedName>
    <definedName name="Z_39225297_9E41_40A2_8755_3A04483F0907_.wvu.FilterData" localSheetId="1" hidden="1">IMPORTS!$A$1:$CC$1556</definedName>
    <definedName name="Z_3946108E_6034_41E8_9A29_BA64011955E0_.wvu.FilterData" localSheetId="1" hidden="1">IMPORTS!$A$1:$CC$1293</definedName>
    <definedName name="Z_39796664_641E_4D01_A8CA_FD8952520195_.wvu.FilterData" localSheetId="1" hidden="1">IMPORTS!$A$1:$CF$1930</definedName>
    <definedName name="Z_397DB85F_1CBA_4375_8C54_C5D76BF6B0DA_.wvu.FilterData" localSheetId="1" hidden="1">IMPORTS!$A$1:$CC$1672</definedName>
    <definedName name="Z_39843EA0_34F2_47AF_926B_3EAD8B896547_.wvu.FilterData" localSheetId="1" hidden="1">IMPORTS!$A$1:$CC$1535</definedName>
    <definedName name="Z_39BC6DE3_9FA2_4BB6_8F85_290094ABEB7C_.wvu.FilterData" localSheetId="1" hidden="1">IMPORTS!$A$1:$BV$796</definedName>
    <definedName name="Z_3A30D055_BC9A_4A1A_A938_C1188E8DC996_.wvu.FilterData" localSheetId="1" hidden="1">IMPORTS!$A$1:$CC$1591</definedName>
    <definedName name="Z_3A4DDDAE_CF7E_44B9_BC6A_54AE62514BAC_.wvu.FilterData" localSheetId="1" hidden="1">IMPORTS!$A$1:$BV$921</definedName>
    <definedName name="Z_3A8D5BB5_D03B_4619_B335_42F374755B27_.wvu.FilterData" localSheetId="1" hidden="1">IMPORTS!$A$1:$BV$1034</definedName>
    <definedName name="Z_3ABA0FDC_801C_4A88_BCD9_8A65F1B0FED7_.wvu.FilterData" localSheetId="1" hidden="1">IMPORTS!$A$1:$BV$1217</definedName>
    <definedName name="Z_3AC55A1A_01B0_4A37_9EA8_3464F27D11CA_.wvu.FilterData" localSheetId="1" hidden="1">IMPORTS!$A$1:$BV$1092</definedName>
    <definedName name="Z_3AED3352_1813_42FB_AD00_B0300DBB9DDD_.wvu.FilterData" localSheetId="6" hidden="1">'FAM-CLASS'!$A$1:$D$144</definedName>
    <definedName name="Z_3AED3352_1813_42FB_AD00_B0300DBB9DDD_.wvu.FilterData" localSheetId="1" hidden="1">IMPORTS!$A$1:$CC$1821</definedName>
    <definedName name="Z_3AED3352_1813_42FB_AD00_B0300DBB9DDD_.wvu.FilterData" localSheetId="4" hidden="1">'INGRESOS OC''s'!$A$1:$N$169</definedName>
    <definedName name="Z_3AF1C48A_3B57_449D_A7DB_9B9C11B509FE_.wvu.FilterData" localSheetId="1" hidden="1">IMPORTS!$A$1:$CF$1968</definedName>
    <definedName name="Z_3B264AA8_C5A3_4CF6_81E6_27AEB69A0719_.wvu.FilterData" localSheetId="1" hidden="1">IMPORTS!$A$1:$CC$1353</definedName>
    <definedName name="Z_3B2FCBED_EB48_49A5_8895_4B2E4B74D8D8_.wvu.FilterData" localSheetId="1" hidden="1">IMPORTS!$A$1:$BV$1006</definedName>
    <definedName name="Z_3B782641_7E5D_44D5_B813_F221C78D0EF4_.wvu.FilterData" localSheetId="1" hidden="1">IMPORTS!$A$1:$CC$1741</definedName>
    <definedName name="Z_3BA7C8A4_E776_44AC_82B0_6B3885F9B849_.wvu.FilterData" localSheetId="1" hidden="1">IMPORTS!$A$1:$BV$850</definedName>
    <definedName name="Z_3BA92093_8C5C_4818_B490_F7CB4B3EBBB0_.wvu.FilterData" localSheetId="1" hidden="1">IMPORTS!$A$1:$CF$1933</definedName>
    <definedName name="Z_3BA92093_8C5C_4818_B490_F7CB4B3EBBB0_.wvu.FilterData" localSheetId="4" hidden="1">'INGRESOS OC''s'!$A$1:$N$331</definedName>
    <definedName name="Z_3BE6E0E9_2BE7_4055_A322_56E9C46E0638_.wvu.FilterData" localSheetId="1" hidden="1">IMPORTS!$A$1:$BV$807</definedName>
    <definedName name="Z_3C06C102_C229_4B18_8A32_D34938AB51EC_.wvu.FilterData" localSheetId="1" hidden="1">IMPORTS!$A$1:$BV$807</definedName>
    <definedName name="Z_3C0F1983_941D_4358_8622_F498FF04CE7F_.wvu.FilterData" localSheetId="1" hidden="1">IMPORTS!$A$1:$CC$1293</definedName>
    <definedName name="Z_3C254287_CED5_4493_ACA7_897F514C79AD_.wvu.FilterData" localSheetId="1" hidden="1">IMPORTS!$A$1:$BV$1032</definedName>
    <definedName name="Z_3C2DE61C_8059_496E_8575_187976FBC366_.wvu.FilterData" localSheetId="1" hidden="1">IMPORTS!$A$1:$CC$1504</definedName>
    <definedName name="Z_3C43F03B_A962_4D9E_A389_6A4E3F0C8A64_.wvu.FilterData" localSheetId="1" hidden="1">IMPORTS!$A$1:$CC$1277</definedName>
    <definedName name="Z_3C47313E_40D6_436A_BD1C_B97C47423C67_.wvu.FilterData" localSheetId="1" hidden="1">IMPORTS!$A$1:$CC$1878</definedName>
    <definedName name="Z_3CB95314_77AF_4B8C_992D_C59E556F5AFE_.wvu.FilterData" localSheetId="1" hidden="1">IMPORTS!$A$1:$CC$1542</definedName>
    <definedName name="Z_3CCF1903_CF55_4843_8990_3F62C37E1722_.wvu.FilterData" localSheetId="1" hidden="1">IMPORTS!$A$1:$CC$1779</definedName>
    <definedName name="Z_3CD21C29_5E55_401C_8640_D9CFFF0C6B63_.wvu.FilterData" localSheetId="1" hidden="1">IMPORTS!$A$1:$CF$1933</definedName>
    <definedName name="Z_3CD21C29_5E55_401C_8640_D9CFFF0C6B63_.wvu.FilterData" localSheetId="4" hidden="1">'INGRESOS OC''s'!$A$1:$N$331</definedName>
    <definedName name="Z_3CDA3C59_F364_45D5_9AA9_9C2C207D871F_.wvu.FilterData" localSheetId="1" hidden="1">IMPORTS!$A$1:$CC$1756</definedName>
    <definedName name="Z_3D0D3C63_F852_43AF_83B4_79B243FBE62C_.wvu.FilterData" localSheetId="1" hidden="1">IMPORTS!$A$1:$CF$1889</definedName>
    <definedName name="Z_3D78769E_DBFD_4448_AA4D_351FD8A8408A_.wvu.FilterData" localSheetId="1" hidden="1">IMPORTS!$A$1:$CC$1668</definedName>
    <definedName name="Z_3D80E783_7290_46D3_88A7_7FA71FC2636A_.wvu.FilterData" localSheetId="1" hidden="1">IMPORTS!$A$1:$BV$1058</definedName>
    <definedName name="Z_3DB40336_15C3_45D6_8DDD_DF6BE13A5FE1_.wvu.FilterData" localSheetId="1" hidden="1">IMPORTS!$A$1:$CC$1269</definedName>
    <definedName name="Z_3E0DE373_5BF0_4AB2_9515_B9A2BC7F4E69_.wvu.FilterData" localSheetId="1" hidden="1">IMPORTS!$A$1:$CC$1724</definedName>
    <definedName name="Z_3E52D69D_AFE9_4609_BBCA_50792943F1E8_.wvu.FilterData" localSheetId="1" hidden="1">IMPORTS!$A$1:$BV$850</definedName>
    <definedName name="Z_3E6916B9_5EC2_4BC5_AEC7_40D21C2A95A8_.wvu.FilterData" localSheetId="1" hidden="1">IMPORTS!$A$1:$CC$1700</definedName>
    <definedName name="Z_3EA5A9B1_66CC_4A46_9EAE_AE58676B52AB_.wvu.FilterData" localSheetId="1" hidden="1">IMPORTS!$A$1:$CF$1933</definedName>
    <definedName name="Z_3EA5A9B1_66CC_4A46_9EAE_AE58676B52AB_.wvu.FilterData" localSheetId="4" hidden="1">'INGRESOS OC''s'!$A$1:$N$331</definedName>
    <definedName name="Z_3EBD0A96_907C_4E22_A520_FD86C3EEC758_.wvu.FilterData" localSheetId="1" hidden="1">IMPORTS!$A$1:$CF$1957</definedName>
    <definedName name="Z_3EDD5216_5E76_4F85_A6D6_838FE48DD77B_.wvu.FilterData" localSheetId="1" hidden="1">IMPORTS!$A$1:$CF$1902</definedName>
    <definedName name="Z_3F240727_4DDE_4C56_9A04_A1EF26D4F5D0_.wvu.FilterData" localSheetId="1" hidden="1">IMPORTS!$A$1:$CC$1558</definedName>
    <definedName name="Z_3F54AF41_9EBB_471B_BEA6_65A4587A5A77_.wvu.FilterData" localSheetId="1" hidden="1">IMPORTS!$A$1:$CF$1980</definedName>
    <definedName name="Z_3FAD4710_33F7_4A04_ACCB_46DCAF58AE69_.wvu.FilterData" localSheetId="1" hidden="1">IMPORTS!$A$1:$BV$1217</definedName>
    <definedName name="Z_405B38B8_E1B1_4471_81C1_C1E021A3F962_.wvu.FilterData" localSheetId="1" hidden="1">IMPORTS!$A$1:$CC$1850</definedName>
    <definedName name="Z_4098DAFE_1700_46E3_94FC_8B79F2DE6EE7_.wvu.FilterData" localSheetId="1" hidden="1">IMPORTS!$A$1:$CC$1217</definedName>
    <definedName name="Z_409DE63C_B87C_4B81_AD27_EB99162F9C06_.wvu.FilterData" localSheetId="1" hidden="1">IMPORTS!$A$1:$BV$1094</definedName>
    <definedName name="Z_40C0DD58_D9C5_4B55_A1C4_30D7F31A5520_.wvu.FilterData" localSheetId="6" hidden="1">'FAM-CLASS'!$A$1:$D$139</definedName>
    <definedName name="Z_40C0DD58_D9C5_4B55_A1C4_30D7F31A5520_.wvu.FilterData" localSheetId="1" hidden="1">IMPORTS!$A$1:$BV$1034</definedName>
    <definedName name="Z_40D356D0_D2CD_4560_9DC4_4BEA81954BBD_.wvu.FilterData" localSheetId="1" hidden="1">IMPORTS!$A$1:$CF$2009</definedName>
    <definedName name="Z_412F26CD_DC84_4C61_8BD9_A12A5EAF7F11_.wvu.FilterData" localSheetId="1" hidden="1">IMPORTS!$A$1:$CC$1880</definedName>
    <definedName name="Z_412F26CD_DC84_4C61_8BD9_A12A5EAF7F11_.wvu.FilterData" localSheetId="4" hidden="1">'INGRESOS OC''s'!$A$1:$N$266</definedName>
    <definedName name="Z_4174920C_5442_45DB_ACC7_E1B5F2CEE8B3_.wvu.FilterData" localSheetId="1" hidden="1">IMPORTS!$A$1:$CC$1821</definedName>
    <definedName name="Z_4178EB49_A3BD_4141_87C7_6A2D805BB6EF_.wvu.FilterData" localSheetId="1" hidden="1">IMPORTS!$A$1:$BV$732</definedName>
    <definedName name="Z_418DA808_E945_425D_8DB9_1846494DF401_.wvu.FilterData" localSheetId="1" hidden="1">IMPORTS!$A$1:$CC$1724</definedName>
    <definedName name="Z_419DA2A3_C6C6_4B53_9216_36FFD7DC2BA7_.wvu.FilterData" localSheetId="1" hidden="1">IMPORTS!$A$1:$CC$1293</definedName>
    <definedName name="Z_41B6D28E_4574_449D_8B1A_79C4B751BA81_.wvu.FilterData" localSheetId="1" hidden="1">IMPORTS!$A$1:$CC$1353</definedName>
    <definedName name="Z_41C5432E_729A_473F_B854_C0BB8134B551_.wvu.FilterData" localSheetId="1" hidden="1">IMPORTS!$A$1:$CC$1815</definedName>
    <definedName name="Z_41C5432E_729A_473F_B854_C0BB8134B551_.wvu.FilterData" localSheetId="4" hidden="1">'INGRESOS OC''s'!$A$1:$N$166</definedName>
    <definedName name="Z_4243799D_C0EE_440B_BE72_CF15D34AB149_.wvu.FilterData" localSheetId="1" hidden="1">IMPORTS!$A$1:$BV$796</definedName>
    <definedName name="Z_42603E43_EBA7_4987_BC36_29E4B11C17B4_.wvu.FilterData" localSheetId="1" hidden="1">IMPORTS!$A$1:$CC$1542</definedName>
    <definedName name="Z_429B105F_68AA_45BB_AA87_7FD7C986C86F_.wvu.FilterData" localSheetId="1" hidden="1">IMPORTS!$A$1:$CF$1903</definedName>
    <definedName name="Z_42CFDF68_98B6_47B9_A9AB_F6FF8D523C4C_.wvu.FilterData" localSheetId="1" hidden="1">IMPORTS!$A$1:$BV$1032</definedName>
    <definedName name="Z_42D382F9_F912_40F7_AF80_7635455BE273_.wvu.FilterData" localSheetId="1" hidden="1">IMPORTS!$A$1:$CC$1605</definedName>
    <definedName name="Z_42E202B4_CF6C_446B_A22B_A7106241FF3E_.wvu.FilterData" localSheetId="1" hidden="1">IMPORTS!$A$1:$CC$1472</definedName>
    <definedName name="Z_435B7715_9FDD_4C0C_B573_526A7A2305C5_.wvu.FilterData" localSheetId="1" hidden="1">IMPORTS!$A$1:$CF$1933</definedName>
    <definedName name="Z_4391AE7B_61C4_4775_A35C_75CD508BB3B6_.wvu.FilterData" localSheetId="1" hidden="1">IMPORTS!$A$1:$BV$769</definedName>
    <definedName name="Z_43CE3719_E019_425A_BA12_EBE248346A15_.wvu.FilterData" localSheetId="1" hidden="1">IMPORTS!$A$1:$CF$2011</definedName>
    <definedName name="Z_43E1FCE3_2C43_4D05_9FFF_1604CE6E41F4_.wvu.FilterData" localSheetId="1" hidden="1">IMPORTS!$A$1:$CC$1439</definedName>
    <definedName name="Z_4406AA44_8F8D_4731_ACE9_DA28D9B4007E_.wvu.FilterData" localSheetId="1" hidden="1">IMPORTS!$A$1:$CC$1826</definedName>
    <definedName name="Z_4406AA44_8F8D_4731_ACE9_DA28D9B4007E_.wvu.FilterData" localSheetId="4" hidden="1">'INGRESOS OC''s'!$A$1:$N$186</definedName>
    <definedName name="Z_4427F41E_F6A5_42DC_9713_4C1AE4BF59AE_.wvu.FilterData" localSheetId="1" hidden="1">IMPORTS!$A$1:$CC$1558</definedName>
    <definedName name="Z_44574E3C_7808_4E25_B826_F2657E1C0EAB_.wvu.FilterData" localSheetId="1" hidden="1">IMPORTS!$A$1:$CC$1810</definedName>
    <definedName name="Z_4463924D_2D0D_44BF_9FBB_2D04826A03A5_.wvu.FilterData" localSheetId="1" hidden="1">IMPORTS!$A$1:$CC$1293</definedName>
    <definedName name="Z_4478E110_20A2_4E78_AAAF_81FC56623870_.wvu.FilterData" localSheetId="1" hidden="1">IMPORTS!$A$1:$CF$2011</definedName>
    <definedName name="Z_44B33BCC_068E_43A6_8623_996C6A4E072B_.wvu.FilterData" localSheetId="1" hidden="1">IMPORTS!$A$1:$CC$1658</definedName>
    <definedName name="Z_44BABEA1_7588_4545_B733_F28A62B1FDC0_.wvu.FilterData" localSheetId="1" hidden="1">IMPORTS!$A$1:$CF$2005</definedName>
    <definedName name="Z_44BEFBD9_0ADA_44E5_90C1_15F029C4E87B_.wvu.FilterData" localSheetId="1" hidden="1">IMPORTS!$A$1:$CC$1811</definedName>
    <definedName name="Z_452DEF9A_27AE_4454_ACEA_66E72F763889_.wvu.FilterData" localSheetId="1" hidden="1">IMPORTS!$A$1:$BV$807</definedName>
    <definedName name="Z_457600C0_E7ED_4A99_B4EA_DCA4F1D0DB8B_.wvu.FilterData" localSheetId="1" hidden="1">IMPORTS!$A$1:$CC$1888</definedName>
    <definedName name="Z_4585809C_9CDA_4F6B_8CB7_6ED03BDFB62B_.wvu.FilterData" localSheetId="1" hidden="1">IMPORTS!$A$1:$CC$1811</definedName>
    <definedName name="Z_45F720DB_6F64_466A_8C15_1523C48E0BA5_.wvu.FilterData" localSheetId="1" hidden="1">IMPORTS!$A$1:$CC$1604</definedName>
    <definedName name="Z_46766B52_03AE_49F8_B078_61E3FCC52E6C_.wvu.FilterData" localSheetId="1" hidden="1">IMPORTS!$A$1:$BV$1121</definedName>
    <definedName name="Z_46802EA7_73FA_4630_AE88_B23CB202486D_.wvu.FilterData" localSheetId="1" hidden="1">IMPORTS!$A$1:$CC$1541</definedName>
    <definedName name="Z_46AC65A1_3919_4BCD_B683_DC00A156FDC5_.wvu.FilterData" localSheetId="1" hidden="1">IMPORTS!$A$1:$CC$1850</definedName>
    <definedName name="Z_46E6DBDF_A899_4E73_A837_CA91EFD88E10_.wvu.FilterData" localSheetId="1" hidden="1">IMPORTS!$A$1:$CC$1293</definedName>
    <definedName name="Z_475681C3_F41D_48A9_8D42_B0F5ACB5B82C_.wvu.FilterData" localSheetId="1" hidden="1">IMPORTS!$A$1:$CF$2006</definedName>
    <definedName name="Z_479C959E_0540_4D2B_BEE2_2AEE10C5558D_.wvu.FilterData" localSheetId="1" hidden="1">IMPORTS!$A$1:$CC$1352</definedName>
    <definedName name="Z_47A22389_52D8_40F4_932D_E345CCA21D87_.wvu.FilterData" localSheetId="1" hidden="1">IMPORTS!$A$1:$BV$732</definedName>
    <definedName name="Z_47CD6164_035A_49E7_A593_0A4D4C8E33B4_.wvu.FilterData" localSheetId="1" hidden="1">IMPORTS!$A$1:$CC$1353</definedName>
    <definedName name="Z_47D2E9DB_A54A_4118_A0C7_C9C4213DA503_.wvu.FilterData" localSheetId="1" hidden="1">IMPORTS!$A$1:$CF$1953</definedName>
    <definedName name="Z_47D365F7_A5C0_4967_9195_712416C433A6_.wvu.Cols" localSheetId="7" hidden="1">ABC!$D:$D</definedName>
    <definedName name="Z_47D365F7_A5C0_4967_9195_712416C433A6_.wvu.Cols" localSheetId="1" hidden="1">IMPORTS!$R:$Y,IMPORTS!$AC:$AP,IMPORTS!$BO:$BU</definedName>
    <definedName name="Z_47D365F7_A5C0_4967_9195_712416C433A6_.wvu.Cols" localSheetId="4" hidden="1">'INGRESOS OC''s'!$N:$N</definedName>
    <definedName name="Z_47D365F7_A5C0_4967_9195_712416C433A6_.wvu.FilterData" localSheetId="6" hidden="1">'FAM-CLASS'!$A$1:$C$151</definedName>
    <definedName name="Z_47D365F7_A5C0_4967_9195_712416C433A6_.wvu.FilterData" localSheetId="1" hidden="1">IMPORTS!$A$1:$CD$1930</definedName>
    <definedName name="Z_47D365F7_A5C0_4967_9195_712416C433A6_.wvu.FilterData" localSheetId="4" hidden="1">'INGRESOS OC''s'!$A$1:$N$331</definedName>
    <definedName name="Z_47EC566C_C52C_4294_B024_9F12D7BECEA2_.wvu.FilterData" localSheetId="1" hidden="1">IMPORTS!$A$1:$CC$1504</definedName>
    <definedName name="Z_48ED2C26_594B_425E_B67E_687B705D51A8_.wvu.FilterData" localSheetId="1" hidden="1">IMPORTS!$A$1:$CC$1807</definedName>
    <definedName name="Z_490F5D35_97C6_45E2_A9AF_1D4F5D9734A9_.wvu.FilterData" localSheetId="1" hidden="1">IMPORTS!$A$1:$BV$1121</definedName>
    <definedName name="Z_498F950A_284B_4B7A_9B00_46A2CF82C173_.wvu.FilterData" localSheetId="6" hidden="1">'FAM-CLASS'!$A$1:$D$144</definedName>
    <definedName name="Z_498F950A_284B_4B7A_9B00_46A2CF82C173_.wvu.FilterData" localSheetId="1" hidden="1">IMPORTS!$A$1:$CC$1541</definedName>
    <definedName name="Z_49936A17_0972_4B72_82D7_95040428AC50_.wvu.FilterData" localSheetId="1" hidden="1">IMPORTS!$A$1:$BV$807</definedName>
    <definedName name="Z_49B44AAE_7ADA_4963_B1E4_7B2782C935E7_.wvu.FilterData" localSheetId="1" hidden="1">IMPORTS!$A$1:$CF$2006</definedName>
    <definedName name="Z_49BA57A7_ECE3_4CF7_B2E0_B6AA4795A354_.wvu.FilterData" localSheetId="1" hidden="1">IMPORTS!$A$1:$BV$1092</definedName>
    <definedName name="Z_49CAC1A8_36A6_413F_9CEE_67F39D58245E_.wvu.FilterData" localSheetId="1" hidden="1">IMPORTS!$A$1:$CC$1739</definedName>
    <definedName name="Z_49CCDA21_73B8_4A1B_B7FF_FB055F48F4D6_.wvu.FilterData" localSheetId="1" hidden="1">IMPORTS!$A$1:$BV$881</definedName>
    <definedName name="Z_49E1BDA4_571A_4E20_AD24_AF3B78BBE0CA_.wvu.FilterData" localSheetId="1" hidden="1">IMPORTS!$A$1:$BV$769</definedName>
    <definedName name="Z_49F08520_9D55_4669_904F_FCC3B78183BE_.wvu.Cols" localSheetId="7" hidden="1">ABC!$D:$D</definedName>
    <definedName name="Z_49F08520_9D55_4669_904F_FCC3B78183BE_.wvu.Cols" localSheetId="4" hidden="1">'INGRESOS OC''s'!$N:$N</definedName>
    <definedName name="Z_49F08520_9D55_4669_904F_FCC3B78183BE_.wvu.FilterData" localSheetId="6" hidden="1">'FAM-CLASS'!$A$1:$C$151</definedName>
    <definedName name="Z_49F08520_9D55_4669_904F_FCC3B78183BE_.wvu.FilterData" localSheetId="1" hidden="1">IMPORTS!$A$1:$CG$2006</definedName>
    <definedName name="Z_49F08520_9D55_4669_904F_FCC3B78183BE_.wvu.FilterData" localSheetId="4" hidden="1">'INGRESOS OC''s'!$A$1:$N$333</definedName>
    <definedName name="Z_4A0CE2D5_EDF0_4A85_A484_ECFC0A5B3BB6_.wvu.FilterData" localSheetId="1" hidden="1">IMPORTS!$A$1:$BV$1034</definedName>
    <definedName name="Z_4A886A9B_C141_41CB_9889_E435F37FB6B0_.wvu.FilterData" localSheetId="1" hidden="1">IMPORTS!$A$1:$CC$1722</definedName>
    <definedName name="Z_4B1C0426_115F_4D37_80CE_E0CB6665ADC7_.wvu.FilterData" localSheetId="1" hidden="1">IMPORTS!$A$1:$CC$1439</definedName>
    <definedName name="Z_4B372333_F99E_489B_B89C_F9B97E3A9142_.wvu.FilterData" localSheetId="1" hidden="1">IMPORTS!$A$1:$BV$769</definedName>
    <definedName name="Z_4C024D44_5D47_438B_9A0D_317F025E2279_.wvu.FilterData" localSheetId="1" hidden="1">IMPORTS!$A$1:$CC$1817</definedName>
    <definedName name="Z_4C249CC2_104A_4DF1_A4A7_8EA3F7D098DC_.wvu.FilterData" localSheetId="1" hidden="1">IMPORTS!$A$1:$CF$1904</definedName>
    <definedName name="Z_4C4E8547_8A38_4B3D_B901_C12D7CD8E2E8_.wvu.FilterData" localSheetId="1" hidden="1">IMPORTS!$A$1:$BV$807</definedName>
    <definedName name="Z_4C69CEE6_C869_4EAB_AA94_F55A195A4A18_.wvu.FilterData" localSheetId="1" hidden="1">IMPORTS!$A$1:$CC$1781</definedName>
    <definedName name="Z_4C69CEE6_C869_4EAB_AA94_F55A195A4A18_.wvu.FilterData" localSheetId="4" hidden="1">'INGRESOS OC''s'!$A$1:$N$140</definedName>
    <definedName name="Z_4C7C538B_BB3F_4F6B_9123_4E28E9752C6C_.wvu.FilterData" localSheetId="1" hidden="1">IMPORTS!$A$1:$CC$1439</definedName>
    <definedName name="Z_4CBA0AF6_964A_4FC8_87E6_9B49297213D8_.wvu.FilterData" localSheetId="1" hidden="1">IMPORTS!$A$1:$CF$2006</definedName>
    <definedName name="Z_4CCC82CF_A7A5_4BA6_B688_FB3A82F09B6D_.wvu.FilterData" localSheetId="1" hidden="1">IMPORTS!$A$1:$CC$1591</definedName>
    <definedName name="Z_4CE4F77A_102B_4F33_BA04_67C96BE65439_.wvu.FilterData" localSheetId="1" hidden="1">IMPORTS!$A$1:$CC$1542</definedName>
    <definedName name="Z_4D01ECB0_5E9C_4C99_BA1B_48A95EFDCBBE_.wvu.FilterData" localSheetId="1" hidden="1">IMPORTS!$A$1:$CC$1888</definedName>
    <definedName name="Z_4D06FA78_9943_476B_A652_96AD6D2457F7_.wvu.FilterData" localSheetId="1" hidden="1">IMPORTS!$A$1:$BV$732</definedName>
    <definedName name="Z_4D3A2D43_D479_412E_86D0_204656BBB3D9_.wvu.FilterData" localSheetId="1" hidden="1">IMPORTS!$A$1:$CC$1542</definedName>
    <definedName name="Z_4D5CD9C2_5539_42AC_A4A0_AC4B0FBDE0F7_.wvu.FilterData" localSheetId="1" hidden="1">IMPORTS!$A$1:$CC$1293</definedName>
    <definedName name="Z_4D7352DD_BDB8_44B7_B7C5_FD6C82B1C2E4_.wvu.FilterData" localSheetId="6" hidden="1">'FAM-CLASS'!$A$1:$D$128</definedName>
    <definedName name="Z_4D7352DD_BDB8_44B7_B7C5_FD6C82B1C2E4_.wvu.FilterData" localSheetId="1" hidden="1">IMPORTS!$A$1:$BV$850</definedName>
    <definedName name="Z_4D978F75_1F7B_45FF_AED8_DF3426E6C6FC_.wvu.FilterData" localSheetId="1" hidden="1">IMPORTS!$A$1:$BV$1114</definedName>
    <definedName name="Z_4DA0BA8B_1F2B_4158_8919_B640EED336E9_.wvu.FilterData" localSheetId="1" hidden="1">IMPORTS!$A$1:$CC$1293</definedName>
    <definedName name="Z_4DC68A92_E894_4C9F_8630_DA67283471C9_.wvu.FilterData" localSheetId="1" hidden="1">IMPORTS!$A$1:$BV$881</definedName>
    <definedName name="Z_4DF3F525_E63D_4D4B_9A28_E6F01E27BCE9_.wvu.FilterData" localSheetId="1" hidden="1">IMPORTS!$A$1:$CF$1929</definedName>
    <definedName name="Z_4DF3F525_E63D_4D4B_9A28_E6F01E27BCE9_.wvu.FilterData" localSheetId="4" hidden="1">'INGRESOS OC''s'!$A$1:$N$324</definedName>
    <definedName name="Z_4DF9F21D_859C_4BC3_8847_7EBD612827C6_.wvu.FilterData" localSheetId="1" hidden="1">IMPORTS!$A$1:$BV$1058</definedName>
    <definedName name="Z_4DFC9A27_42B2_4F5F_BFB6_13CBF08A009C_.wvu.FilterData" localSheetId="1" hidden="1">IMPORTS!$A$1:$CC$1537</definedName>
    <definedName name="Z_4E5EAFFD_49CD_466C_814D_976C58771D6E_.wvu.FilterData" localSheetId="1" hidden="1">IMPORTS!$A$1:$CF$1980</definedName>
    <definedName name="Z_4E67D6C1_FF89_442E_9DE5_5C2A27FDB103_.wvu.FilterData" localSheetId="1" hidden="1">IMPORTS!$A$1:$CC$1591</definedName>
    <definedName name="Z_4E878A97_87CB_403A_861C_A937390C8303_.wvu.Cols" localSheetId="7" hidden="1">ABC!$D:$D</definedName>
    <definedName name="Z_4E878A97_87CB_403A_861C_A937390C8303_.wvu.Cols" localSheetId="4" hidden="1">'INGRESOS OC''s'!$N:$N</definedName>
    <definedName name="Z_4E878A97_87CB_403A_861C_A937390C8303_.wvu.FilterData" localSheetId="6" hidden="1">'FAM-CLASS'!$A$1:$C$151</definedName>
    <definedName name="Z_4E878A97_87CB_403A_861C_A937390C8303_.wvu.FilterData" localSheetId="1" hidden="1">IMPORTS!$A$1:$CF$2011</definedName>
    <definedName name="Z_4E878A97_87CB_403A_861C_A937390C8303_.wvu.FilterData" localSheetId="4" hidden="1">'INGRESOS OC''s'!$A$1:$N$381</definedName>
    <definedName name="Z_4EFEF916_82E1_48F6_961C_89FCD8B6F8BC_.wvu.FilterData" localSheetId="1" hidden="1">IMPORTS!$A$1:$BV$1034</definedName>
    <definedName name="Z_4F0353A9_14E2_4647_AF7E_FE86BA3192AF_.wvu.FilterData" localSheetId="1" hidden="1">IMPORTS!$A$1:$CC$1644</definedName>
    <definedName name="Z_4F0E142A_3A02_4D2B_8193_D1F367C72DEF_.wvu.FilterData" localSheetId="1" hidden="1">IMPORTS!$A$1:$CC$1591</definedName>
    <definedName name="Z_4F106561_E491_4FB7_8543_A7E95AC8C460_.wvu.FilterData" localSheetId="1" hidden="1">IMPORTS!$A$1:$CC$1639</definedName>
    <definedName name="Z_4F3A31EE_731E_46CF_8241_C2ECD567A86E_.wvu.FilterData" localSheetId="1" hidden="1">IMPORTS!$A$1:$CF$1933</definedName>
    <definedName name="Z_4F3A31EE_731E_46CF_8241_C2ECD567A86E_.wvu.FilterData" localSheetId="4" hidden="1">'INGRESOS OC''s'!$A$1:$N$331</definedName>
    <definedName name="Z_4F4D50E3_D49F_4ECA_AB4F_B6951218C08D_.wvu.FilterData" localSheetId="1" hidden="1">IMPORTS!$A$1:$CC$1638</definedName>
    <definedName name="Z_4F9A6CAE_6ED9_4136_9C9E_32D39C755D96_.wvu.FilterData" localSheetId="1" hidden="1">IMPORTS!$A$1:$CC$1758</definedName>
    <definedName name="Z_4FAC3B03_13CF_4E39_B7A9_0C626A7B15B2_.wvu.FilterData" localSheetId="1" hidden="1">IMPORTS!$A$1:$BV$796</definedName>
    <definedName name="Z_4FB2F627_0969_48C9_82D5_D25ABAAE9FD7_.wvu.FilterData" localSheetId="1" hidden="1">IMPORTS!$A$1:$CF$1980</definedName>
    <definedName name="Z_4FB51519_FCA5_4DBE_9DD6_D426D866B27C_.wvu.FilterData" localSheetId="1" hidden="1">IMPORTS!$A$1:$CC$1439</definedName>
    <definedName name="Z_4FE38000_5B8E_46EE_A233_79CD7B8E3B80_.wvu.FilterData" localSheetId="1" hidden="1">IMPORTS!$A$1:$BV$1118</definedName>
    <definedName name="Z_5090AA97_0442_44C7_A7ED_29FE62F7354F_.wvu.FilterData" localSheetId="1" hidden="1">IMPORTS!$A$1:$BV$732</definedName>
    <definedName name="Z_50C18911_C1D2_4004_98CA_1B10D1FCB51E_.wvu.FilterData" localSheetId="1" hidden="1">IMPORTS!$A$1:$CF$2008</definedName>
    <definedName name="Z_50E51A96_E0CF_4651_8DE7_457530B260AE_.wvu.FilterData" localSheetId="1" hidden="1">IMPORTS!$A$1:$CC$1353</definedName>
    <definedName name="Z_512CA41F_5DA4_467A_900F_5800DFC12262_.wvu.FilterData" localSheetId="1" hidden="1">IMPORTS!$A$1:$CC$1535</definedName>
    <definedName name="Z_5136D1A5_1C11_4E91_91D4_F3816CEEE843_.wvu.FilterData" localSheetId="1" hidden="1">IMPORTS!$A$1:$CF$1929</definedName>
    <definedName name="Z_51440608_AA46_46AB_AE77_1A8FDE64D153_.wvu.FilterData" localSheetId="1" hidden="1">IMPORTS!$A$1:$BV$1034</definedName>
    <definedName name="Z_5180AFE4_D8A8_4F91_896E_51D78A66857F_.wvu.FilterData" localSheetId="1" hidden="1">IMPORTS!$A$1:$CC$1724</definedName>
    <definedName name="Z_5208C95E_D516_4290_B39F_4907A2C99796_.wvu.FilterData" localSheetId="1" hidden="1">IMPORTS!$A$1:$BV$796</definedName>
    <definedName name="Z_526A9E8F_070C_4832_9F34_B4CE6D63F9AB_.wvu.FilterData" localSheetId="1" hidden="1">IMPORTS!$A$1:$CC$1415</definedName>
    <definedName name="Z_52B10D96_66B2_41DA_A1D9_7352E6BCE0AB_.wvu.FilterData" localSheetId="1" hidden="1">IMPORTS!$A$1:$CF$1929</definedName>
    <definedName name="Z_52C74E72_841E_469E_AEB5_E7F256065B89_.wvu.FilterData" localSheetId="1" hidden="1">IMPORTS!$A$1:$CF$1892</definedName>
    <definedName name="Z_52D7C01D_B573_43EB_816F_85883E154B1B_.wvu.FilterData" localSheetId="1" hidden="1">IMPORTS!$A$1:$CF$2011</definedName>
    <definedName name="Z_52E79CFF_A155_40BA_9D1D_64D400FB687F_.wvu.FilterData" localSheetId="1" hidden="1">IMPORTS!$A$1:$CC$1791</definedName>
    <definedName name="Z_530363D8_5AB2_4A19_BB72_8E9DA1EDA563_.wvu.FilterData" localSheetId="1" hidden="1">IMPORTS!$A$1:$CF$2011</definedName>
    <definedName name="Z_53078E0A_ACE8_4A52_8CFC_CE742FB91F1C_.wvu.FilterData" localSheetId="1" hidden="1">IMPORTS!$A$1:$BV$881</definedName>
    <definedName name="Z_53540BFE_EE6E_40DE_93A4_1DC661269926_.wvu.FilterData" localSheetId="1" hidden="1">IMPORTS!$A$1:$CC$1744</definedName>
    <definedName name="Z_535C9ED6_7BF8_462E_85D8_98CA6B0CF318_.wvu.FilterData" localSheetId="1" hidden="1">IMPORTS!$A$1:$BV$850</definedName>
    <definedName name="Z_5378EF37_BD7A_4A85_9973_E06ED3847077_.wvu.FilterData" localSheetId="1" hidden="1">IMPORTS!$A$1:$CC$1810</definedName>
    <definedName name="Z_538A749A_CDDD_4D61_9240_131022AA4FCF_.wvu.FilterData" localSheetId="1" hidden="1">IMPORTS!$A$1:$BV$759</definedName>
    <definedName name="Z_5391D33D_E0E0_4CE0_8AFE_BEAB5CE4D7AB_.wvu.FilterData" localSheetId="1" hidden="1">IMPORTS!$A$1:$CC$1854</definedName>
    <definedName name="Z_53BBBE96_A7FC_4373_8027_A6A060BC3D52_.wvu.FilterData" localSheetId="1" hidden="1">IMPORTS!$A$1:$CC$1766</definedName>
    <definedName name="Z_53E9D663_BFB5_4E3C_937A_A72A54570E00_.wvu.FilterData" localSheetId="1" hidden="1">IMPORTS!$A$1:$BV$882</definedName>
    <definedName name="Z_540ED970_B8E1_4B23_9BAB_2755D8E831FF_.wvu.FilterData" localSheetId="1" hidden="1">IMPORTS!$A$1:$BV$892</definedName>
    <definedName name="Z_544D61DB_A8CB_41BA_B957_EEC20800B99F_.wvu.FilterData" localSheetId="1" hidden="1">IMPORTS!$A$1:$BV$1006</definedName>
    <definedName name="Z_5473212C_5074_4115_A1B5_E1FEF70FBACC_.wvu.FilterData" localSheetId="1" hidden="1">IMPORTS!$A$1:$CC$1556</definedName>
    <definedName name="Z_54A57970_7E93_4C63_8AF1_48CEB9C0575C_.wvu.FilterData" localSheetId="1" hidden="1">IMPORTS!$A$1:$BV$906</definedName>
    <definedName name="Z_55481754_3F74_42D4_9ADC_2F3904CD1B2D_.wvu.FilterData" localSheetId="1" hidden="1">IMPORTS!$A$1:$CC$1808</definedName>
    <definedName name="Z_555DF0E2_5DFA_43B9_8297_7D14A72B49EE_.wvu.FilterData" localSheetId="1" hidden="1">IMPORTS!$A$1:$BV$1154</definedName>
    <definedName name="Z_55CC7B24_404C_45EF_8049_F8A6888DC3D3_.wvu.FilterData" localSheetId="1" hidden="1">IMPORTS!$A$1:$CC$1439</definedName>
    <definedName name="Z_55DDD30D_2D59_4174_B519_55278080C16B_.wvu.FilterData" localSheetId="1" hidden="1">IMPORTS!$A$1:$CC$1672</definedName>
    <definedName name="Z_55E7B8F4_20CF_4010_B544_8A266354FD81_.wvu.FilterData" localSheetId="1" hidden="1">IMPORTS!$A$1:$CC$1535</definedName>
    <definedName name="Z_55FA1292_7FF6_48C8_B44D_08A40FEADC06_.wvu.FilterData" localSheetId="1" hidden="1">IMPORTS!$A$1:$CC$1878</definedName>
    <definedName name="Z_55FF34FD_2BEC_4136_B7ED_B2B62AD9DB56_.wvu.FilterData" localSheetId="1" hidden="1">IMPORTS!$A$1:$CC$1535</definedName>
    <definedName name="Z_561D8493_8F7E_4E2C_9A56_00EB8B26E56B_.wvu.FilterData" localSheetId="1" hidden="1">IMPORTS!$A$1:$CF$1933</definedName>
    <definedName name="Z_561D8493_8F7E_4E2C_9A56_00EB8B26E56B_.wvu.FilterData" localSheetId="4" hidden="1">'INGRESOS OC''s'!$A$1:$N$331</definedName>
    <definedName name="Z_563E8A4F_EF0D_48DB_A3D1_C0424AD2DE7F_.wvu.FilterData" localSheetId="1" hidden="1">IMPORTS!$A$1:$CF$1924</definedName>
    <definedName name="Z_564F8AC7_F760_4469_9056_0781E22EB275_.wvu.FilterData" localSheetId="1" hidden="1">IMPORTS!$A$1:$BV$1142</definedName>
    <definedName name="Z_56F38EDE_0DB6_48A4_BE21_B3D8E3D40E12_.wvu.FilterData" localSheetId="1" hidden="1">IMPORTS!$A$1:$CC$1472</definedName>
    <definedName name="Z_5721AE51_A2C7_4F47_ADCA_29F0BDBCCE75_.wvu.FilterData" localSheetId="1" hidden="1">IMPORTS!$A$1:$CC$1707</definedName>
    <definedName name="Z_576511F3_E470_4749_A4B5_36D6A802C5C3_.wvu.FilterData" localSheetId="1" hidden="1">IMPORTS!$A$1:$CC$1247</definedName>
    <definedName name="Z_57939E90_77A2_4F8D_AB80_BC460E614626_.wvu.FilterData" localSheetId="1" hidden="1">IMPORTS!$A$1:$CC$1439</definedName>
    <definedName name="Z_57F4A46F_7C8F_45E1_813C_71270632CCEE_.wvu.FilterData" localSheetId="1" hidden="1">IMPORTS!$A$1:$BV$733</definedName>
    <definedName name="Z_581BE0FD_C90E_452C_8E79_0135B8038F6B_.wvu.FilterData" localSheetId="1" hidden="1">IMPORTS!$A$1:$CF$2009</definedName>
    <definedName name="Z_58D280E3_5584_445F_8CE5_AD42EA278A2B_.wvu.FilterData" localSheetId="1" hidden="1">IMPORTS!$A$1:$ARG$1893</definedName>
    <definedName name="Z_5960A956_2993_4D96_BE3B_162D87694406_.wvu.FilterData" localSheetId="1" hidden="1">IMPORTS!$A$1:$CF$2008</definedName>
    <definedName name="Z_598C68DA_7096_4DD4_B5CD_D8D5B832CDF1_.wvu.FilterData" localSheetId="1" hidden="1">IMPORTS!$A$1:$BV$1121</definedName>
    <definedName name="Z_5990E7D6_671F_4EFA_BDF7_398B767903DE_.wvu.FilterData" localSheetId="1" hidden="1">IMPORTS!$A$1:$CF$1928</definedName>
    <definedName name="Z_59B3E421_23DE_4BB5_ABE1_D8CB95828B2F_.wvu.FilterData" localSheetId="1" hidden="1">IMPORTS!$A$1:$CC$1807</definedName>
    <definedName name="Z_59DDFEF4_9714_46D0_B0C1_74A2F7FA67DA_.wvu.FilterData" localSheetId="1" hidden="1">IMPORTS!$A$1:$CC$1724</definedName>
    <definedName name="Z_5B0E6286_7021_4FF1_B900_79896B19109D_.wvu.FilterData" localSheetId="1" hidden="1">IMPORTS!$A$1:$CC$1439</definedName>
    <definedName name="Z_5B25888F_1066_4D8D_88BA_6F136FA90FC4_.wvu.FilterData" localSheetId="1" hidden="1">IMPORTS!$A$1:$CF$1912</definedName>
    <definedName name="Z_5B25888F_1066_4D8D_88BA_6F136FA90FC4_.wvu.FilterData" localSheetId="4" hidden="1">'INGRESOS OC''s'!$A$1:$N$324</definedName>
    <definedName name="Z_5B3C8315_8804_4E91_A576_262E5D779DAA_.wvu.FilterData" localSheetId="1" hidden="1">IMPORTS!$A$1:$BV$807</definedName>
    <definedName name="Z_5B58BCBC_E8B6_4F2C_B4C1_9892465324C8_.wvu.FilterData" localSheetId="1" hidden="1">IMPORTS!$A$1:$BV$807</definedName>
    <definedName name="Z_5B8B48EE_07AF_4666_8205_6557C53105A0_.wvu.FilterData" localSheetId="1" hidden="1">IMPORTS!$A$1:$CF$1965</definedName>
    <definedName name="Z_5BADB465_1C19_4FCB_98B4_128F4FECD2F5_.wvu.FilterData" localSheetId="1" hidden="1">IMPORTS!$A$1:$CC$1353</definedName>
    <definedName name="Z_5BD5D2ED_2C27_4714_843E_DCCC928B760A_.wvu.FilterData" localSheetId="1" hidden="1">IMPORTS!$A$1:$CF$2009</definedName>
    <definedName name="Z_5C0E8D12_2116_4007_A987_11FD7D336E97_.wvu.FilterData" localSheetId="1" hidden="1">IMPORTS!$A$1:$BV$760</definedName>
    <definedName name="Z_5C1351A5_D020_45C6_BCD9_5F8C734933AE_.wvu.FilterData" localSheetId="1" hidden="1">IMPORTS!$A$1:$CC$1542</definedName>
    <definedName name="Z_5C39E8A1_C96E_47E7_9396_5F196D37FEF9_.wvu.FilterData" localSheetId="1" hidden="1">IMPORTS!$A$1:$CC$1724</definedName>
    <definedName name="Z_5C6BDC1D_BBC0_411C_83BA_9992A7479611_.wvu.FilterData" localSheetId="1" hidden="1">IMPORTS!$A$1:$CC$1293</definedName>
    <definedName name="Z_5C6C6BB7_C37A_426F_A73F_5C360A67AD5C_.wvu.FilterData" localSheetId="1" hidden="1">IMPORTS!$A$1:$CC$1727</definedName>
    <definedName name="Z_5C7F8E69_E31B_4D6A_9B8A_73303C34F1FC_.wvu.FilterData" localSheetId="1" hidden="1">IMPORTS!$A$1:$CC$1472</definedName>
    <definedName name="Z_5D8376BA_8A0B_4489_8EE4_58894BC1DB7D_.wvu.FilterData" localSheetId="1" hidden="1">IMPORTS!$A$1:$BV$1006</definedName>
    <definedName name="Z_5DAF238A_2E60_45FF_984C_69020689FEA3_.wvu.FilterData" localSheetId="1" hidden="1">IMPORTS!$A$1:$BV$1142</definedName>
    <definedName name="Z_5E21CE63_C04B_4643_9120_7BEBD814819E_.wvu.FilterData" localSheetId="1" hidden="1">IMPORTS!$A$1:$BV$1114</definedName>
    <definedName name="Z_5E25DFE2_47F2_40BB_B4E7_E0DE75ABA803_.wvu.FilterData" localSheetId="1" hidden="1">IMPORTS!$A$1:$CC$1541</definedName>
    <definedName name="Z_5E26953D_12C1_4353_B420_D9FDCE06BA2F_.wvu.FilterData" localSheetId="1" hidden="1">IMPORTS!$A$1:$CC$1353</definedName>
    <definedName name="Z_5E7EA670_2648_4CF2_84C8_A418A833F172_.wvu.FilterData" localSheetId="1" hidden="1">IMPORTS!$A$1:$BV$1034</definedName>
    <definedName name="Z_5E7FD26A_2053_459C_8E0C_630812D8BE20_.wvu.FilterData" localSheetId="1" hidden="1">IMPORTS!$A$1:$BV$796</definedName>
    <definedName name="Z_5EB6DAB1_5B1F_408C_A1D6_601ABDB199A7_.wvu.FilterData" localSheetId="1" hidden="1">IMPORTS!$A$1:$CC$1878</definedName>
    <definedName name="Z_5EB893F7_CED8_44C2_A087_D0073838E8EB_.wvu.FilterData" localSheetId="1" hidden="1">IMPORTS!$A$1:$BV$1152</definedName>
    <definedName name="Z_5EC0DFD8_4403_4BE1_901F_5ED1FEEC13BA_.wvu.FilterData" localSheetId="1" hidden="1">IMPORTS!$A$1:$CC$1606</definedName>
    <definedName name="Z_5ED1E2E9_2514_48F2_9553_6EA06F59F999_.wvu.FilterData" localSheetId="1" hidden="1">IMPORTS!$A$1:$CF$1910</definedName>
    <definedName name="Z_5ED643CF_6CE4_4F90_B412_2EA009B0A6C4_.wvu.FilterData" localSheetId="1" hidden="1">IMPORTS!$A$1:$BV$1043</definedName>
    <definedName name="Z_5EDD0D2B_1988_4DE3_A744_B34EC08FDCA3_.wvu.FilterData" localSheetId="1" hidden="1">IMPORTS!$A$1:$CF$1956</definedName>
    <definedName name="Z_5EE14BE6_5687_4B62_B389_846A60A382AA_.wvu.FilterData" localSheetId="1" hidden="1">IMPORTS!$A$1:$ARG$1893</definedName>
    <definedName name="Z_5F8EB123_823B_4A54_A68E_ED949190DD9D_.wvu.FilterData" localSheetId="1" hidden="1">IMPORTS!$A$1:$CF$1933</definedName>
    <definedName name="Z_5FA090D4_688E_493C_842D_BC9CA0BA77C3_.wvu.FilterData" localSheetId="1" hidden="1">IMPORTS!$A$1:$CC$1724</definedName>
    <definedName name="Z_5FBA19E6_AF95_47FB_9ACD_342332AFA1A5_.wvu.FilterData" localSheetId="1" hidden="1">IMPORTS!$A$1:$CF$1955</definedName>
    <definedName name="Z_600AA46A_845A_4698_805D_4F999B5EABA5_.wvu.FilterData" localSheetId="1" hidden="1">IMPORTS!$A$1:$CC$1878</definedName>
    <definedName name="Z_602C9F93_BC30_49A2_AD5F_DDBDA4D94503_.wvu.FilterData" localSheetId="1" hidden="1">IMPORTS!$A$1:$CC$1844</definedName>
    <definedName name="Z_60D965EF_1731_437C_A8A0_52D81A369712_.wvu.FilterData" localSheetId="1" hidden="1">IMPORTS!$A$1:$CC$1439</definedName>
    <definedName name="Z_6102C700_E699_4534_BFF8_F0605E56232D_.wvu.FilterData" localSheetId="1" hidden="1">IMPORTS!$A$1:$BV$1032</definedName>
    <definedName name="Z_61875306_4C04_447C_9C71_3DC1F87BC72D_.wvu.FilterData" localSheetId="1" hidden="1">IMPORTS!$A$1:$CF$1904</definedName>
    <definedName name="Z_61C5C6D9_158F_4002_93C0_058019EDF309_.wvu.FilterData" localSheetId="1" hidden="1">IMPORTS!$A$1:$BV$796</definedName>
    <definedName name="Z_61F7853E_A36B_482D_B3C8_C109DCAB9658_.wvu.FilterData" localSheetId="1" hidden="1">IMPORTS!$A$1:$BV$881</definedName>
    <definedName name="Z_61F87429_A685_43EC_BAB9_6A300B6B62BD_.wvu.FilterData" localSheetId="1" hidden="1">IMPORTS!$A$1:$BV$732</definedName>
    <definedName name="Z_6269B176_DBB6_4C3F_B020_4AE41E77FAF4_.wvu.FilterData" localSheetId="1" hidden="1">IMPORTS!$A$1:$CF$1965</definedName>
    <definedName name="Z_62C5ABC1_FCA9_4747_8A4B_47E8C3545353_.wvu.FilterData" localSheetId="1" hidden="1">IMPORTS!$A$1:$CC$1537</definedName>
    <definedName name="Z_62CCB3CB_2465_4ACC_A01D_9F45438EE6BA_.wvu.FilterData" localSheetId="1" hidden="1">IMPORTS!$A$1:$CF$1889</definedName>
    <definedName name="Z_631D221D_B028_4FF7_A189_A516D49CD3CD_.wvu.FilterData" localSheetId="1" hidden="1">IMPORTS!$A$1:$ARG$1893</definedName>
    <definedName name="Z_634361EE_E8F6_4D52_9672_E78DD6112DF2_.wvu.FilterData" localSheetId="1" hidden="1">IMPORTS!$A$1:$CC$1672</definedName>
    <definedName name="Z_63547B26_FA39_446C_A7E0_B4BF2E38D3A8_.wvu.FilterData" localSheetId="1" hidden="1">IMPORTS!$A$1:$BV$881</definedName>
    <definedName name="Z_6370A4BC_CFE7_431C_AFA1_97E60482D9F4_.wvu.FilterData" localSheetId="1" hidden="1">IMPORTS!$A$1:$CF$1903</definedName>
    <definedName name="Z_6370A4BC_CFE7_431C_AFA1_97E60482D9F4_.wvu.FilterData" localSheetId="4" hidden="1">'INGRESOS OC''s'!$A$1:$N$266</definedName>
    <definedName name="Z_63EF14C1_33AA_4AAD_ACB5_FC6245F24923_.wvu.FilterData" localSheetId="1" hidden="1">IMPORTS!$A$1:$CC$1352</definedName>
    <definedName name="Z_64901CDB_C1E2_4785_9F08_FE65E01C1AAC_.wvu.FilterData" localSheetId="1" hidden="1">IMPORTS!$A$1:$CF$2006</definedName>
    <definedName name="Z_64B5C949_B677_444C_9ECF_F8E172096B98_.wvu.FilterData" localSheetId="1" hidden="1">IMPORTS!$A$1:$CF$1889</definedName>
    <definedName name="Z_64CD9189_BC1F_4C62_BDC5_E1D37CB5D784_.wvu.FilterData" localSheetId="1" hidden="1">IMPORTS!$A$1:$BV$1114</definedName>
    <definedName name="Z_64DD6D4C_DC7E_42A4_8293_23757F1E95CA_.wvu.Cols" localSheetId="7" hidden="1">ABC!$D:$D</definedName>
    <definedName name="Z_64DD6D4C_DC7E_42A4_8293_23757F1E95CA_.wvu.Cols" localSheetId="1" hidden="1">IMPORTS!$Q:$Y,IMPORTS!$AJ:$AK,IMPORTS!$AC:$AP,IMPORTS!$BQ:$BU,IMPORTS!$AM:$AY,IMPORTS!#REF!</definedName>
    <definedName name="Z_64DD6D4C_DC7E_42A4_8293_23757F1E95CA_.wvu.Cols" localSheetId="4" hidden="1">'INGRESOS OC''s'!$N:$N</definedName>
    <definedName name="Z_64DD6D4C_DC7E_42A4_8293_23757F1E95CA_.wvu.FilterData" localSheetId="6" hidden="1">'FAM-CLASS'!$A$1:$C$151</definedName>
    <definedName name="Z_64DD6D4C_DC7E_42A4_8293_23757F1E95CA_.wvu.FilterData" localSheetId="1" hidden="1">IMPORTS!$A$1:$CF$2008</definedName>
    <definedName name="Z_64DD6D4C_DC7E_42A4_8293_23757F1E95CA_.wvu.FilterData" localSheetId="4" hidden="1">'INGRESOS OC''s'!$A$1:$N$333</definedName>
    <definedName name="Z_64EAD42D_B085_48EC_B04F_2BD6C53714D4_.wvu.FilterData" localSheetId="1" hidden="1">IMPORTS!$A$1:$CC$1439</definedName>
    <definedName name="Z_652DFAEE_0349_41E6_8828_3E552F125859_.wvu.FilterData" localSheetId="1" hidden="1">IMPORTS!$A$1:$BV$759</definedName>
    <definedName name="Z_6542A32F_5DE1_48F8_9402_09431A2AA242_.wvu.FilterData" localSheetId="1" hidden="1">IMPORTS!$A$1:$CF$1933</definedName>
    <definedName name="Z_661E44A6_0976_4DD9_994F_D7CD7FECB66F_.wvu.FilterData" localSheetId="1" hidden="1">IMPORTS!$A$1:$CC$1668</definedName>
    <definedName name="Z_663C99DE_9527_477E_A662_C040929D35ED_.wvu.FilterData" localSheetId="1" hidden="1">IMPORTS!$A$1:$CC$1293</definedName>
    <definedName name="Z_663FE6DA_DE79_4513_8A10_B50713792CD7_.wvu.FilterData" localSheetId="1" hidden="1">IMPORTS!$A$1:$BV$797</definedName>
    <definedName name="Z_666AB38B_2BCB_4D85_944F_398D6156C9CA_.wvu.FilterData" localSheetId="1" hidden="1">IMPORTS!$A$1:$BV$769</definedName>
    <definedName name="Z_66ABA0F3_7424_4B84_B8C0_F11AE7D32C8D_.wvu.FilterData" localSheetId="1" hidden="1">IMPORTS!$A$1:$CC$1730</definedName>
    <definedName name="Z_67134117_C85B_4B09_9A8D_7664D6DB284B_.wvu.FilterData" localSheetId="1" hidden="1">IMPORTS!$A$1:$CC$1758</definedName>
    <definedName name="Z_674BBE86_F354_4724_B5B5_0C2FB60CC25C_.wvu.FilterData" localSheetId="1" hidden="1">IMPORTS!$A$1:$CC$1361</definedName>
    <definedName name="Z_674D2BD3_C7E6_4BEF_A32B_123918401EE7_.wvu.FilterData" localSheetId="1" hidden="1">IMPORTS!$A$1:$BV$921</definedName>
    <definedName name="Z_675890B1_9627_4997_B302_18C01B6D03AE_.wvu.FilterData" localSheetId="1" hidden="1">IMPORTS!$A$1:$CC$1575</definedName>
    <definedName name="Z_676961EB_B662_4345_9A22_C75321915F7D_.wvu.FilterData" localSheetId="1" hidden="1">IMPORTS!$A$1:$CC$1277</definedName>
    <definedName name="Z_67B18EC4_DEE2_4944_B8F4_0717F0650EC4_.wvu.FilterData" localSheetId="1" hidden="1">IMPORTS!$A$1:$CC$1821</definedName>
    <definedName name="Z_67B69122_8704_4744_A66E_83A0B96A5BD7_.wvu.FilterData" localSheetId="1" hidden="1">IMPORTS!$A$1:$CF$1924</definedName>
    <definedName name="Z_685A12C8_AC00_4D08_8639_5CA3BEF8D7ED_.wvu.FilterData" localSheetId="1" hidden="1">IMPORTS!$A$1:$CF$1929</definedName>
    <definedName name="Z_685A12C8_AC00_4D08_8639_5CA3BEF8D7ED_.wvu.FilterData" localSheetId="4" hidden="1">'INGRESOS OC''s'!$A$1:$N$324</definedName>
    <definedName name="Z_6878E849_219D_4B25_A928_740858F3FBB4_.wvu.FilterData" localSheetId="1" hidden="1">IMPORTS!$A$1:$CC$1353</definedName>
    <definedName name="Z_68A7ECBF_9DAC_4B45_AAF4_49227810F9BC_.wvu.FilterData" localSheetId="1" hidden="1">IMPORTS!$A$1:$CC$1821</definedName>
    <definedName name="Z_68CC2FEA_F53F_4571_B62F_1D319462DEF1_.wvu.Cols" localSheetId="1" hidden="1">IMPORTS!#REF!</definedName>
    <definedName name="Z_68CC2FEA_F53F_4571_B62F_1D319462DEF1_.wvu.FilterData" localSheetId="6" hidden="1">'FAM-CLASS'!$A$1:$C$132</definedName>
    <definedName name="Z_68CC2FEA_F53F_4571_B62F_1D319462DEF1_.wvu.FilterData" localSheetId="1" hidden="1">IMPORTS!$A$1:$BV$759</definedName>
    <definedName name="Z_68E1185A_778D_4308_8E29_57B40710D881_.wvu.FilterData" localSheetId="1" hidden="1">IMPORTS!$A$1:$CC$1744</definedName>
    <definedName name="Z_68E33C07_97A7_41FF_B6B5_FD7371D1C28F_.wvu.FilterData" localSheetId="1" hidden="1">IMPORTS!$A$1:$CC$1293</definedName>
    <definedName name="Z_68FD3DA5_E8A8_4AA3_AF2E_5AF7F86C13F0_.wvu.FilterData" localSheetId="1" hidden="1">IMPORTS!$A$1:$BV$807</definedName>
    <definedName name="Z_692EE0F5_505A_47C0_8498_DDC867AA5964_.wvu.FilterData" localSheetId="1" hidden="1">IMPORTS!$A$1:$CC$1353</definedName>
    <definedName name="Z_69A170CC_A9E4_445E_A0D9_BCE91E83E77F_.wvu.FilterData" localSheetId="1" hidden="1">IMPORTS!$A$1:$CC$1545</definedName>
    <definedName name="Z_69B78C38_89F1_43FD_A67F_0B4CA3A02BC6_.wvu.FilterData" localSheetId="1" hidden="1">IMPORTS!$A$1:$BV$1114</definedName>
    <definedName name="Z_69E03D08_5AF1_499E_85FA_203711AA0D64_.wvu.FilterData" localSheetId="1" hidden="1">IMPORTS!$A$1:$CF$1970</definedName>
    <definedName name="Z_69EF6BE4_7090_4B3C_BD7E_B6A48B4F9D52_.wvu.FilterData" localSheetId="1" hidden="1">IMPORTS!$A$1:$CC$1807</definedName>
    <definedName name="Z_6A058C2C_1F6A_4917_9412_DB635595AB82_.wvu.FilterData" localSheetId="1" hidden="1">IMPORTS!$A$1:$CC$1781</definedName>
    <definedName name="Z_6A24AD99_6EF6_4AB7_B1DA_C1430AD3346F_.wvu.FilterData" localSheetId="1" hidden="1">IMPORTS!$A$1:$CC$1633</definedName>
    <definedName name="Z_6A27450F_9051_4E06_A0CC_FD48C2ABB5A3_.wvu.FilterData" localSheetId="1" hidden="1">IMPORTS!$A$1:$CC$1247</definedName>
    <definedName name="Z_6A37FF28_C80D_48CF_A885_4178EF9CDE59_.wvu.FilterData" localSheetId="1" hidden="1">IMPORTS!$A$1:$CC$1836</definedName>
    <definedName name="Z_6A6C9573_7B72_4D41_83D5_81F8E121196D_.wvu.FilterData" localSheetId="1" hidden="1">IMPORTS!$A$1:$CF$2009</definedName>
    <definedName name="Z_6A6C9573_7B72_4D41_83D5_81F8E121196D_.wvu.FilterData" localSheetId="4" hidden="1">'INGRESOS OC''s'!$A$1:$N$381</definedName>
    <definedName name="Z_6A950B35_9D79_4A7B_B539_7A31663CFAE6_.wvu.FilterData" localSheetId="1" hidden="1">IMPORTS!$A$1:$CC$1791</definedName>
    <definedName name="Z_6AA793EE_168D_4F4D_A329_6221767A4842_.wvu.FilterData" localSheetId="1" hidden="1">IMPORTS!$A$1:$CF$1903</definedName>
    <definedName name="Z_6AE37AFB_82F8_47BF_B255_44E9B301BFCC_.wvu.FilterData" localSheetId="1" hidden="1">IMPORTS!$A$1:$BV$797</definedName>
    <definedName name="Z_6B167563_62A9_45D3_A481_E450B1406576_.wvu.FilterData" localSheetId="1" hidden="1">IMPORTS!$A$1:$CC$1781</definedName>
    <definedName name="Z_6B167563_62A9_45D3_A481_E450B1406576_.wvu.FilterData" localSheetId="4" hidden="1">'INGRESOS OC''s'!$A$1:$N$140</definedName>
    <definedName name="Z_6B24B5AF_48A3_4984_AF3B_C64454D24B06_.wvu.FilterData" localSheetId="1" hidden="1">IMPORTS!$A$1:$BV$733</definedName>
    <definedName name="Z_6B305381_F2B3_4956_AE33_9027EDD19376_.wvu.FilterData" localSheetId="1" hidden="1">IMPORTS!$A$1:$BV$760</definedName>
    <definedName name="Z_6B5ED7B8_A3C1_42A0_80F3_9F307B43D8B2_.wvu.FilterData" localSheetId="1" hidden="1">IMPORTS!$A$1:$CC$1457</definedName>
    <definedName name="Z_6B96A813_4CAB_4DFE_A34C_46C33C9704FF_.wvu.FilterData" localSheetId="1" hidden="1">IMPORTS!$A$1:$CC$1558</definedName>
    <definedName name="Z_6BD0D921_6154_45B2_8C2E_8CF2E97E035C_.wvu.FilterData" localSheetId="1" hidden="1">IMPORTS!$A$1:$CC$1247</definedName>
    <definedName name="Z_6BF1EA37_BE3D_4A2A_ACB0_F0876006DEDB_.wvu.FilterData" localSheetId="1" hidden="1">IMPORTS!$A$1:$CC$1578</definedName>
    <definedName name="Z_6BF3D5AA_71B9_49F6_9794_0724F00C176E_.wvu.FilterData" localSheetId="1" hidden="1">IMPORTS!$A$1:$CF$1929</definedName>
    <definedName name="Z_6BF8B891_C937_46D5_A16C_2DFA81366F81_.wvu.FilterData" localSheetId="1" hidden="1">IMPORTS!$A$1:$CF$1933</definedName>
    <definedName name="Z_6CC3708B_2EA3_43C9_BE4D_95CF1D054541_.wvu.FilterData" localSheetId="1" hidden="1">IMPORTS!$A$1:$CC$1854</definedName>
    <definedName name="Z_6D00121C_26E1_402A_8F58_ECAE4907EBFD_.wvu.FilterData" localSheetId="1" hidden="1">IMPORTS!$A$1:$BV$1604</definedName>
    <definedName name="Z_6D1F3537_0FA1_4E38_9C6E_F0941C01F937_.wvu.FilterData" localSheetId="1" hidden="1">IMPORTS!$A$1:$CC$1672</definedName>
    <definedName name="Z_6D8A8EFE_1A8C_40C3_9F40_6C6BABB673C8_.wvu.FilterData" localSheetId="1" hidden="1">IMPORTS!$A$1:$CC$1878</definedName>
    <definedName name="Z_6D9F6A4B_9D10_46EE_8EA7_03439DE2EA41_.wvu.FilterData" localSheetId="1" hidden="1">IMPORTS!$A$1:$CC$1591</definedName>
    <definedName name="Z_6DAF082C_65FA_45B9_B1C3_E1A9D431C168_.wvu.FilterData" localSheetId="1" hidden="1">IMPORTS!$A$1:$CC$1742</definedName>
    <definedName name="Z_6DC73702_FAF8_4811_9A5D_F1A326081F12_.wvu.FilterData" localSheetId="1" hidden="1">IMPORTS!$A$1:$CC$1457</definedName>
    <definedName name="Z_6DE00C60_B9E0_4F60_901F_FEF2B3A57585_.wvu.FilterData" localSheetId="1" hidden="1">IMPORTS!$A$1:$BV$1243</definedName>
    <definedName name="Z_6DE8BB5A_B7EA_4780_962C_3FD6DFDFE2EE_.wvu.FilterData" localSheetId="1" hidden="1">IMPORTS!$A$1:$BV$732</definedName>
    <definedName name="Z_6DFA09AB_1FF6_45BD_8400_03E2B722D38F_.wvu.FilterData" localSheetId="1" hidden="1">IMPORTS!$A$1:$CF$1912</definedName>
    <definedName name="Z_6E395E6C_5A3A_45A4_9D51_B4249CAF6229_.wvu.FilterData" localSheetId="1" hidden="1">IMPORTS!$A$1:$BV$1243</definedName>
    <definedName name="Z_6E46BE2A_54F7_4966_9E6B_00BCFAE048E2_.wvu.FilterData" localSheetId="1" hidden="1">IMPORTS!$A$1:$CC$1439</definedName>
    <definedName name="Z_6ECE7F2E_452D_44E9_B800_94FFF849656B_.wvu.FilterData" localSheetId="1" hidden="1">IMPORTS!$A$1:$CC$1717</definedName>
    <definedName name="Z_6EFE3EA8_4C8D_4E7F_9B7A_D3F59C74D09B_.wvu.FilterData" localSheetId="1" hidden="1">IMPORTS!$A$1:$CF$1896</definedName>
    <definedName name="Z_6F09A937_4420_4A45_8090_6FA3B084CF04_.wvu.FilterData" localSheetId="1" hidden="1">IMPORTS!$A$1:$CF$2011</definedName>
    <definedName name="Z_6F3AFB5B_938F_4CD0_926E_9F8D3A5B422D_.wvu.FilterData" localSheetId="1" hidden="1">IMPORTS!$A$1:$CC$1606</definedName>
    <definedName name="Z_6FC84D95_EAA9_4165_859C_34087A3F1EBF_.wvu.FilterData" localSheetId="1" hidden="1">IMPORTS!$A$1:$BV$732</definedName>
    <definedName name="Z_7046D069_AE4D_4645_87A8_148DB24617E4_.wvu.FilterData" localSheetId="1" hidden="1">IMPORTS!$A$1:$BV$881</definedName>
    <definedName name="Z_70642C62_D6F1_46A6_B20E_988A83AEF325_.wvu.FilterData" localSheetId="1" hidden="1">IMPORTS!$A$1:$CC$1361</definedName>
    <definedName name="Z_70CB193D_8D82_4A87_8142_4A7614545A6D_.wvu.FilterData" localSheetId="1" hidden="1">IMPORTS!$A$1:$BV$807</definedName>
    <definedName name="Z_70FC7959_459F_4EA5_B628_BC6B45817FFB_.wvu.FilterData" localSheetId="1" hidden="1">IMPORTS!$A$1:$BV$1034</definedName>
    <definedName name="Z_71285733_6EB4_4346_8531_E84A9A7C6192_.wvu.FilterData" localSheetId="1" hidden="1">IMPORTS!$A$1:$CC$1674</definedName>
    <definedName name="Z_71751B44_EBD1_4142_B28C_81C8FE5450CA_.wvu.FilterData" localSheetId="1" hidden="1">IMPORTS!$A$1:$CC$1352</definedName>
    <definedName name="Z_71A18FE8_77E4_4638_AA30_FD644D54B7D7_.wvu.FilterData" localSheetId="1" hidden="1">IMPORTS!$A$1:$CC$1353</definedName>
    <definedName name="Z_71A96BBB_00DA_402B_81DC_5DEA289CA838_.wvu.FilterData" localSheetId="1" hidden="1">IMPORTS!$A$1:$CF$2005</definedName>
    <definedName name="Z_71CC6FE7_41AD_4BFD_A9AF_252F03E4A06C_.wvu.FilterData" localSheetId="1" hidden="1">IMPORTS!$A$1:$CC$1826</definedName>
    <definedName name="Z_71E18171_FE97_45C4_9695_2DFBF716AF92_.wvu.FilterData" localSheetId="1" hidden="1">IMPORTS!$A$1:$CC$1674</definedName>
    <definedName name="Z_720F100E_BB9F_49AC_8ECC_3FFACDFEF214_.wvu.FilterData" localSheetId="1" hidden="1">IMPORTS!$A$1:$CC$1744</definedName>
    <definedName name="Z_724AB920_5F50_4124_9AFE_70B93E6A6028_.wvu.FilterData" localSheetId="1" hidden="1">IMPORTS!$A$1:$CC$1293</definedName>
    <definedName name="Z_7250C0BC_DB76_47D7_856D_42F3560E14EB_.wvu.FilterData" localSheetId="1" hidden="1">IMPORTS!$A$1:$BV$759</definedName>
    <definedName name="Z_7281D4AD_AB9E_4BE5_85A0_EEBF62CF775E_.wvu.FilterData" localSheetId="1" hidden="1">IMPORTS!$A$1:$CC$1353</definedName>
    <definedName name="Z_72917C2C_CAE1_4AF9_B8F7_880F21F8F1F1_.wvu.FilterData" localSheetId="1" hidden="1">IMPORTS!$A$1:$CC$1880</definedName>
    <definedName name="Z_72E00D87_7DE7_4A21_8557_80E1622CD3E9_.wvu.FilterData" localSheetId="1" hidden="1">IMPORTS!$A$1:$BV$732</definedName>
    <definedName name="Z_72F3404A_2AD8_45D2_87BD_6E92F7C9FDA4_.wvu.FilterData" localSheetId="1" hidden="1">IMPORTS!$A$1:$CC$1724</definedName>
    <definedName name="Z_73B11F2E_5031_4A6E_8459_86BB300CD7A2_.wvu.FilterData" localSheetId="1" hidden="1">IMPORTS!$A$1:$CF$1965</definedName>
    <definedName name="Z_73F17022_6565_4883_A159_357B5D22F686_.wvu.FilterData" localSheetId="1" hidden="1">IMPORTS!$A$1:$CF$2011</definedName>
    <definedName name="Z_73F330A7_85E5_42F3_9641_DF15EB8C3000_.wvu.FilterData" localSheetId="1" hidden="1">IMPORTS!$A$1:$CC$1439</definedName>
    <definedName name="Z_73FFB770_1283_492D_B576_AC919E6152BE_.wvu.FilterData" localSheetId="1" hidden="1">IMPORTS!$A$1:$CF$2009</definedName>
    <definedName name="Z_746926E4_ED34_4412_BA24_FFC95C1E8144_.wvu.FilterData" localSheetId="1" hidden="1">IMPORTS!$A$1:$CC$1700</definedName>
    <definedName name="Z_74827202_F34B_42B8_BA64_79BE28EB2F9E_.wvu.FilterData" localSheetId="1" hidden="1">IMPORTS!$A$1:$BV$759</definedName>
    <definedName name="Z_74829A36_9792_407E_A55E_EEB28CAFE040_.wvu.FilterData" localSheetId="1" hidden="1">IMPORTS!$A$1:$CC$1559</definedName>
    <definedName name="Z_74DC2A87_1460_44D4_A2B2_B54D53975B0B_.wvu.FilterData" localSheetId="1" hidden="1">IMPORTS!$A$1:$CC$1581</definedName>
    <definedName name="Z_751D2218_A035_4F2B_8172_EA3187D8BE30_.wvu.FilterData" localSheetId="1" hidden="1">IMPORTS!$A$1:$CF$2009</definedName>
    <definedName name="Z_7596690E_FE40_40B6_848F_18BF89A00FCA_.wvu.FilterData" localSheetId="1" hidden="1">IMPORTS!$A$1:$CC$1504</definedName>
    <definedName name="Z_75DF1E0F_BA14_4F28_81FB_725DF6A27B78_.wvu.FilterData" localSheetId="1" hidden="1">IMPORTS!$A$1:$CF$2011</definedName>
    <definedName name="Z_763147E2_17B9_4D30_96AD_C29B87EB2B14_.wvu.FilterData" localSheetId="1" hidden="1">IMPORTS!$A$1:$CC$1602</definedName>
    <definedName name="Z_7632A67A_2D01_4A30_B1A2_90E8647E21BD_.wvu.FilterData" localSheetId="1" hidden="1">IMPORTS!$A$1:$CF$2005</definedName>
    <definedName name="Z_764811CA_76BE_487C_A5B1_1845CC814089_.wvu.FilterData" localSheetId="1" hidden="1">IMPORTS!$A$1:$CC$1353</definedName>
    <definedName name="Z_7663C7BE_BAE2_415E_87B7_5AEB44692C0E_.wvu.FilterData" localSheetId="1" hidden="1">IMPORTS!$A$1:$CF$2009</definedName>
    <definedName name="Z_768306CF_E84A_4EB4_84E9_943D43924AC2_.wvu.FilterData" localSheetId="1" hidden="1">IMPORTS!$A$1:$BV$732</definedName>
    <definedName name="Z_76CDC709_8027_4047_9D4E_91705BD7A3CE_.wvu.FilterData" localSheetId="1" hidden="1">IMPORTS!$A$1:$BV$1058</definedName>
    <definedName name="Z_76D55F7D_F088_47BF_B415_A6BCD19369FD_.wvu.FilterData" localSheetId="1" hidden="1">IMPORTS!$A$1:$BV$1217</definedName>
    <definedName name="Z_770D12CD_F289_4B1F_9FBC_D08EEEAE0E2D_.wvu.FilterData" localSheetId="1" hidden="1">IMPORTS!$A$1:$CC$1353</definedName>
    <definedName name="Z_771049DD_8C29_490F_AF84_5AC4C818A51B_.wvu.FilterData" localSheetId="1" hidden="1">IMPORTS!$A$1:$CC$1845</definedName>
    <definedName name="Z_772D2676_02DB_4E6C_B0F0_3EDE3E0F924D_.wvu.FilterData" localSheetId="1" hidden="1">IMPORTS!$A$1:$CF$2011</definedName>
    <definedName name="Z_77443E47_FB95_4128_964B_29EDE1D2E309_.wvu.FilterData" localSheetId="1" hidden="1">IMPORTS!$A$1:$CC$1545</definedName>
    <definedName name="Z_7766261F_F4B6_498B_B2A4_054E9C003FAE_.wvu.FilterData" localSheetId="1" hidden="1">IMPORTS!$A$1:$CC$1443</definedName>
    <definedName name="Z_77E016E7_E11A_499F_B48B_D9DCE99C72AE_.wvu.FilterData" localSheetId="1" hidden="1">IMPORTS!$A$1:$CF$1912</definedName>
    <definedName name="Z_77F85AC3_2211_409F_950E_5D50A07B274E_.wvu.FilterData" localSheetId="1" hidden="1">IMPORTS!$A$1:$CC$1817</definedName>
    <definedName name="Z_77FD637B_3C7D_4DF7_8DB5_AE45ED085C34_.wvu.FilterData" localSheetId="1" hidden="1">IMPORTS!$A$1:$CC$1845</definedName>
    <definedName name="Z_78C62EAF_D1C1_4CF9_92D1_860E87E76436_.wvu.FilterData" localSheetId="1" hidden="1">IMPORTS!$A$1:$CF$2009</definedName>
    <definedName name="Z_78E982BD_12C8_44D4_AFE8_4BE6FE432F85_.wvu.FilterData" localSheetId="1" hidden="1">IMPORTS!$A$1:$BV$733</definedName>
    <definedName name="Z_79288556_11F5_442B_9C3A_192BB5995AD1_.wvu.FilterData" localSheetId="1" hidden="1">IMPORTS!$A$1:$CF$2006</definedName>
    <definedName name="Z_79401E60_6D51_4C85_9F4F_5C74C3433D97_.wvu.FilterData" localSheetId="1" hidden="1">IMPORTS!$A$1:$BV$807</definedName>
    <definedName name="Z_799B08EE_83F7_4E22_B0B2_71A5722616B3_.wvu.FilterData" localSheetId="1" hidden="1">IMPORTS!$A$1:$BV$905</definedName>
    <definedName name="Z_7A039584_8F16_452D_92EF_B30462DBF4ED_.wvu.FilterData" localSheetId="1" hidden="1">IMPORTS!$A$1:$BV$1114</definedName>
    <definedName name="Z_7A1219B2_90F7_4B21_9D8E_44ED93753AA4_.wvu.FilterData" localSheetId="1" hidden="1">IMPORTS!$A$1:$CC$1606</definedName>
    <definedName name="Z_7A72B135_12A1_4252_AD94_F54A51E22EE3_.wvu.FilterData" localSheetId="1" hidden="1">IMPORTS!$A$1:$CF$1918</definedName>
    <definedName name="Z_7A79197E_32A9_47AF_8B4F_6E006289926C_.wvu.FilterData" localSheetId="1" hidden="1">IMPORTS!$A$1:$BV$850</definedName>
    <definedName name="Z_7A878B4F_50FD_4DAB_B27A_F95D89193B4B_.wvu.FilterData" localSheetId="1" hidden="1">IMPORTS!$A$1:$CC$1808</definedName>
    <definedName name="Z_7AA7408D_4B62_454C_B0B8_058AAB1B4BCF_.wvu.FilterData" localSheetId="1" hidden="1">IMPORTS!$A$1:$BV$1114</definedName>
    <definedName name="Z_7AB2E26A_15B0_403F_8A9E_91015F5C01A2_.wvu.FilterData" localSheetId="1" hidden="1">IMPORTS!$A$1:$BV$881</definedName>
    <definedName name="Z_7AC2102E_3C71_4FD3_9D34_0ECFA6FE002A_.wvu.FilterData" localSheetId="1" hidden="1">IMPORTS!$A$1:$CC$1439</definedName>
    <definedName name="Z_7B238F03_D88F_407B_B9CC_BB21F03850DD_.wvu.FilterData" localSheetId="1" hidden="1">IMPORTS!$A$1:$CF$1911</definedName>
    <definedName name="Z_7B2FEDCC_8C5D_4247_982C_AA417FD305C3_.wvu.FilterData" localSheetId="1" hidden="1">IMPORTS!$A$1:$CF$1910</definedName>
    <definedName name="Z_7B914BF0_F1D5_48D4_BB4F_932D81AB7FB2_.wvu.FilterData" localSheetId="1" hidden="1">IMPORTS!$A$1:$BV$769</definedName>
    <definedName name="Z_7C6DA7AF_9252_472D_A888_3ADE8C7C69D8_.wvu.FilterData" localSheetId="1" hidden="1">IMPORTS!$A$1:$CF$1998</definedName>
    <definedName name="Z_7C7608C0_E667_43D0_9566_B4DB1182EDEB_.wvu.FilterData" localSheetId="1" hidden="1">IMPORTS!$A$1:$BV$1032</definedName>
    <definedName name="Z_7CA9752D_FA05_481E_BBB6_683FDF26DDDA_.wvu.FilterData" localSheetId="1" hidden="1">IMPORTS!$A$1:$CC$1810</definedName>
    <definedName name="Z_7CAA7BC4_B9D8_4FCE_826C_52C0AA4260CA_.wvu.FilterData" localSheetId="1" hidden="1">IMPORTS!$A$1:$CC$1582</definedName>
    <definedName name="Z_7E07A3EC_F904_4440_8A1E_01DEDCC14B2E_.wvu.FilterData" localSheetId="1" hidden="1">IMPORTS!$A$1:$BV$1119</definedName>
    <definedName name="Z_7E1EA1D6_9BC5_4CE9_8C4D_BE06AE6A4C67_.wvu.FilterData" localSheetId="1" hidden="1">IMPORTS!$A$1:$CF$2009</definedName>
    <definedName name="Z_7E230460_6B9A_4344_97A7_9EF0EABEA44F_.wvu.FilterData" localSheetId="1" hidden="1">IMPORTS!$A$1:$CC$1361</definedName>
    <definedName name="Z_7E28D959_66C4_4C52_92D9_4755AE651D72_.wvu.FilterData" localSheetId="1" hidden="1">IMPORTS!$A$1:$BV$1243</definedName>
    <definedName name="Z_7E614389_D66C_4DC3_A8DB_FD12C10AF3BB_.wvu.FilterData" localSheetId="1" hidden="1">IMPORTS!$A$1:$CF$2011</definedName>
    <definedName name="Z_7E948580_769F_4E41_BB05_045126CB1D3E_.wvu.FilterData" localSheetId="1" hidden="1">IMPORTS!$A$1:$CF$1957</definedName>
    <definedName name="Z_7E97646E_F284_4DCD_AE74_2577FCBC2864_.wvu.FilterData" localSheetId="1" hidden="1">IMPORTS!$A$1:$CF$2006</definedName>
    <definedName name="Z_7EA42502_85D0_4AF7_9142_B0EE18FF9068_.wvu.FilterData" localSheetId="1" hidden="1">IMPORTS!$A$1:$BV$1092</definedName>
    <definedName name="Z_7EDB79E8_782C_4BAE_8676_9794F60BACB6_.wvu.FilterData" localSheetId="1" hidden="1">IMPORTS!$A$1:$BV$1142</definedName>
    <definedName name="Z_7F3D2653_B7A9_45F9_8737_0874AEA97A28_.wvu.FilterData" localSheetId="1" hidden="1">IMPORTS!$A$1:$BV$759</definedName>
    <definedName name="Z_7F5C35E2_202D_4820_89DB_DFA05D81846C_.wvu.FilterData" localSheetId="1" hidden="1">IMPORTS!$A$1:$BV$733</definedName>
    <definedName name="Z_7FA72EA3_760E_4DD2_A2EE_36DC2374C712_.wvu.FilterData" localSheetId="1" hidden="1">IMPORTS!$A$1:$CC$1380</definedName>
    <definedName name="Z_7FB82476_6499_4FE6_973E_5226A3B23207_.wvu.FilterData" localSheetId="1" hidden="1">IMPORTS!$A$1:$BV$1034</definedName>
    <definedName name="Z_7FCA897F_17ED_4856_BCB2_0B19485C782C_.wvu.FilterData" localSheetId="1" hidden="1">IMPORTS!$A$1:$CF$1930</definedName>
    <definedName name="Z_80001444_331B_4B13_808E_E6495F9E8B44_.wvu.FilterData" localSheetId="1" hidden="1">IMPORTS!$A$1:$CC$1604</definedName>
    <definedName name="Z_8022CF22_8ED6_4239_BF62_30D48583D280_.wvu.FilterData" localSheetId="1" hidden="1">IMPORTS!$A$1:$BV$1602</definedName>
    <definedName name="Z_8033AD2A_9671_489F_80E9_287DC0998932_.wvu.FilterData" localSheetId="1" hidden="1">IMPORTS!$A$1:$CF$2011</definedName>
    <definedName name="Z_804CDEAC_90F2_4EC6_8748_7FFB55D62DC8_.wvu.FilterData" localSheetId="6" hidden="1">'FAM-CLASS'!$A$1:$D$144</definedName>
    <definedName name="Z_804CDEAC_90F2_4EC6_8748_7FFB55D62DC8_.wvu.FilterData" localSheetId="1" hidden="1">IMPORTS!$A$1:$BV$1091</definedName>
    <definedName name="Z_804D41A7_40FD_44CD_85AB_4D58AD250855_.wvu.FilterData" localSheetId="1" hidden="1">IMPORTS!$A$1:$CF$1912</definedName>
    <definedName name="Z_80923348_5F7B_42DE_8DA8_4FC6EB771755_.wvu.FilterData" localSheetId="1" hidden="1">IMPORTS!$A$1:$CF$1901</definedName>
    <definedName name="Z_80CDAD9C_3FFB_4B68_AA4D_1A73EBDEB4AF_.wvu.FilterData" localSheetId="1" hidden="1">IMPORTS!$A$1:$CC$1575</definedName>
    <definedName name="Z_80E97652_420C_43D8_AEFB_77197F4D2090_.wvu.FilterData" localSheetId="1" hidden="1">IMPORTS!$A$1:$CC$1504</definedName>
    <definedName name="Z_812E3305_CB4A_4DE1_A1A4_0738B4B11AAF_.wvu.FilterData" localSheetId="1" hidden="1">IMPORTS!$A$1:$CC$1821</definedName>
    <definedName name="Z_8168DF5A_3807_486E_B7B7_732D37A03798_.wvu.FilterData" localSheetId="1" hidden="1">IMPORTS!$A$1:$CC$1556</definedName>
    <definedName name="Z_81F10B36_DC88_49C0_91D2_731BDBF31961_.wvu.FilterData" localSheetId="1" hidden="1">IMPORTS!$A$1:$CC$1439</definedName>
    <definedName name="Z_820F8E1D_E2A1_467C_A457_F8AFA2C21F4E_.wvu.FilterData" localSheetId="1" hidden="1">IMPORTS!$A$1:$CC$1515</definedName>
    <definedName name="Z_824312C6_EBE3_4779_B8DB_2616124EC58B_.wvu.FilterData" localSheetId="1" hidden="1">IMPORTS!$A$1:$CC$1504</definedName>
    <definedName name="Z_8244FE45_B92A_4820_935A_49F4144D69C6_.wvu.FilterData" localSheetId="1" hidden="1">IMPORTS!$A$1:$CC$1845</definedName>
    <definedName name="Z_825390A8_3185_4F4E_B4B9_51EA228B5ED3_.wvu.FilterData" localSheetId="1" hidden="1">IMPORTS!$A$1:$CF$2011</definedName>
    <definedName name="Z_828C5D70_E56A_4D88_AAEC_BBB57D585E41_.wvu.FilterData" localSheetId="1" hidden="1">IMPORTS!$A$1:$CC$1795</definedName>
    <definedName name="Z_82BACB23_DA5E_46E7_A8FC_5FEB9B013347_.wvu.FilterData" localSheetId="1" hidden="1">IMPORTS!$A$1:$CF$1929</definedName>
    <definedName name="Z_82BACB23_DA5E_46E7_A8FC_5FEB9B013347_.wvu.FilterData" localSheetId="4" hidden="1">'INGRESOS OC''s'!$A$1:$N$331</definedName>
    <definedName name="Z_82BBC706_F164_4179_AD37_8AB9C150AB7C_.wvu.FilterData" localSheetId="1" hidden="1">IMPORTS!$A$1:$CC$1807</definedName>
    <definedName name="Z_82BBC706_F164_4179_AD37_8AB9C150AB7C_.wvu.FilterData" localSheetId="4" hidden="1">'INGRESOS OC''s'!$A$1:$N$151</definedName>
    <definedName name="Z_82ECAAF8_A3D6_43FE_8122_1DECAF8298A4_.wvu.FilterData" localSheetId="1" hidden="1">IMPORTS!$A$1:$CF$1894</definedName>
    <definedName name="Z_833E5E1A_D4AE_4376_9E29_D65329E675D8_.wvu.FilterData" localSheetId="1" hidden="1">IMPORTS!$A$1:$BV$807</definedName>
    <definedName name="Z_83B74B23_6331_4D32_B4B4_970F6E1D83E2_.wvu.FilterData" localSheetId="1" hidden="1">IMPORTS!$A$1:$CF$1980</definedName>
    <definedName name="Z_83CA28AC_F421_4833_9C7E_966F422B6B4C_.wvu.FilterData" localSheetId="1" hidden="1">IMPORTS!$A$1:$CC$1581</definedName>
    <definedName name="Z_83DE039A_0F8F_4BE8_A73C_11F0240573EB_.wvu.FilterData" localSheetId="1" hidden="1">IMPORTS!$A$1:$CC$1821</definedName>
    <definedName name="Z_842A4E9F_481C_44F4_9295_C7CF4F3381FF_.wvu.FilterData" localSheetId="1" hidden="1">IMPORTS!$A$1:$CF$1957</definedName>
    <definedName name="Z_84464A4B_0C36_4E90_A6AB_E48DC9505AB7_.wvu.FilterData" localSheetId="1" hidden="1">IMPORTS!$A$1:$BV$733</definedName>
    <definedName name="Z_84599C97_4DB6_4F6B_BC89_8E72C6966173_.wvu.FilterData" localSheetId="1" hidden="1">IMPORTS!$A$1:$BV$1114</definedName>
    <definedName name="Z_847374FE_2C49_4E64_A297_D738B21C67F1_.wvu.FilterData" localSheetId="1" hidden="1">IMPORTS!$A$1:$CC$1247</definedName>
    <definedName name="Z_847C48ED_4105_41BB_A804_97F8904BA7CA_.wvu.FilterData" localSheetId="1" hidden="1">IMPORTS!$A$1:$CC$1439</definedName>
    <definedName name="Z_84901665_112C_4D2F_B230_F84A960D6694_.wvu.FilterData" localSheetId="1" hidden="1">IMPORTS!$A$1:$CC$1602</definedName>
    <definedName name="Z_84F097FC_6887_4844_9209_B76EEEA8F25B_.wvu.FilterData" localSheetId="1" hidden="1">IMPORTS!$A$1:$CF$2006</definedName>
    <definedName name="Z_85182997_D1B6_4117_BD0A_037B056DBD1F_.wvu.FilterData" localSheetId="1" hidden="1">IMPORTS!$A$1:$CC$1845</definedName>
    <definedName name="Z_85781952_73D0_40C0_B88F_626F1F1DC006_.wvu.Cols" localSheetId="7" hidden="1">ABC!$D:$D</definedName>
    <definedName name="Z_85781952_73D0_40C0_B88F_626F1F1DC006_.wvu.Cols" localSheetId="1" hidden="1">IMPORTS!$R:$S,IMPORTS!$V:$Y</definedName>
    <definedName name="Z_85781952_73D0_40C0_B88F_626F1F1DC006_.wvu.Cols" localSheetId="4" hidden="1">'INGRESOS OC''s'!$E:$G,'INGRESOS OC''s'!$N:$N,'INGRESOS OC''s'!$S:$T</definedName>
    <definedName name="Z_85781952_73D0_40C0_B88F_626F1F1DC006_.wvu.FilterData" localSheetId="6" hidden="1">'FAM-CLASS'!$A$1:$D$144</definedName>
    <definedName name="Z_85781952_73D0_40C0_B88F_626F1F1DC006_.wvu.FilterData" localSheetId="1" hidden="1">IMPORTS!$A$1:$CF$1894</definedName>
    <definedName name="Z_85781952_73D0_40C0_B88F_626F1F1DC006_.wvu.FilterData" localSheetId="4" hidden="1">'INGRESOS OC''s'!$A$1:$N$266</definedName>
    <definedName name="Z_869BF51A_25A4_4212_8CA7_5DDD49DF32CA_.wvu.FilterData" localSheetId="1" hidden="1">IMPORTS!$A$1:$CC$1879</definedName>
    <definedName name="Z_86CB0FC1_75FF_4F1D_A299_C51733558113_.wvu.FilterData" localSheetId="1" hidden="1">IMPORTS!$A$1:$CC$1880</definedName>
    <definedName name="Z_86E57144_E6A0_413E_80ED_86F17399074C_.wvu.FilterData" localSheetId="1" hidden="1">IMPORTS!$A$1:$CF$2011</definedName>
    <definedName name="Z_86FACAF1_E85C_4CDE_ADF2_589A6B4DC342_.wvu.FilterData" localSheetId="1" hidden="1">IMPORTS!$A$1:$CC$1815</definedName>
    <definedName name="Z_870E887F_9133_42A3_99C4_104A15E15BA9_.wvu.FilterData" localSheetId="1" hidden="1">IMPORTS!$A$1:$CF$1896</definedName>
    <definedName name="Z_87220CD5_704B_42EC_930C_11E1F8AC6A25_.wvu.FilterData" localSheetId="1" hidden="1">IMPORTS!$A$1:$CC$1591</definedName>
    <definedName name="Z_8733DE7E_99CF_434A_B1FF_BE0E77AD5584_.wvu.FilterData" localSheetId="1" hidden="1">IMPORTS!$A$1:$CF$2006</definedName>
    <definedName name="Z_875B5424_C279_40B3_B478_785FD26602D4_.wvu.FilterData" localSheetId="1" hidden="1">IMPORTS!$A$1:$CC$1243</definedName>
    <definedName name="Z_8797B14C_DF0E_4899_B528_1B52DE194B06_.wvu.FilterData" localSheetId="1" hidden="1">IMPORTS!$A$1:$CC$1758</definedName>
    <definedName name="Z_87C27136_4BDA_4396_B0F9_AF2F24AA00E4_.wvu.FilterData" localSheetId="1" hidden="1">IMPORTS!$A$1:$CC$1810</definedName>
    <definedName name="Z_88018EFA_9E44_45B1_B67D_844A5CC3622F_.wvu.FilterData" localSheetId="1" hidden="1">IMPORTS!$A$1:$BV$733</definedName>
    <definedName name="Z_8829A096_A158_47AF_8609_30BA1FA9A55D_.wvu.FilterData" localSheetId="1" hidden="1">IMPORTS!$A$1:$CC$1559</definedName>
    <definedName name="Z_8881ACE8_4764_47C4_95C9_B73E8DE1C66B_.wvu.FilterData" localSheetId="1" hidden="1">IMPORTS!$A$1:$BV$1091</definedName>
    <definedName name="Z_88BA4110_7AE9_405E_A204_5D1FA5C05C01_.wvu.FilterData" localSheetId="1" hidden="1">IMPORTS!$A$1:$CC$1353</definedName>
    <definedName name="Z_88BC7873_969E_46DB_BB78_CA42A11F82F6_.wvu.FilterData" localSheetId="1" hidden="1">IMPORTS!$A$1:$CC$1537</definedName>
    <definedName name="Z_88D554E3_C86F_4D2F_8C3D_4EFE4E9D29A1_.wvu.FilterData" localSheetId="1" hidden="1">IMPORTS!$A$1:$BV$759</definedName>
    <definedName name="Z_88FE615C_415E_48E8_8B8B_F6E02EEF6684_.wvu.FilterData" localSheetId="1" hidden="1">IMPORTS!$A$1:$BV$1034</definedName>
    <definedName name="Z_891B3CAB_7E99_492E_A631_53A28302FEDF_.wvu.FilterData" localSheetId="1" hidden="1">IMPORTS!$A$1:$CC$1556</definedName>
    <definedName name="Z_891F3DF7_46A6_48D8_98CB_C7D88AC3F222_.wvu.FilterData" localSheetId="1" hidden="1">IMPORTS!$A$1:$CC$1558</definedName>
    <definedName name="Z_895BF271_088E_4DC3_873B_63B55B068178_.wvu.FilterData" localSheetId="1" hidden="1">IMPORTS!$A$1:$CC$1816</definedName>
    <definedName name="Z_895BF271_088E_4DC3_873B_63B55B068178_.wvu.FilterData" localSheetId="4" hidden="1">'INGRESOS OC''s'!$A$1:$N$166</definedName>
    <definedName name="Z_896ED906_F4C4_43E3_B057_5AFDC3CDB987_.wvu.FilterData" localSheetId="1" hidden="1">IMPORTS!$A$1:$CC$1542</definedName>
    <definedName name="Z_89BC1B15_C656_4DC7_8AAE_DE41FA7BEA12_.wvu.FilterData" localSheetId="1" hidden="1">IMPORTS!$A$1:$CC$1821</definedName>
    <definedName name="Z_89FEB647_CBEC_4A09_BE3B_11AC59A22A75_.wvu.FilterData" localSheetId="1" hidden="1">IMPORTS!$A$1:$BV$807</definedName>
    <definedName name="Z_8A07D277_9CFD_48FA_A676_659B7F3CB870_.wvu.FilterData" localSheetId="1" hidden="1">IMPORTS!$A$1:$CF$2006</definedName>
    <definedName name="Z_8A364669_4131_4D85_AC49_1A6D2D158CD6_.wvu.FilterData" localSheetId="1" hidden="1">IMPORTS!$A$1:$CF$1910</definedName>
    <definedName name="Z_8A364669_4131_4D85_AC49_1A6D2D158CD6_.wvu.FilterData" localSheetId="4" hidden="1">'INGRESOS OC''s'!$A$1:$N$266</definedName>
    <definedName name="Z_8A8AB7F3_2D27_42DC_8F57_225C7E8C5207_.wvu.FilterData" localSheetId="1" hidden="1">IMPORTS!$A$1:$CC$1247</definedName>
    <definedName name="Z_8A9EF249_9184_4A4A_9895_3B602BD63B91_.wvu.FilterData" localSheetId="1" hidden="1">IMPORTS!$A$1:$BV$1092</definedName>
    <definedName name="Z_8AAF89B5_D8E2_4959_8160_B36DF1A0AD93_.wvu.FilterData" localSheetId="1" hidden="1">IMPORTS!$A$1:$BV$732</definedName>
    <definedName name="Z_8AEA0A22_8640_47F8_9B03_91D0B56DA338_.wvu.FilterData" localSheetId="1" hidden="1">IMPORTS!$A$1:$CC$1744</definedName>
    <definedName name="Z_8B40B21A_67C6_4660_90D8_FED23F7DF928_.wvu.FilterData" localSheetId="1" hidden="1">IMPORTS!$A$1:$BV$1118</definedName>
    <definedName name="Z_8B485D3E_D60A_47A4_9AEA_D720C4D5DA53_.wvu.FilterData" localSheetId="1" hidden="1">IMPORTS!$A$1:$CF$1957</definedName>
    <definedName name="Z_8B6960E1_ED99_472F_B641_AA41791D4291_.wvu.FilterData" localSheetId="1" hidden="1">IMPORTS!$A$1:$CC$1293</definedName>
    <definedName name="Z_8BD46702_6C3B_4A05_BD26_52C7DEB6B0B8_.wvu.FilterData" localSheetId="1" hidden="1">IMPORTS!$A$1:$CC$1542</definedName>
    <definedName name="Z_8BF590A1_F1AE_4249_80C3_91D32F12DBD4_.wvu.FilterData" localSheetId="1" hidden="1">IMPORTS!$A$1:$CC$1352</definedName>
    <definedName name="Z_8C5C9EC3_F301_49CB_9C5B_0C022EF1EEF9_.wvu.FilterData" localSheetId="1" hidden="1">IMPORTS!$A$1:$CC$1845</definedName>
    <definedName name="Z_8CBCAEC9_ADB7_4B63_9769_04A08C020E83_.wvu.FilterData" localSheetId="1" hidden="1">IMPORTS!$A$1:$BV$1034</definedName>
    <definedName name="Z_8CCB2A00_1313_4571_A279_9C5DB5932213_.wvu.FilterData" localSheetId="1" hidden="1">IMPORTS!$A$1:$CC$1353</definedName>
    <definedName name="Z_8D43DB6C_19F2_4FAA_9C19_51004612F0E3_.wvu.FilterData" localSheetId="1" hidden="1">IMPORTS!$A$1:$CF$2006</definedName>
    <definedName name="Z_8D457FFD_431F_451B_8B01_872C1ECB8B5E_.wvu.FilterData" localSheetId="1" hidden="1">IMPORTS!$A$1:$BV$807</definedName>
    <definedName name="Z_8DC63184_BEC6_4DAD_8208_FEA4C756B619_.wvu.FilterData" localSheetId="1" hidden="1">IMPORTS!$A$1:$CC$1591</definedName>
    <definedName name="Z_8E1859FD_7D10_44D8_8F80_6E4B032A73DF_.wvu.FilterData" localSheetId="1" hidden="1">IMPORTS!$A$1:$BV$921</definedName>
    <definedName name="Z_8E2DBAEE_E25E_4018_8F98_9291D02B7417_.wvu.FilterData" localSheetId="1" hidden="1">IMPORTS!$A$1:$BV$732</definedName>
    <definedName name="Z_8E52E12C_7A30_4475_AE41_DF9BD8712F73_.wvu.FilterData" localSheetId="1" hidden="1">IMPORTS!$A$1:$CC$1472</definedName>
    <definedName name="Z_8E591B1D_4AF6_4B29_86D2_52A54FBD9FEC_.wvu.FilterData" localSheetId="1" hidden="1">IMPORTS!$A$1:$BV$732</definedName>
    <definedName name="Z_8E77807E_4488_47B7_BCC0_3369321C1DED_.wvu.FilterData" localSheetId="1" hidden="1">IMPORTS!$A$1:$CF$1980</definedName>
    <definedName name="Z_8EA3484B_13DF_4CF6_9DE5_92731E3F4CB6_.wvu.FilterData" localSheetId="1" hidden="1">IMPORTS!$A$1:$CC$1481</definedName>
    <definedName name="Z_8EE3715A_C535_43F1_9D0D_D931ACE969A0_.wvu.FilterData" localSheetId="1" hidden="1">IMPORTS!$A$1:$BV$850</definedName>
    <definedName name="Z_8EE424B0_EC6F_46D1_A6EB_C4E1C9593F31_.wvu.FilterData" localSheetId="1" hidden="1">IMPORTS!$A$1:$CC$1353</definedName>
    <definedName name="Z_8F0082AE_9FD7_4AA3_862C_0082CF62D168_.wvu.FilterData" localSheetId="1" hidden="1">IMPORTS!$A$1:$BV$881</definedName>
    <definedName name="Z_8F3625AE_CF2A_46D0_A799_F96612670BD9_.wvu.FilterData" localSheetId="1" hidden="1">IMPORTS!$A$1:$BV$732</definedName>
    <definedName name="Z_8F3E2129_044F_4613_9E45_F63BDDF0FDD5_.wvu.FilterData" localSheetId="1" hidden="1">IMPORTS!$A$1:$CF$1980</definedName>
    <definedName name="Z_8F3E2129_044F_4613_9E45_F63BDDF0FDD5_.wvu.FilterData" localSheetId="4" hidden="1">'INGRESOS OC''s'!$A$1:$N$331</definedName>
    <definedName name="Z_8F4E6FA5_B967_41F5_9BE8_2A090C0634CE_.wvu.FilterData" localSheetId="1" hidden="1">IMPORTS!$A$1:$CC$1604</definedName>
    <definedName name="Z_8F8A8207_9437_424A_9A40_E0CF48EE9C38_.wvu.FilterData" localSheetId="1" hidden="1">IMPORTS!$A$1:$CF$1928</definedName>
    <definedName name="Z_8FA84A94_B83D_4A68_B563_248B92C2926F_.wvu.FilterData" localSheetId="1" hidden="1">IMPORTS!$A$1:$CC$1816</definedName>
    <definedName name="Z_8FE9F844_71A4_4A2E_905E_BB04946A0B9C_.wvu.FilterData" localSheetId="1" hidden="1">IMPORTS!$A$1:$CC$1854</definedName>
    <definedName name="Z_903EBCF7_D5B7_4720_9C0F_BC458DA6179D_.wvu.FilterData" localSheetId="1" hidden="1">IMPORTS!$A$1:$CC$1247</definedName>
    <definedName name="Z_907A89C7_C8DF_4352_A1C2_7A9FEB1D0CF5_.wvu.FilterData" localSheetId="1" hidden="1">IMPORTS!$A$1:$CC$1352</definedName>
    <definedName name="Z_90C67045_BDCF_4D5F_B6E6_3A379E976138_.wvu.FilterData" localSheetId="1" hidden="1">IMPORTS!$A$1:$CC$1253</definedName>
    <definedName name="Z_90D2B521_DFC9_4ABF_ACC2_9BADD7A502BE_.wvu.FilterData" localSheetId="1" hidden="1">IMPORTS!$A$1:$BV$845</definedName>
    <definedName name="Z_90D70D9A_568F_46FD_B84F_14F4A26D10CA_.wvu.FilterData" localSheetId="1" hidden="1">IMPORTS!$A$1:$BV$1152</definedName>
    <definedName name="Z_914FDB5A_A6FA_460D_9485_1E3E1BC9D4ED_.wvu.FilterData" localSheetId="1" hidden="1">IMPORTS!$A$1:$CC$1730</definedName>
    <definedName name="Z_9150D237_9507_48E3_AFBE_AD90E704D82F_.wvu.FilterData" localSheetId="1" hidden="1">IMPORTS!$A$1:$CF$1957</definedName>
    <definedName name="Z_91665A34_557A_4735_899F_A2A8B17F05AB_.wvu.FilterData" localSheetId="1" hidden="1">IMPORTS!$A$1:$CC$1451</definedName>
    <definedName name="Z_91B3F3D2_5F79_4005_849C_7086157E052F_.wvu.FilterData" localSheetId="1" hidden="1">IMPORTS!$A$1:$CC$1541</definedName>
    <definedName name="Z_91B715D3_8525_4BBD_B75F_9C167A9F71E4_.wvu.FilterData" localSheetId="1" hidden="1">IMPORTS!$A$1:$CC$1545</definedName>
    <definedName name="Z_92009382_82FB_4C82_8DB0_12EFD7025C68_.wvu.FilterData" localSheetId="1" hidden="1">IMPORTS!$A$1:$CC$1744</definedName>
    <definedName name="Z_92212EBA_9197_40B3_949F_A181BB9EB7DD_.wvu.FilterData" localSheetId="1" hidden="1">IMPORTS!$A$1:$CC$1878</definedName>
    <definedName name="Z_9222866A_BCFB_472A_B801_946ABBC5A155_.wvu.FilterData" localSheetId="1" hidden="1">IMPORTS!$A$1:$BV$1147</definedName>
    <definedName name="Z_93290C4B_5A58_4D88_9D0B_6DBFADCC9ECD_.wvu.FilterData" localSheetId="1" hidden="1">IMPORTS!$A$1:$CC$1591</definedName>
    <definedName name="Z_933E4E52_6C3B_49BC_80CB_6C9142C9CF73_.wvu.FilterData" localSheetId="1" hidden="1">IMPORTS!$A$1:$CC$1558</definedName>
    <definedName name="Z_9346D3BB_B4E1_4C99_A4C9_852741B3F691_.wvu.FilterData" localSheetId="1" hidden="1">IMPORTS!$A$1:$CF$1889</definedName>
    <definedName name="Z_936BB13D_A55E_4173_9780_7AA934880B2D_.wvu.FilterData" localSheetId="1" hidden="1">IMPORTS!$A$1:$BV$1034</definedName>
    <definedName name="Z_936FD632_FACD_43A7_8B0F_A710286D7A8F_.wvu.FilterData" localSheetId="1" hidden="1">IMPORTS!$A$1:$CC$1535</definedName>
    <definedName name="Z_939FA881_3430_411B_B99B_9C7A0907CC4F_.wvu.FilterData" localSheetId="1" hidden="1">IMPORTS!$A$1:$CC$1243</definedName>
    <definedName name="Z_93A8E594_E923_4630_8FB1_506837A81892_.wvu.FilterData" localSheetId="1" hidden="1">IMPORTS!$A$1:$CC$1558</definedName>
    <definedName name="Z_93BDA16F_9624_4361_BEED_9BC9D2F591CF_.wvu.FilterData" localSheetId="1" hidden="1">IMPORTS!$A$1:$CC$1481</definedName>
    <definedName name="Z_94028CAD_5D21_4A45_869F_490A9753FF78_.wvu.FilterData" localSheetId="1" hidden="1">IMPORTS!$A$1:$BV$769</definedName>
    <definedName name="Z_945CF1CA_F280_40BC_8639_6A623794A89D_.wvu.FilterData" localSheetId="1" hidden="1">IMPORTS!$A$1:$CC$1880</definedName>
    <definedName name="Z_948CF8DC_42DA_421C_9EC5_9231793354CF_.wvu.FilterData" localSheetId="1" hidden="1">IMPORTS!$A$1:$BV$1034</definedName>
    <definedName name="Z_94B3DCE7_E9A5_4068_848F_B5FE95841664_.wvu.FilterData" localSheetId="1" hidden="1">IMPORTS!$A$1:$CC$1353</definedName>
    <definedName name="Z_94CD8756_4928_4A32_8012_567431BB88F2_.wvu.FilterData" localSheetId="1" hidden="1">IMPORTS!$A$1:$BV$1247</definedName>
    <definedName name="Z_94CEA0F4_D1EB_4DDA_9165_8EDF5A4FB906_.wvu.FilterData" localSheetId="1" hidden="1">IMPORTS!$A$1:$BV$1157</definedName>
    <definedName name="Z_95143D76_24E4_4D9C_A594_31863BFDB205_.wvu.FilterData" localSheetId="1" hidden="1">IMPORTS!$A$1:$CC$1816</definedName>
    <definedName name="Z_9525A48B_2B39_4208_AD00_9FE91F845406_.wvu.FilterData" localSheetId="1" hidden="1">IMPORTS!$A$1:$CC$1543</definedName>
    <definedName name="Z_95B5740C_F704_4BA0_899B_FA856304AE5A_.wvu.FilterData" localSheetId="1" hidden="1">IMPORTS!$A$1:$BV$769</definedName>
    <definedName name="Z_95C04246_3F28_44C3_AE17_620DFFD21C09_.wvu.FilterData" localSheetId="1" hidden="1">IMPORTS!$A$1:$BV$850</definedName>
    <definedName name="Z_95D7D8E9_4480_4084_AF88_827F53411FE7_.wvu.FilterData" localSheetId="1" hidden="1">IMPORTS!$A$1:$CF$2011</definedName>
    <definedName name="Z_95EA655E_ADE6_4015_818D_560FC8601765_.wvu.FilterData" localSheetId="1" hidden="1">IMPORTS!$A$1:$CF$1924</definedName>
    <definedName name="Z_960D4C4D_F921_4846_B224_E5A881DBAF5F_.wvu.FilterData" localSheetId="1" hidden="1">IMPORTS!$A$1:$CC$1217</definedName>
    <definedName name="Z_96FF5704_83CB_405B_AAFA_F449BB546C04_.wvu.FilterData" localSheetId="1" hidden="1">IMPORTS!$A$1:$BV$759</definedName>
    <definedName name="Z_977C975E_65C1_46E6_AA38_C7E2C4EACCCD_.wvu.FilterData" localSheetId="1" hidden="1">IMPORTS!$A$1:$CC$1558</definedName>
    <definedName name="Z_97968567_0BF6_43B7_8702_4685E6C9867E_.wvu.FilterData" localSheetId="1" hidden="1">IMPORTS!$A$1:$CC$1606</definedName>
    <definedName name="Z_97E60713_505E_47E7_B672_A4F2E7356B84_.wvu.FilterData" localSheetId="1" hidden="1">IMPORTS!$A$1:$CC$1535</definedName>
    <definedName name="Z_98F2FA7B_85D6_4604_A5DF_2269BA781790_.wvu.FilterData" localSheetId="6" hidden="1">'FAM-CLASS'!$A$1:$D$144</definedName>
    <definedName name="Z_992F1D0B_11F8_46FE_92C4_7F6A9C86366B_.wvu.FilterData" localSheetId="1" hidden="1">IMPORTS!$A$1:$BV$759</definedName>
    <definedName name="Z_9A3FB9DF_1C51_4DE0_8650_9F50F0EB76C8_.wvu.FilterData" localSheetId="1" hidden="1">IMPORTS!$A$1:$CC$1661</definedName>
    <definedName name="Z_9A476141_8D0C_4CB5_A1AF_D692C580E3E5_.wvu.FilterData" localSheetId="1" hidden="1">IMPORTS!$A$1:$CC$1439</definedName>
    <definedName name="Z_9A722772_40A0_4CB7_93CF_8251B7985E16_.wvu.FilterData" localSheetId="1" hidden="1">IMPORTS!$A$1:$ARG$1956</definedName>
    <definedName name="Z_9AD0E4E0_13DA_4E15_8199_644CF11EC306_.wvu.FilterData" localSheetId="1" hidden="1">IMPORTS!$A$1:$CC$1439</definedName>
    <definedName name="Z_9B091F31_BCC5_4910_8BB2_56CAB0C8B884_.wvu.FilterData" localSheetId="1" hidden="1">IMPORTS!$A$1:$BV$1154</definedName>
    <definedName name="Z_9B11B9F3_A74B_42F5_9C7D_133833DCF8C9_.wvu.FilterData" localSheetId="1" hidden="1">IMPORTS!$A$1:$CC$1700</definedName>
    <definedName name="Z_9BA7645C_E0D4_4B77_9230_F03DC7D192D8_.wvu.FilterData" localSheetId="1" hidden="1">IMPORTS!$A$1:$BV$733</definedName>
    <definedName name="Z_9BB05030_8193_46BC_AD6D_F295B3A812B5_.wvu.FilterData" localSheetId="1" hidden="1">IMPORTS!$A$1:$CC$1727</definedName>
    <definedName name="Z_9BB05030_8193_46BC_AD6D_F295B3A812B5_.wvu.FilterData" localSheetId="4" hidden="1">'INGRESOS OC''s'!$A$1:$N$96</definedName>
    <definedName name="Z_9BC63BE9_ED0B_4143_87A1_5799AFD03001_.wvu.FilterData" localSheetId="1" hidden="1">IMPORTS!$A$1:$CC$1243</definedName>
    <definedName name="Z_9BDF1CA6_473D_4B73_BFE6_5AAE73DC0FD2_.wvu.FilterData" localSheetId="1" hidden="1">IMPORTS!$A$1:$CC$1404</definedName>
    <definedName name="Z_9BF2CA89_06F9_47D2_9A2B_F86E607D2230_.wvu.FilterData" localSheetId="1" hidden="1">IMPORTS!$A$1:$BV$733</definedName>
    <definedName name="Z_9C177E97_88E0_4B91_B88A_F8D15BE15BC3_.wvu.FilterData" localSheetId="1" hidden="1">IMPORTS!$A$1:$CC$1439</definedName>
    <definedName name="Z_9C1B66C1_3AF1_4A46_BF0F_39102D2CCA68_.wvu.FilterData" localSheetId="4" hidden="1">'INGRESOS OC''s'!$A$1:$N$381</definedName>
    <definedName name="Z_9C70BBDF_50E5_4AD3_80AE_CE72810D24E8_.wvu.FilterData" localSheetId="1" hidden="1">IMPORTS!$A$1:$CC$1781</definedName>
    <definedName name="Z_9C7DBEC2_FDBE_4B27_8BE5_EA1D54DBE580_.wvu.FilterData" localSheetId="1" hidden="1">IMPORTS!$A$1:$BV$759</definedName>
    <definedName name="Z_9C826986_F7CC_4043_9D58_C330F355BCF9_.wvu.FilterData" localSheetId="1" hidden="1">IMPORTS!$A$1:$CC$1575</definedName>
    <definedName name="Z_9CC5B657_A5A5_4A65_BCB9_962B7958E55A_.wvu.FilterData" localSheetId="1" hidden="1">IMPORTS!$A$1:$BV$797</definedName>
    <definedName name="Z_9D10F069_FA94_4151_A0E3_941F8961AF7B_.wvu.FilterData" localSheetId="1" hidden="1">IMPORTS!$A$1:$BV$732</definedName>
    <definedName name="Z_9D77716F_339C_4479_A02B_81A898B0BDB9_.wvu.FilterData" localSheetId="1" hidden="1">IMPORTS!$A$1:$BV$881</definedName>
    <definedName name="Z_9D988E03_25C3_4AD7_962B_C50C205E5964_.wvu.FilterData" localSheetId="1" hidden="1">IMPORTS!$A$1:$CC$1353</definedName>
    <definedName name="Z_9DAC81AF_464A_4B73_B6FE_992BDCFCEB82_.wvu.FilterData" localSheetId="1" hidden="1">IMPORTS!$A$1:$BV$732</definedName>
    <definedName name="Z_9DC4729E_F9AF_4D07_8B8B_2B1B1899FB04_.wvu.FilterData" localSheetId="1" hidden="1">IMPORTS!$A$1:$CC$1353</definedName>
    <definedName name="Z_9E1E8F27_C4A7_451E_A5FE_61420F54D60C_.wvu.FilterData" localSheetId="1" hidden="1">IMPORTS!$A$1:$BV$807</definedName>
    <definedName name="Z_9E1FEE76_BB96_40CB_97AE_D4A5D5CCA230_.wvu.FilterData" localSheetId="1" hidden="1">IMPORTS!$A$1:$CF$1910</definedName>
    <definedName name="Z_9E454754_ADC1_4766_8E44_3C0A4DD3BACC_.wvu.FilterData" localSheetId="1" hidden="1">IMPORTS!$A$1:$CC$1758</definedName>
    <definedName name="Z_9E90F4B0_9938_45FE_9264_67138376E8B0_.wvu.FilterData" localSheetId="1" hidden="1">IMPORTS!$A$1:$CC$1781</definedName>
    <definedName name="Z_9F195145_2238_4840_A777_72097CB2826A_.wvu.FilterData" localSheetId="1" hidden="1">IMPORTS!$A$1:$BV$807</definedName>
    <definedName name="Z_9F342136_86AF_4B73_8E66_AD3A0E096065_.wvu.FilterData" localSheetId="1" hidden="1">IMPORTS!$A$1:$CC$1513</definedName>
    <definedName name="Z_9F3D8B3B_A07E_4786_AD85_8F5E45F6E6BB_.wvu.FilterData" localSheetId="1" hidden="1">IMPORTS!$A$1:$BV$1121</definedName>
    <definedName name="Z_9F586668_A03E_4105_B390_015075E29E9E_.wvu.FilterData" localSheetId="1" hidden="1">IMPORTS!$A$1:$BV$796</definedName>
    <definedName name="Z_9FD36C8D_AB8D_4D47_AF21_1FF3CB2BE4D0_.wvu.FilterData" localSheetId="1" hidden="1">IMPORTS!$A$1:$CC$1804</definedName>
    <definedName name="Z_9FD8DECE_C0AA_4E3C_A47A_12FF89D584F4_.wvu.FilterData" localSheetId="1" hidden="1">IMPORTS!$A$1:$CC$1542</definedName>
    <definedName name="Z_A0354360_DC95_4E4B_A27F_C96A11724F45_.wvu.FilterData" localSheetId="1" hidden="1">IMPORTS!$A$1:$CC$1545</definedName>
    <definedName name="Z_A04808E9_55FD_4AE0_ACD5_4791540B60AF_.wvu.FilterData" localSheetId="1" hidden="1">IMPORTS!$A$1:$BV$807</definedName>
    <definedName name="Z_A092BC40_FD42_4B83_ABF6_1706324F2674_.wvu.FilterData" localSheetId="1" hidden="1">IMPORTS!$A$1:$CC$1293</definedName>
    <definedName name="Z_A0960D52_EFE3_4249_8A83_7C3C6B17A92B_.wvu.FilterData" localSheetId="1" hidden="1">IMPORTS!$A$1:$CF$1892</definedName>
    <definedName name="Z_A0B18BCB_B66B_4BE9_BC48_15B5DADD1398_.wvu.FilterData" localSheetId="1" hidden="1">IMPORTS!$A$1:$CC$1352</definedName>
    <definedName name="Z_A0CAEC5C_0EAC_489A_BAB0_50EA4A3DCF15_.wvu.FilterData" localSheetId="1" hidden="1">IMPORTS!$A$1:$CF$1889</definedName>
    <definedName name="Z_A110ADC5_8BA5_48DD_98EF_77E1E7FF976F_.wvu.FilterData" localSheetId="1" hidden="1">IMPORTS!$A$1:$CC$1606</definedName>
    <definedName name="Z_A116050F_1626_43CC_8D1A_B5ACD897E75C_.wvu.FilterData" localSheetId="1" hidden="1">IMPORTS!$A$1:$BV$769</definedName>
    <definedName name="Z_A1241434_B10E_4182_9F95_B2B44FAC3977_.wvu.FilterData" localSheetId="1" hidden="1">IMPORTS!$A$1:$CC$1353</definedName>
    <definedName name="Z_A1371535_926C_4188_8734_C164090F344C_.wvu.FilterData" localSheetId="1" hidden="1">IMPORTS!$A$1:$CC$1353</definedName>
    <definedName name="Z_A151AEC3_7C46_4321_9944_D756C74D05B6_.wvu.FilterData" localSheetId="1" hidden="1">IMPORTS!$A$1:$CC$1845</definedName>
    <definedName name="Z_A217C84C_9567_49EA_BA4A_577E41006757_.wvu.FilterData" localSheetId="1" hidden="1">IMPORTS!$A$1:$CC$1352</definedName>
    <definedName name="Z_A21E7B6D_E1CE_4749_A4FC_99FFBA908932_.wvu.FilterData" localSheetId="1" hidden="1">IMPORTS!$A$1:$CC$1779</definedName>
    <definedName name="Z_A221EFB6_6FC5_4014_8BA1_A8F516582F0C_.wvu.FilterData" localSheetId="1" hidden="1">IMPORTS!$A$1:$CC$1724</definedName>
    <definedName name="Z_A226554E_DAD8_447A_A1BE_99DD0CE95F7C_.wvu.FilterData" localSheetId="1" hidden="1">IMPORTS!$A$1:$CC$1804</definedName>
    <definedName name="Z_A2B7BC68_D36D_4398_A199_E524852609CC_.wvu.FilterData" localSheetId="1" hidden="1">IMPORTS!$A$1:$CC$1591</definedName>
    <definedName name="Z_A2C14298_12AB_44DB_A2A6_797C0BBD305A_.wvu.FilterData" localSheetId="1" hidden="1">IMPORTS!$A$1:$CC$1247</definedName>
    <definedName name="Z_A2D689D0_EBBE_4767_9415_F19D520A0E46_.wvu.FilterData" localSheetId="1" hidden="1">IMPORTS!$A$1:$CC$1724</definedName>
    <definedName name="Z_A35B85C9_C9F0_4245_AE2A_B92CFFE93B55_.wvu.FilterData" localSheetId="1" hidden="1">IMPORTS!$A$1:$BV$749</definedName>
    <definedName name="Z_A3C89635_5C62_4757_9347_7161E4012AD7_.wvu.FilterData" localSheetId="1" hidden="1">IMPORTS!$A$1:$CC$1415</definedName>
    <definedName name="Z_A439F8D6_3BFA_4758_96BF_539227ACEAAF_.wvu.FilterData" localSheetId="1" hidden="1">IMPORTS!$A$1:$ARG$1724</definedName>
    <definedName name="Z_A45095A7_65A3_43C0_8FC4_808691F9EC28_.wvu.FilterData" localSheetId="1" hidden="1">IMPORTS!$A$1:$BV$1217</definedName>
    <definedName name="Z_A4937B15_A6B1_4DD7_BAA8_426E187C3EE6_.wvu.FilterData" localSheetId="1" hidden="1">IMPORTS!$A$1:$CC$1880</definedName>
    <definedName name="Z_A4CD0E34_E2AF_44BA_B262_B4180D60F84B_.wvu.FilterData" localSheetId="1" hidden="1">IMPORTS!$A$1:$BV$1602</definedName>
    <definedName name="Z_A4DE7454_ACE8_4460_90CA_61BE3738F60D_.wvu.FilterData" localSheetId="1" hidden="1">IMPORTS!$A$1:$CC$1247</definedName>
    <definedName name="Z_A54706BD_29DF_4BF7_988F_2A798981E1AA_.wvu.FilterData" localSheetId="1" hidden="1">IMPORTS!$A$1:$CC$1556</definedName>
    <definedName name="Z_A54AEDA5_DB19_4197_B394_BE63662F1389_.wvu.FilterData" localSheetId="1" hidden="1">IMPORTS!$A$1:$CC$1439</definedName>
    <definedName name="Z_A5AD143C_5BCE_40BD_8CA1_FEB0815C3A1A_.wvu.FilterData" localSheetId="1" hidden="1">IMPORTS!$A$1:$CF$2011</definedName>
    <definedName name="Z_A5BC6FB2_71F6_4A20_8B35_BB17B66EAA0F_.wvu.FilterData" localSheetId="1" hidden="1">IMPORTS!$A$1:$BV$1604</definedName>
    <definedName name="Z_A603AB39_0696_4C66_BF27_9C9D32C8A8DA_.wvu.FilterData" localSheetId="1" hidden="1">IMPORTS!$A$1:$CF$1904</definedName>
    <definedName name="Z_A6381EA3_25BE_481D_A90E_C67059829E5B_.wvu.FilterData" localSheetId="1" hidden="1">IMPORTS!$A$1:$CC$1886</definedName>
    <definedName name="Z_A6892AD9_923E_42D8_A398_91A69C910FC5_.wvu.FilterData" localSheetId="1" hidden="1">IMPORTS!$A$1:$BV$807</definedName>
    <definedName name="Z_A6F7E853_4266_4DDD_8F57_34A00A5A46FD_.wvu.FilterData" localSheetId="1" hidden="1">IMPORTS!$A$1:$CC$1481</definedName>
    <definedName name="Z_A766B4C3_F5D5_4286_B45F_5A9913A056C8_.wvu.FilterData" localSheetId="1" hidden="1">IMPORTS!$A$1:$CC$1247</definedName>
    <definedName name="Z_A76AC394_2DAC_415E_B39B_A12AAFEA07FC_.wvu.FilterData" localSheetId="1" hidden="1">IMPORTS!$A$1:$CC$1542</definedName>
    <definedName name="Z_A775AD22_A841_4201_91A1_4E87EBA99AE7_.wvu.FilterData" localSheetId="1" hidden="1">IMPORTS!$A$1:$CC$1880</definedName>
    <definedName name="Z_A7A5BC5B_44FD_4079_848A_D2FB56177F06_.wvu.FilterData" localSheetId="1" hidden="1">IMPORTS!$A$1:$CF$2006</definedName>
    <definedName name="Z_A8966E23_67D7_4547_88CC_C2CF22883D41_.wvu.FilterData" localSheetId="1" hidden="1">IMPORTS!$A$1:$BV$807</definedName>
    <definedName name="Z_A8D7D1D0_377A_404C_BC8E_1E27A70BC381_.wvu.FilterData" localSheetId="1" hidden="1">IMPORTS!$A$1:$CC$1776</definedName>
    <definedName name="Z_A92383C5_230E_4409_85F2_120887BB5948_.wvu.FilterData" localSheetId="1" hidden="1">IMPORTS!$A$1:$CC$1558</definedName>
    <definedName name="Z_A942C0FE_A64E_4D22_82C8_A77013656BDC_.wvu.FilterData" localSheetId="1" hidden="1">IMPORTS!$A$1:$BV$1217</definedName>
    <definedName name="Z_A94A6073_01CC_4BF2_8D0C_A9CFCF8A5A64_.wvu.FilterData" localSheetId="1" hidden="1">IMPORTS!$A$1:$BV$1243</definedName>
    <definedName name="Z_A9BCEEC8_4509_4FDB_BC33_5D769C785440_.wvu.FilterData" localSheetId="1" hidden="1">IMPORTS!$A$1:$CC$1821</definedName>
    <definedName name="Z_A9E7453D_3379_4BBE_9161_1D5D0F26331E_.wvu.FilterData" localSheetId="1" hidden="1">IMPORTS!$A$1:$BV$1091</definedName>
    <definedName name="Z_AA499FA0_AE73_4C83_9D43_740010B81BEA_.wvu.FilterData" localSheetId="1" hidden="1">IMPORTS!$A$1:$CC$1352</definedName>
    <definedName name="Z_AA724A75_A358_42E3_8AE3_0CF82CD17843_.wvu.FilterData" localSheetId="1" hidden="1">IMPORTS!$A$1:$CF$1961</definedName>
    <definedName name="Z_AAD219F8_C91F_4BC7_B94A_9805A5B825F4_.wvu.FilterData" localSheetId="1" hidden="1">IMPORTS!$A$1:$BV$860</definedName>
    <definedName name="Z_AAF408DF_B40F_4473_B298_6A3D620F0747_.wvu.FilterData" localSheetId="1" hidden="1">IMPORTS!$A$1:$CF$1895</definedName>
    <definedName name="Z_AB075F7C_2343_42EC_8613_10D18F986F12_.wvu.FilterData" localSheetId="1" hidden="1">IMPORTS!$A$1:$CC$1504</definedName>
    <definedName name="Z_ABFD93FC_7C9C_4BA2_B74C_B76A3FEAA50C_.wvu.FilterData" localSheetId="1" hidden="1">IMPORTS!$A$1:$BV$759</definedName>
    <definedName name="Z_AC807181_4143_408D_B7C7_157EC55F4571_.wvu.FilterData" localSheetId="1" hidden="1">IMPORTS!$A$1:$CC$1535</definedName>
    <definedName name="Z_ACDB3321_7FBB_4EF9_A19C_08600F0381EC_.wvu.FilterData" localSheetId="1" hidden="1">IMPORTS!$A$1:$CC$1243</definedName>
    <definedName name="Z_ACDB6536_C0A0_4004_BDA2_3B996AC03DF2_.wvu.FilterData" localSheetId="1" hidden="1">IMPORTS!$A$1:$CF$2011</definedName>
    <definedName name="Z_AD1FB17F_9728_4A5B_8EDE_F55B71205A49_.wvu.FilterData" localSheetId="1" hidden="1">IMPORTS!$A$1:$CC$1739</definedName>
    <definedName name="Z_AD1FB17F_9728_4A5B_8EDE_F55B71205A49_.wvu.FilterData" localSheetId="4" hidden="1">'INGRESOS OC''s'!$A$1:$N$140</definedName>
    <definedName name="Z_AD332888_4BAA_475A_8538_39643EA0FA78_.wvu.FilterData" localSheetId="1" hidden="1">IMPORTS!$A$1:$CC$1730</definedName>
    <definedName name="Z_AD332888_4BAA_475A_8538_39643EA0FA78_.wvu.FilterData" localSheetId="4" hidden="1">'INGRESOS OC''s'!$A$1:$N$112</definedName>
    <definedName name="Z_ADA13FCE_4500_4A33_A9E3_1696D6E2F2BE_.wvu.FilterData" localSheetId="1" hidden="1">IMPORTS!$A$1:$BV$1142</definedName>
    <definedName name="Z_ADD602E0_9042_4C0A_BFB3_7E87F48B3190_.wvu.FilterData" localSheetId="1" hidden="1">IMPORTS!$A$1:$BV$1217</definedName>
    <definedName name="Z_ADD83179_2936_4280_B4DE_3112CF12D693_.wvu.Cols" localSheetId="1" hidden="1">IMPORTS!$R:$AG,IMPORTS!$AC:$BD,IMPORTS!#REF!</definedName>
    <definedName name="Z_ADD83179_2936_4280_B4DE_3112CF12D693_.wvu.FilterData" localSheetId="6" hidden="1">'FAM-CLASS'!$A$1:$D$144</definedName>
    <definedName name="Z_ADD83179_2936_4280_B4DE_3112CF12D693_.wvu.FilterData" localSheetId="1" hidden="1">IMPORTS!$A$1:$BV$1217</definedName>
    <definedName name="Z_ADEC12BC_60CB_4F2E_B5D0_6A1A93A34D93_.wvu.FilterData" localSheetId="1" hidden="1">IMPORTS!$A$1:$CC$1836</definedName>
    <definedName name="Z_AE1EC202_EB13_415E_ADBD_2B3384A522DF_.wvu.FilterData" localSheetId="1" hidden="1">IMPORTS!$A$1:$BV$1006</definedName>
    <definedName name="Z_AE216DF3_60FE_4B67_8471_373471F53BD4_.wvu.FilterData" localSheetId="1" hidden="1">IMPORTS!$A$1:$CC$1243</definedName>
    <definedName name="Z_AE64AB68_DA10_47E0_83DE_D84FBF007275_.wvu.FilterData" localSheetId="1" hidden="1">IMPORTS!$A$1:$CC$1700</definedName>
    <definedName name="Z_AEC2BB5E_47DF_4176_8660_0400D0D9E1CD_.wvu.FilterData" localSheetId="1" hidden="1">IMPORTS!$A$1:$CC$1353</definedName>
    <definedName name="Z_AEC8CBDD_EC6E_4EA5_BB71_1B3313FC9846_.wvu.FilterData" localSheetId="1" hidden="1">IMPORTS!$A$1:$CC$1544</definedName>
    <definedName name="Z_AED281EF_7BE9_4294_A834_97FD2DEBA4E4_.wvu.FilterData" localSheetId="1" hidden="1">IMPORTS!$A$1:$CC$1504</definedName>
    <definedName name="Z_AEFBDBB7_289B_444B_BF38_32A692FA795A_.wvu.Cols" localSheetId="1" hidden="1">IMPORTS!$BV:$BV</definedName>
    <definedName name="Z_AEFBDBB7_289B_444B_BF38_32A692FA795A_.wvu.FilterData" localSheetId="6" hidden="1">'FAM-CLASS'!$A$1:$D$144</definedName>
    <definedName name="Z_AEFBDBB7_289B_444B_BF38_32A692FA795A_.wvu.FilterData" localSheetId="1" hidden="1">IMPORTS!$A$1:$CC$1439</definedName>
    <definedName name="Z_AF1DAA48_6D92_4002_94A5_CA0499BCCC65_.wvu.FilterData" localSheetId="1" hidden="1">IMPORTS!$A$1:$BV$807</definedName>
    <definedName name="Z_AF42D5E1_4B41_4ECC_96B5_3E96A2902093_.wvu.FilterData" localSheetId="1" hidden="1">IMPORTS!$A$1:$CC$1808</definedName>
    <definedName name="Z_AF5BF5DC_3146_4A51_A5C1_60610A8DAEDC_.wvu.FilterData" localSheetId="1" hidden="1">IMPORTS!$A$1:$CC$1542</definedName>
    <definedName name="Z_AF8E12B4_3490_48DC_A47F_5ABD0E6C07B2_.wvu.FilterData" localSheetId="1" hidden="1">IMPORTS!$A$1:$BV$807</definedName>
    <definedName name="Z_B017DA53_4AB1_433B_8017_1EA4370790EB_.wvu.FilterData" localSheetId="1" hidden="1">IMPORTS!$A$1:$BV$860</definedName>
    <definedName name="Z_B0365F0E_3B2E_4652_B50C_432FFA21B3E7_.wvu.FilterData" localSheetId="1" hidden="1">IMPORTS!$A$1:$CC$1559</definedName>
    <definedName name="Z_B043C595_57EE_40C8_BE5E_7EEFF0535007_.wvu.FilterData" localSheetId="1" hidden="1">IMPORTS!$A$1:$CC$1472</definedName>
    <definedName name="Z_B04F8E8E_4F6F_4FF8_909E_082B9647438D_.wvu.FilterData" localSheetId="1" hidden="1">IMPORTS!$A$1:$CC$1353</definedName>
    <definedName name="Z_B055717C_E0BF_453A_AEA8_EC68CC771452_.wvu.FilterData" localSheetId="6" hidden="1">'FAM-CLASS'!$A$1:$D$144</definedName>
    <definedName name="Z_B055717C_E0BF_453A_AEA8_EC68CC771452_.wvu.FilterData" localSheetId="1" hidden="1">IMPORTS!$A$1:$CC$1504</definedName>
    <definedName name="Z_B0672CDC_5389_41A4_B2CA_E6415E5AA3D3_.wvu.FilterData" localSheetId="1" hidden="1">IMPORTS!$A$1:$BV$1217</definedName>
    <definedName name="Z_B06FFDCF_1008_450C_961A_347FE1FD4037_.wvu.FilterData" localSheetId="1" hidden="1">IMPORTS!$A$1:$CC$1724</definedName>
    <definedName name="Z_B08AF9F4_87FD_4CF5_958D_18CFA3C20613_.wvu.FilterData" localSheetId="1" hidden="1">IMPORTS!$A$1:$CF$1928</definedName>
    <definedName name="Z_B0EC70E0_B9E7_4AB1_9875_89BE6A03371E_.wvu.FilterData" localSheetId="1" hidden="1">IMPORTS!$A$1:$CF$1910</definedName>
    <definedName name="Z_B1CAEB99_6CB6_4A42_AB89_2AE8C492C527_.wvu.FilterData" localSheetId="1" hidden="1">IMPORTS!$A$1:$CC$1558</definedName>
    <definedName name="Z_B1DB1E68_F488_4C94_8205_820C080FC158_.wvu.FilterData" localSheetId="1" hidden="1">IMPORTS!$A$1:$CF$1894</definedName>
    <definedName name="Z_B235E14C_E8B1_44F1_BC77_BABB226BC303_.wvu.FilterData" localSheetId="1" hidden="1">IMPORTS!$A$1:$CC$1293</definedName>
    <definedName name="Z_B24917F2_BA1A_49B0_B26F_530787133B37_.wvu.FilterData" localSheetId="1" hidden="1">IMPORTS!$A$1:$BV$1217</definedName>
    <definedName name="Z_B25FA156_3D5E_4FB6_8D58_929A23EA803B_.wvu.FilterData" localSheetId="1" hidden="1">IMPORTS!$A$1:$ARG$1893</definedName>
    <definedName name="Z_B292F68C_C92A_40C6_A4D3_4EC4796EEF8A_.wvu.FilterData" localSheetId="1" hidden="1">IMPORTS!$A$1:$BV$1602</definedName>
    <definedName name="Z_B2AC3887_EF48_4E6D_84EE_79E68F23050A_.wvu.FilterData" localSheetId="1" hidden="1">IMPORTS!$A$1:$BV$881</definedName>
    <definedName name="Z_B2D5227E_E434_4ACE_B4E8_B5A194ED1833_.wvu.FilterData" localSheetId="1" hidden="1">IMPORTS!$A$1:$CF$1889</definedName>
    <definedName name="Z_B2EF8AAA_EB40_4F59_949B_7412C93802DC_.wvu.FilterData" localSheetId="1" hidden="1">IMPORTS!$A$1:$CC$1767</definedName>
    <definedName name="Z_B2FBCD83_DB71_4013_958D_B701003D2F2E_.wvu.FilterData" localSheetId="1" hidden="1">IMPORTS!$A$1:$BV$759</definedName>
    <definedName name="Z_B3056CC5_7913_4AFC_993A_3A9094FB70BB_.wvu.FilterData" localSheetId="1" hidden="1">IMPORTS!$A$1:$CF$1929</definedName>
    <definedName name="Z_B315B4FA_E29C_430B_B7C6_10E4BE1DD9F0_.wvu.FilterData" localSheetId="1" hidden="1">IMPORTS!$A$1:$BV$1243</definedName>
    <definedName name="Z_B340C882_4C4B_4AFE_ACED_1F2678E336A6_.wvu.FilterData" localSheetId="1" hidden="1">IMPORTS!$A$1:$CC$1741</definedName>
    <definedName name="Z_B341F51E_24A5_4BF0_88F0_694DC7AF89D3_.wvu.FilterData" localSheetId="1" hidden="1">IMPORTS!$A$1:$CF$2009</definedName>
    <definedName name="Z_B341F51E_24A5_4BF0_88F0_694DC7AF89D3_.wvu.FilterData" localSheetId="4" hidden="1">'INGRESOS OC''s'!$A$1:$N$381</definedName>
    <definedName name="Z_B38817FF_7EB5_49D5_9BC1_D90871582E61_.wvu.FilterData" localSheetId="1" hidden="1">IMPORTS!$A$1:$CC$1353</definedName>
    <definedName name="Z_B3D3B83D_A0D0_459F_8CEB_96549EC7A142_.wvu.FilterData" localSheetId="1" hidden="1">IMPORTS!$A$1:$BV$759</definedName>
    <definedName name="Z_B44C4173_5700_4FB2_A568_E0EB96182795_.wvu.FilterData" localSheetId="1" hidden="1">IMPORTS!$A$1:$CC$1277</definedName>
    <definedName name="Z_B49CAE6A_CEAC_4409_BCAA_43AE699B339B_.wvu.FilterData" localSheetId="1" hidden="1">IMPORTS!$A$1:$BV$1032</definedName>
    <definedName name="Z_B4A3B11D_E4DE_405A_8F85_A3F895786E12_.wvu.FilterData" localSheetId="1" hidden="1">IMPORTS!$A$1:$CF$1929</definedName>
    <definedName name="Z_B4A3B11D_E4DE_405A_8F85_A3F895786E12_.wvu.FilterData" localSheetId="4" hidden="1">'INGRESOS OC''s'!$A$1:$N$331</definedName>
    <definedName name="Z_B4DE8EB3_893D_4E0F_9EA2_52C666E8992E_.wvu.FilterData" localSheetId="1" hidden="1">IMPORTS!$A$1:$CC$1247</definedName>
    <definedName name="Z_B4E94168_6809_4076_8E71_757ACD025CEF_.wvu.FilterData" localSheetId="1" hidden="1">IMPORTS!$A$1:$BV$760</definedName>
    <definedName name="Z_B52999DA_3C8A_4C70_8170_6E48698E4C47_.wvu.FilterData" localSheetId="1" hidden="1">IMPORTS!$A$1:$CF$2008</definedName>
    <definedName name="Z_B52999DA_3C8A_4C70_8170_6E48698E4C47_.wvu.FilterData" localSheetId="4" hidden="1">'INGRESOS OC''s'!$A$1:$N$333</definedName>
    <definedName name="Z_B54141DA_3219_437B_A22B_66D1CE923E48_.wvu.FilterData" localSheetId="1" hidden="1">IMPORTS!$A$1:$CC$1513</definedName>
    <definedName name="Z_B591EE76_38A2_45F0_A5B3_B3E4DDEE9BC5_.wvu.FilterData" localSheetId="1" hidden="1">IMPORTS!$A$1:$CC$1293</definedName>
    <definedName name="Z_B5BF1719_54BC_403F_B89D_52567CDC3016_.wvu.FilterData" localSheetId="1" hidden="1">IMPORTS!$A$1:$BV$807</definedName>
    <definedName name="Z_B5E8EADD_54B7_4385_9BCB_1904EB004E92_.wvu.FilterData" localSheetId="1" hidden="1">IMPORTS!$A$1:$CC$1446</definedName>
    <definedName name="Z_B678343F_B1A6_4452_8423_FBBDC576FEE5_.wvu.FilterData" localSheetId="1" hidden="1">IMPORTS!$A$1:$CC$1439</definedName>
    <definedName name="Z_B68316A7_B5DF_40B3_965F_F5C4089FACE1_.wvu.FilterData" localSheetId="4" hidden="1">'INGRESOS OC''s'!$A$1:$N$381</definedName>
    <definedName name="Z_B69C9259_588F_4767_B564_AD5F702725A5_.wvu.FilterData" localSheetId="1" hidden="1">IMPORTS!$A$1:$CC$1880</definedName>
    <definedName name="Z_B6C22001_DA2F_4B0A_9B75_4DF04AA22315_.wvu.FilterData" localSheetId="1" hidden="1">IMPORTS!$A$1:$CC$1739</definedName>
    <definedName name="Z_B712134C_F8E0_4DF9_BE83_6C8A331B7169_.wvu.FilterData" localSheetId="1" hidden="1">IMPORTS!$A$1:$CC$1591</definedName>
    <definedName name="Z_B71DE741_CD58_4BF4_B88D_9D2AEE764E34_.wvu.FilterData" localSheetId="1" hidden="1">IMPORTS!$A$1:$CF$1930</definedName>
    <definedName name="Z_B71DE741_CD58_4BF4_B88D_9D2AEE764E34_.wvu.FilterData" localSheetId="4" hidden="1">'INGRESOS OC''s'!$A$1:$N$331</definedName>
    <definedName name="Z_B72F84E4_7893_4F6B_86E5_9E5B9DB7444A_.wvu.FilterData" localSheetId="1" hidden="1">IMPORTS!$A$1:$CC$1665</definedName>
    <definedName name="Z_B7437B7A_AC8C_438A_9D17_FE1302559CBD_.wvu.FilterData" localSheetId="1" hidden="1">IMPORTS!$A$1:$CC$1440</definedName>
    <definedName name="Z_B76129B0_AA35_46E9_8B1D_B5EAF1A4FB2B_.wvu.FilterData" localSheetId="1" hidden="1">IMPORTS!$A$1:$CC$1604</definedName>
    <definedName name="Z_B7A1FB6F_28DB_4DD3_A0F1_577F956C3BE9_.wvu.FilterData" localSheetId="1" hidden="1">IMPORTS!$A$1:$CF$1924</definedName>
    <definedName name="Z_B7C56876_F533_4B37_B741_EAE27DD6CDD5_.wvu.FilterData" localSheetId="1" hidden="1">IMPORTS!$A$1:$CC$1293</definedName>
    <definedName name="Z_B8744A8F_5701_468A_980B_669E92146399_.wvu.Cols" localSheetId="7" hidden="1">ABC!$D:$D</definedName>
    <definedName name="Z_B8744A8F_5701_468A_980B_669E92146399_.wvu.Cols" localSheetId="4" hidden="1">'INGRESOS OC''s'!$N:$N</definedName>
    <definedName name="Z_B8744A8F_5701_468A_980B_669E92146399_.wvu.FilterData" localSheetId="6" hidden="1">'FAM-CLASS'!$A$1:$C$151</definedName>
    <definedName name="Z_B8744A8F_5701_468A_980B_669E92146399_.wvu.FilterData" localSheetId="1" hidden="1">IMPORTS!$A$1:$CF$2006</definedName>
    <definedName name="Z_B8744A8F_5701_468A_980B_669E92146399_.wvu.FilterData" localSheetId="4" hidden="1">'INGRESOS OC''s'!$A$1:$N$333</definedName>
    <definedName name="Z_B876B547_5853_4A90_A790_E23324A29254_.wvu.FilterData" localSheetId="1" hidden="1">IMPORTS!$A$1:$CC$1728</definedName>
    <definedName name="Z_B8C3941E_A104_425A_89B2_5C01EA8290DB_.wvu.FilterData" localSheetId="1" hidden="1">IMPORTS!$A$1:$CF$1933</definedName>
    <definedName name="Z_B8E1DAD2_EE33_4536_88DC_A26A59FF6059_.wvu.FilterData" localSheetId="1" hidden="1">IMPORTS!$A$1:$BV$1034</definedName>
    <definedName name="Z_B8F51EC8_A0E9_4469_8F42_85AE86B1D55F_.wvu.FilterData" localSheetId="1" hidden="1">IMPORTS!$A$1:$CC$1744</definedName>
    <definedName name="Z_B91A85D8_D197_476A_A54D_F6550E864733_.wvu.FilterData" localSheetId="1" hidden="1">IMPORTS!$A$1:$CC$1821</definedName>
    <definedName name="Z_B91A85D8_D197_476A_A54D_F6550E864733_.wvu.FilterData" localSheetId="4" hidden="1">'INGRESOS OC''s'!$A$1:$N$166</definedName>
    <definedName name="Z_B952D4FD_07ED_442E_AB4D_3E3A6B0834AC_.wvu.FilterData" localSheetId="1" hidden="1">IMPORTS!$A$1:$BV$1114</definedName>
    <definedName name="Z_B97C21B3_CF7A_4C57_86F4_104D24913B3E_.wvu.FilterData" localSheetId="1" hidden="1">IMPORTS!$A$1:$CC$1353</definedName>
    <definedName name="Z_B9B31ACB_42D4_419E_B01F_59DDF9082AC3_.wvu.FilterData" localSheetId="1" hidden="1">IMPORTS!$A$1:$CC$1880</definedName>
    <definedName name="Z_BA51B2CC_933A_47B3_9F21_D5C5FC40654E_.wvu.FilterData" localSheetId="1" hidden="1">IMPORTS!$A$1:$BV$759</definedName>
    <definedName name="Z_BAAA3E2B_E1FC_44E6_92CF_F609FAC3DC29_.wvu.FilterData" localSheetId="1" hidden="1">IMPORTS!$A$1:$CC$1415</definedName>
    <definedName name="Z_BAB95A9B_666B_4901_A22A_F8C6DB15DD7D_.wvu.FilterData" localSheetId="1" hidden="1">IMPORTS!$A$1:$CC$1247</definedName>
    <definedName name="Z_BB13C735_BB16_4068_971B_F81CDE57D406_.wvu.FilterData" localSheetId="1" hidden="1">IMPORTS!$A$1:$CF$2011</definedName>
    <definedName name="Z_BBCD4ED6_0704_4193_90FA_F89C5337F7B9_.wvu.FilterData" localSheetId="1" hidden="1">IMPORTS!$A$1:$BV$749</definedName>
    <definedName name="Z_BBDEC02D_2FAA_498F_ADE7_6FAC3B5068D8_.wvu.FilterData" localSheetId="1" hidden="1">IMPORTS!$A$1:$CC$1808</definedName>
    <definedName name="Z_BC47F832_AF9C_4A2D_99B2_E5916D90B74E_.wvu.FilterData" localSheetId="1" hidden="1">IMPORTS!$A$1:$BV$1217</definedName>
    <definedName name="Z_BC517980_8A80_42A3_9394_5AA63EC570CB_.wvu.FilterData" localSheetId="1" hidden="1">IMPORTS!$A$1:$BV$796</definedName>
    <definedName name="Z_BC59AC37_393D_4C65_9C92_996B7210B2DA_.wvu.FilterData" localSheetId="1" hidden="1">IMPORTS!$A$1:$CC$1542</definedName>
    <definedName name="Z_BC5A708B_4F7A_4162_B37E_E988A3AF7337_.wvu.FilterData" localSheetId="1" hidden="1">IMPORTS!$A$1:$BV$1004</definedName>
    <definedName name="Z_BC627896_8D8B_4906_8AB3_678C6A382412_.wvu.FilterData" localSheetId="1" hidden="1">IMPORTS!$A$1:$BV$1602</definedName>
    <definedName name="Z_BC6C6140_139E_4722_99ED_7A275C3CD73A_.wvu.FilterData" localSheetId="1" hidden="1">IMPORTS!$A$1:$CC$1293</definedName>
    <definedName name="Z_BC7A49F0_8544_4B61_AA1D_E9CC3904B105_.wvu.FilterData" localSheetId="1" hidden="1">IMPORTS!$A$1:$BV$1032</definedName>
    <definedName name="Z_BC83E272_92B8_4628_8619_AAC99929D860_.wvu.FilterData" localSheetId="1" hidden="1">IMPORTS!$A$1:$BV$732</definedName>
    <definedName name="Z_BCFB88BA_4816_4D2B_8C15_A9CDCFA71B1A_.wvu.FilterData" localSheetId="1" hidden="1">IMPORTS!$A$1:$CF$1961</definedName>
    <definedName name="Z_BD2387E1_05A8_4B43_A9B3_E6C80CDF0FFD_.wvu.FilterData" localSheetId="1" hidden="1">IMPORTS!$A$1:$BV$1058</definedName>
    <definedName name="Z_BD31DCAD_36C4_42F5_8131_1405B9FFD8E3_.wvu.FilterData" localSheetId="1" hidden="1">IMPORTS!$A$1:$BV$1034</definedName>
    <definedName name="Z_BD4EEED2_57F9_4A55_AD8D_5057B2C9C30B_.wvu.FilterData" localSheetId="1" hidden="1">IMPORTS!$A$1:$CC$1638</definedName>
    <definedName name="Z_BD79BF46_27A5_422F_91D4_9B38D3262E39_.wvu.FilterData" localSheetId="1" hidden="1">IMPORTS!$A$1:$CC$1277</definedName>
    <definedName name="Z_BD7CBA13_ECDA_433D_9D9D_58F0AE8E8307_.wvu.FilterData" localSheetId="1" hidden="1">IMPORTS!$A$1:$CC$1744</definedName>
    <definedName name="Z_BD9F203C_8BB0_4758_83BC_3CC2C7070D39_.wvu.FilterData" localSheetId="1" hidden="1">IMPORTS!$A$1:$CC$1504</definedName>
    <definedName name="Z_BDBE0C0A_0E78_4DAE_B283_5FE72604F258_.wvu.FilterData" localSheetId="1" hidden="1">IMPORTS!$A$1:$CF$2011</definedName>
    <definedName name="Z_BDE8CDF2_207A_4210_BFBF_54C7E0218BAC_.wvu.FilterData" localSheetId="1" hidden="1">IMPORTS!$A$1:$BV$1114</definedName>
    <definedName name="Z_BE8C8A64_9B88_4C88_9BD3_B65754EAABB9_.wvu.FilterData" localSheetId="1" hidden="1">IMPORTS!$A$1:$CC$1815</definedName>
    <definedName name="Z_BEA6F0C6_AD71_43BC_A4EC_582D7E661171_.wvu.FilterData" localSheetId="1" hidden="1">IMPORTS!$A$1:$CC$1542</definedName>
    <definedName name="Z_BEB2FABD_2680_4EAC_B963_4E3734DF1E92_.wvu.FilterData" localSheetId="1" hidden="1">IMPORTS!$A$1:$BV$797</definedName>
    <definedName name="Z_BF153E83_F87B_471B_90CC_637DFD4CFDD9_.wvu.FilterData" localSheetId="1" hidden="1">IMPORTS!$A$1:$CC$1744</definedName>
    <definedName name="Z_BF7E86D2_C194_4CC9_BA9B_F1B8846638BC_.wvu.FilterData" localSheetId="1" hidden="1">IMPORTS!$A$1:$BV$733</definedName>
    <definedName name="Z_BF9744A9_0CDD_476F_811D_E4CF250B5F37_.wvu.FilterData" localSheetId="1" hidden="1">IMPORTS!$A$1:$CC$1878</definedName>
    <definedName name="Z_C0010D6D_29EA_4B84_BF17_C2A4A6208898_.wvu.FilterData" localSheetId="1" hidden="1">IMPORTS!$A$1:$ARG$1894</definedName>
    <definedName name="Z_C0123D1D_7FAD_441B_83A8_A785B684F6AD_.wvu.FilterData" localSheetId="1" hidden="1">IMPORTS!$A$1:$CC$1662</definedName>
    <definedName name="Z_C039E10E_F117_4295_A3B5_7FB8A63DDB65_.wvu.FilterData" localSheetId="1" hidden="1">IMPORTS!$A$1:$CC$1821</definedName>
    <definedName name="Z_C0815467_5612_4D7B_BC08_942219FD56B1_.wvu.FilterData" localSheetId="1" hidden="1">IMPORTS!$A$1:$CC$1559</definedName>
    <definedName name="Z_C0A8406D_7014_46F0_B1FF_1DB9B09AB0B0_.wvu.FilterData" localSheetId="1" hidden="1">IMPORTS!$A$1:$BV$1118</definedName>
    <definedName name="Z_C0AEADDA_B017_419D_8E51_E91BCAF915AB_.wvu.FilterData" localSheetId="1" hidden="1">IMPORTS!$A$1:$CC$1217</definedName>
    <definedName name="Z_C0F258F1_2405_4237_9F92_4AA87C17A3CC_.wvu.FilterData" localSheetId="1" hidden="1">IMPORTS!$A$1:$BV$759</definedName>
    <definedName name="Z_C0F48F5B_4D0F_4CDE_A5D9_4EFC0C5A0B3E_.wvu.FilterData" localSheetId="1" hidden="1">IMPORTS!$A$1:$CC$1730</definedName>
    <definedName name="Z_C182F2FC_92E6_417D_AE35_60AB7DFC4230_.wvu.FilterData" localSheetId="1" hidden="1">IMPORTS!$A$1:$ARG$1956</definedName>
    <definedName name="Z_C1864E54_5175_427D_BC17_F1E7C817B753_.wvu.FilterData" localSheetId="1" hidden="1">IMPORTS!$A$1:$CC$1353</definedName>
    <definedName name="Z_C1D1A3FF_F113_4434_9ED3_2628F07638C1_.wvu.FilterData" localSheetId="1" hidden="1">IMPORTS!$A$1:$CC$1582</definedName>
    <definedName name="Z_C228C5CA_B7CE_4190_9C99_E6D45D29A6A3_.wvu.FilterData" localSheetId="1" hidden="1">IMPORTS!$A$1:$CC$1730</definedName>
    <definedName name="Z_C253AA30_8565_4715_962C_42656EA4A752_.wvu.FilterData" localSheetId="1" hidden="1">IMPORTS!$A$1:$CC$1610</definedName>
    <definedName name="Z_C2802953_F25F_403A_9366_6B1C1111235B_.wvu.FilterData" localSheetId="1" hidden="1">IMPORTS!$A$1:$CF$1933</definedName>
    <definedName name="Z_C2802953_F25F_403A_9366_6B1C1111235B_.wvu.FilterData" localSheetId="4" hidden="1">'INGRESOS OC''s'!$A$1:$N$331</definedName>
    <definedName name="Z_C2B8FD1C_B9C8_447C_9A30_ACD4D1A06D83_.wvu.FilterData" localSheetId="1" hidden="1">IMPORTS!$A$1:$CC$1724</definedName>
    <definedName name="Z_C2C829C8_19DA_475F_805D_058AF93DF6CF_.wvu.FilterData" localSheetId="1" hidden="1">IMPORTS!$A$1:$CC$1243</definedName>
    <definedName name="Z_C2DCCF6C_3C40_45C9_9586_715A4D89D8A8_.wvu.FilterData" localSheetId="1" hidden="1">IMPORTS!$A$1:$BV$733</definedName>
    <definedName name="Z_C2E794C4_1D23_4518_9CF8_AF5E727FEB90_.wvu.FilterData" localSheetId="1" hidden="1">IMPORTS!$A$1:$CC$1578</definedName>
    <definedName name="Z_C2EA60A7_9D2C_4509_B7AD_8CE4B1DD05CC_.wvu.FilterData" localSheetId="1" hidden="1">IMPORTS!$A$1:$CC$1558</definedName>
    <definedName name="Z_C2FCF803_EDB7_4B8C_AB59_C10B1B024C64_.wvu.FilterData" localSheetId="1" hidden="1">IMPORTS!$A$1:$BV$1142</definedName>
    <definedName name="Z_C32630C8_72A5_42EB_8BC3_61A26E3014C0_.wvu.FilterData" localSheetId="1" hidden="1">IMPORTS!$A$1:$BV$807</definedName>
    <definedName name="Z_C34FDBED_C595_4907_BA57_8D11D87C1F84_.wvu.FilterData" localSheetId="1" hidden="1">IMPORTS!$A$1:$CC$1439</definedName>
    <definedName name="Z_C3BDEBE1_7FE5_4B62_8359_C0142BCD2F22_.wvu.Cols" localSheetId="7" hidden="1">ABC!$D:$D</definedName>
    <definedName name="Z_C3BDEBE1_7FE5_4B62_8359_C0142BCD2F22_.wvu.Cols" localSheetId="4" hidden="1">'INGRESOS OC''s'!$N:$N</definedName>
    <definedName name="Z_C3BDEBE1_7FE5_4B62_8359_C0142BCD2F22_.wvu.Cols" localSheetId="5" hidden="1">SUCAMEC!$E:$E</definedName>
    <definedName name="Z_C3BDEBE1_7FE5_4B62_8359_C0142BCD2F22_.wvu.FilterData" localSheetId="6" hidden="1">'FAM-CLASS'!$A$1:$C$151</definedName>
    <definedName name="Z_C3BDEBE1_7FE5_4B62_8359_C0142BCD2F22_.wvu.FilterData" localSheetId="1" hidden="1">IMPORTS!$A$1:$CF$2011</definedName>
    <definedName name="Z_C3BDEBE1_7FE5_4B62_8359_C0142BCD2F22_.wvu.FilterData" localSheetId="4" hidden="1">'INGRESOS OC''s'!$A$1:$N$381</definedName>
    <definedName name="Z_C3E5DDC7_996B_4AFD_AD4D_976872043C9A_.wvu.FilterData" localSheetId="1" hidden="1">IMPORTS!$A$1:$CC$1439</definedName>
    <definedName name="Z_C41446D0_865C_44C5_B361_58BE81282ABA_.wvu.FilterData" localSheetId="1" hidden="1">IMPORTS!$A$1:$BV$1006</definedName>
    <definedName name="Z_C4D7E25A_BF00_4E9E_9A2B_E12D074F86FE_.wvu.FilterData" localSheetId="1" hidden="1">IMPORTS!$A$1:$CC$1638</definedName>
    <definedName name="Z_C53453DC_D075_4ACE_9BDB_01625E7861DD_.wvu.FilterData" localSheetId="1" hidden="1">IMPORTS!$A$1:$CC$1730</definedName>
    <definedName name="Z_C58AB15A_8EE6_4513_B73A_9B57595E66D4_.wvu.FilterData" localSheetId="1" hidden="1">IMPORTS!$A$1:$BV$807</definedName>
    <definedName name="Z_C5A2B6AE_4C91_4AFB_816E_F1FFCF4006BA_.wvu.FilterData" localSheetId="1" hidden="1">IMPORTS!$A$1:$BV$1142</definedName>
    <definedName name="Z_C5DA7829_ED75_4E90_8001_309FAF3998FC_.wvu.FilterData" localSheetId="1" hidden="1">IMPORTS!$A$1:$BV$807</definedName>
    <definedName name="Z_C5DFF69B_3700_4836_AA68_E1AED787EAC6_.wvu.FilterData" localSheetId="1" hidden="1">IMPORTS!$A$1:$CC$1247</definedName>
    <definedName name="Z_C5F366EA_599B_483A_83AD_A45C46B7CC06_.wvu.FilterData" localSheetId="1" hidden="1">IMPORTS!$A$1:$CC$1513</definedName>
    <definedName name="Z_C606A236_796C_4B61_9194_8CEE5DD4B8FB_.wvu.FilterData" localSheetId="1" hidden="1">IMPORTS!$A$1:$CC$1739</definedName>
    <definedName name="Z_C606A236_796C_4B61_9194_8CEE5DD4B8FB_.wvu.FilterData" localSheetId="4" hidden="1">'INGRESOS OC''s'!$A$1:$N$112</definedName>
    <definedName name="Z_C60CCB09_D133_4593_9E71_6FB4A70DA98A_.wvu.FilterData" localSheetId="1" hidden="1">IMPORTS!$A$1:$BV$732</definedName>
    <definedName name="Z_C621BB0A_2F4B_4BFA_A88D_2384253E3503_.wvu.FilterData" localSheetId="1" hidden="1">IMPORTS!$A$1:$CF$1903</definedName>
    <definedName name="Z_C64D298B_15A8_4F8E_B900_4B24DE714814_.wvu.FilterData" localSheetId="1" hidden="1">IMPORTS!$A$1:$BV$1152</definedName>
    <definedName name="Z_C66412C9_D58E_43F7_8302_515927FA0257_.wvu.FilterData" localSheetId="1" hidden="1">IMPORTS!$A$1:$CC$1247</definedName>
    <definedName name="Z_C69A8C16_851F_4B84_B08E_836B3A1DDA01_.wvu.FilterData" localSheetId="1" hidden="1">IMPORTS!$A$1:$BV$1034</definedName>
    <definedName name="Z_C6A1E245_3C88_4957_BD90_76F84591F930_.wvu.FilterData" localSheetId="1" hidden="1">IMPORTS!$A$1:$CC$1504</definedName>
    <definedName name="Z_C6B6EA93_DEFA_4328_990C_4F48E41DB4FD_.wvu.FilterData" localSheetId="1" hidden="1">IMPORTS!$A$1:$CF$2006</definedName>
    <definedName name="Z_C6E3A7F3_C0A9_4271_A3A8_EFA232E28FFD_.wvu.FilterData" localSheetId="1" hidden="1">IMPORTS!$A$1:$CC$1293</definedName>
    <definedName name="Z_C6E49A0F_1E93_48A1_AADE_E69ABE07CFDF_.wvu.FilterData" localSheetId="1" hidden="1">IMPORTS!$A$1:$BV$1091</definedName>
    <definedName name="Z_C6FDEDC4_EA24_4D00_9EF6_6799518ACD33_.wvu.FilterData" localSheetId="1" hidden="1">IMPORTS!$A$1:$CF$1894</definedName>
    <definedName name="Z_C723546F_117B_4EA0_ADE1_E2228F6EC582_.wvu.FilterData" localSheetId="1" hidden="1">IMPORTS!$A$1:$CC$1845</definedName>
    <definedName name="Z_C76819F3_AF93_43A6_A9B9_E0A4EEDC8889_.wvu.FilterData" localSheetId="1" hidden="1">IMPORTS!$A$1:$BV$1142</definedName>
    <definedName name="Z_C7747FA6_1D57_4395_B9AD_EFC6BB340A5A_.wvu.FilterData" localSheetId="1" hidden="1">IMPORTS!$A$1:$CC$1293</definedName>
    <definedName name="Z_C791B1D6_03CF_46E0_B758_B22ACFE38B49_.wvu.FilterData" localSheetId="1" hidden="1">IMPORTS!$A$1:$CC$1243</definedName>
    <definedName name="Z_C7CD9FD6_570F_4D17_A2C8_3FF41B20444D_.wvu.FilterData" localSheetId="1" hidden="1">IMPORTS!$A$1:$CF$1911</definedName>
    <definedName name="Z_C80C8FE2_6F3D_45B2_8628_3EBAF5DF9700_.wvu.FilterData" localSheetId="1" hidden="1">IMPORTS!$A$1:$CC$1847</definedName>
    <definedName name="Z_C8551C67_D9C9_4EB9_B0D3_6685028592E0_.wvu.FilterData" localSheetId="1" hidden="1">IMPORTS!$A$1:$BV$1114</definedName>
    <definedName name="Z_C85E221D_C46B_4869_946F_F15CAB3163B6_.wvu.FilterData" localSheetId="1" hidden="1">IMPORTS!$A$1:$CF$2006</definedName>
    <definedName name="Z_C8674C28_5711_4440_A1F5_A6A6B27A4FF9_.wvu.FilterData" localSheetId="1" hidden="1">IMPORTS!$A$1:$CC$1739</definedName>
    <definedName name="Z_C8885DB3_1B0B_47FF_8EFA_DC44973DA58B_.wvu.FilterData" localSheetId="1" hidden="1">IMPORTS!$A$1:$BV$732</definedName>
    <definedName name="Z_C8BB8B5C_ECAB_4B7D_A839_31F1CD0A073E_.wvu.FilterData" localSheetId="1" hidden="1">IMPORTS!$A$1:$CC$1389</definedName>
    <definedName name="Z_C8D14790_2EA3_4767_8C63_549F4536ED48_.wvu.FilterData" localSheetId="1" hidden="1">IMPORTS!$A$1:$CC$1243</definedName>
    <definedName name="Z_C8EB8D31_372D_44A9_BEAA_B4434955E963_.wvu.FilterData" localSheetId="1" hidden="1">IMPORTS!$A$1:$CC$1744</definedName>
    <definedName name="Z_C90CD57F_1191_4BA2_AE34_EBA642BD27EB_.wvu.FilterData" localSheetId="1" hidden="1">IMPORTS!$A$1:$BV$769</definedName>
    <definedName name="Z_C90F6A4D_9F97_4A5E_9E8D_1B63BE316106_.wvu.FilterData" localSheetId="1" hidden="1">IMPORTS!$A$1:$CC$1293</definedName>
    <definedName name="Z_C9275DAF_A6F1_401E_A0E5_BEE13BA0DE0B_.wvu.FilterData" localSheetId="1" hidden="1">IMPORTS!$A$1:$CC$1886</definedName>
    <definedName name="Z_C964FDE3_6199_483A_8F0C_3A102C8238F4_.wvu.FilterData" localSheetId="1" hidden="1">IMPORTS!$A$1:$CC$1472</definedName>
    <definedName name="Z_C9829A91_149D_4444_B018_791371DA69ED_.wvu.FilterData" localSheetId="1" hidden="1">IMPORTS!$A$1:$CC$1439</definedName>
    <definedName name="Z_C9B42EFC_CB2C_43C1_924C_F793EA1CD7DF_.wvu.FilterData" localSheetId="1" hidden="1">IMPORTS!$A$1:$CC$1804</definedName>
    <definedName name="Z_CA03145D_2F4E_49C4_A2DA_48B15C380283_.wvu.FilterData" localSheetId="1" hidden="1">IMPORTS!$A$1:$CC$1736</definedName>
    <definedName name="Z_CA5F2311_08D4_4F66_A77B_39887AEB9DA5_.wvu.FilterData" localSheetId="1" hidden="1">IMPORTS!$A$1:$CC$1591</definedName>
    <definedName name="Z_CA68F663_5A41_4AAA_A393_70B7D3895805_.wvu.FilterData" localSheetId="1" hidden="1">IMPORTS!$A$1:$BV$732</definedName>
    <definedName name="Z_CA9B72A3_A708_4AD5_8FA5_C90328D754F1_.wvu.FilterData" localSheetId="1" hidden="1">IMPORTS!$A$1:$CC$1542</definedName>
    <definedName name="Z_CAD254FF_2C88_42A7_B913_6849F4224D93_.wvu.FilterData" localSheetId="1" hidden="1">IMPORTS!$A$1:$CF$2006</definedName>
    <definedName name="Z_CB5415F6_DD79_4604_97E8_99C9109F9F68_.wvu.FilterData" localSheetId="1" hidden="1">IMPORTS!$A$1:$BV$881</definedName>
    <definedName name="Z_CB58ADEF_7258_45EC_A70D_7A1DC05B0253_.wvu.FilterData" localSheetId="1" hidden="1">IMPORTS!$A$1:$CF$1910</definedName>
    <definedName name="Z_CB789906_314B_4DD7_9DB6_9275F3E0665E_.wvu.FilterData" localSheetId="1" hidden="1">IMPORTS!$A$1:$CF$2006</definedName>
    <definedName name="Z_CC0F40C5_CAD4_4119_A486_C1304B1D8498_.wvu.FilterData" localSheetId="1" hidden="1">IMPORTS!$A$1:$CC$1845</definedName>
    <definedName name="Z_CC3681DC_C018_4855_916D_84333E4D6597_.wvu.FilterData" localSheetId="1" hidden="1">IMPORTS!$A$1:$CC$1247</definedName>
    <definedName name="Z_CC36E1BD_DF5E_4D5B_9FC2_B924ABF96C1E_.wvu.Cols" localSheetId="1" hidden="1">IMPORTS!#REF!,IMPORTS!$AP:$AP</definedName>
    <definedName name="Z_CC36E1BD_DF5E_4D5B_9FC2_B924ABF96C1E_.wvu.Cols" localSheetId="4" hidden="1">'INGRESOS OC''s'!$N:$N</definedName>
    <definedName name="Z_CC36E1BD_DF5E_4D5B_9FC2_B924ABF96C1E_.wvu.FilterData" localSheetId="6" hidden="1">'FAM-CLASS'!$A$1:$D$144</definedName>
    <definedName name="Z_CC36E1BD_DF5E_4D5B_9FC2_B924ABF96C1E_.wvu.FilterData" localSheetId="1" hidden="1">IMPORTS!$A$1:$CC$1661</definedName>
    <definedName name="Z_CC36E1BD_DF5E_4D5B_9FC2_B924ABF96C1E_.wvu.FilterData" localSheetId="4" hidden="1">'INGRESOS OC''s'!$A$1:$N$55</definedName>
    <definedName name="Z_CC4868A5_F2B0_4F87_8CE4_9F9E11F05063_.wvu.FilterData" localSheetId="1" hidden="1">IMPORTS!$A$1:$CC$1880</definedName>
    <definedName name="Z_CC4FDC5B_4189_47BA_8CC2_83E3F32AC1E6_.wvu.FilterData" localSheetId="1" hidden="1">IMPORTS!$A$1:$CC$1293</definedName>
    <definedName name="Z_CC6FE6DC_6B1B_4D3E_A86A_9E26F8F72AF7_.wvu.FilterData" localSheetId="1" hidden="1">IMPORTS!$A$1:$CF$2006</definedName>
    <definedName name="Z_CCA8C06C_23A4_4E3F_878E_51B7172446D6_.wvu.FilterData" localSheetId="1" hidden="1">IMPORTS!$A$1:$CF$1918</definedName>
    <definedName name="Z_CCCCF9E2_90A3_4541_8472_EB7ED00D8F96_.wvu.FilterData" localSheetId="1" hidden="1">IMPORTS!$A$1:$CC$1730</definedName>
    <definedName name="Z_CCD97A89_1C35_4A72_9BFF_364A991D3253_.wvu.FilterData" localSheetId="1" hidden="1">IMPORTS!$A$1:$CC$1880</definedName>
    <definedName name="Z_CCDDB030_D753_4D0B_B692_71953732FA73_.wvu.FilterData" localSheetId="1" hidden="1">IMPORTS!$A$1:$CF$1980</definedName>
    <definedName name="Z_CD199BEB_E9F8_4E43_8FF3_0F9CDA52421A_.wvu.FilterData" localSheetId="1" hidden="1">IMPORTS!$A$1:$CC$1353</definedName>
    <definedName name="Z_CD220F7C_E217_4613_B780_D56538DF048D_.wvu.FilterData" localSheetId="1" hidden="1">IMPORTS!$A$1:$BV$850</definedName>
    <definedName name="Z_CD7BC669_8B94_4DCD_801C_00AB14D6B9FD_.wvu.FilterData" localSheetId="1" hidden="1">IMPORTS!$A$1:$CC$1440</definedName>
    <definedName name="Z_CD943C7E_4023_45E6_AE73_2CF1AE549031_.wvu.FilterData" localSheetId="1" hidden="1">IMPORTS!$A$1:$CC$1739</definedName>
    <definedName name="Z_CD943C7E_4023_45E6_AE73_2CF1AE549031_.wvu.FilterData" localSheetId="4" hidden="1">'INGRESOS OC''s'!$A$1:$N$112</definedName>
    <definedName name="Z_CE0DE795_CBC3_4141_ABD3_C0D0A0F41E55_.wvu.FilterData" localSheetId="1" hidden="1">IMPORTS!$A$1:$CC$1880</definedName>
    <definedName name="Z_CE10EF7B_62D9_46CB_B960_A234CE51F82A_.wvu.FilterData" localSheetId="1" hidden="1">IMPORTS!$A$1:$CC$1741</definedName>
    <definedName name="Z_CE13A5AD_4BBF_4D6D_956C_1683DF635B2B_.wvu.FilterData" localSheetId="1" hidden="1">IMPORTS!$A$1:$BV$850</definedName>
    <definedName name="Z_CE3DA5ED_27B5_434D_816C_050223C1D284_.wvu.FilterData" localSheetId="1" hidden="1">IMPORTS!$A$1:$BV$1118</definedName>
    <definedName name="Z_CE4732A9_532B_4BA2_A05E_118A137FC39E_.wvu.FilterData" localSheetId="1" hidden="1">IMPORTS!$A$1:$CF$1918</definedName>
    <definedName name="Z_CEA8F1AA_59A0_409E_8DD3_B70C193A599B_.wvu.FilterData" localSheetId="1" hidden="1">IMPORTS!$A$1:$CC$1439</definedName>
    <definedName name="Z_CEBD4DBB_292D_461E_9878_6D4459BBFAA6_.wvu.FilterData" localSheetId="1" hidden="1">IMPORTS!$A$1:$CC$1277</definedName>
    <definedName name="Z_CEBE1E82_24DE_45B2_9613_87E72DD01DD0_.wvu.FilterData" localSheetId="1" hidden="1">IMPORTS!$A$1:$BV$1152</definedName>
    <definedName name="Z_CEEC29F4_781C_4A4C_A81D_1C56EB8D30B3_.wvu.FilterData" localSheetId="1" hidden="1">IMPORTS!$A$1:$CC$1638</definedName>
    <definedName name="Z_CEFD32C4_FE91_400A_83AA_A360A796421F_.wvu.FilterData" localSheetId="1" hidden="1">IMPORTS!$A$1:$BV$1034</definedName>
    <definedName name="Z_CF30174F_A756_4EA6_9E4F_10F2B5D7815B_.wvu.FilterData" localSheetId="1" hidden="1">IMPORTS!$A$1:$BV$769</definedName>
    <definedName name="Z_CF5ABB07_6BC1_47D5_B290_25136EDE28EB_.wvu.FilterData" localSheetId="1" hidden="1">IMPORTS!$A$1:$CF$1957</definedName>
    <definedName name="Z_CFB56B51_FCE3_44CB_9125_E27561566709_.wvu.FilterData" localSheetId="1" hidden="1">IMPORTS!$A$1:$CC$1439</definedName>
    <definedName name="Z_D098BBA8_AB57_4BBA_9FA0_523A8F38714F_.wvu.FilterData" localSheetId="1" hidden="1">IMPORTS!$A$1:$CC$1516</definedName>
    <definedName name="Z_D0BEA4BA_D9A4_410B_8E94_B2AB27F12194_.wvu.FilterData" localSheetId="1" hidden="1">IMPORTS!$A$1:$CC$1880</definedName>
    <definedName name="Z_D0FE6429_5BCD_4A8F_A958_A1384A0CDE0A_.wvu.FilterData" localSheetId="1" hidden="1">IMPORTS!$A$1:$CC$1658</definedName>
    <definedName name="Z_D12625B4_FF41_4B68_9D6B_0FF7DAB9BAED_.wvu.FilterData" localSheetId="1" hidden="1">IMPORTS!$A$1:$CC$1821</definedName>
    <definedName name="Z_D197810D_8A5D_431D_93D3_7B0281E179F6_.wvu.FilterData" localSheetId="1" hidden="1">IMPORTS!$A$1:$CC$1826</definedName>
    <definedName name="Z_D1A8243D_61E0_4BF8_8374_1EB64D1E7F2D_.wvu.FilterData" localSheetId="1" hidden="1">IMPORTS!$A$1:$CC$1535</definedName>
    <definedName name="Z_D1C628D6_68FE_4AE9_93ED_519ACA835DDC_.wvu.FilterData" localSheetId="1" hidden="1">IMPORTS!$A$1:$CC$1439</definedName>
    <definedName name="Z_D1FC3EB4_3BEE_42C3_AAF9_0960D330DD91_.wvu.FilterData" localSheetId="1" hidden="1">IMPORTS!$A$1:$CC$1513</definedName>
    <definedName name="Z_D21F8E35_DC85_4BDE_B851_DC83D3126E89_.wvu.FilterData" localSheetId="1" hidden="1">IMPORTS!$A$1:$CC$1845</definedName>
    <definedName name="Z_D23F4E58_D6CA_4CB2_8EDD_DB56CE136377_.wvu.FilterData" localSheetId="1" hidden="1">IMPORTS!$A$1:$CF$1924</definedName>
    <definedName name="Z_D23F4E58_D6CA_4CB2_8EDD_DB56CE136377_.wvu.FilterData" localSheetId="4" hidden="1">'INGRESOS OC''s'!$A$1:$N$324</definedName>
    <definedName name="Z_D253E436_EAE1_4B07_A127_9EAA99A55A43_.wvu.FilterData" localSheetId="1" hidden="1">IMPORTS!$A$1:$BV$1032</definedName>
    <definedName name="Z_D25E8D40_0135_40EB_B919_8C8D2EED16EB_.wvu.FilterData" localSheetId="1" hidden="1">IMPORTS!$A$1:$BV$807</definedName>
    <definedName name="Z_D27B92D4_C4AE_4B43_9652_FB2E98FFF8BC_.wvu.FilterData" localSheetId="1" hidden="1">IMPORTS!$A$1:$CC$1558</definedName>
    <definedName name="Z_D2864020_BB13_40BA_AC84_7F02A74DB93C_.wvu.FilterData" localSheetId="1" hidden="1">IMPORTS!$A$1:$CC$1559</definedName>
    <definedName name="Z_D2AD7C6D_864D_45C4_909B_C633F1E9CD29_.wvu.FilterData" localSheetId="1" hidden="1">IMPORTS!$A$1:$CC$1457</definedName>
    <definedName name="Z_D2C01A1B_BD8F_4EF8_8442_1DDA0799A2A7_.wvu.FilterData" localSheetId="1" hidden="1">IMPORTS!$A$1:$CC$1457</definedName>
    <definedName name="Z_D2DB6A8C_9EA5_4322_BD9E_26C424BEE3F1_.wvu.FilterData" localSheetId="1" hidden="1">IMPORTS!$A$1:$CC$1366</definedName>
    <definedName name="Z_D326AB59_5D64_4E4B_B821_25AB7E69C5FC_.wvu.FilterData" localSheetId="1" hidden="1">IMPORTS!$A$1:$CF$1929</definedName>
    <definedName name="Z_D35F5CC4_C960_41B4_A483_71A434CF5DE3_.wvu.FilterData" localSheetId="1" hidden="1">IMPORTS!$A$1:$CC$1361</definedName>
    <definedName name="Z_D39EFE9D_AE11_409E_8E82_A839F27C96A8_.wvu.FilterData" localSheetId="1" hidden="1">IMPORTS!$A$1:$CC$1821</definedName>
    <definedName name="Z_D3B9F64C_84F4_4E6A_B939_779ECE026D95_.wvu.FilterData" localSheetId="1" hidden="1">IMPORTS!$A$1:$CF$1930</definedName>
    <definedName name="Z_D3C14D79_B0C2_40D9_B658_F0F4316550B1_.wvu.FilterData" localSheetId="1" hidden="1">IMPORTS!$A$1:$CF$1980</definedName>
    <definedName name="Z_D3DEBA7B_5041_4DD1_A78A_4E043B5DC1AB_.wvu.FilterData" localSheetId="1" hidden="1">IMPORTS!$A$1:$CC$1439</definedName>
    <definedName name="Z_D3E7E1B4_FA5B_499C_B1A0_94E778994C47_.wvu.FilterData" localSheetId="1" hidden="1">IMPORTS!$A$1:$BV$1034</definedName>
    <definedName name="Z_D461BD18_D205_4326_825B_F8CD085924AE_.wvu.FilterData" localSheetId="1" hidden="1">IMPORTS!$A$1:$CC$1353</definedName>
    <definedName name="Z_D4FA265E_8044_4EDF_BCF3_085345836BA9_.wvu.FilterData" localSheetId="1" hidden="1">IMPORTS!$A$1:$CC$1727</definedName>
    <definedName name="Z_D54E02FF_2E6A_43F0_A13B_DA3843399156_.wvu.FilterData" localSheetId="1" hidden="1">IMPORTS!$A$1:$CC$1816</definedName>
    <definedName name="Z_D5A4F830_6BC8_479C_82ED_249E7F8D71A8_.wvu.FilterData" localSheetId="1" hidden="1">IMPORTS!$A$1:$CC$1604</definedName>
    <definedName name="Z_D5CCF158_E7C1_417B_AB55_4963F0F92217_.wvu.FilterData" localSheetId="1" hidden="1">IMPORTS!$A$1:$CC$1439</definedName>
    <definedName name="Z_D5DA0014_C132_4852_BF73_B63DB3C71818_.wvu.FilterData" localSheetId="1" hidden="1">IMPORTS!$A$1:$CC$1633</definedName>
    <definedName name="Z_D5E462FE_8326_47CB_A5FF_B4DEBEC50721_.wvu.FilterData" localSheetId="1" hidden="1">IMPORTS!$A$1:$BV$1114</definedName>
    <definedName name="Z_D5FA9D53_4146_4EF0_B593_7D61485FD34C_.wvu.FilterData" localSheetId="1" hidden="1">IMPORTS!$A$1:$CF$1929</definedName>
    <definedName name="Z_D636E6C5_2166_4594_B8D7_F35FF634712C_.wvu.FilterData" localSheetId="1" hidden="1">IMPORTS!$A$1:$BV$1043</definedName>
    <definedName name="Z_D6721F22_1CBE_49EA_A46E_52B4B6DEF9E1_.wvu.FilterData" localSheetId="1" hidden="1">IMPORTS!$A$1:$CF$2009</definedName>
    <definedName name="Z_D698B5F9_9C14_4776_B1C6_CAA5AACA8672_.wvu.FilterData" localSheetId="1" hidden="1">IMPORTS!$A$1:$CC$1293</definedName>
    <definedName name="Z_D6A17E6A_D8A3_436A_9B09_23A7A8D886A6_.wvu.FilterData" localSheetId="1" hidden="1">IMPORTS!$A$1:$CC$1558</definedName>
    <definedName name="Z_D6B4ABE8_3643_4F16_9CFA_B83D3F6B1EE4_.wvu.FilterData" localSheetId="1" hidden="1">IMPORTS!$A$1:$BV$733</definedName>
    <definedName name="Z_D6B5A009_C22D_456F_A65A_019142A50B66_.wvu.FilterData" localSheetId="1" hidden="1">IMPORTS!$A$1:$CF$1933</definedName>
    <definedName name="Z_D6B5A009_C22D_456F_A65A_019142A50B66_.wvu.FilterData" localSheetId="4" hidden="1">'INGRESOS OC''s'!$A$1:$N$331</definedName>
    <definedName name="Z_D6EF2D84_0939_42E9_9EE6_4868D586B0CF_.wvu.FilterData" localSheetId="1" hidden="1">IMPORTS!$A$1:$BV$860</definedName>
    <definedName name="Z_D72CCDE5_0669_4EEA_B588_6B887783A043_.wvu.FilterData" localSheetId="1" hidden="1">IMPORTS!$A$1:$BV$1034</definedName>
    <definedName name="Z_D759734D_FD1A_450D_A2BE_F798D4F6BAD1_.wvu.FilterData" localSheetId="1" hidden="1">IMPORTS!$A$1:$CC$1542</definedName>
    <definedName name="Z_D771F3B8_9851_4A79_9985_5F9A27EB8DA1_.wvu.FilterData" localSheetId="1" hidden="1">IMPORTS!$A$1:$BV$732</definedName>
    <definedName name="Z_D77D7DC3_2E71_4579_88C8_FF44278BBB55_.wvu.FilterData" localSheetId="6" hidden="1">'FAM-CLASS'!$A$1:$D$132</definedName>
    <definedName name="Z_D77D7DC3_2E71_4579_88C8_FF44278BBB55_.wvu.FilterData" localSheetId="1" hidden="1">IMPORTS!$A$1:$BV$881</definedName>
    <definedName name="Z_D78DF51F_DBA2_4826_9BAF_D273574FF756_.wvu.FilterData" localSheetId="1" hidden="1">IMPORTS!$A$1:$CC$1575</definedName>
    <definedName name="Z_D79CAE06_E99D_43CB_A2B3_8A3D7ABE880F_.wvu.FilterData" localSheetId="1" hidden="1">IMPORTS!$A$1:$CC$1604</definedName>
    <definedName name="Z_D7A1C1D0_D67F_414F_A338_AABD4BAA6606_.wvu.FilterData" localSheetId="1" hidden="1">IMPORTS!$A$1:$CF$1930</definedName>
    <definedName name="Z_D7A1C1D0_D67F_414F_A338_AABD4BAA6606_.wvu.FilterData" localSheetId="4" hidden="1">'INGRESOS OC''s'!$A$1:$N$331</definedName>
    <definedName name="Z_D7AF95EE_FBFB_4ABF_9D87_AFF9E635ED32_.wvu.FilterData" localSheetId="1" hidden="1">IMPORTS!$A$1:$CC$1606</definedName>
    <definedName name="Z_D7C906C4_52DE_4CAC_8861_455A8B8160AD_.wvu.FilterData" localSheetId="1" hidden="1">IMPORTS!$A$1:$CC$1353</definedName>
    <definedName name="Z_D7E73315_C4DC_46D0_B59A_210020779CD0_.wvu.FilterData" localSheetId="1" hidden="1">IMPORTS!$A$1:$CC$1815</definedName>
    <definedName name="Z_D8518184_E1EE_47CA_979D_EE96CAF1B2B5_.wvu.FilterData" localSheetId="1" hidden="1">IMPORTS!$A$1:$CC$1217</definedName>
    <definedName name="Z_D85CD2F9_D28D_4B27_B5E9_7D88D8EB902A_.wvu.FilterData" localSheetId="1" hidden="1">IMPORTS!$A$1:$CC$1353</definedName>
    <definedName name="Z_D89C39E9_451A_4D10_865E_34D65FAA09D6_.wvu.FilterData" localSheetId="1" hidden="1">IMPORTS!$A$1:$CC$1808</definedName>
    <definedName name="Z_D8B80AE1_AA4A_4AD0_B392_C9F0A09250F0_.wvu.FilterData" localSheetId="1" hidden="1">IMPORTS!$A$1:$CC$1821</definedName>
    <definedName name="Z_D8EF86CD_EE7A_4E86_B049_B3D5681A31CE_.wvu.FilterData" localSheetId="1" hidden="1">IMPORTS!$A$1:$CC$1293</definedName>
    <definedName name="Z_D8FB7EAF_A0E5_4932_9537_B50C873F8506_.wvu.FilterData" localSheetId="1" hidden="1">IMPORTS!$A$1:$CC$1730</definedName>
    <definedName name="Z_D9B3893A_11AE_4269_80E2_3EEE5959D3D6_.wvu.FilterData" localSheetId="1" hidden="1">IMPORTS!$A$1:$BV$732</definedName>
    <definedName name="Z_D9E476B1_68A6_4386_9D62_751BB6A3A174_.wvu.FilterData" localSheetId="1" hidden="1">IMPORTS!$A$1:$CC$1247</definedName>
    <definedName name="Z_DA40E5D5_3E20_42FE_B4F4_4180A15E57DA_.wvu.FilterData" localSheetId="1" hidden="1">IMPORTS!$A$1:$CC$1804</definedName>
    <definedName name="Z_DA786A77_9E46_4F5D_A1E4_4B1293E208F3_.wvu.FilterData" localSheetId="1" hidden="1">IMPORTS!$A$1:$BV$807</definedName>
    <definedName name="Z_DA8AF539_E22A_4131_80C5_A6BD46792E31_.wvu.FilterData" localSheetId="1" hidden="1">IMPORTS!$A$1:$BV$1006</definedName>
    <definedName name="Z_DAD23B80_AB36_4726_A0C6_1B9369D74E34_.wvu.FilterData" localSheetId="1" hidden="1">IMPORTS!$A$1:$BV$807</definedName>
    <definedName name="Z_DAF73F36_BC14_4307_A7A0_7311D697A17C_.wvu.FilterData" localSheetId="1" hidden="1">IMPORTS!$A$1:$CF$1918</definedName>
    <definedName name="Z_DB5608D4_0A8C_488D_90C6_0FF049B4FDD5_.wvu.FilterData" localSheetId="1" hidden="1">IMPORTS!$A$1:$BV$733</definedName>
    <definedName name="Z_DBA069F2_8F52_47C2_9CB6_B9F1EB39CD25_.wvu.FilterData" localSheetId="1" hidden="1">IMPORTS!$A$1:$CF$1896</definedName>
    <definedName name="Z_DBC2C343_3EE2_41A8_AFED_7D88C6ADE40C_.wvu.FilterData" localSheetId="1" hidden="1">IMPORTS!$A$1:$CC$1666</definedName>
    <definedName name="Z_DBC2C343_3EE2_41A8_AFED_7D88C6ADE40C_.wvu.FilterData" localSheetId="4" hidden="1">'INGRESOS OC''s'!$A$1:$N$55</definedName>
    <definedName name="Z_DBE1E1B1_E702_45DB_A65F_93803671341F_.wvu.FilterData" localSheetId="1" hidden="1">IMPORTS!$A$1:$CC$1739</definedName>
    <definedName name="Z_DBEB6858_212F_4AA1_B61D_967DBD804E7D_.wvu.FilterData" localSheetId="1" hidden="1">IMPORTS!$A$1:$BV$1243</definedName>
    <definedName name="Z_DC03A064_76BF_4B1B_BC83_10911982CB37_.wvu.FilterData" localSheetId="1" hidden="1">IMPORTS!$A$1:$CF$2009</definedName>
    <definedName name="Z_DC03A064_76BF_4B1B_BC83_10911982CB37_.wvu.FilterData" localSheetId="4" hidden="1">'INGRESOS OC''s'!$A$1:$N$381</definedName>
    <definedName name="Z_DCA815A5_342C_4CA2_8511_CAFF6E6D42E2_.wvu.FilterData" localSheetId="1" hidden="1">IMPORTS!$A$1:$BV$769</definedName>
    <definedName name="Z_DCB62F45_DD2E_41FA_93F8_D8B2FEFB7B01_.wvu.FilterData" localSheetId="1" hidden="1">IMPORTS!$A$1:$ARG$1893</definedName>
    <definedName name="Z_DCE2118B_AB31_46D2_AC79_E6ED37AD5B56_.wvu.FilterData" localSheetId="1" hidden="1">IMPORTS!$A$1:$BV$1217</definedName>
    <definedName name="Z_DD023CB5_6E2E_4FEC_8D56_7190BDEAB531_.wvu.FilterData" localSheetId="1" hidden="1">IMPORTS!$A$1:$CF$2011</definedName>
    <definedName name="Z_DD2108D9_A80D_43E7_BD48_EA02B0B01C0C_.wvu.FilterData" localSheetId="1" hidden="1">IMPORTS!$A$1:$CC$1591</definedName>
    <definedName name="Z_DD3510D1_6C16_4110_B6AD_9202638AA7A3_.wvu.FilterData" localSheetId="1" hidden="1">IMPORTS!$A$1:$CC$1535</definedName>
    <definedName name="Z_DD4513D7_0089_4194_B15A_4DAB4033D8D4_.wvu.FilterData" localSheetId="1" hidden="1">IMPORTS!$A$1:$CF$1901</definedName>
    <definedName name="Z_DDA0D772_6F89_4AE0_B166_F9AD65D3AB01_.wvu.FilterData" localSheetId="1" hidden="1">IMPORTS!$A$1:$CC$1736</definedName>
    <definedName name="Z_DDC77524_A5D0_4FF9_A378_0582FD1790E7_.wvu.FilterData" localSheetId="1" hidden="1">IMPORTS!$A$1:$CC$1591</definedName>
    <definedName name="Z_DDDA1C48_598F_44A2_A5EE_9DDB1D77A897_.wvu.FilterData" localSheetId="1" hidden="1">IMPORTS!$A$1:$CF$1957</definedName>
    <definedName name="Z_DDE38A59_8778_4E1F_A226_E58E536F2888_.wvu.FilterData" localSheetId="1" hidden="1">IMPORTS!$A$1:$BV$1114</definedName>
    <definedName name="Z_DE2DAB20_F3D0_467E_90CD_040DAF91DE4D_.wvu.FilterData" localSheetId="1" hidden="1">IMPORTS!$A$1:$CC$1353</definedName>
    <definedName name="Z_DEB786E0_9447_4631_BF9E_15E1BD6C15D1_.wvu.FilterData" localSheetId="1" hidden="1">IMPORTS!$A$1:$CC$1672</definedName>
    <definedName name="Z_DEBDCBF8_FA72_4E4E_817C_5BA9091465F5_.wvu.FilterData" localSheetId="1" hidden="1">IMPORTS!$A$1:$BV$1032</definedName>
    <definedName name="Z_DEC153A0_8803_4F0D_92F0_B04FA9F423C9_.wvu.FilterData" localSheetId="1" hidden="1">IMPORTS!$A$1:$CF$1911</definedName>
    <definedName name="Z_DF306E63_C2C3_47D5_8016_FEB62992F4E4_.wvu.FilterData" localSheetId="1" hidden="1">IMPORTS!$A$1:$CC$1567</definedName>
    <definedName name="Z_DF87DA06_77D3_4665_BAD6_A8B293CE5D11_.wvu.FilterData" localSheetId="1" hidden="1">IMPORTS!$A$1:$CC$1545</definedName>
    <definedName name="Z_DFA1DF97_EB3E_41BC_A482_739F4D885032_.wvu.FilterData" localSheetId="1" hidden="1">IMPORTS!$A$1:$BV$769</definedName>
    <definedName name="Z_DFAF7C49_6AD1_4F3C_94EA_7494AE5BB44B_.wvu.FilterData" localSheetId="1" hidden="1">IMPORTS!$A$1:$CC$1807</definedName>
    <definedName name="Z_DFAF7C49_6AD1_4F3C_94EA_7494AE5BB44B_.wvu.FilterData" localSheetId="4" hidden="1">'INGRESOS OC''s'!$A$1:$N$151</definedName>
    <definedName name="Z_DFC25EE6_5200_4519_B3CD_EB3A218700A3_.wvu.FilterData" localSheetId="1" hidden="1">IMPORTS!$A$1:$CC$1724</definedName>
    <definedName name="Z_DFD31E4A_3B8D_4179_BAAA_E8E280676ECF_.wvu.FilterData" localSheetId="1" hidden="1">IMPORTS!$A$1:$BV$807</definedName>
    <definedName name="Z_E027B9D3_50B0_4E5E_ADB6_81C340C4C722_.wvu.FilterData" localSheetId="1" hidden="1">IMPORTS!$A$1:$CF$1903</definedName>
    <definedName name="Z_E067804F_8437_4077_9C5B_816E4D503CD7_.wvu.FilterData" localSheetId="1" hidden="1">IMPORTS!$A$1:$CC$1724</definedName>
    <definedName name="Z_E06F8D5C_FD07_40A9_B8DB_A6DCBA8D84F1_.wvu.FilterData" localSheetId="1" hidden="1">IMPORTS!$A$1:$CC$1217</definedName>
    <definedName name="Z_E09CDA5E_35BD_401F_83E7_D280273ACA3A_.wvu.FilterData" localSheetId="1" hidden="1">IMPORTS!$A$1:$BV$807</definedName>
    <definedName name="Z_E0ABB3B4_64DD_4037_9F85_7C54C90C7541_.wvu.FilterData" localSheetId="1" hidden="1">IMPORTS!$A$1:$CC$1578</definedName>
    <definedName name="Z_E0C23620_FD00_493F_B15F_29A76A555176_.wvu.FilterData" localSheetId="1" hidden="1">IMPORTS!$A$1:$CF$1895</definedName>
    <definedName name="Z_E0D591FB_5CCF_4870_868A_6C87FA0E220A_.wvu.FilterData" localSheetId="1" hidden="1">IMPORTS!$A$1:$BV$1247</definedName>
    <definedName name="Z_E136B40A_BDF2_4784_AF7A_8398B5F26ADD_.wvu.FilterData" localSheetId="1" hidden="1">IMPORTS!$A$1:$CC$1779</definedName>
    <definedName name="Z_E13ED1F4_3410_4636_936F_5DB42DA10809_.wvu.FilterData" localSheetId="1" hidden="1">IMPORTS!$A$1:$CF$1980</definedName>
    <definedName name="Z_E13F3427_4A95_4CA0_859B_E26667B73E40_.wvu.FilterData" localSheetId="1" hidden="1">IMPORTS!$A$1:$CF$1903</definedName>
    <definedName name="Z_E1446555_082B_44C0_8FE1_497C0AA3626F_.wvu.FilterData" localSheetId="1" hidden="1">IMPORTS!$A$1:$BV$1142</definedName>
    <definedName name="Z_E14A7875_CB4B_4C9F_BDD2_ADDF4A6652BF_.wvu.FilterData" localSheetId="1" hidden="1">IMPORTS!$A$1:$BV$1142</definedName>
    <definedName name="Z_E1DD75EC_5FE9_4360_8235_35D620CAD06E_.wvu.FilterData" localSheetId="1" hidden="1">IMPORTS!$A$1:$CC$1842</definedName>
    <definedName name="Z_E20EF196_5EB3_40E1_816B_FB6EE4DEB3A4_.wvu.FilterData" localSheetId="1" hidden="1">IMPORTS!$A$1:$CC$1879</definedName>
    <definedName name="Z_E255098C_796D_4B1C_885D_0DFD933038B6_.wvu.FilterData" localSheetId="1" hidden="1">IMPORTS!$A$1:$BV$733</definedName>
    <definedName name="Z_E2578FF8_649A_4805_8C35_47C8B1E4FED2_.wvu.FilterData" localSheetId="1" hidden="1">IMPORTS!$A$1:$BV$1142</definedName>
    <definedName name="Z_E26E1944_2EA1_41B9_99D4_65CBD4D4C1E0_.wvu.FilterData" localSheetId="1" hidden="1">IMPORTS!$A$1:$CF$1928</definedName>
    <definedName name="Z_E298B409_9BE3_49CA_8EC5_D6E4C0032D40_.wvu.FilterData" localSheetId="1" hidden="1">IMPORTS!$A$1:$CC$1361</definedName>
    <definedName name="Z_E2CEA185_21A6_4032_89CA_3467498190CE_.wvu.FilterData" localSheetId="6" hidden="1">'FAM-CLASS'!$A$1:$D$144</definedName>
    <definedName name="Z_E2CEA185_21A6_4032_89CA_3467498190CE_.wvu.FilterData" localSheetId="1" hidden="1">IMPORTS!$A$1:$CC$1665</definedName>
    <definedName name="Z_E2CEA185_21A6_4032_89CA_3467498190CE_.wvu.FilterData" localSheetId="4" hidden="1">'INGRESOS OC''s'!$A$1:$N$55</definedName>
    <definedName name="Z_E2D4D4AD_D8C8_4C70_8CC2_BF3CA463F65B_.wvu.FilterData" localSheetId="1" hidden="1">IMPORTS!$A$1:$BV$732</definedName>
    <definedName name="Z_E3342C2E_8686_4106_AE01_4454E2EE449C_.wvu.FilterData" localSheetId="1" hidden="1">IMPORTS!$A$1:$BV$1114</definedName>
    <definedName name="Z_E33D5C6C_CA5E_4923_B3DF_494118CCBB09_.wvu.FilterData" localSheetId="1" hidden="1">IMPORTS!$A$1:$CC$1581</definedName>
    <definedName name="Z_E3886BAE_9AEE_4407_ABF7_CD5BF53D4FA3_.wvu.FilterData" localSheetId="1" hidden="1">IMPORTS!$A$1:$CF$2009</definedName>
    <definedName name="Z_E3B99136_AC62_4C9A_B30B_533CCF29BE87_.wvu.FilterData" localSheetId="1" hidden="1">IMPORTS!$A$1:$BV$1602</definedName>
    <definedName name="Z_E3D5EC5D_BDD2_4B01_94E2_05578C9F091A_.wvu.FilterData" localSheetId="1" hidden="1">IMPORTS!$A$1:$CC$1247</definedName>
    <definedName name="Z_E46B7DC7_028B_4D21_B2DA_B9DB4441ECE8_.wvu.FilterData" localSheetId="1" hidden="1">IMPORTS!$A$1:$CC$1293</definedName>
    <definedName name="Z_E485DFE6_7A42_444A_8700_842F9E60ACE0_.wvu.FilterData" localSheetId="1" hidden="1">IMPORTS!$A$1:$CF$1980</definedName>
    <definedName name="Z_E4BBA63E_D707_4C4F_8B2E_673E1C5D8AAB_.wvu.FilterData" localSheetId="1" hidden="1">IMPORTS!$A$1:$BV$1157</definedName>
    <definedName name="Z_E5071A1D_41BB_4074_A357_1DFEF33C0DC7_.wvu.FilterData" localSheetId="1" hidden="1">IMPORTS!$A$1:$CF$1933</definedName>
    <definedName name="Z_E50DE04D_EDCE_4325_8CAF_F64E084B440D_.wvu.FilterData" localSheetId="1" hidden="1">IMPORTS!$A$1:$CC$1668</definedName>
    <definedName name="Z_E54133B4_0EDA_4555_ADFE_073D6E4A6F53_.wvu.FilterData" localSheetId="1" hidden="1">IMPORTS!$A$1:$CC$1353</definedName>
    <definedName name="Z_E5428B0F_298C_419B_9C70_36D1981E50B7_.wvu.FilterData" localSheetId="1" hidden="1">IMPORTS!$A$1:$CC$1504</definedName>
    <definedName name="Z_E568CF42_0A08_4067_BB2C_521971B6C933_.wvu.FilterData" localSheetId="1" hidden="1">IMPORTS!$A$1:$CF$2009</definedName>
    <definedName name="Z_E5C479C1_9AED_454D_9045_836B52CA2E45_.wvu.FilterData" localSheetId="1" hidden="1">IMPORTS!$A$1:$BV$733</definedName>
    <definedName name="Z_E610D27E_1B4B_4F46_882E_4F7AEEB2E27B_.wvu.FilterData" localSheetId="1" hidden="1">IMPORTS!$A$1:$BV$759</definedName>
    <definedName name="Z_E64C4BDB_41B9_4835_94A0_929875491996_.wvu.FilterData" localSheetId="1" hidden="1">IMPORTS!$A$1:$CC$1439</definedName>
    <definedName name="Z_E6A16F5C_B7B6_4064_A1DC_45E1ABB21360_.wvu.FilterData" localSheetId="1" hidden="1">IMPORTS!$A$1:$CC$1591</definedName>
    <definedName name="Z_E6B189F4_9F83_411D_82F8_6B4322D90A47_.wvu.FilterData" localSheetId="1" hidden="1">IMPORTS!$A$1:$BV$921</definedName>
    <definedName name="Z_E6EF1F98_05F7_4FFA_A98B_2FCD7EEB0EA0_.wvu.FilterData" localSheetId="1" hidden="1">IMPORTS!$A$1:$CF$1980</definedName>
    <definedName name="Z_E79AE889_1150_4F92_AE7F_CB7DDFF5877F_.wvu.FilterData" localSheetId="1" hidden="1">IMPORTS!$A$1:$CF$2008</definedName>
    <definedName name="Z_E7E813AA_0077_4DF6_B4C8_CE0452091D39_.wvu.FilterData" localSheetId="1" hidden="1">IMPORTS!$A$1:$CC$1247</definedName>
    <definedName name="Z_E819FA0F_227C_4C6D_9FD3_6CFF9AA8D81D_.wvu.FilterData" localSheetId="1" hidden="1">IMPORTS!$A$1:$CC$1880</definedName>
    <definedName name="Z_E81C0185_B083_4BB2_BCAB_A501D495D515_.wvu.FilterData" localSheetId="1" hidden="1">IMPORTS!$A$1:$CC$1854</definedName>
    <definedName name="Z_E8270552_E2AE_4429_A5DE_8A432E7C5AEC_.wvu.FilterData" localSheetId="1" hidden="1">IMPORTS!$A$1:$BV$769</definedName>
    <definedName name="Z_E84DDDA8_11A2_4F6E_BD7A_39F11DB1D667_.wvu.FilterData" localSheetId="1" hidden="1">IMPORTS!$A$1:$CC$1591</definedName>
    <definedName name="Z_E85C4B8B_0C66_447E_AE66_0C3B8FD98CAE_.wvu.FilterData" localSheetId="1" hidden="1">IMPORTS!$A$1:$CC$1700</definedName>
    <definedName name="Z_E86FD57B_E9F1_41B1_B620_6CC25F4C1E68_.wvu.FilterData" localSheetId="1" hidden="1">IMPORTS!$A$1:$CC$1247</definedName>
    <definedName name="Z_E87C70B0_33B9_4B31_88E2_0E50B8F667F0_.wvu.FilterData" localSheetId="1" hidden="1">IMPORTS!$A$1:$CF$1889</definedName>
    <definedName name="Z_E88398EE_0CDC_4D57_AA32_ABFD970B9AA3_.wvu.FilterData" localSheetId="4" hidden="1">'INGRESOS OC''s'!$A$1:$N$324</definedName>
    <definedName name="Z_E8866B42_10BD_4824_B575_60AC73E8B4C6_.wvu.FilterData" localSheetId="1" hidden="1">IMPORTS!$A$1:$BV$1043</definedName>
    <definedName name="Z_E8CEEB61_C3C0_4ED7_A69B_D942494A2D21_.wvu.FilterData" localSheetId="1" hidden="1">IMPORTS!$A$1:$CC$1247</definedName>
    <definedName name="Z_E902FB54_95C4_4F76_81A0_70314C5502D8_.wvu.FilterData" localSheetId="1" hidden="1">IMPORTS!$A$1:$BV$1118</definedName>
    <definedName name="Z_E91EF39E_0293_4FE1_851A_CDA211C08CBF_.wvu.FilterData" localSheetId="1" hidden="1">IMPORTS!$A$1:$CC$1293</definedName>
    <definedName name="Z_E95BA54A_A8C5_4264_821F_2B5FD5F8404C_.wvu.FilterData" localSheetId="1" hidden="1">IMPORTS!$A$1:$CC$1744</definedName>
    <definedName name="Z_E9BC93C5_3835_4D45_9E7B_E6CC94F19FA0_.wvu.FilterData" localSheetId="1" hidden="1">IMPORTS!$A$1:$CC$1535</definedName>
    <definedName name="Z_E9C6EA4B_A3E3_4297_AF8F_73836F7E886A_.wvu.FilterData" localSheetId="1" hidden="1">IMPORTS!$A$1:$CC$1854</definedName>
    <definedName name="Z_E9FD00CC_104C_4C45_94DA_583B8E8055CC_.wvu.FilterData" localSheetId="1" hidden="1">IMPORTS!$A$1:$CC$1815</definedName>
    <definedName name="Z_EA3F3F38_33E4_41CC_B697_175E129B6B07_.wvu.FilterData" localSheetId="1" hidden="1">IMPORTS!$A$1:$CC$1217</definedName>
    <definedName name="Z_EA799427_FE0E_4B47_B941_74A99043AF1D_.wvu.FilterData" localSheetId="1" hidden="1">IMPORTS!$A$1:$BV$1092</definedName>
    <definedName name="Z_EACFD3DC_E114_45BE_9C65_FC849A28A86A_.wvu.FilterData" localSheetId="1" hidden="1">IMPORTS!$A$1:$CF$1980</definedName>
    <definedName name="Z_EB099D55_C598_4EA2_9986_2078C3FC98A6_.wvu.FilterData" localSheetId="1" hidden="1">IMPORTS!$A$1:$CC$1804</definedName>
    <definedName name="Z_EB099D55_C598_4EA2_9986_2078C3FC98A6_.wvu.FilterData" localSheetId="4" hidden="1">'INGRESOS OC''s'!$A$1:$N$145</definedName>
    <definedName name="Z_EB0EB13C_3DCA_42BD_AA5E_9D268907B439_.wvu.FilterData" localSheetId="1" hidden="1">IMPORTS!$A$1:$BV$850</definedName>
    <definedName name="Z_EB13B5FD_40C3_47C1_9C67_2DA7D1D9F52D_.wvu.FilterData" localSheetId="1" hidden="1">IMPORTS!$A$1:$BV$797</definedName>
    <definedName name="Z_EB66075D_CB02_4CA8_A9D6_3BC2C81ED0FC_.wvu.FilterData" localSheetId="1" hidden="1">IMPORTS!$A$1:$BV$796</definedName>
    <definedName name="Z_EB7E3D68_6281_453C_9D5A_BEA32DE96BBB_.wvu.FilterData" localSheetId="1" hidden="1">IMPORTS!$A$1:$CC$1439</definedName>
    <definedName name="Z_EB85A5CE_F4E1_4201_9077_1B846D7B87BD_.wvu.FilterData" localSheetId="1" hidden="1">IMPORTS!$A$1:$CF$1933</definedName>
    <definedName name="Z_EB85A5CE_F4E1_4201_9077_1B846D7B87BD_.wvu.FilterData" localSheetId="4" hidden="1">'INGRESOS OC''s'!$A$1:$N$331</definedName>
    <definedName name="Z_EB94AC44_C8F4_44BB_A115_626848FDC3F5_.wvu.FilterData" localSheetId="1" hidden="1">IMPORTS!$A$1:$BV$1034</definedName>
    <definedName name="Z_EC426F39_09B4_411C_A657_D186B9C24A37_.wvu.FilterData" localSheetId="1" hidden="1">IMPORTS!$A$1:$CC$1888</definedName>
    <definedName name="Z_EC5C2228_4008_4131_A40F_78820EE8D54A_.wvu.FilterData" localSheetId="1" hidden="1">IMPORTS!$A$1:$CC$1638</definedName>
    <definedName name="Z_EC676A86_E356_4C67_9762_A3DE44716118_.wvu.FilterData" localSheetId="1" hidden="1">IMPORTS!$A$1:$BV$1142</definedName>
    <definedName name="Z_EC93D34E_D93F_4AE8_8B97_F19BE4D97117_.wvu.FilterData" localSheetId="1" hidden="1">IMPORTS!$A$1:$CC$1439</definedName>
    <definedName name="Z_ECBEF24B_EC4F_4FFA_AF27_18437665EAB1_.wvu.FilterData" localSheetId="1" hidden="1">IMPORTS!$A$1:$BV$807</definedName>
    <definedName name="Z_ECE614B8_7E5B_48F5_910E_A4AD8F04A21A_.wvu.FilterData" localSheetId="6" hidden="1">'FAM-CLASS'!$A$1:$D$133</definedName>
    <definedName name="Z_ECE614B8_7E5B_48F5_910E_A4AD8F04A21A_.wvu.FilterData" localSheetId="1" hidden="1">IMPORTS!$A$1:$BV$892</definedName>
    <definedName name="Z_ECF1BC48_78AD_4F83_8408_98A084D2C309_.wvu.FilterData" localSheetId="1" hidden="1">IMPORTS!$A$1:$CC$1293</definedName>
    <definedName name="Z_ED42026F_8A05_47EC_8A36_09A4026033E7_.wvu.FilterData" localSheetId="1" hidden="1">IMPORTS!$A$1:$BV$732</definedName>
    <definedName name="Z_EDBB4857_834C_4D25_99CA_350C71CAC17B_.wvu.FilterData" localSheetId="1" hidden="1">IMPORTS!$A$1:$CC$1717</definedName>
    <definedName name="Z_EDF08FE2_C8E2_4390_BF4E_E774CCE7DB9B_.wvu.FilterData" localSheetId="1" hidden="1">IMPORTS!$A$1:$CC$1795</definedName>
    <definedName name="Z_EDF08FE2_C8E2_4390_BF4E_E774CCE7DB9B_.wvu.FilterData" localSheetId="4" hidden="1">'INGRESOS OC''s'!$A$1:$N$140</definedName>
    <definedName name="Z_EE049E7E_F656_441D_9373_29954E46E226_.wvu.FilterData" localSheetId="1" hidden="1">IMPORTS!$A$1:$CC$1504</definedName>
    <definedName name="Z_EE1B79F4_F766_4289_BFCD_653557EBC917_.wvu.FilterData" localSheetId="1" hidden="1">IMPORTS!$A$1:$BV$807</definedName>
    <definedName name="Z_EE3521AA_D6A0_40C0_830F_0E05D1F15D54_.wvu.FilterData" localSheetId="1" hidden="1">IMPORTS!$A$1:$CC$1767</definedName>
    <definedName name="Z_EE6DDBFC_EAC7_4D57_BCB8_C2C04BD8D550_.wvu.FilterData" localSheetId="1" hidden="1">IMPORTS!$A$1:$CC$1791</definedName>
    <definedName name="Z_EEEF7A74_F09D_4A4C_A714_64211EC1EF76_.wvu.FilterData" localSheetId="1" hidden="1">IMPORTS!$A$1:$CC$1367</definedName>
    <definedName name="Z_EF11B23B_38A7_4CFD_B310_782AEDAAD441_.wvu.FilterData" localSheetId="1" hidden="1">IMPORTS!$A$1:$BV$860</definedName>
    <definedName name="Z_EF24F2BF_6651_4EBD_8A04_4E85887DCE82_.wvu.FilterData" localSheetId="1" hidden="1">IMPORTS!$A$1:$BV$1091</definedName>
    <definedName name="Z_EF8F8974_E70E_4F3A_B9CA_1854A647B387_.wvu.FilterData" localSheetId="1" hidden="1">IMPORTS!$A$1:$CC$1293</definedName>
    <definedName name="Z_F005D70B_2787_468F_94CA_3D130F4AC7F8_.wvu.FilterData" localSheetId="1" hidden="1">IMPORTS!$A$1:$CC$1582</definedName>
    <definedName name="Z_F041F0DB_711A_4FB9_8B7D_8BE76060B9E0_.wvu.FilterData" localSheetId="1" hidden="1">IMPORTS!$A$1:$CC$1724</definedName>
    <definedName name="Z_F04A8B50_74C4_4037_BF78_33A6344D191A_.wvu.FilterData" localSheetId="1" hidden="1">IMPORTS!$A$1:$CC$1591</definedName>
    <definedName name="Z_F064C5A0_8351_4FCB_824A_C0CBB867EE14_.wvu.FilterData" localSheetId="1" hidden="1">IMPORTS!$A$1:$CF$1929</definedName>
    <definedName name="Z_F0B38087_FD38_485F_95FB_313F2CD274CF_.wvu.FilterData" localSheetId="1" hidden="1">IMPORTS!$A$1:$CC$1472</definedName>
    <definedName name="Z_F0BCB069_B8FD_4FC6_8D8F_CB991F2C03A8_.wvu.FilterData" localSheetId="1" hidden="1">IMPORTS!$A$1:$CC$1781</definedName>
    <definedName name="Z_F0CC884B_5AD7_4B23_A39A_6DA4DBCDAA43_.wvu.FilterData" localSheetId="1" hidden="1">IMPORTS!$A$1:$CF$2011</definedName>
    <definedName name="Z_F0F53B92_EFFE_40EA_8351_C28820F539EC_.wvu.FilterData" localSheetId="1" hidden="1">IMPORTS!$A$1:$CC$1353</definedName>
    <definedName name="Z_F0F81714_7578_47FA_9F0B_C965644BD7D7_.wvu.FilterData" localSheetId="1" hidden="1">IMPORTS!$A$1:$CC$1504</definedName>
    <definedName name="Z_F12D12B7_C098_4B9F_A330_980210BCC9A1_.wvu.FilterData" localSheetId="1" hidden="1">IMPORTS!$A$1:$CC$1253</definedName>
    <definedName name="Z_F1456EE0_3BEF_4832_BAD5_1EE2C28412D5_.wvu.FilterData" localSheetId="1" hidden="1">IMPORTS!$A$1:$CC$1293</definedName>
    <definedName name="Z_F15FB052_4014_4B84_97F4_9B00330A5646_.wvu.FilterData" localSheetId="1" hidden="1">IMPORTS!$A$1:$CF$1912</definedName>
    <definedName name="Z_F1B344EB_FC41_47FE_A705_30D5456C13F4_.wvu.FilterData" localSheetId="1" hidden="1">IMPORTS!$A$1:$CC$1504</definedName>
    <definedName name="Z_F1B461D5_65D7_4A4A_9EF1_884735CBD2A2_.wvu.FilterData" localSheetId="1" hidden="1">IMPORTS!$A$1:$CF$1902</definedName>
    <definedName name="Z_F1DF8F5B_72F2_4433_B1B2_BC90BC8EE2DD_.wvu.FilterData" localSheetId="1" hidden="1">IMPORTS!$A$1:$BV$881</definedName>
    <definedName name="Z_F1E82789_6F17_44DD_B804_C811F6F73785_.wvu.FilterData" localSheetId="1" hidden="1">IMPORTS!$A$1:$BV$1058</definedName>
    <definedName name="Z_F28B6B36_B00F_402F_ADAD_172B6E54DA48_.wvu.FilterData" localSheetId="1" hidden="1">IMPORTS!$A$1:$BV$807</definedName>
    <definedName name="Z_F30B9908_0509_4AC9_AFCF_CE04BBC8FF19_.wvu.FilterData" localSheetId="1" hidden="1">IMPORTS!$A$1:$BV$732</definedName>
    <definedName name="Z_F3565B19_0CCD_45A5_BDA3_3F0A52CC2FED_.wvu.FilterData" localSheetId="1" hidden="1">IMPORTS!$A$1:$CC$1821</definedName>
    <definedName name="Z_F3773FD8_D001_4713_9172_D8E58960B96E_.wvu.FilterData" localSheetId="1" hidden="1">IMPORTS!$A$1:$BV$1043</definedName>
    <definedName name="Z_F3D6187F_0111_4922_9C72_D633981C04CA_.wvu.FilterData" localSheetId="1" hidden="1">IMPORTS!$A$1:$CC$1838</definedName>
    <definedName name="Z_F4211A5E_141D_480D_BCCA_68E80191B17B_.wvu.FilterData" localSheetId="1" hidden="1">IMPORTS!$A$1:$CC$1700</definedName>
    <definedName name="Z_F42682DE_31A3_4474_B25A_C7563CF17841_.wvu.FilterData" localSheetId="1" hidden="1">IMPORTS!$A$1:$BV$732</definedName>
    <definedName name="Z_F455FA7C_EC0F_48FA_B99B_D129705D180B_.wvu.FilterData" localSheetId="1" hidden="1">IMPORTS!$A$1:$CC$1556</definedName>
    <definedName name="Z_F47EADCD_FC55_4F38_A89C_D8A9AA4C1A3A_.wvu.FilterData" localSheetId="1" hidden="1">IMPORTS!$A$1:$CC$1854</definedName>
    <definedName name="Z_F4BBF09D_2778_468D_82AD_4925F629CD7D_.wvu.FilterData" localSheetId="1" hidden="1">IMPORTS!$A$1:$CC$1542</definedName>
    <definedName name="Z_F4EEB38F_E42B_47C7_9AEF_65634879A93C_.wvu.FilterData" localSheetId="1" hidden="1">IMPORTS!$A$1:$BV$749</definedName>
    <definedName name="Z_F5107037_3969_4440_A758_A16F1C942A4C_.wvu.FilterData" localSheetId="1" hidden="1">IMPORTS!$A$1:$CF$1924</definedName>
    <definedName name="Z_F53AC1C5_D954_4B83_99E2_417AFFC8A427_.wvu.FilterData" localSheetId="1" hidden="1">IMPORTS!$A$1:$CC$1591</definedName>
    <definedName name="Z_F58216EC_08A8_405D_8BDB_EC7FCD19A19D_.wvu.FilterData" localSheetId="1" hidden="1">IMPORTS!$A$1:$CC$1591</definedName>
    <definedName name="Z_F5959CE3_094F_4329_9B42_AE86D9BAE3E7_.wvu.FilterData" localSheetId="1" hidden="1">IMPORTS!$A$1:$CC$1845</definedName>
    <definedName name="Z_F5CCB3E5_27CA_4BAC_BD92_A2D98C680ED7_.wvu.FilterData" localSheetId="1" hidden="1">IMPORTS!$A$1:$CC$1791</definedName>
    <definedName name="Z_F6468076_685F_4456_89F0_BC5A5CFA5380_.wvu.FilterData" localSheetId="1" hidden="1">IMPORTS!$A$1:$CC$1353</definedName>
    <definedName name="Z_F650E4CC_E75A_438A_ADED_ECDA8F1F9F39_.wvu.FilterData" localSheetId="1" hidden="1">IMPORTS!$A$1:$BV$760</definedName>
    <definedName name="Z_F699CCC9_E306_4ADD_8353_C74AE2870720_.wvu.FilterData" localSheetId="1" hidden="1">IMPORTS!$A$1:$CC$1293</definedName>
    <definedName name="Z_F6BC0BF9_6519_4B94_B0E7_47C212373C08_.wvu.Cols" localSheetId="1" hidden="1">IMPORTS!$BV:$BV</definedName>
    <definedName name="Z_F6BC0BF9_6519_4B94_B0E7_47C212373C08_.wvu.FilterData" localSheetId="6" hidden="1">'FAM-CLASS'!$A$1:$D$128</definedName>
    <definedName name="Z_F6BC0BF9_6519_4B94_B0E7_47C212373C08_.wvu.FilterData" localSheetId="1" hidden="1">IMPORTS!$A$1:$BV$796</definedName>
    <definedName name="Z_F6E07460_7BA3_4DD1_81FD_E03389C7CCFD_.wvu.FilterData" localSheetId="1" hidden="1">IMPORTS!$A$1:$CC$1880</definedName>
    <definedName name="Z_F745B619_D7D9_44B3_A806_45B5A58D2122_.wvu.FilterData" localSheetId="1" hidden="1">IMPORTS!$A$1:$CF$1980</definedName>
    <definedName name="Z_F77E0285_17B5_4585_B1B0_C47F92A1A903_.wvu.FilterData" localSheetId="1" hidden="1">IMPORTS!$A$1:$CC$1795</definedName>
    <definedName name="Z_F788D65D_D38E_47C8_B594_957E0E28FD0E_.wvu.FilterData" localSheetId="1" hidden="1">IMPORTS!$A$1:$BV$733</definedName>
    <definedName name="Z_F7BB09F0_A023_4FC1_B2EE_9D79AA199EBC_.wvu.FilterData" localSheetId="1" hidden="1">IMPORTS!$A$1:$BV$1092</definedName>
    <definedName name="Z_F7D4088C_1F08_4F2A_9B3B_9EE803923A05_.wvu.FilterData" localSheetId="1" hidden="1">IMPORTS!$A$1:$CC$1722</definedName>
    <definedName name="Z_F81A41FB_75C2_49B8_8FA7_5EDF18F72814_.wvu.FilterData" localSheetId="1" hidden="1">IMPORTS!$A$1:$BV$1034</definedName>
    <definedName name="Z_F82EC358_7D2D_4E5D_AAF8_D18A465B5460_.wvu.FilterData" localSheetId="1" hidden="1">IMPORTS!$A$1:$CC$1807</definedName>
    <definedName name="Z_F82EC358_7D2D_4E5D_AAF8_D18A465B5460_.wvu.FilterData" localSheetId="4" hidden="1">'INGRESOS OC''s'!$A$1:$N$151</definedName>
    <definedName name="Z_F87B75FE_5743_44D1_B303_85DFFE06FDDB_.wvu.FilterData" localSheetId="1" hidden="1">IMPORTS!$A$1:$CF$1912</definedName>
    <definedName name="Z_F881ECBB_43A4_4E32_A490_F4D6E1CC566E_.wvu.FilterData" localSheetId="1" hidden="1">IMPORTS!$A$1:$BV$769</definedName>
    <definedName name="Z_F8829E9D_78DF_47EA_9F26_174813224EFB_.wvu.FilterData" localSheetId="1" hidden="1">IMPORTS!$A$1:$BV$1034</definedName>
    <definedName name="Z_F8A745F5_0E49_4DCC_BEDF_5A29BE82D985_.wvu.FilterData" localSheetId="1" hidden="1">IMPORTS!$A$1:$CC$1606</definedName>
    <definedName name="Z_F8B69920_A612_4856_A4C9_35E2101B889F_.wvu.FilterData" localSheetId="1" hidden="1">IMPORTS!$A$1:$BV$881</definedName>
    <definedName name="Z_F931A201_4BB4_43BF_A4A7_947711FE14BD_.wvu.FilterData" localSheetId="1" hidden="1">IMPORTS!$A$1:$CC$1744</definedName>
    <definedName name="Z_F9327417_CA01_4F3F_81A4_E5A1E3308C8E_.wvu.FilterData" localSheetId="1" hidden="1">IMPORTS!$A$1:$CF$2009</definedName>
    <definedName name="Z_F946B8A9_EF30_40EC_91D5_A7A5EC20E2EB_.wvu.FilterData" localSheetId="1" hidden="1">IMPORTS!$A$1:$CF$1930</definedName>
    <definedName name="Z_F99341DF_1312_449B_8A6B_A0E889D70517_.wvu.FilterData" localSheetId="1" hidden="1">IMPORTS!$A$1:$CC$1665</definedName>
    <definedName name="Z_F99341DF_1312_449B_8A6B_A0E889D70517_.wvu.FilterData" localSheetId="4" hidden="1">'INGRESOS OC''s'!$A$1:$N$55</definedName>
    <definedName name="Z_F9996D94_3B0B_4413_8991_153CEBD030AB_.wvu.FilterData" localSheetId="1" hidden="1">IMPORTS!$A$1:$BV$807</definedName>
    <definedName name="Z_F9DA1DD8_D800_4E5A_8402_406DCA7EFB00_.wvu.FilterData" localSheetId="1" hidden="1">IMPORTS!$A$1:$BV$732</definedName>
    <definedName name="Z_FA559CA6_0F86_4CA2_B708_3FCE9C51DA8E_.wvu.FilterData" localSheetId="1" hidden="1">IMPORTS!$A$1:$CC$1826</definedName>
    <definedName name="Z_FA8CCDE7_6BA0_4AB9_8573_31BBF0A8F8AD_.wvu.FilterData" localSheetId="1" hidden="1">IMPORTS!$A$1:$CC$1727</definedName>
    <definedName name="Z_FA8CCDE7_6BA0_4AB9_8573_31BBF0A8F8AD_.wvu.FilterData" localSheetId="4" hidden="1">'INGRESOS OC''s'!$A$1:$N$112</definedName>
    <definedName name="Z_FA8E6E56_4BE6_428E_9077_0AC4AA0DB768_.wvu.FilterData" localSheetId="1" hidden="1">IMPORTS!$A$1:$CC$1535</definedName>
    <definedName name="Z_FA950489_8338_48D9_AC37_5C120463E8BB_.wvu.FilterData" localSheetId="1" hidden="1">IMPORTS!$A$1:$CC$1451</definedName>
    <definedName name="Z_FAB61CF4_5569_4DB9_9F8E_D118164D900A_.wvu.Cols" localSheetId="7" hidden="1">ABC!$D:$D</definedName>
    <definedName name="Z_FAB61CF4_5569_4DB9_9F8E_D118164D900A_.wvu.Cols" localSheetId="4" hidden="1">'INGRESOS OC''s'!$N:$N</definedName>
    <definedName name="Z_FAB61CF4_5569_4DB9_9F8E_D118164D900A_.wvu.FilterData" localSheetId="6" hidden="1">'FAM-CLASS'!$A$1:$C$151</definedName>
    <definedName name="Z_FAB61CF4_5569_4DB9_9F8E_D118164D900A_.wvu.FilterData" localSheetId="1" hidden="1">IMPORTS!$A$1:$CF$2011</definedName>
    <definedName name="Z_FAB61CF4_5569_4DB9_9F8E_D118164D900A_.wvu.FilterData" localSheetId="4" hidden="1">'INGRESOS OC''s'!$A$1:$N$381</definedName>
    <definedName name="Z_FB2C1C64_56EC_494A_8415_B231B6172DCF_.wvu.FilterData" localSheetId="1" hidden="1">IMPORTS!$A$1:$CC$1591</definedName>
    <definedName name="Z_FB677F94_839F_46AA_A0FE_6AFD167D6E58_.wvu.FilterData" localSheetId="1" hidden="1">IMPORTS!$A$1:$CC$1724</definedName>
    <definedName name="Z_FB719E1E_6AFD_462E_8DF8_C33999C7D793_.wvu.FilterData" localSheetId="1" hidden="1">IMPORTS!$A$1:$BV$796</definedName>
    <definedName name="Z_FC01D98D_0D22_4810_8412_FB789C72C2EE_.wvu.FilterData" localSheetId="1" hidden="1">IMPORTS!$A$1:$CC$1254</definedName>
    <definedName name="Z_FC52E7F3_D922_4B7A_A369_6CFDEF962C14_.wvu.FilterData" localSheetId="1" hidden="1">IMPORTS!$A$1:$CC$1353</definedName>
    <definedName name="Z_FC742277_F27F_4F7B_9F43_2F0E25EEF8D0_.wvu.FilterData" localSheetId="1" hidden="1">IMPORTS!$A$1:$CC$1361</definedName>
    <definedName name="Z_FC76862E_4018_47DE_9949_DD36ABC733FA_.wvu.FilterData" localSheetId="1" hidden="1">IMPORTS!$A$1:$BV$1032</definedName>
    <definedName name="Z_FC7BC578_0D68_4EA6_A9C1_6C16D7AC35C4_.wvu.FilterData" localSheetId="1" hidden="1">IMPORTS!$A$1:$BV$1034</definedName>
    <definedName name="Z_FC942BB7_5EFB_4BE8_BC29_6CABAF826C96_.wvu.FilterData" localSheetId="1" hidden="1">IMPORTS!$A$1:$CC$1878</definedName>
    <definedName name="Z_FC95F955_D02B_41CD_99E8_37057A2BA39D_.wvu.FilterData" localSheetId="1" hidden="1">IMPORTS!$A$1:$BV$850</definedName>
    <definedName name="Z_FC9D0120_2B50_45FF_9EC6_B9172EBE8889_.wvu.FilterData" localSheetId="1" hidden="1">IMPORTS!$A$1:$CC$1277</definedName>
    <definedName name="Z_FCBA7508_94EC_4194_8C26_76C1DBCF3455_.wvu.FilterData" localSheetId="1" hidden="1">IMPORTS!$A$1:$BV$1114</definedName>
    <definedName name="Z_FCC31018_B20D_422E_8145_9E81313BF9DE_.wvu.FilterData" localSheetId="1" hidden="1">IMPORTS!$A$1:$CC$1758</definedName>
    <definedName name="Z_FD0BD02F_F46A_4D1E_8E60_75B11A070022_.wvu.FilterData" localSheetId="1" hidden="1">IMPORTS!$A$1:$CC$1838</definedName>
    <definedName name="Z_FD2CC3B7_04FE_4315_9698_3A7D1779CDB9_.wvu.FilterData" localSheetId="1" hidden="1">IMPORTS!$A$1:$CC$1558</definedName>
    <definedName name="Z_FD3AB3C3_E956_4018_A014_55C22ACB8752_.wvu.FilterData" localSheetId="1" hidden="1">IMPORTS!$A$1:$BV$733</definedName>
    <definedName name="Z_FD7161A3_9607_46AA_B235_5879D2DD8A22_.wvu.FilterData" localSheetId="1" hidden="1">IMPORTS!$A$1:$BV$732</definedName>
    <definedName name="Z_FD8B74B3_04FD_4A76_BB6D_BE1E7D60D915_.wvu.FilterData" localSheetId="1" hidden="1">IMPORTS!$A$1:$CC$1457</definedName>
    <definedName name="Z_FDAEE9F9_ECEE_413D_8A18_536E8BDC81BA_.wvu.FilterData" localSheetId="1" hidden="1">IMPORTS!$A$1:$CC$1816</definedName>
    <definedName name="Z_FDBC1D13_CAB4_4B63_B8B8_AAA03E521E56_.wvu.FilterData" localSheetId="1" hidden="1">IMPORTS!$A$1:$CC$1879</definedName>
    <definedName name="Z_FDD3817B_F9F9_4C14_A641_99C99E59C286_.wvu.FilterData" localSheetId="1" hidden="1">IMPORTS!$A$1:$CC$1781</definedName>
    <definedName name="Z_FE036B5C_37B8_4563_A54D_43057EEC8EB4_.wvu.FilterData" localSheetId="1" hidden="1">IMPORTS!$A$1:$CC$1880</definedName>
    <definedName name="Z_FE5E38B5_C249_401C_B99D_24646F3BA17A_.wvu.FilterData" localSheetId="1" hidden="1">IMPORTS!$A$1:$BV$881</definedName>
    <definedName name="Z_FE99F38B_9E4C_4679_9EEA_52328DC7D117_.wvu.FilterData" localSheetId="1" hidden="1">IMPORTS!$A$1:$CC$1591</definedName>
    <definedName name="Z_FECC465C_B6E5_4D58_AF06_8A76F8274508_.wvu.FilterData" localSheetId="1" hidden="1">IMPORTS!$A$1:$CC$1535</definedName>
    <definedName name="Z_FF420CDD_37A9_42E1_97E5_393B6ED15FA2_.wvu.FilterData" localSheetId="1" hidden="1">IMPORTS!$A$1:$CF$2008</definedName>
    <definedName name="Z_FF4F2EF7_D6C2_4145_87CF_3E8951D88D88_.wvu.FilterData" localSheetId="1" hidden="1">IMPORTS!$A$1:$CC$1807</definedName>
    <definedName name="Z_FF6DB823_AF63_491F_99D0_2F87B1292811_.wvu.FilterData" localSheetId="1" hidden="1">IMPORTS!$A$1:$CC$1591</definedName>
    <definedName name="Z_FFEA0EE7_5176_47B6_8380_BA80B8799E8D_.wvu.FilterData" localSheetId="1" hidden="1">IMPORTS!$A$1:$CC$1353</definedName>
    <definedName name="Z_FFF36D8D_7BEF_4436_A66A_AFA115D95CAB_.wvu.FilterData" localSheetId="1" hidden="1">IMPORTS!$A$1:$CC$1353</definedName>
  </definedNames>
  <calcPr calcId="191028"/>
  <customWorkbookViews>
    <customWorkbookView name="Mery Estela Saldaña Reyes - Vista personalizada" guid="{C3BDEBE1-7FE5-4B62-8359-C0142BCD2F22}" mergeInterval="0" personalView="1" maximized="1" xWindow="-9" yWindow="-9" windowWidth="1938" windowHeight="1048" tabRatio="668" activeSheetId="2"/>
    <customWorkbookView name="Alejandra Rojas Valderrama - Vista personalizada" guid="{220F5BDC-E9AE-407F-A093-9337F2810863}" mergeInterval="0" personalView="1" maximized="1" windowWidth="1916" windowHeight="803" tabRatio="580" activeSheetId="2"/>
    <customWorkbookView name="User - Vista personalizada" guid="{B055717C-E0BF-453A-AEA8-EC68CC771452}" mergeInterval="0" personalView="1" minimized="1" windowWidth="0" windowHeight="0" activeSheetId="2"/>
    <customWorkbookView name="Dann Andre Arellanos Santos - Vista personalizada" guid="{68CC2FEA-F53F-4571-B62F-1D319462DEF1}" mergeInterval="0" personalView="1" maximized="1" windowWidth="1916" windowHeight="834" tabRatio="785" activeSheetId="2"/>
    <customWorkbookView name="Viviana Patricia Ramirez Jaime - Vista personalizada" guid="{F6BC0BF9-6519-4B94-B0E7-47C212373C08}" mergeInterval="0" personalView="1" maximized="1" windowWidth="1902" windowHeight="785" tabRatio="785" activeSheetId="2"/>
    <customWorkbookView name="Julio Alberto Yanac Flores - Vista personalizada" guid="{ADD83179-2936-4280-B4DE-3112CF12D693}" mergeInterval="0" personalView="1" maximized="1" windowWidth="1596" windowHeight="678" activeSheetId="2"/>
    <customWorkbookView name="Maria Eugenia Heredia Mayo - Vista personalizada" guid="{AEFBDBB7-289B-444B-BF38-32A692FA795A}" mergeInterval="0" personalView="1" maximized="1" windowWidth="1916" windowHeight="721" tabRatio="785" activeSheetId="2"/>
    <customWorkbookView name="Silvanna Jeanette Cervantes Vicente - Vista personalizada" guid="{498F950A-284B-4B7A-9B00-46A2CF82C173}" mergeInterval="0" personalView="1" maximized="1" windowWidth="1916" windowHeight="755" activeSheetId="2"/>
    <customWorkbookView name="Paul Martin Sanchez Pulido - Vista personalizada" guid="{CC36E1BD-DF5E-4D5B-9FC2-B924ABF96C1E}" mergeInterval="0" personalView="1" maximized="1" xWindow="-9" yWindow="-9" windowWidth="1938" windowHeight="1048" tabRatio="601" activeSheetId="4"/>
    <customWorkbookView name="Ext_Felix Alberto Vicuña Morán - Vista personalizada" guid="{E2CEA185-21A6-4032-89CA-3467498190CE}" mergeInterval="0" personalView="1" maximized="1" windowWidth="1916" windowHeight="779" tabRatio="647" activeSheetId="2"/>
    <customWorkbookView name="Rocio Alejandra Arauco Tapia - Vista personalizada" guid="{3AED3352-1813-42FB-AD00-B0300DBB9DDD}" mergeInterval="0" personalView="1" maximized="1" windowWidth="1916" windowHeight="692" activeSheetId="2"/>
    <customWorkbookView name="Kristel Andrea Lora Diaz - Vista personalizada" guid="{47D365F7-A5C0-4967-9195-712416C433A6}" mergeInterval="0" personalView="1" maximized="1" xWindow="-11" yWindow="-11" windowWidth="1942" windowHeight="1042" tabRatio="668" activeSheetId="2"/>
    <customWorkbookView name="Patricia Elena Cabeza Valles - Vista personalizada" guid="{033F40BA-1316-4994-A3E1-6A590246BC17}" mergeInterval="0" personalView="1" maximized="1" xWindow="-9" yWindow="-9" windowWidth="1938" windowHeight="1048" tabRatio="781" activeSheetId="2"/>
    <customWorkbookView name="Kattia Marilyn Aldave Salazar - Vista personalizada" guid="{B8744A8F-5701-468A-980B-669E92146399}" mergeInterval="0" personalView="1" maximized="1" xWindow="-9" yWindow="-9" windowWidth="1938" windowHeight="1048" tabRatio="668" activeSheetId="2"/>
    <customWorkbookView name="Kristel Andrea Lora Diaz _ EXT - Vista personalizada" guid="{49F08520-9D55-4669-904F-FCC3B78183BE}" mergeInterval="0" personalView="1" maximized="1" xWindow="-11" yWindow="-11" windowWidth="1942" windowHeight="1042" tabRatio="668" activeSheetId="2"/>
    <customWorkbookView name="ADM - Vista personalizada" guid="{64DD6D4C-DC7E-42A4-8293-23757F1E95CA}" mergeInterval="0" personalView="1" maximized="1" xWindow="-8" yWindow="-8" windowWidth="1936" windowHeight="1056" tabRatio="593" activeSheetId="2"/>
    <customWorkbookView name="Evelin Alejandra Rojas Valderrama - Vista personalizada" guid="{20DDCD40-9DEC-4E0C-BDFD-5753C11CFC19}" mergeInterval="0" personalView="1" maximized="1" xWindow="-9" yWindow="-9" windowWidth="1938" windowHeight="1048" tabRatio="668" activeSheetId="6"/>
    <customWorkbookView name="usuario - Vista personalizada" guid="{4E878A97-87CB-403A-861C-A937390C8303}" mergeInterval="0" personalView="1" maximized="1" xWindow="-8" yWindow="-8" windowWidth="1382" windowHeight="744" tabRatio="668" activeSheetId="2"/>
    <customWorkbookView name="Joselyn Luna Carrillo - Vista personalizada" guid="{FAB61CF4-5569-4DB9-9F8E-D118164D900A}" mergeInterval="0" personalView="1" maximized="1" xWindow="-9" yWindow="-9" windowWidth="1938" windowHeight="1048" tabRatio="668" activeSheetId="2"/>
  </customWorkbookViews>
  <pivotCaches>
    <pivotCache cacheId="0" r:id="rId11"/>
  </pivotCaches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E2031" i="2" l="1"/>
  <c r="AE2030" i="2"/>
  <c r="AE2029" i="2"/>
  <c r="AE2028" i="2"/>
  <c r="AE2027" i="2"/>
  <c r="AE2026" i="2"/>
  <c r="AE2025" i="2"/>
  <c r="AE2024" i="2"/>
  <c r="AE2023" i="2"/>
  <c r="AE2022" i="2"/>
  <c r="AE2021" i="2"/>
  <c r="AE2020" i="2"/>
  <c r="AE2018" i="2"/>
  <c r="AE2017" i="2"/>
  <c r="AE2016" i="2"/>
  <c r="AE2015" i="2"/>
  <c r="AE2014" i="2"/>
  <c r="AE2013" i="2"/>
  <c r="AE2012" i="2"/>
  <c r="AE2011" i="2"/>
  <c r="AE2010" i="2"/>
  <c r="AE2009" i="2"/>
  <c r="AE2008" i="2"/>
  <c r="AE2007" i="2"/>
  <c r="AE2006" i="2"/>
  <c r="AE2005" i="2"/>
  <c r="AE2004" i="2"/>
  <c r="AE2003" i="2"/>
  <c r="AE2002" i="2"/>
  <c r="AE2001" i="2"/>
  <c r="AE2000" i="2"/>
  <c r="AE1999" i="2"/>
  <c r="AE1998" i="2"/>
  <c r="AE1997" i="2"/>
  <c r="AE1996" i="2"/>
  <c r="AE1995" i="2"/>
  <c r="AE1994" i="2"/>
  <c r="AE1993" i="2"/>
  <c r="AE1992" i="2"/>
  <c r="AE1991" i="2"/>
  <c r="AE1990" i="2"/>
  <c r="AE1989" i="2"/>
  <c r="AE1988" i="2"/>
  <c r="AE1987" i="2"/>
  <c r="AE1986" i="2"/>
  <c r="AE1985" i="2"/>
  <c r="AE1984" i="2"/>
  <c r="AE1983" i="2"/>
  <c r="AE1982" i="2"/>
  <c r="AE1981" i="2"/>
  <c r="AE1980" i="2"/>
  <c r="AE1979" i="2"/>
  <c r="AE1978" i="2"/>
  <c r="AE1977" i="2"/>
  <c r="AE1976" i="2"/>
  <c r="AE1975" i="2"/>
  <c r="AE1974" i="2"/>
  <c r="AE1973" i="2"/>
  <c r="AE1972" i="2"/>
  <c r="AE1971" i="2"/>
  <c r="AE1970" i="2"/>
  <c r="AE1969" i="2"/>
  <c r="AE1968" i="2"/>
  <c r="AE1967" i="2"/>
  <c r="AE1966" i="2"/>
  <c r="AE1965" i="2"/>
  <c r="AE1964" i="2"/>
  <c r="AE1963" i="2"/>
  <c r="AE1962" i="2"/>
  <c r="AE1961" i="2"/>
  <c r="AE1960" i="2"/>
  <c r="AE1959" i="2"/>
  <c r="AE1958" i="2"/>
  <c r="AE1957" i="2"/>
  <c r="AE1956" i="2"/>
  <c r="AE1955" i="2"/>
  <c r="AE1954" i="2"/>
  <c r="AE1953" i="2"/>
  <c r="AE1952" i="2"/>
  <c r="AE1949" i="2"/>
  <c r="AE1948" i="2"/>
  <c r="AE1947" i="2"/>
  <c r="AE1946" i="2"/>
  <c r="AE1945" i="2"/>
  <c r="AE1944" i="2"/>
  <c r="AE1943" i="2"/>
  <c r="AE1940" i="2"/>
  <c r="AE1939" i="2"/>
  <c r="AE1938" i="2"/>
  <c r="AE1937" i="2"/>
  <c r="AE1936" i="2"/>
  <c r="AE1935" i="2"/>
  <c r="AE1934" i="2"/>
  <c r="AE1933" i="2"/>
  <c r="AE1932" i="2"/>
  <c r="AE1931" i="2"/>
  <c r="AE1930" i="2"/>
  <c r="AE1929" i="2"/>
  <c r="AE1928" i="2"/>
  <c r="AE1927" i="2"/>
  <c r="AE1926" i="2"/>
  <c r="AE1925" i="2"/>
  <c r="AE1924" i="2"/>
  <c r="AE1923" i="2"/>
  <c r="AE1922" i="2"/>
  <c r="AE1921" i="2"/>
  <c r="AE1920" i="2"/>
  <c r="AE1919" i="2"/>
  <c r="AE1918" i="2"/>
  <c r="AE1917" i="2"/>
  <c r="AE1916" i="2"/>
  <c r="AE1915" i="2"/>
  <c r="AE1914" i="2"/>
  <c r="AE1913" i="2"/>
  <c r="AE1912" i="2"/>
  <c r="AE1911" i="2"/>
  <c r="AE1910" i="2"/>
  <c r="AE1909" i="2"/>
  <c r="AE1908" i="2"/>
  <c r="AE1907" i="2"/>
  <c r="AE1906" i="2"/>
  <c r="AE1905" i="2"/>
  <c r="AE1904" i="2"/>
  <c r="AE1903" i="2"/>
  <c r="AE1902" i="2"/>
  <c r="AE1901" i="2"/>
  <c r="AE1900" i="2"/>
  <c r="AE1899" i="2"/>
  <c r="AE1898" i="2"/>
  <c r="AE1897" i="2"/>
  <c r="AE1896" i="2"/>
  <c r="AE1895" i="2"/>
  <c r="AE1894" i="2"/>
  <c r="AE1893" i="2"/>
  <c r="AE1892" i="2"/>
  <c r="AE1891" i="2"/>
  <c r="AE1890" i="2"/>
  <c r="AE1889" i="2"/>
  <c r="AE1888" i="2"/>
  <c r="AE1887" i="2"/>
  <c r="AE1886" i="2"/>
  <c r="AE1885" i="2"/>
  <c r="AE1884" i="2"/>
  <c r="AE1883" i="2"/>
  <c r="AE1882" i="2"/>
  <c r="AE1881" i="2"/>
  <c r="AE1880" i="2"/>
  <c r="AE1879" i="2"/>
  <c r="AE1878" i="2"/>
  <c r="AE1877" i="2"/>
  <c r="AE1875" i="2"/>
  <c r="AE1874" i="2"/>
  <c r="AE1873" i="2"/>
  <c r="AE1872" i="2"/>
  <c r="AE1871" i="2"/>
  <c r="AE1870" i="2"/>
  <c r="AE1869" i="2"/>
  <c r="AE1868" i="2"/>
  <c r="AE1867" i="2"/>
  <c r="AE1866" i="2"/>
  <c r="AE1865" i="2"/>
  <c r="AE1864" i="2"/>
  <c r="AE1863" i="2"/>
  <c r="AE1862" i="2"/>
  <c r="AE1861" i="2"/>
  <c r="AE1860" i="2"/>
  <c r="AE1859" i="2"/>
  <c r="AE1858" i="2"/>
  <c r="AE1857" i="2"/>
  <c r="AE1856" i="2"/>
  <c r="AE1855" i="2"/>
  <c r="AE1854" i="2"/>
  <c r="AE1853" i="2"/>
  <c r="AE1852" i="2"/>
  <c r="AE1851" i="2"/>
  <c r="AE1850" i="2"/>
  <c r="AE1849" i="2"/>
  <c r="AE1848" i="2"/>
  <c r="AE1847" i="2"/>
  <c r="AE1846" i="2"/>
  <c r="AE1845" i="2"/>
  <c r="AE1844" i="2"/>
  <c r="AE1843" i="2"/>
  <c r="AE1842" i="2"/>
  <c r="AE1841" i="2"/>
  <c r="AE1840" i="2"/>
  <c r="AE1839" i="2"/>
  <c r="AE1838" i="2"/>
  <c r="AE1837" i="2"/>
  <c r="AE1836" i="2"/>
  <c r="AE1835" i="2"/>
  <c r="AE1834" i="2"/>
  <c r="AE1833" i="2"/>
  <c r="AE1832" i="2"/>
  <c r="AE1831" i="2"/>
  <c r="AE1830" i="2"/>
  <c r="AE1829" i="2"/>
  <c r="AE1828" i="2"/>
  <c r="AE1827" i="2"/>
  <c r="AE1826" i="2"/>
  <c r="AE1825" i="2"/>
  <c r="AE1824" i="2"/>
  <c r="AE1823" i="2"/>
  <c r="AE1822" i="2"/>
  <c r="AE1821" i="2"/>
  <c r="AE1820" i="2"/>
  <c r="AE1819" i="2"/>
  <c r="AE1818" i="2"/>
  <c r="AE1817" i="2"/>
  <c r="AE1816" i="2"/>
  <c r="AE1815" i="2"/>
  <c r="AE1814" i="2"/>
  <c r="AE1813" i="2"/>
  <c r="AE1812" i="2"/>
  <c r="AE1811" i="2"/>
  <c r="AE1810" i="2"/>
  <c r="AE1807" i="2"/>
  <c r="AE1806" i="2"/>
  <c r="AE1805" i="2"/>
  <c r="AE1804" i="2"/>
  <c r="AE1803" i="2"/>
  <c r="AE1802" i="2"/>
  <c r="AE1801" i="2"/>
  <c r="AE1800" i="2"/>
  <c r="AE1799" i="2"/>
  <c r="AE1798" i="2"/>
  <c r="AE1797" i="2"/>
  <c r="AE1796" i="2"/>
  <c r="AE1795" i="2"/>
  <c r="AE1794" i="2"/>
  <c r="AE1793" i="2"/>
  <c r="AE1792" i="2"/>
  <c r="AE1791" i="2"/>
  <c r="AE1790" i="2"/>
  <c r="AE1789" i="2"/>
  <c r="AE1788" i="2"/>
  <c r="AE1787" i="2"/>
  <c r="AE1786" i="2"/>
  <c r="AE1785" i="2"/>
  <c r="AE1784" i="2"/>
  <c r="AE1783" i="2"/>
  <c r="AE1782" i="2"/>
  <c r="AE1781" i="2"/>
  <c r="AE1780" i="2"/>
  <c r="AE1779" i="2"/>
  <c r="AE1778" i="2"/>
  <c r="AE1777" i="2"/>
  <c r="AE1776" i="2"/>
  <c r="AE1775" i="2"/>
  <c r="AE1774" i="2"/>
  <c r="AE1773" i="2"/>
  <c r="AE1772" i="2"/>
  <c r="AE1771" i="2"/>
  <c r="AE1770" i="2"/>
  <c r="AE1769" i="2"/>
  <c r="AE1768" i="2"/>
  <c r="AE1767" i="2"/>
  <c r="AE1765" i="2"/>
  <c r="AE1764" i="2"/>
  <c r="AE1763" i="2"/>
  <c r="AE1762" i="2"/>
  <c r="AE1761" i="2"/>
  <c r="AE1760" i="2"/>
  <c r="AE1759" i="2"/>
  <c r="AE1758" i="2"/>
  <c r="AE1757" i="2"/>
  <c r="AE1756" i="2"/>
  <c r="AE1755" i="2"/>
  <c r="AE1754" i="2"/>
  <c r="AE1753" i="2"/>
  <c r="AE1752" i="2"/>
  <c r="AE1751" i="2"/>
  <c r="AE1750" i="2"/>
  <c r="AE1749" i="2"/>
  <c r="AE1748" i="2"/>
  <c r="AE1747" i="2"/>
  <c r="AE1746" i="2"/>
  <c r="AE1745" i="2"/>
  <c r="AE1744" i="2"/>
  <c r="AE1743" i="2"/>
  <c r="AE1742" i="2"/>
  <c r="AE1741" i="2"/>
  <c r="AE1740" i="2"/>
  <c r="AE1739" i="2"/>
  <c r="AE1738" i="2"/>
  <c r="AE1737" i="2"/>
  <c r="AE1736" i="2"/>
  <c r="AE1735" i="2"/>
  <c r="AE1734" i="2"/>
  <c r="AE1733" i="2"/>
  <c r="AE1732" i="2"/>
  <c r="AE1731" i="2"/>
  <c r="AE1730" i="2"/>
  <c r="AE1729" i="2"/>
  <c r="AE1728" i="2"/>
  <c r="AE1727" i="2"/>
  <c r="AE1726" i="2"/>
  <c r="AE1725" i="2"/>
  <c r="AE1724" i="2"/>
  <c r="AE1723" i="2"/>
  <c r="AE1722" i="2"/>
  <c r="AE1721" i="2"/>
  <c r="AE1720" i="2"/>
  <c r="AE1719" i="2"/>
  <c r="AE1718" i="2"/>
  <c r="AE1717" i="2"/>
  <c r="AE1716" i="2"/>
  <c r="AE1715" i="2"/>
  <c r="AE1714" i="2"/>
  <c r="AE1713" i="2"/>
  <c r="AE1712" i="2"/>
  <c r="AE1711" i="2"/>
  <c r="AE1710" i="2"/>
  <c r="AE1709" i="2"/>
  <c r="AE1708" i="2"/>
  <c r="AE1707" i="2"/>
  <c r="AE1706" i="2"/>
  <c r="AE1705" i="2"/>
  <c r="AE1704" i="2"/>
  <c r="AE1703" i="2"/>
  <c r="AE1702" i="2"/>
  <c r="AE1701" i="2"/>
  <c r="AE1700" i="2"/>
  <c r="AE1699" i="2"/>
  <c r="AE1698" i="2"/>
  <c r="AE1697" i="2"/>
  <c r="AE1696" i="2"/>
  <c r="AE1695" i="2"/>
  <c r="AE1694" i="2"/>
  <c r="AE1693" i="2"/>
  <c r="AE1692" i="2"/>
  <c r="AE1673" i="2"/>
  <c r="AE1672" i="2"/>
  <c r="AE1671" i="2"/>
  <c r="AE1670" i="2"/>
  <c r="AE1667" i="2"/>
  <c r="AE1666" i="2"/>
  <c r="AE1665" i="2"/>
  <c r="AE1664" i="2"/>
  <c r="AE1663" i="2"/>
  <c r="AE1662" i="2"/>
  <c r="AE1661" i="2"/>
  <c r="AE1660" i="2"/>
  <c r="AE1659" i="2"/>
  <c r="AE1658" i="2"/>
  <c r="AE1657" i="2"/>
  <c r="AE1656" i="2"/>
  <c r="AE1655" i="2"/>
  <c r="AE1654" i="2"/>
  <c r="AE1653" i="2"/>
  <c r="AE1652" i="2"/>
  <c r="AE1651" i="2"/>
  <c r="AE1650" i="2"/>
  <c r="AE1649" i="2"/>
  <c r="AE1648" i="2"/>
  <c r="AE1647" i="2"/>
  <c r="AE1646" i="2"/>
  <c r="AE1645" i="2"/>
  <c r="AE1644" i="2"/>
  <c r="AE1643" i="2"/>
  <c r="AE1642" i="2"/>
  <c r="AE1641" i="2"/>
  <c r="AE1640" i="2"/>
  <c r="AE1639" i="2"/>
  <c r="AE1638" i="2"/>
  <c r="AE1637" i="2"/>
  <c r="AE1636" i="2"/>
  <c r="AE1635" i="2"/>
  <c r="AE1634" i="2"/>
  <c r="AE1633" i="2"/>
  <c r="AE1632" i="2"/>
  <c r="AE1631" i="2"/>
  <c r="AE1630" i="2"/>
  <c r="AE1629" i="2"/>
  <c r="AE1628" i="2"/>
  <c r="AE1627" i="2"/>
  <c r="AE1626" i="2"/>
  <c r="AE1625" i="2"/>
  <c r="AE1624" i="2"/>
  <c r="AE1623" i="2"/>
  <c r="AE1622" i="2"/>
  <c r="AE1621" i="2"/>
  <c r="AE1620" i="2"/>
  <c r="AE1619" i="2"/>
  <c r="AE1618" i="2"/>
  <c r="AE1617" i="2"/>
  <c r="AE1616" i="2"/>
  <c r="AE1615" i="2"/>
  <c r="AE1614" i="2"/>
  <c r="AE1613" i="2"/>
  <c r="AE1612" i="2"/>
  <c r="AE1611" i="2"/>
  <c r="AE1610" i="2"/>
  <c r="AE1609" i="2"/>
  <c r="AE1608" i="2"/>
  <c r="AE1607" i="2"/>
  <c r="AE1606" i="2"/>
  <c r="AE1605" i="2"/>
  <c r="AE1604" i="2"/>
  <c r="AE1603" i="2"/>
  <c r="AE1602" i="2"/>
  <c r="AE1601" i="2"/>
  <c r="AE1600" i="2"/>
  <c r="AE1599" i="2"/>
  <c r="AE1598" i="2"/>
  <c r="AE1597" i="2"/>
  <c r="AE1596" i="2"/>
  <c r="AE1595" i="2"/>
  <c r="AE1594" i="2"/>
  <c r="AE1593" i="2"/>
  <c r="AE1592" i="2"/>
  <c r="AE1591" i="2"/>
  <c r="AE1590" i="2"/>
  <c r="AE1589" i="2"/>
  <c r="AE1588" i="2"/>
  <c r="AE1587" i="2"/>
  <c r="AE1586" i="2"/>
  <c r="AE1584" i="2"/>
  <c r="AE1583" i="2"/>
  <c r="AE1582" i="2"/>
  <c r="AE1581" i="2"/>
  <c r="AE1580" i="2"/>
  <c r="AE1579" i="2"/>
  <c r="AE1578" i="2"/>
  <c r="AE1577" i="2"/>
  <c r="AE1576" i="2"/>
  <c r="AE1575" i="2"/>
  <c r="AE1574" i="2"/>
  <c r="AE1573" i="2"/>
  <c r="AE1572" i="2"/>
  <c r="AE1571" i="2"/>
  <c r="AE1570" i="2"/>
  <c r="AE1569" i="2"/>
  <c r="AE1568" i="2"/>
  <c r="AE1567" i="2"/>
  <c r="AE1566" i="2"/>
  <c r="AE1565" i="2"/>
  <c r="AE1564" i="2"/>
  <c r="AE1563" i="2"/>
  <c r="AE1562" i="2"/>
  <c r="AE1561" i="2"/>
  <c r="AE1560" i="2"/>
  <c r="AE1559" i="2"/>
  <c r="AE1558" i="2"/>
  <c r="AE1557" i="2"/>
  <c r="AE1556" i="2"/>
  <c r="AE1555" i="2"/>
  <c r="AE1554" i="2"/>
  <c r="AE1553" i="2"/>
  <c r="AE1552" i="2"/>
  <c r="AE1551" i="2"/>
  <c r="AE1550" i="2"/>
  <c r="AE1549" i="2"/>
  <c r="AE1548" i="2"/>
  <c r="AE1547" i="2"/>
  <c r="AE1546" i="2"/>
  <c r="AE1545" i="2"/>
  <c r="AE1544" i="2"/>
  <c r="AE1543" i="2"/>
  <c r="AE1542" i="2"/>
  <c r="AE1541" i="2"/>
  <c r="AE1540" i="2"/>
  <c r="AE1539" i="2"/>
  <c r="AE1538" i="2"/>
  <c r="AE1537" i="2"/>
  <c r="AE1536" i="2"/>
  <c r="AE1535" i="2"/>
  <c r="AE1534" i="2"/>
  <c r="AE1533" i="2"/>
  <c r="AE1532" i="2"/>
  <c r="AE1531" i="2"/>
  <c r="AE1530" i="2"/>
  <c r="AE1529" i="2"/>
  <c r="AE1528" i="2"/>
  <c r="AE1527" i="2"/>
  <c r="AE1526" i="2"/>
  <c r="AE1525" i="2"/>
  <c r="AE1524" i="2"/>
  <c r="AE1523" i="2"/>
  <c r="AE1522" i="2"/>
  <c r="AE1521" i="2"/>
  <c r="AE1520" i="2"/>
  <c r="AE1519" i="2"/>
  <c r="AE1518" i="2"/>
  <c r="AE1517" i="2"/>
  <c r="AE1516" i="2"/>
  <c r="AE1515" i="2"/>
  <c r="AE1514" i="2"/>
  <c r="AE1513" i="2"/>
  <c r="AE1512" i="2"/>
  <c r="AE1511" i="2"/>
  <c r="AE1510" i="2"/>
  <c r="AE1509" i="2"/>
  <c r="AE1506" i="2"/>
  <c r="AE1504" i="2"/>
  <c r="AE1503" i="2"/>
  <c r="AE1502" i="2"/>
  <c r="AE1501" i="2"/>
  <c r="AE1500" i="2"/>
  <c r="AE1499" i="2"/>
  <c r="AE1498" i="2"/>
  <c r="AE1497" i="2"/>
  <c r="AE1496" i="2"/>
  <c r="AE1495" i="2"/>
  <c r="AE1494" i="2"/>
  <c r="AE1493" i="2"/>
  <c r="AE1492" i="2"/>
  <c r="AE1491" i="2"/>
  <c r="AE1490" i="2"/>
  <c r="AE1489" i="2"/>
  <c r="AE1488" i="2"/>
  <c r="AE1487" i="2"/>
  <c r="AE1486" i="2"/>
  <c r="AE1485" i="2"/>
  <c r="AE1484" i="2"/>
  <c r="AE1483" i="2"/>
  <c r="AE1482" i="2"/>
  <c r="AE1481" i="2"/>
  <c r="AE1480" i="2"/>
  <c r="AE1479" i="2"/>
  <c r="AE1478" i="2"/>
  <c r="AE1477" i="2"/>
  <c r="AE1476" i="2"/>
  <c r="AE1475" i="2"/>
  <c r="AE1474" i="2"/>
  <c r="AE1473" i="2"/>
  <c r="AE1472" i="2"/>
  <c r="AE1471" i="2"/>
  <c r="AE1470" i="2"/>
  <c r="AE1469" i="2"/>
  <c r="AE1468" i="2"/>
  <c r="AE1467" i="2"/>
  <c r="AE1466" i="2"/>
  <c r="AE1465" i="2"/>
  <c r="AE1464" i="2"/>
  <c r="AE1463" i="2"/>
  <c r="AE1462" i="2"/>
  <c r="AE1461" i="2"/>
  <c r="AE1460" i="2"/>
  <c r="AE1459" i="2"/>
  <c r="AE1458" i="2"/>
  <c r="AE1457" i="2"/>
  <c r="AE1456" i="2"/>
  <c r="AE1455" i="2"/>
  <c r="AE1454" i="2"/>
  <c r="AE1453" i="2"/>
  <c r="AE1452" i="2"/>
  <c r="AE1451" i="2"/>
  <c r="AE1450" i="2"/>
  <c r="AE1449" i="2"/>
  <c r="AE1448" i="2"/>
  <c r="AE1447" i="2"/>
  <c r="AE1446" i="2"/>
  <c r="AE1445" i="2"/>
  <c r="AE1444" i="2"/>
  <c r="AE1443" i="2"/>
  <c r="AE1442" i="2"/>
  <c r="AE1441" i="2"/>
  <c r="AE1440" i="2"/>
  <c r="AE1439" i="2"/>
  <c r="AE1438" i="2"/>
  <c r="AE1437" i="2"/>
  <c r="AE1436" i="2"/>
  <c r="AE1435" i="2"/>
  <c r="AE1434" i="2"/>
  <c r="AE1432" i="2"/>
  <c r="AE1431" i="2"/>
  <c r="AE1430" i="2"/>
  <c r="AE1429" i="2"/>
  <c r="AE1428" i="2"/>
  <c r="AE1427" i="2"/>
  <c r="AE1426" i="2"/>
  <c r="AE1425" i="2"/>
  <c r="AE1424" i="2"/>
  <c r="AE1423" i="2"/>
  <c r="AE1422" i="2"/>
  <c r="AE1421" i="2"/>
  <c r="AE1420" i="2"/>
  <c r="AE1419" i="2"/>
  <c r="AE1418" i="2"/>
  <c r="AE1417" i="2"/>
  <c r="AE1416" i="2"/>
  <c r="AE1415" i="2"/>
  <c r="AE1414" i="2"/>
  <c r="AE1413" i="2"/>
  <c r="AE1412" i="2"/>
  <c r="AE1411" i="2"/>
  <c r="AE1410" i="2"/>
  <c r="AE1409" i="2"/>
  <c r="AE1408" i="2"/>
  <c r="AE1407" i="2"/>
  <c r="AE1405" i="2"/>
  <c r="AE1404" i="2"/>
  <c r="AE1402" i="2"/>
  <c r="AE1401" i="2"/>
  <c r="AE1400" i="2"/>
  <c r="AE1399" i="2"/>
  <c r="AE1398" i="2"/>
  <c r="AE1397" i="2"/>
  <c r="AE1396" i="2"/>
  <c r="AE1395" i="2"/>
  <c r="AE1394" i="2"/>
  <c r="AE1393" i="2"/>
  <c r="AE1392" i="2"/>
  <c r="AE1391" i="2"/>
  <c r="AE1389" i="2"/>
  <c r="AE1388" i="2"/>
  <c r="AE1387" i="2"/>
  <c r="AE1386" i="2"/>
  <c r="AE1385" i="2"/>
  <c r="AE1384" i="2"/>
  <c r="AE1383" i="2"/>
  <c r="AE1382" i="2"/>
  <c r="AE1381" i="2"/>
  <c r="AE1380" i="2"/>
  <c r="AE1377" i="2"/>
  <c r="AE1376" i="2"/>
  <c r="AE1375" i="2"/>
  <c r="AE1374" i="2"/>
  <c r="AE1373" i="2"/>
  <c r="AE1372" i="2"/>
  <c r="AE1371" i="2"/>
  <c r="AE1370" i="2"/>
  <c r="AE1369" i="2"/>
  <c r="AE1368" i="2"/>
  <c r="AE1367" i="2"/>
  <c r="AE1366" i="2"/>
  <c r="AE1365" i="2"/>
  <c r="AE1364" i="2"/>
  <c r="AE1363" i="2"/>
  <c r="AE1362" i="2"/>
  <c r="AE1361" i="2"/>
  <c r="AE1360" i="2"/>
  <c r="AE1359" i="2"/>
  <c r="AE1358" i="2"/>
  <c r="AE1357" i="2"/>
  <c r="AE1356" i="2"/>
  <c r="AE1355" i="2"/>
  <c r="AE1354" i="2"/>
  <c r="AE1353" i="2"/>
  <c r="AE1352" i="2"/>
  <c r="AE1351" i="2"/>
  <c r="AE1350" i="2"/>
  <c r="AE1349" i="2"/>
  <c r="AE1348" i="2"/>
  <c r="AE1347" i="2"/>
  <c r="AE1346" i="2"/>
  <c r="AE1345" i="2"/>
  <c r="AE1344" i="2"/>
  <c r="AE1343" i="2"/>
  <c r="AE1342" i="2"/>
  <c r="AE1341" i="2"/>
  <c r="AE1340" i="2"/>
  <c r="AE1339" i="2"/>
  <c r="AE1338" i="2"/>
  <c r="AE1337" i="2"/>
  <c r="AE1336" i="2"/>
  <c r="AE1335" i="2"/>
  <c r="AE1334" i="2"/>
  <c r="AE1333" i="2"/>
  <c r="AE1332" i="2"/>
  <c r="AE1331" i="2"/>
  <c r="AE1330" i="2"/>
  <c r="AE1329" i="2"/>
  <c r="AE1328" i="2"/>
  <c r="AE1327" i="2"/>
  <c r="AE1326" i="2"/>
  <c r="AE1325" i="2"/>
  <c r="AE1324" i="2"/>
  <c r="AE1323" i="2"/>
  <c r="AE1322" i="2"/>
  <c r="AE1321" i="2"/>
  <c r="AE1320" i="2"/>
  <c r="AE1318" i="2"/>
  <c r="AE1317" i="2"/>
  <c r="AE1316" i="2"/>
  <c r="AE1315" i="2"/>
  <c r="AE1314" i="2"/>
  <c r="AE1313" i="2"/>
  <c r="AE1312" i="2"/>
  <c r="AE1311" i="2"/>
  <c r="AE1310" i="2"/>
  <c r="AE1309" i="2"/>
  <c r="AE1308" i="2"/>
  <c r="AE1307" i="2"/>
  <c r="AE1306" i="2"/>
  <c r="AE1305" i="2"/>
  <c r="AE1304" i="2"/>
  <c r="AE1303" i="2"/>
  <c r="AE1302" i="2"/>
  <c r="AE1301" i="2"/>
  <c r="AE1300" i="2"/>
  <c r="AE1299" i="2"/>
  <c r="AE1298" i="2"/>
  <c r="AE1297" i="2"/>
  <c r="AE1296" i="2"/>
  <c r="AE1295" i="2"/>
  <c r="AE1294" i="2"/>
  <c r="AE1293" i="2"/>
  <c r="AE1292" i="2"/>
  <c r="AE1291" i="2"/>
  <c r="AE1290" i="2"/>
  <c r="AE1289" i="2"/>
  <c r="AE1288" i="2"/>
  <c r="AE1287" i="2"/>
  <c r="AE1286" i="2"/>
  <c r="AE1285" i="2"/>
  <c r="AE1284" i="2"/>
  <c r="AE1283" i="2"/>
  <c r="AE1282" i="2"/>
  <c r="AE1281" i="2"/>
  <c r="AE1280" i="2"/>
  <c r="AE1279" i="2"/>
  <c r="AE1278" i="2"/>
  <c r="AE1277" i="2"/>
  <c r="AE1276" i="2"/>
  <c r="AE1275" i="2"/>
  <c r="AE1274" i="2"/>
  <c r="AE1270" i="2"/>
  <c r="AE1269" i="2"/>
  <c r="AE1268" i="2"/>
  <c r="AE1267" i="2"/>
  <c r="AE1266" i="2"/>
  <c r="AE1265" i="2"/>
  <c r="AE1264" i="2"/>
  <c r="AE1263" i="2"/>
  <c r="AE1262" i="2"/>
  <c r="AE1261" i="2"/>
  <c r="AE1260" i="2"/>
  <c r="AE1259" i="2"/>
  <c r="AE1258" i="2"/>
  <c r="AE1257" i="2"/>
  <c r="AE1256" i="2"/>
  <c r="AE1255" i="2"/>
  <c r="AE1254" i="2"/>
  <c r="AE1253" i="2"/>
  <c r="AE1252" i="2"/>
  <c r="AE1251" i="2"/>
  <c r="AE1250" i="2"/>
  <c r="AE1249" i="2"/>
  <c r="AE1248" i="2"/>
  <c r="AE1247" i="2"/>
  <c r="AE1246" i="2"/>
  <c r="AE1245" i="2"/>
  <c r="AE1244" i="2"/>
  <c r="AE1243" i="2"/>
  <c r="AE1242" i="2"/>
  <c r="AE1241" i="2"/>
  <c r="AE1240" i="2"/>
  <c r="AE1239" i="2"/>
  <c r="AE1238" i="2"/>
  <c r="AE1237" i="2"/>
  <c r="AE1236" i="2"/>
  <c r="AE1235" i="2"/>
  <c r="AE1234" i="2"/>
  <c r="AE1233" i="2"/>
  <c r="AE1232" i="2"/>
  <c r="AE1231" i="2"/>
  <c r="AE1230" i="2"/>
  <c r="AE1229" i="2"/>
  <c r="AE1228" i="2"/>
  <c r="AE1227" i="2"/>
  <c r="AE1225" i="2"/>
  <c r="AE1224" i="2"/>
  <c r="AE1223" i="2"/>
  <c r="AE1222" i="2"/>
  <c r="AE1221" i="2"/>
  <c r="AE1220" i="2"/>
  <c r="AE1219" i="2"/>
  <c r="AE1218" i="2"/>
  <c r="AE1217" i="2"/>
  <c r="AE1216" i="2"/>
  <c r="AE1215" i="2"/>
  <c r="AE1214" i="2"/>
  <c r="AE1213" i="2"/>
  <c r="AE1212" i="2"/>
  <c r="AE1211" i="2"/>
  <c r="AE1210" i="2"/>
  <c r="AE1209" i="2"/>
  <c r="AE1208" i="2"/>
  <c r="AE1207" i="2"/>
  <c r="AE1206" i="2"/>
  <c r="AE1205" i="2"/>
  <c r="AE1204" i="2"/>
  <c r="AE1203" i="2"/>
  <c r="AE1202" i="2"/>
  <c r="AE1201" i="2"/>
  <c r="AE1200" i="2"/>
  <c r="AE1199" i="2"/>
  <c r="AE1198" i="2"/>
  <c r="AE1197" i="2"/>
  <c r="AE1196" i="2"/>
  <c r="AE1195" i="2"/>
  <c r="AE1194" i="2"/>
  <c r="AE1193" i="2"/>
  <c r="AE1192" i="2"/>
  <c r="AE1191" i="2"/>
  <c r="AE1190" i="2"/>
  <c r="AE1189" i="2"/>
  <c r="AE1188" i="2"/>
  <c r="AE1187" i="2"/>
  <c r="AE1186" i="2"/>
  <c r="AE1185" i="2"/>
  <c r="AE1184" i="2"/>
  <c r="AE1183" i="2"/>
  <c r="AE1182" i="2"/>
  <c r="AE1181" i="2"/>
  <c r="AE1180" i="2"/>
  <c r="AE1179" i="2"/>
  <c r="AE1178" i="2"/>
  <c r="AE1177" i="2"/>
  <c r="AE1176" i="2"/>
  <c r="AE1175" i="2"/>
  <c r="AE1174" i="2"/>
  <c r="AE1173" i="2"/>
  <c r="AE1172" i="2"/>
  <c r="AE1171" i="2"/>
  <c r="AE1170" i="2"/>
  <c r="AE1169" i="2"/>
  <c r="AE1168" i="2"/>
  <c r="AE1167" i="2"/>
  <c r="AE1166" i="2"/>
  <c r="AE1165" i="2"/>
  <c r="AE1164" i="2"/>
  <c r="AE1163" i="2"/>
  <c r="AE1162" i="2"/>
  <c r="AE1161" i="2"/>
  <c r="AE1160" i="2"/>
  <c r="AE1159" i="2"/>
  <c r="AE1158" i="2"/>
  <c r="AE1157" i="2"/>
  <c r="AE1156" i="2"/>
  <c r="AE1155" i="2"/>
  <c r="AE1154" i="2"/>
  <c r="AE1153" i="2"/>
  <c r="AE1152" i="2"/>
  <c r="AE1151" i="2"/>
  <c r="AE1150" i="2"/>
  <c r="AE1149" i="2"/>
  <c r="AE1148" i="2"/>
  <c r="AE1147" i="2"/>
  <c r="AE1146" i="2"/>
  <c r="AE1145" i="2"/>
  <c r="AE1144" i="2"/>
  <c r="AE1143" i="2"/>
  <c r="AE1142" i="2"/>
  <c r="AE1141" i="2"/>
  <c r="AE1140" i="2"/>
  <c r="AE1139" i="2"/>
  <c r="AE1138" i="2"/>
  <c r="AE1137" i="2"/>
  <c r="AE1136" i="2"/>
  <c r="AE1135" i="2"/>
  <c r="AE1134" i="2"/>
  <c r="AE1133" i="2"/>
  <c r="AE1132" i="2"/>
  <c r="AE1131" i="2"/>
  <c r="AE1130" i="2"/>
  <c r="AE1129" i="2"/>
  <c r="AE1127" i="2"/>
  <c r="AE1126" i="2"/>
  <c r="AE1125" i="2"/>
  <c r="AE1124" i="2"/>
  <c r="AE1123" i="2"/>
  <c r="AE1122" i="2"/>
  <c r="AE1121" i="2"/>
  <c r="AE1120" i="2"/>
  <c r="AE1119" i="2"/>
  <c r="AE1118" i="2"/>
  <c r="AE1117" i="2"/>
  <c r="AE1116" i="2"/>
  <c r="AE1115" i="2"/>
  <c r="AE1114" i="2"/>
  <c r="AE1113" i="2"/>
  <c r="AE1112" i="2"/>
  <c r="AE1111" i="2"/>
  <c r="AE1110" i="2"/>
  <c r="AE1109" i="2"/>
  <c r="AE1108" i="2"/>
  <c r="AE1107" i="2"/>
  <c r="AE1104" i="2"/>
  <c r="AE1103" i="2"/>
  <c r="AE1102" i="2"/>
  <c r="AE1101" i="2"/>
  <c r="AE1100" i="2"/>
  <c r="AE1099" i="2"/>
  <c r="AE1098" i="2"/>
  <c r="AE1097" i="2"/>
  <c r="AE1096" i="2"/>
  <c r="AE1095" i="2"/>
  <c r="AE1094" i="2"/>
  <c r="AE1093" i="2"/>
  <c r="AE1092" i="2"/>
  <c r="AE1091" i="2"/>
  <c r="AE1090" i="2"/>
  <c r="AE1089" i="2"/>
  <c r="AE1088" i="2"/>
  <c r="AE1087" i="2"/>
  <c r="AE1086" i="2"/>
  <c r="AE1085" i="2"/>
  <c r="AE1084" i="2"/>
  <c r="AE1083" i="2"/>
  <c r="AE1082" i="2"/>
  <c r="AE1081" i="2"/>
  <c r="AE1080" i="2"/>
  <c r="AE1079" i="2"/>
  <c r="AE1078" i="2"/>
  <c r="AE1072" i="2"/>
  <c r="AE1071" i="2"/>
  <c r="AE1070" i="2"/>
  <c r="AE1069" i="2"/>
  <c r="AE1068" i="2"/>
  <c r="AE1067" i="2"/>
  <c r="AE1066" i="2"/>
  <c r="AE1065" i="2"/>
  <c r="AE1064" i="2"/>
  <c r="AE1063" i="2"/>
  <c r="AE1062" i="2"/>
  <c r="AE1061" i="2"/>
  <c r="AE1060" i="2"/>
  <c r="AE1059" i="2"/>
  <c r="AE1058" i="2"/>
  <c r="AE1057" i="2"/>
  <c r="AE1056" i="2"/>
  <c r="AE1055" i="2"/>
  <c r="AE1054" i="2"/>
  <c r="AE1053" i="2"/>
  <c r="AE1052" i="2"/>
  <c r="AE1051" i="2"/>
  <c r="AE1050" i="2"/>
  <c r="AE1049" i="2"/>
  <c r="AE1048" i="2"/>
  <c r="AE1047" i="2"/>
  <c r="AE1046" i="2"/>
  <c r="AE1045" i="2"/>
  <c r="AE1044" i="2"/>
  <c r="AE1043" i="2"/>
  <c r="AE1042" i="2"/>
  <c r="AE1041" i="2"/>
  <c r="AE1040" i="2"/>
  <c r="AE1039" i="2"/>
  <c r="AE1038" i="2"/>
  <c r="AE1037" i="2"/>
  <c r="AE1036" i="2"/>
  <c r="AE1035" i="2"/>
  <c r="AE1034" i="2"/>
  <c r="AE1033" i="2"/>
  <c r="AE1032" i="2"/>
  <c r="AE1031" i="2"/>
  <c r="AE1030" i="2"/>
  <c r="AE1029" i="2"/>
  <c r="AE1028" i="2"/>
  <c r="AE1027" i="2"/>
  <c r="AE1026" i="2"/>
  <c r="AE1025" i="2"/>
  <c r="AE1024" i="2"/>
  <c r="AE1023" i="2"/>
  <c r="AE1022" i="2"/>
  <c r="AE1021" i="2"/>
  <c r="AE1020" i="2"/>
  <c r="AE1019" i="2"/>
  <c r="AE1018" i="2"/>
  <c r="AE1017" i="2"/>
  <c r="AE1016" i="2"/>
  <c r="AE1015" i="2"/>
  <c r="AE1014" i="2"/>
  <c r="AE1013" i="2"/>
  <c r="AE1012" i="2"/>
  <c r="AE1011" i="2"/>
  <c r="AE1010" i="2"/>
  <c r="AE1009" i="2"/>
  <c r="AE1008" i="2"/>
  <c r="AE1007" i="2"/>
  <c r="AE1006" i="2"/>
  <c r="AE1005" i="2"/>
  <c r="AE1004" i="2"/>
  <c r="AE1003" i="2"/>
  <c r="AE1002" i="2"/>
  <c r="AE1001" i="2"/>
  <c r="AE1000" i="2"/>
  <c r="AE999" i="2"/>
  <c r="AE998" i="2"/>
  <c r="AE997" i="2"/>
  <c r="AE996" i="2"/>
  <c r="AE995" i="2"/>
  <c r="AE994" i="2"/>
  <c r="AE993" i="2"/>
  <c r="AE992" i="2"/>
  <c r="AE991" i="2"/>
  <c r="AE990" i="2"/>
  <c r="AE989" i="2"/>
  <c r="AE988" i="2"/>
  <c r="AE987" i="2"/>
  <c r="AE986" i="2"/>
  <c r="AE985" i="2"/>
  <c r="AE984" i="2"/>
  <c r="AE983" i="2"/>
  <c r="AE982" i="2"/>
  <c r="AE981" i="2"/>
  <c r="AE980" i="2"/>
  <c r="AE979" i="2"/>
  <c r="AE978" i="2"/>
  <c r="AE977" i="2"/>
  <c r="AE976" i="2"/>
  <c r="AE975" i="2"/>
  <c r="AE974" i="2"/>
  <c r="AE973" i="2"/>
  <c r="AE972" i="2"/>
  <c r="AE971" i="2"/>
  <c r="AE970" i="2"/>
  <c r="AE969" i="2"/>
  <c r="AE968" i="2"/>
  <c r="AE967" i="2"/>
  <c r="AE966" i="2"/>
  <c r="AE965" i="2"/>
  <c r="AE964" i="2"/>
  <c r="AE963" i="2"/>
  <c r="AE962" i="2"/>
  <c r="AE961" i="2"/>
  <c r="AE960" i="2"/>
  <c r="AE959" i="2"/>
  <c r="AE958" i="2"/>
  <c r="AE957" i="2"/>
  <c r="AE956" i="2"/>
  <c r="AE955" i="2"/>
  <c r="AE954" i="2"/>
  <c r="AE953" i="2"/>
  <c r="AE952" i="2"/>
  <c r="AE951" i="2"/>
  <c r="AE950" i="2"/>
  <c r="AE949" i="2"/>
  <c r="AE948" i="2"/>
  <c r="AE947" i="2"/>
  <c r="AE946" i="2"/>
  <c r="AE945" i="2"/>
  <c r="AE944" i="2"/>
  <c r="AE943" i="2"/>
  <c r="AE942" i="2"/>
  <c r="AE941" i="2"/>
  <c r="AE940" i="2"/>
  <c r="AE939" i="2"/>
  <c r="AE938" i="2"/>
  <c r="AE937" i="2"/>
  <c r="AE936" i="2"/>
  <c r="AE935" i="2"/>
  <c r="AE934" i="2"/>
  <c r="AE933" i="2"/>
  <c r="AE932" i="2"/>
  <c r="AE931" i="2"/>
  <c r="AE930" i="2"/>
  <c r="AE929" i="2"/>
  <c r="AE928" i="2"/>
  <c r="AE927" i="2"/>
  <c r="AE926" i="2"/>
  <c r="AE925" i="2"/>
  <c r="AE924" i="2"/>
  <c r="AE923" i="2"/>
  <c r="AE922" i="2"/>
  <c r="AE921" i="2"/>
  <c r="AE920" i="2"/>
  <c r="AE919" i="2"/>
  <c r="AE918" i="2"/>
  <c r="AE917" i="2"/>
  <c r="AE916" i="2"/>
  <c r="AE915" i="2"/>
  <c r="AE914" i="2"/>
  <c r="AE913" i="2"/>
  <c r="AE912" i="2"/>
  <c r="AE911" i="2"/>
  <c r="AE910" i="2"/>
  <c r="AE909" i="2"/>
  <c r="AE908" i="2"/>
  <c r="AE907" i="2"/>
  <c r="AE906" i="2"/>
  <c r="AE905" i="2"/>
  <c r="AE904" i="2"/>
  <c r="AE903" i="2"/>
  <c r="AE902" i="2"/>
  <c r="AE901" i="2"/>
  <c r="AE900" i="2"/>
  <c r="AE899" i="2"/>
  <c r="AE898" i="2"/>
  <c r="AE897" i="2"/>
  <c r="AE896" i="2"/>
  <c r="AE895" i="2"/>
  <c r="AE894" i="2"/>
  <c r="AE893" i="2"/>
  <c r="AE892" i="2"/>
  <c r="AE891" i="2"/>
  <c r="AE890" i="2"/>
  <c r="AE889" i="2"/>
  <c r="AE888" i="2"/>
  <c r="AE887" i="2"/>
  <c r="AE886" i="2"/>
  <c r="AE885" i="2"/>
  <c r="AE884" i="2"/>
  <c r="AE883" i="2"/>
  <c r="AE882" i="2"/>
  <c r="AE881" i="2"/>
  <c r="AE880" i="2"/>
  <c r="AE879" i="2"/>
  <c r="AE878" i="2"/>
  <c r="AE877" i="2"/>
  <c r="AE876" i="2"/>
  <c r="AE875" i="2"/>
  <c r="AE873" i="2"/>
  <c r="AE871" i="2"/>
  <c r="AE865" i="2"/>
  <c r="AE864" i="2"/>
  <c r="AE863" i="2"/>
  <c r="AE862" i="2"/>
  <c r="AE861" i="2"/>
  <c r="AE860" i="2"/>
  <c r="AE859" i="2"/>
  <c r="AE858" i="2"/>
  <c r="AE857" i="2"/>
  <c r="AE854" i="2"/>
  <c r="AE853" i="2"/>
  <c r="AE852" i="2"/>
  <c r="AE839" i="2"/>
  <c r="AE838" i="2"/>
  <c r="AE837" i="2"/>
  <c r="AE836" i="2"/>
  <c r="AE835" i="2"/>
  <c r="AE834" i="2"/>
  <c r="AE833" i="2"/>
  <c r="AE832" i="2"/>
  <c r="AE831" i="2"/>
  <c r="AE830" i="2"/>
  <c r="AE829" i="2"/>
  <c r="AE828" i="2"/>
  <c r="AE827" i="2"/>
  <c r="AE826" i="2"/>
  <c r="AE825" i="2"/>
  <c r="AE824" i="2"/>
  <c r="AE823" i="2"/>
  <c r="AE822" i="2"/>
  <c r="AE821" i="2"/>
  <c r="AE820" i="2"/>
  <c r="AE819" i="2"/>
  <c r="AE818" i="2"/>
  <c r="AE817" i="2"/>
  <c r="AE816" i="2"/>
  <c r="AE815" i="2"/>
  <c r="AE814" i="2"/>
  <c r="AE813" i="2"/>
  <c r="AE812" i="2"/>
  <c r="AE811" i="2"/>
  <c r="AE810" i="2"/>
  <c r="AE809" i="2"/>
  <c r="AE808" i="2"/>
  <c r="AE807" i="2"/>
  <c r="AE806" i="2"/>
  <c r="AE805" i="2"/>
  <c r="AE804" i="2"/>
  <c r="AE803" i="2"/>
  <c r="AE802" i="2"/>
  <c r="AE800" i="2"/>
  <c r="AE799" i="2"/>
  <c r="AE798" i="2"/>
  <c r="AE797" i="2"/>
  <c r="AE796" i="2"/>
  <c r="AE795" i="2"/>
  <c r="AE794" i="2"/>
  <c r="AE793" i="2"/>
  <c r="AE792" i="2"/>
  <c r="AE791" i="2"/>
  <c r="AE790" i="2"/>
  <c r="AE789" i="2"/>
  <c r="AE788" i="2"/>
  <c r="AE787" i="2"/>
  <c r="AE786" i="2"/>
  <c r="AE785" i="2"/>
  <c r="AE784" i="2"/>
  <c r="AE783" i="2"/>
  <c r="AE782" i="2"/>
  <c r="AE781" i="2"/>
  <c r="AE780" i="2"/>
  <c r="AE779" i="2"/>
  <c r="AE778" i="2"/>
  <c r="AE777" i="2"/>
  <c r="AE776" i="2"/>
  <c r="AE775" i="2"/>
  <c r="AE774" i="2"/>
  <c r="AE773" i="2"/>
  <c r="AE772" i="2"/>
  <c r="AE771" i="2"/>
  <c r="AE770" i="2"/>
  <c r="AE769" i="2"/>
  <c r="AE768" i="2"/>
  <c r="AE767" i="2"/>
  <c r="AE766" i="2"/>
  <c r="AE765" i="2"/>
  <c r="AE764" i="2"/>
  <c r="AE763" i="2"/>
  <c r="AE762" i="2"/>
  <c r="AE761" i="2"/>
  <c r="AE760" i="2"/>
  <c r="AE759" i="2"/>
  <c r="AE757" i="2"/>
  <c r="AE756" i="2"/>
  <c r="AE755" i="2"/>
  <c r="AE754" i="2"/>
  <c r="AE753" i="2"/>
  <c r="AE752" i="2"/>
  <c r="AE751" i="2"/>
  <c r="AE750" i="2"/>
  <c r="AE749" i="2"/>
  <c r="AE748" i="2"/>
  <c r="AE747" i="2"/>
  <c r="AE746" i="2"/>
  <c r="AE745" i="2"/>
  <c r="AE744" i="2"/>
  <c r="AE743" i="2"/>
  <c r="AE742" i="2"/>
  <c r="AE741" i="2"/>
  <c r="AE740" i="2"/>
  <c r="AE739" i="2"/>
  <c r="AE738" i="2"/>
  <c r="AE735" i="2"/>
  <c r="AE734" i="2"/>
  <c r="AE733" i="2"/>
  <c r="AE732" i="2"/>
  <c r="AE731" i="2"/>
  <c r="AE730" i="2"/>
  <c r="AE729" i="2"/>
  <c r="AE728" i="2"/>
  <c r="AE727" i="2"/>
  <c r="AE726" i="2"/>
  <c r="AE725" i="2"/>
  <c r="AE724" i="2"/>
  <c r="AE723" i="2"/>
  <c r="AE720" i="2"/>
  <c r="AE719" i="2"/>
  <c r="AE718" i="2"/>
  <c r="AE717" i="2"/>
  <c r="AE716" i="2"/>
  <c r="AE715" i="2"/>
  <c r="AE714" i="2"/>
  <c r="AE713" i="2"/>
  <c r="AE712" i="2"/>
  <c r="AE711" i="2"/>
  <c r="AE710" i="2"/>
  <c r="AE709" i="2"/>
  <c r="AE708" i="2"/>
  <c r="AE707" i="2"/>
  <c r="AE706" i="2"/>
  <c r="AE705" i="2"/>
  <c r="AE704" i="2"/>
  <c r="AE703" i="2"/>
  <c r="AE702" i="2"/>
  <c r="AE701" i="2"/>
  <c r="AE700" i="2"/>
  <c r="AE699" i="2"/>
  <c r="AE698" i="2"/>
  <c r="AE697" i="2"/>
  <c r="AE696" i="2"/>
  <c r="AE695" i="2"/>
  <c r="AE694" i="2"/>
  <c r="AE693" i="2"/>
  <c r="AE692" i="2"/>
  <c r="AE691" i="2"/>
  <c r="AE690" i="2"/>
  <c r="AE689" i="2"/>
  <c r="AE688" i="2"/>
  <c r="AE687" i="2"/>
  <c r="AE686" i="2"/>
  <c r="AE685" i="2"/>
  <c r="AE684" i="2"/>
  <c r="AE683" i="2"/>
  <c r="AE682" i="2"/>
  <c r="AE681" i="2"/>
  <c r="AE680" i="2"/>
  <c r="AE679" i="2"/>
  <c r="AE678" i="2"/>
  <c r="AE677" i="2"/>
  <c r="AE676" i="2"/>
  <c r="AE675" i="2"/>
  <c r="AE674" i="2"/>
  <c r="AE673" i="2"/>
  <c r="AE662" i="2"/>
  <c r="AE661" i="2"/>
  <c r="AE660" i="2"/>
  <c r="AE659" i="2"/>
  <c r="AE658" i="2"/>
  <c r="AE657" i="2"/>
  <c r="AE656" i="2"/>
  <c r="AE655" i="2"/>
  <c r="AE654" i="2"/>
  <c r="AE653" i="2"/>
  <c r="AE652" i="2"/>
  <c r="AE651" i="2"/>
  <c r="AE650" i="2"/>
  <c r="AE649" i="2"/>
  <c r="AE648" i="2"/>
  <c r="AE647" i="2"/>
  <c r="AE646" i="2"/>
  <c r="AE645" i="2"/>
  <c r="AE644" i="2"/>
  <c r="AE643" i="2"/>
  <c r="AE642" i="2"/>
  <c r="AE641" i="2"/>
  <c r="AE640" i="2"/>
  <c r="AE635" i="2"/>
  <c r="AE634" i="2"/>
  <c r="AE632" i="2"/>
  <c r="AE631" i="2"/>
  <c r="AE630" i="2"/>
  <c r="AE629" i="2"/>
  <c r="AE628" i="2"/>
  <c r="AE627" i="2"/>
  <c r="AE626" i="2"/>
  <c r="AE625" i="2"/>
  <c r="AE619" i="2"/>
  <c r="AE618" i="2"/>
  <c r="AE617" i="2"/>
  <c r="AE616" i="2"/>
  <c r="AE615" i="2"/>
  <c r="AE614" i="2"/>
  <c r="AE613" i="2"/>
  <c r="AE612" i="2"/>
  <c r="AE611" i="2"/>
  <c r="AE610" i="2"/>
  <c r="AE609" i="2"/>
  <c r="AE608" i="2"/>
  <c r="AE607" i="2"/>
  <c r="AE606" i="2"/>
  <c r="AE605" i="2"/>
  <c r="AE604" i="2"/>
  <c r="AE603" i="2"/>
  <c r="AE602" i="2"/>
  <c r="AE601" i="2"/>
  <c r="AE600" i="2"/>
  <c r="AE599" i="2"/>
  <c r="AE598" i="2"/>
  <c r="AE597" i="2"/>
  <c r="AE596" i="2"/>
  <c r="AE595" i="2"/>
  <c r="AE594" i="2"/>
  <c r="AE593" i="2"/>
  <c r="AE592" i="2"/>
  <c r="AE591" i="2"/>
  <c r="AE590" i="2"/>
  <c r="AE589" i="2"/>
  <c r="AE588" i="2"/>
  <c r="AE587" i="2"/>
  <c r="AE586" i="2"/>
  <c r="AE585" i="2"/>
  <c r="AE584" i="2"/>
  <c r="AE583" i="2"/>
  <c r="AE582" i="2"/>
  <c r="AE581" i="2"/>
  <c r="AE580" i="2"/>
  <c r="AE579" i="2"/>
  <c r="AE578" i="2"/>
  <c r="AE577" i="2"/>
  <c r="AE576" i="2"/>
  <c r="AE575" i="2"/>
  <c r="AE574" i="2"/>
  <c r="AE573" i="2"/>
  <c r="AE572" i="2"/>
  <c r="AE571" i="2"/>
  <c r="AE570" i="2"/>
  <c r="AE569" i="2"/>
  <c r="AE568" i="2"/>
  <c r="AE567" i="2"/>
  <c r="AE566" i="2"/>
  <c r="AE565" i="2"/>
  <c r="AE564" i="2"/>
  <c r="AE563" i="2"/>
  <c r="AE562" i="2"/>
  <c r="AE561" i="2"/>
  <c r="AE560" i="2"/>
  <c r="AE559" i="2"/>
  <c r="AE558" i="2"/>
  <c r="AE557" i="2"/>
  <c r="AE556" i="2"/>
  <c r="AE555" i="2"/>
  <c r="AE554" i="2"/>
  <c r="AE553" i="2"/>
  <c r="AE552" i="2"/>
  <c r="AE551" i="2"/>
  <c r="AE550" i="2"/>
  <c r="AE549" i="2"/>
  <c r="AE548" i="2"/>
  <c r="AE547" i="2"/>
  <c r="AE546" i="2"/>
  <c r="AE545" i="2"/>
  <c r="AE544" i="2"/>
  <c r="AE543" i="2"/>
  <c r="AE542" i="2"/>
  <c r="AE541" i="2"/>
  <c r="AE540" i="2"/>
  <c r="AE539" i="2"/>
  <c r="AE538" i="2"/>
  <c r="AE537" i="2"/>
  <c r="AE536" i="2"/>
  <c r="AE535" i="2"/>
  <c r="AE534" i="2"/>
  <c r="AE533" i="2"/>
  <c r="AE532" i="2"/>
  <c r="AE531" i="2"/>
  <c r="AE530" i="2"/>
  <c r="AE529" i="2"/>
  <c r="AE528" i="2"/>
  <c r="AE527" i="2"/>
  <c r="AE526" i="2"/>
  <c r="AE525" i="2"/>
  <c r="AE524" i="2"/>
  <c r="AE523" i="2"/>
  <c r="AE522" i="2"/>
  <c r="AE521" i="2"/>
  <c r="AE520" i="2"/>
  <c r="AE518" i="2"/>
  <c r="AE517" i="2"/>
  <c r="AE516" i="2"/>
  <c r="AE515" i="2"/>
  <c r="AE514" i="2"/>
  <c r="AE513" i="2"/>
  <c r="AE512" i="2"/>
  <c r="AE511" i="2"/>
  <c r="AE510" i="2"/>
  <c r="AE509" i="2"/>
  <c r="AE508" i="2"/>
  <c r="AE507" i="2"/>
  <c r="AE506" i="2"/>
  <c r="AE505" i="2"/>
  <c r="AE504" i="2"/>
  <c r="AE503" i="2"/>
  <c r="AE502" i="2"/>
  <c r="AE501" i="2"/>
  <c r="AE500" i="2"/>
  <c r="AE499" i="2"/>
  <c r="AE498" i="2"/>
  <c r="AE497" i="2"/>
  <c r="AE496" i="2"/>
  <c r="AE495" i="2"/>
  <c r="AE494" i="2"/>
  <c r="AE493" i="2"/>
  <c r="AE492" i="2"/>
  <c r="AE491" i="2"/>
  <c r="AE490" i="2"/>
  <c r="AE489" i="2"/>
  <c r="AE488" i="2"/>
  <c r="AE487" i="2"/>
  <c r="AE486" i="2"/>
  <c r="AE485" i="2"/>
  <c r="AE484" i="2"/>
  <c r="AE483" i="2"/>
  <c r="AE482" i="2"/>
  <c r="AE481" i="2"/>
  <c r="AE480" i="2"/>
  <c r="AE479" i="2"/>
  <c r="AE478" i="2"/>
  <c r="AE477" i="2"/>
  <c r="AE476" i="2"/>
  <c r="AE475" i="2"/>
  <c r="AE474" i="2"/>
  <c r="AE473" i="2"/>
  <c r="AE472" i="2"/>
  <c r="AE471" i="2"/>
  <c r="AE470" i="2"/>
  <c r="AE469" i="2"/>
  <c r="AE468" i="2"/>
  <c r="AE467" i="2"/>
  <c r="AE466" i="2"/>
  <c r="AE465" i="2"/>
  <c r="AE464" i="2"/>
  <c r="AE463" i="2"/>
  <c r="AE462" i="2"/>
  <c r="AE461" i="2"/>
  <c r="AE460" i="2"/>
  <c r="AE459" i="2"/>
  <c r="AE458" i="2"/>
  <c r="AE457" i="2"/>
  <c r="AE456" i="2"/>
  <c r="AE455" i="2"/>
  <c r="AE454" i="2"/>
  <c r="AE453" i="2"/>
  <c r="AE452" i="2"/>
  <c r="AE451" i="2"/>
  <c r="AE450" i="2"/>
  <c r="AE449" i="2"/>
  <c r="AE448" i="2"/>
  <c r="AE447" i="2"/>
  <c r="AE446" i="2"/>
  <c r="AE445" i="2"/>
  <c r="AE444" i="2"/>
  <c r="AE443" i="2"/>
  <c r="AE442" i="2"/>
  <c r="AE441" i="2"/>
  <c r="AE431" i="2"/>
  <c r="AE430" i="2"/>
  <c r="AE429" i="2"/>
  <c r="AE428" i="2"/>
  <c r="AE427" i="2"/>
  <c r="AE426" i="2"/>
  <c r="AE425" i="2"/>
  <c r="AE424" i="2"/>
  <c r="AE423" i="2"/>
  <c r="AE420" i="2"/>
  <c r="AE419" i="2"/>
  <c r="AE418" i="2"/>
  <c r="AE417" i="2"/>
  <c r="AE416" i="2"/>
  <c r="AE415" i="2"/>
  <c r="AE414" i="2"/>
  <c r="AE413" i="2"/>
  <c r="AE412" i="2"/>
  <c r="AE411" i="2"/>
  <c r="AE410" i="2"/>
  <c r="AE409" i="2"/>
  <c r="AE408" i="2"/>
  <c r="AE407" i="2"/>
  <c r="AE406" i="2"/>
  <c r="AE405" i="2"/>
  <c r="AE404" i="2"/>
  <c r="AE403" i="2"/>
  <c r="AE402" i="2"/>
  <c r="AE401" i="2"/>
  <c r="AE400" i="2"/>
  <c r="AE399" i="2"/>
  <c r="AE398" i="2"/>
  <c r="AE397" i="2"/>
  <c r="AE396" i="2"/>
  <c r="AE395" i="2"/>
  <c r="AE394" i="2"/>
  <c r="AE393" i="2"/>
  <c r="AE392" i="2"/>
  <c r="AE391" i="2"/>
  <c r="AE390" i="2"/>
  <c r="AE389" i="2"/>
  <c r="AE388" i="2"/>
  <c r="AE387" i="2"/>
  <c r="AE386" i="2"/>
  <c r="AE385" i="2"/>
  <c r="AE384" i="2"/>
  <c r="AE383" i="2"/>
  <c r="AE382" i="2"/>
  <c r="AE381" i="2"/>
  <c r="AE380" i="2"/>
  <c r="AE379" i="2"/>
  <c r="AE378" i="2"/>
  <c r="AE377" i="2"/>
  <c r="AE376" i="2"/>
  <c r="AE375" i="2"/>
  <c r="AE374" i="2"/>
  <c r="AE373" i="2"/>
  <c r="AE372" i="2"/>
  <c r="AE371" i="2"/>
  <c r="AE370" i="2"/>
  <c r="AE369" i="2"/>
  <c r="AE368" i="2"/>
  <c r="AE367" i="2"/>
  <c r="AE366" i="2"/>
  <c r="AE365" i="2"/>
  <c r="AE364" i="2"/>
  <c r="AE363" i="2"/>
  <c r="AE362" i="2"/>
  <c r="AE361" i="2"/>
  <c r="AE360" i="2"/>
  <c r="AE359" i="2"/>
  <c r="AE358" i="2"/>
  <c r="AE357" i="2"/>
  <c r="AE356" i="2"/>
  <c r="AE355" i="2"/>
  <c r="AE354" i="2"/>
  <c r="AE353" i="2"/>
  <c r="AE352" i="2"/>
  <c r="AE351" i="2"/>
  <c r="AE350" i="2"/>
  <c r="AE349" i="2"/>
  <c r="AE348" i="2"/>
  <c r="AE347" i="2"/>
  <c r="AE346" i="2"/>
  <c r="AE345" i="2"/>
  <c r="AE344" i="2"/>
  <c r="AE343" i="2"/>
  <c r="AE342" i="2"/>
  <c r="AE341" i="2"/>
  <c r="AE340" i="2"/>
  <c r="AE339" i="2"/>
  <c r="AE338" i="2"/>
  <c r="AE336" i="2"/>
  <c r="AE335" i="2"/>
  <c r="AE334" i="2"/>
  <c r="AE333" i="2"/>
  <c r="AE332" i="2"/>
  <c r="AE331" i="2"/>
  <c r="AE330" i="2"/>
  <c r="AE329" i="2"/>
  <c r="AE328" i="2"/>
  <c r="AE327" i="2"/>
  <c r="AE326" i="2"/>
  <c r="AE325" i="2"/>
  <c r="AE324" i="2"/>
  <c r="AE323" i="2"/>
  <c r="AE322" i="2"/>
  <c r="AE321" i="2"/>
  <c r="AE320" i="2"/>
  <c r="AE319" i="2"/>
  <c r="AE318" i="2"/>
  <c r="AE317" i="2"/>
  <c r="AE316" i="2"/>
  <c r="AE315" i="2"/>
  <c r="AE314" i="2"/>
  <c r="AE313" i="2"/>
  <c r="AE312" i="2"/>
  <c r="AE311" i="2"/>
  <c r="AE310" i="2"/>
  <c r="AE309" i="2"/>
  <c r="AE308" i="2"/>
  <c r="AE307" i="2"/>
  <c r="AE306" i="2"/>
  <c r="AE305" i="2"/>
  <c r="AE304" i="2"/>
  <c r="AE303" i="2"/>
  <c r="AE302" i="2"/>
  <c r="AE301" i="2"/>
  <c r="AE300" i="2"/>
  <c r="AE299" i="2"/>
  <c r="AE298" i="2"/>
  <c r="AE297" i="2"/>
  <c r="AE296" i="2"/>
  <c r="AE295" i="2"/>
  <c r="AE294" i="2"/>
  <c r="AE293" i="2"/>
  <c r="AE292" i="2"/>
  <c r="AE291" i="2"/>
  <c r="AE290" i="2"/>
  <c r="AE289" i="2"/>
  <c r="AE288" i="2"/>
  <c r="AE287" i="2"/>
  <c r="AE286" i="2"/>
  <c r="AE285" i="2"/>
  <c r="AE284" i="2"/>
  <c r="AE283" i="2"/>
  <c r="AE282" i="2"/>
  <c r="AE281" i="2"/>
  <c r="AE280" i="2"/>
  <c r="AE279" i="2"/>
  <c r="AE278" i="2"/>
  <c r="AE277" i="2"/>
  <c r="AE276" i="2"/>
  <c r="AE275" i="2"/>
  <c r="AE274" i="2"/>
  <c r="AE273" i="2"/>
  <c r="AE272" i="2"/>
  <c r="AE271" i="2"/>
  <c r="AE270" i="2"/>
  <c r="AE269" i="2"/>
  <c r="AE268" i="2"/>
  <c r="AE267" i="2"/>
  <c r="AE266" i="2"/>
  <c r="AE265" i="2"/>
  <c r="AE264" i="2"/>
  <c r="AE263" i="2"/>
  <c r="AE262" i="2"/>
  <c r="AE261" i="2"/>
  <c r="AE260" i="2"/>
  <c r="AE259" i="2"/>
  <c r="AE258" i="2"/>
  <c r="AE257" i="2"/>
  <c r="AE256" i="2"/>
  <c r="AE255" i="2"/>
  <c r="AE254" i="2"/>
  <c r="AE253" i="2"/>
  <c r="AE252" i="2"/>
  <c r="AE251" i="2"/>
  <c r="AE250" i="2"/>
  <c r="AE249" i="2"/>
  <c r="AE248" i="2"/>
  <c r="AE247" i="2"/>
  <c r="AE246" i="2"/>
  <c r="AE245" i="2"/>
  <c r="AE244" i="2"/>
  <c r="AE243" i="2"/>
  <c r="AE242" i="2"/>
  <c r="AE241" i="2"/>
  <c r="AE240" i="2"/>
  <c r="AE239" i="2"/>
  <c r="AE238" i="2"/>
  <c r="AE237" i="2"/>
  <c r="AE236" i="2"/>
  <c r="AE235" i="2"/>
  <c r="AE234" i="2"/>
  <c r="AE233" i="2"/>
  <c r="AE232" i="2"/>
  <c r="AE231" i="2"/>
  <c r="AE230" i="2"/>
  <c r="AE229" i="2"/>
  <c r="AE228" i="2"/>
  <c r="AE227" i="2"/>
  <c r="AE226" i="2"/>
  <c r="AE225" i="2"/>
  <c r="AE224" i="2"/>
  <c r="AE223" i="2"/>
  <c r="AE222" i="2"/>
  <c r="AE221" i="2"/>
  <c r="AE220" i="2"/>
  <c r="AE219" i="2"/>
  <c r="AE218" i="2"/>
  <c r="AE217" i="2"/>
  <c r="AE216" i="2"/>
  <c r="AE215" i="2"/>
  <c r="AE214" i="2"/>
  <c r="AE213" i="2"/>
  <c r="AE212" i="2"/>
  <c r="AE211" i="2"/>
  <c r="AE210" i="2"/>
  <c r="AE209" i="2"/>
  <c r="AE208" i="2"/>
  <c r="AE207" i="2"/>
  <c r="AE206" i="2"/>
  <c r="AE205" i="2"/>
  <c r="AE204" i="2"/>
  <c r="AE203" i="2"/>
  <c r="AE202" i="2"/>
  <c r="AE201" i="2"/>
  <c r="AE200" i="2"/>
  <c r="AE199" i="2"/>
  <c r="AE198" i="2"/>
  <c r="AE197" i="2"/>
  <c r="AE196" i="2"/>
  <c r="AE195" i="2"/>
  <c r="AE194" i="2"/>
  <c r="AE193" i="2"/>
  <c r="AE192" i="2"/>
  <c r="AE191" i="2"/>
  <c r="AE190" i="2"/>
  <c r="AE189" i="2"/>
  <c r="AE188" i="2"/>
  <c r="AE187" i="2"/>
  <c r="AE186" i="2"/>
  <c r="AE185" i="2"/>
  <c r="AE184" i="2"/>
  <c r="AE183" i="2"/>
  <c r="AE182" i="2"/>
  <c r="AE181" i="2"/>
  <c r="AE180" i="2"/>
  <c r="AE179" i="2"/>
  <c r="AE178" i="2"/>
  <c r="AE177" i="2"/>
  <c r="AE176" i="2"/>
  <c r="AE175" i="2"/>
  <c r="AE174" i="2"/>
  <c r="AE173" i="2"/>
  <c r="AE172" i="2"/>
  <c r="AE171" i="2"/>
  <c r="AE170" i="2"/>
  <c r="AE169" i="2"/>
  <c r="AE168" i="2"/>
  <c r="AE167" i="2"/>
  <c r="AE166" i="2"/>
  <c r="AE165" i="2"/>
  <c r="AE164" i="2"/>
  <c r="AE163" i="2"/>
  <c r="AE162" i="2"/>
  <c r="AE161" i="2"/>
  <c r="AE160" i="2"/>
  <c r="AE159" i="2"/>
  <c r="AE158" i="2"/>
  <c r="AE157" i="2"/>
  <c r="AE156" i="2"/>
  <c r="AE155" i="2"/>
  <c r="AE154" i="2"/>
  <c r="AE153" i="2"/>
  <c r="AE152" i="2"/>
  <c r="AE151" i="2"/>
  <c r="AE150" i="2"/>
  <c r="AE149" i="2"/>
  <c r="AE148" i="2"/>
  <c r="AE147" i="2"/>
  <c r="AE146" i="2"/>
  <c r="AE145" i="2"/>
  <c r="AE144" i="2"/>
  <c r="AE143" i="2"/>
  <c r="AE142" i="2"/>
  <c r="AE141" i="2"/>
  <c r="AE140" i="2"/>
  <c r="AE139" i="2"/>
  <c r="AE138" i="2"/>
  <c r="AE137" i="2"/>
  <c r="AE136" i="2"/>
  <c r="AE135" i="2"/>
  <c r="AE134" i="2"/>
  <c r="AE133" i="2"/>
  <c r="AE132" i="2"/>
  <c r="AE131" i="2"/>
  <c r="AE130" i="2"/>
  <c r="AE129" i="2"/>
  <c r="AE128" i="2"/>
  <c r="AE127" i="2"/>
  <c r="AE126" i="2"/>
  <c r="AE125" i="2"/>
  <c r="AE124" i="2"/>
  <c r="AE123" i="2"/>
  <c r="AE122" i="2"/>
  <c r="AE121" i="2"/>
  <c r="AE120" i="2"/>
  <c r="AE119" i="2"/>
  <c r="AE118" i="2"/>
  <c r="AE117" i="2"/>
  <c r="AE116" i="2"/>
  <c r="AE115" i="2"/>
  <c r="AE114" i="2"/>
  <c r="AE113" i="2"/>
  <c r="AE112" i="2"/>
  <c r="AE111" i="2"/>
  <c r="AE110" i="2"/>
  <c r="AE109" i="2"/>
  <c r="AE108" i="2"/>
  <c r="AE107" i="2"/>
  <c r="AE106" i="2"/>
  <c r="AE105" i="2"/>
  <c r="AE104" i="2"/>
  <c r="AE103" i="2"/>
  <c r="AE102" i="2"/>
  <c r="AE101" i="2"/>
  <c r="AE100" i="2"/>
  <c r="AE99" i="2"/>
  <c r="AE98" i="2"/>
  <c r="AE97" i="2"/>
  <c r="AE96" i="2"/>
  <c r="AE95" i="2"/>
  <c r="AE94" i="2"/>
  <c r="AE93" i="2"/>
  <c r="AE92" i="2"/>
  <c r="AE91" i="2"/>
  <c r="AE90" i="2"/>
  <c r="AE89" i="2"/>
  <c r="AE88" i="2"/>
  <c r="AE87" i="2"/>
  <c r="AE86" i="2"/>
  <c r="AE85" i="2"/>
  <c r="AE84" i="2"/>
  <c r="AE83" i="2"/>
  <c r="AE82" i="2"/>
  <c r="AE81" i="2"/>
  <c r="AE80" i="2"/>
  <c r="AE79" i="2"/>
  <c r="AE78" i="2"/>
  <c r="AE77" i="2"/>
  <c r="AE76" i="2"/>
  <c r="AE75" i="2"/>
  <c r="AE74" i="2"/>
  <c r="AE73" i="2"/>
  <c r="AE72" i="2"/>
  <c r="AE71" i="2"/>
  <c r="AE70" i="2"/>
  <c r="AE69" i="2"/>
  <c r="AE68" i="2"/>
  <c r="AE67" i="2"/>
  <c r="AE66" i="2"/>
  <c r="AE65" i="2"/>
  <c r="AE64" i="2"/>
  <c r="AE63" i="2"/>
  <c r="AE62" i="2"/>
  <c r="AE61" i="2"/>
  <c r="AE60" i="2"/>
  <c r="AE59" i="2"/>
  <c r="AE58" i="2"/>
  <c r="AE57" i="2"/>
  <c r="AE56" i="2"/>
  <c r="AE55" i="2"/>
  <c r="AE54" i="2"/>
  <c r="AE53" i="2"/>
  <c r="AE52" i="2"/>
  <c r="AE51" i="2"/>
  <c r="AE50" i="2"/>
  <c r="AE49" i="2"/>
  <c r="AE48" i="2"/>
  <c r="AE47" i="2"/>
  <c r="AE46" i="2"/>
  <c r="AE45" i="2"/>
  <c r="AE44" i="2"/>
  <c r="AE43" i="2"/>
  <c r="AE42" i="2"/>
  <c r="AE41" i="2"/>
  <c r="AE40" i="2"/>
  <c r="AE39" i="2"/>
  <c r="AE38" i="2"/>
  <c r="AE37" i="2"/>
  <c r="AE36" i="2"/>
  <c r="AE35" i="2"/>
  <c r="AE34" i="2"/>
  <c r="AE33" i="2"/>
  <c r="AE32" i="2"/>
  <c r="AE31" i="2"/>
  <c r="AE30" i="2"/>
  <c r="AE29" i="2"/>
  <c r="AE28" i="2"/>
  <c r="AE27" i="2"/>
  <c r="AE26" i="2"/>
  <c r="AE25" i="2"/>
  <c r="AE24" i="2"/>
  <c r="AE23" i="2"/>
  <c r="AE22" i="2"/>
  <c r="AE21" i="2"/>
  <c r="AE20" i="2"/>
  <c r="AE19" i="2"/>
  <c r="AE18" i="2"/>
  <c r="AE17" i="2"/>
  <c r="AE16" i="2"/>
  <c r="AE15" i="2"/>
  <c r="AE14" i="2"/>
  <c r="AE13" i="2"/>
  <c r="AE12" i="2"/>
  <c r="AE11" i="2"/>
  <c r="AE10" i="2"/>
  <c r="AE9" i="2"/>
  <c r="AE8" i="2"/>
  <c r="AE7" i="2"/>
  <c r="AE6" i="2"/>
  <c r="AE5" i="2"/>
  <c r="AE4" i="2"/>
  <c r="AE3" i="2"/>
  <c r="AE2" i="2"/>
  <c r="AB1942" i="2" l="1"/>
  <c r="AE1942" i="2" s="1"/>
  <c r="AB1941" i="2"/>
  <c r="AE1941" i="2" s="1"/>
  <c r="BV1942" i="2"/>
  <c r="AQ1942" i="2"/>
  <c r="AT1942" i="2" s="1"/>
  <c r="AV1942" i="2" s="1"/>
  <c r="X1942" i="2"/>
  <c r="B1942" i="2"/>
  <c r="BO1965" i="2"/>
  <c r="X1915" i="2"/>
  <c r="AQ1940" i="2"/>
  <c r="AQ1921" i="2"/>
  <c r="AQ1920" i="2"/>
  <c r="AQ1919" i="2"/>
  <c r="AU2032" i="2"/>
  <c r="AU2031" i="2"/>
  <c r="AQ1945" i="2"/>
  <c r="AT1945" i="2" s="1"/>
  <c r="BV2000" i="2"/>
  <c r="AV2000" i="2"/>
  <c r="AU2000" i="2"/>
  <c r="AQ2000" i="2"/>
  <c r="AR2000" i="2" s="1"/>
  <c r="AP2000" i="2"/>
  <c r="AQ2010" i="2"/>
  <c r="BV2007" i="2"/>
  <c r="AV2007" i="2"/>
  <c r="AU2007" i="2"/>
  <c r="AQ2007" i="2"/>
  <c r="AR2007" i="2" s="1"/>
  <c r="B2007" i="2"/>
  <c r="AQ1941" i="2"/>
  <c r="AT1941" i="2" s="1"/>
  <c r="AR1942" i="2" l="1"/>
  <c r="AU1942" i="2"/>
  <c r="AP2007" i="2"/>
  <c r="AR2014" i="2" l="1"/>
  <c r="AQ2019" i="2"/>
  <c r="AR2019" i="2" s="1"/>
  <c r="AP1726" i="2"/>
  <c r="AQ1966" i="2"/>
  <c r="AQ2017" i="2"/>
  <c r="AR2017" i="2" s="1"/>
  <c r="AQ2016" i="2"/>
  <c r="AR2016" i="2" s="1"/>
  <c r="AQ2015" i="2"/>
  <c r="AR2015" i="2" s="1"/>
  <c r="AQ2011" i="2"/>
  <c r="AQ1931" i="2"/>
  <c r="AR1931" i="2" s="1"/>
  <c r="AQ1930" i="2"/>
  <c r="AR1930" i="2" s="1"/>
  <c r="AQ1915" i="2"/>
  <c r="AT1940" i="2" l="1"/>
  <c r="AQ2034" i="2"/>
  <c r="BO2034" i="2" s="1"/>
  <c r="AP2034" i="2"/>
  <c r="BO2033" i="2"/>
  <c r="AR2033" i="2"/>
  <c r="AR2034" i="2" l="1"/>
  <c r="AQ2012" i="2" l="1"/>
  <c r="AQ2001" i="2"/>
  <c r="AQ1903" i="2"/>
  <c r="AR1903" i="2" s="1"/>
  <c r="AR1939" i="2"/>
  <c r="AQ1916" i="2"/>
  <c r="BV2032" i="2" l="1"/>
  <c r="AQ2032" i="2"/>
  <c r="AR2032" i="2" s="1"/>
  <c r="AE2032" i="2"/>
  <c r="BV2031" i="2"/>
  <c r="AQ2031" i="2"/>
  <c r="AR2031" i="2" s="1"/>
  <c r="AR1961" i="2"/>
  <c r="AQ1964" i="2"/>
  <c r="AQ1963" i="2"/>
  <c r="AR1963" i="2" s="1"/>
  <c r="AQ1962" i="2"/>
  <c r="AP1962" i="2" s="1"/>
  <c r="AQ1914" i="2"/>
  <c r="BV2030" i="2"/>
  <c r="AQ2030" i="2"/>
  <c r="AR2030" i="2" s="1"/>
  <c r="AU2030" i="2" s="1"/>
  <c r="AN2030" i="2"/>
  <c r="B2030" i="2"/>
  <c r="X1941" i="2"/>
  <c r="AP2031" i="2" l="1"/>
  <c r="AP2032" i="2"/>
  <c r="AR1962" i="2"/>
  <c r="AP2030" i="2"/>
  <c r="AV2030" i="2"/>
  <c r="BV1846" i="2" l="1"/>
  <c r="AV1846" i="2"/>
  <c r="AU1846" i="2"/>
  <c r="AQ1846" i="2"/>
  <c r="AR1846" i="2" s="1"/>
  <c r="AP1846" i="2"/>
  <c r="B1846" i="2"/>
  <c r="BA1827" i="2"/>
  <c r="AQ1820" i="2" l="1"/>
  <c r="AQ1819" i="2"/>
  <c r="AQ1818" i="2"/>
  <c r="BO1837" i="2" l="1"/>
  <c r="AR1881" i="2"/>
  <c r="AV3" i="2"/>
  <c r="AV4" i="2"/>
  <c r="AV5" i="2"/>
  <c r="AV6" i="2"/>
  <c r="AV7" i="2"/>
  <c r="AV8" i="2"/>
  <c r="AV9" i="2"/>
  <c r="AV10" i="2"/>
  <c r="AV11" i="2"/>
  <c r="AV12" i="2"/>
  <c r="AV13" i="2"/>
  <c r="AV14" i="2"/>
  <c r="AV15" i="2"/>
  <c r="AV16" i="2"/>
  <c r="AV17" i="2"/>
  <c r="AV18" i="2"/>
  <c r="AV19" i="2"/>
  <c r="AV20" i="2"/>
  <c r="AV21" i="2"/>
  <c r="AV22" i="2"/>
  <c r="AV23" i="2"/>
  <c r="AV24" i="2"/>
  <c r="AV25" i="2"/>
  <c r="AV26" i="2"/>
  <c r="AV27" i="2"/>
  <c r="AV28" i="2"/>
  <c r="AV29" i="2"/>
  <c r="AV30" i="2"/>
  <c r="AV31" i="2"/>
  <c r="AV32" i="2"/>
  <c r="AV33" i="2"/>
  <c r="AV34" i="2"/>
  <c r="AV35" i="2"/>
  <c r="AV36" i="2"/>
  <c r="AV37" i="2"/>
  <c r="AV38" i="2"/>
  <c r="AV39" i="2"/>
  <c r="AV40" i="2"/>
  <c r="AV41" i="2"/>
  <c r="AV42" i="2"/>
  <c r="AV43" i="2"/>
  <c r="AV44" i="2"/>
  <c r="AV45" i="2"/>
  <c r="AV46" i="2"/>
  <c r="AV47" i="2"/>
  <c r="AV48" i="2"/>
  <c r="AV49" i="2"/>
  <c r="AV50" i="2"/>
  <c r="AV51" i="2"/>
  <c r="AV52" i="2"/>
  <c r="AV53" i="2"/>
  <c r="AV54" i="2"/>
  <c r="AV55" i="2"/>
  <c r="AV56" i="2"/>
  <c r="AV57" i="2"/>
  <c r="AV58" i="2"/>
  <c r="AV59" i="2"/>
  <c r="AV60" i="2"/>
  <c r="AV61" i="2"/>
  <c r="AV62" i="2"/>
  <c r="AV63" i="2"/>
  <c r="AV64" i="2"/>
  <c r="AV65" i="2"/>
  <c r="AV66" i="2"/>
  <c r="AV67" i="2"/>
  <c r="AV68" i="2"/>
  <c r="AV69" i="2"/>
  <c r="AV70" i="2"/>
  <c r="AV71" i="2"/>
  <c r="AV72" i="2"/>
  <c r="AV73" i="2"/>
  <c r="AV74" i="2"/>
  <c r="AV75" i="2"/>
  <c r="AV76" i="2"/>
  <c r="AV77" i="2"/>
  <c r="AV78" i="2"/>
  <c r="AV79" i="2"/>
  <c r="AV80" i="2"/>
  <c r="AV81" i="2"/>
  <c r="AV82" i="2"/>
  <c r="AV83" i="2"/>
  <c r="AV84" i="2"/>
  <c r="AV85" i="2"/>
  <c r="AV86" i="2"/>
  <c r="AV87" i="2"/>
  <c r="AV88" i="2"/>
  <c r="AV89" i="2"/>
  <c r="AV90" i="2"/>
  <c r="AV91" i="2"/>
  <c r="AV92" i="2"/>
  <c r="AV93" i="2"/>
  <c r="AV94" i="2"/>
  <c r="AV95" i="2"/>
  <c r="AV96" i="2"/>
  <c r="AV97" i="2"/>
  <c r="AV98" i="2"/>
  <c r="AV99" i="2"/>
  <c r="AV100" i="2"/>
  <c r="AV101" i="2"/>
  <c r="AV102" i="2"/>
  <c r="AV103" i="2"/>
  <c r="AV104" i="2"/>
  <c r="AV105" i="2"/>
  <c r="AV106" i="2"/>
  <c r="AV107" i="2"/>
  <c r="AV108" i="2"/>
  <c r="AV109" i="2"/>
  <c r="AV110" i="2"/>
  <c r="AV111" i="2"/>
  <c r="AV112" i="2"/>
  <c r="AV113" i="2"/>
  <c r="AV114" i="2"/>
  <c r="AV115" i="2"/>
  <c r="AV116" i="2"/>
  <c r="AV117" i="2"/>
  <c r="AV118" i="2"/>
  <c r="AV119" i="2"/>
  <c r="AV120" i="2"/>
  <c r="AV121" i="2"/>
  <c r="AV122" i="2"/>
  <c r="AV123" i="2"/>
  <c r="AV124" i="2"/>
  <c r="AV125" i="2"/>
  <c r="AV126" i="2"/>
  <c r="AV127" i="2"/>
  <c r="AV128" i="2"/>
  <c r="AV129" i="2"/>
  <c r="AV130" i="2"/>
  <c r="AV131" i="2"/>
  <c r="AV132" i="2"/>
  <c r="AV133" i="2"/>
  <c r="AV134" i="2"/>
  <c r="AV135" i="2"/>
  <c r="AV136" i="2"/>
  <c r="AV137" i="2"/>
  <c r="AV138" i="2"/>
  <c r="AV139" i="2"/>
  <c r="AV140" i="2"/>
  <c r="AV141" i="2"/>
  <c r="AV142" i="2"/>
  <c r="AV143" i="2"/>
  <c r="AV144" i="2"/>
  <c r="AV145" i="2"/>
  <c r="AV146" i="2"/>
  <c r="AV147" i="2"/>
  <c r="AV148" i="2"/>
  <c r="AV149" i="2"/>
  <c r="AV150" i="2"/>
  <c r="AV151" i="2"/>
  <c r="AV152" i="2"/>
  <c r="AV153" i="2"/>
  <c r="AV154" i="2"/>
  <c r="AV155" i="2"/>
  <c r="AV156" i="2"/>
  <c r="AV157" i="2"/>
  <c r="AV158" i="2"/>
  <c r="AV159" i="2"/>
  <c r="AV160" i="2"/>
  <c r="AV161" i="2"/>
  <c r="AV162" i="2"/>
  <c r="AV163" i="2"/>
  <c r="AV164" i="2"/>
  <c r="AV165" i="2"/>
  <c r="AV166" i="2"/>
  <c r="AV167" i="2"/>
  <c r="AV168" i="2"/>
  <c r="AV169" i="2"/>
  <c r="AV170" i="2"/>
  <c r="AV171" i="2"/>
  <c r="AV172" i="2"/>
  <c r="AV173" i="2"/>
  <c r="AV174" i="2"/>
  <c r="AV175" i="2"/>
  <c r="AV176" i="2"/>
  <c r="AV177" i="2"/>
  <c r="AV178" i="2"/>
  <c r="AV179" i="2"/>
  <c r="AV180" i="2"/>
  <c r="AV181" i="2"/>
  <c r="AV182" i="2"/>
  <c r="AV183" i="2"/>
  <c r="AV184" i="2"/>
  <c r="AV185" i="2"/>
  <c r="AV186" i="2"/>
  <c r="AV187" i="2"/>
  <c r="AV188" i="2"/>
  <c r="AV189" i="2"/>
  <c r="AV190" i="2"/>
  <c r="AV191" i="2"/>
  <c r="AV192" i="2"/>
  <c r="AV193" i="2"/>
  <c r="AV194" i="2"/>
  <c r="AV195" i="2"/>
  <c r="AV196" i="2"/>
  <c r="AV197" i="2"/>
  <c r="AV198" i="2"/>
  <c r="AV199" i="2"/>
  <c r="AV200" i="2"/>
  <c r="AV201" i="2"/>
  <c r="AV202" i="2"/>
  <c r="AV203" i="2"/>
  <c r="AV204" i="2"/>
  <c r="AV205" i="2"/>
  <c r="AV206" i="2"/>
  <c r="AV207" i="2"/>
  <c r="AV208" i="2"/>
  <c r="AV209" i="2"/>
  <c r="AV210" i="2"/>
  <c r="AV211" i="2"/>
  <c r="AV212" i="2"/>
  <c r="AV213" i="2"/>
  <c r="AV214" i="2"/>
  <c r="AV215" i="2"/>
  <c r="AV216" i="2"/>
  <c r="AV217" i="2"/>
  <c r="AV218" i="2"/>
  <c r="AV219" i="2"/>
  <c r="AV220" i="2"/>
  <c r="AV221" i="2"/>
  <c r="AV222" i="2"/>
  <c r="AV223" i="2"/>
  <c r="AV224" i="2"/>
  <c r="AV225" i="2"/>
  <c r="AV226" i="2"/>
  <c r="AV227" i="2"/>
  <c r="AV228" i="2"/>
  <c r="AV229" i="2"/>
  <c r="AV230" i="2"/>
  <c r="AV231" i="2"/>
  <c r="AV232" i="2"/>
  <c r="AV233" i="2"/>
  <c r="AV234" i="2"/>
  <c r="AV235" i="2"/>
  <c r="AV236" i="2"/>
  <c r="AV237" i="2"/>
  <c r="AV238" i="2"/>
  <c r="AV239" i="2"/>
  <c r="AV240" i="2"/>
  <c r="AV241" i="2"/>
  <c r="AV242" i="2"/>
  <c r="AV243" i="2"/>
  <c r="AV244" i="2"/>
  <c r="AV245" i="2"/>
  <c r="AV246" i="2"/>
  <c r="AV247" i="2"/>
  <c r="AV248" i="2"/>
  <c r="AV249" i="2"/>
  <c r="AV250" i="2"/>
  <c r="AV251" i="2"/>
  <c r="AV252" i="2"/>
  <c r="AV253" i="2"/>
  <c r="AV254" i="2"/>
  <c r="AV255" i="2"/>
  <c r="AV256" i="2"/>
  <c r="AV257" i="2"/>
  <c r="AV258" i="2"/>
  <c r="AV259" i="2"/>
  <c r="AV260" i="2"/>
  <c r="AV261" i="2"/>
  <c r="AV262" i="2"/>
  <c r="AV263" i="2"/>
  <c r="AV264" i="2"/>
  <c r="AV265" i="2"/>
  <c r="AV266" i="2"/>
  <c r="AV267" i="2"/>
  <c r="AV268" i="2"/>
  <c r="AV269" i="2"/>
  <c r="AV270" i="2"/>
  <c r="AV271" i="2"/>
  <c r="AV272" i="2"/>
  <c r="AV273" i="2"/>
  <c r="AV274" i="2"/>
  <c r="AV275" i="2"/>
  <c r="AV276" i="2"/>
  <c r="AV277" i="2"/>
  <c r="AV278" i="2"/>
  <c r="AV279" i="2"/>
  <c r="AV280" i="2"/>
  <c r="AV281" i="2"/>
  <c r="AV282" i="2"/>
  <c r="AV283" i="2"/>
  <c r="AV284" i="2"/>
  <c r="AV285" i="2"/>
  <c r="AV286" i="2"/>
  <c r="AV287" i="2"/>
  <c r="AV288" i="2"/>
  <c r="AV289" i="2"/>
  <c r="AV290" i="2"/>
  <c r="AV291" i="2"/>
  <c r="AV292" i="2"/>
  <c r="AV293" i="2"/>
  <c r="AV294" i="2"/>
  <c r="AV295" i="2"/>
  <c r="AV296" i="2"/>
  <c r="AV297" i="2"/>
  <c r="AV298" i="2"/>
  <c r="AV299" i="2"/>
  <c r="AV300" i="2"/>
  <c r="AV301" i="2"/>
  <c r="AV302" i="2"/>
  <c r="AV303" i="2"/>
  <c r="AV304" i="2"/>
  <c r="AV305" i="2"/>
  <c r="AV306" i="2"/>
  <c r="AV307" i="2"/>
  <c r="AV308" i="2"/>
  <c r="AV309" i="2"/>
  <c r="AV310" i="2"/>
  <c r="AV311" i="2"/>
  <c r="AV312" i="2"/>
  <c r="AV313" i="2"/>
  <c r="AV314" i="2"/>
  <c r="AV315" i="2"/>
  <c r="AV316" i="2"/>
  <c r="AV317" i="2"/>
  <c r="AV318" i="2"/>
  <c r="AV319" i="2"/>
  <c r="AV320" i="2"/>
  <c r="AV321" i="2"/>
  <c r="AV322" i="2"/>
  <c r="AV323" i="2"/>
  <c r="AV324" i="2"/>
  <c r="AV325" i="2"/>
  <c r="AV326" i="2"/>
  <c r="AV327" i="2"/>
  <c r="AV328" i="2"/>
  <c r="AV329" i="2"/>
  <c r="AV330" i="2"/>
  <c r="AV331" i="2"/>
  <c r="AV332" i="2"/>
  <c r="AV333" i="2"/>
  <c r="AV334" i="2"/>
  <c r="AV335" i="2"/>
  <c r="AV336" i="2"/>
  <c r="AV337" i="2"/>
  <c r="AV338" i="2"/>
  <c r="AV339" i="2"/>
  <c r="AV340" i="2"/>
  <c r="AV341" i="2"/>
  <c r="AV342" i="2"/>
  <c r="AV343" i="2"/>
  <c r="AV344" i="2"/>
  <c r="AV345" i="2"/>
  <c r="AV346" i="2"/>
  <c r="AV347" i="2"/>
  <c r="AV348" i="2"/>
  <c r="AV349" i="2"/>
  <c r="AV350" i="2"/>
  <c r="AV351" i="2"/>
  <c r="AV352" i="2"/>
  <c r="AV353" i="2"/>
  <c r="AV354" i="2"/>
  <c r="AV355" i="2"/>
  <c r="AV356" i="2"/>
  <c r="AV357" i="2"/>
  <c r="AV358" i="2"/>
  <c r="AV359" i="2"/>
  <c r="AV360" i="2"/>
  <c r="AV361" i="2"/>
  <c r="AV362" i="2"/>
  <c r="AV363" i="2"/>
  <c r="AV364" i="2"/>
  <c r="AV365" i="2"/>
  <c r="AV366" i="2"/>
  <c r="AV367" i="2"/>
  <c r="AV368" i="2"/>
  <c r="AV369" i="2"/>
  <c r="AV370" i="2"/>
  <c r="AV371" i="2"/>
  <c r="AV372" i="2"/>
  <c r="AV373" i="2"/>
  <c r="AV374" i="2"/>
  <c r="AV375" i="2"/>
  <c r="AV376" i="2"/>
  <c r="AV377" i="2"/>
  <c r="AV378" i="2"/>
  <c r="AV379" i="2"/>
  <c r="AV380" i="2"/>
  <c r="AV381" i="2"/>
  <c r="AV382" i="2"/>
  <c r="AV383" i="2"/>
  <c r="AV384" i="2"/>
  <c r="AV385" i="2"/>
  <c r="AV386" i="2"/>
  <c r="AV387" i="2"/>
  <c r="AV388" i="2"/>
  <c r="AV389" i="2"/>
  <c r="AV390" i="2"/>
  <c r="AV391" i="2"/>
  <c r="AV392" i="2"/>
  <c r="AV393" i="2"/>
  <c r="AV394" i="2"/>
  <c r="AV395" i="2"/>
  <c r="AV396" i="2"/>
  <c r="AV397" i="2"/>
  <c r="AV398" i="2"/>
  <c r="AV399" i="2"/>
  <c r="AV400" i="2"/>
  <c r="AV401" i="2"/>
  <c r="AV402" i="2"/>
  <c r="AV403" i="2"/>
  <c r="AV404" i="2"/>
  <c r="AV405" i="2"/>
  <c r="AV406" i="2"/>
  <c r="AV407" i="2"/>
  <c r="AV408" i="2"/>
  <c r="AV409" i="2"/>
  <c r="AV410" i="2"/>
  <c r="AV411" i="2"/>
  <c r="AV412" i="2"/>
  <c r="AV413" i="2"/>
  <c r="AV414" i="2"/>
  <c r="AV415" i="2"/>
  <c r="AV416" i="2"/>
  <c r="AV417" i="2"/>
  <c r="AV418" i="2"/>
  <c r="AV419" i="2"/>
  <c r="AV420" i="2"/>
  <c r="AV421" i="2"/>
  <c r="AV422" i="2"/>
  <c r="AV423" i="2"/>
  <c r="AV424" i="2"/>
  <c r="AV425" i="2"/>
  <c r="AV426" i="2"/>
  <c r="AV427" i="2"/>
  <c r="AV428" i="2"/>
  <c r="AV429" i="2"/>
  <c r="AV430" i="2"/>
  <c r="AV431" i="2"/>
  <c r="AV432" i="2"/>
  <c r="AV433" i="2"/>
  <c r="AV434" i="2"/>
  <c r="AV435" i="2"/>
  <c r="AV436" i="2"/>
  <c r="AV437" i="2"/>
  <c r="AV438" i="2"/>
  <c r="AV439" i="2"/>
  <c r="AV440" i="2"/>
  <c r="AV441" i="2"/>
  <c r="AV442" i="2"/>
  <c r="AV443" i="2"/>
  <c r="AV444" i="2"/>
  <c r="AV445" i="2"/>
  <c r="AV446" i="2"/>
  <c r="AV447" i="2"/>
  <c r="AV448" i="2"/>
  <c r="AV449" i="2"/>
  <c r="AV450" i="2"/>
  <c r="AV451" i="2"/>
  <c r="AV452" i="2"/>
  <c r="AV453" i="2"/>
  <c r="AV454" i="2"/>
  <c r="AV455" i="2"/>
  <c r="AV456" i="2"/>
  <c r="AV457" i="2"/>
  <c r="AV458" i="2"/>
  <c r="AV459" i="2"/>
  <c r="AV460" i="2"/>
  <c r="AV461" i="2"/>
  <c r="AV462" i="2"/>
  <c r="AV463" i="2"/>
  <c r="AV464" i="2"/>
  <c r="AV465" i="2"/>
  <c r="AV466" i="2"/>
  <c r="AV467" i="2"/>
  <c r="AV468" i="2"/>
  <c r="AV469" i="2"/>
  <c r="AV470" i="2"/>
  <c r="AV471" i="2"/>
  <c r="AV472" i="2"/>
  <c r="AV473" i="2"/>
  <c r="AV474" i="2"/>
  <c r="AV475" i="2"/>
  <c r="AV476" i="2"/>
  <c r="AV477" i="2"/>
  <c r="AV478" i="2"/>
  <c r="AV479" i="2"/>
  <c r="AV480" i="2"/>
  <c r="AV481" i="2"/>
  <c r="AV482" i="2"/>
  <c r="AV483" i="2"/>
  <c r="AV484" i="2"/>
  <c r="AV485" i="2"/>
  <c r="AV486" i="2"/>
  <c r="AV487" i="2"/>
  <c r="AV488" i="2"/>
  <c r="AV489" i="2"/>
  <c r="AV490" i="2"/>
  <c r="AV491" i="2"/>
  <c r="AV492" i="2"/>
  <c r="AV493" i="2"/>
  <c r="AV494" i="2"/>
  <c r="AV495" i="2"/>
  <c r="AV496" i="2"/>
  <c r="AV497" i="2"/>
  <c r="AV498" i="2"/>
  <c r="AV499" i="2"/>
  <c r="AV500" i="2"/>
  <c r="AV501" i="2"/>
  <c r="AV502" i="2"/>
  <c r="AV503" i="2"/>
  <c r="AV504" i="2"/>
  <c r="AV505" i="2"/>
  <c r="AV506" i="2"/>
  <c r="AV507" i="2"/>
  <c r="AV508" i="2"/>
  <c r="AV509" i="2"/>
  <c r="AV510" i="2"/>
  <c r="AV511" i="2"/>
  <c r="AV512" i="2"/>
  <c r="AV513" i="2"/>
  <c r="AV514" i="2"/>
  <c r="AV515" i="2"/>
  <c r="AV516" i="2"/>
  <c r="AV517" i="2"/>
  <c r="AV518" i="2"/>
  <c r="AV519" i="2"/>
  <c r="AV520" i="2"/>
  <c r="AV521" i="2"/>
  <c r="AV522" i="2"/>
  <c r="AV523" i="2"/>
  <c r="AV524" i="2"/>
  <c r="AV525" i="2"/>
  <c r="AV526" i="2"/>
  <c r="AV527" i="2"/>
  <c r="AV528" i="2"/>
  <c r="AV529" i="2"/>
  <c r="AV530" i="2"/>
  <c r="AV531" i="2"/>
  <c r="AV532" i="2"/>
  <c r="AV533" i="2"/>
  <c r="AV534" i="2"/>
  <c r="AV535" i="2"/>
  <c r="AV536" i="2"/>
  <c r="AV537" i="2"/>
  <c r="AV538" i="2"/>
  <c r="AV539" i="2"/>
  <c r="AV540" i="2"/>
  <c r="AV541" i="2"/>
  <c r="AV542" i="2"/>
  <c r="AV543" i="2"/>
  <c r="AV544" i="2"/>
  <c r="AV545" i="2"/>
  <c r="AV546" i="2"/>
  <c r="AV547" i="2"/>
  <c r="AV548" i="2"/>
  <c r="AV549" i="2"/>
  <c r="AV550" i="2"/>
  <c r="AV551" i="2"/>
  <c r="AV552" i="2"/>
  <c r="AV553" i="2"/>
  <c r="AV554" i="2"/>
  <c r="AV555" i="2"/>
  <c r="AV556" i="2"/>
  <c r="AV557" i="2"/>
  <c r="AV558" i="2"/>
  <c r="AV559" i="2"/>
  <c r="AV560" i="2"/>
  <c r="AV561" i="2"/>
  <c r="AV562" i="2"/>
  <c r="AV563" i="2"/>
  <c r="AV564" i="2"/>
  <c r="AV565" i="2"/>
  <c r="AV566" i="2"/>
  <c r="AV567" i="2"/>
  <c r="AV568" i="2"/>
  <c r="AV569" i="2"/>
  <c r="AV570" i="2"/>
  <c r="AV571" i="2"/>
  <c r="AV572" i="2"/>
  <c r="AV573" i="2"/>
  <c r="AV574" i="2"/>
  <c r="AV575" i="2"/>
  <c r="AV576" i="2"/>
  <c r="AV577" i="2"/>
  <c r="AV578" i="2"/>
  <c r="AV579" i="2"/>
  <c r="AV580" i="2"/>
  <c r="AV581" i="2"/>
  <c r="AV582" i="2"/>
  <c r="AV583" i="2"/>
  <c r="AV584" i="2"/>
  <c r="AV585" i="2"/>
  <c r="AV586" i="2"/>
  <c r="AV587" i="2"/>
  <c r="AV588" i="2"/>
  <c r="AV589" i="2"/>
  <c r="AV590" i="2"/>
  <c r="AV591" i="2"/>
  <c r="AV592" i="2"/>
  <c r="AV593" i="2"/>
  <c r="AV594" i="2"/>
  <c r="AV595" i="2"/>
  <c r="AV596" i="2"/>
  <c r="AV597" i="2"/>
  <c r="AV598" i="2"/>
  <c r="AV599" i="2"/>
  <c r="AV600" i="2"/>
  <c r="AV601" i="2"/>
  <c r="AV602" i="2"/>
  <c r="AV603" i="2"/>
  <c r="AV604" i="2"/>
  <c r="AV605" i="2"/>
  <c r="AV606" i="2"/>
  <c r="AV607" i="2"/>
  <c r="AV608" i="2"/>
  <c r="AV609" i="2"/>
  <c r="AV610" i="2"/>
  <c r="AV611" i="2"/>
  <c r="AV612" i="2"/>
  <c r="AV613" i="2"/>
  <c r="AV614" i="2"/>
  <c r="AV615" i="2"/>
  <c r="AV616" i="2"/>
  <c r="AV617" i="2"/>
  <c r="AV618" i="2"/>
  <c r="AV619" i="2"/>
  <c r="AV620" i="2"/>
  <c r="AV621" i="2"/>
  <c r="AV622" i="2"/>
  <c r="AV623" i="2"/>
  <c r="AV624" i="2"/>
  <c r="AV625" i="2"/>
  <c r="AV626" i="2"/>
  <c r="AV627" i="2"/>
  <c r="AV628" i="2"/>
  <c r="AV629" i="2"/>
  <c r="AV630" i="2"/>
  <c r="AV631" i="2"/>
  <c r="AV632" i="2"/>
  <c r="AV633" i="2"/>
  <c r="AV634" i="2"/>
  <c r="AV635" i="2"/>
  <c r="AV636" i="2"/>
  <c r="AV637" i="2"/>
  <c r="AV638" i="2"/>
  <c r="AV639" i="2"/>
  <c r="AV640" i="2"/>
  <c r="AV641" i="2"/>
  <c r="AV642" i="2"/>
  <c r="AV643" i="2"/>
  <c r="AV644" i="2"/>
  <c r="AV645" i="2"/>
  <c r="AV646" i="2"/>
  <c r="AV647" i="2"/>
  <c r="AV648" i="2"/>
  <c r="AV649" i="2"/>
  <c r="AV650" i="2"/>
  <c r="AV651" i="2"/>
  <c r="AV652" i="2"/>
  <c r="AV653" i="2"/>
  <c r="AV654" i="2"/>
  <c r="AV655" i="2"/>
  <c r="AV656" i="2"/>
  <c r="AV657" i="2"/>
  <c r="AV658" i="2"/>
  <c r="AV659" i="2"/>
  <c r="AV660" i="2"/>
  <c r="AV661" i="2"/>
  <c r="AV662" i="2"/>
  <c r="AV663" i="2"/>
  <c r="AV664" i="2"/>
  <c r="AV665" i="2"/>
  <c r="AV666" i="2"/>
  <c r="AV667" i="2"/>
  <c r="AV668" i="2"/>
  <c r="AV669" i="2"/>
  <c r="AV670" i="2"/>
  <c r="AV671" i="2"/>
  <c r="AV672" i="2"/>
  <c r="AV673" i="2"/>
  <c r="AV674" i="2"/>
  <c r="AV675" i="2"/>
  <c r="AV676" i="2"/>
  <c r="AV677" i="2"/>
  <c r="AV678" i="2"/>
  <c r="AV679" i="2"/>
  <c r="AV680" i="2"/>
  <c r="AV681" i="2"/>
  <c r="AV682" i="2"/>
  <c r="AV683" i="2"/>
  <c r="AV684" i="2"/>
  <c r="AV685" i="2"/>
  <c r="AV686" i="2"/>
  <c r="AV687" i="2"/>
  <c r="AV688" i="2"/>
  <c r="AV689" i="2"/>
  <c r="AV690" i="2"/>
  <c r="AV691" i="2"/>
  <c r="AV692" i="2"/>
  <c r="AV693" i="2"/>
  <c r="AV694" i="2"/>
  <c r="AV695" i="2"/>
  <c r="AV696" i="2"/>
  <c r="AV697" i="2"/>
  <c r="AV698" i="2"/>
  <c r="AV699" i="2"/>
  <c r="AV700" i="2"/>
  <c r="AV701" i="2"/>
  <c r="AV702" i="2"/>
  <c r="AV703" i="2"/>
  <c r="AV704" i="2"/>
  <c r="AV705" i="2"/>
  <c r="AV706" i="2"/>
  <c r="AV707" i="2"/>
  <c r="AV708" i="2"/>
  <c r="AV709" i="2"/>
  <c r="AV710" i="2"/>
  <c r="AV711" i="2"/>
  <c r="AV712" i="2"/>
  <c r="AV713" i="2"/>
  <c r="AV714" i="2"/>
  <c r="AV715" i="2"/>
  <c r="AV716" i="2"/>
  <c r="AV717" i="2"/>
  <c r="AV718" i="2"/>
  <c r="AV719" i="2"/>
  <c r="AV720" i="2"/>
  <c r="AV721" i="2"/>
  <c r="AV722" i="2"/>
  <c r="AV723" i="2"/>
  <c r="AV724" i="2"/>
  <c r="AV725" i="2"/>
  <c r="AV726" i="2"/>
  <c r="AV727" i="2"/>
  <c r="AV728" i="2"/>
  <c r="AV729" i="2"/>
  <c r="AV730" i="2"/>
  <c r="AV731" i="2"/>
  <c r="AV732" i="2"/>
  <c r="AV733" i="2"/>
  <c r="AV734" i="2"/>
  <c r="AV735" i="2"/>
  <c r="AV736" i="2"/>
  <c r="AV737" i="2"/>
  <c r="AV738" i="2"/>
  <c r="AV739" i="2"/>
  <c r="AV740" i="2"/>
  <c r="AV741" i="2"/>
  <c r="AV742" i="2"/>
  <c r="AV743" i="2"/>
  <c r="AV744" i="2"/>
  <c r="AV745" i="2"/>
  <c r="AV746" i="2"/>
  <c r="AV747" i="2"/>
  <c r="AV748" i="2"/>
  <c r="AV749" i="2"/>
  <c r="AV750" i="2"/>
  <c r="AV751" i="2"/>
  <c r="AV752" i="2"/>
  <c r="AV753" i="2"/>
  <c r="AV754" i="2"/>
  <c r="AV755" i="2"/>
  <c r="AV756" i="2"/>
  <c r="AV757" i="2"/>
  <c r="AV758" i="2"/>
  <c r="AV759" i="2"/>
  <c r="AV760" i="2"/>
  <c r="AV761" i="2"/>
  <c r="AV762" i="2"/>
  <c r="AV763" i="2"/>
  <c r="AV764" i="2"/>
  <c r="AV765" i="2"/>
  <c r="AV766" i="2"/>
  <c r="AV767" i="2"/>
  <c r="AV768" i="2"/>
  <c r="AV769" i="2"/>
  <c r="AV770" i="2"/>
  <c r="AV771" i="2"/>
  <c r="AV772" i="2"/>
  <c r="AV773" i="2"/>
  <c r="AV774" i="2"/>
  <c r="AV775" i="2"/>
  <c r="AV776" i="2"/>
  <c r="AV777" i="2"/>
  <c r="AV778" i="2"/>
  <c r="AV779" i="2"/>
  <c r="AV780" i="2"/>
  <c r="AV781" i="2"/>
  <c r="AV782" i="2"/>
  <c r="AV783" i="2"/>
  <c r="AV784" i="2"/>
  <c r="AV785" i="2"/>
  <c r="AV786" i="2"/>
  <c r="AV787" i="2"/>
  <c r="AV788" i="2"/>
  <c r="AV789" i="2"/>
  <c r="AV790" i="2"/>
  <c r="AV791" i="2"/>
  <c r="AV792" i="2"/>
  <c r="AV793" i="2"/>
  <c r="AV794" i="2"/>
  <c r="AV795" i="2"/>
  <c r="AV796" i="2"/>
  <c r="AV797" i="2"/>
  <c r="AV798" i="2"/>
  <c r="AV799" i="2"/>
  <c r="AV800" i="2"/>
  <c r="AV801" i="2"/>
  <c r="AV802" i="2"/>
  <c r="AV803" i="2"/>
  <c r="AV804" i="2"/>
  <c r="AV805" i="2"/>
  <c r="AV806" i="2"/>
  <c r="AV807" i="2"/>
  <c r="AV808" i="2"/>
  <c r="AV809" i="2"/>
  <c r="AV810" i="2"/>
  <c r="AV811" i="2"/>
  <c r="AV812" i="2"/>
  <c r="AV813" i="2"/>
  <c r="AV814" i="2"/>
  <c r="AV815" i="2"/>
  <c r="AV816" i="2"/>
  <c r="AV817" i="2"/>
  <c r="AV818" i="2"/>
  <c r="AV819" i="2"/>
  <c r="AV820" i="2"/>
  <c r="AV821" i="2"/>
  <c r="AV822" i="2"/>
  <c r="AV823" i="2"/>
  <c r="AV824" i="2"/>
  <c r="AV825" i="2"/>
  <c r="AV826" i="2"/>
  <c r="AV827" i="2"/>
  <c r="AV828" i="2"/>
  <c r="AV829" i="2"/>
  <c r="AV830" i="2"/>
  <c r="AV831" i="2"/>
  <c r="AV832" i="2"/>
  <c r="AV833" i="2"/>
  <c r="AV834" i="2"/>
  <c r="AV835" i="2"/>
  <c r="AV836" i="2"/>
  <c r="AV837" i="2"/>
  <c r="AV838" i="2"/>
  <c r="AV839" i="2"/>
  <c r="AV840" i="2"/>
  <c r="AV841" i="2"/>
  <c r="AV842" i="2"/>
  <c r="AV843" i="2"/>
  <c r="AV844" i="2"/>
  <c r="AV845" i="2"/>
  <c r="AV846" i="2"/>
  <c r="AV847" i="2"/>
  <c r="AV848" i="2"/>
  <c r="AV849" i="2"/>
  <c r="AV850" i="2"/>
  <c r="AV851" i="2"/>
  <c r="AV852" i="2"/>
  <c r="AV853" i="2"/>
  <c r="AV854" i="2"/>
  <c r="AV855" i="2"/>
  <c r="AV856" i="2"/>
  <c r="AV857" i="2"/>
  <c r="AV858" i="2"/>
  <c r="AV859" i="2"/>
  <c r="AV860" i="2"/>
  <c r="AV861" i="2"/>
  <c r="AV862" i="2"/>
  <c r="AV863" i="2"/>
  <c r="AV864" i="2"/>
  <c r="AV865" i="2"/>
  <c r="AV866" i="2"/>
  <c r="AV867" i="2"/>
  <c r="AV868" i="2"/>
  <c r="AV869" i="2"/>
  <c r="AV870" i="2"/>
  <c r="AV871" i="2"/>
  <c r="AV872" i="2"/>
  <c r="AV873" i="2"/>
  <c r="AV874" i="2"/>
  <c r="AV875" i="2"/>
  <c r="AV876" i="2"/>
  <c r="AV877" i="2"/>
  <c r="AV878" i="2"/>
  <c r="AV879" i="2"/>
  <c r="AV880" i="2"/>
  <c r="AV881" i="2"/>
  <c r="AV882" i="2"/>
  <c r="AV883" i="2"/>
  <c r="AV884" i="2"/>
  <c r="AV885" i="2"/>
  <c r="AV886" i="2"/>
  <c r="AV887" i="2"/>
  <c r="AV888" i="2"/>
  <c r="AV889" i="2"/>
  <c r="AV890" i="2"/>
  <c r="AV891" i="2"/>
  <c r="AV892" i="2"/>
  <c r="AV893" i="2"/>
  <c r="AV894" i="2"/>
  <c r="AV895" i="2"/>
  <c r="AV896" i="2"/>
  <c r="AV897" i="2"/>
  <c r="AV898" i="2"/>
  <c r="AV899" i="2"/>
  <c r="AV900" i="2"/>
  <c r="AV901" i="2"/>
  <c r="AV902" i="2"/>
  <c r="AV903" i="2"/>
  <c r="AV904" i="2"/>
  <c r="AV905" i="2"/>
  <c r="AV906" i="2"/>
  <c r="AV907" i="2"/>
  <c r="AV908" i="2"/>
  <c r="AV909" i="2"/>
  <c r="AV910" i="2"/>
  <c r="AV911" i="2"/>
  <c r="AV912" i="2"/>
  <c r="AV913" i="2"/>
  <c r="AV914" i="2"/>
  <c r="AV915" i="2"/>
  <c r="AV916" i="2"/>
  <c r="AV917" i="2"/>
  <c r="AV918" i="2"/>
  <c r="AV919" i="2"/>
  <c r="AV920" i="2"/>
  <c r="AV921" i="2"/>
  <c r="AV922" i="2"/>
  <c r="AV923" i="2"/>
  <c r="AV924" i="2"/>
  <c r="AV925" i="2"/>
  <c r="AV926" i="2"/>
  <c r="AV927" i="2"/>
  <c r="AV928" i="2"/>
  <c r="AV929" i="2"/>
  <c r="AV930" i="2"/>
  <c r="AV931" i="2"/>
  <c r="AV932" i="2"/>
  <c r="AV933" i="2"/>
  <c r="AV934" i="2"/>
  <c r="AV935" i="2"/>
  <c r="AV936" i="2"/>
  <c r="AV937" i="2"/>
  <c r="AV938" i="2"/>
  <c r="AV939" i="2"/>
  <c r="AV940" i="2"/>
  <c r="AV941" i="2"/>
  <c r="AV942" i="2"/>
  <c r="AV943" i="2"/>
  <c r="AV944" i="2"/>
  <c r="AV945" i="2"/>
  <c r="AV946" i="2"/>
  <c r="AV947" i="2"/>
  <c r="AV948" i="2"/>
  <c r="AV949" i="2"/>
  <c r="AV950" i="2"/>
  <c r="AV951" i="2"/>
  <c r="AV952" i="2"/>
  <c r="AV953" i="2"/>
  <c r="AV954" i="2"/>
  <c r="AV955" i="2"/>
  <c r="AV956" i="2"/>
  <c r="AV957" i="2"/>
  <c r="AV958" i="2"/>
  <c r="AV959" i="2"/>
  <c r="AV960" i="2"/>
  <c r="AV961" i="2"/>
  <c r="AV962" i="2"/>
  <c r="AV963" i="2"/>
  <c r="AV964" i="2"/>
  <c r="AV965" i="2"/>
  <c r="AV966" i="2"/>
  <c r="AV967" i="2"/>
  <c r="AV968" i="2"/>
  <c r="AV969" i="2"/>
  <c r="AV970" i="2"/>
  <c r="AV971" i="2"/>
  <c r="AV972" i="2"/>
  <c r="AV973" i="2"/>
  <c r="AV974" i="2"/>
  <c r="AV975" i="2"/>
  <c r="AV976" i="2"/>
  <c r="AV977" i="2"/>
  <c r="AV978" i="2"/>
  <c r="AV979" i="2"/>
  <c r="AV980" i="2"/>
  <c r="AV981" i="2"/>
  <c r="AV982" i="2"/>
  <c r="AV983" i="2"/>
  <c r="AV984" i="2"/>
  <c r="AV985" i="2"/>
  <c r="AV986" i="2"/>
  <c r="AV987" i="2"/>
  <c r="AV988" i="2"/>
  <c r="AV989" i="2"/>
  <c r="AV990" i="2"/>
  <c r="AV991" i="2"/>
  <c r="AV992" i="2"/>
  <c r="AV993" i="2"/>
  <c r="AV994" i="2"/>
  <c r="AV995" i="2"/>
  <c r="AV996" i="2"/>
  <c r="AV997" i="2"/>
  <c r="AV998" i="2"/>
  <c r="AV999" i="2"/>
  <c r="AV1000" i="2"/>
  <c r="AV1001" i="2"/>
  <c r="AV1002" i="2"/>
  <c r="AV1003" i="2"/>
  <c r="AV1004" i="2"/>
  <c r="AV1005" i="2"/>
  <c r="AV1006" i="2"/>
  <c r="AV1007" i="2"/>
  <c r="AV1008" i="2"/>
  <c r="AV1009" i="2"/>
  <c r="AV1010" i="2"/>
  <c r="AV1011" i="2"/>
  <c r="AV1013" i="2"/>
  <c r="AV1014" i="2"/>
  <c r="AV1015" i="2"/>
  <c r="AV1016" i="2"/>
  <c r="AV1017" i="2"/>
  <c r="AV1018" i="2"/>
  <c r="AV1019" i="2"/>
  <c r="AV1020" i="2"/>
  <c r="AV1021" i="2"/>
  <c r="AV1022" i="2"/>
  <c r="AV1023" i="2"/>
  <c r="AV1024" i="2"/>
  <c r="AV1025" i="2"/>
  <c r="AV1026" i="2"/>
  <c r="AV1027" i="2"/>
  <c r="AV1028" i="2"/>
  <c r="AV1029" i="2"/>
  <c r="AV1030" i="2"/>
  <c r="AV1031" i="2"/>
  <c r="AV1032" i="2"/>
  <c r="AV1033" i="2"/>
  <c r="AV1034" i="2"/>
  <c r="AV1035" i="2"/>
  <c r="AV1036" i="2"/>
  <c r="AV1037" i="2"/>
  <c r="AV1038" i="2"/>
  <c r="AV1039" i="2"/>
  <c r="AV1040" i="2"/>
  <c r="AV1041" i="2"/>
  <c r="AV1042" i="2"/>
  <c r="AV1043" i="2"/>
  <c r="AV1044" i="2"/>
  <c r="AV1045" i="2"/>
  <c r="AV1046" i="2"/>
  <c r="AV1047" i="2"/>
  <c r="AV1048" i="2"/>
  <c r="AV1049" i="2"/>
  <c r="AV1050" i="2"/>
  <c r="AV1051" i="2"/>
  <c r="AV1052" i="2"/>
  <c r="AV1053" i="2"/>
  <c r="AV1054" i="2"/>
  <c r="AV1055" i="2"/>
  <c r="AV1056" i="2"/>
  <c r="AV1057" i="2"/>
  <c r="AV1058" i="2"/>
  <c r="AV1059" i="2"/>
  <c r="AV1060" i="2"/>
  <c r="AV1061" i="2"/>
  <c r="AV1062" i="2"/>
  <c r="AV1063" i="2"/>
  <c r="AV1064" i="2"/>
  <c r="AV1065" i="2"/>
  <c r="AV1066" i="2"/>
  <c r="AV1067" i="2"/>
  <c r="AV1068" i="2"/>
  <c r="AV1069" i="2"/>
  <c r="AV1070" i="2"/>
  <c r="AV1071" i="2"/>
  <c r="AV1072" i="2"/>
  <c r="AV1073" i="2"/>
  <c r="AV1074" i="2"/>
  <c r="AV1075" i="2"/>
  <c r="AV1076" i="2"/>
  <c r="AV1077" i="2"/>
  <c r="AV1078" i="2"/>
  <c r="AV1079" i="2"/>
  <c r="AV1080" i="2"/>
  <c r="AV1081" i="2"/>
  <c r="AV1082" i="2"/>
  <c r="AV1083" i="2"/>
  <c r="AV1084" i="2"/>
  <c r="AV1085" i="2"/>
  <c r="AV1086" i="2"/>
  <c r="AV1087" i="2"/>
  <c r="AV1088" i="2"/>
  <c r="AV1089" i="2"/>
  <c r="AV1090" i="2"/>
  <c r="AV1091" i="2"/>
  <c r="AV1092" i="2"/>
  <c r="AV1093" i="2"/>
  <c r="AV1094" i="2"/>
  <c r="AV1095" i="2"/>
  <c r="AV1096" i="2"/>
  <c r="AV1097" i="2"/>
  <c r="AV1098" i="2"/>
  <c r="AV1099" i="2"/>
  <c r="AV1100" i="2"/>
  <c r="AV1101" i="2"/>
  <c r="AV1102" i="2"/>
  <c r="AV1103" i="2"/>
  <c r="AV1104" i="2"/>
  <c r="AV1105" i="2"/>
  <c r="AV1106" i="2"/>
  <c r="AV1107" i="2"/>
  <c r="AV1108" i="2"/>
  <c r="AV1109" i="2"/>
  <c r="AV1110" i="2"/>
  <c r="AV1111" i="2"/>
  <c r="AV1112" i="2"/>
  <c r="AV1113" i="2"/>
  <c r="AV1114" i="2"/>
  <c r="AV1115" i="2"/>
  <c r="AV1116" i="2"/>
  <c r="AV1117" i="2"/>
  <c r="AV1118" i="2"/>
  <c r="AV1119" i="2"/>
  <c r="AV1120" i="2"/>
  <c r="AV1121" i="2"/>
  <c r="AV1122" i="2"/>
  <c r="AV1123" i="2"/>
  <c r="AV1124" i="2"/>
  <c r="AV1125" i="2"/>
  <c r="AV1126" i="2"/>
  <c r="AV1127" i="2"/>
  <c r="AV1128" i="2"/>
  <c r="AV1129" i="2"/>
  <c r="AV1130" i="2"/>
  <c r="AV1131" i="2"/>
  <c r="AV1132" i="2"/>
  <c r="AV1133" i="2"/>
  <c r="AV1134" i="2"/>
  <c r="AV1135" i="2"/>
  <c r="AV1136" i="2"/>
  <c r="AV1137" i="2"/>
  <c r="AV1138" i="2"/>
  <c r="AV1139" i="2"/>
  <c r="AV1140" i="2"/>
  <c r="AV1141" i="2"/>
  <c r="AV1142" i="2"/>
  <c r="AV1143" i="2"/>
  <c r="AV1144" i="2"/>
  <c r="AV1145" i="2"/>
  <c r="AV1146" i="2"/>
  <c r="AV1147" i="2"/>
  <c r="AV1148" i="2"/>
  <c r="AV1149" i="2"/>
  <c r="AV1150" i="2"/>
  <c r="AV1151" i="2"/>
  <c r="AV1152" i="2"/>
  <c r="AV1153" i="2"/>
  <c r="AV1154" i="2"/>
  <c r="AV1155" i="2"/>
  <c r="AV1156" i="2"/>
  <c r="AV1157" i="2"/>
  <c r="AV1158" i="2"/>
  <c r="AV1159" i="2"/>
  <c r="AV1160" i="2"/>
  <c r="AV1161" i="2"/>
  <c r="AV1162" i="2"/>
  <c r="AV1163" i="2"/>
  <c r="AV1164" i="2"/>
  <c r="AV1165" i="2"/>
  <c r="AV1166" i="2"/>
  <c r="AV1167" i="2"/>
  <c r="AV1168" i="2"/>
  <c r="AV1169" i="2"/>
  <c r="AV1170" i="2"/>
  <c r="AV1171" i="2"/>
  <c r="AV1172" i="2"/>
  <c r="AV1173" i="2"/>
  <c r="AV1174" i="2"/>
  <c r="AV1175" i="2"/>
  <c r="AV1176" i="2"/>
  <c r="AV1177" i="2"/>
  <c r="AV1178" i="2"/>
  <c r="AV1179" i="2"/>
  <c r="AV1180" i="2"/>
  <c r="AV1181" i="2"/>
  <c r="AV1182" i="2"/>
  <c r="AV1183" i="2"/>
  <c r="AV1184" i="2"/>
  <c r="AV1185" i="2"/>
  <c r="AV1186" i="2"/>
  <c r="AV1187" i="2"/>
  <c r="AV1188" i="2"/>
  <c r="AV1189" i="2"/>
  <c r="AV1190" i="2"/>
  <c r="AV1191" i="2"/>
  <c r="AV1192" i="2"/>
  <c r="AV1193" i="2"/>
  <c r="AV1194" i="2"/>
  <c r="AV1195" i="2"/>
  <c r="AV1196" i="2"/>
  <c r="AV1197" i="2"/>
  <c r="AV1198" i="2"/>
  <c r="AV1199" i="2"/>
  <c r="AV1200" i="2"/>
  <c r="AV1201" i="2"/>
  <c r="AV1202" i="2"/>
  <c r="AV1203" i="2"/>
  <c r="AV1204" i="2"/>
  <c r="AV1205" i="2"/>
  <c r="AV1206" i="2"/>
  <c r="AV1207" i="2"/>
  <c r="AV1208" i="2"/>
  <c r="AV1209" i="2"/>
  <c r="AV1210" i="2"/>
  <c r="AV1211" i="2"/>
  <c r="AV1212" i="2"/>
  <c r="AV1213" i="2"/>
  <c r="AV1214" i="2"/>
  <c r="AV1215" i="2"/>
  <c r="AV1216" i="2"/>
  <c r="AV1217" i="2"/>
  <c r="AV1218" i="2"/>
  <c r="AV1219" i="2"/>
  <c r="AV1220" i="2"/>
  <c r="AV1221" i="2"/>
  <c r="AV1222" i="2"/>
  <c r="AV1223" i="2"/>
  <c r="AV1224" i="2"/>
  <c r="AV1225" i="2"/>
  <c r="AV1226" i="2"/>
  <c r="AV1227" i="2"/>
  <c r="AV1228" i="2"/>
  <c r="AV1229" i="2"/>
  <c r="AV1230" i="2"/>
  <c r="AV1231" i="2"/>
  <c r="AV1232" i="2"/>
  <c r="AV1233" i="2"/>
  <c r="AV1234" i="2"/>
  <c r="AV1235" i="2"/>
  <c r="AV1236" i="2"/>
  <c r="AV1237" i="2"/>
  <c r="AV1238" i="2"/>
  <c r="AV1239" i="2"/>
  <c r="AV1240" i="2"/>
  <c r="AV1241" i="2"/>
  <c r="AV1242" i="2"/>
  <c r="AV1243" i="2"/>
  <c r="AV1244" i="2"/>
  <c r="AV1245" i="2"/>
  <c r="AV1246" i="2"/>
  <c r="AV1247" i="2"/>
  <c r="AV1248" i="2"/>
  <c r="AV1249" i="2"/>
  <c r="AV1250" i="2"/>
  <c r="AV1251" i="2"/>
  <c r="AV1252" i="2"/>
  <c r="AV1253" i="2"/>
  <c r="AV1254" i="2"/>
  <c r="AV1255" i="2"/>
  <c r="AV1256" i="2"/>
  <c r="AV1257" i="2"/>
  <c r="AV1258" i="2"/>
  <c r="AV1259" i="2"/>
  <c r="AV1260" i="2"/>
  <c r="AV1261" i="2"/>
  <c r="AV1262" i="2"/>
  <c r="AV1263" i="2"/>
  <c r="AV1264" i="2"/>
  <c r="AV1265" i="2"/>
  <c r="AV1266" i="2"/>
  <c r="AV1267" i="2"/>
  <c r="AV1268" i="2"/>
  <c r="AV1269" i="2"/>
  <c r="AV1270" i="2"/>
  <c r="AV1271" i="2"/>
  <c r="AV1272" i="2"/>
  <c r="AV1273" i="2"/>
  <c r="AV1274" i="2"/>
  <c r="AV1275" i="2"/>
  <c r="AV1276" i="2"/>
  <c r="AV1277" i="2"/>
  <c r="AV1278" i="2"/>
  <c r="AV1279" i="2"/>
  <c r="AV1280" i="2"/>
  <c r="AV1281" i="2"/>
  <c r="AV1282" i="2"/>
  <c r="AV1283" i="2"/>
  <c r="AV1284" i="2"/>
  <c r="AV1285" i="2"/>
  <c r="AV1286" i="2"/>
  <c r="AV1287" i="2"/>
  <c r="AV1288" i="2"/>
  <c r="AV1289" i="2"/>
  <c r="AV1290" i="2"/>
  <c r="AV1291" i="2"/>
  <c r="AV1292" i="2"/>
  <c r="AV1293" i="2"/>
  <c r="AV1294" i="2"/>
  <c r="AV1295" i="2"/>
  <c r="AV1296" i="2"/>
  <c r="AV1297" i="2"/>
  <c r="AV1298" i="2"/>
  <c r="AV1299" i="2"/>
  <c r="AV1300" i="2"/>
  <c r="AV1301" i="2"/>
  <c r="AV1302" i="2"/>
  <c r="AV1303" i="2"/>
  <c r="AV1304" i="2"/>
  <c r="AV1305" i="2"/>
  <c r="AV1306" i="2"/>
  <c r="AV1307" i="2"/>
  <c r="AV1308" i="2"/>
  <c r="AV1309" i="2"/>
  <c r="AV1310" i="2"/>
  <c r="AV1311" i="2"/>
  <c r="AV1312" i="2"/>
  <c r="AV1313" i="2"/>
  <c r="AV1314" i="2"/>
  <c r="AV1315" i="2"/>
  <c r="AV1316" i="2"/>
  <c r="AV1317" i="2"/>
  <c r="AV1318" i="2"/>
  <c r="AV1319" i="2"/>
  <c r="AV1320" i="2"/>
  <c r="AV1321" i="2"/>
  <c r="AV1322" i="2"/>
  <c r="AV1323" i="2"/>
  <c r="AV1324" i="2"/>
  <c r="AV1325" i="2"/>
  <c r="AV1326" i="2"/>
  <c r="AV1327" i="2"/>
  <c r="AV1328" i="2"/>
  <c r="AV1329" i="2"/>
  <c r="AV1330" i="2"/>
  <c r="AV1331" i="2"/>
  <c r="AV1332" i="2"/>
  <c r="AV1333" i="2"/>
  <c r="AV1334" i="2"/>
  <c r="AV1335" i="2"/>
  <c r="AV1336" i="2"/>
  <c r="AV1337" i="2"/>
  <c r="AV1338" i="2"/>
  <c r="AV1339" i="2"/>
  <c r="AV1340" i="2"/>
  <c r="AV1341" i="2"/>
  <c r="AV1342" i="2"/>
  <c r="AV1343" i="2"/>
  <c r="AV1344" i="2"/>
  <c r="AV1345" i="2"/>
  <c r="AV1346" i="2"/>
  <c r="AV1347" i="2"/>
  <c r="AV1348" i="2"/>
  <c r="AV1349" i="2"/>
  <c r="AV1350" i="2"/>
  <c r="AV1351" i="2"/>
  <c r="AV1352" i="2"/>
  <c r="AV1353" i="2"/>
  <c r="AV1354" i="2"/>
  <c r="AV1355" i="2"/>
  <c r="AV1356" i="2"/>
  <c r="AV1357" i="2"/>
  <c r="AV1358" i="2"/>
  <c r="AV1359" i="2"/>
  <c r="AV1360" i="2"/>
  <c r="AV1361" i="2"/>
  <c r="AV1362" i="2"/>
  <c r="AV1363" i="2"/>
  <c r="AV1364" i="2"/>
  <c r="AV1365" i="2"/>
  <c r="AV1366" i="2"/>
  <c r="AV1367" i="2"/>
  <c r="AV1368" i="2"/>
  <c r="AV1369" i="2"/>
  <c r="AV1370" i="2"/>
  <c r="AV1371" i="2"/>
  <c r="AV1372" i="2"/>
  <c r="AV1373" i="2"/>
  <c r="AV1374" i="2"/>
  <c r="AV1375" i="2"/>
  <c r="AV1376" i="2"/>
  <c r="AV1377" i="2"/>
  <c r="AV1378" i="2"/>
  <c r="AV1379" i="2"/>
  <c r="AV1380" i="2"/>
  <c r="AV1381" i="2"/>
  <c r="AV1382" i="2"/>
  <c r="AV1383" i="2"/>
  <c r="AV1384" i="2"/>
  <c r="AV1385" i="2"/>
  <c r="AV1386" i="2"/>
  <c r="AV1387" i="2"/>
  <c r="AV1388" i="2"/>
  <c r="AV1389" i="2"/>
  <c r="AV1390" i="2"/>
  <c r="AV1391" i="2"/>
  <c r="AV1392" i="2"/>
  <c r="AV1393" i="2"/>
  <c r="AV1394" i="2"/>
  <c r="AV1395" i="2"/>
  <c r="AV1396" i="2"/>
  <c r="AV1397" i="2"/>
  <c r="AV1398" i="2"/>
  <c r="AV1399" i="2"/>
  <c r="AV1400" i="2"/>
  <c r="AV1401" i="2"/>
  <c r="AV1402" i="2"/>
  <c r="AV1403" i="2"/>
  <c r="AV1404" i="2"/>
  <c r="AV1405" i="2"/>
  <c r="AV1406" i="2"/>
  <c r="AV1407" i="2"/>
  <c r="AV1408" i="2"/>
  <c r="AV1409" i="2"/>
  <c r="AV1410" i="2"/>
  <c r="AV1411" i="2"/>
  <c r="AV1412" i="2"/>
  <c r="AV1413" i="2"/>
  <c r="AV1414" i="2"/>
  <c r="AV1415" i="2"/>
  <c r="AV1416" i="2"/>
  <c r="AV1417" i="2"/>
  <c r="AV1418" i="2"/>
  <c r="AV1419" i="2"/>
  <c r="AV1420" i="2"/>
  <c r="AV1421" i="2"/>
  <c r="AV1422" i="2"/>
  <c r="AV1423" i="2"/>
  <c r="AV1424" i="2"/>
  <c r="AV1425" i="2"/>
  <c r="AV1426" i="2"/>
  <c r="AV1427" i="2"/>
  <c r="AV1428" i="2"/>
  <c r="AV1429" i="2"/>
  <c r="AV1430" i="2"/>
  <c r="AV1431" i="2"/>
  <c r="AV1432" i="2"/>
  <c r="AV1433" i="2"/>
  <c r="AV1434" i="2"/>
  <c r="AV1435" i="2"/>
  <c r="AV1436" i="2"/>
  <c r="AV1437" i="2"/>
  <c r="AV1438" i="2"/>
  <c r="AV1439" i="2"/>
  <c r="AV1440" i="2"/>
  <c r="AV1441" i="2"/>
  <c r="AV1442" i="2"/>
  <c r="AV1443" i="2"/>
  <c r="AV1444" i="2"/>
  <c r="AV1445" i="2"/>
  <c r="AV1446" i="2"/>
  <c r="AV1447" i="2"/>
  <c r="AV1448" i="2"/>
  <c r="AV1449" i="2"/>
  <c r="AV1450" i="2"/>
  <c r="AV1451" i="2"/>
  <c r="AV1452" i="2"/>
  <c r="AV1453" i="2"/>
  <c r="AV1454" i="2"/>
  <c r="AV1455" i="2"/>
  <c r="AV1456" i="2"/>
  <c r="AV1457" i="2"/>
  <c r="AV1458" i="2"/>
  <c r="AV1459" i="2"/>
  <c r="AV1460" i="2"/>
  <c r="AV1461" i="2"/>
  <c r="AV1462" i="2"/>
  <c r="AV1463" i="2"/>
  <c r="AV1464" i="2"/>
  <c r="AV1465" i="2"/>
  <c r="AV1466" i="2"/>
  <c r="AV1467" i="2"/>
  <c r="AV1468" i="2"/>
  <c r="AV1469" i="2"/>
  <c r="AV1470" i="2"/>
  <c r="AV1471" i="2"/>
  <c r="AV1472" i="2"/>
  <c r="AV1473" i="2"/>
  <c r="AV1474" i="2"/>
  <c r="AV1475" i="2"/>
  <c r="AV1476" i="2"/>
  <c r="AV1477" i="2"/>
  <c r="AV1478" i="2"/>
  <c r="AV1479" i="2"/>
  <c r="AV1480" i="2"/>
  <c r="AV1481" i="2"/>
  <c r="AV1482" i="2"/>
  <c r="AV1483" i="2"/>
  <c r="AV1484" i="2"/>
  <c r="AV1485" i="2"/>
  <c r="AV1486" i="2"/>
  <c r="AV1487" i="2"/>
  <c r="AV1488" i="2"/>
  <c r="AV1489" i="2"/>
  <c r="AV1490" i="2"/>
  <c r="AV1491" i="2"/>
  <c r="AV1492" i="2"/>
  <c r="AV1493" i="2"/>
  <c r="AV1494" i="2"/>
  <c r="AV1495" i="2"/>
  <c r="AV1496" i="2"/>
  <c r="AV1497" i="2"/>
  <c r="AV1498" i="2"/>
  <c r="AV1499" i="2"/>
  <c r="AV1500" i="2"/>
  <c r="AV1501" i="2"/>
  <c r="AV1502" i="2"/>
  <c r="AV1503" i="2"/>
  <c r="AV1504" i="2"/>
  <c r="AV1505" i="2"/>
  <c r="AV1506" i="2"/>
  <c r="AV1507" i="2"/>
  <c r="AV1508" i="2"/>
  <c r="AV1509" i="2"/>
  <c r="AV1510" i="2"/>
  <c r="AV1511" i="2"/>
  <c r="AV1512" i="2"/>
  <c r="AV1513" i="2"/>
  <c r="AV1514" i="2"/>
  <c r="AV1515" i="2"/>
  <c r="AV1516" i="2"/>
  <c r="AV1517" i="2"/>
  <c r="AV1518" i="2"/>
  <c r="AV1519" i="2"/>
  <c r="AV1520" i="2"/>
  <c r="AV1521" i="2"/>
  <c r="AV1522" i="2"/>
  <c r="AV1523" i="2"/>
  <c r="AV1524" i="2"/>
  <c r="AV1525" i="2"/>
  <c r="AV1526" i="2"/>
  <c r="AV1527" i="2"/>
  <c r="AV1528" i="2"/>
  <c r="AV1529" i="2"/>
  <c r="AV1530" i="2"/>
  <c r="AV1531" i="2"/>
  <c r="AV1532" i="2"/>
  <c r="AV1533" i="2"/>
  <c r="AV1534" i="2"/>
  <c r="AV1535" i="2"/>
  <c r="AV1536" i="2"/>
  <c r="AV1537" i="2"/>
  <c r="AV1538" i="2"/>
  <c r="AV1539" i="2"/>
  <c r="AV1540" i="2"/>
  <c r="AV1541" i="2"/>
  <c r="AV1542" i="2"/>
  <c r="AV1543" i="2"/>
  <c r="AV1544" i="2"/>
  <c r="AV1545" i="2"/>
  <c r="AV1546" i="2"/>
  <c r="AV1547" i="2"/>
  <c r="AV1548" i="2"/>
  <c r="AV1549" i="2"/>
  <c r="AV1550" i="2"/>
  <c r="AV1551" i="2"/>
  <c r="AV1552" i="2"/>
  <c r="AV1553" i="2"/>
  <c r="AV1554" i="2"/>
  <c r="AV1555" i="2"/>
  <c r="AV1556" i="2"/>
  <c r="AV1557" i="2"/>
  <c r="AV1558" i="2"/>
  <c r="AV1559" i="2"/>
  <c r="AV1560" i="2"/>
  <c r="AV1561" i="2"/>
  <c r="AV1562" i="2"/>
  <c r="AV1563" i="2"/>
  <c r="AV1564" i="2"/>
  <c r="AV1565" i="2"/>
  <c r="AV1566" i="2"/>
  <c r="AV1567" i="2"/>
  <c r="AV1568" i="2"/>
  <c r="AV1569" i="2"/>
  <c r="AV1570" i="2"/>
  <c r="AV1571" i="2"/>
  <c r="AV1572" i="2"/>
  <c r="AV1573" i="2"/>
  <c r="AV1574" i="2"/>
  <c r="AV1575" i="2"/>
  <c r="AV1576" i="2"/>
  <c r="AV1577" i="2"/>
  <c r="AV1578" i="2"/>
  <c r="AV1579" i="2"/>
  <c r="AV1580" i="2"/>
  <c r="AV1581" i="2"/>
  <c r="AV1582" i="2"/>
  <c r="AV1583" i="2"/>
  <c r="AV1584" i="2"/>
  <c r="AV1585" i="2"/>
  <c r="AV1586" i="2"/>
  <c r="AV1587" i="2"/>
  <c r="AV1588" i="2"/>
  <c r="AV1589" i="2"/>
  <c r="AV1590" i="2"/>
  <c r="AV1591" i="2"/>
  <c r="AV1592" i="2"/>
  <c r="AV1593" i="2"/>
  <c r="AV1594" i="2"/>
  <c r="AV1595" i="2"/>
  <c r="AV1596" i="2"/>
  <c r="AV1597" i="2"/>
  <c r="AV1598" i="2"/>
  <c r="AV1599" i="2"/>
  <c r="AV1600" i="2"/>
  <c r="AV1601" i="2"/>
  <c r="AV1602" i="2"/>
  <c r="AV1603" i="2"/>
  <c r="AV1604" i="2"/>
  <c r="AV1605" i="2"/>
  <c r="AV1606" i="2"/>
  <c r="AV1607" i="2"/>
  <c r="AV1608" i="2"/>
  <c r="AV1609" i="2"/>
  <c r="AV1610" i="2"/>
  <c r="AV1611" i="2"/>
  <c r="AV1612" i="2"/>
  <c r="AV1613" i="2"/>
  <c r="AV1614" i="2"/>
  <c r="AV1615" i="2"/>
  <c r="AV1616" i="2"/>
  <c r="AV1617" i="2"/>
  <c r="AV1618" i="2"/>
  <c r="AV1619" i="2"/>
  <c r="AV1620" i="2"/>
  <c r="AV1621" i="2"/>
  <c r="AV1622" i="2"/>
  <c r="AV1623" i="2"/>
  <c r="AV1624" i="2"/>
  <c r="AV1625" i="2"/>
  <c r="AV1626" i="2"/>
  <c r="AV1627" i="2"/>
  <c r="AV1628" i="2"/>
  <c r="AV1629" i="2"/>
  <c r="AV1630" i="2"/>
  <c r="AV1631" i="2"/>
  <c r="AV1632" i="2"/>
  <c r="AV1633" i="2"/>
  <c r="AV1634" i="2"/>
  <c r="AV1635" i="2"/>
  <c r="AV1636" i="2"/>
  <c r="AV1637" i="2"/>
  <c r="AV1638" i="2"/>
  <c r="AV1639" i="2"/>
  <c r="AV1640" i="2"/>
  <c r="AV1641" i="2"/>
  <c r="AV1642" i="2"/>
  <c r="AV1643" i="2"/>
  <c r="AV1644" i="2"/>
  <c r="AV1645" i="2"/>
  <c r="AV1646" i="2"/>
  <c r="AV1647" i="2"/>
  <c r="AV1648" i="2"/>
  <c r="AV1649" i="2"/>
  <c r="AV1650" i="2"/>
  <c r="AV1651" i="2"/>
  <c r="AV1655" i="2"/>
  <c r="AV1656" i="2"/>
  <c r="AV1657" i="2"/>
  <c r="AV1658" i="2"/>
  <c r="AV1659" i="2"/>
  <c r="AV1660" i="2"/>
  <c r="AV1661" i="2"/>
  <c r="AV1662" i="2"/>
  <c r="AV1663" i="2"/>
  <c r="AV1664" i="2"/>
  <c r="AV1665" i="2"/>
  <c r="AV1666" i="2"/>
  <c r="AV1667" i="2"/>
  <c r="AV1668" i="2"/>
  <c r="AV1669" i="2"/>
  <c r="AV1670" i="2"/>
  <c r="AV1671" i="2"/>
  <c r="AV1672" i="2"/>
  <c r="AV1673" i="2"/>
  <c r="AV1674" i="2"/>
  <c r="AV1675" i="2"/>
  <c r="AV1676" i="2"/>
  <c r="AV1677" i="2"/>
  <c r="AV1678" i="2"/>
  <c r="AV1680" i="2"/>
  <c r="AV1683" i="2"/>
  <c r="AV1684" i="2"/>
  <c r="AV1687" i="2"/>
  <c r="AV1690" i="2"/>
  <c r="AV1691" i="2"/>
  <c r="AV1693" i="2"/>
  <c r="AV1694" i="2"/>
  <c r="AV1695" i="2"/>
  <c r="AV1696" i="2"/>
  <c r="AV1697" i="2"/>
  <c r="AV1698" i="2"/>
  <c r="AV1699" i="2"/>
  <c r="AV1700" i="2"/>
  <c r="AV1701" i="2"/>
  <c r="AV1702" i="2"/>
  <c r="AV1703" i="2"/>
  <c r="AV1704" i="2"/>
  <c r="AV1705" i="2"/>
  <c r="AV1706" i="2"/>
  <c r="AV1707" i="2"/>
  <c r="AV1708" i="2"/>
  <c r="AV1709" i="2"/>
  <c r="AV1710" i="2"/>
  <c r="AV1711" i="2"/>
  <c r="AV1712" i="2"/>
  <c r="AV1713" i="2"/>
  <c r="AV1714" i="2"/>
  <c r="AV1715" i="2"/>
  <c r="AV1716" i="2"/>
  <c r="AV1717" i="2"/>
  <c r="AV1718" i="2"/>
  <c r="AV1719" i="2"/>
  <c r="AV1721" i="2"/>
  <c r="AV1722" i="2"/>
  <c r="AV1723" i="2"/>
  <c r="AV1724" i="2"/>
  <c r="AV1725" i="2"/>
  <c r="AV1726" i="2"/>
  <c r="AV1727" i="2"/>
  <c r="AV1728" i="2"/>
  <c r="AV1729" i="2"/>
  <c r="AV1730" i="2"/>
  <c r="AV1731" i="2"/>
  <c r="AV1732" i="2"/>
  <c r="AV1733" i="2"/>
  <c r="AV1734" i="2"/>
  <c r="AV1735" i="2"/>
  <c r="AV1736" i="2"/>
  <c r="AV1737" i="2"/>
  <c r="AV1738" i="2"/>
  <c r="AV1739" i="2"/>
  <c r="AV1740" i="2"/>
  <c r="AV1741" i="2"/>
  <c r="AV1742" i="2"/>
  <c r="AV1743" i="2"/>
  <c r="AV1744" i="2"/>
  <c r="AV1745" i="2"/>
  <c r="AV1746" i="2"/>
  <c r="AV1747" i="2"/>
  <c r="AV1748" i="2"/>
  <c r="AV1749" i="2"/>
  <c r="AV1750" i="2"/>
  <c r="AV1751" i="2"/>
  <c r="AV1752" i="2"/>
  <c r="AV1753" i="2"/>
  <c r="AV1754" i="2"/>
  <c r="AV1755" i="2"/>
  <c r="AV1756" i="2"/>
  <c r="AV1757" i="2"/>
  <c r="AV1758" i="2"/>
  <c r="AV1759" i="2"/>
  <c r="AV1760" i="2"/>
  <c r="AV1761" i="2"/>
  <c r="AV1762" i="2"/>
  <c r="AV1763" i="2"/>
  <c r="AV1764" i="2"/>
  <c r="AV1765" i="2"/>
  <c r="AV1766" i="2"/>
  <c r="AV1767" i="2"/>
  <c r="AV1768" i="2"/>
  <c r="AV1769" i="2"/>
  <c r="AV1770" i="2"/>
  <c r="AV1771" i="2"/>
  <c r="AV1772" i="2"/>
  <c r="AV1773" i="2"/>
  <c r="AV1774" i="2"/>
  <c r="AV1775" i="2"/>
  <c r="AV1776" i="2"/>
  <c r="AV1777" i="2"/>
  <c r="AV1778" i="2"/>
  <c r="AV1779" i="2"/>
  <c r="AV1780" i="2"/>
  <c r="AV1781" i="2"/>
  <c r="AV1782" i="2"/>
  <c r="AV1783" i="2"/>
  <c r="AV1784" i="2"/>
  <c r="AV1785" i="2"/>
  <c r="AV1786" i="2"/>
  <c r="AV1787" i="2"/>
  <c r="AV1788" i="2"/>
  <c r="AV1789" i="2"/>
  <c r="AV1790" i="2"/>
  <c r="AV1791" i="2"/>
  <c r="AV1792" i="2"/>
  <c r="AV1793" i="2"/>
  <c r="AV1794" i="2"/>
  <c r="AV1795" i="2"/>
  <c r="AV1796" i="2"/>
  <c r="AV1797" i="2"/>
  <c r="AV1798" i="2"/>
  <c r="AV1799" i="2"/>
  <c r="AV1800" i="2"/>
  <c r="AV1801" i="2"/>
  <c r="AV1802" i="2"/>
  <c r="AV1803" i="2"/>
  <c r="AV1804" i="2"/>
  <c r="AV1805" i="2"/>
  <c r="AV1806" i="2"/>
  <c r="AV1807" i="2"/>
  <c r="AV1808" i="2"/>
  <c r="AV1809" i="2"/>
  <c r="AV1810" i="2"/>
  <c r="AV1811" i="2"/>
  <c r="AV1812" i="2"/>
  <c r="AV1813" i="2"/>
  <c r="AV1814" i="2"/>
  <c r="AV1815" i="2"/>
  <c r="AV1816" i="2"/>
  <c r="AV1817" i="2"/>
  <c r="AV1818" i="2"/>
  <c r="AV1819" i="2"/>
  <c r="AV1820" i="2"/>
  <c r="AV1822" i="2"/>
  <c r="AV1823" i="2"/>
  <c r="AV1824" i="2"/>
  <c r="AV1825" i="2"/>
  <c r="AV1826" i="2"/>
  <c r="AV1827" i="2"/>
  <c r="AV1828" i="2"/>
  <c r="AV1829" i="2"/>
  <c r="AV1830" i="2"/>
  <c r="AV1831" i="2"/>
  <c r="AV1832" i="2"/>
  <c r="AV1833" i="2"/>
  <c r="AV1834" i="2"/>
  <c r="AV1835" i="2"/>
  <c r="AV1836" i="2"/>
  <c r="AV1837" i="2"/>
  <c r="AV1838" i="2"/>
  <c r="AV1839" i="2"/>
  <c r="AV1840" i="2"/>
  <c r="AV1841" i="2"/>
  <c r="AV1842" i="2"/>
  <c r="AV1843" i="2"/>
  <c r="AV1844" i="2"/>
  <c r="AV1845" i="2"/>
  <c r="AV1847" i="2"/>
  <c r="AV1848" i="2"/>
  <c r="AV1849" i="2"/>
  <c r="AV1850" i="2"/>
  <c r="AV1851" i="2"/>
  <c r="AV1852" i="2"/>
  <c r="AV1853" i="2"/>
  <c r="AV1854" i="2"/>
  <c r="AV1855" i="2"/>
  <c r="AV1856" i="2"/>
  <c r="AV1857" i="2"/>
  <c r="AV1858" i="2"/>
  <c r="AV1859" i="2"/>
  <c r="AV1860" i="2"/>
  <c r="AV1862" i="2"/>
  <c r="AV1863" i="2"/>
  <c r="AV1864" i="2"/>
  <c r="AV1865" i="2"/>
  <c r="AV1866" i="2"/>
  <c r="AV1867" i="2"/>
  <c r="AV1868" i="2"/>
  <c r="AV1869" i="2"/>
  <c r="AV1870" i="2"/>
  <c r="AV1871" i="2"/>
  <c r="AV1872" i="2"/>
  <c r="AV1873" i="2"/>
  <c r="AV1874" i="2"/>
  <c r="AV1875" i="2"/>
  <c r="AV1876" i="2"/>
  <c r="AV1877" i="2"/>
  <c r="AV1878" i="2"/>
  <c r="AV1879" i="2"/>
  <c r="AV1880" i="2"/>
  <c r="AV1881" i="2"/>
  <c r="AV1882" i="2"/>
  <c r="AV1883" i="2"/>
  <c r="AV1884" i="2"/>
  <c r="AV1885" i="2"/>
  <c r="AV1886" i="2"/>
  <c r="AV1887" i="2"/>
  <c r="AV1888" i="2"/>
  <c r="AV1889" i="2"/>
  <c r="AV1890" i="2"/>
  <c r="AV1891" i="2"/>
  <c r="AV1892" i="2"/>
  <c r="AV1893" i="2"/>
  <c r="AV1894" i="2"/>
  <c r="AV1895" i="2"/>
  <c r="AV1896" i="2"/>
  <c r="AV1897" i="2"/>
  <c r="AV1898" i="2"/>
  <c r="AV1899" i="2"/>
  <c r="AV1900" i="2"/>
  <c r="AV1901" i="2"/>
  <c r="AV1902" i="2"/>
  <c r="AV1903" i="2"/>
  <c r="AV1904" i="2"/>
  <c r="AV1905" i="2"/>
  <c r="AV1906" i="2"/>
  <c r="AV1907" i="2"/>
  <c r="AV1908" i="2"/>
  <c r="AV1909" i="2"/>
  <c r="AV1910" i="2"/>
  <c r="AV1911" i="2"/>
  <c r="AV1912" i="2"/>
  <c r="AV1913" i="2"/>
  <c r="AV1914" i="2"/>
  <c r="AV1915" i="2"/>
  <c r="AV1916" i="2"/>
  <c r="AV1917" i="2"/>
  <c r="AV1918" i="2"/>
  <c r="AV1919" i="2"/>
  <c r="AV1920" i="2"/>
  <c r="AV1921" i="2"/>
  <c r="AV1922" i="2"/>
  <c r="AV1923" i="2"/>
  <c r="AV1924" i="2"/>
  <c r="AV1929" i="2"/>
  <c r="AV1930" i="2"/>
  <c r="AV1931" i="2"/>
  <c r="AV1932" i="2"/>
  <c r="AV1933" i="2"/>
  <c r="AV1952" i="2"/>
  <c r="AV1953" i="2"/>
  <c r="AV1954" i="2"/>
  <c r="AV1955" i="2"/>
  <c r="AV1956" i="2"/>
  <c r="AV1957" i="2"/>
  <c r="AV1958" i="2"/>
  <c r="AV1959" i="2"/>
  <c r="AV1960" i="2"/>
  <c r="AV1961" i="2"/>
  <c r="AV1962" i="2"/>
  <c r="AV1963" i="2"/>
  <c r="AV1964" i="2"/>
  <c r="AV1965" i="2"/>
  <c r="AV1966" i="2"/>
  <c r="AV1967" i="2"/>
  <c r="AV1968" i="2"/>
  <c r="AV1969" i="2"/>
  <c r="AV1970" i="2"/>
  <c r="AV1971" i="2"/>
  <c r="AV1972" i="2"/>
  <c r="AV1973" i="2"/>
  <c r="AV1974" i="2"/>
  <c r="AV1975" i="2"/>
  <c r="AV1976" i="2"/>
  <c r="AV1977" i="2"/>
  <c r="AV1978" i="2"/>
  <c r="AV1979" i="2"/>
  <c r="AV1980" i="2"/>
  <c r="AV1981" i="2"/>
  <c r="AV1982" i="2"/>
  <c r="AV1983" i="2"/>
  <c r="AV1984" i="2"/>
  <c r="AV1985" i="2"/>
  <c r="AV1986" i="2"/>
  <c r="AV1987" i="2"/>
  <c r="AV1988" i="2"/>
  <c r="AV1989" i="2"/>
  <c r="AV1990" i="2"/>
  <c r="AV1991" i="2"/>
  <c r="AV1992" i="2"/>
  <c r="AV1993" i="2"/>
  <c r="AV1994" i="2"/>
  <c r="AV1995" i="2"/>
  <c r="AV1996" i="2"/>
  <c r="AV2001" i="2"/>
  <c r="AV2002" i="2"/>
  <c r="AV2003" i="2"/>
  <c r="AV2004" i="2"/>
  <c r="AV2005" i="2"/>
  <c r="AV2006" i="2"/>
  <c r="AV2008" i="2"/>
  <c r="AV2009" i="2"/>
  <c r="AV2010" i="2"/>
  <c r="AV2011" i="2"/>
  <c r="AV2012" i="2"/>
  <c r="AV2013" i="2"/>
  <c r="AV2014" i="2"/>
  <c r="AV2018" i="2"/>
  <c r="AV2020" i="2"/>
  <c r="AV2021" i="2"/>
  <c r="AV2022" i="2"/>
  <c r="AV2023" i="2"/>
  <c r="AV2024" i="2"/>
  <c r="AV2025" i="2"/>
  <c r="AV2026" i="2"/>
  <c r="AV2027" i="2"/>
  <c r="AV2028" i="2"/>
  <c r="AV2029" i="2"/>
  <c r="AV2" i="2"/>
  <c r="AU3" i="2"/>
  <c r="AU4" i="2"/>
  <c r="AU5" i="2"/>
  <c r="AU6" i="2"/>
  <c r="AU7" i="2"/>
  <c r="AU8" i="2"/>
  <c r="AU9" i="2"/>
  <c r="AU10" i="2"/>
  <c r="AU11" i="2"/>
  <c r="AU12" i="2"/>
  <c r="AU13" i="2"/>
  <c r="AU14" i="2"/>
  <c r="AU15" i="2"/>
  <c r="AU16" i="2"/>
  <c r="AU17" i="2"/>
  <c r="AU18" i="2"/>
  <c r="AU19" i="2"/>
  <c r="AU20" i="2"/>
  <c r="AU21" i="2"/>
  <c r="AU22" i="2"/>
  <c r="AU23" i="2"/>
  <c r="AU24" i="2"/>
  <c r="AU25" i="2"/>
  <c r="AU26" i="2"/>
  <c r="AU27" i="2"/>
  <c r="AU28" i="2"/>
  <c r="AU29" i="2"/>
  <c r="AU30" i="2"/>
  <c r="AU31" i="2"/>
  <c r="AU32" i="2"/>
  <c r="AU33" i="2"/>
  <c r="AU34" i="2"/>
  <c r="AU35" i="2"/>
  <c r="AU36" i="2"/>
  <c r="AU37" i="2"/>
  <c r="AU38" i="2"/>
  <c r="AU39" i="2"/>
  <c r="AU40" i="2"/>
  <c r="AU41" i="2"/>
  <c r="AU42" i="2"/>
  <c r="AU43" i="2"/>
  <c r="AU44" i="2"/>
  <c r="AU45" i="2"/>
  <c r="AU46" i="2"/>
  <c r="AU47" i="2"/>
  <c r="AU48" i="2"/>
  <c r="AU49" i="2"/>
  <c r="AU50" i="2"/>
  <c r="AU51" i="2"/>
  <c r="AU52" i="2"/>
  <c r="AU53" i="2"/>
  <c r="AU54" i="2"/>
  <c r="AU55" i="2"/>
  <c r="AU56" i="2"/>
  <c r="AU57" i="2"/>
  <c r="AU58" i="2"/>
  <c r="AU59" i="2"/>
  <c r="AU60" i="2"/>
  <c r="AU61" i="2"/>
  <c r="AU62" i="2"/>
  <c r="AU63" i="2"/>
  <c r="AU64" i="2"/>
  <c r="AU65" i="2"/>
  <c r="AU66" i="2"/>
  <c r="AU67" i="2"/>
  <c r="AU68" i="2"/>
  <c r="AU69" i="2"/>
  <c r="AU70" i="2"/>
  <c r="AU71" i="2"/>
  <c r="AU72" i="2"/>
  <c r="AU73" i="2"/>
  <c r="AU74" i="2"/>
  <c r="AU75" i="2"/>
  <c r="AU76" i="2"/>
  <c r="AU77" i="2"/>
  <c r="AU78" i="2"/>
  <c r="AU79" i="2"/>
  <c r="AU80" i="2"/>
  <c r="AU81" i="2"/>
  <c r="AU82" i="2"/>
  <c r="AU83" i="2"/>
  <c r="AU84" i="2"/>
  <c r="AU85" i="2"/>
  <c r="AU86" i="2"/>
  <c r="AU87" i="2"/>
  <c r="AU88" i="2"/>
  <c r="AU89" i="2"/>
  <c r="AU90" i="2"/>
  <c r="AU91" i="2"/>
  <c r="AU92" i="2"/>
  <c r="AU93" i="2"/>
  <c r="AU94" i="2"/>
  <c r="AU95" i="2"/>
  <c r="AU96" i="2"/>
  <c r="AU97" i="2"/>
  <c r="AU98" i="2"/>
  <c r="AU99" i="2"/>
  <c r="AU100" i="2"/>
  <c r="AU101" i="2"/>
  <c r="AU102" i="2"/>
  <c r="AU103" i="2"/>
  <c r="AU104" i="2"/>
  <c r="AU105" i="2"/>
  <c r="AU106" i="2"/>
  <c r="AU107" i="2"/>
  <c r="AU108" i="2"/>
  <c r="AU109" i="2"/>
  <c r="AU110" i="2"/>
  <c r="AU111" i="2"/>
  <c r="AU112" i="2"/>
  <c r="AU113" i="2"/>
  <c r="AU114" i="2"/>
  <c r="AU115" i="2"/>
  <c r="AU116" i="2"/>
  <c r="AU117" i="2"/>
  <c r="AU118" i="2"/>
  <c r="AU119" i="2"/>
  <c r="AU120" i="2"/>
  <c r="AU121" i="2"/>
  <c r="AU122" i="2"/>
  <c r="AU123" i="2"/>
  <c r="AU124" i="2"/>
  <c r="AU125" i="2"/>
  <c r="AU126" i="2"/>
  <c r="AU127" i="2"/>
  <c r="AU128" i="2"/>
  <c r="AU129" i="2"/>
  <c r="AU130" i="2"/>
  <c r="AU131" i="2"/>
  <c r="AU132" i="2"/>
  <c r="AU133" i="2"/>
  <c r="AU134" i="2"/>
  <c r="AU135" i="2"/>
  <c r="AU136" i="2"/>
  <c r="AU137" i="2"/>
  <c r="AU138" i="2"/>
  <c r="AU139" i="2"/>
  <c r="AU140" i="2"/>
  <c r="AU141" i="2"/>
  <c r="AU142" i="2"/>
  <c r="AU143" i="2"/>
  <c r="AU144" i="2"/>
  <c r="AU145" i="2"/>
  <c r="AU146" i="2"/>
  <c r="AU147" i="2"/>
  <c r="AU148" i="2"/>
  <c r="AU149" i="2"/>
  <c r="AU150" i="2"/>
  <c r="AU151" i="2"/>
  <c r="AU152" i="2"/>
  <c r="AU153" i="2"/>
  <c r="AU154" i="2"/>
  <c r="AU155" i="2"/>
  <c r="AU156" i="2"/>
  <c r="AU157" i="2"/>
  <c r="AU158" i="2"/>
  <c r="AU159" i="2"/>
  <c r="AU160" i="2"/>
  <c r="AU161" i="2"/>
  <c r="AU162" i="2"/>
  <c r="AU163" i="2"/>
  <c r="AU164" i="2"/>
  <c r="AU165" i="2"/>
  <c r="AU166" i="2"/>
  <c r="AU167" i="2"/>
  <c r="AU168" i="2"/>
  <c r="AU169" i="2"/>
  <c r="AU170" i="2"/>
  <c r="AU171" i="2"/>
  <c r="AU172" i="2"/>
  <c r="AU173" i="2"/>
  <c r="AU174" i="2"/>
  <c r="AU175" i="2"/>
  <c r="AU176" i="2"/>
  <c r="AU177" i="2"/>
  <c r="AU178" i="2"/>
  <c r="AU179" i="2"/>
  <c r="AU180" i="2"/>
  <c r="AU181" i="2"/>
  <c r="AU182" i="2"/>
  <c r="AU183" i="2"/>
  <c r="AU184" i="2"/>
  <c r="AU185" i="2"/>
  <c r="AU186" i="2"/>
  <c r="AU187" i="2"/>
  <c r="AU188" i="2"/>
  <c r="AU189" i="2"/>
  <c r="AU190" i="2"/>
  <c r="AU191" i="2"/>
  <c r="AU192" i="2"/>
  <c r="AU193" i="2"/>
  <c r="AU194" i="2"/>
  <c r="AU195" i="2"/>
  <c r="AU196" i="2"/>
  <c r="AU197" i="2"/>
  <c r="AU198" i="2"/>
  <c r="AU199" i="2"/>
  <c r="AU200" i="2"/>
  <c r="AU201" i="2"/>
  <c r="AU202" i="2"/>
  <c r="AU203" i="2"/>
  <c r="AU204" i="2"/>
  <c r="AU205" i="2"/>
  <c r="AU206" i="2"/>
  <c r="AU207" i="2"/>
  <c r="AU208" i="2"/>
  <c r="AU209" i="2"/>
  <c r="AU210" i="2"/>
  <c r="AU211" i="2"/>
  <c r="AU212" i="2"/>
  <c r="AU213" i="2"/>
  <c r="AU214" i="2"/>
  <c r="AU215" i="2"/>
  <c r="AU216" i="2"/>
  <c r="AU217" i="2"/>
  <c r="AU218" i="2"/>
  <c r="AU219" i="2"/>
  <c r="AU220" i="2"/>
  <c r="AU221" i="2"/>
  <c r="AU222" i="2"/>
  <c r="AU223" i="2"/>
  <c r="AU224" i="2"/>
  <c r="AU225" i="2"/>
  <c r="AU226" i="2"/>
  <c r="AU227" i="2"/>
  <c r="AU228" i="2"/>
  <c r="AU229" i="2"/>
  <c r="AU230" i="2"/>
  <c r="AU231" i="2"/>
  <c r="AU232" i="2"/>
  <c r="AU233" i="2"/>
  <c r="AU234" i="2"/>
  <c r="AU235" i="2"/>
  <c r="AU236" i="2"/>
  <c r="AU237" i="2"/>
  <c r="AU238" i="2"/>
  <c r="AU239" i="2"/>
  <c r="AU240" i="2"/>
  <c r="AU241" i="2"/>
  <c r="AU242" i="2"/>
  <c r="AU243" i="2"/>
  <c r="AU244" i="2"/>
  <c r="AU245" i="2"/>
  <c r="AU246" i="2"/>
  <c r="AU247" i="2"/>
  <c r="AU248" i="2"/>
  <c r="AU249" i="2"/>
  <c r="AU250" i="2"/>
  <c r="AU251" i="2"/>
  <c r="AU252" i="2"/>
  <c r="AU253" i="2"/>
  <c r="AU254" i="2"/>
  <c r="AU255" i="2"/>
  <c r="AU256" i="2"/>
  <c r="AU257" i="2"/>
  <c r="AU258" i="2"/>
  <c r="AU259" i="2"/>
  <c r="AU260" i="2"/>
  <c r="AU261" i="2"/>
  <c r="AU262" i="2"/>
  <c r="AU263" i="2"/>
  <c r="AU264" i="2"/>
  <c r="AU265" i="2"/>
  <c r="AU266" i="2"/>
  <c r="AU267" i="2"/>
  <c r="AU268" i="2"/>
  <c r="AU269" i="2"/>
  <c r="AU270" i="2"/>
  <c r="AU271" i="2"/>
  <c r="AU272" i="2"/>
  <c r="AU273" i="2"/>
  <c r="AU274" i="2"/>
  <c r="AU275" i="2"/>
  <c r="AU276" i="2"/>
  <c r="AU277" i="2"/>
  <c r="AU278" i="2"/>
  <c r="AU279" i="2"/>
  <c r="AU280" i="2"/>
  <c r="AU281" i="2"/>
  <c r="AU282" i="2"/>
  <c r="AU283" i="2"/>
  <c r="AU284" i="2"/>
  <c r="AU285" i="2"/>
  <c r="AU286" i="2"/>
  <c r="AU287" i="2"/>
  <c r="AU288" i="2"/>
  <c r="AU289" i="2"/>
  <c r="AU290" i="2"/>
  <c r="AU291" i="2"/>
  <c r="AU292" i="2"/>
  <c r="AU293" i="2"/>
  <c r="AU294" i="2"/>
  <c r="AU295" i="2"/>
  <c r="AU296" i="2"/>
  <c r="AU297" i="2"/>
  <c r="AU298" i="2"/>
  <c r="AU299" i="2"/>
  <c r="AU300" i="2"/>
  <c r="AU301" i="2"/>
  <c r="AU302" i="2"/>
  <c r="AU303" i="2"/>
  <c r="AU304" i="2"/>
  <c r="AU305" i="2"/>
  <c r="AU306" i="2"/>
  <c r="AU307" i="2"/>
  <c r="AU308" i="2"/>
  <c r="AU309" i="2"/>
  <c r="AU310" i="2"/>
  <c r="AU311" i="2"/>
  <c r="AU312" i="2"/>
  <c r="AU313" i="2"/>
  <c r="AU314" i="2"/>
  <c r="AU315" i="2"/>
  <c r="AU316" i="2"/>
  <c r="AU317" i="2"/>
  <c r="AU318" i="2"/>
  <c r="AU319" i="2"/>
  <c r="AU320" i="2"/>
  <c r="AU321" i="2"/>
  <c r="AU322" i="2"/>
  <c r="AU323" i="2"/>
  <c r="AU324" i="2"/>
  <c r="AU325" i="2"/>
  <c r="AU326" i="2"/>
  <c r="AU327" i="2"/>
  <c r="AU328" i="2"/>
  <c r="AU329" i="2"/>
  <c r="AU330" i="2"/>
  <c r="AU331" i="2"/>
  <c r="AU332" i="2"/>
  <c r="AU333" i="2"/>
  <c r="AU334" i="2"/>
  <c r="AU335" i="2"/>
  <c r="AU336" i="2"/>
  <c r="AU337" i="2"/>
  <c r="AU338" i="2"/>
  <c r="AU339" i="2"/>
  <c r="AU340" i="2"/>
  <c r="AU341" i="2"/>
  <c r="AU342" i="2"/>
  <c r="AU343" i="2"/>
  <c r="AU344" i="2"/>
  <c r="AU345" i="2"/>
  <c r="AU346" i="2"/>
  <c r="AU347" i="2"/>
  <c r="AU348" i="2"/>
  <c r="AU349" i="2"/>
  <c r="AU350" i="2"/>
  <c r="AU351" i="2"/>
  <c r="AU352" i="2"/>
  <c r="AU353" i="2"/>
  <c r="AU354" i="2"/>
  <c r="AU355" i="2"/>
  <c r="AU356" i="2"/>
  <c r="AU357" i="2"/>
  <c r="AU358" i="2"/>
  <c r="AU359" i="2"/>
  <c r="AU360" i="2"/>
  <c r="AU361" i="2"/>
  <c r="AU362" i="2"/>
  <c r="AU363" i="2"/>
  <c r="AU364" i="2"/>
  <c r="AU365" i="2"/>
  <c r="AU366" i="2"/>
  <c r="AU367" i="2"/>
  <c r="AU368" i="2"/>
  <c r="AU369" i="2"/>
  <c r="AU370" i="2"/>
  <c r="AU371" i="2"/>
  <c r="AU372" i="2"/>
  <c r="AU373" i="2"/>
  <c r="AU374" i="2"/>
  <c r="AU375" i="2"/>
  <c r="AU376" i="2"/>
  <c r="AU377" i="2"/>
  <c r="AU378" i="2"/>
  <c r="AU379" i="2"/>
  <c r="AU380" i="2"/>
  <c r="AU381" i="2"/>
  <c r="AU382" i="2"/>
  <c r="AU383" i="2"/>
  <c r="AU384" i="2"/>
  <c r="AU385" i="2"/>
  <c r="AU386" i="2"/>
  <c r="AU387" i="2"/>
  <c r="AU388" i="2"/>
  <c r="AU389" i="2"/>
  <c r="AU390" i="2"/>
  <c r="AU391" i="2"/>
  <c r="AU392" i="2"/>
  <c r="AU393" i="2"/>
  <c r="AU394" i="2"/>
  <c r="AU395" i="2"/>
  <c r="AU396" i="2"/>
  <c r="AU397" i="2"/>
  <c r="AU398" i="2"/>
  <c r="AU399" i="2"/>
  <c r="AU400" i="2"/>
  <c r="AU401" i="2"/>
  <c r="AU402" i="2"/>
  <c r="AU403" i="2"/>
  <c r="AU404" i="2"/>
  <c r="AU405" i="2"/>
  <c r="AU406" i="2"/>
  <c r="AU407" i="2"/>
  <c r="AU408" i="2"/>
  <c r="AU409" i="2"/>
  <c r="AU410" i="2"/>
  <c r="AU411" i="2"/>
  <c r="AU412" i="2"/>
  <c r="AU413" i="2"/>
  <c r="AU414" i="2"/>
  <c r="AU415" i="2"/>
  <c r="AU416" i="2"/>
  <c r="AU417" i="2"/>
  <c r="AU418" i="2"/>
  <c r="AU419" i="2"/>
  <c r="AU420" i="2"/>
  <c r="AU421" i="2"/>
  <c r="AU422" i="2"/>
  <c r="AU423" i="2"/>
  <c r="AU424" i="2"/>
  <c r="AU425" i="2"/>
  <c r="AU426" i="2"/>
  <c r="AU427" i="2"/>
  <c r="AU428" i="2"/>
  <c r="AU429" i="2"/>
  <c r="AU430" i="2"/>
  <c r="AU431" i="2"/>
  <c r="AU432" i="2"/>
  <c r="AU433" i="2"/>
  <c r="AU434" i="2"/>
  <c r="AU435" i="2"/>
  <c r="AU436" i="2"/>
  <c r="AU437" i="2"/>
  <c r="AU438" i="2"/>
  <c r="AU439" i="2"/>
  <c r="AU440" i="2"/>
  <c r="AU441" i="2"/>
  <c r="AU442" i="2"/>
  <c r="AU443" i="2"/>
  <c r="AU444" i="2"/>
  <c r="AU445" i="2"/>
  <c r="AU446" i="2"/>
  <c r="AU447" i="2"/>
  <c r="AU448" i="2"/>
  <c r="AU449" i="2"/>
  <c r="AU450" i="2"/>
  <c r="AU451" i="2"/>
  <c r="AU452" i="2"/>
  <c r="AU453" i="2"/>
  <c r="AU454" i="2"/>
  <c r="AU455" i="2"/>
  <c r="AU456" i="2"/>
  <c r="AU457" i="2"/>
  <c r="AU458" i="2"/>
  <c r="AU459" i="2"/>
  <c r="AU460" i="2"/>
  <c r="AU461" i="2"/>
  <c r="AU462" i="2"/>
  <c r="AU463" i="2"/>
  <c r="AU464" i="2"/>
  <c r="AU465" i="2"/>
  <c r="AU466" i="2"/>
  <c r="AU467" i="2"/>
  <c r="AU468" i="2"/>
  <c r="AU469" i="2"/>
  <c r="AU470" i="2"/>
  <c r="AU471" i="2"/>
  <c r="AU472" i="2"/>
  <c r="AU473" i="2"/>
  <c r="AU474" i="2"/>
  <c r="AU475" i="2"/>
  <c r="AU476" i="2"/>
  <c r="AU477" i="2"/>
  <c r="AU478" i="2"/>
  <c r="AU479" i="2"/>
  <c r="AU480" i="2"/>
  <c r="AU481" i="2"/>
  <c r="AU482" i="2"/>
  <c r="AU483" i="2"/>
  <c r="AU484" i="2"/>
  <c r="AU485" i="2"/>
  <c r="AU486" i="2"/>
  <c r="AU487" i="2"/>
  <c r="AU488" i="2"/>
  <c r="AU489" i="2"/>
  <c r="AU490" i="2"/>
  <c r="AU491" i="2"/>
  <c r="AU492" i="2"/>
  <c r="AU493" i="2"/>
  <c r="AU494" i="2"/>
  <c r="AU495" i="2"/>
  <c r="AU496" i="2"/>
  <c r="AU497" i="2"/>
  <c r="AU498" i="2"/>
  <c r="AU499" i="2"/>
  <c r="AU500" i="2"/>
  <c r="AU501" i="2"/>
  <c r="AU502" i="2"/>
  <c r="AU503" i="2"/>
  <c r="AU504" i="2"/>
  <c r="AU505" i="2"/>
  <c r="AU506" i="2"/>
  <c r="AU507" i="2"/>
  <c r="AU508" i="2"/>
  <c r="AU509" i="2"/>
  <c r="AU510" i="2"/>
  <c r="AU511" i="2"/>
  <c r="AU512" i="2"/>
  <c r="AU513" i="2"/>
  <c r="AU514" i="2"/>
  <c r="AU515" i="2"/>
  <c r="AU516" i="2"/>
  <c r="AU517" i="2"/>
  <c r="AU518" i="2"/>
  <c r="AU519" i="2"/>
  <c r="AU520" i="2"/>
  <c r="AU521" i="2"/>
  <c r="AU522" i="2"/>
  <c r="AU523" i="2"/>
  <c r="AU524" i="2"/>
  <c r="AU525" i="2"/>
  <c r="AU526" i="2"/>
  <c r="AU527" i="2"/>
  <c r="AU528" i="2"/>
  <c r="AU529" i="2"/>
  <c r="AU530" i="2"/>
  <c r="AU531" i="2"/>
  <c r="AU532" i="2"/>
  <c r="AU533" i="2"/>
  <c r="AU534" i="2"/>
  <c r="AU535" i="2"/>
  <c r="AU536" i="2"/>
  <c r="AU537" i="2"/>
  <c r="AU538" i="2"/>
  <c r="AU539" i="2"/>
  <c r="AU540" i="2"/>
  <c r="AU541" i="2"/>
  <c r="AU542" i="2"/>
  <c r="AU543" i="2"/>
  <c r="AU544" i="2"/>
  <c r="AU545" i="2"/>
  <c r="AU546" i="2"/>
  <c r="AU547" i="2"/>
  <c r="AU548" i="2"/>
  <c r="AU549" i="2"/>
  <c r="AU550" i="2"/>
  <c r="AU551" i="2"/>
  <c r="AU552" i="2"/>
  <c r="AU553" i="2"/>
  <c r="AU554" i="2"/>
  <c r="AU555" i="2"/>
  <c r="AU556" i="2"/>
  <c r="AU557" i="2"/>
  <c r="AU558" i="2"/>
  <c r="AU559" i="2"/>
  <c r="AU560" i="2"/>
  <c r="AU561" i="2"/>
  <c r="AU562" i="2"/>
  <c r="AU563" i="2"/>
  <c r="AU564" i="2"/>
  <c r="AU565" i="2"/>
  <c r="AU566" i="2"/>
  <c r="AU567" i="2"/>
  <c r="AU568" i="2"/>
  <c r="AU569" i="2"/>
  <c r="AU570" i="2"/>
  <c r="AU571" i="2"/>
  <c r="AU572" i="2"/>
  <c r="AU573" i="2"/>
  <c r="AU574" i="2"/>
  <c r="AU575" i="2"/>
  <c r="AU576" i="2"/>
  <c r="AU577" i="2"/>
  <c r="AU578" i="2"/>
  <c r="AU579" i="2"/>
  <c r="AU580" i="2"/>
  <c r="AU581" i="2"/>
  <c r="AU582" i="2"/>
  <c r="AU583" i="2"/>
  <c r="AU584" i="2"/>
  <c r="AU585" i="2"/>
  <c r="AU586" i="2"/>
  <c r="AU587" i="2"/>
  <c r="AU588" i="2"/>
  <c r="AU589" i="2"/>
  <c r="AU590" i="2"/>
  <c r="AU591" i="2"/>
  <c r="AU592" i="2"/>
  <c r="AU593" i="2"/>
  <c r="AU594" i="2"/>
  <c r="AU595" i="2"/>
  <c r="AU596" i="2"/>
  <c r="AU597" i="2"/>
  <c r="AU598" i="2"/>
  <c r="AU599" i="2"/>
  <c r="AU600" i="2"/>
  <c r="AU601" i="2"/>
  <c r="AU602" i="2"/>
  <c r="AU603" i="2"/>
  <c r="AU604" i="2"/>
  <c r="AU605" i="2"/>
  <c r="AU606" i="2"/>
  <c r="AU607" i="2"/>
  <c r="AU608" i="2"/>
  <c r="AU609" i="2"/>
  <c r="AU610" i="2"/>
  <c r="AU611" i="2"/>
  <c r="AU612" i="2"/>
  <c r="AU613" i="2"/>
  <c r="AU614" i="2"/>
  <c r="AU615" i="2"/>
  <c r="AU616" i="2"/>
  <c r="AU617" i="2"/>
  <c r="AU618" i="2"/>
  <c r="AU619" i="2"/>
  <c r="AU620" i="2"/>
  <c r="AU621" i="2"/>
  <c r="AU622" i="2"/>
  <c r="AU623" i="2"/>
  <c r="AU624" i="2"/>
  <c r="AU625" i="2"/>
  <c r="AU626" i="2"/>
  <c r="AU627" i="2"/>
  <c r="AU628" i="2"/>
  <c r="AU629" i="2"/>
  <c r="AU630" i="2"/>
  <c r="AU631" i="2"/>
  <c r="AU632" i="2"/>
  <c r="AU633" i="2"/>
  <c r="AU634" i="2"/>
  <c r="AU635" i="2"/>
  <c r="AU636" i="2"/>
  <c r="AU637" i="2"/>
  <c r="AU638" i="2"/>
  <c r="AU639" i="2"/>
  <c r="AU640" i="2"/>
  <c r="AU641" i="2"/>
  <c r="AU642" i="2"/>
  <c r="AU643" i="2"/>
  <c r="AU644" i="2"/>
  <c r="AU645" i="2"/>
  <c r="AU646" i="2"/>
  <c r="AU647" i="2"/>
  <c r="AU648" i="2"/>
  <c r="AU649" i="2"/>
  <c r="AU650" i="2"/>
  <c r="AU651" i="2"/>
  <c r="AU652" i="2"/>
  <c r="AU653" i="2"/>
  <c r="AU654" i="2"/>
  <c r="AU655" i="2"/>
  <c r="AU656" i="2"/>
  <c r="AU657" i="2"/>
  <c r="AU658" i="2"/>
  <c r="AU659" i="2"/>
  <c r="AU660" i="2"/>
  <c r="AU661" i="2"/>
  <c r="AU662" i="2"/>
  <c r="AU663" i="2"/>
  <c r="AU664" i="2"/>
  <c r="AU665" i="2"/>
  <c r="AU666" i="2"/>
  <c r="AU667" i="2"/>
  <c r="AU668" i="2"/>
  <c r="AU669" i="2"/>
  <c r="AU670" i="2"/>
  <c r="AU671" i="2"/>
  <c r="AU672" i="2"/>
  <c r="AU673" i="2"/>
  <c r="AU674" i="2"/>
  <c r="AU675" i="2"/>
  <c r="AU676" i="2"/>
  <c r="AU677" i="2"/>
  <c r="AU678" i="2"/>
  <c r="AU679" i="2"/>
  <c r="AU680" i="2"/>
  <c r="AU681" i="2"/>
  <c r="AU682" i="2"/>
  <c r="AU683" i="2"/>
  <c r="AU684" i="2"/>
  <c r="AU685" i="2"/>
  <c r="AU686" i="2"/>
  <c r="AU687" i="2"/>
  <c r="AU688" i="2"/>
  <c r="AU689" i="2"/>
  <c r="AU690" i="2"/>
  <c r="AU691" i="2"/>
  <c r="AU692" i="2"/>
  <c r="AU693" i="2"/>
  <c r="AU694" i="2"/>
  <c r="AU695" i="2"/>
  <c r="AU696" i="2"/>
  <c r="AU697" i="2"/>
  <c r="AU698" i="2"/>
  <c r="AU699" i="2"/>
  <c r="AU700" i="2"/>
  <c r="AU701" i="2"/>
  <c r="AU702" i="2"/>
  <c r="AU703" i="2"/>
  <c r="AU704" i="2"/>
  <c r="AU705" i="2"/>
  <c r="AU706" i="2"/>
  <c r="AU707" i="2"/>
  <c r="AU708" i="2"/>
  <c r="AU709" i="2"/>
  <c r="AU710" i="2"/>
  <c r="AU711" i="2"/>
  <c r="AU712" i="2"/>
  <c r="AU713" i="2"/>
  <c r="AU714" i="2"/>
  <c r="AU715" i="2"/>
  <c r="AU716" i="2"/>
  <c r="AU717" i="2"/>
  <c r="AU718" i="2"/>
  <c r="AU719" i="2"/>
  <c r="AU720" i="2"/>
  <c r="AU721" i="2"/>
  <c r="AU722" i="2"/>
  <c r="AU723" i="2"/>
  <c r="AU724" i="2"/>
  <c r="AU725" i="2"/>
  <c r="AU726" i="2"/>
  <c r="AU727" i="2"/>
  <c r="AU728" i="2"/>
  <c r="AU729" i="2"/>
  <c r="AU730" i="2"/>
  <c r="AU731" i="2"/>
  <c r="AU732" i="2"/>
  <c r="AU733" i="2"/>
  <c r="AU734" i="2"/>
  <c r="AU735" i="2"/>
  <c r="AU736" i="2"/>
  <c r="AU737" i="2"/>
  <c r="AU738" i="2"/>
  <c r="AU739" i="2"/>
  <c r="AU740" i="2"/>
  <c r="AU741" i="2"/>
  <c r="AU742" i="2"/>
  <c r="AU743" i="2"/>
  <c r="AU744" i="2"/>
  <c r="AU745" i="2"/>
  <c r="AU746" i="2"/>
  <c r="AU747" i="2"/>
  <c r="AU748" i="2"/>
  <c r="AU749" i="2"/>
  <c r="AU750" i="2"/>
  <c r="AU751" i="2"/>
  <c r="AU752" i="2"/>
  <c r="AU753" i="2"/>
  <c r="AU754" i="2"/>
  <c r="AU755" i="2"/>
  <c r="AU756" i="2"/>
  <c r="AU757" i="2"/>
  <c r="AU758" i="2"/>
  <c r="AU759" i="2"/>
  <c r="AU760" i="2"/>
  <c r="AU761" i="2"/>
  <c r="AU762" i="2"/>
  <c r="AU763" i="2"/>
  <c r="AU764" i="2"/>
  <c r="AU765" i="2"/>
  <c r="AU766" i="2"/>
  <c r="AU767" i="2"/>
  <c r="AU768" i="2"/>
  <c r="AU769" i="2"/>
  <c r="AU770" i="2"/>
  <c r="AU771" i="2"/>
  <c r="AU772" i="2"/>
  <c r="AU773" i="2"/>
  <c r="AU774" i="2"/>
  <c r="AU775" i="2"/>
  <c r="AU776" i="2"/>
  <c r="AU777" i="2"/>
  <c r="AU778" i="2"/>
  <c r="AU779" i="2"/>
  <c r="AU780" i="2"/>
  <c r="AU781" i="2"/>
  <c r="AU782" i="2"/>
  <c r="AU783" i="2"/>
  <c r="AU784" i="2"/>
  <c r="AU785" i="2"/>
  <c r="AU786" i="2"/>
  <c r="AU787" i="2"/>
  <c r="AU788" i="2"/>
  <c r="AU789" i="2"/>
  <c r="AU790" i="2"/>
  <c r="AU791" i="2"/>
  <c r="AU792" i="2"/>
  <c r="AU793" i="2"/>
  <c r="AU794" i="2"/>
  <c r="AU795" i="2"/>
  <c r="AU796" i="2"/>
  <c r="AU797" i="2"/>
  <c r="AU798" i="2"/>
  <c r="AU799" i="2"/>
  <c r="AU800" i="2"/>
  <c r="AU801" i="2"/>
  <c r="AU802" i="2"/>
  <c r="AU803" i="2"/>
  <c r="AU804" i="2"/>
  <c r="AU805" i="2"/>
  <c r="AU806" i="2"/>
  <c r="AU807" i="2"/>
  <c r="AU808" i="2"/>
  <c r="AU809" i="2"/>
  <c r="AU810" i="2"/>
  <c r="AU811" i="2"/>
  <c r="AU812" i="2"/>
  <c r="AU813" i="2"/>
  <c r="AU814" i="2"/>
  <c r="AU815" i="2"/>
  <c r="AU816" i="2"/>
  <c r="AU817" i="2"/>
  <c r="AU818" i="2"/>
  <c r="AU819" i="2"/>
  <c r="AU820" i="2"/>
  <c r="AU821" i="2"/>
  <c r="AU822" i="2"/>
  <c r="AU823" i="2"/>
  <c r="AU824" i="2"/>
  <c r="AU825" i="2"/>
  <c r="AU826" i="2"/>
  <c r="AU827" i="2"/>
  <c r="AU828" i="2"/>
  <c r="AU829" i="2"/>
  <c r="AU830" i="2"/>
  <c r="AU831" i="2"/>
  <c r="AU832" i="2"/>
  <c r="AU833" i="2"/>
  <c r="AU834" i="2"/>
  <c r="AU835" i="2"/>
  <c r="AU836" i="2"/>
  <c r="AU837" i="2"/>
  <c r="AU838" i="2"/>
  <c r="AU839" i="2"/>
  <c r="AU840" i="2"/>
  <c r="AU841" i="2"/>
  <c r="AU842" i="2"/>
  <c r="AU843" i="2"/>
  <c r="AU844" i="2"/>
  <c r="AU845" i="2"/>
  <c r="AU846" i="2"/>
  <c r="AU847" i="2"/>
  <c r="AU848" i="2"/>
  <c r="AU849" i="2"/>
  <c r="AU850" i="2"/>
  <c r="AU851" i="2"/>
  <c r="AU852" i="2"/>
  <c r="AU853" i="2"/>
  <c r="AU854" i="2"/>
  <c r="AU855" i="2"/>
  <c r="AU856" i="2"/>
  <c r="AU857" i="2"/>
  <c r="AU858" i="2"/>
  <c r="AU859" i="2"/>
  <c r="AU860" i="2"/>
  <c r="AU861" i="2"/>
  <c r="AU862" i="2"/>
  <c r="AU863" i="2"/>
  <c r="AU864" i="2"/>
  <c r="AU865" i="2"/>
  <c r="AU866" i="2"/>
  <c r="AU867" i="2"/>
  <c r="AU868" i="2"/>
  <c r="AU869" i="2"/>
  <c r="AU870" i="2"/>
  <c r="AU871" i="2"/>
  <c r="AU872" i="2"/>
  <c r="AU873" i="2"/>
  <c r="AU874" i="2"/>
  <c r="AU875" i="2"/>
  <c r="AU876" i="2"/>
  <c r="AU877" i="2"/>
  <c r="AU878" i="2"/>
  <c r="AU879" i="2"/>
  <c r="AU880" i="2"/>
  <c r="AU881" i="2"/>
  <c r="AU882" i="2"/>
  <c r="AU883" i="2"/>
  <c r="AU884" i="2"/>
  <c r="AU885" i="2"/>
  <c r="AU886" i="2"/>
  <c r="AU887" i="2"/>
  <c r="AU888" i="2"/>
  <c r="AU889" i="2"/>
  <c r="AU890" i="2"/>
  <c r="AU891" i="2"/>
  <c r="AU892" i="2"/>
  <c r="AU893" i="2"/>
  <c r="AU894" i="2"/>
  <c r="AU895" i="2"/>
  <c r="AU896" i="2"/>
  <c r="AU897" i="2"/>
  <c r="AU898" i="2"/>
  <c r="AU899" i="2"/>
  <c r="AU900" i="2"/>
  <c r="AU901" i="2"/>
  <c r="AU902" i="2"/>
  <c r="AU903" i="2"/>
  <c r="AU904" i="2"/>
  <c r="AU905" i="2"/>
  <c r="AU906" i="2"/>
  <c r="AU907" i="2"/>
  <c r="AU908" i="2"/>
  <c r="AU909" i="2"/>
  <c r="AU910" i="2"/>
  <c r="AU911" i="2"/>
  <c r="AU912" i="2"/>
  <c r="AU913" i="2"/>
  <c r="AU914" i="2"/>
  <c r="AU915" i="2"/>
  <c r="AU916" i="2"/>
  <c r="AU917" i="2"/>
  <c r="AU918" i="2"/>
  <c r="AU919" i="2"/>
  <c r="AU920" i="2"/>
  <c r="AU921" i="2"/>
  <c r="AU922" i="2"/>
  <c r="AU923" i="2"/>
  <c r="AU924" i="2"/>
  <c r="AU925" i="2"/>
  <c r="AU926" i="2"/>
  <c r="AU927" i="2"/>
  <c r="AU928" i="2"/>
  <c r="AU929" i="2"/>
  <c r="AU930" i="2"/>
  <c r="AU931" i="2"/>
  <c r="AU932" i="2"/>
  <c r="AU933" i="2"/>
  <c r="AU934" i="2"/>
  <c r="AU935" i="2"/>
  <c r="AU936" i="2"/>
  <c r="AU937" i="2"/>
  <c r="AU938" i="2"/>
  <c r="AU939" i="2"/>
  <c r="AU940" i="2"/>
  <c r="AU941" i="2"/>
  <c r="AU942" i="2"/>
  <c r="AU943" i="2"/>
  <c r="AU944" i="2"/>
  <c r="AU945" i="2"/>
  <c r="AU946" i="2"/>
  <c r="AU947" i="2"/>
  <c r="AU948" i="2"/>
  <c r="AU949" i="2"/>
  <c r="AU950" i="2"/>
  <c r="AU951" i="2"/>
  <c r="AU952" i="2"/>
  <c r="AU953" i="2"/>
  <c r="AU954" i="2"/>
  <c r="AU955" i="2"/>
  <c r="AU956" i="2"/>
  <c r="AU957" i="2"/>
  <c r="AU958" i="2"/>
  <c r="AU959" i="2"/>
  <c r="AU960" i="2"/>
  <c r="AU961" i="2"/>
  <c r="AU962" i="2"/>
  <c r="AU963" i="2"/>
  <c r="AU964" i="2"/>
  <c r="AU965" i="2"/>
  <c r="AU966" i="2"/>
  <c r="AU967" i="2"/>
  <c r="AU968" i="2"/>
  <c r="AU969" i="2"/>
  <c r="AU970" i="2"/>
  <c r="AU971" i="2"/>
  <c r="AU972" i="2"/>
  <c r="AU973" i="2"/>
  <c r="AU974" i="2"/>
  <c r="AU975" i="2"/>
  <c r="AU976" i="2"/>
  <c r="AU977" i="2"/>
  <c r="AU978" i="2"/>
  <c r="AU979" i="2"/>
  <c r="AU980" i="2"/>
  <c r="AU981" i="2"/>
  <c r="AU982" i="2"/>
  <c r="AU983" i="2"/>
  <c r="AU984" i="2"/>
  <c r="AU985" i="2"/>
  <c r="AU986" i="2"/>
  <c r="AU987" i="2"/>
  <c r="AU988" i="2"/>
  <c r="AU989" i="2"/>
  <c r="AU990" i="2"/>
  <c r="AU991" i="2"/>
  <c r="AU992" i="2"/>
  <c r="AU993" i="2"/>
  <c r="AU994" i="2"/>
  <c r="AU995" i="2"/>
  <c r="AU996" i="2"/>
  <c r="AU997" i="2"/>
  <c r="AU998" i="2"/>
  <c r="AU999" i="2"/>
  <c r="AU1000" i="2"/>
  <c r="AU1001" i="2"/>
  <c r="AU1002" i="2"/>
  <c r="AU1003" i="2"/>
  <c r="AU1004" i="2"/>
  <c r="AU1005" i="2"/>
  <c r="AU1006" i="2"/>
  <c r="AU1007" i="2"/>
  <c r="AU1008" i="2"/>
  <c r="AU1009" i="2"/>
  <c r="AU1010" i="2"/>
  <c r="AU1011" i="2"/>
  <c r="AU1013" i="2"/>
  <c r="AU1014" i="2"/>
  <c r="AU1015" i="2"/>
  <c r="AU1016" i="2"/>
  <c r="AU1017" i="2"/>
  <c r="AU1018" i="2"/>
  <c r="AU1019" i="2"/>
  <c r="AU1020" i="2"/>
  <c r="AU1021" i="2"/>
  <c r="AU1022" i="2"/>
  <c r="AU1023" i="2"/>
  <c r="AU1024" i="2"/>
  <c r="AU1025" i="2"/>
  <c r="AU1026" i="2"/>
  <c r="AU1027" i="2"/>
  <c r="AU1028" i="2"/>
  <c r="AU1029" i="2"/>
  <c r="AU1030" i="2"/>
  <c r="AU1031" i="2"/>
  <c r="AU1032" i="2"/>
  <c r="AU1033" i="2"/>
  <c r="AU1034" i="2"/>
  <c r="AU1035" i="2"/>
  <c r="AU1036" i="2"/>
  <c r="AU1037" i="2"/>
  <c r="AU1038" i="2"/>
  <c r="AU1039" i="2"/>
  <c r="AU1040" i="2"/>
  <c r="AU1041" i="2"/>
  <c r="AU1042" i="2"/>
  <c r="AU1043" i="2"/>
  <c r="AU1044" i="2"/>
  <c r="AU1045" i="2"/>
  <c r="AU1046" i="2"/>
  <c r="AU1047" i="2"/>
  <c r="AU1048" i="2"/>
  <c r="AU1049" i="2"/>
  <c r="AU1050" i="2"/>
  <c r="AU1051" i="2"/>
  <c r="AU1052" i="2"/>
  <c r="AU1053" i="2"/>
  <c r="AU1054" i="2"/>
  <c r="AU1055" i="2"/>
  <c r="AU1056" i="2"/>
  <c r="AU1057" i="2"/>
  <c r="AU1058" i="2"/>
  <c r="AU1059" i="2"/>
  <c r="AU1060" i="2"/>
  <c r="AU1061" i="2"/>
  <c r="AU1062" i="2"/>
  <c r="AU1063" i="2"/>
  <c r="AU1064" i="2"/>
  <c r="AU1065" i="2"/>
  <c r="AU1066" i="2"/>
  <c r="AU1067" i="2"/>
  <c r="AU1068" i="2"/>
  <c r="AU1069" i="2"/>
  <c r="AU1070" i="2"/>
  <c r="AU1071" i="2"/>
  <c r="AU1072" i="2"/>
  <c r="AU1073" i="2"/>
  <c r="AU1074" i="2"/>
  <c r="AU1075" i="2"/>
  <c r="AU1076" i="2"/>
  <c r="AU1077" i="2"/>
  <c r="AU1078" i="2"/>
  <c r="AU1079" i="2"/>
  <c r="AU1080" i="2"/>
  <c r="AU1081" i="2"/>
  <c r="AU1082" i="2"/>
  <c r="AU1083" i="2"/>
  <c r="AU1084" i="2"/>
  <c r="AU1085" i="2"/>
  <c r="AU1086" i="2"/>
  <c r="AU1087" i="2"/>
  <c r="AU1088" i="2"/>
  <c r="AU1089" i="2"/>
  <c r="AU1090" i="2"/>
  <c r="AU1091" i="2"/>
  <c r="AU1092" i="2"/>
  <c r="AU1093" i="2"/>
  <c r="AU1094" i="2"/>
  <c r="AU1095" i="2"/>
  <c r="AU1096" i="2"/>
  <c r="AU1097" i="2"/>
  <c r="AU1098" i="2"/>
  <c r="AU1099" i="2"/>
  <c r="AU1100" i="2"/>
  <c r="AU1101" i="2"/>
  <c r="AU1102" i="2"/>
  <c r="AU1103" i="2"/>
  <c r="AU1104" i="2"/>
  <c r="AU1105" i="2"/>
  <c r="AU1106" i="2"/>
  <c r="AU1107" i="2"/>
  <c r="AU1108" i="2"/>
  <c r="AU1109" i="2"/>
  <c r="AU1110" i="2"/>
  <c r="AU1111" i="2"/>
  <c r="AU1112" i="2"/>
  <c r="AU1113" i="2"/>
  <c r="AU1114" i="2"/>
  <c r="AU1115" i="2"/>
  <c r="AU1116" i="2"/>
  <c r="AU1117" i="2"/>
  <c r="AU1118" i="2"/>
  <c r="AU1119" i="2"/>
  <c r="AU1120" i="2"/>
  <c r="AU1121" i="2"/>
  <c r="AU1122" i="2"/>
  <c r="AU1123" i="2"/>
  <c r="AU1124" i="2"/>
  <c r="AU1125" i="2"/>
  <c r="AU1126" i="2"/>
  <c r="AU1127" i="2"/>
  <c r="AU1128" i="2"/>
  <c r="AU1129" i="2"/>
  <c r="AU1130" i="2"/>
  <c r="AU1131" i="2"/>
  <c r="AU1132" i="2"/>
  <c r="AU1133" i="2"/>
  <c r="AU1134" i="2"/>
  <c r="AU1135" i="2"/>
  <c r="AU1136" i="2"/>
  <c r="AU1137" i="2"/>
  <c r="AU1138" i="2"/>
  <c r="AU1139" i="2"/>
  <c r="AU1140" i="2"/>
  <c r="AU1141" i="2"/>
  <c r="AU1142" i="2"/>
  <c r="AU1143" i="2"/>
  <c r="AU1144" i="2"/>
  <c r="AU1145" i="2"/>
  <c r="AU1146" i="2"/>
  <c r="AU1147" i="2"/>
  <c r="AU1148" i="2"/>
  <c r="AU1149" i="2"/>
  <c r="AU1150" i="2"/>
  <c r="AU1151" i="2"/>
  <c r="AU1152" i="2"/>
  <c r="AU1153" i="2"/>
  <c r="AU1154" i="2"/>
  <c r="AU1155" i="2"/>
  <c r="AU1156" i="2"/>
  <c r="AU1157" i="2"/>
  <c r="AU1158" i="2"/>
  <c r="AU1159" i="2"/>
  <c r="AU1160" i="2"/>
  <c r="AU1161" i="2"/>
  <c r="AU1162" i="2"/>
  <c r="AU1163" i="2"/>
  <c r="AU1164" i="2"/>
  <c r="AU1165" i="2"/>
  <c r="AU1166" i="2"/>
  <c r="AU1167" i="2"/>
  <c r="AU1168" i="2"/>
  <c r="AU1169" i="2"/>
  <c r="AU1170" i="2"/>
  <c r="AU1171" i="2"/>
  <c r="AU1172" i="2"/>
  <c r="AU1173" i="2"/>
  <c r="AU1174" i="2"/>
  <c r="AU1175" i="2"/>
  <c r="AU1176" i="2"/>
  <c r="AU1177" i="2"/>
  <c r="AU1178" i="2"/>
  <c r="AU1179" i="2"/>
  <c r="AU1180" i="2"/>
  <c r="AU1181" i="2"/>
  <c r="AU1182" i="2"/>
  <c r="AU1183" i="2"/>
  <c r="AU1184" i="2"/>
  <c r="AU1185" i="2"/>
  <c r="AU1186" i="2"/>
  <c r="AU1187" i="2"/>
  <c r="AU1188" i="2"/>
  <c r="AU1189" i="2"/>
  <c r="AU1190" i="2"/>
  <c r="AU1191" i="2"/>
  <c r="AU1192" i="2"/>
  <c r="AU1193" i="2"/>
  <c r="AU1194" i="2"/>
  <c r="AU1195" i="2"/>
  <c r="AU1196" i="2"/>
  <c r="AU1197" i="2"/>
  <c r="AU1198" i="2"/>
  <c r="AU1199" i="2"/>
  <c r="AU1200" i="2"/>
  <c r="AU1201" i="2"/>
  <c r="AU1202" i="2"/>
  <c r="AU1203" i="2"/>
  <c r="AU1204" i="2"/>
  <c r="AU1205" i="2"/>
  <c r="AU1206" i="2"/>
  <c r="AU1207" i="2"/>
  <c r="AU1208" i="2"/>
  <c r="AU1209" i="2"/>
  <c r="AU1210" i="2"/>
  <c r="AU1211" i="2"/>
  <c r="AU1212" i="2"/>
  <c r="AU1213" i="2"/>
  <c r="AU1214" i="2"/>
  <c r="AU1215" i="2"/>
  <c r="AU1216" i="2"/>
  <c r="AU1217" i="2"/>
  <c r="AU1218" i="2"/>
  <c r="AU1219" i="2"/>
  <c r="AU1220" i="2"/>
  <c r="AU1221" i="2"/>
  <c r="AU1222" i="2"/>
  <c r="AU1223" i="2"/>
  <c r="AU1224" i="2"/>
  <c r="AU1225" i="2"/>
  <c r="AU1226" i="2"/>
  <c r="AU1227" i="2"/>
  <c r="AU1228" i="2"/>
  <c r="AU1229" i="2"/>
  <c r="AU1230" i="2"/>
  <c r="AU1231" i="2"/>
  <c r="AU1232" i="2"/>
  <c r="AU1233" i="2"/>
  <c r="AU1234" i="2"/>
  <c r="AU1235" i="2"/>
  <c r="AU1236" i="2"/>
  <c r="AU1237" i="2"/>
  <c r="AU1238" i="2"/>
  <c r="AU1239" i="2"/>
  <c r="AU1240" i="2"/>
  <c r="AU1241" i="2"/>
  <c r="AU1242" i="2"/>
  <c r="AU1243" i="2"/>
  <c r="AU1244" i="2"/>
  <c r="AU1245" i="2"/>
  <c r="AU1246" i="2"/>
  <c r="AU1247" i="2"/>
  <c r="AU1248" i="2"/>
  <c r="AU1249" i="2"/>
  <c r="AU1250" i="2"/>
  <c r="AU1251" i="2"/>
  <c r="AU1252" i="2"/>
  <c r="AU1253" i="2"/>
  <c r="AU1254" i="2"/>
  <c r="AU1255" i="2"/>
  <c r="AU1256" i="2"/>
  <c r="AU1257" i="2"/>
  <c r="AU1258" i="2"/>
  <c r="AU1259" i="2"/>
  <c r="AU1260" i="2"/>
  <c r="AU1261" i="2"/>
  <c r="AU1262" i="2"/>
  <c r="AU1263" i="2"/>
  <c r="AU1264" i="2"/>
  <c r="AU1265" i="2"/>
  <c r="AU1266" i="2"/>
  <c r="AU1267" i="2"/>
  <c r="AU1268" i="2"/>
  <c r="AU1269" i="2"/>
  <c r="AU1270" i="2"/>
  <c r="AU1271" i="2"/>
  <c r="AU1272" i="2"/>
  <c r="AU1273" i="2"/>
  <c r="AU1274" i="2"/>
  <c r="AU1275" i="2"/>
  <c r="AU1276" i="2"/>
  <c r="AU1277" i="2"/>
  <c r="AU1278" i="2"/>
  <c r="AU1279" i="2"/>
  <c r="AU1280" i="2"/>
  <c r="AU1281" i="2"/>
  <c r="AU1282" i="2"/>
  <c r="AU1283" i="2"/>
  <c r="AU1284" i="2"/>
  <c r="AU1285" i="2"/>
  <c r="AU1286" i="2"/>
  <c r="AU1287" i="2"/>
  <c r="AU1288" i="2"/>
  <c r="AU1289" i="2"/>
  <c r="AU1290" i="2"/>
  <c r="AU1291" i="2"/>
  <c r="AU1292" i="2"/>
  <c r="AU1293" i="2"/>
  <c r="AU1294" i="2"/>
  <c r="AU1295" i="2"/>
  <c r="AU1296" i="2"/>
  <c r="AU1297" i="2"/>
  <c r="AU1298" i="2"/>
  <c r="AU1299" i="2"/>
  <c r="AU1300" i="2"/>
  <c r="AU1301" i="2"/>
  <c r="AU1302" i="2"/>
  <c r="AU1303" i="2"/>
  <c r="AU1304" i="2"/>
  <c r="AU1305" i="2"/>
  <c r="AU1306" i="2"/>
  <c r="AU1307" i="2"/>
  <c r="AU1308" i="2"/>
  <c r="AU1309" i="2"/>
  <c r="AU1310" i="2"/>
  <c r="AU1311" i="2"/>
  <c r="AU1312" i="2"/>
  <c r="AU1313" i="2"/>
  <c r="AU1314" i="2"/>
  <c r="AU1315" i="2"/>
  <c r="AU1316" i="2"/>
  <c r="AU1317" i="2"/>
  <c r="AU1318" i="2"/>
  <c r="AU1319" i="2"/>
  <c r="AU1320" i="2"/>
  <c r="AU1321" i="2"/>
  <c r="AU1322" i="2"/>
  <c r="AU1323" i="2"/>
  <c r="AU1324" i="2"/>
  <c r="AU1325" i="2"/>
  <c r="AU1326" i="2"/>
  <c r="AU1327" i="2"/>
  <c r="AU1328" i="2"/>
  <c r="AU1329" i="2"/>
  <c r="AU1330" i="2"/>
  <c r="AU1331" i="2"/>
  <c r="AU1332" i="2"/>
  <c r="AU1333" i="2"/>
  <c r="AU1334" i="2"/>
  <c r="AU1335" i="2"/>
  <c r="AU1336" i="2"/>
  <c r="AU1337" i="2"/>
  <c r="AU1338" i="2"/>
  <c r="AU1339" i="2"/>
  <c r="AU1340" i="2"/>
  <c r="AU1341" i="2"/>
  <c r="AU1342" i="2"/>
  <c r="AU1343" i="2"/>
  <c r="AU1344" i="2"/>
  <c r="AU1345" i="2"/>
  <c r="AU1346" i="2"/>
  <c r="AU1347" i="2"/>
  <c r="AU1348" i="2"/>
  <c r="AU1349" i="2"/>
  <c r="AU1350" i="2"/>
  <c r="AU1351" i="2"/>
  <c r="AU1352" i="2"/>
  <c r="AU1353" i="2"/>
  <c r="AU1354" i="2"/>
  <c r="AU1355" i="2"/>
  <c r="AU1356" i="2"/>
  <c r="AU1357" i="2"/>
  <c r="AU1358" i="2"/>
  <c r="AU1359" i="2"/>
  <c r="AU1360" i="2"/>
  <c r="AU1361" i="2"/>
  <c r="AU1362" i="2"/>
  <c r="AU1363" i="2"/>
  <c r="AU1364" i="2"/>
  <c r="AU1365" i="2"/>
  <c r="AU1366" i="2"/>
  <c r="AU1367" i="2"/>
  <c r="AU1368" i="2"/>
  <c r="AU1369" i="2"/>
  <c r="AU1370" i="2"/>
  <c r="AU1371" i="2"/>
  <c r="AU1372" i="2"/>
  <c r="AU1373" i="2"/>
  <c r="AU1374" i="2"/>
  <c r="AU1375" i="2"/>
  <c r="AU1376" i="2"/>
  <c r="AU1377" i="2"/>
  <c r="AU1378" i="2"/>
  <c r="AU1379" i="2"/>
  <c r="AU1380" i="2"/>
  <c r="AU1381" i="2"/>
  <c r="AU1382" i="2"/>
  <c r="AU1383" i="2"/>
  <c r="AU1384" i="2"/>
  <c r="AU1385" i="2"/>
  <c r="AU1386" i="2"/>
  <c r="AU1387" i="2"/>
  <c r="AU1388" i="2"/>
  <c r="AU1389" i="2"/>
  <c r="AU1390" i="2"/>
  <c r="AU1391" i="2"/>
  <c r="AU1392" i="2"/>
  <c r="AU1393" i="2"/>
  <c r="AU1394" i="2"/>
  <c r="AU1395" i="2"/>
  <c r="AU1396" i="2"/>
  <c r="AU1397" i="2"/>
  <c r="AU1398" i="2"/>
  <c r="AU1399" i="2"/>
  <c r="AU1400" i="2"/>
  <c r="AU1401" i="2"/>
  <c r="AU1402" i="2"/>
  <c r="AU1403" i="2"/>
  <c r="AU1404" i="2"/>
  <c r="AU1405" i="2"/>
  <c r="AU1406" i="2"/>
  <c r="AU1407" i="2"/>
  <c r="AU1408" i="2"/>
  <c r="AU1409" i="2"/>
  <c r="AU1410" i="2"/>
  <c r="AU1411" i="2"/>
  <c r="AU1412" i="2"/>
  <c r="AU1413" i="2"/>
  <c r="AU1414" i="2"/>
  <c r="AU1415" i="2"/>
  <c r="AU1416" i="2"/>
  <c r="AU1417" i="2"/>
  <c r="AU1418" i="2"/>
  <c r="AU1419" i="2"/>
  <c r="AU1420" i="2"/>
  <c r="AU1421" i="2"/>
  <c r="AU1422" i="2"/>
  <c r="AU1423" i="2"/>
  <c r="AU1424" i="2"/>
  <c r="AU1425" i="2"/>
  <c r="AU1426" i="2"/>
  <c r="AU1427" i="2"/>
  <c r="AU1428" i="2"/>
  <c r="AU1429" i="2"/>
  <c r="AU1430" i="2"/>
  <c r="AU1431" i="2"/>
  <c r="AU1432" i="2"/>
  <c r="AU1433" i="2"/>
  <c r="AU1434" i="2"/>
  <c r="AU1435" i="2"/>
  <c r="AU1436" i="2"/>
  <c r="AU1437" i="2"/>
  <c r="AU1438" i="2"/>
  <c r="AU1439" i="2"/>
  <c r="AU1440" i="2"/>
  <c r="AU1441" i="2"/>
  <c r="AU1442" i="2"/>
  <c r="AU1443" i="2"/>
  <c r="AU1444" i="2"/>
  <c r="AU1445" i="2"/>
  <c r="AU1446" i="2"/>
  <c r="AU1447" i="2"/>
  <c r="AU1448" i="2"/>
  <c r="AU1449" i="2"/>
  <c r="AU1450" i="2"/>
  <c r="AU1451" i="2"/>
  <c r="AU1452" i="2"/>
  <c r="AU1453" i="2"/>
  <c r="AU1454" i="2"/>
  <c r="AU1455" i="2"/>
  <c r="AU1456" i="2"/>
  <c r="AU1457" i="2"/>
  <c r="AU1458" i="2"/>
  <c r="AU1459" i="2"/>
  <c r="AU1460" i="2"/>
  <c r="AU1461" i="2"/>
  <c r="AU1462" i="2"/>
  <c r="AU1463" i="2"/>
  <c r="AU1464" i="2"/>
  <c r="AU1465" i="2"/>
  <c r="AU1466" i="2"/>
  <c r="AU1467" i="2"/>
  <c r="AU1468" i="2"/>
  <c r="AU1469" i="2"/>
  <c r="AU1470" i="2"/>
  <c r="AU1471" i="2"/>
  <c r="AU1472" i="2"/>
  <c r="AU1473" i="2"/>
  <c r="AU1474" i="2"/>
  <c r="AU1475" i="2"/>
  <c r="AU1476" i="2"/>
  <c r="AU1477" i="2"/>
  <c r="AU1478" i="2"/>
  <c r="AU1479" i="2"/>
  <c r="AU1480" i="2"/>
  <c r="AU1481" i="2"/>
  <c r="AU1482" i="2"/>
  <c r="AU1483" i="2"/>
  <c r="AU1484" i="2"/>
  <c r="AU1485" i="2"/>
  <c r="AU1486" i="2"/>
  <c r="AU1487" i="2"/>
  <c r="AU1488" i="2"/>
  <c r="AU1489" i="2"/>
  <c r="AU1490" i="2"/>
  <c r="AU1491" i="2"/>
  <c r="AU1492" i="2"/>
  <c r="AU1493" i="2"/>
  <c r="AU1494" i="2"/>
  <c r="AU1495" i="2"/>
  <c r="AU1496" i="2"/>
  <c r="AU1497" i="2"/>
  <c r="AU1498" i="2"/>
  <c r="AU1499" i="2"/>
  <c r="AU1500" i="2"/>
  <c r="AU1501" i="2"/>
  <c r="AU1502" i="2"/>
  <c r="AU1503" i="2"/>
  <c r="AU1504" i="2"/>
  <c r="AU1505" i="2"/>
  <c r="AU1506" i="2"/>
  <c r="AU1507" i="2"/>
  <c r="AU1508" i="2"/>
  <c r="AU1509" i="2"/>
  <c r="AU1510" i="2"/>
  <c r="AU1511" i="2"/>
  <c r="AU1512" i="2"/>
  <c r="AU1513" i="2"/>
  <c r="AU1514" i="2"/>
  <c r="AU1515" i="2"/>
  <c r="AU1516" i="2"/>
  <c r="AU1517" i="2"/>
  <c r="AU1518" i="2"/>
  <c r="AU1519" i="2"/>
  <c r="AU1520" i="2"/>
  <c r="AU1521" i="2"/>
  <c r="AU1522" i="2"/>
  <c r="AU1523" i="2"/>
  <c r="AU1524" i="2"/>
  <c r="AU1525" i="2"/>
  <c r="AU1526" i="2"/>
  <c r="AU1527" i="2"/>
  <c r="AU1528" i="2"/>
  <c r="AU1529" i="2"/>
  <c r="AU1530" i="2"/>
  <c r="AU1531" i="2"/>
  <c r="AU1532" i="2"/>
  <c r="AU1533" i="2"/>
  <c r="AU1534" i="2"/>
  <c r="AU1535" i="2"/>
  <c r="AU1536" i="2"/>
  <c r="AU1537" i="2"/>
  <c r="AU1538" i="2"/>
  <c r="AU1539" i="2"/>
  <c r="AU1540" i="2"/>
  <c r="AU1541" i="2"/>
  <c r="AU1542" i="2"/>
  <c r="AU1543" i="2"/>
  <c r="AU1544" i="2"/>
  <c r="AU1545" i="2"/>
  <c r="AU1546" i="2"/>
  <c r="AU1547" i="2"/>
  <c r="AU1548" i="2"/>
  <c r="AU1549" i="2"/>
  <c r="AU1550" i="2"/>
  <c r="AU1551" i="2"/>
  <c r="AU1552" i="2"/>
  <c r="AU1553" i="2"/>
  <c r="AU1554" i="2"/>
  <c r="AU1555" i="2"/>
  <c r="AU1556" i="2"/>
  <c r="AU1557" i="2"/>
  <c r="AU1558" i="2"/>
  <c r="AU1559" i="2"/>
  <c r="AU1560" i="2"/>
  <c r="AU1561" i="2"/>
  <c r="AU1562" i="2"/>
  <c r="AU1563" i="2"/>
  <c r="AU1564" i="2"/>
  <c r="AU1565" i="2"/>
  <c r="AU1566" i="2"/>
  <c r="AU1567" i="2"/>
  <c r="AU1568" i="2"/>
  <c r="AU1569" i="2"/>
  <c r="AU1570" i="2"/>
  <c r="AU1571" i="2"/>
  <c r="AU1572" i="2"/>
  <c r="AU1573" i="2"/>
  <c r="AU1574" i="2"/>
  <c r="AU1575" i="2"/>
  <c r="AU1576" i="2"/>
  <c r="AU1577" i="2"/>
  <c r="AU1578" i="2"/>
  <c r="AU1579" i="2"/>
  <c r="AU1580" i="2"/>
  <c r="AU1581" i="2"/>
  <c r="AU1582" i="2"/>
  <c r="AU1583" i="2"/>
  <c r="AU1584" i="2"/>
  <c r="AU1585" i="2"/>
  <c r="AU1586" i="2"/>
  <c r="AU1587" i="2"/>
  <c r="AU1588" i="2"/>
  <c r="AU1589" i="2"/>
  <c r="AU1590" i="2"/>
  <c r="AU1591" i="2"/>
  <c r="AU1592" i="2"/>
  <c r="AU1593" i="2"/>
  <c r="AU1594" i="2"/>
  <c r="AU1595" i="2"/>
  <c r="AU1596" i="2"/>
  <c r="AU1597" i="2"/>
  <c r="AU1598" i="2"/>
  <c r="AU1599" i="2"/>
  <c r="AU1600" i="2"/>
  <c r="AU1601" i="2"/>
  <c r="AU1602" i="2"/>
  <c r="AU1603" i="2"/>
  <c r="AU1604" i="2"/>
  <c r="AU1605" i="2"/>
  <c r="AU1606" i="2"/>
  <c r="AU1607" i="2"/>
  <c r="AU1608" i="2"/>
  <c r="AU1609" i="2"/>
  <c r="AU1610" i="2"/>
  <c r="AU1611" i="2"/>
  <c r="AU1612" i="2"/>
  <c r="AU1613" i="2"/>
  <c r="AU1614" i="2"/>
  <c r="AU1615" i="2"/>
  <c r="AU1616" i="2"/>
  <c r="AU1617" i="2"/>
  <c r="AU1618" i="2"/>
  <c r="AU1619" i="2"/>
  <c r="AU1620" i="2"/>
  <c r="AU1621" i="2"/>
  <c r="AU1622" i="2"/>
  <c r="AU1623" i="2"/>
  <c r="AU1624" i="2"/>
  <c r="AU1625" i="2"/>
  <c r="AU1626" i="2"/>
  <c r="AU1627" i="2"/>
  <c r="AU1628" i="2"/>
  <c r="AU1629" i="2"/>
  <c r="AU1630" i="2"/>
  <c r="AU1631" i="2"/>
  <c r="AU1632" i="2"/>
  <c r="AU1633" i="2"/>
  <c r="AU1634" i="2"/>
  <c r="AU1635" i="2"/>
  <c r="AU1636" i="2"/>
  <c r="AU1637" i="2"/>
  <c r="AU1638" i="2"/>
  <c r="AU1639" i="2"/>
  <c r="AU1640" i="2"/>
  <c r="AU1641" i="2"/>
  <c r="AU1642" i="2"/>
  <c r="AU1643" i="2"/>
  <c r="AU1644" i="2"/>
  <c r="AU1645" i="2"/>
  <c r="AU1646" i="2"/>
  <c r="AU1647" i="2"/>
  <c r="AU1648" i="2"/>
  <c r="AU1649" i="2"/>
  <c r="AU1650" i="2"/>
  <c r="AU1651" i="2"/>
  <c r="AU1655" i="2"/>
  <c r="AU1656" i="2"/>
  <c r="AU1657" i="2"/>
  <c r="AU1658" i="2"/>
  <c r="AU1659" i="2"/>
  <c r="AU1660" i="2"/>
  <c r="AU1661" i="2"/>
  <c r="AU1662" i="2"/>
  <c r="AU1663" i="2"/>
  <c r="AU1664" i="2"/>
  <c r="AU1665" i="2"/>
  <c r="AU1666" i="2"/>
  <c r="AU1667" i="2"/>
  <c r="AU1668" i="2"/>
  <c r="AU1669" i="2"/>
  <c r="AU1670" i="2"/>
  <c r="AU1671" i="2"/>
  <c r="AU1672" i="2"/>
  <c r="AU1673" i="2"/>
  <c r="AU1674" i="2"/>
  <c r="AU1675" i="2"/>
  <c r="AU1676" i="2"/>
  <c r="AU1677" i="2"/>
  <c r="AU1678" i="2"/>
  <c r="AU1680" i="2"/>
  <c r="AU1683" i="2"/>
  <c r="AU1684" i="2"/>
  <c r="AU1687" i="2"/>
  <c r="AU1690" i="2"/>
  <c r="AU1691" i="2"/>
  <c r="AU1693" i="2"/>
  <c r="AU1694" i="2"/>
  <c r="AU1695" i="2"/>
  <c r="AU1696" i="2"/>
  <c r="AU1697" i="2"/>
  <c r="AU1698" i="2"/>
  <c r="AU1699" i="2"/>
  <c r="AU1700" i="2"/>
  <c r="AU1701" i="2"/>
  <c r="AU1702" i="2"/>
  <c r="AU1703" i="2"/>
  <c r="AU1704" i="2"/>
  <c r="AU1705" i="2"/>
  <c r="AU1706" i="2"/>
  <c r="AU1707" i="2"/>
  <c r="AU1708" i="2"/>
  <c r="AU1709" i="2"/>
  <c r="AU1710" i="2"/>
  <c r="AU1711" i="2"/>
  <c r="AU1712" i="2"/>
  <c r="AU1713" i="2"/>
  <c r="AU1714" i="2"/>
  <c r="AU1715" i="2"/>
  <c r="AU1716" i="2"/>
  <c r="AU1717" i="2"/>
  <c r="AU1718" i="2"/>
  <c r="AU1719" i="2"/>
  <c r="AU1721" i="2"/>
  <c r="AU1722" i="2"/>
  <c r="AU1723" i="2"/>
  <c r="AU1724" i="2"/>
  <c r="AU1725" i="2"/>
  <c r="AU1726" i="2"/>
  <c r="AU1727" i="2"/>
  <c r="AU1728" i="2"/>
  <c r="AU1729" i="2"/>
  <c r="AU1730" i="2"/>
  <c r="AU1731" i="2"/>
  <c r="AU1732" i="2"/>
  <c r="AU1733" i="2"/>
  <c r="AU1734" i="2"/>
  <c r="AU1735" i="2"/>
  <c r="AU1736" i="2"/>
  <c r="AU1737" i="2"/>
  <c r="AU1738" i="2"/>
  <c r="AU1739" i="2"/>
  <c r="AU1740" i="2"/>
  <c r="AU1741" i="2"/>
  <c r="AU1742" i="2"/>
  <c r="AU1743" i="2"/>
  <c r="AU1744" i="2"/>
  <c r="AU1745" i="2"/>
  <c r="AU1746" i="2"/>
  <c r="AU1747" i="2"/>
  <c r="AU1748" i="2"/>
  <c r="AU1749" i="2"/>
  <c r="AU1750" i="2"/>
  <c r="AU1751" i="2"/>
  <c r="AU1752" i="2"/>
  <c r="AU1753" i="2"/>
  <c r="AU1754" i="2"/>
  <c r="AU1755" i="2"/>
  <c r="AU1756" i="2"/>
  <c r="AU1757" i="2"/>
  <c r="AU1758" i="2"/>
  <c r="AU1759" i="2"/>
  <c r="AU1760" i="2"/>
  <c r="AU1761" i="2"/>
  <c r="AU1762" i="2"/>
  <c r="AU1763" i="2"/>
  <c r="AU1764" i="2"/>
  <c r="AU1765" i="2"/>
  <c r="AU1766" i="2"/>
  <c r="AU1767" i="2"/>
  <c r="AU1768" i="2"/>
  <c r="AU1769" i="2"/>
  <c r="AU1770" i="2"/>
  <c r="AU1771" i="2"/>
  <c r="AU1772" i="2"/>
  <c r="AU1773" i="2"/>
  <c r="AU1774" i="2"/>
  <c r="AU1775" i="2"/>
  <c r="AU1776" i="2"/>
  <c r="AU1777" i="2"/>
  <c r="AU1778" i="2"/>
  <c r="AU1779" i="2"/>
  <c r="AU1780" i="2"/>
  <c r="AU1781" i="2"/>
  <c r="AU1782" i="2"/>
  <c r="AU1783" i="2"/>
  <c r="AU1784" i="2"/>
  <c r="AU1785" i="2"/>
  <c r="AU1786" i="2"/>
  <c r="AU1787" i="2"/>
  <c r="AU1788" i="2"/>
  <c r="AU1789" i="2"/>
  <c r="AU1790" i="2"/>
  <c r="AU1791" i="2"/>
  <c r="AU1792" i="2"/>
  <c r="AU1793" i="2"/>
  <c r="AU1794" i="2"/>
  <c r="AU1795" i="2"/>
  <c r="AU1796" i="2"/>
  <c r="AU1797" i="2"/>
  <c r="AU1798" i="2"/>
  <c r="AU1799" i="2"/>
  <c r="AU1800" i="2"/>
  <c r="AU1801" i="2"/>
  <c r="AU1802" i="2"/>
  <c r="AU1803" i="2"/>
  <c r="AU1804" i="2"/>
  <c r="AU1805" i="2"/>
  <c r="AU1806" i="2"/>
  <c r="AU1807" i="2"/>
  <c r="AU1808" i="2"/>
  <c r="AU1809" i="2"/>
  <c r="AU1810" i="2"/>
  <c r="AU1811" i="2"/>
  <c r="AU1812" i="2"/>
  <c r="AU1813" i="2"/>
  <c r="AU1814" i="2"/>
  <c r="AU1815" i="2"/>
  <c r="AU1816" i="2"/>
  <c r="AU1817" i="2"/>
  <c r="AU1818" i="2"/>
  <c r="AU1819" i="2"/>
  <c r="AU1820" i="2"/>
  <c r="AU1822" i="2"/>
  <c r="AU1823" i="2"/>
  <c r="AU1824" i="2"/>
  <c r="AU1825" i="2"/>
  <c r="AU1826" i="2"/>
  <c r="AU1827" i="2"/>
  <c r="AU1828" i="2"/>
  <c r="AU1829" i="2"/>
  <c r="AU1830" i="2"/>
  <c r="AU1831" i="2"/>
  <c r="AU1832" i="2"/>
  <c r="AU1833" i="2"/>
  <c r="AU1834" i="2"/>
  <c r="AU1835" i="2"/>
  <c r="AU1836" i="2"/>
  <c r="AU1837" i="2"/>
  <c r="AU1838" i="2"/>
  <c r="AU1839" i="2"/>
  <c r="AU1840" i="2"/>
  <c r="AU1841" i="2"/>
  <c r="AU1842" i="2"/>
  <c r="AU1843" i="2"/>
  <c r="AU1844" i="2"/>
  <c r="AU1845" i="2"/>
  <c r="AU1847" i="2"/>
  <c r="AU1848" i="2"/>
  <c r="AU1849" i="2"/>
  <c r="AU1850" i="2"/>
  <c r="AU1851" i="2"/>
  <c r="AU1852" i="2"/>
  <c r="AU1853" i="2"/>
  <c r="AU1854" i="2"/>
  <c r="AU1855" i="2"/>
  <c r="AU1856" i="2"/>
  <c r="AU1857" i="2"/>
  <c r="AU1858" i="2"/>
  <c r="AU1859" i="2"/>
  <c r="AU1860" i="2"/>
  <c r="AU1862" i="2"/>
  <c r="AU1863" i="2"/>
  <c r="AU1864" i="2"/>
  <c r="AU1865" i="2"/>
  <c r="AU1866" i="2"/>
  <c r="AU1867" i="2"/>
  <c r="AU1868" i="2"/>
  <c r="AU1869" i="2"/>
  <c r="AU1870" i="2"/>
  <c r="AU1871" i="2"/>
  <c r="AU1872" i="2"/>
  <c r="AU1873" i="2"/>
  <c r="AU1874" i="2"/>
  <c r="AU1875" i="2"/>
  <c r="AU1876" i="2"/>
  <c r="AU1877" i="2"/>
  <c r="AU1878" i="2"/>
  <c r="AU1879" i="2"/>
  <c r="AU1880" i="2"/>
  <c r="AU1881" i="2"/>
  <c r="AU1882" i="2"/>
  <c r="AU1883" i="2"/>
  <c r="AU1884" i="2"/>
  <c r="AU1885" i="2"/>
  <c r="AU1886" i="2"/>
  <c r="AU1887" i="2"/>
  <c r="AU1888" i="2"/>
  <c r="AU1889" i="2"/>
  <c r="AU1890" i="2"/>
  <c r="AU1891" i="2"/>
  <c r="AU1892" i="2"/>
  <c r="AU1893" i="2"/>
  <c r="AU1894" i="2"/>
  <c r="AU1895" i="2"/>
  <c r="AU1896" i="2"/>
  <c r="AU1897" i="2"/>
  <c r="AU1898" i="2"/>
  <c r="AU1899" i="2"/>
  <c r="AU1900" i="2"/>
  <c r="AU1901" i="2"/>
  <c r="AU1902" i="2"/>
  <c r="AU1903" i="2"/>
  <c r="AU1904" i="2"/>
  <c r="AU1905" i="2"/>
  <c r="AU1906" i="2"/>
  <c r="AU1907" i="2"/>
  <c r="AU1908" i="2"/>
  <c r="AU1909" i="2"/>
  <c r="AU1910" i="2"/>
  <c r="AU1911" i="2"/>
  <c r="AU1912" i="2"/>
  <c r="AU1913" i="2"/>
  <c r="AU1914" i="2"/>
  <c r="AU1915" i="2"/>
  <c r="AU1916" i="2"/>
  <c r="AU1917" i="2"/>
  <c r="AU1918" i="2"/>
  <c r="AU1919" i="2"/>
  <c r="AU1920" i="2"/>
  <c r="AU1921" i="2"/>
  <c r="AU1922" i="2"/>
  <c r="AU1923" i="2"/>
  <c r="AU1924" i="2"/>
  <c r="AU1929" i="2"/>
  <c r="AU1930" i="2"/>
  <c r="AU1931" i="2"/>
  <c r="AU1932" i="2"/>
  <c r="AU1933" i="2"/>
  <c r="AU1952" i="2"/>
  <c r="AU1953" i="2"/>
  <c r="AU1954" i="2"/>
  <c r="AU1955" i="2"/>
  <c r="AU1956" i="2"/>
  <c r="AU1957" i="2"/>
  <c r="AU1958" i="2"/>
  <c r="AU1959" i="2"/>
  <c r="AU1960" i="2"/>
  <c r="AU1961" i="2"/>
  <c r="AU1962" i="2"/>
  <c r="AU1963" i="2"/>
  <c r="AU1964" i="2"/>
  <c r="AU1965" i="2"/>
  <c r="AU1966" i="2"/>
  <c r="AU1967" i="2"/>
  <c r="AU1968" i="2"/>
  <c r="AU1969" i="2"/>
  <c r="AU1970" i="2"/>
  <c r="AU1971" i="2"/>
  <c r="AU1972" i="2"/>
  <c r="AU1973" i="2"/>
  <c r="AU1974" i="2"/>
  <c r="AU1975" i="2"/>
  <c r="AU1976" i="2"/>
  <c r="AU1977" i="2"/>
  <c r="AU1978" i="2"/>
  <c r="AU1979" i="2"/>
  <c r="AU1980" i="2"/>
  <c r="AU1981" i="2"/>
  <c r="AU1982" i="2"/>
  <c r="AU1983" i="2"/>
  <c r="AU1984" i="2"/>
  <c r="AU1985" i="2"/>
  <c r="AU1986" i="2"/>
  <c r="AU1987" i="2"/>
  <c r="AU1988" i="2"/>
  <c r="AU1989" i="2"/>
  <c r="AU1990" i="2"/>
  <c r="AU1991" i="2"/>
  <c r="AU1992" i="2"/>
  <c r="AU1993" i="2"/>
  <c r="AU1994" i="2"/>
  <c r="AU1995" i="2"/>
  <c r="AU1996" i="2"/>
  <c r="AU2001" i="2"/>
  <c r="AU2002" i="2"/>
  <c r="AU2003" i="2"/>
  <c r="AU2004" i="2"/>
  <c r="AU2005" i="2"/>
  <c r="AU2006" i="2"/>
  <c r="AU2008" i="2"/>
  <c r="AU2009" i="2"/>
  <c r="AU2010" i="2"/>
  <c r="AU2011" i="2"/>
  <c r="AU2012" i="2"/>
  <c r="AU2013" i="2"/>
  <c r="AU2014" i="2"/>
  <c r="AU2018" i="2"/>
  <c r="AU2020" i="2"/>
  <c r="AU2021" i="2"/>
  <c r="AU2022" i="2"/>
  <c r="AU2023" i="2"/>
  <c r="AU2024" i="2"/>
  <c r="AU2025" i="2"/>
  <c r="AU2026" i="2"/>
  <c r="AU2027" i="2"/>
  <c r="AU2028" i="2"/>
  <c r="AU2029" i="2"/>
  <c r="AU2" i="2"/>
  <c r="BV1951" i="2" l="1"/>
  <c r="AQ1951" i="2"/>
  <c r="AB1951" i="2"/>
  <c r="AE1951" i="2" s="1"/>
  <c r="B1951" i="2"/>
  <c r="AQ1950" i="2"/>
  <c r="AT1950" i="2" s="1"/>
  <c r="AQ1949" i="2"/>
  <c r="AT1949" i="2" s="1"/>
  <c r="AQ1948" i="2"/>
  <c r="AT1948" i="2" s="1"/>
  <c r="AQ1947" i="2"/>
  <c r="AT1947" i="2" s="1"/>
  <c r="AQ1946" i="2"/>
  <c r="AT1946" i="2" s="1"/>
  <c r="AQ1944" i="2"/>
  <c r="AT1944" i="2" s="1"/>
  <c r="AQ1943" i="2"/>
  <c r="AT1943" i="2" s="1"/>
  <c r="X1940" i="2"/>
  <c r="X1939" i="2"/>
  <c r="AR1951" i="2" l="1"/>
  <c r="AT1951" i="2"/>
  <c r="AV1951" i="2" s="1"/>
  <c r="AQ2029" i="2"/>
  <c r="AQ2021" i="2"/>
  <c r="AQ2005" i="2"/>
  <c r="AR2005" i="2" s="1"/>
  <c r="AQ2028" i="2"/>
  <c r="AQ2004" i="2"/>
  <c r="AQ2027" i="2"/>
  <c r="AQ2020" i="2"/>
  <c r="AQ2003" i="2"/>
  <c r="AR2003" i="2" s="1"/>
  <c r="AN2029" i="2"/>
  <c r="AN2028" i="2"/>
  <c r="AN2027" i="2"/>
  <c r="AN2021" i="2"/>
  <c r="AN2020" i="2"/>
  <c r="AU1951" i="2" l="1"/>
  <c r="BV2029" i="2"/>
  <c r="B2029" i="2"/>
  <c r="BV2028" i="2"/>
  <c r="B2028" i="2"/>
  <c r="AN2026" i="2" l="1"/>
  <c r="AQ2026" i="2"/>
  <c r="AR2026" i="2" s="1"/>
  <c r="AR2028" i="2" s="1"/>
  <c r="BV2026" i="2"/>
  <c r="B2026" i="2"/>
  <c r="BV2027" i="2"/>
  <c r="B2027" i="2"/>
  <c r="AQ1985" i="2"/>
  <c r="AQ2002" i="2"/>
  <c r="BO1976" i="2"/>
  <c r="BO1973" i="2"/>
  <c r="BO2014" i="2"/>
  <c r="BO1974" i="2"/>
  <c r="X1919" i="2"/>
  <c r="X1920" i="2"/>
  <c r="X1921" i="2"/>
  <c r="X1918" i="2"/>
  <c r="AR1985" i="2" l="1"/>
  <c r="AP2028" i="2"/>
  <c r="AP2026" i="2"/>
  <c r="AR1879" i="2"/>
  <c r="AP1915" i="2"/>
  <c r="AP1914" i="2"/>
  <c r="AO1926" i="2"/>
  <c r="B1937" i="2"/>
  <c r="X1662" i="2"/>
  <c r="X1837" i="2"/>
  <c r="AO1938" i="2"/>
  <c r="BO1828" i="2" l="1"/>
  <c r="BO1829" i="2"/>
  <c r="BO1830" i="2"/>
  <c r="BO1827" i="2"/>
  <c r="BV2025" i="2" l="1"/>
  <c r="AQ2025" i="2"/>
  <c r="AP2025" i="2"/>
  <c r="B2025" i="2"/>
  <c r="BV2008" i="2"/>
  <c r="BV2009" i="2"/>
  <c r="BV2010" i="2"/>
  <c r="BV2015" i="2"/>
  <c r="BV2016" i="2"/>
  <c r="BV2017" i="2"/>
  <c r="BV2018" i="2"/>
  <c r="BV2019" i="2"/>
  <c r="BV2020" i="2"/>
  <c r="AQ2024" i="2"/>
  <c r="AQ2023" i="2"/>
  <c r="AN2024" i="2"/>
  <c r="AN2023" i="2"/>
  <c r="AQ2022" i="2"/>
  <c r="AN2022" i="2"/>
  <c r="B2024" i="2"/>
  <c r="B2023" i="2"/>
  <c r="B2022" i="2"/>
  <c r="BV2021" i="2"/>
  <c r="AR2023" i="2" l="1"/>
  <c r="AR2022" i="2"/>
  <c r="AR2024" i="2"/>
  <c r="AR2025" i="2"/>
  <c r="AR2027" i="2" s="1"/>
  <c r="AR2020" i="2"/>
  <c r="AR2029" i="2"/>
  <c r="AP2027" i="2"/>
  <c r="AP2024" i="2"/>
  <c r="AP2023" i="2"/>
  <c r="AP2022" i="2"/>
  <c r="AP2020" i="2"/>
  <c r="AP2029" i="2" l="1"/>
  <c r="B2021" i="2"/>
  <c r="B2020" i="2"/>
  <c r="AQ2018" i="2"/>
  <c r="AT2016" i="2"/>
  <c r="AT2017" i="2"/>
  <c r="AT2015" i="2"/>
  <c r="AT1937" i="2"/>
  <c r="AQ1402" i="2"/>
  <c r="AV2019" i="2" l="1"/>
  <c r="AU2019" i="2"/>
  <c r="AV2015" i="2"/>
  <c r="AU2015" i="2"/>
  <c r="AU1937" i="2"/>
  <c r="AV1937" i="2"/>
  <c r="AV2016" i="2"/>
  <c r="AU2016" i="2"/>
  <c r="AV2017" i="2"/>
  <c r="AU2017" i="2"/>
  <c r="AR2018" i="2"/>
  <c r="AR2021" i="2"/>
  <c r="AP2021" i="2"/>
  <c r="AQ1777" i="2"/>
  <c r="AN1937" i="2"/>
  <c r="AP1937" i="2" s="1"/>
  <c r="AN1936" i="2"/>
  <c r="AN1938" i="2" s="1"/>
  <c r="AN1940" i="2" s="1"/>
  <c r="BV2013" i="2"/>
  <c r="BV2012" i="2"/>
  <c r="BV2001" i="2"/>
  <c r="BO1975" i="2"/>
  <c r="AQ2008" i="2"/>
  <c r="AQ1979" i="2"/>
  <c r="AR1973" i="2"/>
  <c r="AN1943" i="2" l="1"/>
  <c r="AN1945" i="2" s="1"/>
  <c r="AN1947" i="2" s="1"/>
  <c r="AN1949" i="2" s="1"/>
  <c r="AN1951" i="2" s="1"/>
  <c r="AP1951" i="2" s="1"/>
  <c r="AN1942" i="2"/>
  <c r="AP1942" i="2" s="1"/>
  <c r="BO1831" i="2"/>
  <c r="AN1939" i="2"/>
  <c r="AN1941" i="2" l="1"/>
  <c r="AN1944" i="2" s="1"/>
  <c r="AN1946" i="2" s="1"/>
  <c r="AN1948" i="2" s="1"/>
  <c r="AN1950" i="2" s="1"/>
  <c r="AP1939" i="2"/>
  <c r="AC2019" i="2"/>
  <c r="AE2019" i="2" s="1"/>
  <c r="AQ2013" i="2" l="1"/>
  <c r="BO1924" i="2"/>
  <c r="B1973" i="2" l="1"/>
  <c r="AT1925" i="2" l="1"/>
  <c r="AR1925" i="2"/>
  <c r="BO1978" i="2"/>
  <c r="BO1972" i="2"/>
  <c r="BO1933" i="2"/>
  <c r="BO1932" i="2"/>
  <c r="J5" i="6"/>
  <c r="AP1924" i="2"/>
  <c r="BO1836" i="2"/>
  <c r="D381" i="5"/>
  <c r="D380" i="5"/>
  <c r="D379" i="5"/>
  <c r="D375" i="5"/>
  <c r="D333" i="5"/>
  <c r="D332" i="5"/>
  <c r="D331" i="5"/>
  <c r="D330" i="5"/>
  <c r="D329" i="5"/>
  <c r="D328" i="5"/>
  <c r="D327" i="5"/>
  <c r="D326" i="5"/>
  <c r="D325" i="5"/>
  <c r="D324" i="5"/>
  <c r="D323" i="5"/>
  <c r="D322" i="5"/>
  <c r="D321" i="5"/>
  <c r="D320" i="5"/>
  <c r="D319" i="5"/>
  <c r="D318" i="5"/>
  <c r="D317" i="5"/>
  <c r="D316" i="5"/>
  <c r="D315" i="5"/>
  <c r="D314" i="5"/>
  <c r="D313" i="5"/>
  <c r="D312" i="5"/>
  <c r="D311" i="5"/>
  <c r="D310" i="5"/>
  <c r="D309" i="5"/>
  <c r="D308" i="5"/>
  <c r="D307" i="5"/>
  <c r="D306" i="5"/>
  <c r="D305" i="5"/>
  <c r="D304" i="5"/>
  <c r="D303" i="5"/>
  <c r="D302" i="5"/>
  <c r="D301" i="5"/>
  <c r="D300" i="5"/>
  <c r="D299" i="5"/>
  <c r="D298" i="5"/>
  <c r="D297" i="5"/>
  <c r="D296" i="5"/>
  <c r="D295" i="5"/>
  <c r="D294" i="5"/>
  <c r="D293" i="5"/>
  <c r="D292" i="5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8" i="5"/>
  <c r="D237" i="5"/>
  <c r="D232" i="5"/>
  <c r="D231" i="5"/>
  <c r="D230" i="5"/>
  <c r="D374" i="5"/>
  <c r="D373" i="5"/>
  <c r="D372" i="5"/>
  <c r="D371" i="5"/>
  <c r="D370" i="5"/>
  <c r="D369" i="5"/>
  <c r="D368" i="5"/>
  <c r="D367" i="5"/>
  <c r="D366" i="5"/>
  <c r="D365" i="5"/>
  <c r="D364" i="5"/>
  <c r="D363" i="5"/>
  <c r="D362" i="5"/>
  <c r="D361" i="5"/>
  <c r="D360" i="5"/>
  <c r="D359" i="5"/>
  <c r="D357" i="5"/>
  <c r="D356" i="5"/>
  <c r="D355" i="5"/>
  <c r="D354" i="5"/>
  <c r="D353" i="5"/>
  <c r="D352" i="5"/>
  <c r="H352" i="5" s="1"/>
  <c r="D351" i="5"/>
  <c r="D350" i="5"/>
  <c r="D349" i="5"/>
  <c r="D348" i="5"/>
  <c r="D347" i="5"/>
  <c r="D346" i="5"/>
  <c r="D345" i="5"/>
  <c r="D344" i="5"/>
  <c r="D343" i="5"/>
  <c r="D342" i="5"/>
  <c r="D341" i="5"/>
  <c r="D340" i="5"/>
  <c r="D339" i="5"/>
  <c r="D338" i="5"/>
  <c r="D337" i="5"/>
  <c r="D336" i="5"/>
  <c r="D335" i="5"/>
  <c r="D334" i="5"/>
  <c r="D358" i="5"/>
  <c r="AU1925" i="2" l="1"/>
  <c r="AV1925" i="2"/>
  <c r="AR2004" i="2" l="1"/>
  <c r="BV1959" i="2"/>
  <c r="AQ1959" i="2"/>
  <c r="BV2003" i="2"/>
  <c r="BV2004" i="2"/>
  <c r="AP2004" i="2"/>
  <c r="AN2004" i="2"/>
  <c r="AN2003" i="2"/>
  <c r="AN1925" i="2"/>
  <c r="AQ1960" i="2"/>
  <c r="AQ1958" i="2"/>
  <c r="AR1958" i="2" s="1"/>
  <c r="AN2005" i="2"/>
  <c r="X1839" i="2"/>
  <c r="AR1940" i="2"/>
  <c r="AR1941" i="2"/>
  <c r="AR1943" i="2"/>
  <c r="AR1944" i="2"/>
  <c r="AR1945" i="2"/>
  <c r="AR1946" i="2"/>
  <c r="AR1947" i="2"/>
  <c r="AR1948" i="2"/>
  <c r="AR1949" i="2"/>
  <c r="AR1950" i="2"/>
  <c r="AS1822" i="2"/>
  <c r="AQ1977" i="2"/>
  <c r="BV2014" i="2"/>
  <c r="AP2014" i="2"/>
  <c r="AP2013" i="2"/>
  <c r="AP2012" i="2"/>
  <c r="AP2010" i="2"/>
  <c r="AP2001" i="2"/>
  <c r="B2010" i="2"/>
  <c r="AP1731" i="2"/>
  <c r="BO1880" i="2"/>
  <c r="BV1831" i="2"/>
  <c r="AP1831" i="2"/>
  <c r="B1831" i="2"/>
  <c r="AP1830" i="2"/>
  <c r="BV1830" i="2"/>
  <c r="B1830" i="2"/>
  <c r="AP1957" i="2"/>
  <c r="AP1955" i="2"/>
  <c r="AP1953" i="2"/>
  <c r="AP1952" i="2"/>
  <c r="AP1880" i="2"/>
  <c r="AP1967" i="2"/>
  <c r="AP1845" i="2"/>
  <c r="AP1841" i="2"/>
  <c r="AP1840" i="2"/>
  <c r="AP1778" i="2"/>
  <c r="AP1777" i="2"/>
  <c r="AP1934" i="2"/>
  <c r="AP1935" i="2"/>
  <c r="AP1749" i="2"/>
  <c r="AP1728" i="2"/>
  <c r="AR1831" i="2" l="1"/>
  <c r="AR2001" i="2"/>
  <c r="AR2013" i="2"/>
  <c r="AP1959" i="2"/>
  <c r="AR1830" i="2"/>
  <c r="AR2010" i="2"/>
  <c r="AR2012" i="2"/>
  <c r="AR1977" i="2"/>
  <c r="AR1959" i="2"/>
  <c r="AP2003" i="2"/>
  <c r="AP1956" i="2"/>
  <c r="AP1913" i="2"/>
  <c r="AP1881" i="2"/>
  <c r="AP1885" i="2"/>
  <c r="AP1884" i="2"/>
  <c r="AP1883" i="2"/>
  <c r="AP1882" i="2"/>
  <c r="AP1828" i="2"/>
  <c r="AP1829" i="2"/>
  <c r="AN1909" i="2"/>
  <c r="AN1908" i="2"/>
  <c r="AN1907" i="2"/>
  <c r="AN1906" i="2"/>
  <c r="AN1905" i="2"/>
  <c r="AN1904" i="2"/>
  <c r="AN1902" i="2"/>
  <c r="AN1899" i="2"/>
  <c r="AN1898" i="2"/>
  <c r="AN1897" i="2"/>
  <c r="AN1888" i="2"/>
  <c r="AN1887" i="2"/>
  <c r="AN1865" i="2"/>
  <c r="AN1854" i="2"/>
  <c r="AN1853" i="2"/>
  <c r="AN1852" i="2"/>
  <c r="AN1851" i="2"/>
  <c r="AN1850" i="2"/>
  <c r="AN1849" i="2"/>
  <c r="AN1848" i="2"/>
  <c r="AN1847" i="2"/>
  <c r="AN1844" i="2"/>
  <c r="AN1843" i="2"/>
  <c r="AN1842" i="2"/>
  <c r="AN1838" i="2"/>
  <c r="AN1833" i="2"/>
  <c r="AN1832" i="2"/>
  <c r="AN1826" i="2"/>
  <c r="AN1825" i="2"/>
  <c r="AN1824" i="2"/>
  <c r="AN1823" i="2"/>
  <c r="AN1822" i="2"/>
  <c r="AN1821" i="2"/>
  <c r="AN1816" i="2"/>
  <c r="AN1815" i="2"/>
  <c r="AN1814" i="2"/>
  <c r="AN1813" i="2"/>
  <c r="AN1812" i="2"/>
  <c r="AN1811" i="2"/>
  <c r="AN1810" i="2"/>
  <c r="AN1809" i="2"/>
  <c r="AN1808" i="2"/>
  <c r="AN1807" i="2"/>
  <c r="AN1806" i="2"/>
  <c r="AN1805" i="2"/>
  <c r="AN1804" i="2"/>
  <c r="AN1803" i="2"/>
  <c r="AN1802" i="2"/>
  <c r="AN1801" i="2"/>
  <c r="AN1800" i="2"/>
  <c r="AN1799" i="2"/>
  <c r="AN1798" i="2"/>
  <c r="AN1796" i="2"/>
  <c r="AN1795" i="2"/>
  <c r="AN1794" i="2"/>
  <c r="AN1793" i="2"/>
  <c r="AN1792" i="2"/>
  <c r="AN1791" i="2"/>
  <c r="AN1790" i="2"/>
  <c r="AN1789" i="2"/>
  <c r="AN1788" i="2"/>
  <c r="AN1787" i="2"/>
  <c r="AN1786" i="2"/>
  <c r="AN1785" i="2"/>
  <c r="AN1784" i="2"/>
  <c r="AN1783" i="2"/>
  <c r="AN1782" i="2"/>
  <c r="AN1781" i="2"/>
  <c r="AN1776" i="2"/>
  <c r="AN1775" i="2"/>
  <c r="AN1774" i="2"/>
  <c r="AN1773" i="2"/>
  <c r="AN1772" i="2"/>
  <c r="AN1771" i="2"/>
  <c r="AN1770" i="2"/>
  <c r="AN1769" i="2"/>
  <c r="AN1768" i="2"/>
  <c r="AN1767" i="2"/>
  <c r="AN1765" i="2"/>
  <c r="AN1764" i="2"/>
  <c r="AN1763" i="2"/>
  <c r="AN1762" i="2"/>
  <c r="AN1761" i="2"/>
  <c r="AN1760" i="2"/>
  <c r="AN1759" i="2"/>
  <c r="AN1755" i="2"/>
  <c r="AN1752" i="2"/>
  <c r="AN1748" i="2"/>
  <c r="AN1744" i="2"/>
  <c r="AN1742" i="2"/>
  <c r="AN1733" i="2"/>
  <c r="AN1724" i="2"/>
  <c r="AN1723" i="2"/>
  <c r="AN1707" i="2"/>
  <c r="AN1706" i="2"/>
  <c r="AN1704" i="2"/>
  <c r="AN1703" i="2"/>
  <c r="AN1702" i="2"/>
  <c r="AN1701" i="2"/>
  <c r="AN1700" i="2"/>
  <c r="AN1699" i="2"/>
  <c r="AN1698" i="2"/>
  <c r="AN1697" i="2"/>
  <c r="AN1696" i="2"/>
  <c r="AN1695" i="2"/>
  <c r="AN1694" i="2"/>
  <c r="AN1693" i="2"/>
  <c r="AN1692" i="2"/>
  <c r="AN1691" i="2"/>
  <c r="AN1690" i="2"/>
  <c r="AN1689" i="2"/>
  <c r="AN1688" i="2"/>
  <c r="AN1687" i="2"/>
  <c r="AN1686" i="2"/>
  <c r="AN1685" i="2"/>
  <c r="AN1684" i="2"/>
  <c r="AN1683" i="2"/>
  <c r="AN1682" i="2"/>
  <c r="AN1681" i="2"/>
  <c r="AN1680" i="2"/>
  <c r="AN1679" i="2"/>
  <c r="AN1678" i="2"/>
  <c r="AN1677" i="2"/>
  <c r="AN1676" i="2"/>
  <c r="AN1675" i="2"/>
  <c r="AN1674" i="2"/>
  <c r="AN1673" i="2"/>
  <c r="AN1672" i="2"/>
  <c r="AN1671" i="2"/>
  <c r="AN1670" i="2"/>
  <c r="AN1669" i="2"/>
  <c r="AN1668" i="2"/>
  <c r="AN1667" i="2"/>
  <c r="AN1666" i="2"/>
  <c r="AN1665" i="2"/>
  <c r="AN1664" i="2"/>
  <c r="AN1663" i="2"/>
  <c r="AN1661" i="2"/>
  <c r="AN1660" i="2"/>
  <c r="AN1644" i="2"/>
  <c r="AN1639" i="2"/>
  <c r="AN1637" i="2"/>
  <c r="AN1636" i="2"/>
  <c r="AN1635" i="2"/>
  <c r="AN1634" i="2"/>
  <c r="AN1633" i="2"/>
  <c r="AN1628" i="2"/>
  <c r="AN1627" i="2"/>
  <c r="AN1625" i="2"/>
  <c r="AN1619" i="2"/>
  <c r="AN1618" i="2"/>
  <c r="AN1617" i="2"/>
  <c r="AN1614" i="2"/>
  <c r="AN1613" i="2"/>
  <c r="AN1612" i="2"/>
  <c r="AN1609" i="2"/>
  <c r="AN1607" i="2"/>
  <c r="AN1601" i="2"/>
  <c r="AN1599" i="2"/>
  <c r="AN1598" i="2"/>
  <c r="AN1595" i="2"/>
  <c r="AN1594" i="2"/>
  <c r="AN1593" i="2"/>
  <c r="AN1591" i="2"/>
  <c r="AN1590" i="2"/>
  <c r="AN1589" i="2"/>
  <c r="AN1588" i="2"/>
  <c r="AN1587" i="2"/>
  <c r="AN1584" i="2"/>
  <c r="AN1583" i="2"/>
  <c r="AN1582" i="2"/>
  <c r="AN1581" i="2"/>
  <c r="AN1578" i="2"/>
  <c r="AN1576" i="2"/>
  <c r="AN1574" i="2"/>
  <c r="AN1573" i="2"/>
  <c r="AN1567" i="2"/>
  <c r="AN1565" i="2"/>
  <c r="AN1558" i="2"/>
  <c r="AN1555" i="2"/>
  <c r="AN1550" i="2"/>
  <c r="AN1541" i="2"/>
  <c r="AN1529" i="2"/>
  <c r="AN1515" i="2"/>
  <c r="AN1514" i="2"/>
  <c r="AN1512" i="2"/>
  <c r="AN1511" i="2"/>
  <c r="AN1498" i="2"/>
  <c r="AN1495" i="2"/>
  <c r="AN1494" i="2"/>
  <c r="AN1489" i="2"/>
  <c r="AN1481" i="2"/>
  <c r="AN1480" i="2"/>
  <c r="AN1478" i="2"/>
  <c r="AN1477" i="2"/>
  <c r="AN1474" i="2"/>
  <c r="AN1473" i="2"/>
  <c r="AN1472" i="2"/>
  <c r="AN1470" i="2"/>
  <c r="AN1469" i="2"/>
  <c r="AN1455" i="2"/>
  <c r="AN1423" i="2"/>
  <c r="AN1419" i="2"/>
  <c r="AN1403" i="2"/>
  <c r="AN1343" i="2"/>
  <c r="AN1311" i="2"/>
  <c r="AN1310" i="2"/>
  <c r="AB1950" i="2"/>
  <c r="AE1950" i="2" s="1"/>
  <c r="AB1876" i="2"/>
  <c r="AE1876" i="2" s="1"/>
  <c r="AB1691" i="2"/>
  <c r="AE1691" i="2" s="1"/>
  <c r="AB1690" i="2"/>
  <c r="AE1690" i="2" s="1"/>
  <c r="AB1689" i="2"/>
  <c r="AE1689" i="2" s="1"/>
  <c r="AB1688" i="2"/>
  <c r="AE1688" i="2" s="1"/>
  <c r="AB1687" i="2"/>
  <c r="AE1687" i="2" s="1"/>
  <c r="AB1686" i="2"/>
  <c r="AE1686" i="2" s="1"/>
  <c r="AB1685" i="2"/>
  <c r="AE1685" i="2" s="1"/>
  <c r="AB1684" i="2"/>
  <c r="AE1684" i="2" s="1"/>
  <c r="AB1683" i="2"/>
  <c r="AE1683" i="2" s="1"/>
  <c r="AB1682" i="2"/>
  <c r="AE1682" i="2" s="1"/>
  <c r="AB1681" i="2"/>
  <c r="AE1681" i="2" s="1"/>
  <c r="AB1680" i="2"/>
  <c r="AE1680" i="2" s="1"/>
  <c r="AB1679" i="2"/>
  <c r="AE1679" i="2" s="1"/>
  <c r="AB1678" i="2"/>
  <c r="AE1678" i="2" s="1"/>
  <c r="AB1677" i="2"/>
  <c r="AE1677" i="2" s="1"/>
  <c r="AB1676" i="2"/>
  <c r="AE1676" i="2" s="1"/>
  <c r="AB1675" i="2"/>
  <c r="AE1675" i="2" s="1"/>
  <c r="AB1674" i="2"/>
  <c r="AE1674" i="2" s="1"/>
  <c r="AF1664" i="2"/>
  <c r="AF1663" i="2"/>
  <c r="AF1662" i="2"/>
  <c r="AF1639" i="2"/>
  <c r="AF1578" i="2"/>
  <c r="AB1508" i="2"/>
  <c r="AF1506" i="2"/>
  <c r="AB1505" i="2"/>
  <c r="AF1466" i="2"/>
  <c r="AF1465" i="2"/>
  <c r="AB1406" i="2"/>
  <c r="AE1406" i="2" s="1"/>
  <c r="AB1403" i="2"/>
  <c r="AE1403" i="2" s="1"/>
  <c r="AB1390" i="2"/>
  <c r="AE1390" i="2" s="1"/>
  <c r="AB1319" i="2"/>
  <c r="AE1319" i="2" s="1"/>
  <c r="AB1128" i="2"/>
  <c r="AE1128" i="2" s="1"/>
  <c r="AB1106" i="2"/>
  <c r="AE1106" i="2" s="1"/>
  <c r="AB1105" i="2"/>
  <c r="AE1105" i="2" s="1"/>
  <c r="AF956" i="2"/>
  <c r="AF947" i="2"/>
  <c r="AF903" i="2"/>
  <c r="AF902" i="2"/>
  <c r="AF901" i="2"/>
  <c r="AF900" i="2"/>
  <c r="AB856" i="2"/>
  <c r="AE856" i="2" s="1"/>
  <c r="AB855" i="2"/>
  <c r="AE855" i="2" s="1"/>
  <c r="AF814" i="2"/>
  <c r="AF813" i="2"/>
  <c r="AF812" i="2"/>
  <c r="AB758" i="2"/>
  <c r="AE758" i="2" s="1"/>
  <c r="AB737" i="2"/>
  <c r="AE737" i="2" s="1"/>
  <c r="AB736" i="2"/>
  <c r="AE736" i="2" s="1"/>
  <c r="AF728" i="2"/>
  <c r="AF727" i="2"/>
  <c r="AF726" i="2"/>
  <c r="AB722" i="2"/>
  <c r="AE722" i="2" s="1"/>
  <c r="AB721" i="2"/>
  <c r="AE721" i="2" s="1"/>
  <c r="AB519" i="2"/>
  <c r="AE519" i="2" s="1"/>
  <c r="AF508" i="2"/>
  <c r="AF507" i="2"/>
  <c r="AF506" i="2"/>
  <c r="AF505" i="2"/>
  <c r="AF504" i="2"/>
  <c r="AF503" i="2"/>
  <c r="AF502" i="2"/>
  <c r="AF501" i="2"/>
  <c r="AF500" i="2"/>
  <c r="AF499" i="2"/>
  <c r="AF498" i="2"/>
  <c r="AF497" i="2"/>
  <c r="AF496" i="2"/>
  <c r="AF495" i="2"/>
  <c r="AF494" i="2"/>
  <c r="AF493" i="2"/>
  <c r="AF492" i="2"/>
  <c r="AF491" i="2"/>
  <c r="AF490" i="2"/>
  <c r="AF489" i="2"/>
  <c r="AF488" i="2"/>
  <c r="AF487" i="2"/>
  <c r="AF486" i="2"/>
  <c r="AF485" i="2"/>
  <c r="AF484" i="2"/>
  <c r="AF483" i="2"/>
  <c r="AF482" i="2"/>
  <c r="AF481" i="2"/>
  <c r="AF480" i="2"/>
  <c r="AF479" i="2"/>
  <c r="AF478" i="2"/>
  <c r="AF477" i="2"/>
  <c r="AF476" i="2"/>
  <c r="AF475" i="2"/>
  <c r="AF474" i="2"/>
  <c r="AF473" i="2"/>
  <c r="AF454" i="2"/>
  <c r="AF453" i="2"/>
  <c r="AF452" i="2"/>
  <c r="AF451" i="2"/>
  <c r="AF450" i="2"/>
  <c r="AF449" i="2"/>
  <c r="AF448" i="2"/>
  <c r="AF447" i="2"/>
  <c r="AF446" i="2"/>
  <c r="AF443" i="2"/>
  <c r="AF440" i="2"/>
  <c r="AF439" i="2"/>
  <c r="AF438" i="2"/>
  <c r="AF437" i="2"/>
  <c r="AF436" i="2"/>
  <c r="AF435" i="2"/>
  <c r="AF434" i="2"/>
  <c r="AF433" i="2"/>
  <c r="AF432" i="2"/>
  <c r="AF422" i="2"/>
  <c r="AF421" i="2"/>
  <c r="AF420" i="2"/>
  <c r="AF419" i="2"/>
  <c r="AF418" i="2"/>
  <c r="AF416" i="2"/>
  <c r="AF406" i="2"/>
  <c r="AF405" i="2"/>
  <c r="AF404" i="2"/>
  <c r="AF403" i="2"/>
  <c r="AF402" i="2"/>
  <c r="AF401" i="2"/>
  <c r="AF400" i="2"/>
  <c r="AF398" i="2"/>
  <c r="AF396" i="2"/>
  <c r="AF395" i="2"/>
  <c r="AF390" i="2"/>
  <c r="AF387" i="2"/>
  <c r="AF381" i="2"/>
  <c r="AF380" i="2"/>
  <c r="AF379" i="2"/>
  <c r="AF378" i="2"/>
  <c r="AF367" i="2"/>
  <c r="AF366" i="2"/>
  <c r="AF365" i="2"/>
  <c r="AF364" i="2"/>
  <c r="AF363" i="2"/>
  <c r="AF362" i="2"/>
  <c r="AF361" i="2"/>
  <c r="AF360" i="2"/>
  <c r="AF359" i="2"/>
  <c r="AF358" i="2"/>
  <c r="AF356" i="2"/>
  <c r="AF355" i="2"/>
  <c r="AF354" i="2"/>
  <c r="AF353" i="2"/>
  <c r="AF352" i="2"/>
  <c r="AF351" i="2"/>
  <c r="AF350" i="2"/>
  <c r="AF349" i="2"/>
  <c r="AF348" i="2"/>
  <c r="AF347" i="2"/>
  <c r="AF346" i="2"/>
  <c r="AF345" i="2"/>
  <c r="AF344" i="2"/>
  <c r="AF343" i="2"/>
  <c r="AF342" i="2"/>
  <c r="AF341" i="2"/>
  <c r="AF340" i="2"/>
  <c r="AF339" i="2"/>
  <c r="AF338" i="2"/>
  <c r="AB337" i="2"/>
  <c r="AE337" i="2" s="1"/>
  <c r="AF335" i="2"/>
  <c r="AF334" i="2"/>
  <c r="AF333" i="2"/>
  <c r="AF332" i="2"/>
  <c r="AF331" i="2"/>
  <c r="AF330" i="2"/>
  <c r="AF329" i="2"/>
  <c r="AF328" i="2"/>
  <c r="AF327" i="2"/>
  <c r="AF326" i="2"/>
  <c r="AF325" i="2"/>
  <c r="AF324" i="2"/>
  <c r="AF323" i="2"/>
  <c r="AF322" i="2"/>
  <c r="AF321" i="2"/>
  <c r="AF320" i="2"/>
  <c r="AF319" i="2"/>
  <c r="AF318" i="2"/>
  <c r="AF317" i="2"/>
  <c r="AF303" i="2"/>
  <c r="AF302" i="2"/>
  <c r="AF301" i="2"/>
  <c r="AF300" i="2"/>
  <c r="AF299" i="2"/>
  <c r="AF298" i="2"/>
  <c r="AF297" i="2"/>
  <c r="AF281" i="2"/>
  <c r="AF280" i="2"/>
  <c r="AF279" i="2"/>
  <c r="AF278" i="2"/>
  <c r="AF277" i="2"/>
  <c r="AF275" i="2"/>
  <c r="AF274" i="2"/>
  <c r="AF273" i="2"/>
  <c r="AF272" i="2"/>
  <c r="AF271" i="2"/>
  <c r="AF270" i="2"/>
  <c r="AF269" i="2"/>
  <c r="AF266" i="2"/>
  <c r="AF254" i="2"/>
  <c r="AF252" i="2"/>
  <c r="AF251" i="2"/>
  <c r="AF250" i="2"/>
  <c r="AF233" i="2"/>
  <c r="AF232" i="2"/>
  <c r="AF231" i="2"/>
  <c r="AF230" i="2"/>
  <c r="AF229" i="2"/>
  <c r="AF222" i="2"/>
  <c r="AF221" i="2"/>
  <c r="AF220" i="2"/>
  <c r="AF219" i="2"/>
  <c r="AF212" i="2"/>
  <c r="AF210" i="2"/>
  <c r="AF209" i="2"/>
  <c r="AF208" i="2"/>
  <c r="AF207" i="2"/>
  <c r="AF206" i="2"/>
  <c r="AF205" i="2"/>
  <c r="AF204" i="2"/>
  <c r="AF203" i="2"/>
  <c r="AF202" i="2"/>
  <c r="AF201" i="2"/>
  <c r="AF200" i="2"/>
  <c r="AF199" i="2"/>
  <c r="AF198" i="2"/>
  <c r="AF197" i="2"/>
  <c r="AF196" i="2"/>
  <c r="AF192" i="2"/>
  <c r="AF184" i="2"/>
  <c r="AF183" i="2"/>
  <c r="AF182" i="2"/>
  <c r="AF181" i="2"/>
  <c r="AF180" i="2"/>
  <c r="AF179" i="2"/>
  <c r="AF178" i="2"/>
  <c r="AF177" i="2"/>
  <c r="AF176" i="2"/>
  <c r="AF175" i="2"/>
  <c r="AF174" i="2"/>
  <c r="AF173" i="2"/>
  <c r="AF172" i="2"/>
  <c r="AF171" i="2"/>
  <c r="AF170" i="2"/>
  <c r="AF169" i="2"/>
  <c r="AF168" i="2"/>
  <c r="AF157" i="2"/>
  <c r="AF156" i="2"/>
  <c r="AF155" i="2"/>
  <c r="AF154" i="2"/>
  <c r="AF153" i="2"/>
  <c r="AF150" i="2"/>
  <c r="AF149" i="2"/>
  <c r="AF148" i="2"/>
  <c r="AF147" i="2"/>
  <c r="AF146" i="2"/>
  <c r="AF145" i="2"/>
  <c r="AF144" i="2"/>
  <c r="AF143" i="2"/>
  <c r="AF142" i="2"/>
  <c r="AF141" i="2"/>
  <c r="AF140" i="2"/>
  <c r="AF139" i="2"/>
  <c r="AF138" i="2"/>
  <c r="AF136" i="2"/>
  <c r="AF134" i="2"/>
  <c r="AF129" i="2"/>
  <c r="AF128" i="2"/>
  <c r="AF123" i="2"/>
  <c r="AF121" i="2"/>
  <c r="AF115" i="2"/>
  <c r="AF112" i="2"/>
  <c r="AF111" i="2"/>
  <c r="AF110" i="2"/>
  <c r="AF109" i="2"/>
  <c r="AF108" i="2"/>
  <c r="AF96" i="2"/>
  <c r="AF95" i="2"/>
  <c r="AF94" i="2"/>
  <c r="AF93" i="2"/>
  <c r="AF86" i="2"/>
  <c r="AF85" i="2"/>
  <c r="AF81" i="2"/>
  <c r="AF75" i="2"/>
  <c r="AF72" i="2"/>
  <c r="AF71" i="2"/>
  <c r="AF70" i="2"/>
  <c r="AF69" i="2"/>
  <c r="AF68" i="2"/>
  <c r="AF67" i="2"/>
  <c r="AF66" i="2"/>
  <c r="AF65" i="2"/>
  <c r="AF64" i="2"/>
  <c r="AF63" i="2"/>
  <c r="AF62" i="2"/>
  <c r="AF61" i="2"/>
  <c r="AF60" i="2"/>
  <c r="AF59" i="2"/>
  <c r="AF58" i="2"/>
  <c r="AF57" i="2"/>
  <c r="AF56" i="2"/>
  <c r="AF55" i="2"/>
  <c r="AF54" i="2"/>
  <c r="AF52" i="2"/>
  <c r="AF51" i="2"/>
  <c r="AF46" i="2"/>
  <c r="AF45" i="2"/>
  <c r="AF44" i="2"/>
  <c r="AF43" i="2"/>
  <c r="AF42" i="2"/>
  <c r="AF41" i="2"/>
  <c r="AF40" i="2"/>
  <c r="AF39" i="2"/>
  <c r="AF38" i="2"/>
  <c r="AF37" i="2"/>
  <c r="AF35" i="2"/>
  <c r="AF34" i="2"/>
  <c r="AF33" i="2"/>
  <c r="AF32" i="2"/>
  <c r="AF31" i="2"/>
  <c r="AF30" i="2"/>
  <c r="AF29" i="2"/>
  <c r="AF28" i="2"/>
  <c r="AF26" i="2"/>
  <c r="AF25" i="2"/>
  <c r="AF24" i="2"/>
  <c r="AF23" i="2"/>
  <c r="AF22" i="2"/>
  <c r="AF21" i="2"/>
  <c r="AF20" i="2"/>
  <c r="AF19" i="2"/>
  <c r="AF18" i="2"/>
  <c r="AF17" i="2"/>
  <c r="AF16" i="2"/>
  <c r="AF15" i="2"/>
  <c r="AF14" i="2"/>
  <c r="AF13" i="2"/>
  <c r="AF11" i="2"/>
  <c r="AF10" i="2"/>
  <c r="AF9" i="2"/>
  <c r="AF8" i="2"/>
  <c r="AF7" i="2"/>
  <c r="AF6" i="2"/>
  <c r="AF5" i="2"/>
  <c r="AF4" i="2"/>
  <c r="AF3" i="2"/>
  <c r="AF2" i="2"/>
  <c r="BV1836" i="2"/>
  <c r="E5" i="6"/>
  <c r="F5" i="6" s="1"/>
  <c r="E6" i="6"/>
  <c r="F6" i="6" s="1"/>
  <c r="E7" i="6"/>
  <c r="F7" i="6" s="1"/>
  <c r="E4" i="6"/>
  <c r="F4" i="6" s="1"/>
  <c r="AF1505" i="2" l="1"/>
  <c r="AE1505" i="2"/>
  <c r="AB1507" i="2"/>
  <c r="AE1508" i="2"/>
  <c r="AP1936" i="2"/>
  <c r="AP1938" i="2"/>
  <c r="BV1934" i="2"/>
  <c r="BV1966" i="2"/>
  <c r="BV1935" i="2"/>
  <c r="AF1507" i="2" l="1"/>
  <c r="AE1507" i="2"/>
  <c r="AR1966" i="2"/>
  <c r="AP1940" i="2"/>
  <c r="E374" i="5"/>
  <c r="AP1941" i="2" l="1"/>
  <c r="AP1943" i="2"/>
  <c r="AR1975" i="2"/>
  <c r="AR1974" i="2"/>
  <c r="AR1809" i="2"/>
  <c r="AP1945" i="2" l="1"/>
  <c r="AP1944" i="2"/>
  <c r="AR1915" i="2" l="1"/>
  <c r="AP1946" i="2"/>
  <c r="AP1949" i="2"/>
  <c r="AP1947" i="2"/>
  <c r="AR1976" i="2"/>
  <c r="AR2008" i="2"/>
  <c r="AP1950" i="2" l="1"/>
  <c r="AP1948" i="2"/>
  <c r="BO1922" i="2" l="1"/>
  <c r="BO1923" i="2"/>
  <c r="BV1911" i="2" l="1"/>
  <c r="BO1911" i="2" l="1"/>
  <c r="BV2011" i="2" l="1"/>
  <c r="BV1840" i="2"/>
  <c r="AQ1840" i="2"/>
  <c r="AR1840" i="2" l="1"/>
  <c r="AR2011" i="2"/>
  <c r="AQ1993" i="2"/>
  <c r="AQ1989" i="2"/>
  <c r="BV1990" i="2"/>
  <c r="BV1991" i="2"/>
  <c r="BV1992" i="2"/>
  <c r="BV1986" i="2"/>
  <c r="BV1987" i="2"/>
  <c r="BV1988" i="2"/>
  <c r="BV1993" i="2"/>
  <c r="BV1994" i="2"/>
  <c r="BV1995" i="2"/>
  <c r="AR1993" i="2" l="1"/>
  <c r="AQ1994" i="2"/>
  <c r="AQ1986" i="2"/>
  <c r="AQ1990" i="2"/>
  <c r="AR1989" i="2"/>
  <c r="AQ1983" i="2" l="1"/>
  <c r="AQ1984" i="2" s="1"/>
  <c r="AQ1991" i="2"/>
  <c r="AR1986" i="2"/>
  <c r="AQ1987" i="2" s="1"/>
  <c r="AR1990" i="2"/>
  <c r="AR1994" i="2"/>
  <c r="AQ1995" i="2" s="1"/>
  <c r="AR1995" i="2" l="1"/>
  <c r="AR1991" i="2"/>
  <c r="AQ1992" i="2"/>
  <c r="AR1987" i="2"/>
  <c r="AQ1996" i="2"/>
  <c r="AR1983" i="2"/>
  <c r="AQ1988" i="2"/>
  <c r="AR1992" i="2" l="1"/>
  <c r="AR1988" i="2"/>
  <c r="AR1984" i="2"/>
  <c r="AR1996" i="2"/>
  <c r="BV1861" i="2"/>
  <c r="BV1923" i="2" l="1"/>
  <c r="BV1922" i="2"/>
  <c r="BV1960" i="2" l="1"/>
  <c r="AR1960" i="2"/>
  <c r="AP1960" i="2" l="1"/>
  <c r="BV1880" i="2"/>
  <c r="BV1860" i="2" l="1"/>
  <c r="BV1858" i="2"/>
  <c r="K381" i="5" l="1"/>
  <c r="M381" i="5" s="1"/>
  <c r="K380" i="5"/>
  <c r="M380" i="5" s="1"/>
  <c r="K379" i="5"/>
  <c r="M379" i="5" s="1"/>
  <c r="K375" i="5"/>
  <c r="M375" i="5" s="1"/>
  <c r="K374" i="5"/>
  <c r="M374" i="5" s="1"/>
  <c r="K373" i="5"/>
  <c r="M373" i="5" s="1"/>
  <c r="K372" i="5"/>
  <c r="M372" i="5" s="1"/>
  <c r="K371" i="5"/>
  <c r="M371" i="5" s="1"/>
  <c r="K370" i="5"/>
  <c r="M370" i="5" s="1"/>
  <c r="K369" i="5"/>
  <c r="M369" i="5" s="1"/>
  <c r="K368" i="5"/>
  <c r="M368" i="5" s="1"/>
  <c r="K365" i="5"/>
  <c r="M365" i="5" s="1"/>
  <c r="K364" i="5"/>
  <c r="M364" i="5" s="1"/>
  <c r="K366" i="5"/>
  <c r="M366" i="5" s="1"/>
  <c r="H363" i="5"/>
  <c r="J363" i="5" s="1"/>
  <c r="K362" i="5"/>
  <c r="M362" i="5" s="1"/>
  <c r="K361" i="5"/>
  <c r="M361" i="5" s="1"/>
  <c r="K360" i="5"/>
  <c r="M360" i="5" s="1"/>
  <c r="K359" i="5"/>
  <c r="M359" i="5" s="1"/>
  <c r="K358" i="5"/>
  <c r="M358" i="5" s="1"/>
  <c r="K357" i="5"/>
  <c r="M357" i="5" s="1"/>
  <c r="K356" i="5"/>
  <c r="M356" i="5" s="1"/>
  <c r="K355" i="5"/>
  <c r="M355" i="5" s="1"/>
  <c r="K354" i="5"/>
  <c r="K353" i="5"/>
  <c r="K352" i="5"/>
  <c r="K351" i="5"/>
  <c r="M351" i="5" s="1"/>
  <c r="K350" i="5"/>
  <c r="K349" i="5"/>
  <c r="E348" i="5"/>
  <c r="G348" i="5" s="1"/>
  <c r="K347" i="5"/>
  <c r="M347" i="5" s="1"/>
  <c r="K346" i="5"/>
  <c r="K345" i="5"/>
  <c r="K344" i="5"/>
  <c r="K343" i="5"/>
  <c r="M343" i="5" s="1"/>
  <c r="K342" i="5"/>
  <c r="K341" i="5"/>
  <c r="E340" i="5"/>
  <c r="G340" i="5" s="1"/>
  <c r="H339" i="5"/>
  <c r="J339" i="5" s="1"/>
  <c r="E338" i="5"/>
  <c r="G338" i="5" s="1"/>
  <c r="E337" i="5"/>
  <c r="G337" i="5" s="1"/>
  <c r="E336" i="5"/>
  <c r="G336" i="5" s="1"/>
  <c r="K335" i="5"/>
  <c r="M335" i="5" s="1"/>
  <c r="H371" i="5"/>
  <c r="J371" i="5" s="1"/>
  <c r="H370" i="5"/>
  <c r="J370" i="5" s="1"/>
  <c r="H369" i="5"/>
  <c r="J369" i="5" s="1"/>
  <c r="H368" i="5"/>
  <c r="J368" i="5" s="1"/>
  <c r="H365" i="5"/>
  <c r="J365" i="5" s="1"/>
  <c r="H364" i="5"/>
  <c r="J364" i="5" s="1"/>
  <c r="E368" i="5"/>
  <c r="G368" i="5" s="1"/>
  <c r="E365" i="5"/>
  <c r="G365" i="5" s="1"/>
  <c r="E364" i="5"/>
  <c r="G364" i="5" s="1"/>
  <c r="H381" i="5"/>
  <c r="J381" i="5" s="1"/>
  <c r="H380" i="5"/>
  <c r="J380" i="5" s="1"/>
  <c r="H379" i="5"/>
  <c r="J379" i="5" s="1"/>
  <c r="H375" i="5"/>
  <c r="J375" i="5" s="1"/>
  <c r="H374" i="5"/>
  <c r="J374" i="5" s="1"/>
  <c r="H373" i="5"/>
  <c r="J373" i="5" s="1"/>
  <c r="H372" i="5"/>
  <c r="J372" i="5" s="1"/>
  <c r="E381" i="5"/>
  <c r="G381" i="5" s="1"/>
  <c r="E380" i="5"/>
  <c r="G380" i="5" s="1"/>
  <c r="E379" i="5"/>
  <c r="G379" i="5" s="1"/>
  <c r="E375" i="5"/>
  <c r="G375" i="5" s="1"/>
  <c r="G374" i="5"/>
  <c r="E373" i="5"/>
  <c r="G373" i="5" s="1"/>
  <c r="E372" i="5"/>
  <c r="G372" i="5" s="1"/>
  <c r="E371" i="5"/>
  <c r="G371" i="5" s="1"/>
  <c r="E370" i="5"/>
  <c r="G370" i="5" s="1"/>
  <c r="E369" i="5"/>
  <c r="G369" i="5" s="1"/>
  <c r="E363" i="5"/>
  <c r="G363" i="5" s="1"/>
  <c r="E361" i="5"/>
  <c r="G361" i="5" s="1"/>
  <c r="R11" i="5"/>
  <c r="R12" i="5"/>
  <c r="X1935" i="2"/>
  <c r="X1934" i="2"/>
  <c r="H334" i="5"/>
  <c r="J334" i="5" s="1"/>
  <c r="E362" i="5" l="1"/>
  <c r="G362" i="5" s="1"/>
  <c r="H362" i="5"/>
  <c r="J362" i="5" s="1"/>
  <c r="H354" i="5"/>
  <c r="J354" i="5" s="1"/>
  <c r="H346" i="5"/>
  <c r="J346" i="5" s="1"/>
  <c r="E366" i="5"/>
  <c r="G366" i="5" s="1"/>
  <c r="H366" i="5"/>
  <c r="J366" i="5" s="1"/>
  <c r="E357" i="5"/>
  <c r="G357" i="5" s="1"/>
  <c r="E341" i="5"/>
  <c r="G341" i="5" s="1"/>
  <c r="E349" i="5"/>
  <c r="G349" i="5" s="1"/>
  <c r="E353" i="5"/>
  <c r="G353" i="5" s="1"/>
  <c r="H361" i="5"/>
  <c r="J361" i="5" s="1"/>
  <c r="E360" i="5"/>
  <c r="G360" i="5" s="1"/>
  <c r="H350" i="5"/>
  <c r="J350" i="5" s="1"/>
  <c r="H338" i="5"/>
  <c r="J338" i="5" s="1"/>
  <c r="H358" i="5"/>
  <c r="J358" i="5" s="1"/>
  <c r="E352" i="5"/>
  <c r="G352" i="5" s="1"/>
  <c r="H342" i="5"/>
  <c r="J342" i="5" s="1"/>
  <c r="E344" i="5"/>
  <c r="G344" i="5" s="1"/>
  <c r="E345" i="5"/>
  <c r="G345" i="5" s="1"/>
  <c r="K363" i="5"/>
  <c r="M363" i="5" s="1"/>
  <c r="E367" i="5"/>
  <c r="G367" i="5" s="1"/>
  <c r="K367" i="5"/>
  <c r="M367" i="5" s="1"/>
  <c r="H367" i="5"/>
  <c r="J367" i="5" s="1"/>
  <c r="K338" i="5"/>
  <c r="M338" i="5" s="1"/>
  <c r="E356" i="5"/>
  <c r="G356" i="5" s="1"/>
  <c r="K339" i="5"/>
  <c r="M339" i="5" s="1"/>
  <c r="K340" i="5"/>
  <c r="M340" i="5" s="1"/>
  <c r="K348" i="5"/>
  <c r="M348" i="5" s="1"/>
  <c r="H360" i="5"/>
  <c r="J360" i="5" s="1"/>
  <c r="M349" i="5"/>
  <c r="M352" i="5"/>
  <c r="E359" i="5"/>
  <c r="G359" i="5" s="1"/>
  <c r="M353" i="5"/>
  <c r="J352" i="5"/>
  <c r="H356" i="5"/>
  <c r="J356" i="5" s="1"/>
  <c r="H359" i="5"/>
  <c r="J359" i="5" s="1"/>
  <c r="E334" i="5"/>
  <c r="G334" i="5" s="1"/>
  <c r="E342" i="5"/>
  <c r="G342" i="5" s="1"/>
  <c r="E346" i="5"/>
  <c r="G346" i="5" s="1"/>
  <c r="E350" i="5"/>
  <c r="G350" i="5" s="1"/>
  <c r="E354" i="5"/>
  <c r="G354" i="5" s="1"/>
  <c r="E358" i="5"/>
  <c r="G358" i="5" s="1"/>
  <c r="H335" i="5"/>
  <c r="J335" i="5" s="1"/>
  <c r="H343" i="5"/>
  <c r="J343" i="5" s="1"/>
  <c r="H347" i="5"/>
  <c r="J347" i="5" s="1"/>
  <c r="H351" i="5"/>
  <c r="J351" i="5" s="1"/>
  <c r="H355" i="5"/>
  <c r="J355" i="5" s="1"/>
  <c r="K336" i="5"/>
  <c r="M336" i="5" s="1"/>
  <c r="M344" i="5"/>
  <c r="E335" i="5"/>
  <c r="G335" i="5" s="1"/>
  <c r="E339" i="5"/>
  <c r="G339" i="5" s="1"/>
  <c r="E343" i="5"/>
  <c r="G343" i="5" s="1"/>
  <c r="E347" i="5"/>
  <c r="G347" i="5" s="1"/>
  <c r="E351" i="5"/>
  <c r="G351" i="5" s="1"/>
  <c r="E355" i="5"/>
  <c r="G355" i="5" s="1"/>
  <c r="H336" i="5"/>
  <c r="J336" i="5" s="1"/>
  <c r="H340" i="5"/>
  <c r="J340" i="5" s="1"/>
  <c r="H344" i="5"/>
  <c r="J344" i="5" s="1"/>
  <c r="H348" i="5"/>
  <c r="J348" i="5" s="1"/>
  <c r="K337" i="5"/>
  <c r="M337" i="5" s="1"/>
  <c r="M341" i="5"/>
  <c r="M345" i="5"/>
  <c r="H337" i="5"/>
  <c r="J337" i="5" s="1"/>
  <c r="H341" i="5"/>
  <c r="J341" i="5" s="1"/>
  <c r="H345" i="5"/>
  <c r="J345" i="5" s="1"/>
  <c r="H349" i="5"/>
  <c r="J349" i="5" s="1"/>
  <c r="H353" i="5"/>
  <c r="J353" i="5" s="1"/>
  <c r="H357" i="5"/>
  <c r="J357" i="5" s="1"/>
  <c r="K334" i="5"/>
  <c r="M334" i="5" s="1"/>
  <c r="M342" i="5"/>
  <c r="M346" i="5"/>
  <c r="M350" i="5"/>
  <c r="M354" i="5"/>
  <c r="AO1908" i="2" l="1"/>
  <c r="AT1927" i="2" l="1"/>
  <c r="AT1928" i="2"/>
  <c r="AT1926" i="2"/>
  <c r="AT1861" i="2"/>
  <c r="D378" i="5" l="1"/>
  <c r="H378" i="5" s="1"/>
  <c r="J378" i="5" s="1"/>
  <c r="AU1861" i="2"/>
  <c r="AV1861" i="2"/>
  <c r="AV1928" i="2"/>
  <c r="AU1928" i="2"/>
  <c r="AV1926" i="2"/>
  <c r="AU1926" i="2"/>
  <c r="AU1927" i="2"/>
  <c r="AV1927" i="2"/>
  <c r="E378" i="5" l="1"/>
  <c r="G378" i="5" s="1"/>
  <c r="K378" i="5"/>
  <c r="M378" i="5" s="1"/>
  <c r="AN1928" i="2" l="1"/>
  <c r="AN1926" i="2"/>
  <c r="AO1909" i="2"/>
  <c r="AQ2006" i="2" l="1"/>
  <c r="BV2006" i="2"/>
  <c r="AR2006" i="2" l="1"/>
  <c r="AP2006" i="2"/>
  <c r="AQ1905" i="2" l="1"/>
  <c r="BO1844" i="2"/>
  <c r="BV2005" i="2" l="1"/>
  <c r="AP2005" i="2" l="1"/>
  <c r="BV2002" i="2"/>
  <c r="AQ1874" i="2"/>
  <c r="BO1822" i="2"/>
  <c r="AR2002" i="2" l="1"/>
  <c r="BV1996" i="2"/>
  <c r="BV1989" i="2"/>
  <c r="BV1985" i="2"/>
  <c r="AQ1982" i="2"/>
  <c r="BV1982" i="2"/>
  <c r="BV1984" i="2"/>
  <c r="BV1983" i="2"/>
  <c r="BV1981" i="2"/>
  <c r="AQ1981" i="2"/>
  <c r="AR1981" i="2" l="1"/>
  <c r="AR1982" i="2"/>
  <c r="AP1981" i="2"/>
  <c r="BV1835" i="2"/>
  <c r="K333" i="5"/>
  <c r="M333" i="5" s="1"/>
  <c r="K332" i="5"/>
  <c r="M332" i="5" s="1"/>
  <c r="E333" i="5" l="1"/>
  <c r="G333" i="5" s="1"/>
  <c r="E332" i="5"/>
  <c r="G332" i="5" s="1"/>
  <c r="H333" i="5"/>
  <c r="J333" i="5" s="1"/>
  <c r="H332" i="5"/>
  <c r="J332" i="5" s="1"/>
  <c r="AQ1901" i="2" l="1"/>
  <c r="AQ1466" i="2"/>
  <c r="AQ1465" i="2"/>
  <c r="BV1837" i="2"/>
  <c r="BV1886" i="2"/>
  <c r="AR1837" i="2" l="1"/>
  <c r="AR1965" i="2"/>
  <c r="BV1979" i="2"/>
  <c r="BV1977" i="2"/>
  <c r="AR1970" i="2" l="1"/>
  <c r="B1970" i="2"/>
  <c r="AR1969" i="2"/>
  <c r="B1969" i="2"/>
  <c r="AR1968" i="2"/>
  <c r="B1968" i="2"/>
  <c r="AR1979" i="2" l="1"/>
  <c r="AR1972" i="2"/>
  <c r="AR1978" i="2"/>
  <c r="AP1922" i="2"/>
  <c r="BO1419" i="2" l="1"/>
  <c r="BV1967" i="2"/>
  <c r="AR1967" i="2" l="1"/>
  <c r="BV1844" i="2"/>
  <c r="BV1834" i="2"/>
  <c r="BO1885" i="2" l="1"/>
  <c r="BO1884" i="2"/>
  <c r="BO1883" i="2"/>
  <c r="BO1882" i="2"/>
  <c r="BV1965" i="2" l="1"/>
  <c r="BV1958" i="2" l="1"/>
  <c r="AP1958" i="2"/>
  <c r="BV1843" i="2"/>
  <c r="AR1843" i="2"/>
  <c r="BO1843" i="2"/>
  <c r="AP1843" i="2"/>
  <c r="AP1961" i="2" l="1"/>
  <c r="AR1964" i="2" l="1"/>
  <c r="AP1963" i="2"/>
  <c r="AP1964" i="2"/>
  <c r="BO1744" i="2"/>
  <c r="BV1876" i="2" l="1"/>
  <c r="AR1876" i="2"/>
  <c r="BO1876" i="2"/>
  <c r="AP1876" i="2"/>
  <c r="AQ1890" i="2"/>
  <c r="BV1957" i="2" l="1"/>
  <c r="BV1955" i="2"/>
  <c r="BV1954" i="2"/>
  <c r="BV1953" i="2"/>
  <c r="BV1952" i="2"/>
  <c r="BV1950" i="2"/>
  <c r="BV1949" i="2"/>
  <c r="BV1948" i="2"/>
  <c r="BV1947" i="2"/>
  <c r="BV1946" i="2"/>
  <c r="BV1945" i="2"/>
  <c r="BV1944" i="2"/>
  <c r="BV1943" i="2"/>
  <c r="BV1941" i="2"/>
  <c r="BV1931" i="2"/>
  <c r="BV1930" i="2"/>
  <c r="BV1929" i="2"/>
  <c r="BV1917" i="2"/>
  <c r="BV1916" i="2"/>
  <c r="BV1915" i="2"/>
  <c r="BV1914" i="2"/>
  <c r="BV1913" i="2"/>
  <c r="BV1903" i="2"/>
  <c r="BV1901" i="2"/>
  <c r="BV1900" i="2"/>
  <c r="BV1899" i="2"/>
  <c r="BV1898" i="2"/>
  <c r="BV1897" i="2"/>
  <c r="BV1896" i="2"/>
  <c r="BV1894" i="2"/>
  <c r="BV1878" i="2"/>
  <c r="BV1877" i="2"/>
  <c r="BV1875" i="2"/>
  <c r="BV1872" i="2"/>
  <c r="BV1871" i="2"/>
  <c r="BV1870" i="2"/>
  <c r="BV1869" i="2"/>
  <c r="BV1868" i="2"/>
  <c r="BV1867" i="2"/>
  <c r="BV1866" i="2"/>
  <c r="BV1865" i="2"/>
  <c r="BV1864" i="2"/>
  <c r="BV1863" i="2"/>
  <c r="BV1862" i="2"/>
  <c r="BV1859" i="2"/>
  <c r="BV1857" i="2"/>
  <c r="BV1856" i="2"/>
  <c r="BV1850" i="2"/>
  <c r="BV1849" i="2"/>
  <c r="BV1848" i="2"/>
  <c r="BV1847" i="2"/>
  <c r="BV1845" i="2"/>
  <c r="BV1842" i="2"/>
  <c r="BV1841" i="2"/>
  <c r="BV1838" i="2"/>
  <c r="BV1829" i="2"/>
  <c r="BV1828" i="2"/>
  <c r="BV1826" i="2"/>
  <c r="BV1825" i="2"/>
  <c r="BV1824" i="2"/>
  <c r="BV1823" i="2"/>
  <c r="BV1822" i="2"/>
  <c r="BV1820" i="2"/>
  <c r="BV1819" i="2"/>
  <c r="BV1818" i="2"/>
  <c r="BV1817" i="2"/>
  <c r="BV1816" i="2"/>
  <c r="BV1815" i="2"/>
  <c r="BV1814" i="2"/>
  <c r="BV1813" i="2"/>
  <c r="BV1812" i="2"/>
  <c r="BV1811" i="2"/>
  <c r="BV1794" i="2"/>
  <c r="BV1793" i="2"/>
  <c r="BV1792" i="2"/>
  <c r="BV1791" i="2"/>
  <c r="BV1790" i="2"/>
  <c r="BV1789" i="2"/>
  <c r="BV1788" i="2"/>
  <c r="BV1787" i="2"/>
  <c r="BV1786" i="2"/>
  <c r="BV1785" i="2"/>
  <c r="BV1784" i="2"/>
  <c r="BV1783" i="2"/>
  <c r="BV1782" i="2"/>
  <c r="BV1781" i="2"/>
  <c r="BV1778" i="2"/>
  <c r="BV1777" i="2"/>
  <c r="BV1776" i="2"/>
  <c r="BV1775" i="2"/>
  <c r="BV1774" i="2"/>
  <c r="BV1773" i="2"/>
  <c r="BV1772" i="2"/>
  <c r="BV1771" i="2"/>
  <c r="BV1770" i="2"/>
  <c r="BV1769" i="2"/>
  <c r="BV1768" i="2"/>
  <c r="BV1767" i="2"/>
  <c r="BV1766" i="2"/>
  <c r="BV1765" i="2"/>
  <c r="BV1764" i="2"/>
  <c r="BV1763" i="2"/>
  <c r="BV1762" i="2"/>
  <c r="BV1761" i="2"/>
  <c r="BV1760" i="2"/>
  <c r="BV1759" i="2"/>
  <c r="BV1758" i="2"/>
  <c r="BV1757" i="2"/>
  <c r="BV1754" i="2"/>
  <c r="BV1753" i="2"/>
  <c r="BV1752" i="2"/>
  <c r="BV1751" i="2"/>
  <c r="BV1750" i="2"/>
  <c r="BV1748" i="2"/>
  <c r="BV1747" i="2"/>
  <c r="BV1746" i="2"/>
  <c r="BV1742" i="2"/>
  <c r="BV1737" i="2"/>
  <c r="BV1735" i="2"/>
  <c r="BV1734" i="2"/>
  <c r="BV1733" i="2"/>
  <c r="BV1732" i="2"/>
  <c r="BV1731" i="2"/>
  <c r="BV1727" i="2"/>
  <c r="BV1726" i="2"/>
  <c r="BV1725" i="2"/>
  <c r="BV1724" i="2"/>
  <c r="BV1723" i="2"/>
  <c r="BV1719" i="2"/>
  <c r="BV1718" i="2"/>
  <c r="BV1716" i="2"/>
  <c r="BV1715" i="2"/>
  <c r="BV1714" i="2"/>
  <c r="BV1713" i="2"/>
  <c r="BV1712" i="2"/>
  <c r="BV1711" i="2"/>
  <c r="BV1710" i="2"/>
  <c r="BV1709" i="2"/>
  <c r="BV1708" i="2"/>
  <c r="BV1706" i="2"/>
  <c r="BV1704" i="2"/>
  <c r="BV1703" i="2"/>
  <c r="BV1702" i="2"/>
  <c r="BV1699" i="2"/>
  <c r="BV1698" i="2"/>
  <c r="BV1697" i="2"/>
  <c r="BV1696" i="2"/>
  <c r="BV1695" i="2"/>
  <c r="BV1694" i="2"/>
  <c r="BV1693" i="2"/>
  <c r="BV1692" i="2"/>
  <c r="BV1691" i="2"/>
  <c r="BV1690" i="2"/>
  <c r="BV1689" i="2"/>
  <c r="BV1688" i="2"/>
  <c r="BV1687" i="2"/>
  <c r="BV1686" i="2"/>
  <c r="BV1685" i="2"/>
  <c r="BV1684" i="2"/>
  <c r="BV1683" i="2"/>
  <c r="BV1682" i="2"/>
  <c r="BV1681" i="2"/>
  <c r="BV1680" i="2"/>
  <c r="BV1679" i="2"/>
  <c r="BV1673" i="2"/>
  <c r="BV1672" i="2"/>
  <c r="BV1671" i="2"/>
  <c r="BV1670" i="2"/>
  <c r="BV1669" i="2"/>
  <c r="BV1667" i="2"/>
  <c r="BV1665" i="2"/>
  <c r="BV1663" i="2"/>
  <c r="BV1662" i="2"/>
  <c r="BV1661" i="2"/>
  <c r="BV1660" i="2"/>
  <c r="BV1654" i="2"/>
  <c r="BV1653" i="2"/>
  <c r="BV1652" i="2"/>
  <c r="BV1651" i="2"/>
  <c r="BV1650" i="2"/>
  <c r="BV1649" i="2"/>
  <c r="BV1648" i="2"/>
  <c r="BV1647" i="2"/>
  <c r="BV1646" i="2"/>
  <c r="BV1645" i="2"/>
  <c r="BV1641" i="2"/>
  <c r="BV1640" i="2"/>
  <c r="BV1639" i="2"/>
  <c r="BV1638" i="2"/>
  <c r="BV1637" i="2"/>
  <c r="BV1636" i="2"/>
  <c r="BV1635" i="2"/>
  <c r="BV1634" i="2"/>
  <c r="BV1618" i="2"/>
  <c r="BV1617" i="2"/>
  <c r="BV1613" i="2"/>
  <c r="BV1612" i="2"/>
  <c r="BV1609" i="2"/>
  <c r="BV1608" i="2"/>
  <c r="BV1607" i="2"/>
  <c r="BV1601" i="2"/>
  <c r="BV1599" i="2"/>
  <c r="BV1598" i="2"/>
  <c r="BV1597" i="2"/>
  <c r="BV1596" i="2"/>
  <c r="BV1591" i="2"/>
  <c r="BV1590" i="2"/>
  <c r="BV1589" i="2"/>
  <c r="BV1586" i="2"/>
  <c r="BV1584" i="2"/>
  <c r="BV1583" i="2"/>
  <c r="BV1582" i="2"/>
  <c r="BV1578" i="2"/>
  <c r="BV1576" i="2"/>
  <c r="BV1574" i="2"/>
  <c r="BV1573" i="2"/>
  <c r="BV1572" i="2"/>
  <c r="BV1571" i="2"/>
  <c r="BV1570" i="2"/>
  <c r="BV1569" i="2"/>
  <c r="BV1558" i="2"/>
  <c r="BV1543" i="2"/>
  <c r="BV1511" i="2"/>
  <c r="BV1466" i="2"/>
  <c r="BV1465" i="2"/>
  <c r="BV1402" i="2"/>
  <c r="BV1333" i="2"/>
  <c r="AR1920" i="2" l="1"/>
  <c r="AQ1957" i="2"/>
  <c r="BO1879" i="2"/>
  <c r="BO1835" i="2"/>
  <c r="BO1886" i="2"/>
  <c r="AR1957" i="2" l="1"/>
  <c r="AP1921" i="2"/>
  <c r="AR1921" i="2"/>
  <c r="AP1919" i="2"/>
  <c r="AR1919" i="2"/>
  <c r="AP1920" i="2"/>
  <c r="BO1618" i="2"/>
  <c r="AQ1955" i="2"/>
  <c r="AQ1953" i="2"/>
  <c r="AQ1952" i="2"/>
  <c r="AR1918" i="2"/>
  <c r="AQ1954" i="2"/>
  <c r="AR1932" i="2"/>
  <c r="AT1934" i="2" l="1"/>
  <c r="AT1935" i="2"/>
  <c r="AT1938" i="2"/>
  <c r="AR1954" i="2"/>
  <c r="AR1952" i="2"/>
  <c r="AR1953" i="2"/>
  <c r="AR1955" i="2"/>
  <c r="AR1934" i="2"/>
  <c r="AR1935" i="2"/>
  <c r="AR1956" i="2"/>
  <c r="AP1954" i="2"/>
  <c r="BO1765" i="2"/>
  <c r="AU1935" i="2" l="1"/>
  <c r="AV1935" i="2"/>
  <c r="AV1938" i="2"/>
  <c r="AU1938" i="2"/>
  <c r="AV1934" i="2"/>
  <c r="AU1934" i="2"/>
  <c r="D377" i="5"/>
  <c r="H377" i="5" s="1"/>
  <c r="J377" i="5" s="1"/>
  <c r="D376" i="5"/>
  <c r="H376" i="5" s="1"/>
  <c r="J376" i="5" s="1"/>
  <c r="AT1936" i="2"/>
  <c r="AT1939" i="2"/>
  <c r="AU1939" i="2" l="1"/>
  <c r="AV1939" i="2"/>
  <c r="AV1936" i="2"/>
  <c r="AU1936" i="2"/>
  <c r="E377" i="5"/>
  <c r="G377" i="5" s="1"/>
  <c r="K377" i="5"/>
  <c r="M377" i="5" s="1"/>
  <c r="K376" i="5"/>
  <c r="M376" i="5" s="1"/>
  <c r="E376" i="5"/>
  <c r="G376" i="5" s="1"/>
  <c r="AV1941" i="2" l="1"/>
  <c r="AU1941" i="2"/>
  <c r="AV1940" i="2"/>
  <c r="AU1940" i="2"/>
  <c r="AU1944" i="2" l="1"/>
  <c r="AV1944" i="2"/>
  <c r="AV1943" i="2"/>
  <c r="AU1943" i="2"/>
  <c r="AV1945" i="2" l="1"/>
  <c r="AU1945" i="2"/>
  <c r="AV1946" i="2"/>
  <c r="AU1946" i="2"/>
  <c r="AU1948" i="2" l="1"/>
  <c r="AV1948" i="2"/>
  <c r="AU1950" i="2"/>
  <c r="AV1950" i="2"/>
  <c r="AV1947" i="2"/>
  <c r="AU1947" i="2"/>
  <c r="AV1949" i="2"/>
  <c r="AU1949" i="2"/>
  <c r="BO1859" i="2"/>
  <c r="BO1875" i="2"/>
  <c r="BO1856" i="2" l="1"/>
  <c r="B1931" i="2"/>
  <c r="B1930" i="2"/>
  <c r="B1929" i="2"/>
  <c r="AP1931" i="2" l="1"/>
  <c r="A21" i="12"/>
  <c r="A20" i="12"/>
  <c r="A19" i="12"/>
  <c r="A18" i="12"/>
  <c r="A17" i="12"/>
  <c r="A16" i="12"/>
  <c r="A15" i="12"/>
  <c r="A14" i="12"/>
  <c r="A13" i="12"/>
  <c r="A12" i="12"/>
  <c r="A11" i="12"/>
  <c r="A10" i="12"/>
  <c r="A9" i="12"/>
  <c r="A8" i="12"/>
  <c r="A7" i="12"/>
  <c r="A6" i="12"/>
  <c r="A5" i="12"/>
  <c r="A4" i="12"/>
  <c r="A3" i="12"/>
  <c r="A2" i="12"/>
  <c r="K331" i="5"/>
  <c r="M331" i="5" s="1"/>
  <c r="H330" i="5"/>
  <c r="J330" i="5" s="1"/>
  <c r="H329" i="5"/>
  <c r="J329" i="5" s="1"/>
  <c r="H328" i="5"/>
  <c r="J328" i="5" s="1"/>
  <c r="H327" i="5"/>
  <c r="J327" i="5" s="1"/>
  <c r="E326" i="5"/>
  <c r="G326" i="5" s="1"/>
  <c r="K325" i="5"/>
  <c r="M325" i="5" s="1"/>
  <c r="K324" i="5"/>
  <c r="M324" i="5" s="1"/>
  <c r="K323" i="5"/>
  <c r="M323" i="5" s="1"/>
  <c r="H321" i="5"/>
  <c r="J321" i="5" s="1"/>
  <c r="E320" i="5"/>
  <c r="G320" i="5" s="1"/>
  <c r="E319" i="5"/>
  <c r="G319" i="5" s="1"/>
  <c r="E318" i="5"/>
  <c r="G318" i="5" s="1"/>
  <c r="K317" i="5"/>
  <c r="M317" i="5" s="1"/>
  <c r="K316" i="5"/>
  <c r="M316" i="5" s="1"/>
  <c r="K315" i="5"/>
  <c r="M315" i="5" s="1"/>
  <c r="H314" i="5"/>
  <c r="J314" i="5" s="1"/>
  <c r="H313" i="5"/>
  <c r="J313" i="5" s="1"/>
  <c r="H312" i="5"/>
  <c r="J312" i="5" s="1"/>
  <c r="E311" i="5"/>
  <c r="G311" i="5" s="1"/>
  <c r="E310" i="5"/>
  <c r="G310" i="5" s="1"/>
  <c r="K309" i="5"/>
  <c r="M309" i="5" s="1"/>
  <c r="K308" i="5"/>
  <c r="M308" i="5" s="1"/>
  <c r="K307" i="5"/>
  <c r="M307" i="5" s="1"/>
  <c r="H306" i="5"/>
  <c r="J306" i="5" s="1"/>
  <c r="E305" i="5"/>
  <c r="G305" i="5" s="1"/>
  <c r="H304" i="5"/>
  <c r="J304" i="5" s="1"/>
  <c r="H303" i="5"/>
  <c r="J303" i="5" s="1"/>
  <c r="H302" i="5"/>
  <c r="J302" i="5" s="1"/>
  <c r="H301" i="5"/>
  <c r="J301" i="5" s="1"/>
  <c r="H300" i="5"/>
  <c r="J300" i="5" s="1"/>
  <c r="H299" i="5"/>
  <c r="J299" i="5" s="1"/>
  <c r="H298" i="5"/>
  <c r="J298" i="5" s="1"/>
  <c r="E297" i="5"/>
  <c r="G297" i="5" s="1"/>
  <c r="H296" i="5"/>
  <c r="J296" i="5" s="1"/>
  <c r="H295" i="5"/>
  <c r="J295" i="5" s="1"/>
  <c r="E294" i="5"/>
  <c r="G294" i="5" s="1"/>
  <c r="H293" i="5"/>
  <c r="J293" i="5" s="1"/>
  <c r="H292" i="5"/>
  <c r="J292" i="5" s="1"/>
  <c r="H291" i="5"/>
  <c r="J291" i="5" s="1"/>
  <c r="H290" i="5"/>
  <c r="J290" i="5" s="1"/>
  <c r="H289" i="5"/>
  <c r="J289" i="5" s="1"/>
  <c r="H288" i="5"/>
  <c r="J288" i="5" s="1"/>
  <c r="H287" i="5"/>
  <c r="J287" i="5" s="1"/>
  <c r="E286" i="5"/>
  <c r="G286" i="5" s="1"/>
  <c r="H285" i="5"/>
  <c r="J285" i="5" s="1"/>
  <c r="H284" i="5"/>
  <c r="J284" i="5" s="1"/>
  <c r="H283" i="5"/>
  <c r="J283" i="5" s="1"/>
  <c r="E282" i="5"/>
  <c r="G282" i="5" s="1"/>
  <c r="H281" i="5"/>
  <c r="J281" i="5" s="1"/>
  <c r="H280" i="5"/>
  <c r="J280" i="5" s="1"/>
  <c r="H279" i="5"/>
  <c r="J279" i="5" s="1"/>
  <c r="E278" i="5"/>
  <c r="G278" i="5" s="1"/>
  <c r="H277" i="5"/>
  <c r="J277" i="5" s="1"/>
  <c r="H276" i="5"/>
  <c r="J276" i="5" s="1"/>
  <c r="H275" i="5"/>
  <c r="J275" i="5" s="1"/>
  <c r="H274" i="5"/>
  <c r="J274" i="5" s="1"/>
  <c r="H273" i="5"/>
  <c r="J273" i="5" s="1"/>
  <c r="H272" i="5"/>
  <c r="J272" i="5" s="1"/>
  <c r="H271" i="5"/>
  <c r="J271" i="5" s="1"/>
  <c r="E270" i="5"/>
  <c r="G270" i="5" s="1"/>
  <c r="H269" i="5"/>
  <c r="J269" i="5" s="1"/>
  <c r="H268" i="5"/>
  <c r="J268" i="5" s="1"/>
  <c r="H267" i="5"/>
  <c r="J267" i="5" s="1"/>
  <c r="H266" i="5"/>
  <c r="J266" i="5" s="1"/>
  <c r="H265" i="5"/>
  <c r="J265" i="5" s="1"/>
  <c r="H264" i="5"/>
  <c r="J264" i="5" s="1"/>
  <c r="H263" i="5"/>
  <c r="J263" i="5" s="1"/>
  <c r="E262" i="5"/>
  <c r="G262" i="5" s="1"/>
  <c r="H261" i="5"/>
  <c r="J261" i="5" s="1"/>
  <c r="H260" i="5"/>
  <c r="J260" i="5" s="1"/>
  <c r="H259" i="5"/>
  <c r="J259" i="5" s="1"/>
  <c r="H258" i="5"/>
  <c r="J258" i="5" s="1"/>
  <c r="H257" i="5"/>
  <c r="J257" i="5" s="1"/>
  <c r="E256" i="5"/>
  <c r="G256" i="5" s="1"/>
  <c r="H255" i="5"/>
  <c r="J255" i="5" s="1"/>
  <c r="E254" i="5"/>
  <c r="G254" i="5" s="1"/>
  <c r="H253" i="5"/>
  <c r="J253" i="5" s="1"/>
  <c r="H252" i="5"/>
  <c r="J252" i="5" s="1"/>
  <c r="E251" i="5"/>
  <c r="G251" i="5" s="1"/>
  <c r="H250" i="5"/>
  <c r="J250" i="5" s="1"/>
  <c r="H249" i="5"/>
  <c r="J249" i="5" s="1"/>
  <c r="H248" i="5"/>
  <c r="J248" i="5" s="1"/>
  <c r="H247" i="5"/>
  <c r="J247" i="5" s="1"/>
  <c r="E246" i="5"/>
  <c r="G246" i="5" s="1"/>
  <c r="H245" i="5"/>
  <c r="J245" i="5" s="1"/>
  <c r="H244" i="5"/>
  <c r="J244" i="5" s="1"/>
  <c r="H243" i="5"/>
  <c r="J243" i="5" s="1"/>
  <c r="H242" i="5"/>
  <c r="J242" i="5" s="1"/>
  <c r="H241" i="5"/>
  <c r="J241" i="5" s="1"/>
  <c r="E240" i="5"/>
  <c r="G240" i="5" s="1"/>
  <c r="E238" i="5"/>
  <c r="G238" i="5" s="1"/>
  <c r="H237" i="5"/>
  <c r="J237" i="5" s="1"/>
  <c r="E232" i="5"/>
  <c r="G232" i="5" s="1"/>
  <c r="E231" i="5"/>
  <c r="G231" i="5" s="1"/>
  <c r="E230" i="5"/>
  <c r="G230" i="5" s="1"/>
  <c r="D229" i="5"/>
  <c r="H229" i="5" s="1"/>
  <c r="J229" i="5" s="1"/>
  <c r="D228" i="5"/>
  <c r="H228" i="5" s="1"/>
  <c r="J228" i="5" s="1"/>
  <c r="D227" i="5"/>
  <c r="H227" i="5" s="1"/>
  <c r="J227" i="5" s="1"/>
  <c r="D226" i="5"/>
  <c r="E226" i="5" s="1"/>
  <c r="G226" i="5" s="1"/>
  <c r="D225" i="5"/>
  <c r="H225" i="5" s="1"/>
  <c r="J225" i="5" s="1"/>
  <c r="D224" i="5"/>
  <c r="H224" i="5" s="1"/>
  <c r="J224" i="5" s="1"/>
  <c r="D223" i="5"/>
  <c r="H223" i="5" s="1"/>
  <c r="J223" i="5" s="1"/>
  <c r="D222" i="5"/>
  <c r="E222" i="5" s="1"/>
  <c r="G222" i="5" s="1"/>
  <c r="D221" i="5"/>
  <c r="H221" i="5" s="1"/>
  <c r="J221" i="5" s="1"/>
  <c r="D220" i="5"/>
  <c r="H220" i="5" s="1"/>
  <c r="J220" i="5" s="1"/>
  <c r="D219" i="5"/>
  <c r="H219" i="5" s="1"/>
  <c r="J219" i="5" s="1"/>
  <c r="D218" i="5"/>
  <c r="H218" i="5" s="1"/>
  <c r="J218" i="5" s="1"/>
  <c r="D217" i="5"/>
  <c r="H217" i="5" s="1"/>
  <c r="J217" i="5" s="1"/>
  <c r="D216" i="5"/>
  <c r="H216" i="5" s="1"/>
  <c r="J216" i="5" s="1"/>
  <c r="D215" i="5"/>
  <c r="E215" i="5" s="1"/>
  <c r="G215" i="5" s="1"/>
  <c r="D214" i="5"/>
  <c r="E214" i="5" s="1"/>
  <c r="G214" i="5" s="1"/>
  <c r="D213" i="5"/>
  <c r="H213" i="5" s="1"/>
  <c r="J213" i="5" s="1"/>
  <c r="D212" i="5"/>
  <c r="H212" i="5" s="1"/>
  <c r="J212" i="5" s="1"/>
  <c r="D211" i="5"/>
  <c r="H211" i="5" s="1"/>
  <c r="J211" i="5" s="1"/>
  <c r="D210" i="5"/>
  <c r="E210" i="5" s="1"/>
  <c r="G210" i="5" s="1"/>
  <c r="D209" i="5"/>
  <c r="E209" i="5" s="1"/>
  <c r="G209" i="5" s="1"/>
  <c r="D208" i="5"/>
  <c r="H208" i="5" s="1"/>
  <c r="J208" i="5" s="1"/>
  <c r="D207" i="5"/>
  <c r="H207" i="5" s="1"/>
  <c r="J207" i="5" s="1"/>
  <c r="D206" i="5"/>
  <c r="E206" i="5" s="1"/>
  <c r="G206" i="5" s="1"/>
  <c r="D205" i="5"/>
  <c r="H205" i="5" s="1"/>
  <c r="J205" i="5" s="1"/>
  <c r="D204" i="5"/>
  <c r="H204" i="5" s="1"/>
  <c r="J204" i="5" s="1"/>
  <c r="D203" i="5"/>
  <c r="H203" i="5" s="1"/>
  <c r="J203" i="5" s="1"/>
  <c r="D202" i="5"/>
  <c r="H202" i="5" s="1"/>
  <c r="J202" i="5" s="1"/>
  <c r="D201" i="5"/>
  <c r="H201" i="5" s="1"/>
  <c r="J201" i="5" s="1"/>
  <c r="D200" i="5"/>
  <c r="H200" i="5" s="1"/>
  <c r="J200" i="5" s="1"/>
  <c r="D199" i="5"/>
  <c r="E199" i="5" s="1"/>
  <c r="G199" i="5" s="1"/>
  <c r="D198" i="5"/>
  <c r="E198" i="5" s="1"/>
  <c r="G198" i="5" s="1"/>
  <c r="D197" i="5"/>
  <c r="H197" i="5" s="1"/>
  <c r="J197" i="5" s="1"/>
  <c r="D196" i="5"/>
  <c r="H196" i="5" s="1"/>
  <c r="J196" i="5" s="1"/>
  <c r="D195" i="5"/>
  <c r="H195" i="5" s="1"/>
  <c r="J195" i="5" s="1"/>
  <c r="D192" i="5"/>
  <c r="H192" i="5" s="1"/>
  <c r="J192" i="5" s="1"/>
  <c r="D189" i="5"/>
  <c r="H189" i="5" s="1"/>
  <c r="J189" i="5" s="1"/>
  <c r="D188" i="5"/>
  <c r="H188" i="5" s="1"/>
  <c r="J188" i="5" s="1"/>
  <c r="D187" i="5"/>
  <c r="H187" i="5" s="1"/>
  <c r="J187" i="5" s="1"/>
  <c r="D186" i="5"/>
  <c r="H186" i="5" s="1"/>
  <c r="J186" i="5" s="1"/>
  <c r="D185" i="5"/>
  <c r="H185" i="5" s="1"/>
  <c r="J185" i="5" s="1"/>
  <c r="D184" i="5"/>
  <c r="H184" i="5" s="1"/>
  <c r="J184" i="5" s="1"/>
  <c r="D183" i="5"/>
  <c r="E183" i="5" s="1"/>
  <c r="G183" i="5" s="1"/>
  <c r="D182" i="5"/>
  <c r="E182" i="5" s="1"/>
  <c r="G182" i="5" s="1"/>
  <c r="D181" i="5"/>
  <c r="H181" i="5" s="1"/>
  <c r="J181" i="5" s="1"/>
  <c r="D180" i="5"/>
  <c r="H180" i="5" s="1"/>
  <c r="J180" i="5" s="1"/>
  <c r="D179" i="5"/>
  <c r="E179" i="5" s="1"/>
  <c r="G179" i="5" s="1"/>
  <c r="D178" i="5"/>
  <c r="E178" i="5" s="1"/>
  <c r="G178" i="5" s="1"/>
  <c r="D177" i="5"/>
  <c r="H177" i="5" s="1"/>
  <c r="J177" i="5" s="1"/>
  <c r="D176" i="5"/>
  <c r="H176" i="5" s="1"/>
  <c r="J176" i="5" s="1"/>
  <c r="D175" i="5"/>
  <c r="H175" i="5" s="1"/>
  <c r="J175" i="5" s="1"/>
  <c r="D174" i="5"/>
  <c r="E174" i="5" s="1"/>
  <c r="G174" i="5" s="1"/>
  <c r="D173" i="5"/>
  <c r="H173" i="5" s="1"/>
  <c r="J173" i="5" s="1"/>
  <c r="D172" i="5"/>
  <c r="H172" i="5" s="1"/>
  <c r="J172" i="5" s="1"/>
  <c r="D171" i="5"/>
  <c r="H171" i="5" s="1"/>
  <c r="J171" i="5" s="1"/>
  <c r="D170" i="5"/>
  <c r="E170" i="5" s="1"/>
  <c r="G170" i="5" s="1"/>
  <c r="D169" i="5"/>
  <c r="H169" i="5" s="1"/>
  <c r="J169" i="5" s="1"/>
  <c r="D168" i="5"/>
  <c r="H168" i="5" s="1"/>
  <c r="J168" i="5" s="1"/>
  <c r="D167" i="5"/>
  <c r="E167" i="5" s="1"/>
  <c r="G167" i="5" s="1"/>
  <c r="D166" i="5"/>
  <c r="E166" i="5" s="1"/>
  <c r="G166" i="5" s="1"/>
  <c r="D165" i="5"/>
  <c r="H165" i="5" s="1"/>
  <c r="J165" i="5" s="1"/>
  <c r="D164" i="5"/>
  <c r="H164" i="5" s="1"/>
  <c r="J164" i="5" s="1"/>
  <c r="D163" i="5"/>
  <c r="H163" i="5" s="1"/>
  <c r="J163" i="5" s="1"/>
  <c r="D162" i="5"/>
  <c r="E162" i="5" s="1"/>
  <c r="G162" i="5" s="1"/>
  <c r="D159" i="5"/>
  <c r="E159" i="5" s="1"/>
  <c r="G159" i="5" s="1"/>
  <c r="D158" i="5"/>
  <c r="E158" i="5" s="1"/>
  <c r="G158" i="5" s="1"/>
  <c r="D157" i="5"/>
  <c r="H157" i="5" s="1"/>
  <c r="J157" i="5" s="1"/>
  <c r="D156" i="5"/>
  <c r="H156" i="5" s="1"/>
  <c r="J156" i="5" s="1"/>
  <c r="D155" i="5"/>
  <c r="H155" i="5" s="1"/>
  <c r="J155" i="5" s="1"/>
  <c r="D154" i="5"/>
  <c r="E154" i="5" s="1"/>
  <c r="G154" i="5" s="1"/>
  <c r="D153" i="5"/>
  <c r="H153" i="5" s="1"/>
  <c r="J153" i="5" s="1"/>
  <c r="D152" i="5"/>
  <c r="H152" i="5" s="1"/>
  <c r="J152" i="5" s="1"/>
  <c r="D151" i="5"/>
  <c r="H151" i="5" s="1"/>
  <c r="J151" i="5" s="1"/>
  <c r="D150" i="5"/>
  <c r="E150" i="5" s="1"/>
  <c r="G150" i="5" s="1"/>
  <c r="D149" i="5"/>
  <c r="H149" i="5" s="1"/>
  <c r="J149" i="5" s="1"/>
  <c r="D148" i="5"/>
  <c r="H148" i="5" s="1"/>
  <c r="J148" i="5" s="1"/>
  <c r="D146" i="5"/>
  <c r="H146" i="5" s="1"/>
  <c r="J146" i="5" s="1"/>
  <c r="D145" i="5"/>
  <c r="H145" i="5" s="1"/>
  <c r="J145" i="5" s="1"/>
  <c r="D144" i="5"/>
  <c r="H144" i="5" s="1"/>
  <c r="J144" i="5" s="1"/>
  <c r="D143" i="5"/>
  <c r="H143" i="5" s="1"/>
  <c r="J143" i="5" s="1"/>
  <c r="D142" i="5"/>
  <c r="E142" i="5" s="1"/>
  <c r="G142" i="5" s="1"/>
  <c r="D141" i="5"/>
  <c r="H141" i="5" s="1"/>
  <c r="J141" i="5" s="1"/>
  <c r="D140" i="5"/>
  <c r="H140" i="5" s="1"/>
  <c r="J140" i="5" s="1"/>
  <c r="D139" i="5"/>
  <c r="H139" i="5" s="1"/>
  <c r="J139" i="5" s="1"/>
  <c r="D138" i="5"/>
  <c r="E138" i="5" s="1"/>
  <c r="G138" i="5" s="1"/>
  <c r="D137" i="5"/>
  <c r="H137" i="5" s="1"/>
  <c r="J137" i="5" s="1"/>
  <c r="D136" i="5"/>
  <c r="H136" i="5" s="1"/>
  <c r="J136" i="5" s="1"/>
  <c r="D135" i="5"/>
  <c r="H135" i="5" s="1"/>
  <c r="J135" i="5" s="1"/>
  <c r="D134" i="5"/>
  <c r="E134" i="5" s="1"/>
  <c r="G134" i="5" s="1"/>
  <c r="D133" i="5"/>
  <c r="H133" i="5" s="1"/>
  <c r="J133" i="5" s="1"/>
  <c r="D132" i="5"/>
  <c r="E132" i="5" s="1"/>
  <c r="G132" i="5" s="1"/>
  <c r="D131" i="5"/>
  <c r="H131" i="5" s="1"/>
  <c r="J131" i="5" s="1"/>
  <c r="D130" i="5"/>
  <c r="E130" i="5" s="1"/>
  <c r="G130" i="5" s="1"/>
  <c r="D129" i="5"/>
  <c r="E129" i="5" s="1"/>
  <c r="G129" i="5" s="1"/>
  <c r="D128" i="5"/>
  <c r="H128" i="5" s="1"/>
  <c r="J128" i="5" s="1"/>
  <c r="D127" i="5"/>
  <c r="H127" i="5" s="1"/>
  <c r="J127" i="5" s="1"/>
  <c r="D126" i="5"/>
  <c r="H126" i="5" s="1"/>
  <c r="J126" i="5" s="1"/>
  <c r="D125" i="5"/>
  <c r="H125" i="5" s="1"/>
  <c r="J125" i="5" s="1"/>
  <c r="D124" i="5"/>
  <c r="E124" i="5" s="1"/>
  <c r="G124" i="5" s="1"/>
  <c r="D123" i="5"/>
  <c r="H123" i="5" s="1"/>
  <c r="J123" i="5" s="1"/>
  <c r="D122" i="5"/>
  <c r="E122" i="5" s="1"/>
  <c r="G122" i="5" s="1"/>
  <c r="J121" i="5"/>
  <c r="D121" i="5"/>
  <c r="E121" i="5" s="1"/>
  <c r="G121" i="5" s="1"/>
  <c r="D120" i="5"/>
  <c r="H120" i="5" s="1"/>
  <c r="J120" i="5" s="1"/>
  <c r="D119" i="5"/>
  <c r="E119" i="5" s="1"/>
  <c r="G119" i="5" s="1"/>
  <c r="D118" i="5"/>
  <c r="H118" i="5" s="1"/>
  <c r="J118" i="5" s="1"/>
  <c r="D117" i="5"/>
  <c r="E117" i="5" s="1"/>
  <c r="G117" i="5" s="1"/>
  <c r="D116" i="5"/>
  <c r="E116" i="5" s="1"/>
  <c r="G116" i="5" s="1"/>
  <c r="D115" i="5"/>
  <c r="H115" i="5" s="1"/>
  <c r="D114" i="5"/>
  <c r="E114" i="5" s="1"/>
  <c r="G114" i="5" s="1"/>
  <c r="D113" i="5"/>
  <c r="H113" i="5" s="1"/>
  <c r="J113" i="5" s="1"/>
  <c r="D112" i="5"/>
  <c r="H112" i="5" s="1"/>
  <c r="J112" i="5" s="1"/>
  <c r="D111" i="5"/>
  <c r="E111" i="5" s="1"/>
  <c r="G111" i="5" s="1"/>
  <c r="D110" i="5"/>
  <c r="H110" i="5" s="1"/>
  <c r="J110" i="5" s="1"/>
  <c r="D109" i="5"/>
  <c r="H109" i="5" s="1"/>
  <c r="J109" i="5" s="1"/>
  <c r="D108" i="5"/>
  <c r="H108" i="5" s="1"/>
  <c r="J108" i="5" s="1"/>
  <c r="D107" i="5"/>
  <c r="H107" i="5" s="1"/>
  <c r="J107" i="5" s="1"/>
  <c r="D106" i="5"/>
  <c r="E106" i="5" s="1"/>
  <c r="G106" i="5" s="1"/>
  <c r="D105" i="5"/>
  <c r="H105" i="5" s="1"/>
  <c r="J105" i="5" s="1"/>
  <c r="D104" i="5"/>
  <c r="H104" i="5" s="1"/>
  <c r="J104" i="5" s="1"/>
  <c r="D103" i="5"/>
  <c r="E103" i="5" s="1"/>
  <c r="G103" i="5" s="1"/>
  <c r="D102" i="5"/>
  <c r="H102" i="5" s="1"/>
  <c r="J102" i="5" s="1"/>
  <c r="D101" i="5"/>
  <c r="H101" i="5" s="1"/>
  <c r="J101" i="5" s="1"/>
  <c r="D100" i="5"/>
  <c r="H100" i="5" s="1"/>
  <c r="J100" i="5" s="1"/>
  <c r="D99" i="5"/>
  <c r="H99" i="5" s="1"/>
  <c r="J99" i="5" s="1"/>
  <c r="D98" i="5"/>
  <c r="E98" i="5" s="1"/>
  <c r="G98" i="5" s="1"/>
  <c r="D97" i="5"/>
  <c r="H97" i="5" s="1"/>
  <c r="J97" i="5" s="1"/>
  <c r="D96" i="5"/>
  <c r="H96" i="5" s="1"/>
  <c r="J96" i="5" s="1"/>
  <c r="D95" i="5"/>
  <c r="E95" i="5" s="1"/>
  <c r="G95" i="5" s="1"/>
  <c r="D94" i="5"/>
  <c r="H94" i="5" s="1"/>
  <c r="J94" i="5" s="1"/>
  <c r="D93" i="5"/>
  <c r="H93" i="5" s="1"/>
  <c r="J93" i="5" s="1"/>
  <c r="D92" i="5"/>
  <c r="H92" i="5" s="1"/>
  <c r="J92" i="5" s="1"/>
  <c r="D91" i="5"/>
  <c r="H91" i="5" s="1"/>
  <c r="J91" i="5" s="1"/>
  <c r="D90" i="5"/>
  <c r="E90" i="5" s="1"/>
  <c r="G90" i="5" s="1"/>
  <c r="D89" i="5"/>
  <c r="H89" i="5" s="1"/>
  <c r="J89" i="5" s="1"/>
  <c r="D88" i="5"/>
  <c r="H88" i="5" s="1"/>
  <c r="D87" i="5"/>
  <c r="H87" i="5" s="1"/>
  <c r="J87" i="5" s="1"/>
  <c r="D86" i="5"/>
  <c r="H86" i="5" s="1"/>
  <c r="J86" i="5" s="1"/>
  <c r="D85" i="5"/>
  <c r="E85" i="5" s="1"/>
  <c r="G85" i="5" s="1"/>
  <c r="D84" i="5"/>
  <c r="H84" i="5" s="1"/>
  <c r="D83" i="5"/>
  <c r="E83" i="5" s="1"/>
  <c r="G83" i="5" s="1"/>
  <c r="D82" i="5"/>
  <c r="H82" i="5" s="1"/>
  <c r="J82" i="5" s="1"/>
  <c r="D81" i="5"/>
  <c r="H81" i="5" s="1"/>
  <c r="J81" i="5" s="1"/>
  <c r="J80" i="5"/>
  <c r="D80" i="5"/>
  <c r="H80" i="5" s="1"/>
  <c r="D79" i="5"/>
  <c r="E79" i="5" s="1"/>
  <c r="G79" i="5" s="1"/>
  <c r="D78" i="5"/>
  <c r="H78" i="5" s="1"/>
  <c r="D77" i="5"/>
  <c r="H77" i="5" s="1"/>
  <c r="J77" i="5" s="1"/>
  <c r="D76" i="5"/>
  <c r="H76" i="5" s="1"/>
  <c r="J76" i="5" s="1"/>
  <c r="D75" i="5"/>
  <c r="H75" i="5" s="1"/>
  <c r="J75" i="5" s="1"/>
  <c r="D74" i="5"/>
  <c r="E74" i="5" s="1"/>
  <c r="G74" i="5" s="1"/>
  <c r="D73" i="5"/>
  <c r="E73" i="5" s="1"/>
  <c r="G73" i="5" s="1"/>
  <c r="D72" i="5"/>
  <c r="H72" i="5" s="1"/>
  <c r="J72" i="5" s="1"/>
  <c r="D71" i="5"/>
  <c r="H71" i="5" s="1"/>
  <c r="J71" i="5" s="1"/>
  <c r="D70" i="5"/>
  <c r="H70" i="5" s="1"/>
  <c r="J70" i="5" s="1"/>
  <c r="D69" i="5"/>
  <c r="H69" i="5" s="1"/>
  <c r="J69" i="5" s="1"/>
  <c r="D68" i="5"/>
  <c r="E68" i="5" s="1"/>
  <c r="G68" i="5" s="1"/>
  <c r="D67" i="5"/>
  <c r="H67" i="5" s="1"/>
  <c r="J67" i="5" s="1"/>
  <c r="D66" i="5"/>
  <c r="E66" i="5" s="1"/>
  <c r="G66" i="5" s="1"/>
  <c r="D65" i="5"/>
  <c r="E65" i="5" s="1"/>
  <c r="G65" i="5" s="1"/>
  <c r="D64" i="5"/>
  <c r="H64" i="5" s="1"/>
  <c r="J64" i="5" s="1"/>
  <c r="D63" i="5"/>
  <c r="H63" i="5" s="1"/>
  <c r="J63" i="5" s="1"/>
  <c r="D62" i="5"/>
  <c r="H62" i="5" s="1"/>
  <c r="J62" i="5" s="1"/>
  <c r="D61" i="5"/>
  <c r="H61" i="5" s="1"/>
  <c r="J61" i="5" s="1"/>
  <c r="D60" i="5"/>
  <c r="E60" i="5" s="1"/>
  <c r="G60" i="5" s="1"/>
  <c r="D59" i="5"/>
  <c r="H59" i="5" s="1"/>
  <c r="J59" i="5" s="1"/>
  <c r="D58" i="5"/>
  <c r="H58" i="5" s="1"/>
  <c r="J58" i="5" s="1"/>
  <c r="D57" i="5"/>
  <c r="E57" i="5" s="1"/>
  <c r="G57" i="5" s="1"/>
  <c r="D56" i="5"/>
  <c r="H56" i="5" s="1"/>
  <c r="J56" i="5" s="1"/>
  <c r="D55" i="5"/>
  <c r="H55" i="5" s="1"/>
  <c r="J55" i="5" s="1"/>
  <c r="D54" i="5"/>
  <c r="H54" i="5" s="1"/>
  <c r="J54" i="5" s="1"/>
  <c r="D53" i="5"/>
  <c r="H53" i="5" s="1"/>
  <c r="J53" i="5" s="1"/>
  <c r="D52" i="5"/>
  <c r="H52" i="5" s="1"/>
  <c r="J52" i="5" s="1"/>
  <c r="D51" i="5"/>
  <c r="D50" i="5"/>
  <c r="E50" i="5" s="1"/>
  <c r="G50" i="5" s="1"/>
  <c r="D49" i="5"/>
  <c r="D48" i="5"/>
  <c r="H48" i="5" s="1"/>
  <c r="J48" i="5" s="1"/>
  <c r="D47" i="5"/>
  <c r="H47" i="5" s="1"/>
  <c r="J47" i="5" s="1"/>
  <c r="D46" i="5"/>
  <c r="E46" i="5" s="1"/>
  <c r="G46" i="5" s="1"/>
  <c r="D45" i="5"/>
  <c r="H45" i="5" s="1"/>
  <c r="J45" i="5" s="1"/>
  <c r="D44" i="5"/>
  <c r="E44" i="5" s="1"/>
  <c r="G44" i="5" s="1"/>
  <c r="D43" i="5"/>
  <c r="E43" i="5" s="1"/>
  <c r="G43" i="5" s="1"/>
  <c r="D42" i="5"/>
  <c r="E42" i="5" s="1"/>
  <c r="G42" i="5" s="1"/>
  <c r="D41" i="5"/>
  <c r="D40" i="5"/>
  <c r="H40" i="5" s="1"/>
  <c r="J40" i="5" s="1"/>
  <c r="D39" i="5"/>
  <c r="H39" i="5" s="1"/>
  <c r="J39" i="5" s="1"/>
  <c r="D38" i="5"/>
  <c r="H38" i="5" s="1"/>
  <c r="J38" i="5" s="1"/>
  <c r="D37" i="5"/>
  <c r="E37" i="5" s="1"/>
  <c r="G37" i="5" s="1"/>
  <c r="D36" i="5"/>
  <c r="H36" i="5" s="1"/>
  <c r="J36" i="5" s="1"/>
  <c r="D35" i="5"/>
  <c r="H35" i="5" s="1"/>
  <c r="J35" i="5" s="1"/>
  <c r="D34" i="5"/>
  <c r="H34" i="5" s="1"/>
  <c r="J34" i="5" s="1"/>
  <c r="D33" i="5"/>
  <c r="E33" i="5" s="1"/>
  <c r="G33" i="5" s="1"/>
  <c r="D32" i="5"/>
  <c r="H32" i="5" s="1"/>
  <c r="J32" i="5" s="1"/>
  <c r="D31" i="5"/>
  <c r="H31" i="5" s="1"/>
  <c r="J31" i="5" s="1"/>
  <c r="D30" i="5"/>
  <c r="H30" i="5" s="1"/>
  <c r="J30" i="5" s="1"/>
  <c r="D29" i="5"/>
  <c r="E29" i="5" s="1"/>
  <c r="G29" i="5" s="1"/>
  <c r="D28" i="5"/>
  <c r="H28" i="5" s="1"/>
  <c r="J28" i="5" s="1"/>
  <c r="H27" i="5"/>
  <c r="J27" i="5" s="1"/>
  <c r="E27" i="5"/>
  <c r="G27" i="5" s="1"/>
  <c r="D26" i="5"/>
  <c r="H26" i="5" s="1"/>
  <c r="J26" i="5" s="1"/>
  <c r="D25" i="5"/>
  <c r="E25" i="5" s="1"/>
  <c r="G25" i="5" s="1"/>
  <c r="D24" i="5"/>
  <c r="H24" i="5" s="1"/>
  <c r="J24" i="5" s="1"/>
  <c r="D23" i="5"/>
  <c r="H23" i="5" s="1"/>
  <c r="J23" i="5" s="1"/>
  <c r="D22" i="5"/>
  <c r="H22" i="5" s="1"/>
  <c r="J22" i="5" s="1"/>
  <c r="D21" i="5"/>
  <c r="H21" i="5" s="1"/>
  <c r="J21" i="5" s="1"/>
  <c r="W20" i="5"/>
  <c r="R20" i="5"/>
  <c r="D20" i="5"/>
  <c r="H20" i="5" s="1"/>
  <c r="J20" i="5" s="1"/>
  <c r="W19" i="5"/>
  <c r="R19" i="5"/>
  <c r="D19" i="5"/>
  <c r="H19" i="5" s="1"/>
  <c r="J19" i="5" s="1"/>
  <c r="W18" i="5"/>
  <c r="R18" i="5"/>
  <c r="D18" i="5"/>
  <c r="E18" i="5" s="1"/>
  <c r="G18" i="5" s="1"/>
  <c r="W17" i="5"/>
  <c r="R17" i="5"/>
  <c r="D17" i="5"/>
  <c r="H17" i="5" s="1"/>
  <c r="J17" i="5" s="1"/>
  <c r="W16" i="5"/>
  <c r="R16" i="5"/>
  <c r="D16" i="5"/>
  <c r="E16" i="5" s="1"/>
  <c r="G16" i="5" s="1"/>
  <c r="W15" i="5"/>
  <c r="R15" i="5"/>
  <c r="H15" i="5"/>
  <c r="J15" i="5" s="1"/>
  <c r="E15" i="5"/>
  <c r="G15" i="5" s="1"/>
  <c r="W14" i="5"/>
  <c r="R14" i="5"/>
  <c r="H14" i="5"/>
  <c r="J14" i="5" s="1"/>
  <c r="E14" i="5"/>
  <c r="G14" i="5" s="1"/>
  <c r="W13" i="5"/>
  <c r="R13" i="5"/>
  <c r="H13" i="5"/>
  <c r="J13" i="5" s="1"/>
  <c r="E13" i="5"/>
  <c r="G13" i="5" s="1"/>
  <c r="W12" i="5"/>
  <c r="H12" i="5"/>
  <c r="J12" i="5" s="1"/>
  <c r="E12" i="5"/>
  <c r="G12" i="5" s="1"/>
  <c r="W11" i="5"/>
  <c r="H11" i="5"/>
  <c r="J11" i="5" s="1"/>
  <c r="E11" i="5"/>
  <c r="G11" i="5" s="1"/>
  <c r="W10" i="5"/>
  <c r="R10" i="5"/>
  <c r="H10" i="5"/>
  <c r="J10" i="5" s="1"/>
  <c r="E10" i="5"/>
  <c r="G10" i="5" s="1"/>
  <c r="W9" i="5"/>
  <c r="R9" i="5"/>
  <c r="H9" i="5"/>
  <c r="J9" i="5" s="1"/>
  <c r="E9" i="5"/>
  <c r="G9" i="5" s="1"/>
  <c r="H8" i="5"/>
  <c r="J8" i="5" s="1"/>
  <c r="E8" i="5"/>
  <c r="G8" i="5" s="1"/>
  <c r="H7" i="5"/>
  <c r="J7" i="5" s="1"/>
  <c r="E7" i="5"/>
  <c r="G7" i="5" s="1"/>
  <c r="R6" i="5"/>
  <c r="H6" i="5"/>
  <c r="J6" i="5" s="1"/>
  <c r="E6" i="5"/>
  <c r="G6" i="5" s="1"/>
  <c r="R5" i="5"/>
  <c r="H5" i="5"/>
  <c r="J5" i="5" s="1"/>
  <c r="E5" i="5"/>
  <c r="G5" i="5" s="1"/>
  <c r="R4" i="5"/>
  <c r="H4" i="5"/>
  <c r="J4" i="5" s="1"/>
  <c r="E4" i="5"/>
  <c r="G4" i="5" s="1"/>
  <c r="R3" i="5"/>
  <c r="H3" i="5"/>
  <c r="J3" i="5" s="1"/>
  <c r="E3" i="5"/>
  <c r="G3" i="5" s="1"/>
  <c r="R2" i="5"/>
  <c r="H2" i="5"/>
  <c r="J2" i="5" s="1"/>
  <c r="E2" i="5"/>
  <c r="G2" i="5" s="1"/>
  <c r="AP1929" i="2"/>
  <c r="AR1924" i="2"/>
  <c r="AR1922" i="2"/>
  <c r="AQ1917" i="2"/>
  <c r="AR1913" i="2"/>
  <c r="AR1912" i="2"/>
  <c r="AP1912" i="2"/>
  <c r="AR1911" i="2"/>
  <c r="B1903" i="2"/>
  <c r="AR1902" i="2"/>
  <c r="AP1902" i="2"/>
  <c r="AR1901" i="2"/>
  <c r="AQ1900" i="2"/>
  <c r="AR1900" i="2" s="1"/>
  <c r="AP1899" i="2"/>
  <c r="AP1898" i="2"/>
  <c r="AP1897" i="2"/>
  <c r="AR1894" i="2"/>
  <c r="AP1894" i="2"/>
  <c r="AR1893" i="2"/>
  <c r="AP1893" i="2"/>
  <c r="AR1892" i="2"/>
  <c r="AP1892" i="2"/>
  <c r="AP1891" i="2"/>
  <c r="AP1890" i="2"/>
  <c r="AR1889" i="2"/>
  <c r="AP1889" i="2"/>
  <c r="AR1888" i="2"/>
  <c r="AP1888" i="2"/>
  <c r="AR1887" i="2"/>
  <c r="AP1887" i="2"/>
  <c r="AR1886" i="2"/>
  <c r="AP1886" i="2"/>
  <c r="AP1879" i="2"/>
  <c r="B1879" i="2"/>
  <c r="AR1878" i="2"/>
  <c r="AP1878" i="2"/>
  <c r="AR1877" i="2"/>
  <c r="BO1877" i="2"/>
  <c r="AP1877" i="2"/>
  <c r="AR1875" i="2"/>
  <c r="AP1875" i="2"/>
  <c r="AP1873" i="2"/>
  <c r="AQ1872" i="2"/>
  <c r="AQ1871" i="2"/>
  <c r="AQ1870" i="2"/>
  <c r="AQ1869" i="2"/>
  <c r="AP1869" i="2"/>
  <c r="AR1868" i="2"/>
  <c r="BO1868" i="2"/>
  <c r="AP1868" i="2"/>
  <c r="AR1867" i="2"/>
  <c r="AP1867" i="2"/>
  <c r="AR1866" i="2"/>
  <c r="AP1866" i="2"/>
  <c r="AR1865" i="2"/>
  <c r="AP1865" i="2"/>
  <c r="AR1864" i="2"/>
  <c r="AP1864" i="2"/>
  <c r="AR1863" i="2"/>
  <c r="AP1863" i="2"/>
  <c r="AR1862" i="2"/>
  <c r="AP1862" i="2"/>
  <c r="AR1861" i="2"/>
  <c r="BO1861" i="2"/>
  <c r="AP1861" i="2"/>
  <c r="AR1860" i="2"/>
  <c r="BO1860" i="2"/>
  <c r="AP1860" i="2"/>
  <c r="AR1859" i="2"/>
  <c r="AP1859" i="2"/>
  <c r="AR1858" i="2"/>
  <c r="BO1858" i="2"/>
  <c r="AP1858" i="2"/>
  <c r="AR1857" i="2"/>
  <c r="BO1857" i="2"/>
  <c r="AP1857" i="2"/>
  <c r="AR1856" i="2"/>
  <c r="AP1856" i="2"/>
  <c r="AR1854" i="2"/>
  <c r="AP1854" i="2"/>
  <c r="AR1853" i="2"/>
  <c r="AP1853" i="2"/>
  <c r="AR1852" i="2"/>
  <c r="AP1852" i="2"/>
  <c r="AR1851" i="2"/>
  <c r="AP1851" i="2"/>
  <c r="AR1850" i="2"/>
  <c r="AP1850" i="2"/>
  <c r="AR1849" i="2"/>
  <c r="AP1849" i="2"/>
  <c r="AQ1848" i="2"/>
  <c r="AP1847" i="2"/>
  <c r="AQ1845" i="2"/>
  <c r="B1845" i="2"/>
  <c r="AR1844" i="2"/>
  <c r="AR1842" i="2"/>
  <c r="AP1842" i="2"/>
  <c r="AQ1841" i="2"/>
  <c r="AR1838" i="2"/>
  <c r="AP1838" i="2"/>
  <c r="X1838" i="2"/>
  <c r="AR1836" i="2"/>
  <c r="BO1834" i="2"/>
  <c r="BO1833" i="2"/>
  <c r="AP1833" i="2"/>
  <c r="BO1832" i="2"/>
  <c r="AP1832" i="2"/>
  <c r="AR1829" i="2"/>
  <c r="AR1828" i="2"/>
  <c r="AP1827" i="2"/>
  <c r="AR1826" i="2"/>
  <c r="AP1826" i="2"/>
  <c r="BD1826" i="2"/>
  <c r="AQ1825" i="2"/>
  <c r="AR1824" i="2"/>
  <c r="AP1824" i="2"/>
  <c r="AR1823" i="2"/>
  <c r="AP1823" i="2"/>
  <c r="AR1822" i="2"/>
  <c r="AP1822" i="2"/>
  <c r="AR1821" i="2"/>
  <c r="AT1821" i="2" s="1"/>
  <c r="AP1821" i="2"/>
  <c r="AR1817" i="2"/>
  <c r="AP1817" i="2"/>
  <c r="B1817" i="2"/>
  <c r="AR1816" i="2"/>
  <c r="AP1816" i="2"/>
  <c r="AR1815" i="2"/>
  <c r="AP1815" i="2"/>
  <c r="AR1814" i="2"/>
  <c r="AP1814" i="2"/>
  <c r="AR1813" i="2"/>
  <c r="AP1813" i="2"/>
  <c r="AR1812" i="2"/>
  <c r="AP1812" i="2"/>
  <c r="AR1811" i="2"/>
  <c r="AP1811" i="2"/>
  <c r="AR1810" i="2"/>
  <c r="BO1810" i="2"/>
  <c r="AP1810" i="2"/>
  <c r="AP1809" i="2"/>
  <c r="AC1809" i="2"/>
  <c r="AE1809" i="2" s="1"/>
  <c r="AR1808" i="2"/>
  <c r="AP1808" i="2"/>
  <c r="AC1808" i="2"/>
  <c r="AE1808" i="2" s="1"/>
  <c r="AR1807" i="2"/>
  <c r="AP1807" i="2"/>
  <c r="X1807" i="2"/>
  <c r="AR1806" i="2"/>
  <c r="AP1806" i="2"/>
  <c r="X1806" i="2"/>
  <c r="AR1805" i="2"/>
  <c r="AP1805" i="2"/>
  <c r="X1805" i="2"/>
  <c r="AR1804" i="2"/>
  <c r="AP1804" i="2"/>
  <c r="AR1803" i="2"/>
  <c r="AP1803" i="2"/>
  <c r="AR1802" i="2"/>
  <c r="AP1802" i="2"/>
  <c r="AR1801" i="2"/>
  <c r="AP1801" i="2"/>
  <c r="AR1800" i="2"/>
  <c r="AP1800" i="2"/>
  <c r="AR1799" i="2"/>
  <c r="AP1799" i="2"/>
  <c r="AR1798" i="2"/>
  <c r="AP1798" i="2"/>
  <c r="AR1796" i="2"/>
  <c r="AP1796" i="2"/>
  <c r="AR1795" i="2"/>
  <c r="AP1795" i="2"/>
  <c r="AP1794" i="2"/>
  <c r="AP1793" i="2"/>
  <c r="AQ1792" i="2"/>
  <c r="B1792" i="2"/>
  <c r="AR1791" i="2"/>
  <c r="AP1791" i="2"/>
  <c r="B1791" i="2"/>
  <c r="AR1790" i="2"/>
  <c r="AP1790" i="2"/>
  <c r="B1790" i="2"/>
  <c r="AR1789" i="2"/>
  <c r="AP1789" i="2"/>
  <c r="AR1788" i="2"/>
  <c r="AP1788" i="2"/>
  <c r="AR1787" i="2"/>
  <c r="AP1787" i="2"/>
  <c r="AR1786" i="2"/>
  <c r="AP1786" i="2"/>
  <c r="AR1785" i="2"/>
  <c r="AP1785" i="2"/>
  <c r="AR1784" i="2"/>
  <c r="AP1784" i="2"/>
  <c r="AQ1783" i="2"/>
  <c r="AQ1782" i="2"/>
  <c r="AQ1781" i="2"/>
  <c r="AR1781" i="2" s="1"/>
  <c r="AQ1778" i="2"/>
  <c r="AP1776" i="2"/>
  <c r="AR1775" i="2"/>
  <c r="AP1775" i="2"/>
  <c r="AR1774" i="2"/>
  <c r="AP1774" i="2"/>
  <c r="AQ1773" i="2"/>
  <c r="AP1773" i="2" s="1"/>
  <c r="AR1772" i="2"/>
  <c r="AP1772" i="2"/>
  <c r="AR1771" i="2"/>
  <c r="AP1771" i="2"/>
  <c r="AR1770" i="2"/>
  <c r="AP1770" i="2"/>
  <c r="AR1769" i="2"/>
  <c r="AP1769" i="2"/>
  <c r="AQ1768" i="2"/>
  <c r="AR1768" i="2" s="1"/>
  <c r="AR1767" i="2"/>
  <c r="AP1767" i="2"/>
  <c r="AR1766" i="2"/>
  <c r="AC1766" i="2"/>
  <c r="AE1766" i="2" s="1"/>
  <c r="AR1765" i="2"/>
  <c r="AP1765" i="2"/>
  <c r="B1765" i="2"/>
  <c r="AP1764" i="2"/>
  <c r="AP1763" i="2"/>
  <c r="AP1762" i="2"/>
  <c r="AQ1761" i="2"/>
  <c r="AP1761" i="2" s="1"/>
  <c r="AQ1760" i="2"/>
  <c r="AP1760" i="2" s="1"/>
  <c r="AP1759" i="2"/>
  <c r="AR1758" i="2"/>
  <c r="AP1758" i="2"/>
  <c r="AR1757" i="2"/>
  <c r="AP1757" i="2"/>
  <c r="AR1756" i="2"/>
  <c r="AP1756" i="2"/>
  <c r="X1756" i="2"/>
  <c r="AR1755" i="2"/>
  <c r="AP1755" i="2"/>
  <c r="X1755" i="2"/>
  <c r="AR1754" i="2"/>
  <c r="AP1754" i="2"/>
  <c r="AR1753" i="2"/>
  <c r="AP1753" i="2"/>
  <c r="AR1752" i="2"/>
  <c r="AP1752" i="2"/>
  <c r="AR1751" i="2"/>
  <c r="AP1751" i="2"/>
  <c r="AR1750" i="2"/>
  <c r="BO1750" i="2"/>
  <c r="AP1750" i="2"/>
  <c r="BV1749" i="2"/>
  <c r="AR1749" i="2"/>
  <c r="AR1748" i="2"/>
  <c r="AP1748" i="2"/>
  <c r="AR1747" i="2"/>
  <c r="AR1746" i="2"/>
  <c r="AR1744" i="2"/>
  <c r="AP1744" i="2"/>
  <c r="X1744" i="2"/>
  <c r="AR1743" i="2"/>
  <c r="AR1742" i="2"/>
  <c r="AP1742" i="2"/>
  <c r="BV1741" i="2"/>
  <c r="AR1741" i="2"/>
  <c r="BV1740" i="2"/>
  <c r="AR1740" i="2"/>
  <c r="BV1739" i="2"/>
  <c r="AR1739" i="2"/>
  <c r="BV1738" i="2"/>
  <c r="AR1738" i="2"/>
  <c r="AR1737" i="2"/>
  <c r="AP1737" i="2"/>
  <c r="BV1736" i="2"/>
  <c r="AR1736" i="2"/>
  <c r="AQ1735" i="2"/>
  <c r="AP1735" i="2"/>
  <c r="AR1734" i="2"/>
  <c r="BO1734" i="2"/>
  <c r="AP1734" i="2"/>
  <c r="AR1733" i="2"/>
  <c r="BO1733" i="2"/>
  <c r="AP1733" i="2"/>
  <c r="AR1732" i="2"/>
  <c r="BO1732" i="2"/>
  <c r="AP1732" i="2"/>
  <c r="AR1731" i="2"/>
  <c r="X1731" i="2"/>
  <c r="BV1730" i="2"/>
  <c r="AR1730" i="2"/>
  <c r="AR1729" i="2"/>
  <c r="BV1728" i="2"/>
  <c r="AR1728" i="2"/>
  <c r="AP1727" i="2"/>
  <c r="AR1726" i="2"/>
  <c r="AR1725" i="2"/>
  <c r="BO1725" i="2"/>
  <c r="AR1724" i="2"/>
  <c r="BO1724" i="2"/>
  <c r="AP1724" i="2"/>
  <c r="AR1723" i="2"/>
  <c r="BO1723" i="2"/>
  <c r="AP1723" i="2"/>
  <c r="BV1720" i="2"/>
  <c r="AT1720" i="2"/>
  <c r="AR1720" i="2"/>
  <c r="AP1720" i="2"/>
  <c r="AR1719" i="2"/>
  <c r="AR1718" i="2"/>
  <c r="AP1718" i="2"/>
  <c r="AP1719" i="2" s="1"/>
  <c r="AR1716" i="2"/>
  <c r="BO1716" i="2"/>
  <c r="AP1716" i="2"/>
  <c r="X1716" i="2"/>
  <c r="BO1715" i="2"/>
  <c r="AP1715" i="2"/>
  <c r="X1715" i="2"/>
  <c r="BO1714" i="2"/>
  <c r="AP1714" i="2"/>
  <c r="AR1714" i="2" s="1"/>
  <c r="X1714" i="2"/>
  <c r="AR1713" i="2"/>
  <c r="AP1713" i="2"/>
  <c r="X1713" i="2"/>
  <c r="AP1712" i="2"/>
  <c r="X1712" i="2"/>
  <c r="AP1711" i="2"/>
  <c r="AR1711" i="2" s="1"/>
  <c r="X1711" i="2"/>
  <c r="AP1710" i="2"/>
  <c r="X1710" i="2"/>
  <c r="AP1709" i="2"/>
  <c r="X1709" i="2"/>
  <c r="AP1708" i="2"/>
  <c r="X1708" i="2"/>
  <c r="AR1707" i="2"/>
  <c r="AP1707" i="2"/>
  <c r="X1707" i="2"/>
  <c r="AR1706" i="2"/>
  <c r="AP1706" i="2"/>
  <c r="BV1705" i="2"/>
  <c r="AR1705" i="2"/>
  <c r="AR1704" i="2"/>
  <c r="AP1704" i="2"/>
  <c r="AR1703" i="2"/>
  <c r="AP1703" i="2"/>
  <c r="AP1702" i="2"/>
  <c r="AR1702" i="2" s="1"/>
  <c r="BV1701" i="2"/>
  <c r="AP1701" i="2"/>
  <c r="AR1701" i="2" s="1"/>
  <c r="BV1700" i="2"/>
  <c r="AP1700" i="2"/>
  <c r="AR1700" i="2" s="1"/>
  <c r="AQ1699" i="2"/>
  <c r="AQ1698" i="2"/>
  <c r="AP1697" i="2"/>
  <c r="AQ1696" i="2"/>
  <c r="AP1695" i="2"/>
  <c r="AP1694" i="2"/>
  <c r="AO1694" i="2"/>
  <c r="AO1695" i="2" s="1"/>
  <c r="AQ1693" i="2"/>
  <c r="AT1692" i="2"/>
  <c r="AP1691" i="2"/>
  <c r="AQ1690" i="2"/>
  <c r="AP1690" i="2" s="1"/>
  <c r="AT1689" i="2"/>
  <c r="AP1689" i="2"/>
  <c r="AT1688" i="2"/>
  <c r="AP1688" i="2"/>
  <c r="AP1687" i="2"/>
  <c r="AT1686" i="2"/>
  <c r="AP1686" i="2"/>
  <c r="AT1685" i="2"/>
  <c r="AP1685" i="2"/>
  <c r="AP1684" i="2"/>
  <c r="AP1683" i="2"/>
  <c r="AT1682" i="2"/>
  <c r="AP1682" i="2"/>
  <c r="AT1681" i="2"/>
  <c r="AP1681" i="2"/>
  <c r="AP1680" i="2"/>
  <c r="AT1679" i="2"/>
  <c r="AP1679" i="2"/>
  <c r="AR1678" i="2"/>
  <c r="AP1678" i="2"/>
  <c r="AR1677" i="2"/>
  <c r="AP1677" i="2"/>
  <c r="BV1676" i="2"/>
  <c r="AR1676" i="2"/>
  <c r="AP1676" i="2"/>
  <c r="X1676" i="2"/>
  <c r="BV1675" i="2"/>
  <c r="AR1675" i="2"/>
  <c r="AP1675" i="2"/>
  <c r="BV1674" i="2"/>
  <c r="AR1674" i="2"/>
  <c r="AP1674" i="2"/>
  <c r="X1674" i="2"/>
  <c r="AR1673" i="2"/>
  <c r="AP1673" i="2"/>
  <c r="AR1672" i="2"/>
  <c r="AP1672" i="2"/>
  <c r="AR1671" i="2"/>
  <c r="AP1671" i="2"/>
  <c r="AR1670" i="2"/>
  <c r="AP1670" i="2"/>
  <c r="AP1669" i="2"/>
  <c r="AR1669" i="2" s="1"/>
  <c r="AC1669" i="2"/>
  <c r="AE1669" i="2" s="1"/>
  <c r="X1669" i="2"/>
  <c r="BV1668" i="2"/>
  <c r="AP1668" i="2"/>
  <c r="AR1668" i="2" s="1"/>
  <c r="AC1668" i="2"/>
  <c r="AE1668" i="2" s="1"/>
  <c r="X1668" i="2"/>
  <c r="AP1667" i="2"/>
  <c r="AR1667" i="2" s="1"/>
  <c r="BV1666" i="2"/>
  <c r="AP1666" i="2"/>
  <c r="AR1666" i="2" s="1"/>
  <c r="AR1665" i="2"/>
  <c r="BO1665" i="2"/>
  <c r="AP1665" i="2"/>
  <c r="X1665" i="2"/>
  <c r="BV1664" i="2"/>
  <c r="AR1664" i="2"/>
  <c r="BO1664" i="2"/>
  <c r="AP1664" i="2"/>
  <c r="X1664" i="2"/>
  <c r="AQ1663" i="2"/>
  <c r="AR1662" i="2"/>
  <c r="AP1662" i="2"/>
  <c r="AR1661" i="2"/>
  <c r="AP1661" i="2"/>
  <c r="AR1660" i="2"/>
  <c r="AT1654" i="2"/>
  <c r="AR1654" i="2"/>
  <c r="AP1654" i="2"/>
  <c r="AT1653" i="2"/>
  <c r="AR1653" i="2"/>
  <c r="AP1653" i="2"/>
  <c r="AT1652" i="2"/>
  <c r="AR1652" i="2"/>
  <c r="AP1652" i="2"/>
  <c r="AR1651" i="2"/>
  <c r="AR1650" i="2"/>
  <c r="AR1649" i="2"/>
  <c r="AP1649" i="2"/>
  <c r="AP1650" i="2" s="1"/>
  <c r="AP1651" i="2" s="1"/>
  <c r="AR1648" i="2"/>
  <c r="AP1648" i="2"/>
  <c r="AR1647" i="2"/>
  <c r="AR1646" i="2"/>
  <c r="AR1645" i="2"/>
  <c r="AP1645" i="2"/>
  <c r="AP1646" i="2" s="1"/>
  <c r="AP1647" i="2" s="1"/>
  <c r="AR1644" i="2"/>
  <c r="AP1644" i="2"/>
  <c r="AP1641" i="2"/>
  <c r="AR1641" i="2" s="1"/>
  <c r="AR1640" i="2"/>
  <c r="BO1640" i="2"/>
  <c r="AP1640" i="2"/>
  <c r="X1640" i="2"/>
  <c r="AR1639" i="2"/>
  <c r="BO1639" i="2"/>
  <c r="AP1639" i="2"/>
  <c r="AR1638" i="2"/>
  <c r="B1638" i="2"/>
  <c r="AR1637" i="2"/>
  <c r="AP1637" i="2"/>
  <c r="AP1636" i="2"/>
  <c r="AR1636" i="2" s="1"/>
  <c r="B1636" i="2"/>
  <c r="AR1635" i="2"/>
  <c r="AP1635" i="2"/>
  <c r="B1635" i="2"/>
  <c r="AP1634" i="2"/>
  <c r="AR1634" i="2" s="1"/>
  <c r="B1634" i="2"/>
  <c r="BV1633" i="2"/>
  <c r="AP1633" i="2"/>
  <c r="AR1633" i="2" s="1"/>
  <c r="BV1632" i="2"/>
  <c r="AR1632" i="2"/>
  <c r="BV1631" i="2"/>
  <c r="AR1631" i="2"/>
  <c r="BV1630" i="2"/>
  <c r="AR1630" i="2"/>
  <c r="BV1629" i="2"/>
  <c r="AR1629" i="2"/>
  <c r="BV1628" i="2"/>
  <c r="AP1628" i="2"/>
  <c r="AR1628" i="2" s="1"/>
  <c r="X1628" i="2"/>
  <c r="BV1627" i="2"/>
  <c r="AR1627" i="2"/>
  <c r="X1627" i="2"/>
  <c r="BV1626" i="2"/>
  <c r="X1626" i="2"/>
  <c r="BV1625" i="2"/>
  <c r="AP1625" i="2"/>
  <c r="AR1625" i="2" s="1"/>
  <c r="BV1624" i="2"/>
  <c r="BV1623" i="2"/>
  <c r="BV1622" i="2"/>
  <c r="BV1621" i="2"/>
  <c r="X1621" i="2"/>
  <c r="BV1620" i="2"/>
  <c r="BV1619" i="2"/>
  <c r="AP1619" i="2"/>
  <c r="AR1619" i="2" s="1"/>
  <c r="X1619" i="2"/>
  <c r="AR1618" i="2"/>
  <c r="AP1618" i="2"/>
  <c r="AR1617" i="2"/>
  <c r="BO1617" i="2"/>
  <c r="AP1617" i="2"/>
  <c r="BV1616" i="2"/>
  <c r="AR1616" i="2"/>
  <c r="BV1615" i="2"/>
  <c r="AR1615" i="2"/>
  <c r="BV1614" i="2"/>
  <c r="AP1614" i="2"/>
  <c r="AR1614" i="2" s="1"/>
  <c r="AR1613" i="2"/>
  <c r="AP1613" i="2"/>
  <c r="AR1612" i="2"/>
  <c r="BV1611" i="2"/>
  <c r="BV1610" i="2"/>
  <c r="X1610" i="2"/>
  <c r="AP1609" i="2"/>
  <c r="AR1609" i="2" s="1"/>
  <c r="AR1608" i="2"/>
  <c r="AP1607" i="2"/>
  <c r="AR1607" i="2" s="1"/>
  <c r="X1607" i="2"/>
  <c r="BV1605" i="2"/>
  <c r="B1605" i="2"/>
  <c r="BV1604" i="2"/>
  <c r="B1604" i="2"/>
  <c r="BV1603" i="2"/>
  <c r="X1603" i="2"/>
  <c r="AR1601" i="2"/>
  <c r="X1601" i="2"/>
  <c r="BV1600" i="2"/>
  <c r="AP1600" i="2"/>
  <c r="AR1600" i="2" s="1"/>
  <c r="X1600" i="2"/>
  <c r="AR1599" i="2"/>
  <c r="X1599" i="2"/>
  <c r="AR1598" i="2"/>
  <c r="X1598" i="2"/>
  <c r="AR1597" i="2"/>
  <c r="BO1597" i="2"/>
  <c r="AP1597" i="2"/>
  <c r="X1597" i="2"/>
  <c r="AR1596" i="2"/>
  <c r="BO1596" i="2"/>
  <c r="AP1596" i="2"/>
  <c r="X1596" i="2"/>
  <c r="BV1595" i="2"/>
  <c r="AR1595" i="2"/>
  <c r="X1595" i="2"/>
  <c r="BV1594" i="2"/>
  <c r="AR1594" i="2"/>
  <c r="X1594" i="2"/>
  <c r="BV1593" i="2"/>
  <c r="AR1593" i="2"/>
  <c r="X1593" i="2"/>
  <c r="BV1592" i="2"/>
  <c r="AR1592" i="2"/>
  <c r="X1592" i="2"/>
  <c r="AR1591" i="2"/>
  <c r="BO1591" i="2"/>
  <c r="AP1591" i="2"/>
  <c r="BO1590" i="2"/>
  <c r="AP1590" i="2"/>
  <c r="BO1589" i="2"/>
  <c r="AP1589" i="2"/>
  <c r="AP1588" i="2"/>
  <c r="BV1587" i="2"/>
  <c r="AP1587" i="2"/>
  <c r="AR1587" i="2" s="1"/>
  <c r="AR1586" i="2"/>
  <c r="AP1586" i="2"/>
  <c r="BV1585" i="2"/>
  <c r="AC1585" i="2"/>
  <c r="AE1585" i="2" s="1"/>
  <c r="X1585" i="2"/>
  <c r="AP1584" i="2"/>
  <c r="AR1584" i="2" s="1"/>
  <c r="X1584" i="2"/>
  <c r="AR1583" i="2"/>
  <c r="X1583" i="2"/>
  <c r="AR1582" i="2"/>
  <c r="X1582" i="2"/>
  <c r="BV1581" i="2"/>
  <c r="AP1581" i="2"/>
  <c r="AR1581" i="2" s="1"/>
  <c r="X1581" i="2"/>
  <c r="BV1580" i="2"/>
  <c r="X1580" i="2"/>
  <c r="BV1579" i="2"/>
  <c r="X1579" i="2"/>
  <c r="BO1578" i="2"/>
  <c r="AP1578" i="2"/>
  <c r="AR1576" i="2"/>
  <c r="AP1576" i="2"/>
  <c r="BV1575" i="2"/>
  <c r="AP1574" i="2"/>
  <c r="AP1573" i="2"/>
  <c r="BV1567" i="2"/>
  <c r="AP1567" i="2"/>
  <c r="AR1567" i="2" s="1"/>
  <c r="BV1565" i="2"/>
  <c r="AP1565" i="2"/>
  <c r="AR1565" i="2" s="1"/>
  <c r="BV1561" i="2"/>
  <c r="AR1561" i="2"/>
  <c r="BV1560" i="2"/>
  <c r="AR1560" i="2"/>
  <c r="BV1559" i="2"/>
  <c r="X1559" i="2"/>
  <c r="AR1558" i="2"/>
  <c r="X1558" i="2"/>
  <c r="BV1555" i="2"/>
  <c r="AP1555" i="2"/>
  <c r="AR1555" i="2" s="1"/>
  <c r="BV1554" i="2"/>
  <c r="X1554" i="2"/>
  <c r="BV1553" i="2"/>
  <c r="X1553" i="2"/>
  <c r="BV1552" i="2"/>
  <c r="X1552" i="2"/>
  <c r="BV1551" i="2"/>
  <c r="BO1551" i="2"/>
  <c r="BV1550" i="2"/>
  <c r="AP1550" i="2"/>
  <c r="AR1550" i="2" s="1"/>
  <c r="BV1549" i="2"/>
  <c r="BV1548" i="2"/>
  <c r="BV1547" i="2"/>
  <c r="BV1546" i="2"/>
  <c r="BV1545" i="2"/>
  <c r="BV1544" i="2"/>
  <c r="X1544" i="2"/>
  <c r="AR1543" i="2"/>
  <c r="B1543" i="2"/>
  <c r="BV1542" i="2"/>
  <c r="BV1541" i="2"/>
  <c r="AP1541" i="2"/>
  <c r="AR1541" i="2" s="1"/>
  <c r="BV1540" i="2"/>
  <c r="BV1539" i="2"/>
  <c r="BV1538" i="2"/>
  <c r="BV1537" i="2"/>
  <c r="X1537" i="2"/>
  <c r="BV1536" i="2"/>
  <c r="X1536" i="2"/>
  <c r="BV1535" i="2"/>
  <c r="X1535" i="2"/>
  <c r="BV1534" i="2"/>
  <c r="X1534" i="2"/>
  <c r="BV1533" i="2"/>
  <c r="X1533" i="2"/>
  <c r="BV1532" i="2"/>
  <c r="X1532" i="2"/>
  <c r="BV1531" i="2"/>
  <c r="X1531" i="2"/>
  <c r="BV1530" i="2"/>
  <c r="X1530" i="2"/>
  <c r="BV1529" i="2"/>
  <c r="AP1529" i="2"/>
  <c r="AR1529" i="2" s="1"/>
  <c r="BV1528" i="2"/>
  <c r="BV1525" i="2"/>
  <c r="BV1524" i="2"/>
  <c r="BV1523" i="2"/>
  <c r="BV1522" i="2"/>
  <c r="BV1521" i="2"/>
  <c r="BV1520" i="2"/>
  <c r="BV1519" i="2"/>
  <c r="BV1518" i="2"/>
  <c r="BV1517" i="2"/>
  <c r="BV1516" i="2"/>
  <c r="AR1516" i="2"/>
  <c r="X1516" i="2"/>
  <c r="B1516" i="2"/>
  <c r="BV1515" i="2"/>
  <c r="AP1515" i="2"/>
  <c r="AR1515" i="2" s="1"/>
  <c r="X1515" i="2"/>
  <c r="BV1514" i="2"/>
  <c r="AP1514" i="2"/>
  <c r="AR1514" i="2" s="1"/>
  <c r="X1514" i="2"/>
  <c r="BV1513" i="2"/>
  <c r="X1513" i="2"/>
  <c r="BV1512" i="2"/>
  <c r="AP1512" i="2"/>
  <c r="AR1512" i="2" s="1"/>
  <c r="X1512" i="2"/>
  <c r="AR1511" i="2"/>
  <c r="AP1511" i="2"/>
  <c r="BV1510" i="2"/>
  <c r="BV1509" i="2"/>
  <c r="BV1508" i="2"/>
  <c r="BV1507" i="2"/>
  <c r="BV1506" i="2"/>
  <c r="BV1505" i="2"/>
  <c r="BV1504" i="2"/>
  <c r="BV1503" i="2"/>
  <c r="BO1503" i="2"/>
  <c r="X1503" i="2"/>
  <c r="BV1501" i="2"/>
  <c r="BV1500" i="2"/>
  <c r="BV1498" i="2"/>
  <c r="AP1498" i="2"/>
  <c r="AR1498" i="2" s="1"/>
  <c r="X1498" i="2"/>
  <c r="BV1497" i="2"/>
  <c r="X1497" i="2"/>
  <c r="BV1496" i="2"/>
  <c r="X1496" i="2"/>
  <c r="BV1495" i="2"/>
  <c r="AP1495" i="2"/>
  <c r="AR1495" i="2" s="1"/>
  <c r="X1495" i="2"/>
  <c r="BV1494" i="2"/>
  <c r="AP1494" i="2"/>
  <c r="AR1494" i="2" s="1"/>
  <c r="X1494" i="2"/>
  <c r="BV1493" i="2"/>
  <c r="X1493" i="2"/>
  <c r="BV1492" i="2"/>
  <c r="BV1491" i="2"/>
  <c r="BV1489" i="2"/>
  <c r="AP1489" i="2"/>
  <c r="AR1489" i="2" s="1"/>
  <c r="BV1488" i="2"/>
  <c r="BO1488" i="2"/>
  <c r="BV1487" i="2"/>
  <c r="BV1486" i="2"/>
  <c r="BV1485" i="2"/>
  <c r="BV1484" i="2"/>
  <c r="BV1483" i="2"/>
  <c r="BO1483" i="2"/>
  <c r="BV1482" i="2"/>
  <c r="BV1481" i="2"/>
  <c r="BO1481" i="2"/>
  <c r="AP1481" i="2"/>
  <c r="AR1481" i="2" s="1"/>
  <c r="X1481" i="2"/>
  <c r="BV1480" i="2"/>
  <c r="BO1480" i="2"/>
  <c r="AP1480" i="2"/>
  <c r="AR1480" i="2" s="1"/>
  <c r="X1480" i="2"/>
  <c r="BV1479" i="2"/>
  <c r="X1479" i="2"/>
  <c r="BV1478" i="2"/>
  <c r="AP1478" i="2"/>
  <c r="AR1478" i="2" s="1"/>
  <c r="X1478" i="2"/>
  <c r="BV1477" i="2"/>
  <c r="AP1477" i="2"/>
  <c r="AR1477" i="2" s="1"/>
  <c r="X1477" i="2"/>
  <c r="BV1476" i="2"/>
  <c r="X1476" i="2"/>
  <c r="BV1475" i="2"/>
  <c r="X1475" i="2"/>
  <c r="BV1474" i="2"/>
  <c r="AP1474" i="2"/>
  <c r="AR1474" i="2" s="1"/>
  <c r="X1474" i="2"/>
  <c r="BV1473" i="2"/>
  <c r="AP1473" i="2"/>
  <c r="AR1473" i="2" s="1"/>
  <c r="X1473" i="2"/>
  <c r="BV1472" i="2"/>
  <c r="AP1472" i="2"/>
  <c r="AR1472" i="2" s="1"/>
  <c r="X1472" i="2"/>
  <c r="BV1471" i="2"/>
  <c r="X1471" i="2"/>
  <c r="BV1470" i="2"/>
  <c r="AP1470" i="2"/>
  <c r="AR1470" i="2" s="1"/>
  <c r="X1470" i="2"/>
  <c r="BV1469" i="2"/>
  <c r="AP1469" i="2"/>
  <c r="AR1469" i="2" s="1"/>
  <c r="X1469" i="2"/>
  <c r="BV1468" i="2"/>
  <c r="X1468" i="2"/>
  <c r="BV1467" i="2"/>
  <c r="X1467" i="2"/>
  <c r="AR1466" i="2"/>
  <c r="X1466" i="2"/>
  <c r="AR1465" i="2"/>
  <c r="X1465" i="2"/>
  <c r="BV1464" i="2"/>
  <c r="AQ1464" i="2"/>
  <c r="BV1463" i="2"/>
  <c r="AQ1463" i="2"/>
  <c r="BV1462" i="2"/>
  <c r="BV1461" i="2"/>
  <c r="AQ1461" i="2"/>
  <c r="BV1460" i="2"/>
  <c r="AQ1460" i="2"/>
  <c r="BV1458" i="2"/>
  <c r="AQ1458" i="2"/>
  <c r="BV1457" i="2"/>
  <c r="BV1456" i="2"/>
  <c r="AQ1456" i="2"/>
  <c r="BV1455" i="2"/>
  <c r="AP1455" i="2"/>
  <c r="AR1455" i="2" s="1"/>
  <c r="X1455" i="2"/>
  <c r="BV1454" i="2"/>
  <c r="X1454" i="2"/>
  <c r="BV1453" i="2"/>
  <c r="BV1452" i="2"/>
  <c r="AR1452" i="2"/>
  <c r="X1452" i="2"/>
  <c r="BV1451" i="2"/>
  <c r="BO1451" i="2"/>
  <c r="X1451" i="2"/>
  <c r="BV1450" i="2"/>
  <c r="AQ1450" i="2"/>
  <c r="BO1450" i="2" s="1"/>
  <c r="X1450" i="2"/>
  <c r="BV1449" i="2"/>
  <c r="BO1449" i="2"/>
  <c r="X1449" i="2"/>
  <c r="BV1448" i="2"/>
  <c r="AQ1448" i="2"/>
  <c r="BO1448" i="2" s="1"/>
  <c r="X1448" i="2"/>
  <c r="BV1447" i="2"/>
  <c r="AQ1447" i="2"/>
  <c r="BO1447" i="2" s="1"/>
  <c r="X1447" i="2"/>
  <c r="BV1446" i="2"/>
  <c r="BV1445" i="2"/>
  <c r="BV1444" i="2"/>
  <c r="BO1444" i="2"/>
  <c r="BV1443" i="2"/>
  <c r="X1443" i="2"/>
  <c r="BV1442" i="2"/>
  <c r="BV1441" i="2"/>
  <c r="BV1440" i="2"/>
  <c r="AQ1440" i="2"/>
  <c r="BV1439" i="2"/>
  <c r="BV1438" i="2"/>
  <c r="AQ1438" i="2"/>
  <c r="BV1437" i="2"/>
  <c r="BV1436" i="2"/>
  <c r="BO1436" i="2"/>
  <c r="X1436" i="2"/>
  <c r="BV1435" i="2"/>
  <c r="BO1435" i="2"/>
  <c r="X1435" i="2"/>
  <c r="BV1434" i="2"/>
  <c r="X1434" i="2"/>
  <c r="BV1433" i="2"/>
  <c r="AC1433" i="2"/>
  <c r="AE1433" i="2" s="1"/>
  <c r="X1433" i="2"/>
  <c r="BV1432" i="2"/>
  <c r="X1432" i="2"/>
  <c r="BV1430" i="2"/>
  <c r="X1430" i="2"/>
  <c r="BV1429" i="2"/>
  <c r="X1429" i="2"/>
  <c r="BV1428" i="2"/>
  <c r="X1428" i="2"/>
  <c r="BV1427" i="2"/>
  <c r="X1427" i="2"/>
  <c r="BV1426" i="2"/>
  <c r="B1426" i="2"/>
  <c r="BV1425" i="2"/>
  <c r="B1425" i="2"/>
  <c r="BV1424" i="2"/>
  <c r="X1424" i="2"/>
  <c r="BV1423" i="2"/>
  <c r="AP1423" i="2"/>
  <c r="AR1423" i="2" s="1"/>
  <c r="BV1422" i="2"/>
  <c r="BV1421" i="2"/>
  <c r="BV1420" i="2"/>
  <c r="BO1420" i="2"/>
  <c r="BV1419" i="2"/>
  <c r="AP1419" i="2"/>
  <c r="AR1419" i="2" s="1"/>
  <c r="X1419" i="2"/>
  <c r="BV1418" i="2"/>
  <c r="AR1418" i="2"/>
  <c r="X1418" i="2"/>
  <c r="BV1417" i="2"/>
  <c r="BV1416" i="2"/>
  <c r="BV1414" i="2"/>
  <c r="AQ1414" i="2"/>
  <c r="BV1413" i="2"/>
  <c r="AQ1413" i="2"/>
  <c r="BV1412" i="2"/>
  <c r="BV1411" i="2"/>
  <c r="AQ1411" i="2"/>
  <c r="BV1410" i="2"/>
  <c r="BV1406" i="2"/>
  <c r="X1406" i="2"/>
  <c r="BV1405" i="2"/>
  <c r="X1405" i="2"/>
  <c r="BV1403" i="2"/>
  <c r="AP1403" i="2"/>
  <c r="AR1403" i="2" s="1"/>
  <c r="AP1402" i="2"/>
  <c r="BV1401" i="2"/>
  <c r="X1401" i="2"/>
  <c r="BV1400" i="2"/>
  <c r="X1400" i="2"/>
  <c r="BV1399" i="2"/>
  <c r="X1399" i="2"/>
  <c r="BV1398" i="2"/>
  <c r="X1398" i="2"/>
  <c r="BV1397" i="2"/>
  <c r="AQ1397" i="2"/>
  <c r="X1397" i="2"/>
  <c r="BV1396" i="2"/>
  <c r="X1396" i="2"/>
  <c r="BV1393" i="2"/>
  <c r="BO1393" i="2"/>
  <c r="BV1392" i="2"/>
  <c r="BV1391" i="2"/>
  <c r="BV1390" i="2"/>
  <c r="BV1389" i="2"/>
  <c r="BV1388" i="2"/>
  <c r="BV1387" i="2"/>
  <c r="X1387" i="2"/>
  <c r="BV1386" i="2"/>
  <c r="X1386" i="2"/>
  <c r="BV1385" i="2"/>
  <c r="BO1385" i="2"/>
  <c r="X1385" i="2"/>
  <c r="BV1384" i="2"/>
  <c r="BO1384" i="2"/>
  <c r="X1384" i="2"/>
  <c r="BV1383" i="2"/>
  <c r="X1383" i="2"/>
  <c r="BV1382" i="2"/>
  <c r="X1382" i="2"/>
  <c r="BV1381" i="2"/>
  <c r="X1381" i="2"/>
  <c r="BV1380" i="2"/>
  <c r="BO1380" i="2"/>
  <c r="X1380" i="2"/>
  <c r="BV1379" i="2"/>
  <c r="AC1379" i="2"/>
  <c r="AE1379" i="2" s="1"/>
  <c r="X1379" i="2"/>
  <c r="BV1378" i="2"/>
  <c r="AC1378" i="2"/>
  <c r="AE1378" i="2" s="1"/>
  <c r="X1378" i="2"/>
  <c r="BV1377" i="2"/>
  <c r="AQ1377" i="2"/>
  <c r="BV1376" i="2"/>
  <c r="BV1375" i="2"/>
  <c r="AQ1375" i="2"/>
  <c r="BV1374" i="2"/>
  <c r="BV1373" i="2"/>
  <c r="BV1372" i="2"/>
  <c r="BV1371" i="2"/>
  <c r="BV1370" i="2"/>
  <c r="BV1369" i="2"/>
  <c r="X1369" i="2"/>
  <c r="BV1368" i="2"/>
  <c r="BO1368" i="2"/>
  <c r="BV1367" i="2"/>
  <c r="X1367" i="2"/>
  <c r="BV1366" i="2"/>
  <c r="X1366" i="2"/>
  <c r="BV1365" i="2"/>
  <c r="X1365" i="2"/>
  <c r="BV1364" i="2"/>
  <c r="X1364" i="2"/>
  <c r="BV1363" i="2"/>
  <c r="AQ1363" i="2"/>
  <c r="X1363" i="2"/>
  <c r="BV1362" i="2"/>
  <c r="X1362" i="2"/>
  <c r="BV1361" i="2"/>
  <c r="BO1361" i="2"/>
  <c r="BV1360" i="2"/>
  <c r="BV1359" i="2"/>
  <c r="BV1358" i="2"/>
  <c r="BV1356" i="2"/>
  <c r="AQ1356" i="2"/>
  <c r="BV1355" i="2"/>
  <c r="BV1354" i="2"/>
  <c r="BV1353" i="2"/>
  <c r="BV1352" i="2"/>
  <c r="BV1351" i="2"/>
  <c r="BV1350" i="2"/>
  <c r="X1350" i="2"/>
  <c r="BV1349" i="2"/>
  <c r="X1349" i="2"/>
  <c r="BV1348" i="2"/>
  <c r="AQ1348" i="2"/>
  <c r="X1348" i="2"/>
  <c r="BV1347" i="2"/>
  <c r="X1347" i="2"/>
  <c r="BV1346" i="2"/>
  <c r="X1346" i="2"/>
  <c r="BV1345" i="2"/>
  <c r="X1345" i="2"/>
  <c r="BV1344" i="2"/>
  <c r="BV1343" i="2"/>
  <c r="AP1343" i="2"/>
  <c r="AR1343" i="2" s="1"/>
  <c r="X1343" i="2"/>
  <c r="AR1333" i="2"/>
  <c r="AP1333" i="2"/>
  <c r="X1333" i="2"/>
  <c r="BV1332" i="2"/>
  <c r="X1332" i="2"/>
  <c r="BV1331" i="2"/>
  <c r="X1331" i="2"/>
  <c r="BV1330" i="2"/>
  <c r="BO1330" i="2"/>
  <c r="X1330" i="2"/>
  <c r="BV1329" i="2"/>
  <c r="X1329" i="2"/>
  <c r="BV1328" i="2"/>
  <c r="X1328" i="2"/>
  <c r="BV1327" i="2"/>
  <c r="X1327" i="2"/>
  <c r="BV1326" i="2"/>
  <c r="X1326" i="2"/>
  <c r="BV1325" i="2"/>
  <c r="X1325" i="2"/>
  <c r="BV1324" i="2"/>
  <c r="BO1324" i="2"/>
  <c r="X1324" i="2"/>
  <c r="BV1322" i="2"/>
  <c r="X1322" i="2"/>
  <c r="BV1320" i="2"/>
  <c r="BV1319" i="2"/>
  <c r="BV1318" i="2"/>
  <c r="BV1317" i="2"/>
  <c r="X1317" i="2"/>
  <c r="BV1316" i="2"/>
  <c r="BO1316" i="2"/>
  <c r="X1316" i="2"/>
  <c r="BV1315" i="2"/>
  <c r="B1315" i="2"/>
  <c r="BV1314" i="2"/>
  <c r="BV1313" i="2"/>
  <c r="AR1313" i="2"/>
  <c r="AP1313" i="2"/>
  <c r="X1313" i="2"/>
  <c r="BV1312" i="2"/>
  <c r="AR1312" i="2"/>
  <c r="AP1312" i="2"/>
  <c r="X1312" i="2"/>
  <c r="BV1311" i="2"/>
  <c r="AP1311" i="2"/>
  <c r="AR1311" i="2" s="1"/>
  <c r="X1311" i="2"/>
  <c r="BV1310" i="2"/>
  <c r="AP1310" i="2"/>
  <c r="AR1310" i="2" s="1"/>
  <c r="X1310" i="2"/>
  <c r="BV1309" i="2"/>
  <c r="BV1308" i="2"/>
  <c r="BV1307" i="2"/>
  <c r="BV1306" i="2"/>
  <c r="X1306" i="2"/>
  <c r="BV1305" i="2"/>
  <c r="BV1304" i="2"/>
  <c r="BV1303" i="2"/>
  <c r="X1303" i="2"/>
  <c r="BV1302" i="2"/>
  <c r="BV1300" i="2"/>
  <c r="AQ1300" i="2"/>
  <c r="BV1299" i="2"/>
  <c r="BV1298" i="2"/>
  <c r="AQ1298" i="2"/>
  <c r="BV1297" i="2"/>
  <c r="AQ1297" i="2"/>
  <c r="BV1296" i="2"/>
  <c r="BO1296" i="2"/>
  <c r="BV1295" i="2"/>
  <c r="BO1295" i="2"/>
  <c r="BV1294" i="2"/>
  <c r="BO1294" i="2"/>
  <c r="BV1293" i="2"/>
  <c r="BO1293" i="2"/>
  <c r="BV1292" i="2"/>
  <c r="BV1291" i="2"/>
  <c r="BV1290" i="2"/>
  <c r="X1290" i="2"/>
  <c r="BV1289" i="2"/>
  <c r="X1289" i="2"/>
  <c r="BV1288" i="2"/>
  <c r="X1288" i="2"/>
  <c r="BV1287" i="2"/>
  <c r="BV1286" i="2"/>
  <c r="BV1285" i="2"/>
  <c r="BV1284" i="2"/>
  <c r="BV1283" i="2"/>
  <c r="BV1282" i="2"/>
  <c r="BV1281" i="2"/>
  <c r="X1281" i="2"/>
  <c r="BV1280" i="2"/>
  <c r="BV1279" i="2"/>
  <c r="BV1278" i="2"/>
  <c r="BV1277" i="2"/>
  <c r="BV1276" i="2"/>
  <c r="BV1275" i="2"/>
  <c r="BV1274" i="2"/>
  <c r="BV1273" i="2"/>
  <c r="AC1273" i="2"/>
  <c r="AE1273" i="2" s="1"/>
  <c r="BV1272" i="2"/>
  <c r="AC1272" i="2"/>
  <c r="AE1272" i="2" s="1"/>
  <c r="BV1271" i="2"/>
  <c r="AC1271" i="2"/>
  <c r="AE1271" i="2" s="1"/>
  <c r="BV1270" i="2"/>
  <c r="BV1269" i="2"/>
  <c r="X1269" i="2"/>
  <c r="BV1268" i="2"/>
  <c r="BV1267" i="2"/>
  <c r="BV1266" i="2"/>
  <c r="BV1265" i="2"/>
  <c r="BV1264" i="2"/>
  <c r="BV1263" i="2"/>
  <c r="BV1262" i="2"/>
  <c r="BV1261" i="2"/>
  <c r="BV1259" i="2"/>
  <c r="BV1258" i="2"/>
  <c r="BV1257" i="2"/>
  <c r="BV1252" i="2"/>
  <c r="BV1251" i="2"/>
  <c r="BO1251" i="2"/>
  <c r="BV1250" i="2"/>
  <c r="X1250" i="2"/>
  <c r="BV1249" i="2"/>
  <c r="BV1248" i="2"/>
  <c r="BO1248" i="2"/>
  <c r="BV1247" i="2"/>
  <c r="BV1246" i="2"/>
  <c r="BV1245" i="2"/>
  <c r="BV1244" i="2"/>
  <c r="BV1243" i="2"/>
  <c r="BV1242" i="2"/>
  <c r="BV1241" i="2"/>
  <c r="BV1240" i="2"/>
  <c r="BV1239" i="2"/>
  <c r="BV1238" i="2"/>
  <c r="BV1237" i="2"/>
  <c r="BV1236" i="2"/>
  <c r="BV1235" i="2"/>
  <c r="BV1234" i="2"/>
  <c r="BV1233" i="2"/>
  <c r="BV1232" i="2"/>
  <c r="BO1232" i="2"/>
  <c r="BV1231" i="2"/>
  <c r="BV1230" i="2"/>
  <c r="B1230" i="2"/>
  <c r="BV1229" i="2"/>
  <c r="B1229" i="2"/>
  <c r="BV1228" i="2"/>
  <c r="B1228" i="2"/>
  <c r="BV1227" i="2"/>
  <c r="BV1226" i="2"/>
  <c r="AC1226" i="2"/>
  <c r="AE1226" i="2" s="1"/>
  <c r="BV1225" i="2"/>
  <c r="X1225" i="2"/>
  <c r="BV1224" i="2"/>
  <c r="BV1223" i="2"/>
  <c r="BV1222" i="2"/>
  <c r="BV1221" i="2"/>
  <c r="X1221" i="2"/>
  <c r="BV1220" i="2"/>
  <c r="X1220" i="2"/>
  <c r="BV1219" i="2"/>
  <c r="X1219" i="2"/>
  <c r="BV1218" i="2"/>
  <c r="BV1217" i="2"/>
  <c r="BV1216" i="2"/>
  <c r="X1216" i="2"/>
  <c r="BV1215" i="2"/>
  <c r="X1215" i="2"/>
  <c r="BV1214" i="2"/>
  <c r="BO1214" i="2"/>
  <c r="X1214" i="2"/>
  <c r="BV1213" i="2"/>
  <c r="BO1213" i="2"/>
  <c r="BV1212" i="2"/>
  <c r="BO1212" i="2"/>
  <c r="BV1211" i="2"/>
  <c r="X1211" i="2"/>
  <c r="BV1210" i="2"/>
  <c r="X1210" i="2"/>
  <c r="BV1209" i="2"/>
  <c r="X1209" i="2"/>
  <c r="BV1208" i="2"/>
  <c r="X1208" i="2"/>
  <c r="BV1205" i="2"/>
  <c r="X1205" i="2"/>
  <c r="BV1204" i="2"/>
  <c r="BV1203" i="2"/>
  <c r="X1203" i="2"/>
  <c r="BV1202" i="2"/>
  <c r="X1202" i="2"/>
  <c r="BV1201" i="2"/>
  <c r="BV1200" i="2"/>
  <c r="BV1199" i="2"/>
  <c r="BV1198" i="2"/>
  <c r="BV1197" i="2"/>
  <c r="AQ1197" i="2"/>
  <c r="BV1196" i="2"/>
  <c r="BV1195" i="2"/>
  <c r="BV1194" i="2"/>
  <c r="BV1193" i="2"/>
  <c r="BV1192" i="2"/>
  <c r="AQ1192" i="2"/>
  <c r="BV1191" i="2"/>
  <c r="BV1190" i="2"/>
  <c r="BV1189" i="2"/>
  <c r="BV1188" i="2"/>
  <c r="BV1187" i="2"/>
  <c r="AQ1187" i="2"/>
  <c r="BV1186" i="2"/>
  <c r="BV1185" i="2"/>
  <c r="BO1185" i="2"/>
  <c r="BV1184" i="2"/>
  <c r="BO1184" i="2"/>
  <c r="BV1183" i="2"/>
  <c r="BO1183" i="2"/>
  <c r="BV1182" i="2"/>
  <c r="BO1182" i="2"/>
  <c r="BV1181" i="2"/>
  <c r="BO1181" i="2"/>
  <c r="BV1180" i="2"/>
  <c r="BV1179" i="2"/>
  <c r="BO1179" i="2"/>
  <c r="BV1178" i="2"/>
  <c r="BV1177" i="2"/>
  <c r="X1177" i="2"/>
  <c r="BV1176" i="2"/>
  <c r="X1176" i="2"/>
  <c r="BV1175" i="2"/>
  <c r="X1175" i="2"/>
  <c r="BV1174" i="2"/>
  <c r="X1174" i="2"/>
  <c r="BV1173" i="2"/>
  <c r="X1173" i="2"/>
  <c r="BV1172" i="2"/>
  <c r="X1172" i="2"/>
  <c r="BV1171" i="2"/>
  <c r="X1171" i="2"/>
  <c r="BV1170" i="2"/>
  <c r="X1170" i="2"/>
  <c r="BV1169" i="2"/>
  <c r="X1169" i="2"/>
  <c r="BV1168" i="2"/>
  <c r="X1168" i="2"/>
  <c r="BV1167" i="2"/>
  <c r="X1167" i="2"/>
  <c r="BV1166" i="2"/>
  <c r="X1166" i="2"/>
  <c r="BV1165" i="2"/>
  <c r="X1165" i="2"/>
  <c r="BV1164" i="2"/>
  <c r="BV1163" i="2"/>
  <c r="BV1162" i="2"/>
  <c r="BV1161" i="2"/>
  <c r="BV1160" i="2"/>
  <c r="BV1159" i="2"/>
  <c r="BV1158" i="2"/>
  <c r="BV1157" i="2"/>
  <c r="BO1157" i="2"/>
  <c r="BV1156" i="2"/>
  <c r="BO1156" i="2"/>
  <c r="BV1155" i="2"/>
  <c r="BV1154" i="2"/>
  <c r="BV1153" i="2"/>
  <c r="BV1152" i="2"/>
  <c r="X1152" i="2"/>
  <c r="BV1151" i="2"/>
  <c r="BV1150" i="2"/>
  <c r="BV1149" i="2"/>
  <c r="BV1148" i="2"/>
  <c r="BV1147" i="2"/>
  <c r="BV1146" i="2"/>
  <c r="BV1145" i="2"/>
  <c r="BV1144" i="2"/>
  <c r="BV1143" i="2"/>
  <c r="BV1142" i="2"/>
  <c r="BV1141" i="2"/>
  <c r="BV1140" i="2"/>
  <c r="X1140" i="2"/>
  <c r="BV1139" i="2"/>
  <c r="X1139" i="2"/>
  <c r="BV1138" i="2"/>
  <c r="X1138" i="2"/>
  <c r="BV1137" i="2"/>
  <c r="BV1136" i="2"/>
  <c r="BV1135" i="2"/>
  <c r="BV1134" i="2"/>
  <c r="BV1133" i="2"/>
  <c r="BV1132" i="2"/>
  <c r="BV1131" i="2"/>
  <c r="BV1130" i="2"/>
  <c r="BV1129" i="2"/>
  <c r="BV1128" i="2"/>
  <c r="BV1127" i="2"/>
  <c r="BV1126" i="2"/>
  <c r="BV1125" i="2"/>
  <c r="BV1124" i="2"/>
  <c r="BV1123" i="2"/>
  <c r="BV1122" i="2"/>
  <c r="BV1121" i="2"/>
  <c r="BV1120" i="2"/>
  <c r="BV1119" i="2"/>
  <c r="BV1118" i="2"/>
  <c r="BV1117" i="2"/>
  <c r="BO1117" i="2"/>
  <c r="BV1116" i="2"/>
  <c r="BV1115" i="2"/>
  <c r="BV1114" i="2"/>
  <c r="BV1113" i="2"/>
  <c r="BV1112" i="2"/>
  <c r="BV1111" i="2"/>
  <c r="BV1110" i="2"/>
  <c r="BV1109" i="2"/>
  <c r="BV1108" i="2"/>
  <c r="BV1107" i="2"/>
  <c r="BV1106" i="2"/>
  <c r="BV1105" i="2"/>
  <c r="BV1104" i="2"/>
  <c r="BV1103" i="2"/>
  <c r="X1103" i="2"/>
  <c r="BV1102" i="2"/>
  <c r="BO1102" i="2"/>
  <c r="X1102" i="2"/>
  <c r="BV1101" i="2"/>
  <c r="X1101" i="2"/>
  <c r="BV1100" i="2"/>
  <c r="BV1099" i="2"/>
  <c r="BV1098" i="2"/>
  <c r="X1098" i="2"/>
  <c r="BV1097" i="2"/>
  <c r="BO1097" i="2"/>
  <c r="BV1092" i="2"/>
  <c r="BO1092" i="2"/>
  <c r="X1092" i="2"/>
  <c r="BV1090" i="2"/>
  <c r="BO1090" i="2"/>
  <c r="BV1089" i="2"/>
  <c r="BO1089" i="2"/>
  <c r="BV1088" i="2"/>
  <c r="BV1087" i="2"/>
  <c r="BV1086" i="2"/>
  <c r="BV1085" i="2"/>
  <c r="X1085" i="2"/>
  <c r="BV1083" i="2"/>
  <c r="BO1083" i="2"/>
  <c r="X1083" i="2"/>
  <c r="BV1082" i="2"/>
  <c r="X1082" i="2"/>
  <c r="BV1081" i="2"/>
  <c r="BV1080" i="2"/>
  <c r="BO1080" i="2"/>
  <c r="BV1079" i="2"/>
  <c r="BV1078" i="2"/>
  <c r="BV1077" i="2"/>
  <c r="AC1077" i="2"/>
  <c r="AE1077" i="2" s="1"/>
  <c r="X1077" i="2"/>
  <c r="BV1076" i="2"/>
  <c r="AC1076" i="2"/>
  <c r="AE1076" i="2" s="1"/>
  <c r="X1076" i="2"/>
  <c r="BV1075" i="2"/>
  <c r="AC1075" i="2"/>
  <c r="AE1075" i="2" s="1"/>
  <c r="X1075" i="2"/>
  <c r="BV1074" i="2"/>
  <c r="AC1074" i="2"/>
  <c r="AE1074" i="2" s="1"/>
  <c r="X1074" i="2"/>
  <c r="BV1073" i="2"/>
  <c r="BO1073" i="2"/>
  <c r="AC1073" i="2"/>
  <c r="AE1073" i="2" s="1"/>
  <c r="X1073" i="2"/>
  <c r="BV1072" i="2"/>
  <c r="BV1071" i="2"/>
  <c r="BV1070" i="2"/>
  <c r="BV1069" i="2"/>
  <c r="BV1068" i="2"/>
  <c r="X1068" i="2"/>
  <c r="BV1067" i="2"/>
  <c r="BV1066" i="2"/>
  <c r="BV1065" i="2"/>
  <c r="BV1064" i="2"/>
  <c r="BV1063" i="2"/>
  <c r="BV1062" i="2"/>
  <c r="X1062" i="2"/>
  <c r="BV1061" i="2"/>
  <c r="X1061" i="2"/>
  <c r="BV1060" i="2"/>
  <c r="BV1059" i="2"/>
  <c r="BV1058" i="2"/>
  <c r="BV1057" i="2"/>
  <c r="BV1056" i="2"/>
  <c r="BV1055" i="2"/>
  <c r="BV1054" i="2"/>
  <c r="BV1053" i="2"/>
  <c r="X1053" i="2"/>
  <c r="BV1052" i="2"/>
  <c r="X1052" i="2"/>
  <c r="BV1051" i="2"/>
  <c r="AQ1051" i="2"/>
  <c r="AQ1055" i="2" s="1"/>
  <c r="X1051" i="2"/>
  <c r="BV1050" i="2"/>
  <c r="X1050" i="2"/>
  <c r="BV1049" i="2"/>
  <c r="BO1049" i="2"/>
  <c r="X1049" i="2"/>
  <c r="BV1048" i="2"/>
  <c r="BO1048" i="2"/>
  <c r="X1048" i="2"/>
  <c r="BV1047" i="2"/>
  <c r="BO1047" i="2"/>
  <c r="X1047" i="2"/>
  <c r="BV1046" i="2"/>
  <c r="BO1046" i="2"/>
  <c r="X1046" i="2"/>
  <c r="BV1045" i="2"/>
  <c r="BO1045" i="2"/>
  <c r="X1045" i="2"/>
  <c r="BV1044" i="2"/>
  <c r="BV1043" i="2"/>
  <c r="BV1042" i="2"/>
  <c r="BV1041" i="2"/>
  <c r="BV1040" i="2"/>
  <c r="BV1039" i="2"/>
  <c r="BV1038" i="2"/>
  <c r="BV1037" i="2"/>
  <c r="X1037" i="2"/>
  <c r="BV1036" i="2"/>
  <c r="X1036" i="2"/>
  <c r="BV1035" i="2"/>
  <c r="BV1034" i="2"/>
  <c r="X1034" i="2"/>
  <c r="BV1033" i="2"/>
  <c r="BO1033" i="2"/>
  <c r="BV1032" i="2"/>
  <c r="BV1031" i="2"/>
  <c r="BV1030" i="2"/>
  <c r="BV1028" i="2"/>
  <c r="BV1027" i="2"/>
  <c r="X1027" i="2"/>
  <c r="BV1026" i="2"/>
  <c r="X1026" i="2"/>
  <c r="BV1025" i="2"/>
  <c r="X1025" i="2"/>
  <c r="BV1024" i="2"/>
  <c r="BV1023" i="2"/>
  <c r="BV1022" i="2"/>
  <c r="BV1021" i="2"/>
  <c r="BV1020" i="2"/>
  <c r="BV1019" i="2"/>
  <c r="BV1018" i="2"/>
  <c r="BV1017" i="2"/>
  <c r="BV1016" i="2"/>
  <c r="BV1015" i="2"/>
  <c r="BV1014" i="2"/>
  <c r="X1014" i="2"/>
  <c r="BV1013" i="2"/>
  <c r="X1013" i="2"/>
  <c r="BV1012" i="2"/>
  <c r="AT1012" i="2"/>
  <c r="BV1011" i="2"/>
  <c r="X1011" i="2"/>
  <c r="BV1010" i="2"/>
  <c r="X1010" i="2"/>
  <c r="BV1009" i="2"/>
  <c r="X1009" i="2"/>
  <c r="BV1008" i="2"/>
  <c r="X1008" i="2"/>
  <c r="BV1007" i="2"/>
  <c r="X1007" i="2"/>
  <c r="BV1005" i="2"/>
  <c r="X1005" i="2"/>
  <c r="BV1004" i="2"/>
  <c r="X1004" i="2"/>
  <c r="BV1003" i="2"/>
  <c r="X1003" i="2"/>
  <c r="BV1002" i="2"/>
  <c r="X1002" i="2"/>
  <c r="BV1001" i="2"/>
  <c r="BV1000" i="2"/>
  <c r="BV999" i="2"/>
  <c r="X999" i="2"/>
  <c r="BV998" i="2"/>
  <c r="BO998" i="2"/>
  <c r="BV997" i="2"/>
  <c r="BV996" i="2"/>
  <c r="BV995" i="2"/>
  <c r="BV994" i="2"/>
  <c r="X994" i="2"/>
  <c r="BV993" i="2"/>
  <c r="X993" i="2"/>
  <c r="BV992" i="2"/>
  <c r="X992" i="2"/>
  <c r="BV991" i="2"/>
  <c r="X991" i="2"/>
  <c r="BV990" i="2"/>
  <c r="BV989" i="2"/>
  <c r="X989" i="2"/>
  <c r="BV988" i="2"/>
  <c r="BV987" i="2"/>
  <c r="BV986" i="2"/>
  <c r="BO986" i="2"/>
  <c r="X986" i="2"/>
  <c r="BV985" i="2"/>
  <c r="X985" i="2"/>
  <c r="BV984" i="2"/>
  <c r="BV983" i="2"/>
  <c r="BV982" i="2"/>
  <c r="BV981" i="2"/>
  <c r="BV980" i="2"/>
  <c r="BV979" i="2"/>
  <c r="BV978" i="2"/>
  <c r="BV977" i="2"/>
  <c r="BV976" i="2"/>
  <c r="BV975" i="2"/>
  <c r="BV974" i="2"/>
  <c r="BV973" i="2"/>
  <c r="BV972" i="2"/>
  <c r="BO972" i="2"/>
  <c r="BV971" i="2"/>
  <c r="BO971" i="2"/>
  <c r="BV970" i="2"/>
  <c r="BV969" i="2"/>
  <c r="BV968" i="2"/>
  <c r="BO968" i="2"/>
  <c r="X968" i="2"/>
  <c r="BV967" i="2"/>
  <c r="X967" i="2"/>
  <c r="BV966" i="2"/>
  <c r="X966" i="2"/>
  <c r="BV965" i="2"/>
  <c r="X965" i="2"/>
  <c r="BV964" i="2"/>
  <c r="X964" i="2"/>
  <c r="BV963" i="2"/>
  <c r="X963" i="2"/>
  <c r="BV962" i="2"/>
  <c r="X962" i="2"/>
  <c r="BV961" i="2"/>
  <c r="X961" i="2"/>
  <c r="BV960" i="2"/>
  <c r="X960" i="2"/>
  <c r="BV959" i="2"/>
  <c r="BV958" i="2"/>
  <c r="X958" i="2"/>
  <c r="BV957" i="2"/>
  <c r="X957" i="2"/>
  <c r="BV956" i="2"/>
  <c r="BV955" i="2"/>
  <c r="BV953" i="2"/>
  <c r="X953" i="2"/>
  <c r="BV952" i="2"/>
  <c r="BV951" i="2"/>
  <c r="BO951" i="2"/>
  <c r="X951" i="2"/>
  <c r="BV950" i="2"/>
  <c r="X950" i="2"/>
  <c r="BV949" i="2"/>
  <c r="X949" i="2"/>
  <c r="BV948" i="2"/>
  <c r="X948" i="2"/>
  <c r="BV947" i="2"/>
  <c r="BO947" i="2"/>
  <c r="BV946" i="2"/>
  <c r="BV945" i="2"/>
  <c r="X945" i="2"/>
  <c r="BV944" i="2"/>
  <c r="X944" i="2"/>
  <c r="BV943" i="2"/>
  <c r="BO943" i="2"/>
  <c r="X943" i="2"/>
  <c r="BV942" i="2"/>
  <c r="X942" i="2"/>
  <c r="BV941" i="2"/>
  <c r="BO941" i="2"/>
  <c r="X941" i="2"/>
  <c r="BV940" i="2"/>
  <c r="BV939" i="2"/>
  <c r="BV938" i="2"/>
  <c r="BV937" i="2"/>
  <c r="BV934" i="2"/>
  <c r="X934" i="2"/>
  <c r="BV933" i="2"/>
  <c r="X933" i="2"/>
  <c r="BV932" i="2"/>
  <c r="X932" i="2"/>
  <c r="BV931" i="2"/>
  <c r="AQ931" i="2"/>
  <c r="BV930" i="2"/>
  <c r="AQ930" i="2"/>
  <c r="BV929" i="2"/>
  <c r="AQ929" i="2"/>
  <c r="X929" i="2"/>
  <c r="BV928" i="2"/>
  <c r="AQ928" i="2"/>
  <c r="BV927" i="2"/>
  <c r="AQ927" i="2"/>
  <c r="X927" i="2"/>
  <c r="BV926" i="2"/>
  <c r="BO926" i="2"/>
  <c r="X926" i="2"/>
  <c r="BV925" i="2"/>
  <c r="BO925" i="2"/>
  <c r="X925" i="2"/>
  <c r="BV924" i="2"/>
  <c r="X924" i="2"/>
  <c r="BV923" i="2"/>
  <c r="BV922" i="2"/>
  <c r="BV921" i="2"/>
  <c r="BO921" i="2"/>
  <c r="BV920" i="2"/>
  <c r="BV919" i="2"/>
  <c r="BV918" i="2"/>
  <c r="BV917" i="2"/>
  <c r="BV916" i="2"/>
  <c r="BV915" i="2"/>
  <c r="BV914" i="2"/>
  <c r="BV913" i="2"/>
  <c r="BV912" i="2"/>
  <c r="X912" i="2"/>
  <c r="BV911" i="2"/>
  <c r="BV910" i="2"/>
  <c r="X910" i="2"/>
  <c r="BV909" i="2"/>
  <c r="BV908" i="2"/>
  <c r="X908" i="2"/>
  <c r="BV907" i="2"/>
  <c r="X907" i="2"/>
  <c r="BV906" i="2"/>
  <c r="X906" i="2"/>
  <c r="BV905" i="2"/>
  <c r="BV904" i="2"/>
  <c r="BV903" i="2"/>
  <c r="BO903" i="2"/>
  <c r="BV902" i="2"/>
  <c r="BO902" i="2"/>
  <c r="BV901" i="2"/>
  <c r="AQ901" i="2"/>
  <c r="BO901" i="2" s="1"/>
  <c r="BV900" i="2"/>
  <c r="AQ900" i="2"/>
  <c r="BO900" i="2" s="1"/>
  <c r="BV899" i="2"/>
  <c r="X899" i="2"/>
  <c r="BV898" i="2"/>
  <c r="BV897" i="2"/>
  <c r="BV896" i="2"/>
  <c r="BV895" i="2"/>
  <c r="BV894" i="2"/>
  <c r="BO894" i="2"/>
  <c r="BV893" i="2"/>
  <c r="BO893" i="2"/>
  <c r="BV892" i="2"/>
  <c r="BO892" i="2"/>
  <c r="BV891" i="2"/>
  <c r="BO891" i="2"/>
  <c r="BV890" i="2"/>
  <c r="BO890" i="2"/>
  <c r="BV889" i="2"/>
  <c r="BV888" i="2"/>
  <c r="BO888" i="2"/>
  <c r="X888" i="2"/>
  <c r="BV887" i="2"/>
  <c r="BO887" i="2"/>
  <c r="BV886" i="2"/>
  <c r="X886" i="2"/>
  <c r="BV885" i="2"/>
  <c r="BV884" i="2"/>
  <c r="X884" i="2"/>
  <c r="BV883" i="2"/>
  <c r="BV882" i="2"/>
  <c r="BO882" i="2"/>
  <c r="BV881" i="2"/>
  <c r="BV880" i="2"/>
  <c r="BV879" i="2"/>
  <c r="BV878" i="2"/>
  <c r="X878" i="2"/>
  <c r="BV877" i="2"/>
  <c r="X877" i="2"/>
  <c r="BV876" i="2"/>
  <c r="X876" i="2"/>
  <c r="BV875" i="2"/>
  <c r="X875" i="2"/>
  <c r="BV874" i="2"/>
  <c r="AC874" i="2"/>
  <c r="AE874" i="2" s="1"/>
  <c r="BV873" i="2"/>
  <c r="BV872" i="2"/>
  <c r="AC872" i="2"/>
  <c r="AE872" i="2" s="1"/>
  <c r="BV871" i="2"/>
  <c r="BV870" i="2"/>
  <c r="AQ870" i="2"/>
  <c r="AC870" i="2"/>
  <c r="AE870" i="2" s="1"/>
  <c r="BV869" i="2"/>
  <c r="AC869" i="2"/>
  <c r="AE869" i="2" s="1"/>
  <c r="BV868" i="2"/>
  <c r="AC868" i="2"/>
  <c r="AE868" i="2" s="1"/>
  <c r="BV867" i="2"/>
  <c r="AQ867" i="2"/>
  <c r="AC867" i="2"/>
  <c r="AE867" i="2" s="1"/>
  <c r="BV866" i="2"/>
  <c r="AC866" i="2"/>
  <c r="AE866" i="2" s="1"/>
  <c r="BV865" i="2"/>
  <c r="X865" i="2"/>
  <c r="BV864" i="2"/>
  <c r="X864" i="2"/>
  <c r="BV863" i="2"/>
  <c r="X863" i="2"/>
  <c r="BV862" i="2"/>
  <c r="BO862" i="2"/>
  <c r="X862" i="2"/>
  <c r="BV861" i="2"/>
  <c r="BO861" i="2"/>
  <c r="X861" i="2"/>
  <c r="BV860" i="2"/>
  <c r="BO860" i="2"/>
  <c r="X860" i="2"/>
  <c r="BV859" i="2"/>
  <c r="X859" i="2"/>
  <c r="BV857" i="2"/>
  <c r="BV856" i="2"/>
  <c r="BV855" i="2"/>
  <c r="BV851" i="2"/>
  <c r="AC851" i="2"/>
  <c r="AE851" i="2" s="1"/>
  <c r="X851" i="2"/>
  <c r="BV850" i="2"/>
  <c r="AC850" i="2"/>
  <c r="AE850" i="2" s="1"/>
  <c r="X850" i="2"/>
  <c r="BV849" i="2"/>
  <c r="AC849" i="2"/>
  <c r="AE849" i="2" s="1"/>
  <c r="X849" i="2"/>
  <c r="BV848" i="2"/>
  <c r="AC848" i="2"/>
  <c r="AE848" i="2" s="1"/>
  <c r="X848" i="2"/>
  <c r="BV847" i="2"/>
  <c r="AC847" i="2"/>
  <c r="AE847" i="2" s="1"/>
  <c r="X847" i="2"/>
  <c r="BV846" i="2"/>
  <c r="AC846" i="2"/>
  <c r="AE846" i="2" s="1"/>
  <c r="X846" i="2"/>
  <c r="BV845" i="2"/>
  <c r="AC845" i="2"/>
  <c r="AE845" i="2" s="1"/>
  <c r="X845" i="2"/>
  <c r="BV844" i="2"/>
  <c r="AC844" i="2"/>
  <c r="AE844" i="2" s="1"/>
  <c r="X844" i="2"/>
  <c r="BV843" i="2"/>
  <c r="AC843" i="2"/>
  <c r="AE843" i="2" s="1"/>
  <c r="X843" i="2"/>
  <c r="BV842" i="2"/>
  <c r="AC842" i="2"/>
  <c r="AE842" i="2" s="1"/>
  <c r="X842" i="2"/>
  <c r="BV841" i="2"/>
  <c r="AC841" i="2"/>
  <c r="AE841" i="2" s="1"/>
  <c r="X841" i="2"/>
  <c r="BV840" i="2"/>
  <c r="AC840" i="2"/>
  <c r="AE840" i="2" s="1"/>
  <c r="X840" i="2"/>
  <c r="BV839" i="2"/>
  <c r="BV838" i="2"/>
  <c r="BV837" i="2"/>
  <c r="BV836" i="2"/>
  <c r="BV835" i="2"/>
  <c r="BV830" i="2"/>
  <c r="X830" i="2"/>
  <c r="BV829" i="2"/>
  <c r="X829" i="2"/>
  <c r="BV828" i="2"/>
  <c r="AQ828" i="2"/>
  <c r="AQ829" i="2" s="1"/>
  <c r="X828" i="2"/>
  <c r="BV827" i="2"/>
  <c r="X827" i="2"/>
  <c r="BV826" i="2"/>
  <c r="BO826" i="2"/>
  <c r="X826" i="2"/>
  <c r="BV825" i="2"/>
  <c r="BO825" i="2"/>
  <c r="X825" i="2"/>
  <c r="BV824" i="2"/>
  <c r="BO824" i="2"/>
  <c r="X824" i="2"/>
  <c r="BV823" i="2"/>
  <c r="AQ823" i="2"/>
  <c r="BO823" i="2" s="1"/>
  <c r="X823" i="2"/>
  <c r="BV822" i="2"/>
  <c r="BO822" i="2"/>
  <c r="X822" i="2"/>
  <c r="BV821" i="2"/>
  <c r="X821" i="2"/>
  <c r="BV820" i="2"/>
  <c r="BV819" i="2"/>
  <c r="BO819" i="2"/>
  <c r="BV818" i="2"/>
  <c r="BO818" i="2"/>
  <c r="X818" i="2"/>
  <c r="BV817" i="2"/>
  <c r="BO817" i="2"/>
  <c r="X817" i="2"/>
  <c r="BV815" i="2"/>
  <c r="X815" i="2"/>
  <c r="BV814" i="2"/>
  <c r="X814" i="2"/>
  <c r="BV813" i="2"/>
  <c r="X813" i="2"/>
  <c r="BV812" i="2"/>
  <c r="X812" i="2"/>
  <c r="BV811" i="2"/>
  <c r="X811" i="2"/>
  <c r="BV810" i="2"/>
  <c r="X810" i="2"/>
  <c r="BV809" i="2"/>
  <c r="X809" i="2"/>
  <c r="BV808" i="2"/>
  <c r="X808" i="2"/>
  <c r="BV806" i="2"/>
  <c r="X806" i="2"/>
  <c r="BV805" i="2"/>
  <c r="BV804" i="2"/>
  <c r="X804" i="2"/>
  <c r="BV803" i="2"/>
  <c r="X803" i="2"/>
  <c r="BV802" i="2"/>
  <c r="X802" i="2"/>
  <c r="BV801" i="2"/>
  <c r="AC801" i="2"/>
  <c r="AE801" i="2" s="1"/>
  <c r="B801" i="2"/>
  <c r="BV800" i="2"/>
  <c r="X800" i="2"/>
  <c r="BV799" i="2"/>
  <c r="BV798" i="2"/>
  <c r="X798" i="2"/>
  <c r="BV797" i="2"/>
  <c r="X797" i="2"/>
  <c r="BV796" i="2"/>
  <c r="X796" i="2"/>
  <c r="BV795" i="2"/>
  <c r="X795" i="2"/>
  <c r="BV794" i="2"/>
  <c r="X794" i="2"/>
  <c r="BV793" i="2"/>
  <c r="X793" i="2"/>
  <c r="BV792" i="2"/>
  <c r="X792" i="2"/>
  <c r="BV791" i="2"/>
  <c r="BV790" i="2"/>
  <c r="BV789" i="2"/>
  <c r="BO789" i="2"/>
  <c r="X789" i="2"/>
  <c r="BV788" i="2"/>
  <c r="BO788" i="2"/>
  <c r="X788" i="2"/>
  <c r="BV787" i="2"/>
  <c r="BO787" i="2"/>
  <c r="BV786" i="2"/>
  <c r="BO786" i="2"/>
  <c r="BV785" i="2"/>
  <c r="X785" i="2"/>
  <c r="BV784" i="2"/>
  <c r="BO784" i="2"/>
  <c r="X784" i="2"/>
  <c r="BV783" i="2"/>
  <c r="BO783" i="2"/>
  <c r="BV782" i="2"/>
  <c r="BV781" i="2"/>
  <c r="X781" i="2"/>
  <c r="BV780" i="2"/>
  <c r="BV779" i="2"/>
  <c r="BO779" i="2"/>
  <c r="BV778" i="2"/>
  <c r="BO778" i="2"/>
  <c r="BV777" i="2"/>
  <c r="X777" i="2"/>
  <c r="BV776" i="2"/>
  <c r="AQ776" i="2"/>
  <c r="AQ777" i="2" s="1"/>
  <c r="X776" i="2"/>
  <c r="BV775" i="2"/>
  <c r="X775" i="2"/>
  <c r="BV774" i="2"/>
  <c r="X774" i="2"/>
  <c r="BV773" i="2"/>
  <c r="X773" i="2"/>
  <c r="BV772" i="2"/>
  <c r="AQ772" i="2"/>
  <c r="AQ773" i="2" s="1"/>
  <c r="X772" i="2"/>
  <c r="BV771" i="2"/>
  <c r="X771" i="2"/>
  <c r="BV770" i="2"/>
  <c r="X770" i="2"/>
  <c r="BV769" i="2"/>
  <c r="AQ769" i="2"/>
  <c r="AQ770" i="2" s="1"/>
  <c r="X769" i="2"/>
  <c r="BV768" i="2"/>
  <c r="X768" i="2"/>
  <c r="BV767" i="2"/>
  <c r="X767" i="2"/>
  <c r="BV766" i="2"/>
  <c r="X766" i="2"/>
  <c r="BV765" i="2"/>
  <c r="X765" i="2"/>
  <c r="BV764" i="2"/>
  <c r="AQ764" i="2"/>
  <c r="AQ765" i="2" s="1"/>
  <c r="AQ766" i="2" s="1"/>
  <c r="X764" i="2"/>
  <c r="BV763" i="2"/>
  <c r="X763" i="2"/>
  <c r="BV762" i="2"/>
  <c r="BV761" i="2"/>
  <c r="X761" i="2"/>
  <c r="BV760" i="2"/>
  <c r="BO760" i="2"/>
  <c r="BV759" i="2"/>
  <c r="BO759" i="2"/>
  <c r="BV758" i="2"/>
  <c r="BO758" i="2"/>
  <c r="X758" i="2"/>
  <c r="BV757" i="2"/>
  <c r="BO757" i="2"/>
  <c r="BV756" i="2"/>
  <c r="BO756" i="2"/>
  <c r="X756" i="2"/>
  <c r="BV755" i="2"/>
  <c r="BO755" i="2"/>
  <c r="X755" i="2"/>
  <c r="BV754" i="2"/>
  <c r="BO754" i="2"/>
  <c r="X754" i="2"/>
  <c r="BV753" i="2"/>
  <c r="BO753" i="2"/>
  <c r="X753" i="2"/>
  <c r="BV752" i="2"/>
  <c r="BV751" i="2"/>
  <c r="BV750" i="2"/>
  <c r="BV749" i="2"/>
  <c r="BV748" i="2"/>
  <c r="AQ748" i="2"/>
  <c r="AQ749" i="2" s="1"/>
  <c r="AQ750" i="2" s="1"/>
  <c r="BV747" i="2"/>
  <c r="BV746" i="2"/>
  <c r="BV745" i="2"/>
  <c r="BV744" i="2"/>
  <c r="BV743" i="2"/>
  <c r="AQ743" i="2"/>
  <c r="AQ744" i="2" s="1"/>
  <c r="AQ745" i="2" s="1"/>
  <c r="BV742" i="2"/>
  <c r="BV741" i="2"/>
  <c r="BV740" i="2"/>
  <c r="BO740" i="2"/>
  <c r="BV739" i="2"/>
  <c r="X739" i="2"/>
  <c r="BV738" i="2"/>
  <c r="BO738" i="2"/>
  <c r="X738" i="2"/>
  <c r="BV737" i="2"/>
  <c r="BO737" i="2"/>
  <c r="BV736" i="2"/>
  <c r="BO736" i="2"/>
  <c r="BV735" i="2"/>
  <c r="BV734" i="2"/>
  <c r="BV733" i="2"/>
  <c r="BV732" i="2"/>
  <c r="BV731" i="2"/>
  <c r="BO731" i="2"/>
  <c r="BV730" i="2"/>
  <c r="BO730" i="2"/>
  <c r="BV729" i="2"/>
  <c r="BV728" i="2"/>
  <c r="X728" i="2"/>
  <c r="BV727" i="2"/>
  <c r="BO727" i="2"/>
  <c r="X727" i="2"/>
  <c r="BV726" i="2"/>
  <c r="BO726" i="2"/>
  <c r="X726" i="2"/>
  <c r="BV725" i="2"/>
  <c r="X725" i="2"/>
  <c r="BV724" i="2"/>
  <c r="BV723" i="2"/>
  <c r="X723" i="2"/>
  <c r="BV722" i="2"/>
  <c r="BO722" i="2"/>
  <c r="BV721" i="2"/>
  <c r="X721" i="2"/>
  <c r="BV720" i="2"/>
  <c r="BO720" i="2"/>
  <c r="BV719" i="2"/>
  <c r="BV718" i="2"/>
  <c r="BV717" i="2"/>
  <c r="BV716" i="2"/>
  <c r="BO716" i="2"/>
  <c r="X716" i="2"/>
  <c r="BV715" i="2"/>
  <c r="X715" i="2"/>
  <c r="BV714" i="2"/>
  <c r="X714" i="2"/>
  <c r="BV713" i="2"/>
  <c r="X713" i="2"/>
  <c r="BV712" i="2"/>
  <c r="BO712" i="2"/>
  <c r="BV711" i="2"/>
  <c r="BO711" i="2"/>
  <c r="X711" i="2"/>
  <c r="BV710" i="2"/>
  <c r="BV709" i="2"/>
  <c r="BV708" i="2"/>
  <c r="BV707" i="2"/>
  <c r="BV706" i="2"/>
  <c r="BO706" i="2"/>
  <c r="X706" i="2"/>
  <c r="BV705" i="2"/>
  <c r="X705" i="2"/>
  <c r="BV704" i="2"/>
  <c r="BO704" i="2"/>
  <c r="BV703" i="2"/>
  <c r="X703" i="2"/>
  <c r="BV702" i="2"/>
  <c r="BO702" i="2"/>
  <c r="X702" i="2"/>
  <c r="BV701" i="2"/>
  <c r="BO701" i="2"/>
  <c r="BV700" i="2"/>
  <c r="BO700" i="2"/>
  <c r="BV699" i="2"/>
  <c r="BV698" i="2"/>
  <c r="AQ698" i="2"/>
  <c r="AQ699" i="2" s="1"/>
  <c r="BV697" i="2"/>
  <c r="BV696" i="2"/>
  <c r="BV695" i="2"/>
  <c r="BV694" i="2"/>
  <c r="BV693" i="2"/>
  <c r="AQ693" i="2"/>
  <c r="AQ694" i="2" s="1"/>
  <c r="BV692" i="2"/>
  <c r="BV691" i="2"/>
  <c r="AQ691" i="2"/>
  <c r="BV690" i="2"/>
  <c r="BV689" i="2"/>
  <c r="BV688" i="2"/>
  <c r="AQ688" i="2"/>
  <c r="AQ689" i="2" s="1"/>
  <c r="BV687" i="2"/>
  <c r="BV686" i="2"/>
  <c r="BV685" i="2"/>
  <c r="AQ685" i="2"/>
  <c r="AQ686" i="2" s="1"/>
  <c r="BV684" i="2"/>
  <c r="X684" i="2"/>
  <c r="BV683" i="2"/>
  <c r="BV682" i="2"/>
  <c r="BV681" i="2"/>
  <c r="BV680" i="2"/>
  <c r="BV679" i="2"/>
  <c r="BV678" i="2"/>
  <c r="BV677" i="2"/>
  <c r="BV676" i="2"/>
  <c r="BV675" i="2"/>
  <c r="BV674" i="2"/>
  <c r="BV673" i="2"/>
  <c r="BO673" i="2"/>
  <c r="BV672" i="2"/>
  <c r="AC672" i="2"/>
  <c r="AE672" i="2" s="1"/>
  <c r="BV671" i="2"/>
  <c r="AC671" i="2"/>
  <c r="AE671" i="2" s="1"/>
  <c r="BV670" i="2"/>
  <c r="AC670" i="2"/>
  <c r="AE670" i="2" s="1"/>
  <c r="BV669" i="2"/>
  <c r="AC669" i="2"/>
  <c r="AE669" i="2" s="1"/>
  <c r="BV668" i="2"/>
  <c r="AQ668" i="2"/>
  <c r="AQ669" i="2" s="1"/>
  <c r="AQ670" i="2" s="1"/>
  <c r="AC668" i="2"/>
  <c r="AE668" i="2" s="1"/>
  <c r="BV667" i="2"/>
  <c r="AC667" i="2"/>
  <c r="AE667" i="2" s="1"/>
  <c r="BV666" i="2"/>
  <c r="AC666" i="2"/>
  <c r="AE666" i="2" s="1"/>
  <c r="BV665" i="2"/>
  <c r="AC665" i="2"/>
  <c r="AE665" i="2" s="1"/>
  <c r="BV664" i="2"/>
  <c r="AQ664" i="2"/>
  <c r="AQ665" i="2" s="1"/>
  <c r="AQ666" i="2" s="1"/>
  <c r="AQ667" i="2" s="1"/>
  <c r="AC664" i="2"/>
  <c r="AE664" i="2" s="1"/>
  <c r="BV663" i="2"/>
  <c r="AC663" i="2"/>
  <c r="AE663" i="2" s="1"/>
  <c r="BV662" i="2"/>
  <c r="BV661" i="2"/>
  <c r="BO661" i="2"/>
  <c r="BV660" i="2"/>
  <c r="X660" i="2"/>
  <c r="BV659" i="2"/>
  <c r="BV658" i="2"/>
  <c r="BV657" i="2"/>
  <c r="X657" i="2"/>
  <c r="BV656" i="2"/>
  <c r="X656" i="2"/>
  <c r="BV655" i="2"/>
  <c r="X655" i="2"/>
  <c r="BV654" i="2"/>
  <c r="X654" i="2"/>
  <c r="BV653" i="2"/>
  <c r="X653" i="2"/>
  <c r="BV652" i="2"/>
  <c r="X652" i="2"/>
  <c r="BV651" i="2"/>
  <c r="X651" i="2"/>
  <c r="BV650" i="2"/>
  <c r="BO650" i="2"/>
  <c r="BV649" i="2"/>
  <c r="BO649" i="2"/>
  <c r="BV648" i="2"/>
  <c r="BV647" i="2"/>
  <c r="BV646" i="2"/>
  <c r="BV645" i="2"/>
  <c r="BV644" i="2"/>
  <c r="BO644" i="2"/>
  <c r="BV643" i="2"/>
  <c r="BO643" i="2"/>
  <c r="BV642" i="2"/>
  <c r="BV641" i="2"/>
  <c r="BV640" i="2"/>
  <c r="BO640" i="2"/>
  <c r="BV639" i="2"/>
  <c r="BO639" i="2"/>
  <c r="AC639" i="2"/>
  <c r="AE639" i="2" s="1"/>
  <c r="X639" i="2"/>
  <c r="BV638" i="2"/>
  <c r="AC638" i="2"/>
  <c r="AE638" i="2" s="1"/>
  <c r="BV637" i="2"/>
  <c r="AC637" i="2"/>
  <c r="AE637" i="2" s="1"/>
  <c r="X637" i="2"/>
  <c r="BV636" i="2"/>
  <c r="BO636" i="2"/>
  <c r="AC636" i="2"/>
  <c r="AE636" i="2" s="1"/>
  <c r="BV635" i="2"/>
  <c r="X635" i="2"/>
  <c r="BV634" i="2"/>
  <c r="BV633" i="2"/>
  <c r="AC633" i="2"/>
  <c r="AE633" i="2" s="1"/>
  <c r="BV632" i="2"/>
  <c r="BV631" i="2"/>
  <c r="BV630" i="2"/>
  <c r="BV629" i="2"/>
  <c r="AQ629" i="2"/>
  <c r="AQ630" i="2" s="1"/>
  <c r="AQ631" i="2" s="1"/>
  <c r="BV628" i="2"/>
  <c r="BV627" i="2"/>
  <c r="BO627" i="2"/>
  <c r="BV626" i="2"/>
  <c r="BV625" i="2"/>
  <c r="BV624" i="2"/>
  <c r="BO624" i="2"/>
  <c r="AC624" i="2"/>
  <c r="AE624" i="2" s="1"/>
  <c r="X624" i="2"/>
  <c r="BV623" i="2"/>
  <c r="BO623" i="2"/>
  <c r="AC623" i="2"/>
  <c r="AE623" i="2" s="1"/>
  <c r="X623" i="2"/>
  <c r="BV622" i="2"/>
  <c r="BO622" i="2"/>
  <c r="AC622" i="2"/>
  <c r="AE622" i="2" s="1"/>
  <c r="X622" i="2"/>
  <c r="BV621" i="2"/>
  <c r="BO621" i="2"/>
  <c r="AC621" i="2"/>
  <c r="AE621" i="2" s="1"/>
  <c r="X621" i="2"/>
  <c r="BV620" i="2"/>
  <c r="BO620" i="2"/>
  <c r="AC620" i="2"/>
  <c r="AE620" i="2" s="1"/>
  <c r="X620" i="2"/>
  <c r="BV619" i="2"/>
  <c r="BV618" i="2"/>
  <c r="AQ618" i="2"/>
  <c r="AQ619" i="2" s="1"/>
  <c r="BV617" i="2"/>
  <c r="BV616" i="2"/>
  <c r="BV615" i="2"/>
  <c r="BV614" i="2"/>
  <c r="AQ614" i="2"/>
  <c r="AQ615" i="2" s="1"/>
  <c r="BV613" i="2"/>
  <c r="BV612" i="2"/>
  <c r="BV611" i="2"/>
  <c r="BV610" i="2"/>
  <c r="BV609" i="2"/>
  <c r="BO609" i="2"/>
  <c r="BV608" i="2"/>
  <c r="X608" i="2"/>
  <c r="BV607" i="2"/>
  <c r="BO607" i="2"/>
  <c r="BV606" i="2"/>
  <c r="BV605" i="2"/>
  <c r="BO605" i="2"/>
  <c r="X605" i="2"/>
  <c r="BV604" i="2"/>
  <c r="BO604" i="2"/>
  <c r="X604" i="2"/>
  <c r="BV603" i="2"/>
  <c r="BO603" i="2"/>
  <c r="X603" i="2"/>
  <c r="BV602" i="2"/>
  <c r="BV601" i="2"/>
  <c r="X601" i="2"/>
  <c r="BV600" i="2"/>
  <c r="BV599" i="2"/>
  <c r="BO599" i="2"/>
  <c r="BV598" i="2"/>
  <c r="BV597" i="2"/>
  <c r="BV596" i="2"/>
  <c r="BV595" i="2"/>
  <c r="BV594" i="2"/>
  <c r="BV593" i="2"/>
  <c r="BV592" i="2"/>
  <c r="BV591" i="2"/>
  <c r="BV590" i="2"/>
  <c r="BV589" i="2"/>
  <c r="BV588" i="2"/>
  <c r="BV587" i="2"/>
  <c r="BV586" i="2"/>
  <c r="BV585" i="2"/>
  <c r="BV584" i="2"/>
  <c r="BV583" i="2"/>
  <c r="BV582" i="2"/>
  <c r="BV581" i="2"/>
  <c r="BV580" i="2"/>
  <c r="BV579" i="2"/>
  <c r="BV578" i="2"/>
  <c r="BV577" i="2"/>
  <c r="BV576" i="2"/>
  <c r="BV575" i="2"/>
  <c r="BV574" i="2"/>
  <c r="BV573" i="2"/>
  <c r="BV572" i="2"/>
  <c r="BO572" i="2"/>
  <c r="BV571" i="2"/>
  <c r="BV570" i="2"/>
  <c r="BV569" i="2"/>
  <c r="BV568" i="2"/>
  <c r="X568" i="2"/>
  <c r="BV567" i="2"/>
  <c r="BO567" i="2"/>
  <c r="BV566" i="2"/>
  <c r="BO566" i="2"/>
  <c r="BV565" i="2"/>
  <c r="BV564" i="2"/>
  <c r="BV563" i="2"/>
  <c r="BV562" i="2"/>
  <c r="BV561" i="2"/>
  <c r="BV560" i="2"/>
  <c r="AQ560" i="2"/>
  <c r="BV559" i="2"/>
  <c r="BV558" i="2"/>
  <c r="BV557" i="2"/>
  <c r="BV556" i="2"/>
  <c r="BV555" i="2"/>
  <c r="X555" i="2"/>
  <c r="BV554" i="2"/>
  <c r="X554" i="2"/>
  <c r="BV553" i="2"/>
  <c r="X553" i="2"/>
  <c r="BV552" i="2"/>
  <c r="BV551" i="2"/>
  <c r="BV550" i="2"/>
  <c r="BV549" i="2"/>
  <c r="BV548" i="2"/>
  <c r="BV547" i="2"/>
  <c r="BV546" i="2"/>
  <c r="AQ546" i="2"/>
  <c r="AQ548" i="2" s="1"/>
  <c r="BV545" i="2"/>
  <c r="BV544" i="2"/>
  <c r="BV543" i="2"/>
  <c r="AQ543" i="2"/>
  <c r="BV542" i="2"/>
  <c r="BV541" i="2"/>
  <c r="BV540" i="2"/>
  <c r="BV539" i="2"/>
  <c r="BO539" i="2"/>
  <c r="BV538" i="2"/>
  <c r="BO538" i="2"/>
  <c r="BV537" i="2"/>
  <c r="BO537" i="2"/>
  <c r="BV536" i="2"/>
  <c r="X536" i="2"/>
  <c r="BV535" i="2"/>
  <c r="BO535" i="2"/>
  <c r="X535" i="2"/>
  <c r="BV534" i="2"/>
  <c r="BV533" i="2"/>
  <c r="BO533" i="2"/>
  <c r="BV532" i="2"/>
  <c r="BV531" i="2"/>
  <c r="BO531" i="2"/>
  <c r="BV530" i="2"/>
  <c r="X530" i="2"/>
  <c r="BV529" i="2"/>
  <c r="BV528" i="2"/>
  <c r="X528" i="2"/>
  <c r="BV527" i="2"/>
  <c r="BV526" i="2"/>
  <c r="BV525" i="2"/>
  <c r="BO525" i="2"/>
  <c r="BV524" i="2"/>
  <c r="BO524" i="2"/>
  <c r="BV523" i="2"/>
  <c r="BO523" i="2"/>
  <c r="BV522" i="2"/>
  <c r="BO522" i="2"/>
  <c r="BV521" i="2"/>
  <c r="X521" i="2"/>
  <c r="BV520" i="2"/>
  <c r="BO520" i="2"/>
  <c r="X520" i="2"/>
  <c r="BV519" i="2"/>
  <c r="X519" i="2"/>
  <c r="BV518" i="2"/>
  <c r="X518" i="2"/>
  <c r="BV517" i="2"/>
  <c r="BV516" i="2"/>
  <c r="BV515" i="2"/>
  <c r="BV514" i="2"/>
  <c r="BV513" i="2"/>
  <c r="BV512" i="2"/>
  <c r="BO512" i="2"/>
  <c r="BV511" i="2"/>
  <c r="BO511" i="2"/>
  <c r="BV510" i="2"/>
  <c r="X510" i="2"/>
  <c r="BV509" i="2"/>
  <c r="X509" i="2"/>
  <c r="BV508" i="2"/>
  <c r="BV507" i="2"/>
  <c r="BV506" i="2"/>
  <c r="BV505" i="2"/>
  <c r="BV504" i="2"/>
  <c r="BV503" i="2"/>
  <c r="BV502" i="2"/>
  <c r="BV501" i="2"/>
  <c r="BV500" i="2"/>
  <c r="BO500" i="2"/>
  <c r="BV499" i="2"/>
  <c r="BO499" i="2"/>
  <c r="BV498" i="2"/>
  <c r="BO498" i="2"/>
  <c r="BV497" i="2"/>
  <c r="BO497" i="2"/>
  <c r="BV496" i="2"/>
  <c r="BO496" i="2"/>
  <c r="BV495" i="2"/>
  <c r="BO495" i="2"/>
  <c r="BV494" i="2"/>
  <c r="BO494" i="2"/>
  <c r="BV493" i="2"/>
  <c r="BO493" i="2"/>
  <c r="BV492" i="2"/>
  <c r="BO492" i="2"/>
  <c r="BV491" i="2"/>
  <c r="BO491" i="2"/>
  <c r="BV490" i="2"/>
  <c r="BO490" i="2"/>
  <c r="BV489" i="2"/>
  <c r="BO489" i="2"/>
  <c r="BV488" i="2"/>
  <c r="BO488" i="2"/>
  <c r="BV487" i="2"/>
  <c r="BO487" i="2"/>
  <c r="BV486" i="2"/>
  <c r="BO486" i="2"/>
  <c r="BV485" i="2"/>
  <c r="BO485" i="2"/>
  <c r="BV484" i="2"/>
  <c r="BO484" i="2"/>
  <c r="BV483" i="2"/>
  <c r="BO483" i="2"/>
  <c r="BV482" i="2"/>
  <c r="BO482" i="2"/>
  <c r="BV481" i="2"/>
  <c r="BO481" i="2"/>
  <c r="BV480" i="2"/>
  <c r="BV479" i="2"/>
  <c r="BV478" i="2"/>
  <c r="BV477" i="2"/>
  <c r="BV476" i="2"/>
  <c r="BV475" i="2"/>
  <c r="BV474" i="2"/>
  <c r="BV473" i="2"/>
  <c r="BV472" i="2"/>
  <c r="X472" i="2"/>
  <c r="BV471" i="2"/>
  <c r="X471" i="2"/>
  <c r="BV470" i="2"/>
  <c r="BV469" i="2"/>
  <c r="BV468" i="2"/>
  <c r="BV467" i="2"/>
  <c r="BV466" i="2"/>
  <c r="BV465" i="2"/>
  <c r="BV464" i="2"/>
  <c r="BV463" i="2"/>
  <c r="BO463" i="2"/>
  <c r="BV462" i="2"/>
  <c r="BO462" i="2"/>
  <c r="BV461" i="2"/>
  <c r="X461" i="2"/>
  <c r="BV460" i="2"/>
  <c r="BO460" i="2"/>
  <c r="BV459" i="2"/>
  <c r="BV458" i="2"/>
  <c r="X458" i="2"/>
  <c r="BV457" i="2"/>
  <c r="X457" i="2"/>
  <c r="BV456" i="2"/>
  <c r="BO456" i="2"/>
  <c r="BV455" i="2"/>
  <c r="BO455" i="2"/>
  <c r="BV454" i="2"/>
  <c r="BV453" i="2"/>
  <c r="BV452" i="2"/>
  <c r="BV451" i="2"/>
  <c r="BV450" i="2"/>
  <c r="BV449" i="2"/>
  <c r="BV448" i="2"/>
  <c r="BV447" i="2"/>
  <c r="BV446" i="2"/>
  <c r="BV445" i="2"/>
  <c r="BV444" i="2"/>
  <c r="BV443" i="2"/>
  <c r="BV442" i="2"/>
  <c r="BV441" i="2"/>
  <c r="BV440" i="2"/>
  <c r="AC440" i="2"/>
  <c r="AE440" i="2" s="1"/>
  <c r="BV439" i="2"/>
  <c r="AC439" i="2"/>
  <c r="AE439" i="2" s="1"/>
  <c r="BV438" i="2"/>
  <c r="AC438" i="2"/>
  <c r="AE438" i="2" s="1"/>
  <c r="BV437" i="2"/>
  <c r="AC437" i="2"/>
  <c r="AE437" i="2" s="1"/>
  <c r="BV436" i="2"/>
  <c r="AQ436" i="2"/>
  <c r="AC436" i="2"/>
  <c r="AE436" i="2" s="1"/>
  <c r="BV435" i="2"/>
  <c r="AC435" i="2"/>
  <c r="AE435" i="2" s="1"/>
  <c r="BV434" i="2"/>
  <c r="AC434" i="2"/>
  <c r="AE434" i="2" s="1"/>
  <c r="BV433" i="2"/>
  <c r="AC433" i="2"/>
  <c r="AE433" i="2" s="1"/>
  <c r="BV432" i="2"/>
  <c r="AC432" i="2"/>
  <c r="AE432" i="2" s="1"/>
  <c r="BV431" i="2"/>
  <c r="BO431" i="2"/>
  <c r="BV430" i="2"/>
  <c r="BO430" i="2"/>
  <c r="X430" i="2"/>
  <c r="BV429" i="2"/>
  <c r="BV428" i="2"/>
  <c r="BV427" i="2"/>
  <c r="BO427" i="2"/>
  <c r="BV426" i="2"/>
  <c r="BV425" i="2"/>
  <c r="BO425" i="2"/>
  <c r="BV424" i="2"/>
  <c r="BV423" i="2"/>
  <c r="X423" i="2"/>
  <c r="BV422" i="2"/>
  <c r="AC422" i="2"/>
  <c r="AE422" i="2" s="1"/>
  <c r="BV421" i="2"/>
  <c r="AC421" i="2"/>
  <c r="AE421" i="2" s="1"/>
  <c r="BV420" i="2"/>
  <c r="BV419" i="2"/>
  <c r="BV418" i="2"/>
  <c r="BV417" i="2"/>
  <c r="BV416" i="2"/>
  <c r="BV415" i="2"/>
  <c r="X415" i="2"/>
  <c r="BV414" i="2"/>
  <c r="BV413" i="2"/>
  <c r="BO413" i="2"/>
  <c r="BV412" i="2"/>
  <c r="BO412" i="2"/>
  <c r="BV411" i="2"/>
  <c r="X411" i="2"/>
  <c r="BV410" i="2"/>
  <c r="BV409" i="2"/>
  <c r="BV408" i="2"/>
  <c r="BV407" i="2"/>
  <c r="BV406" i="2"/>
  <c r="BV405" i="2"/>
  <c r="BV404" i="2"/>
  <c r="BV403" i="2"/>
  <c r="BV402" i="2"/>
  <c r="BV401" i="2"/>
  <c r="BV400" i="2"/>
  <c r="BV399" i="2"/>
  <c r="BV398" i="2"/>
  <c r="X398" i="2"/>
  <c r="BV397" i="2"/>
  <c r="BV396" i="2"/>
  <c r="BV395" i="2"/>
  <c r="BV394" i="2"/>
  <c r="BO394" i="2"/>
  <c r="BV393" i="2"/>
  <c r="BO393" i="2"/>
  <c r="BV392" i="2"/>
  <c r="X392" i="2"/>
  <c r="BV391" i="2"/>
  <c r="BO391" i="2"/>
  <c r="X391" i="2"/>
  <c r="BV390" i="2"/>
  <c r="X390" i="2"/>
  <c r="BV389" i="2"/>
  <c r="BV388" i="2"/>
  <c r="BV387" i="2"/>
  <c r="BV386" i="2"/>
  <c r="BO386" i="2"/>
  <c r="BV385" i="2"/>
  <c r="BV384" i="2"/>
  <c r="BO384" i="2"/>
  <c r="BV383" i="2"/>
  <c r="BO383" i="2"/>
  <c r="BV382" i="2"/>
  <c r="BV381" i="2"/>
  <c r="BV380" i="2"/>
  <c r="BV379" i="2"/>
  <c r="BV378" i="2"/>
  <c r="BV376" i="2"/>
  <c r="BO376" i="2"/>
  <c r="BV375" i="2"/>
  <c r="BV374" i="2"/>
  <c r="BO374" i="2"/>
  <c r="BV373" i="2"/>
  <c r="BV372" i="2"/>
  <c r="BO372" i="2"/>
  <c r="BV371" i="2"/>
  <c r="BV370" i="2"/>
  <c r="BV369" i="2"/>
  <c r="BO369" i="2"/>
  <c r="BV368" i="2"/>
  <c r="BV367" i="2"/>
  <c r="BV366" i="2"/>
  <c r="BV365" i="2"/>
  <c r="BV364" i="2"/>
  <c r="BV363" i="2"/>
  <c r="BV362" i="2"/>
  <c r="BV361" i="2"/>
  <c r="BV360" i="2"/>
  <c r="BV359" i="2"/>
  <c r="BV358" i="2"/>
  <c r="BV357" i="2"/>
  <c r="BV356" i="2"/>
  <c r="BV355" i="2"/>
  <c r="BV354" i="2"/>
  <c r="AQ354" i="2"/>
  <c r="BV353" i="2"/>
  <c r="BV352" i="2"/>
  <c r="BV351" i="2"/>
  <c r="BV350" i="2"/>
  <c r="BV349" i="2"/>
  <c r="BV348" i="2"/>
  <c r="BV347" i="2"/>
  <c r="BV346" i="2"/>
  <c r="AQ346" i="2"/>
  <c r="BV345" i="2"/>
  <c r="BV344" i="2"/>
  <c r="X344" i="2"/>
  <c r="BV343" i="2"/>
  <c r="X343" i="2"/>
  <c r="BV342" i="2"/>
  <c r="X342" i="2"/>
  <c r="BV341" i="2"/>
  <c r="BV340" i="2"/>
  <c r="BV339" i="2"/>
  <c r="AQ339" i="2"/>
  <c r="BV338" i="2"/>
  <c r="BV337" i="2"/>
  <c r="BV336" i="2"/>
  <c r="BV335" i="2"/>
  <c r="X335" i="2"/>
  <c r="BV334" i="2"/>
  <c r="X334" i="2"/>
  <c r="BV333" i="2"/>
  <c r="BV332" i="2"/>
  <c r="BV331" i="2"/>
  <c r="BV330" i="2"/>
  <c r="BV329" i="2"/>
  <c r="BV328" i="2"/>
  <c r="BV327" i="2"/>
  <c r="BV326" i="2"/>
  <c r="BV325" i="2"/>
  <c r="BV324" i="2"/>
  <c r="BV323" i="2"/>
  <c r="BV322" i="2"/>
  <c r="BV321" i="2"/>
  <c r="BV320" i="2"/>
  <c r="BV319" i="2"/>
  <c r="X319" i="2"/>
  <c r="BV318" i="2"/>
  <c r="X318" i="2"/>
  <c r="BV317" i="2"/>
  <c r="X317" i="2"/>
  <c r="BV316" i="2"/>
  <c r="BO316" i="2"/>
  <c r="X316" i="2"/>
  <c r="BV315" i="2"/>
  <c r="BO315" i="2"/>
  <c r="X315" i="2"/>
  <c r="BV314" i="2"/>
  <c r="BV313" i="2"/>
  <c r="BV312" i="2"/>
  <c r="BV311" i="2"/>
  <c r="BV310" i="2"/>
  <c r="BO310" i="2"/>
  <c r="BV309" i="2"/>
  <c r="BO309" i="2"/>
  <c r="BV308" i="2"/>
  <c r="BO308" i="2"/>
  <c r="BV307" i="2"/>
  <c r="BV306" i="2"/>
  <c r="BV305" i="2"/>
  <c r="BO305" i="2"/>
  <c r="BV304" i="2"/>
  <c r="BV303" i="2"/>
  <c r="BV302" i="2"/>
  <c r="BV301" i="2"/>
  <c r="AQ301" i="2"/>
  <c r="BV300" i="2"/>
  <c r="BV299" i="2"/>
  <c r="BV298" i="2"/>
  <c r="BV297" i="2"/>
  <c r="BV296" i="2"/>
  <c r="BO296" i="2"/>
  <c r="BV295" i="2"/>
  <c r="BO295" i="2"/>
  <c r="BV294" i="2"/>
  <c r="BO294" i="2"/>
  <c r="BV293" i="2"/>
  <c r="BV292" i="2"/>
  <c r="BV291" i="2"/>
  <c r="BV290" i="2"/>
  <c r="BO290" i="2"/>
  <c r="BV289" i="2"/>
  <c r="BV288" i="2"/>
  <c r="BO288" i="2"/>
  <c r="BV287" i="2"/>
  <c r="BV286" i="2"/>
  <c r="BO286" i="2"/>
  <c r="BV285" i="2"/>
  <c r="BV284" i="2"/>
  <c r="X284" i="2"/>
  <c r="BV283" i="2"/>
  <c r="BV282" i="2"/>
  <c r="BO282" i="2"/>
  <c r="BV281" i="2"/>
  <c r="BV280" i="2"/>
  <c r="BV279" i="2"/>
  <c r="BV278" i="2"/>
  <c r="BV277" i="2"/>
  <c r="BV275" i="2"/>
  <c r="BV274" i="2"/>
  <c r="BV273" i="2"/>
  <c r="BV272" i="2"/>
  <c r="BV271" i="2"/>
  <c r="BV270" i="2"/>
  <c r="BV269" i="2"/>
  <c r="BV268" i="2"/>
  <c r="BV267" i="2"/>
  <c r="BV266" i="2"/>
  <c r="BV265" i="2"/>
  <c r="BV264" i="2"/>
  <c r="BO264" i="2"/>
  <c r="BV263" i="2"/>
  <c r="BV262" i="2"/>
  <c r="BO262" i="2"/>
  <c r="BV261" i="2"/>
  <c r="BO261" i="2"/>
  <c r="BV260" i="2"/>
  <c r="X260" i="2"/>
  <c r="BV259" i="2"/>
  <c r="BO259" i="2"/>
  <c r="BV258" i="2"/>
  <c r="BV257" i="2"/>
  <c r="BV256" i="2"/>
  <c r="BV255" i="2"/>
  <c r="BO255" i="2"/>
  <c r="BV254" i="2"/>
  <c r="BV253" i="2"/>
  <c r="BV252" i="2"/>
  <c r="BV251" i="2"/>
  <c r="BV250" i="2"/>
  <c r="BV249" i="2"/>
  <c r="BV246" i="2"/>
  <c r="BV245" i="2"/>
  <c r="BO245" i="2"/>
  <c r="BV244" i="2"/>
  <c r="BV243" i="2"/>
  <c r="BO243" i="2"/>
  <c r="BV242" i="2"/>
  <c r="BV241" i="2"/>
  <c r="BV240" i="2"/>
  <c r="BV239" i="2"/>
  <c r="BV238" i="2"/>
  <c r="BV237" i="2"/>
  <c r="BV236" i="2"/>
  <c r="BV235" i="2"/>
  <c r="BV233" i="2"/>
  <c r="BV232" i="2"/>
  <c r="BV231" i="2"/>
  <c r="AQ231" i="2"/>
  <c r="AQ232" i="2" s="1"/>
  <c r="BV230" i="2"/>
  <c r="BV229" i="2"/>
  <c r="BV228" i="2"/>
  <c r="BV227" i="2"/>
  <c r="BV226" i="2"/>
  <c r="BV225" i="2"/>
  <c r="BV224" i="2"/>
  <c r="BV223" i="2"/>
  <c r="BV222" i="2"/>
  <c r="BV221" i="2"/>
  <c r="BV220" i="2"/>
  <c r="BV219" i="2"/>
  <c r="BV218" i="2"/>
  <c r="BV217" i="2"/>
  <c r="BV216" i="2"/>
  <c r="BO216" i="2"/>
  <c r="BV215" i="2"/>
  <c r="BV214" i="2"/>
  <c r="BV213" i="2"/>
  <c r="BV212" i="2"/>
  <c r="BV210" i="2"/>
  <c r="BV209" i="2"/>
  <c r="BV208" i="2"/>
  <c r="BV207" i="2"/>
  <c r="AQ207" i="2"/>
  <c r="BV206" i="2"/>
  <c r="BV205" i="2"/>
  <c r="BV204" i="2"/>
  <c r="BV203" i="2"/>
  <c r="BV202" i="2"/>
  <c r="BV201" i="2"/>
  <c r="BV200" i="2"/>
  <c r="BV199" i="2"/>
  <c r="AQ199" i="2"/>
  <c r="BV198" i="2"/>
  <c r="BV197" i="2"/>
  <c r="AQ197" i="2"/>
  <c r="BV196" i="2"/>
  <c r="BV195" i="2"/>
  <c r="BV194" i="2"/>
  <c r="BO194" i="2"/>
  <c r="BV193" i="2"/>
  <c r="BV192" i="2"/>
  <c r="X192" i="2"/>
  <c r="BV191" i="2"/>
  <c r="BV190" i="2"/>
  <c r="BV189" i="2"/>
  <c r="BV188" i="2"/>
  <c r="BV187" i="2"/>
  <c r="BV186" i="2"/>
  <c r="BV185" i="2"/>
  <c r="BV184" i="2"/>
  <c r="BV183" i="2"/>
  <c r="BV182" i="2"/>
  <c r="AQ182" i="2"/>
  <c r="AQ183" i="2" s="1"/>
  <c r="BV181" i="2"/>
  <c r="BV180" i="2"/>
  <c r="BV179" i="2"/>
  <c r="BV178" i="2"/>
  <c r="AQ178" i="2"/>
  <c r="AQ179" i="2" s="1"/>
  <c r="AQ180" i="2" s="1"/>
  <c r="BV177" i="2"/>
  <c r="BV176" i="2"/>
  <c r="BV175" i="2"/>
  <c r="BV174" i="2"/>
  <c r="AQ174" i="2"/>
  <c r="AQ175" i="2" s="1"/>
  <c r="BV173" i="2"/>
  <c r="BV172" i="2"/>
  <c r="BV171" i="2"/>
  <c r="BV170" i="2"/>
  <c r="BV169" i="2"/>
  <c r="AQ169" i="2"/>
  <c r="AQ170" i="2" s="1"/>
  <c r="AQ171" i="2" s="1"/>
  <c r="BV168" i="2"/>
  <c r="BV167" i="2"/>
  <c r="BV166" i="2"/>
  <c r="BO166" i="2"/>
  <c r="BV165" i="2"/>
  <c r="BO165" i="2"/>
  <c r="BV164" i="2"/>
  <c r="BO164" i="2"/>
  <c r="BV163" i="2"/>
  <c r="BO163" i="2"/>
  <c r="BV162" i="2"/>
  <c r="X162" i="2"/>
  <c r="BV161" i="2"/>
  <c r="BO161" i="2"/>
  <c r="BV160" i="2"/>
  <c r="X160" i="2"/>
  <c r="BV159" i="2"/>
  <c r="X159" i="2"/>
  <c r="BV158" i="2"/>
  <c r="X158" i="2"/>
  <c r="BV157" i="2"/>
  <c r="BV156" i="2"/>
  <c r="BV155" i="2"/>
  <c r="BV154" i="2"/>
  <c r="BV153" i="2"/>
  <c r="BV152" i="2"/>
  <c r="BO152" i="2"/>
  <c r="X152" i="2"/>
  <c r="BV151" i="2"/>
  <c r="BV150" i="2"/>
  <c r="X150" i="2"/>
  <c r="BV149" i="2"/>
  <c r="X149" i="2"/>
  <c r="BV148" i="2"/>
  <c r="BV147" i="2"/>
  <c r="BV146" i="2"/>
  <c r="AQ146" i="2"/>
  <c r="AQ147" i="2" s="1"/>
  <c r="BV145" i="2"/>
  <c r="BV144" i="2"/>
  <c r="AQ144" i="2"/>
  <c r="BV143" i="2"/>
  <c r="BV142" i="2"/>
  <c r="BV141" i="2"/>
  <c r="AQ141" i="2"/>
  <c r="AQ142" i="2" s="1"/>
  <c r="BV140" i="2"/>
  <c r="BV139" i="2"/>
  <c r="AQ139" i="2"/>
  <c r="BV138" i="2"/>
  <c r="BV137" i="2"/>
  <c r="BO137" i="2"/>
  <c r="BV136" i="2"/>
  <c r="BO136" i="2"/>
  <c r="BV135" i="2"/>
  <c r="BO135" i="2"/>
  <c r="BV134" i="2"/>
  <c r="BO134" i="2"/>
  <c r="BV133" i="2"/>
  <c r="BV132" i="2"/>
  <c r="BV131" i="2"/>
  <c r="BV130" i="2"/>
  <c r="BO130" i="2"/>
  <c r="X130" i="2"/>
  <c r="BV129" i="2"/>
  <c r="BV128" i="2"/>
  <c r="BV127" i="2"/>
  <c r="BV126" i="2"/>
  <c r="BV125" i="2"/>
  <c r="BV123" i="2"/>
  <c r="BO123" i="2"/>
  <c r="BV122" i="2"/>
  <c r="BO122" i="2"/>
  <c r="BV121" i="2"/>
  <c r="BO121" i="2"/>
  <c r="BV120" i="2"/>
  <c r="BO120" i="2"/>
  <c r="BV119" i="2"/>
  <c r="BV118" i="2"/>
  <c r="BO118" i="2"/>
  <c r="BV117" i="2"/>
  <c r="BO117" i="2"/>
  <c r="BV116" i="2"/>
  <c r="BO116" i="2"/>
  <c r="BV115" i="2"/>
  <c r="BO115" i="2"/>
  <c r="BV114" i="2"/>
  <c r="BV113" i="2"/>
  <c r="BO113" i="2"/>
  <c r="BV112" i="2"/>
  <c r="BO112" i="2"/>
  <c r="X112" i="2"/>
  <c r="BV111" i="2"/>
  <c r="BO111" i="2"/>
  <c r="X111" i="2"/>
  <c r="BV110" i="2"/>
  <c r="BO110" i="2"/>
  <c r="X110" i="2"/>
  <c r="BV109" i="2"/>
  <c r="BO109" i="2"/>
  <c r="X109" i="2"/>
  <c r="BV108" i="2"/>
  <c r="X108" i="2"/>
  <c r="BV107" i="2"/>
  <c r="BO107" i="2"/>
  <c r="X107" i="2"/>
  <c r="BV106" i="2"/>
  <c r="BO106" i="2"/>
  <c r="X106" i="2"/>
  <c r="BV105" i="2"/>
  <c r="BO105" i="2"/>
  <c r="BV104" i="2"/>
  <c r="BO104" i="2"/>
  <c r="BV103" i="2"/>
  <c r="X103" i="2"/>
  <c r="BV102" i="2"/>
  <c r="BO102" i="2"/>
  <c r="BV101" i="2"/>
  <c r="BO101" i="2"/>
  <c r="BV100" i="2"/>
  <c r="BO100" i="2"/>
  <c r="BV99" i="2"/>
  <c r="BO99" i="2"/>
  <c r="BV98" i="2"/>
  <c r="BO98" i="2"/>
  <c r="BV97" i="2"/>
  <c r="BO97" i="2"/>
  <c r="BV96" i="2"/>
  <c r="BV95" i="2"/>
  <c r="BV94" i="2"/>
  <c r="BV93" i="2"/>
  <c r="BV92" i="2"/>
  <c r="X92" i="2"/>
  <c r="BV91" i="2"/>
  <c r="BO91" i="2"/>
  <c r="X91" i="2"/>
  <c r="BV90" i="2"/>
  <c r="BO90" i="2"/>
  <c r="X90" i="2"/>
  <c r="BV89" i="2"/>
  <c r="BO89" i="2"/>
  <c r="X89" i="2"/>
  <c r="BV88" i="2"/>
  <c r="BO88" i="2"/>
  <c r="BV87" i="2"/>
  <c r="BO87" i="2"/>
  <c r="BV86" i="2"/>
  <c r="BV85" i="2"/>
  <c r="BV84" i="2"/>
  <c r="BV83" i="2"/>
  <c r="BO83" i="2"/>
  <c r="BV82" i="2"/>
  <c r="BV81" i="2"/>
  <c r="BO81" i="2"/>
  <c r="BV80" i="2"/>
  <c r="BO80" i="2"/>
  <c r="BV79" i="2"/>
  <c r="BO79" i="2"/>
  <c r="BV78" i="2"/>
  <c r="BV77" i="2"/>
  <c r="BO77" i="2"/>
  <c r="BV76" i="2"/>
  <c r="BO76" i="2"/>
  <c r="BV75" i="2"/>
  <c r="BO75" i="2"/>
  <c r="BV74" i="2"/>
  <c r="BO74" i="2"/>
  <c r="BV73" i="2"/>
  <c r="BO73" i="2"/>
  <c r="BV72" i="2"/>
  <c r="AQ72" i="2"/>
  <c r="BV71" i="2"/>
  <c r="BV70" i="2"/>
  <c r="BV69" i="2"/>
  <c r="AQ69" i="2"/>
  <c r="BV68" i="2"/>
  <c r="BV67" i="2"/>
  <c r="AQ67" i="2"/>
  <c r="BV66" i="2"/>
  <c r="BV65" i="2"/>
  <c r="BV64" i="2"/>
  <c r="AQ64" i="2"/>
  <c r="BV63" i="2"/>
  <c r="BV62" i="2"/>
  <c r="BV61" i="2"/>
  <c r="BV60" i="2"/>
  <c r="AQ60" i="2"/>
  <c r="BV59" i="2"/>
  <c r="BV58" i="2"/>
  <c r="BV57" i="2"/>
  <c r="BV56" i="2"/>
  <c r="BV55" i="2"/>
  <c r="BV54" i="2"/>
  <c r="BV53" i="2"/>
  <c r="BO53" i="2"/>
  <c r="BV52" i="2"/>
  <c r="BO52" i="2"/>
  <c r="BV51" i="2"/>
  <c r="BO51" i="2"/>
  <c r="BV50" i="2"/>
  <c r="X50" i="2"/>
  <c r="BV49" i="2"/>
  <c r="BO49" i="2"/>
  <c r="X49" i="2"/>
  <c r="BV48" i="2"/>
  <c r="BO48" i="2"/>
  <c r="BV47" i="2"/>
  <c r="BO47" i="2"/>
  <c r="BV46" i="2"/>
  <c r="BO46" i="2"/>
  <c r="X46" i="2"/>
  <c r="BV45" i="2"/>
  <c r="BV44" i="2"/>
  <c r="BO44" i="2"/>
  <c r="X44" i="2"/>
  <c r="BV43" i="2"/>
  <c r="BO43" i="2"/>
  <c r="BV42" i="2"/>
  <c r="BO42" i="2"/>
  <c r="X42" i="2"/>
  <c r="BV41" i="2"/>
  <c r="BO41" i="2"/>
  <c r="BV40" i="2"/>
  <c r="BV39" i="2"/>
  <c r="BV38" i="2"/>
  <c r="BV37" i="2"/>
  <c r="BV35" i="2"/>
  <c r="BV34" i="2"/>
  <c r="BO34" i="2"/>
  <c r="BV33" i="2"/>
  <c r="BV32" i="2"/>
  <c r="BO32" i="2"/>
  <c r="BV31" i="2"/>
  <c r="BV30" i="2"/>
  <c r="BV29" i="2"/>
  <c r="BV28" i="2"/>
  <c r="BV27" i="2"/>
  <c r="BO27" i="2"/>
  <c r="BV26" i="2"/>
  <c r="BV25" i="2"/>
  <c r="BV24" i="2"/>
  <c r="BV23" i="2"/>
  <c r="BV22" i="2"/>
  <c r="BV21" i="2"/>
  <c r="BV20" i="2"/>
  <c r="BV19" i="2"/>
  <c r="BV18" i="2"/>
  <c r="BV17" i="2"/>
  <c r="BV16" i="2"/>
  <c r="BV15" i="2"/>
  <c r="BV14" i="2"/>
  <c r="BV13" i="2"/>
  <c r="BV12" i="2"/>
  <c r="BO12" i="2"/>
  <c r="X12" i="2"/>
  <c r="BV11" i="2"/>
  <c r="X11" i="2"/>
  <c r="BV10" i="2"/>
  <c r="BO10" i="2"/>
  <c r="X10" i="2"/>
  <c r="BV9" i="2"/>
  <c r="BO9" i="2"/>
  <c r="X9" i="2"/>
  <c r="BV8" i="2"/>
  <c r="BO8" i="2"/>
  <c r="X8" i="2"/>
  <c r="BV7" i="2"/>
  <c r="BO7" i="2"/>
  <c r="BV6" i="2"/>
  <c r="BV5" i="2"/>
  <c r="BV4" i="2"/>
  <c r="AQ4" i="2"/>
  <c r="BV3" i="2"/>
  <c r="BV2" i="2"/>
  <c r="F157" i="1"/>
  <c r="E157" i="1"/>
  <c r="F156" i="1"/>
  <c r="E156" i="1"/>
  <c r="F155" i="1"/>
  <c r="E155" i="1"/>
  <c r="F154" i="1"/>
  <c r="E154" i="1"/>
  <c r="F153" i="1"/>
  <c r="E153" i="1"/>
  <c r="F152" i="1"/>
  <c r="E152" i="1"/>
  <c r="F151" i="1"/>
  <c r="E151" i="1"/>
  <c r="F150" i="1"/>
  <c r="E150" i="1"/>
  <c r="F149" i="1"/>
  <c r="E149" i="1"/>
  <c r="F148" i="1"/>
  <c r="E148" i="1"/>
  <c r="F147" i="1"/>
  <c r="E147" i="1"/>
  <c r="F146" i="1"/>
  <c r="E146" i="1"/>
  <c r="F145" i="1"/>
  <c r="E145" i="1"/>
  <c r="F144" i="1"/>
  <c r="E144" i="1"/>
  <c r="F143" i="1"/>
  <c r="E143" i="1"/>
  <c r="F142" i="1"/>
  <c r="E142" i="1"/>
  <c r="F141" i="1"/>
  <c r="E141" i="1"/>
  <c r="F140" i="1"/>
  <c r="E140" i="1"/>
  <c r="F138" i="1"/>
  <c r="E138" i="1"/>
  <c r="F137" i="1"/>
  <c r="E137" i="1"/>
  <c r="F136" i="1"/>
  <c r="E136" i="1"/>
  <c r="F135" i="1"/>
  <c r="E135" i="1"/>
  <c r="F134" i="1"/>
  <c r="E134" i="1"/>
  <c r="F133" i="1"/>
  <c r="E133" i="1"/>
  <c r="F132" i="1"/>
  <c r="E132" i="1"/>
  <c r="F131" i="1"/>
  <c r="E131" i="1"/>
  <c r="F130" i="1"/>
  <c r="E130" i="1"/>
  <c r="F129" i="1"/>
  <c r="E129" i="1"/>
  <c r="F128" i="1"/>
  <c r="E128" i="1"/>
  <c r="F127" i="1"/>
  <c r="E127" i="1"/>
  <c r="F126" i="1"/>
  <c r="E126" i="1"/>
  <c r="F125" i="1"/>
  <c r="E125" i="1"/>
  <c r="F124" i="1"/>
  <c r="E124" i="1"/>
  <c r="F123" i="1"/>
  <c r="E123" i="1"/>
  <c r="F122" i="1"/>
  <c r="E122" i="1"/>
  <c r="F121" i="1"/>
  <c r="E121" i="1"/>
  <c r="F120" i="1"/>
  <c r="E120" i="1"/>
  <c r="F119" i="1"/>
  <c r="E119" i="1"/>
  <c r="F118" i="1"/>
  <c r="E118" i="1"/>
  <c r="F117" i="1"/>
  <c r="E117" i="1"/>
  <c r="F116" i="1"/>
  <c r="E116" i="1"/>
  <c r="F115" i="1"/>
  <c r="E115" i="1"/>
  <c r="F114" i="1"/>
  <c r="E114" i="1"/>
  <c r="F113" i="1"/>
  <c r="E113" i="1"/>
  <c r="F112" i="1"/>
  <c r="E112" i="1"/>
  <c r="F111" i="1"/>
  <c r="E111" i="1"/>
  <c r="F110" i="1"/>
  <c r="E110" i="1"/>
  <c r="F109" i="1"/>
  <c r="E109" i="1"/>
  <c r="F108" i="1"/>
  <c r="E108" i="1"/>
  <c r="F107" i="1"/>
  <c r="E107" i="1"/>
  <c r="F106" i="1"/>
  <c r="E106" i="1"/>
  <c r="F105" i="1"/>
  <c r="E105" i="1"/>
  <c r="F104" i="1"/>
  <c r="E104" i="1"/>
  <c r="F103" i="1"/>
  <c r="E103" i="1"/>
  <c r="F102" i="1"/>
  <c r="E102" i="1"/>
  <c r="F101" i="1"/>
  <c r="E101" i="1"/>
  <c r="F100" i="1"/>
  <c r="E100" i="1"/>
  <c r="F99" i="1"/>
  <c r="E99" i="1"/>
  <c r="F98" i="1"/>
  <c r="E98" i="1"/>
  <c r="F97" i="1"/>
  <c r="E97" i="1"/>
  <c r="F96" i="1"/>
  <c r="E96" i="1"/>
  <c r="F95" i="1"/>
  <c r="E95" i="1"/>
  <c r="F94" i="1"/>
  <c r="E94" i="1"/>
  <c r="F93" i="1"/>
  <c r="E93" i="1"/>
  <c r="F92" i="1"/>
  <c r="E92" i="1"/>
  <c r="F91" i="1"/>
  <c r="E91" i="1"/>
  <c r="F90" i="1"/>
  <c r="E90" i="1"/>
  <c r="F89" i="1"/>
  <c r="E89" i="1"/>
  <c r="F88" i="1"/>
  <c r="E88" i="1"/>
  <c r="F87" i="1"/>
  <c r="E87" i="1"/>
  <c r="F86" i="1"/>
  <c r="E86" i="1"/>
  <c r="F85" i="1"/>
  <c r="E85" i="1"/>
  <c r="F84" i="1"/>
  <c r="E84" i="1"/>
  <c r="F83" i="1"/>
  <c r="E83" i="1"/>
  <c r="F82" i="1"/>
  <c r="E82" i="1"/>
  <c r="F81" i="1"/>
  <c r="E81" i="1"/>
  <c r="F80" i="1"/>
  <c r="E80" i="1"/>
  <c r="F79" i="1"/>
  <c r="E79" i="1"/>
  <c r="F78" i="1"/>
  <c r="E78" i="1"/>
  <c r="F77" i="1"/>
  <c r="E77" i="1"/>
  <c r="F76" i="1"/>
  <c r="E76" i="1"/>
  <c r="F75" i="1"/>
  <c r="E75" i="1"/>
  <c r="F74" i="1"/>
  <c r="E74" i="1"/>
  <c r="F73" i="1"/>
  <c r="E73" i="1"/>
  <c r="F72" i="1"/>
  <c r="E72" i="1"/>
  <c r="F71" i="1"/>
  <c r="E71" i="1"/>
  <c r="F70" i="1"/>
  <c r="E70" i="1"/>
  <c r="F69" i="1"/>
  <c r="E69" i="1"/>
  <c r="F68" i="1"/>
  <c r="E68" i="1"/>
  <c r="F67" i="1"/>
  <c r="E67" i="1"/>
  <c r="F66" i="1"/>
  <c r="E66" i="1"/>
  <c r="F65" i="1"/>
  <c r="E65" i="1"/>
  <c r="F64" i="1"/>
  <c r="E64" i="1"/>
  <c r="F63" i="1"/>
  <c r="E63" i="1"/>
  <c r="F62" i="1"/>
  <c r="E62" i="1"/>
  <c r="F61" i="1"/>
  <c r="E61" i="1"/>
  <c r="F60" i="1"/>
  <c r="E60" i="1"/>
  <c r="F59" i="1"/>
  <c r="E59" i="1"/>
  <c r="F58" i="1"/>
  <c r="E58" i="1"/>
  <c r="F57" i="1"/>
  <c r="E57" i="1"/>
  <c r="F56" i="1"/>
  <c r="E56" i="1"/>
  <c r="F55" i="1"/>
  <c r="E55" i="1"/>
  <c r="F54" i="1"/>
  <c r="E54" i="1"/>
  <c r="F53" i="1"/>
  <c r="E53" i="1"/>
  <c r="F52" i="1"/>
  <c r="E52" i="1"/>
  <c r="F51" i="1"/>
  <c r="E51" i="1"/>
  <c r="F50" i="1"/>
  <c r="E50" i="1"/>
  <c r="F49" i="1"/>
  <c r="E49" i="1"/>
  <c r="F48" i="1"/>
  <c r="E48" i="1"/>
  <c r="F47" i="1"/>
  <c r="E47" i="1"/>
  <c r="F46" i="1"/>
  <c r="E46" i="1"/>
  <c r="F45" i="1"/>
  <c r="E45" i="1"/>
  <c r="F44" i="1"/>
  <c r="E44" i="1"/>
  <c r="F43" i="1"/>
  <c r="E43" i="1"/>
  <c r="F42" i="1"/>
  <c r="E42" i="1"/>
  <c r="F41" i="1"/>
  <c r="E41" i="1"/>
  <c r="F40" i="1"/>
  <c r="E40" i="1"/>
  <c r="F39" i="1"/>
  <c r="E39" i="1"/>
  <c r="F38" i="1"/>
  <c r="E38" i="1"/>
  <c r="F37" i="1"/>
  <c r="E37" i="1"/>
  <c r="F36" i="1"/>
  <c r="E36" i="1"/>
  <c r="F35" i="1"/>
  <c r="E35" i="1"/>
  <c r="F34" i="1"/>
  <c r="E34" i="1"/>
  <c r="F33" i="1"/>
  <c r="E33" i="1"/>
  <c r="F32" i="1"/>
  <c r="E32" i="1"/>
  <c r="F31" i="1"/>
  <c r="E31" i="1"/>
  <c r="F30" i="1"/>
  <c r="E30" i="1"/>
  <c r="F29" i="1"/>
  <c r="E29" i="1"/>
  <c r="F28" i="1"/>
  <c r="E28" i="1"/>
  <c r="F27" i="1"/>
  <c r="E27" i="1"/>
  <c r="F26" i="1"/>
  <c r="E26" i="1"/>
  <c r="F25" i="1"/>
  <c r="E25" i="1"/>
  <c r="F24" i="1"/>
  <c r="E24" i="1"/>
  <c r="F23" i="1"/>
  <c r="E23" i="1"/>
  <c r="F22" i="1"/>
  <c r="E22" i="1"/>
  <c r="F21" i="1"/>
  <c r="E21" i="1"/>
  <c r="F20" i="1"/>
  <c r="E20" i="1"/>
  <c r="F19" i="1"/>
  <c r="E19" i="1"/>
  <c r="F18" i="1"/>
  <c r="E18" i="1"/>
  <c r="F17" i="1"/>
  <c r="E17" i="1"/>
  <c r="F16" i="1"/>
  <c r="E16" i="1"/>
  <c r="F15" i="1"/>
  <c r="E15" i="1"/>
  <c r="F14" i="1"/>
  <c r="E14" i="1"/>
  <c r="F13" i="1"/>
  <c r="E13" i="1"/>
  <c r="F12" i="1"/>
  <c r="E12" i="1"/>
  <c r="F11" i="1"/>
  <c r="E11" i="1"/>
  <c r="F10" i="1"/>
  <c r="E10" i="1"/>
  <c r="F9" i="1"/>
  <c r="F8" i="1"/>
  <c r="B500" i="2" s="1"/>
  <c r="F7" i="1"/>
  <c r="B499" i="2" s="1"/>
  <c r="F6" i="1"/>
  <c r="B494" i="2" s="1"/>
  <c r="F5" i="1"/>
  <c r="B493" i="2" s="1"/>
  <c r="F4" i="1"/>
  <c r="B492" i="2" s="1"/>
  <c r="F3" i="1"/>
  <c r="E3" i="1"/>
  <c r="F2" i="1"/>
  <c r="E2" i="1"/>
  <c r="F1" i="1"/>
  <c r="E1" i="1"/>
  <c r="D233" i="5" l="1"/>
  <c r="E233" i="5" s="1"/>
  <c r="G233" i="5" s="1"/>
  <c r="AU1652" i="2"/>
  <c r="AV1652" i="2"/>
  <c r="D147" i="5"/>
  <c r="H147" i="5" s="1"/>
  <c r="J147" i="5" s="1"/>
  <c r="AV1679" i="2"/>
  <c r="AU1679" i="2"/>
  <c r="D194" i="5"/>
  <c r="H194" i="5" s="1"/>
  <c r="J194" i="5" s="1"/>
  <c r="AV1689" i="2"/>
  <c r="AU1689" i="2"/>
  <c r="D239" i="5"/>
  <c r="H239" i="5" s="1"/>
  <c r="J239" i="5" s="1"/>
  <c r="AU1720" i="2"/>
  <c r="AV1720" i="2"/>
  <c r="AV1821" i="2"/>
  <c r="AU1821" i="2"/>
  <c r="D190" i="5"/>
  <c r="H190" i="5" s="1"/>
  <c r="J190" i="5" s="1"/>
  <c r="AV1685" i="2"/>
  <c r="AU1685" i="2"/>
  <c r="D161" i="5"/>
  <c r="H161" i="5" s="1"/>
  <c r="J161" i="5" s="1"/>
  <c r="AU1682" i="2"/>
  <c r="AV1682" i="2"/>
  <c r="AU1012" i="2"/>
  <c r="AV1012" i="2"/>
  <c r="D235" i="5"/>
  <c r="H235" i="5" s="1"/>
  <c r="J235" i="5" s="1"/>
  <c r="AU1654" i="2"/>
  <c r="AV1654" i="2"/>
  <c r="D193" i="5"/>
  <c r="H193" i="5" s="1"/>
  <c r="J193" i="5" s="1"/>
  <c r="AU1688" i="2"/>
  <c r="AV1688" i="2"/>
  <c r="D234" i="5"/>
  <c r="H234" i="5" s="1"/>
  <c r="J234" i="5" s="1"/>
  <c r="AV1653" i="2"/>
  <c r="AU1653" i="2"/>
  <c r="D160" i="5"/>
  <c r="E160" i="5" s="1"/>
  <c r="G160" i="5" s="1"/>
  <c r="AV1681" i="2"/>
  <c r="AU1681" i="2"/>
  <c r="D191" i="5"/>
  <c r="H191" i="5" s="1"/>
  <c r="J191" i="5" s="1"/>
  <c r="AU1686" i="2"/>
  <c r="AV1686" i="2"/>
  <c r="D236" i="5"/>
  <c r="E236" i="5" s="1"/>
  <c r="G236" i="5" s="1"/>
  <c r="AU1692" i="2"/>
  <c r="AV1692" i="2"/>
  <c r="J4" i="6"/>
  <c r="K4" i="6" s="1"/>
  <c r="B1966" i="2"/>
  <c r="B1840" i="2"/>
  <c r="B2009" i="2"/>
  <c r="B2008" i="2"/>
  <c r="J7" i="6"/>
  <c r="K7" i="6" s="1"/>
  <c r="B2006" i="2"/>
  <c r="B2002" i="2"/>
  <c r="B2005" i="2"/>
  <c r="B1981" i="2"/>
  <c r="B13" i="2"/>
  <c r="AP1698" i="2"/>
  <c r="AR1778" i="2"/>
  <c r="AR1792" i="2"/>
  <c r="AR1818" i="2"/>
  <c r="AR1848" i="2"/>
  <c r="AR1928" i="2"/>
  <c r="AR1839" i="2"/>
  <c r="AR1663" i="2"/>
  <c r="AR1825" i="2"/>
  <c r="BO1870" i="2"/>
  <c r="AR1917" i="2"/>
  <c r="AR1923" i="2"/>
  <c r="AP1696" i="2"/>
  <c r="AR1735" i="2"/>
  <c r="AR1783" i="2"/>
  <c r="AR1845" i="2"/>
  <c r="AR1906" i="2"/>
  <c r="AR1909" i="2"/>
  <c r="AP1926" i="2"/>
  <c r="AP1699" i="2"/>
  <c r="AR1819" i="2"/>
  <c r="AR1871" i="2"/>
  <c r="AR1874" i="2"/>
  <c r="AR1904" i="2"/>
  <c r="AR1777" i="2"/>
  <c r="AR1927" i="2"/>
  <c r="AP1820" i="2"/>
  <c r="AR1841" i="2"/>
  <c r="AP1872" i="2"/>
  <c r="AR1916" i="2"/>
  <c r="AR1929" i="2"/>
  <c r="AP1782" i="2"/>
  <c r="AR1869" i="2"/>
  <c r="AR1905" i="2"/>
  <c r="AR1908" i="2"/>
  <c r="B1837" i="2"/>
  <c r="B1967" i="2"/>
  <c r="B1979" i="2"/>
  <c r="B1977" i="2"/>
  <c r="B1876" i="2"/>
  <c r="B1978" i="2"/>
  <c r="B1972" i="2"/>
  <c r="B1980" i="2"/>
  <c r="B1971" i="2"/>
  <c r="B1965" i="2"/>
  <c r="B1843" i="2"/>
  <c r="B1954" i="2"/>
  <c r="B1956" i="2"/>
  <c r="B1919" i="2"/>
  <c r="B1920" i="2"/>
  <c r="B1921" i="2"/>
  <c r="B1955" i="2"/>
  <c r="B1947" i="2"/>
  <c r="B1944" i="2"/>
  <c r="B1941" i="2"/>
  <c r="B1949" i="2"/>
  <c r="B1940" i="2"/>
  <c r="B1946" i="2"/>
  <c r="B1939" i="2"/>
  <c r="B1943" i="2"/>
  <c r="B1938" i="2"/>
  <c r="B1948" i="2"/>
  <c r="B1936" i="2"/>
  <c r="B1945" i="2"/>
  <c r="B1935" i="2"/>
  <c r="B1950" i="2"/>
  <c r="B1953" i="2"/>
  <c r="B1934" i="2"/>
  <c r="B206" i="2"/>
  <c r="B417" i="2"/>
  <c r="B1952" i="2"/>
  <c r="B1776" i="2"/>
  <c r="AR1891" i="2"/>
  <c r="B497" i="2"/>
  <c r="B487" i="2"/>
  <c r="B203" i="2"/>
  <c r="B416" i="2"/>
  <c r="B88" i="2"/>
  <c r="B241" i="2"/>
  <c r="B483" i="2"/>
  <c r="B641" i="2"/>
  <c r="B550" i="2"/>
  <c r="B361" i="2"/>
  <c r="B408" i="2"/>
  <c r="B187" i="2"/>
  <c r="B390" i="2"/>
  <c r="B302" i="2"/>
  <c r="B293" i="2"/>
  <c r="B36" i="2"/>
  <c r="B707" i="2"/>
  <c r="B53" i="2"/>
  <c r="B86" i="2"/>
  <c r="B202" i="2"/>
  <c r="B593" i="2"/>
  <c r="B10" i="2"/>
  <c r="B21" i="2"/>
  <c r="B110" i="2"/>
  <c r="B553" i="2"/>
  <c r="B537" i="2"/>
  <c r="B131" i="2"/>
  <c r="B558" i="2"/>
  <c r="B415" i="2"/>
  <c r="B351" i="2"/>
  <c r="B70" i="2"/>
  <c r="B574" i="2"/>
  <c r="B577" i="2"/>
  <c r="B1309" i="2"/>
  <c r="B495" i="2"/>
  <c r="B443" i="2"/>
  <c r="B317" i="2"/>
  <c r="B481" i="2"/>
  <c r="B489" i="2"/>
  <c r="B322" i="2"/>
  <c r="B105" i="2"/>
  <c r="B469" i="2"/>
  <c r="B43" i="2"/>
  <c r="B349" i="2"/>
  <c r="B539" i="2"/>
  <c r="B51" i="2"/>
  <c r="B31" i="2"/>
  <c r="B8" i="2"/>
  <c r="B1933" i="2"/>
  <c r="B1932" i="2"/>
  <c r="B304" i="2"/>
  <c r="B224" i="2"/>
  <c r="B1883" i="2"/>
  <c r="B1884" i="2"/>
  <c r="B35" i="2"/>
  <c r="B27" i="2"/>
  <c r="B336" i="2"/>
  <c r="X11" i="5"/>
  <c r="X10" i="5"/>
  <c r="X9" i="5"/>
  <c r="H322" i="5"/>
  <c r="J322" i="5" s="1"/>
  <c r="K322" i="5"/>
  <c r="M322" i="5" s="1"/>
  <c r="AP1818" i="2"/>
  <c r="AP1907" i="2"/>
  <c r="AR1870" i="2"/>
  <c r="AP1819" i="2"/>
  <c r="AP1871" i="2"/>
  <c r="AP1930" i="2"/>
  <c r="AR1873" i="2"/>
  <c r="AP1923" i="2"/>
  <c r="AP1900" i="2"/>
  <c r="AP1905" i="2"/>
  <c r="AP1916" i="2"/>
  <c r="E115" i="5"/>
  <c r="G115" i="5" s="1"/>
  <c r="AP1783" i="2"/>
  <c r="E250" i="5"/>
  <c r="G250" i="5" s="1"/>
  <c r="H46" i="5"/>
  <c r="J46" i="5" s="1"/>
  <c r="AP1874" i="2"/>
  <c r="AP1909" i="2"/>
  <c r="AP1918" i="2"/>
  <c r="AP1848" i="2"/>
  <c r="AP1901" i="2"/>
  <c r="AP1925" i="2"/>
  <c r="AS1925" i="2" s="1"/>
  <c r="E264" i="5"/>
  <c r="G264" i="5" s="1"/>
  <c r="AP1825" i="2"/>
  <c r="AP1465" i="2"/>
  <c r="AP1781" i="2"/>
  <c r="AP1903" i="2"/>
  <c r="H29" i="5"/>
  <c r="J29" i="5" s="1"/>
  <c r="B1358" i="2"/>
  <c r="B1614" i="2"/>
  <c r="B611" i="2"/>
  <c r="B541" i="2"/>
  <c r="B923" i="2"/>
  <c r="B762" i="2"/>
  <c r="B72" i="2"/>
  <c r="B107" i="2"/>
  <c r="B125" i="2"/>
  <c r="B215" i="2"/>
  <c r="B347" i="2"/>
  <c r="B359" i="2"/>
  <c r="B805" i="2"/>
  <c r="B397" i="2"/>
  <c r="B12" i="2"/>
  <c r="B622" i="2"/>
  <c r="B729" i="2"/>
  <c r="B272" i="2"/>
  <c r="B111" i="2"/>
  <c r="B555" i="2"/>
  <c r="B91" i="2"/>
  <c r="B92" i="2"/>
  <c r="B811" i="2"/>
  <c r="B298" i="2"/>
  <c r="B318" i="2"/>
  <c r="B132" i="2"/>
  <c r="B482" i="2"/>
  <c r="B486" i="2"/>
  <c r="B221" i="2"/>
  <c r="B222" i="2"/>
  <c r="B1226" i="2"/>
  <c r="B1076" i="2"/>
  <c r="B1073" i="2"/>
  <c r="B1074" i="2"/>
  <c r="B1077" i="2"/>
  <c r="B1075" i="2"/>
  <c r="B1406" i="2"/>
  <c r="B937" i="2"/>
  <c r="B939" i="2"/>
  <c r="B938" i="2"/>
  <c r="B380" i="2"/>
  <c r="B378" i="2"/>
  <c r="B1434" i="2"/>
  <c r="B470" i="2"/>
  <c r="B1715" i="2"/>
  <c r="B1398" i="2"/>
  <c r="B1349" i="2"/>
  <c r="B1396" i="2"/>
  <c r="B1347" i="2"/>
  <c r="B1297" i="2"/>
  <c r="B1246" i="2"/>
  <c r="B1812" i="2"/>
  <c r="B1716" i="2"/>
  <c r="B1539" i="2"/>
  <c r="B1243" i="2"/>
  <c r="B1190" i="2"/>
  <c r="B1581" i="2"/>
  <c r="B1579" i="2"/>
  <c r="B1481" i="2"/>
  <c r="B1480" i="2"/>
  <c r="B1813" i="2"/>
  <c r="B1399" i="2"/>
  <c r="B1350" i="2"/>
  <c r="B1245" i="2"/>
  <c r="B1918" i="2"/>
  <c r="B1538" i="2"/>
  <c r="B1397" i="2"/>
  <c r="B1348" i="2"/>
  <c r="B1714" i="2"/>
  <c r="B1580" i="2"/>
  <c r="B1479" i="2"/>
  <c r="B1244" i="2"/>
  <c r="B1186" i="2"/>
  <c r="B1187" i="2"/>
  <c r="B838" i="2"/>
  <c r="B764" i="2"/>
  <c r="B588" i="2"/>
  <c r="B507" i="2"/>
  <c r="B505" i="2"/>
  <c r="B1189" i="2"/>
  <c r="B880" i="2"/>
  <c r="B835" i="2"/>
  <c r="B830" i="2"/>
  <c r="B743" i="2"/>
  <c r="B665" i="2"/>
  <c r="B1055" i="2"/>
  <c r="B975" i="2"/>
  <c r="B745" i="2"/>
  <c r="B663" i="2"/>
  <c r="B1057" i="2"/>
  <c r="B837" i="2"/>
  <c r="B828" i="2"/>
  <c r="B765" i="2"/>
  <c r="B615" i="2"/>
  <c r="B587" i="2"/>
  <c r="B1188" i="2"/>
  <c r="B977" i="2"/>
  <c r="B879" i="2"/>
  <c r="B763" i="2"/>
  <c r="B742" i="2"/>
  <c r="B666" i="2"/>
  <c r="B1054" i="2"/>
  <c r="B974" i="2"/>
  <c r="B839" i="2"/>
  <c r="B744" i="2"/>
  <c r="B612" i="2"/>
  <c r="B589" i="2"/>
  <c r="B542" i="2"/>
  <c r="B1056" i="2"/>
  <c r="B881" i="2"/>
  <c r="B836" i="2"/>
  <c r="B829" i="2"/>
  <c r="B976" i="2"/>
  <c r="B827" i="2"/>
  <c r="B766" i="2"/>
  <c r="B746" i="2"/>
  <c r="B741" i="2"/>
  <c r="B667" i="2"/>
  <c r="B664" i="2"/>
  <c r="B614" i="2"/>
  <c r="B586" i="2"/>
  <c r="B544" i="2"/>
  <c r="B432" i="2"/>
  <c r="B175" i="2"/>
  <c r="B25" i="2"/>
  <c r="B23" i="2"/>
  <c r="B504" i="2"/>
  <c r="B275" i="2"/>
  <c r="B273" i="2"/>
  <c r="B173" i="2"/>
  <c r="B613" i="2"/>
  <c r="B506" i="2"/>
  <c r="B475" i="2"/>
  <c r="B473" i="2"/>
  <c r="B433" i="2"/>
  <c r="B366" i="2"/>
  <c r="B364" i="2"/>
  <c r="B354" i="2"/>
  <c r="B207" i="2"/>
  <c r="B205" i="2"/>
  <c r="B58" i="2"/>
  <c r="B56" i="2"/>
  <c r="B54" i="2"/>
  <c r="B591" i="2"/>
  <c r="B543" i="2"/>
  <c r="B508" i="2"/>
  <c r="B176" i="2"/>
  <c r="B26" i="2"/>
  <c r="B24" i="2"/>
  <c r="B22" i="2"/>
  <c r="B434" i="2"/>
  <c r="B355" i="2"/>
  <c r="B276" i="2"/>
  <c r="B274" i="2"/>
  <c r="B174" i="2"/>
  <c r="B914" i="2"/>
  <c r="B802" i="2"/>
  <c r="B575" i="2"/>
  <c r="B9" i="2"/>
  <c r="B204" i="2"/>
  <c r="B381" i="2"/>
  <c r="B480" i="2"/>
  <c r="B399" i="2"/>
  <c r="B130" i="2"/>
  <c r="B496" i="2"/>
  <c r="B1899" i="2"/>
  <c r="B1689" i="2"/>
  <c r="B1685" i="2"/>
  <c r="B1678" i="2"/>
  <c r="B1264" i="2"/>
  <c r="B1254" i="2"/>
  <c r="B1834" i="2"/>
  <c r="B1682" i="2"/>
  <c r="B1674" i="2"/>
  <c r="B1589" i="2"/>
  <c r="B1571" i="2"/>
  <c r="B1492" i="2"/>
  <c r="B1390" i="2"/>
  <c r="B1261" i="2"/>
  <c r="B1223" i="2"/>
  <c r="B1880" i="2"/>
  <c r="B1690" i="2"/>
  <c r="B1686" i="2"/>
  <c r="B1679" i="2"/>
  <c r="B1675" i="2"/>
  <c r="B1578" i="2"/>
  <c r="B1529" i="2"/>
  <c r="B1395" i="2"/>
  <c r="B1392" i="2"/>
  <c r="B1266" i="2"/>
  <c r="B1162" i="2"/>
  <c r="B1693" i="2"/>
  <c r="B1683" i="2"/>
  <c r="B1590" i="2"/>
  <c r="B1570" i="2"/>
  <c r="B1394" i="2"/>
  <c r="B1263" i="2"/>
  <c r="B1897" i="2"/>
  <c r="B1881" i="2"/>
  <c r="B1835" i="2"/>
  <c r="B1691" i="2"/>
  <c r="B1687" i="2"/>
  <c r="B1680" i="2"/>
  <c r="B1676" i="2"/>
  <c r="B1573" i="2"/>
  <c r="B1389" i="2"/>
  <c r="B1222" i="2"/>
  <c r="B1832" i="2"/>
  <c r="B1699" i="2"/>
  <c r="B1684" i="2"/>
  <c r="B1677" i="2"/>
  <c r="B1643" i="2"/>
  <c r="B1591" i="2"/>
  <c r="B1588" i="2"/>
  <c r="B1528" i="2"/>
  <c r="B1391" i="2"/>
  <c r="B1265" i="2"/>
  <c r="B1898" i="2"/>
  <c r="B1882" i="2"/>
  <c r="B1688" i="2"/>
  <c r="B1642" i="2"/>
  <c r="B1569" i="2"/>
  <c r="B1262" i="2"/>
  <c r="B1256" i="2"/>
  <c r="B1224" i="2"/>
  <c r="B1896" i="2"/>
  <c r="B1885" i="2"/>
  <c r="B1833" i="2"/>
  <c r="B1694" i="2"/>
  <c r="B1692" i="2"/>
  <c r="B1681" i="2"/>
  <c r="B1574" i="2"/>
  <c r="B1572" i="2"/>
  <c r="B1393" i="2"/>
  <c r="B1267" i="2"/>
  <c r="B1255" i="2"/>
  <c r="B1163" i="2"/>
  <c r="B820" i="2"/>
  <c r="B1164" i="2"/>
  <c r="B1103" i="2"/>
  <c r="B818" i="2"/>
  <c r="B661" i="2"/>
  <c r="B1014" i="2"/>
  <c r="B943" i="2"/>
  <c r="B985" i="2"/>
  <c r="B819" i="2"/>
  <c r="B821" i="2"/>
  <c r="B662" i="2"/>
  <c r="B660" i="2"/>
  <c r="B1015" i="2"/>
  <c r="B817" i="2"/>
  <c r="B1035" i="2"/>
  <c r="B942" i="2"/>
  <c r="B940" i="2"/>
  <c r="B457" i="2"/>
  <c r="B455" i="2"/>
  <c r="B376" i="2"/>
  <c r="B217" i="2"/>
  <c r="B568" i="2"/>
  <c r="B373" i="2"/>
  <c r="B284" i="2"/>
  <c r="B262" i="2"/>
  <c r="B253" i="2"/>
  <c r="B214" i="2"/>
  <c r="B585" i="2"/>
  <c r="B471" i="2"/>
  <c r="B375" i="2"/>
  <c r="B286" i="2"/>
  <c r="B135" i="2"/>
  <c r="B456" i="2"/>
  <c r="B377" i="2"/>
  <c r="B288" i="2"/>
  <c r="B225" i="2"/>
  <c r="B216" i="2"/>
  <c r="B569" i="2"/>
  <c r="B283" i="2"/>
  <c r="B218" i="2"/>
  <c r="B213" i="2"/>
  <c r="B462" i="2"/>
  <c r="B398" i="2"/>
  <c r="B372" i="2"/>
  <c r="B285" i="2"/>
  <c r="B263" i="2"/>
  <c r="B1811" i="2"/>
  <c r="B1433" i="2"/>
  <c r="B889" i="2"/>
  <c r="B659" i="2"/>
  <c r="B337" i="2"/>
  <c r="B19" i="2"/>
  <c r="B379" i="2"/>
  <c r="B478" i="2"/>
  <c r="B1316" i="2"/>
  <c r="B1891" i="2"/>
  <c r="B1712" i="2"/>
  <c r="B1365" i="2"/>
  <c r="B1889" i="2"/>
  <c r="B1363" i="2"/>
  <c r="B1713" i="2"/>
  <c r="B1890" i="2"/>
  <c r="B1711" i="2"/>
  <c r="B1366" i="2"/>
  <c r="B1364" i="2"/>
  <c r="B1362" i="2"/>
  <c r="B898" i="2"/>
  <c r="B680" i="2"/>
  <c r="B895" i="2"/>
  <c r="B682" i="2"/>
  <c r="B897" i="2"/>
  <c r="B679" i="2"/>
  <c r="B681" i="2"/>
  <c r="B896" i="2"/>
  <c r="B683" i="2"/>
  <c r="B338" i="2"/>
  <c r="B387" i="2"/>
  <c r="B184" i="2"/>
  <c r="B29" i="2"/>
  <c r="B341" i="2"/>
  <c r="B182" i="2"/>
  <c r="B339" i="2"/>
  <c r="B30" i="2"/>
  <c r="B28" i="2"/>
  <c r="B183" i="2"/>
  <c r="B858" i="2"/>
  <c r="B865" i="2"/>
  <c r="B658" i="2"/>
  <c r="B653" i="2"/>
  <c r="B393" i="2"/>
  <c r="B527" i="2"/>
  <c r="B394" i="2"/>
  <c r="B1910" i="2"/>
  <c r="B1893" i="2"/>
  <c r="B1372" i="2"/>
  <c r="B1537" i="2"/>
  <c r="B1535" i="2"/>
  <c r="B1299" i="2"/>
  <c r="B1374" i="2"/>
  <c r="B1371" i="2"/>
  <c r="B1892" i="2"/>
  <c r="B1536" i="2"/>
  <c r="B1373" i="2"/>
  <c r="B1298" i="2"/>
  <c r="B1370" i="2"/>
  <c r="B1300" i="2"/>
  <c r="B1058" i="2"/>
  <c r="B775" i="2"/>
  <c r="B1053" i="2"/>
  <c r="B677" i="2"/>
  <c r="B1051" i="2"/>
  <c r="B674" i="2"/>
  <c r="B857" i="2"/>
  <c r="B855" i="2"/>
  <c r="B776" i="2"/>
  <c r="B774" i="2"/>
  <c r="B676" i="2"/>
  <c r="B1052" i="2"/>
  <c r="B1050" i="2"/>
  <c r="B856" i="2"/>
  <c r="B777" i="2"/>
  <c r="B675" i="2"/>
  <c r="B177" i="2"/>
  <c r="B678" i="2"/>
  <c r="B421" i="2"/>
  <c r="B343" i="2"/>
  <c r="B5" i="2"/>
  <c r="B180" i="2"/>
  <c r="B3" i="2"/>
  <c r="B178" i="2"/>
  <c r="B422" i="2"/>
  <c r="B344" i="2"/>
  <c r="B6" i="2"/>
  <c r="B1435" i="2"/>
  <c r="B1436" i="2"/>
  <c r="B863" i="2"/>
  <c r="B620" i="2"/>
  <c r="B1473" i="2"/>
  <c r="B1356" i="2"/>
  <c r="B1471" i="2"/>
  <c r="B1132" i="2"/>
  <c r="B1357" i="2"/>
  <c r="B1607" i="2"/>
  <c r="B1472" i="2"/>
  <c r="B1649" i="2"/>
  <c r="B1540" i="2"/>
  <c r="B1133" i="2"/>
  <c r="B1130" i="2"/>
  <c r="B1042" i="2"/>
  <c r="B874" i="2"/>
  <c r="B694" i="2"/>
  <c r="B596" i="2"/>
  <c r="B773" i="2"/>
  <c r="B1170" i="2"/>
  <c r="B1168" i="2"/>
  <c r="B1044" i="2"/>
  <c r="B871" i="2"/>
  <c r="B771" i="2"/>
  <c r="B1129" i="2"/>
  <c r="B1041" i="2"/>
  <c r="B970" i="2"/>
  <c r="B873" i="2"/>
  <c r="B869" i="2"/>
  <c r="B691" i="2"/>
  <c r="B595" i="2"/>
  <c r="B693" i="2"/>
  <c r="B1131" i="2"/>
  <c r="B1043" i="2"/>
  <c r="B597" i="2"/>
  <c r="B1171" i="2"/>
  <c r="B1169" i="2"/>
  <c r="B1167" i="2"/>
  <c r="B772" i="2"/>
  <c r="B872" i="2"/>
  <c r="B870" i="2"/>
  <c r="B692" i="2"/>
  <c r="B451" i="2"/>
  <c r="B198" i="2"/>
  <c r="B143" i="2"/>
  <c r="B330" i="2"/>
  <c r="B328" i="2"/>
  <c r="B196" i="2"/>
  <c r="B66" i="2"/>
  <c r="B405" i="2"/>
  <c r="B64" i="2"/>
  <c r="B598" i="2"/>
  <c r="B146" i="2"/>
  <c r="B690" i="2"/>
  <c r="B450" i="2"/>
  <c r="B199" i="2"/>
  <c r="B144" i="2"/>
  <c r="B331" i="2"/>
  <c r="B329" i="2"/>
  <c r="B197" i="2"/>
  <c r="B67" i="2"/>
  <c r="B65" i="2"/>
  <c r="B406" i="2"/>
  <c r="B404" i="2"/>
  <c r="B147" i="2"/>
  <c r="B63" i="2"/>
  <c r="B395" i="2"/>
  <c r="B396" i="2"/>
  <c r="B1034" i="2"/>
  <c r="B962" i="2"/>
  <c r="B884" i="2"/>
  <c r="B875" i="2"/>
  <c r="B571" i="2"/>
  <c r="B961" i="2"/>
  <c r="B444" i="2"/>
  <c r="B572" i="2"/>
  <c r="B250" i="2"/>
  <c r="B701" i="2"/>
  <c r="B737" i="2"/>
  <c r="B778" i="2"/>
  <c r="B700" i="2"/>
  <c r="B442" i="2"/>
  <c r="B736" i="2"/>
  <c r="B779" i="2"/>
  <c r="B385" i="2"/>
  <c r="B238" i="2"/>
  <c r="B194" i="2"/>
  <c r="B124" i="2"/>
  <c r="B249" i="2"/>
  <c r="B243" i="2"/>
  <c r="B127" i="2"/>
  <c r="B389" i="2"/>
  <c r="B81" i="2"/>
  <c r="B79" i="2"/>
  <c r="B441" i="2"/>
  <c r="B237" i="2"/>
  <c r="B242" i="2"/>
  <c r="B195" i="2"/>
  <c r="B126" i="2"/>
  <c r="B388" i="2"/>
  <c r="B386" i="2"/>
  <c r="B244" i="2"/>
  <c r="B185" i="2"/>
  <c r="B123" i="2"/>
  <c r="B82" i="2"/>
  <c r="B80" i="2"/>
  <c r="B122" i="2"/>
  <c r="B148" i="2"/>
  <c r="B157" i="2"/>
  <c r="B463" i="2"/>
  <c r="B101" i="2"/>
  <c r="B102" i="2"/>
  <c r="B112" i="2"/>
  <c r="B160" i="2"/>
  <c r="B540" i="2"/>
  <c r="B133" i="2"/>
  <c r="B17" i="2"/>
  <c r="B59" i="2"/>
  <c r="B200" i="2"/>
  <c r="B256" i="2"/>
  <c r="B265" i="2"/>
  <c r="B445" i="2"/>
  <c r="B464" i="2"/>
  <c r="B476" i="2"/>
  <c r="B528" i="2"/>
  <c r="B15" i="2"/>
  <c r="B57" i="2"/>
  <c r="B181" i="2"/>
  <c r="B254" i="2"/>
  <c r="B342" i="2"/>
  <c r="B367" i="2"/>
  <c r="B474" i="2"/>
  <c r="B590" i="2"/>
  <c r="B1836" i="2"/>
  <c r="B1664" i="2"/>
  <c r="B1662" i="2"/>
  <c r="B1597" i="2"/>
  <c r="B1323" i="2"/>
  <c r="B1828" i="2"/>
  <c r="B1593" i="2"/>
  <c r="B1561" i="2"/>
  <c r="B1429" i="2"/>
  <c r="B1427" i="2"/>
  <c r="B1331" i="2"/>
  <c r="B1744" i="2"/>
  <c r="B1640" i="2"/>
  <c r="B1565" i="2"/>
  <c r="B1369" i="2"/>
  <c r="B1329" i="2"/>
  <c r="B1327" i="2"/>
  <c r="B1325" i="2"/>
  <c r="B1641" i="2"/>
  <c r="B1594" i="2"/>
  <c r="B1564" i="2"/>
  <c r="B1567" i="2"/>
  <c r="B1563" i="2"/>
  <c r="B1322" i="2"/>
  <c r="B1829" i="2"/>
  <c r="B1827" i="2"/>
  <c r="B1595" i="2"/>
  <c r="B1566" i="2"/>
  <c r="B1562" i="2"/>
  <c r="B1560" i="2"/>
  <c r="B1466" i="2"/>
  <c r="B1465" i="2"/>
  <c r="B1428" i="2"/>
  <c r="B1332" i="2"/>
  <c r="B1592" i="2"/>
  <c r="B1368" i="2"/>
  <c r="B1330" i="2"/>
  <c r="B1328" i="2"/>
  <c r="B1326" i="2"/>
  <c r="B1665" i="2"/>
  <c r="B1663" i="2"/>
  <c r="B1596" i="2"/>
  <c r="B1568" i="2"/>
  <c r="B1324" i="2"/>
  <c r="B1249" i="2"/>
  <c r="B1097" i="2"/>
  <c r="B1087" i="2"/>
  <c r="B1080" i="2"/>
  <c r="B1027" i="2"/>
  <c r="B1025" i="2"/>
  <c r="B986" i="2"/>
  <c r="B922" i="2"/>
  <c r="B814" i="2"/>
  <c r="B781" i="2"/>
  <c r="B717" i="2"/>
  <c r="B513" i="2"/>
  <c r="B511" i="2"/>
  <c r="B1096" i="2"/>
  <c r="B1092" i="2"/>
  <c r="B1095" i="2"/>
  <c r="B1091" i="2"/>
  <c r="B1089" i="2"/>
  <c r="B956" i="2"/>
  <c r="B812" i="2"/>
  <c r="B719" i="2"/>
  <c r="B1094" i="2"/>
  <c r="B1079" i="2"/>
  <c r="B1062" i="2"/>
  <c r="B1024" i="2"/>
  <c r="B987" i="2"/>
  <c r="B815" i="2"/>
  <c r="B780" i="2"/>
  <c r="B608" i="2"/>
  <c r="B1093" i="2"/>
  <c r="B1081" i="2"/>
  <c r="B1026" i="2"/>
  <c r="B921" i="2"/>
  <c r="B604" i="2"/>
  <c r="B602" i="2"/>
  <c r="B1088" i="2"/>
  <c r="B955" i="2"/>
  <c r="B813" i="2"/>
  <c r="B718" i="2"/>
  <c r="B461" i="2"/>
  <c r="B1090" i="2"/>
  <c r="B1078" i="2"/>
  <c r="B957" i="2"/>
  <c r="B1061" i="2"/>
  <c r="B720" i="2"/>
  <c r="B459" i="2"/>
  <c r="B369" i="2"/>
  <c r="B313" i="2"/>
  <c r="B371" i="2"/>
  <c r="B291" i="2"/>
  <c r="B189" i="2"/>
  <c r="B118" i="2"/>
  <c r="B116" i="2"/>
  <c r="B77" i="2"/>
  <c r="B412" i="2"/>
  <c r="B186" i="2"/>
  <c r="B83" i="2"/>
  <c r="B73" i="2"/>
  <c r="B47" i="2"/>
  <c r="B368" i="2"/>
  <c r="B312" i="2"/>
  <c r="B191" i="2"/>
  <c r="B607" i="2"/>
  <c r="B605" i="2"/>
  <c r="B370" i="2"/>
  <c r="B188" i="2"/>
  <c r="B603" i="2"/>
  <c r="B460" i="2"/>
  <c r="B314" i="2"/>
  <c r="B119" i="2"/>
  <c r="B117" i="2"/>
  <c r="B78" i="2"/>
  <c r="B512" i="2"/>
  <c r="B413" i="2"/>
  <c r="B292" i="2"/>
  <c r="B190" i="2"/>
  <c r="B84" i="2"/>
  <c r="B48" i="2"/>
  <c r="B1343" i="2"/>
  <c r="B1317" i="2"/>
  <c r="B509" i="2"/>
  <c r="B1218" i="2"/>
  <c r="B570" i="2"/>
  <c r="B411" i="2"/>
  <c r="B864" i="2"/>
  <c r="B1474" i="2"/>
  <c r="B735" i="2"/>
  <c r="B732" i="2"/>
  <c r="B734" i="2"/>
  <c r="B733" i="2"/>
  <c r="B449" i="2"/>
  <c r="B447" i="2"/>
  <c r="B300" i="2"/>
  <c r="B97" i="2"/>
  <c r="B303" i="2"/>
  <c r="B448" i="2"/>
  <c r="B446" i="2"/>
  <c r="B301" i="2"/>
  <c r="B98" i="2"/>
  <c r="B1147" i="2"/>
  <c r="B1489" i="2"/>
  <c r="B1490" i="2"/>
  <c r="B971" i="2"/>
  <c r="B1146" i="2"/>
  <c r="B972" i="2"/>
  <c r="B491" i="2"/>
  <c r="B252" i="2"/>
  <c r="B251" i="2"/>
  <c r="B99" i="2"/>
  <c r="B100" i="2"/>
  <c r="B109" i="2"/>
  <c r="B158" i="2"/>
  <c r="B212" i="2"/>
  <c r="B551" i="2"/>
  <c r="B1725" i="2"/>
  <c r="B1726" i="2"/>
  <c r="B410" i="2"/>
  <c r="B152" i="2"/>
  <c r="B150" i="2"/>
  <c r="B407" i="2"/>
  <c r="B409" i="2"/>
  <c r="B151" i="2"/>
  <c r="B149" i="2"/>
  <c r="B498" i="2"/>
  <c r="B1916" i="2"/>
  <c r="B1917" i="2"/>
  <c r="B1721" i="2"/>
  <c r="B709" i="2"/>
  <c r="B711" i="2"/>
  <c r="B584" i="2"/>
  <c r="B712" i="2"/>
  <c r="B710" i="2"/>
  <c r="B561" i="2"/>
  <c r="B315" i="2"/>
  <c r="B108" i="2"/>
  <c r="B39" i="2"/>
  <c r="B37" i="2"/>
  <c r="B562" i="2"/>
  <c r="B316" i="2"/>
  <c r="B40" i="2"/>
  <c r="B38" i="2"/>
  <c r="B484" i="2"/>
  <c r="B488" i="2"/>
  <c r="B326" i="2"/>
  <c r="B566" i="2"/>
  <c r="B510" i="2"/>
  <c r="B490" i="2"/>
  <c r="B4" i="2"/>
  <c r="B55" i="2"/>
  <c r="B179" i="2"/>
  <c r="B340" i="2"/>
  <c r="B353" i="2"/>
  <c r="B365" i="2"/>
  <c r="B472" i="2"/>
  <c r="B2" i="2"/>
  <c r="B136" i="2"/>
  <c r="B145" i="2"/>
  <c r="B287" i="2"/>
  <c r="B363" i="2"/>
  <c r="B374" i="2"/>
  <c r="B606" i="2"/>
  <c r="B621" i="2"/>
  <c r="B1598" i="2"/>
  <c r="B1253" i="2"/>
  <c r="B1722" i="2"/>
  <c r="B1839" i="2"/>
  <c r="B1660" i="2"/>
  <c r="B1599" i="2"/>
  <c r="B1268" i="2"/>
  <c r="B1260" i="2"/>
  <c r="B1143" i="2"/>
  <c r="B1841" i="2"/>
  <c r="B1259" i="2"/>
  <c r="B949" i="2"/>
  <c r="B909" i="2"/>
  <c r="B996" i="2"/>
  <c r="B807" i="2"/>
  <c r="B740" i="2"/>
  <c r="B704" i="2"/>
  <c r="B626" i="2"/>
  <c r="B1145" i="2"/>
  <c r="B1142" i="2"/>
  <c r="B1028" i="2"/>
  <c r="B995" i="2"/>
  <c r="B948" i="2"/>
  <c r="B908" i="2"/>
  <c r="B1144" i="2"/>
  <c r="B816" i="2"/>
  <c r="B806" i="2"/>
  <c r="B705" i="2"/>
  <c r="B623" i="2"/>
  <c r="B1709" i="2"/>
  <c r="B1450" i="2"/>
  <c r="B1533" i="2"/>
  <c r="B1531" i="2"/>
  <c r="B1295" i="2"/>
  <c r="B1293" i="2"/>
  <c r="B1448" i="2"/>
  <c r="B1710" i="2"/>
  <c r="B1451" i="2"/>
  <c r="B1708" i="2"/>
  <c r="B1534" i="2"/>
  <c r="B1532" i="2"/>
  <c r="B1530" i="2"/>
  <c r="B1449" i="2"/>
  <c r="B1296" i="2"/>
  <c r="B1294" i="2"/>
  <c r="B1447" i="2"/>
  <c r="B1184" i="2"/>
  <c r="B1182" i="2"/>
  <c r="B1048" i="2"/>
  <c r="B503" i="2"/>
  <c r="B501" i="2"/>
  <c r="B893" i="2"/>
  <c r="B891" i="2"/>
  <c r="B825" i="2"/>
  <c r="B822" i="2"/>
  <c r="B750" i="2"/>
  <c r="B748" i="2"/>
  <c r="B629" i="2"/>
  <c r="B1046" i="2"/>
  <c r="B834" i="2"/>
  <c r="B672" i="2"/>
  <c r="B670" i="2"/>
  <c r="B1049" i="2"/>
  <c r="B833" i="2"/>
  <c r="B668" i="2"/>
  <c r="B1181" i="2"/>
  <c r="B832" i="2"/>
  <c r="B826" i="2"/>
  <c r="B823" i="2"/>
  <c r="B747" i="2"/>
  <c r="B628" i="2"/>
  <c r="B1183" i="2"/>
  <c r="B1047" i="2"/>
  <c r="B894" i="2"/>
  <c r="B892" i="2"/>
  <c r="B890" i="2"/>
  <c r="B831" i="2"/>
  <c r="B749" i="2"/>
  <c r="B630" i="2"/>
  <c r="B549" i="2"/>
  <c r="B440" i="2"/>
  <c r="B1185" i="2"/>
  <c r="B824" i="2"/>
  <c r="B751" i="2"/>
  <c r="B1045" i="2"/>
  <c r="B632" i="2"/>
  <c r="B1601" i="2"/>
  <c r="B1432" i="2"/>
  <c r="B1307" i="2"/>
  <c r="B1838" i="2"/>
  <c r="B1431" i="2"/>
  <c r="B1900" i="2"/>
  <c r="B1455" i="2"/>
  <c r="B1901" i="2"/>
  <c r="B1387" i="2"/>
  <c r="B1252" i="2"/>
  <c r="B1600" i="2"/>
  <c r="B1430" i="2"/>
  <c r="B1346" i="2"/>
  <c r="B1321" i="2"/>
  <c r="B1308" i="2"/>
  <c r="B1454" i="2"/>
  <c r="B1558" i="2"/>
  <c r="B1388" i="2"/>
  <c r="B753" i="2"/>
  <c r="B905" i="2"/>
  <c r="B1001" i="2"/>
  <c r="B907" i="2"/>
  <c r="B1140" i="2"/>
  <c r="B1086" i="2"/>
  <c r="B761" i="2"/>
  <c r="B752" i="2"/>
  <c r="B708" i="2"/>
  <c r="B610" i="2"/>
  <c r="B904" i="2"/>
  <c r="B640" i="2"/>
  <c r="B954" i="2"/>
  <c r="B946" i="2"/>
  <c r="B906" i="2"/>
  <c r="B1085" i="2"/>
  <c r="B1002" i="2"/>
  <c r="B703" i="2"/>
  <c r="B552" i="2"/>
  <c r="B1723" i="2"/>
  <c r="B1444" i="2"/>
  <c r="B1724" i="2"/>
  <c r="B1235" i="2"/>
  <c r="B1844" i="2"/>
  <c r="B1735" i="2"/>
  <c r="B1541" i="2"/>
  <c r="B1232" i="2"/>
  <c r="B1234" i="2"/>
  <c r="B1542" i="2"/>
  <c r="B1231" i="2"/>
  <c r="B1233" i="2"/>
  <c r="B646" i="2"/>
  <c r="B535" i="2"/>
  <c r="B903" i="2"/>
  <c r="B900" i="2"/>
  <c r="B645" i="2"/>
  <c r="B643" i="2"/>
  <c r="B901" i="2"/>
  <c r="B902" i="2"/>
  <c r="B644" i="2"/>
  <c r="B485" i="2"/>
  <c r="B1497" i="2"/>
  <c r="B1494" i="2"/>
  <c r="B1495" i="2"/>
  <c r="B1915" i="2"/>
  <c r="B1755" i="2"/>
  <c r="B1496" i="2"/>
  <c r="B1493" i="2"/>
  <c r="B1153" i="2"/>
  <c r="B1155" i="2"/>
  <c r="B1154" i="2"/>
  <c r="B559" i="2"/>
  <c r="B556" i="2"/>
  <c r="B1301" i="2"/>
  <c r="B1292" i="2"/>
  <c r="B799" i="2"/>
  <c r="B800" i="2"/>
  <c r="B1815" i="2"/>
  <c r="B1409" i="2"/>
  <c r="B1400" i="2"/>
  <c r="B1377" i="2"/>
  <c r="B1241" i="2"/>
  <c r="B1926" i="2"/>
  <c r="B1907" i="2"/>
  <c r="B1904" i="2"/>
  <c r="B1408" i="2"/>
  <c r="B1175" i="2"/>
  <c r="B1816" i="2"/>
  <c r="B1517" i="2"/>
  <c r="B1407" i="2"/>
  <c r="B1908" i="2"/>
  <c r="B1477" i="2"/>
  <c r="B1475" i="2"/>
  <c r="B1376" i="2"/>
  <c r="B1240" i="2"/>
  <c r="B1927" i="2"/>
  <c r="B1905" i="2"/>
  <c r="B1519" i="2"/>
  <c r="B1912" i="2"/>
  <c r="B1655" i="2"/>
  <c r="B1478" i="2"/>
  <c r="B1242" i="2"/>
  <c r="B1928" i="2"/>
  <c r="B1909" i="2"/>
  <c r="B1906" i="2"/>
  <c r="B1814" i="2"/>
  <c r="B1239" i="2"/>
  <c r="B1925" i="2"/>
  <c r="B1518" i="2"/>
  <c r="B1476" i="2"/>
  <c r="B1375" i="2"/>
  <c r="B981" i="2"/>
  <c r="B685" i="2"/>
  <c r="B546" i="2"/>
  <c r="B978" i="2"/>
  <c r="B687" i="2"/>
  <c r="B1174" i="2"/>
  <c r="B1172" i="2"/>
  <c r="B689" i="2"/>
  <c r="B980" i="2"/>
  <c r="B769" i="2"/>
  <c r="B767" i="2"/>
  <c r="B686" i="2"/>
  <c r="B617" i="2"/>
  <c r="B547" i="2"/>
  <c r="B619" i="2"/>
  <c r="B420" i="2"/>
  <c r="B418" i="2"/>
  <c r="B1173" i="2"/>
  <c r="B979" i="2"/>
  <c r="B770" i="2"/>
  <c r="B768" i="2"/>
  <c r="B1470" i="2"/>
  <c r="B1412" i="2"/>
  <c r="B1351" i="2"/>
  <c r="B1414" i="2"/>
  <c r="B1667" i="2"/>
  <c r="B1468" i="2"/>
  <c r="B1353" i="2"/>
  <c r="B1411" i="2"/>
  <c r="B1355" i="2"/>
  <c r="B1413" i="2"/>
  <c r="B1352" i="2"/>
  <c r="B1645" i="2"/>
  <c r="B1469" i="2"/>
  <c r="B1467" i="2"/>
  <c r="B1666" i="2"/>
  <c r="B1410" i="2"/>
  <c r="B1354" i="2"/>
  <c r="B1128" i="2"/>
  <c r="B866" i="2"/>
  <c r="B1127" i="2"/>
  <c r="B1039" i="2"/>
  <c r="B1166" i="2"/>
  <c r="B1124" i="2"/>
  <c r="B983" i="2"/>
  <c r="B1126" i="2"/>
  <c r="B1038" i="2"/>
  <c r="B867" i="2"/>
  <c r="B982" i="2"/>
  <c r="B1165" i="2"/>
  <c r="B1040" i="2"/>
  <c r="B1125" i="2"/>
  <c r="B984" i="2"/>
  <c r="B868" i="2"/>
  <c r="B1176" i="2"/>
  <c r="B918" i="2"/>
  <c r="B580" i="2"/>
  <c r="B1795" i="2"/>
  <c r="B1727" i="2"/>
  <c r="B1796" i="2"/>
  <c r="B1152" i="2"/>
  <c r="B1008" i="2"/>
  <c r="B992" i="2"/>
  <c r="B966" i="2"/>
  <c r="B930" i="2"/>
  <c r="B1063" i="2"/>
  <c r="B1004" i="2"/>
  <c r="B1860" i="2"/>
  <c r="B1488" i="2"/>
  <c r="B1483" i="2"/>
  <c r="B1861" i="2"/>
  <c r="B1842" i="2"/>
  <c r="B1617" i="2"/>
  <c r="B1615" i="2"/>
  <c r="B1556" i="2"/>
  <c r="B1502" i="2"/>
  <c r="B1856" i="2"/>
  <c r="B1618" i="2"/>
  <c r="B1157" i="2"/>
  <c r="B1894" i="2"/>
  <c r="B1487" i="2"/>
  <c r="B1482" i="2"/>
  <c r="B1422" i="2"/>
  <c r="B1924" i="2"/>
  <c r="B1857" i="2"/>
  <c r="B1855" i="2"/>
  <c r="B1550" i="2"/>
  <c r="B1511" i="2"/>
  <c r="B1501" i="2"/>
  <c r="B1484" i="2"/>
  <c r="B1858" i="2"/>
  <c r="B1616" i="2"/>
  <c r="B1270" i="2"/>
  <c r="B1859" i="2"/>
  <c r="B1661" i="2"/>
  <c r="B1555" i="2"/>
  <c r="B1486" i="2"/>
  <c r="B1421" i="2"/>
  <c r="B1158" i="2"/>
  <c r="B1156" i="2"/>
  <c r="B1110" i="2"/>
  <c r="B1510" i="2"/>
  <c r="B1236" i="2"/>
  <c r="B1161" i="2"/>
  <c r="B1107" i="2"/>
  <c r="B1105" i="2"/>
  <c r="B1032" i="2"/>
  <c r="B1160" i="2"/>
  <c r="B1112" i="2"/>
  <c r="B1109" i="2"/>
  <c r="B1104" i="2"/>
  <c r="B1031" i="2"/>
  <c r="B1159" i="2"/>
  <c r="B1106" i="2"/>
  <c r="B1111" i="2"/>
  <c r="B1108" i="2"/>
  <c r="B1033" i="2"/>
  <c r="B1824" i="2"/>
  <c r="B1523" i="2"/>
  <c r="B1706" i="2"/>
  <c r="B1703" i="2"/>
  <c r="B1446" i="2"/>
  <c r="B1273" i="2"/>
  <c r="B1271" i="2"/>
  <c r="B1704" i="2"/>
  <c r="B1701" i="2"/>
  <c r="B1522" i="2"/>
  <c r="B1822" i="2"/>
  <c r="B1705" i="2"/>
  <c r="B1524" i="2"/>
  <c r="B1445" i="2"/>
  <c r="B1823" i="2"/>
  <c r="B1702" i="2"/>
  <c r="B1521" i="2"/>
  <c r="B1272" i="2"/>
  <c r="B1016" i="2"/>
  <c r="B1021" i="2"/>
  <c r="B1018" i="2"/>
  <c r="B1122" i="2"/>
  <c r="B61" i="2"/>
  <c r="B74" i="2"/>
  <c r="B90" i="2"/>
  <c r="B115" i="2"/>
  <c r="B121" i="2"/>
  <c r="B128" i="2"/>
  <c r="B138" i="2"/>
  <c r="B172" i="2"/>
  <c r="B208" i="2"/>
  <c r="B210" i="2"/>
  <c r="B220" i="2"/>
  <c r="B227" i="2"/>
  <c r="B233" i="2"/>
  <c r="B236" i="2"/>
  <c r="B246" i="2"/>
  <c r="B259" i="2"/>
  <c r="B261" i="2"/>
  <c r="B270" i="2"/>
  <c r="B309" i="2"/>
  <c r="B311" i="2"/>
  <c r="B319" i="2"/>
  <c r="B357" i="2"/>
  <c r="B400" i="2"/>
  <c r="B402" i="2"/>
  <c r="B437" i="2"/>
  <c r="B467" i="2"/>
  <c r="B515" i="2"/>
  <c r="B533" i="2"/>
  <c r="B631" i="2"/>
  <c r="B673" i="2"/>
  <c r="B14" i="2"/>
  <c r="B16" i="2"/>
  <c r="B18" i="2"/>
  <c r="B20" i="2"/>
  <c r="B32" i="2"/>
  <c r="B42" i="2"/>
  <c r="B50" i="2"/>
  <c r="B76" i="2"/>
  <c r="B113" i="2"/>
  <c r="B140" i="2"/>
  <c r="B169" i="2"/>
  <c r="B239" i="2"/>
  <c r="B268" i="2"/>
  <c r="B277" i="2"/>
  <c r="B279" i="2"/>
  <c r="B281" i="2"/>
  <c r="B290" i="2"/>
  <c r="B307" i="2"/>
  <c r="B321" i="2"/>
  <c r="B323" i="2"/>
  <c r="B325" i="2"/>
  <c r="B327" i="2"/>
  <c r="B333" i="2"/>
  <c r="B392" i="2"/>
  <c r="B426" i="2"/>
  <c r="B518" i="2"/>
  <c r="B522" i="2"/>
  <c r="B524" i="2"/>
  <c r="B526" i="2"/>
  <c r="B531" i="2"/>
  <c r="B545" i="2"/>
  <c r="B548" i="2"/>
  <c r="B567" i="2"/>
  <c r="B609" i="2"/>
  <c r="B625" i="2"/>
  <c r="B648" i="2"/>
  <c r="B671" i="2"/>
  <c r="B1177" i="2"/>
  <c r="B804" i="2"/>
  <c r="B916" i="2"/>
  <c r="B706" i="2"/>
  <c r="B1457" i="2"/>
  <c r="B1459" i="2"/>
  <c r="B1200" i="2"/>
  <c r="B1456" i="2"/>
  <c r="B1197" i="2"/>
  <c r="B1458" i="2"/>
  <c r="B1201" i="2"/>
  <c r="B1196" i="2"/>
  <c r="B842" i="2"/>
  <c r="B1116" i="2"/>
  <c r="B1198" i="2"/>
  <c r="B840" i="2"/>
  <c r="B843" i="2"/>
  <c r="B841" i="2"/>
  <c r="B1117" i="2"/>
  <c r="B1199" i="2"/>
  <c r="B1873" i="2"/>
  <c r="B1870" i="2"/>
  <c r="B1867" i="2"/>
  <c r="B1864" i="2"/>
  <c r="B1700" i="2"/>
  <c r="B1633" i="2"/>
  <c r="B1631" i="2"/>
  <c r="B1629" i="2"/>
  <c r="B1626" i="2"/>
  <c r="B1624" i="2"/>
  <c r="B1546" i="2"/>
  <c r="B1503" i="2"/>
  <c r="B1320" i="2"/>
  <c r="B1276" i="2"/>
  <c r="B1874" i="2"/>
  <c r="B1603" i="2"/>
  <c r="B1559" i="2"/>
  <c r="B1507" i="2"/>
  <c r="B1417" i="2"/>
  <c r="B1286" i="2"/>
  <c r="B1281" i="2"/>
  <c r="B1923" i="2"/>
  <c r="B1862" i="2"/>
  <c r="B1740" i="2"/>
  <c r="B1621" i="2"/>
  <c r="B1554" i="2"/>
  <c r="B1552" i="2"/>
  <c r="B1548" i="2"/>
  <c r="B1509" i="2"/>
  <c r="B1283" i="2"/>
  <c r="B1278" i="2"/>
  <c r="B1875" i="2"/>
  <c r="B1871" i="2"/>
  <c r="B1868" i="2"/>
  <c r="B1865" i="2"/>
  <c r="B1623" i="2"/>
  <c r="B1611" i="2"/>
  <c r="B1545" i="2"/>
  <c r="B1504" i="2"/>
  <c r="B1275" i="2"/>
  <c r="B1248" i="2"/>
  <c r="B1227" i="2"/>
  <c r="B1750" i="2"/>
  <c r="B1632" i="2"/>
  <c r="B1630" i="2"/>
  <c r="B1627" i="2"/>
  <c r="B1619" i="2"/>
  <c r="B1491" i="2"/>
  <c r="B1416" i="2"/>
  <c r="B1344" i="2"/>
  <c r="B1285" i="2"/>
  <c r="B1280" i="2"/>
  <c r="B1877" i="2"/>
  <c r="B1872" i="2"/>
  <c r="B1869" i="2"/>
  <c r="B1866" i="2"/>
  <c r="B1863" i="2"/>
  <c r="B1728" i="2"/>
  <c r="B1625" i="2"/>
  <c r="B1620" i="2"/>
  <c r="B1547" i="2"/>
  <c r="B1282" i="2"/>
  <c r="B1277" i="2"/>
  <c r="B1878" i="2"/>
  <c r="B1741" i="2"/>
  <c r="B1730" i="2"/>
  <c r="B1628" i="2"/>
  <c r="B1622" i="2"/>
  <c r="B1553" i="2"/>
  <c r="B1551" i="2"/>
  <c r="B1508" i="2"/>
  <c r="B1287" i="2"/>
  <c r="B1247" i="2"/>
  <c r="B1922" i="2"/>
  <c r="B1610" i="2"/>
  <c r="B1549" i="2"/>
  <c r="B1544" i="2"/>
  <c r="B1500" i="2"/>
  <c r="B1284" i="2"/>
  <c r="B1279" i="2"/>
  <c r="B1120" i="2"/>
  <c r="B1115" i="2"/>
  <c r="B1068" i="2"/>
  <c r="B1065" i="2"/>
  <c r="B926" i="2"/>
  <c r="B1121" i="2"/>
  <c r="B1118" i="2"/>
  <c r="B1060" i="2"/>
  <c r="B1010" i="2"/>
  <c r="B994" i="2"/>
  <c r="B931" i="2"/>
  <c r="B924" i="2"/>
  <c r="B1067" i="2"/>
  <c r="B1005" i="2"/>
  <c r="B968" i="2"/>
  <c r="B964" i="2"/>
  <c r="B929" i="2"/>
  <c r="B1064" i="2"/>
  <c r="B927" i="2"/>
  <c r="B1059" i="2"/>
  <c r="B1114" i="2"/>
  <c r="B1066" i="2"/>
  <c r="B1013" i="2"/>
  <c r="B1011" i="2"/>
  <c r="B1009" i="2"/>
  <c r="B1007" i="2"/>
  <c r="B993" i="2"/>
  <c r="B925" i="2"/>
  <c r="B1119" i="2"/>
  <c r="B1006" i="2"/>
  <c r="B967" i="2"/>
  <c r="B965" i="2"/>
  <c r="B963" i="2"/>
  <c r="B928" i="2"/>
  <c r="B1288" i="2"/>
  <c r="B1847" i="2"/>
  <c r="B882" i="2"/>
  <c r="B883" i="2"/>
  <c r="B1520" i="2"/>
  <c r="B1825" i="2"/>
  <c r="B1826" i="2"/>
  <c r="B1017" i="2"/>
  <c r="B1022" i="2"/>
  <c r="B1020" i="2"/>
  <c r="B34" i="2"/>
  <c r="B45" i="2"/>
  <c r="B52" i="2"/>
  <c r="B69" i="2"/>
  <c r="B94" i="2"/>
  <c r="B96" i="2"/>
  <c r="B104" i="2"/>
  <c r="B106" i="2"/>
  <c r="B142" i="2"/>
  <c r="B153" i="2"/>
  <c r="B155" i="2"/>
  <c r="B159" i="2"/>
  <c r="B161" i="2"/>
  <c r="B163" i="2"/>
  <c r="B165" i="2"/>
  <c r="B167" i="2"/>
  <c r="B230" i="2"/>
  <c r="B257" i="2"/>
  <c r="B266" i="2"/>
  <c r="B295" i="2"/>
  <c r="B297" i="2"/>
  <c r="B299" i="2"/>
  <c r="B305" i="2"/>
  <c r="B335" i="2"/>
  <c r="B346" i="2"/>
  <c r="B384" i="2"/>
  <c r="B424" i="2"/>
  <c r="B429" i="2"/>
  <c r="B431" i="2"/>
  <c r="B436" i="2"/>
  <c r="B439" i="2"/>
  <c r="B452" i="2"/>
  <c r="B454" i="2"/>
  <c r="B458" i="2"/>
  <c r="B465" i="2"/>
  <c r="B565" i="2"/>
  <c r="B578" i="2"/>
  <c r="B594" i="2"/>
  <c r="B618" i="2"/>
  <c r="B642" i="2"/>
  <c r="B669" i="2"/>
  <c r="B726" i="2"/>
  <c r="B11" i="2"/>
  <c r="B60" i="2"/>
  <c r="B71" i="2"/>
  <c r="B85" i="2"/>
  <c r="B87" i="2"/>
  <c r="B89" i="2"/>
  <c r="B171" i="2"/>
  <c r="B193" i="2"/>
  <c r="B201" i="2"/>
  <c r="B228" i="2"/>
  <c r="B232" i="2"/>
  <c r="B247" i="2"/>
  <c r="B255" i="2"/>
  <c r="B264" i="2"/>
  <c r="B348" i="2"/>
  <c r="B350" i="2"/>
  <c r="B352" i="2"/>
  <c r="B358" i="2"/>
  <c r="B360" i="2"/>
  <c r="B362" i="2"/>
  <c r="B382" i="2"/>
  <c r="B477" i="2"/>
  <c r="B479" i="2"/>
  <c r="B516" i="2"/>
  <c r="B536" i="2"/>
  <c r="B538" i="2"/>
  <c r="B582" i="2"/>
  <c r="B688" i="2"/>
  <c r="B554" i="2"/>
  <c r="B1442" i="2"/>
  <c r="B1359" i="2"/>
  <c r="B1441" i="2"/>
  <c r="B1361" i="2"/>
  <c r="B1443" i="2"/>
  <c r="B1360" i="2"/>
  <c r="B1037" i="2"/>
  <c r="B713" i="2"/>
  <c r="B1036" i="2"/>
  <c r="B714" i="2"/>
  <c r="B797" i="2"/>
  <c r="B795" i="2"/>
  <c r="B696" i="2"/>
  <c r="B698" i="2"/>
  <c r="B798" i="2"/>
  <c r="B796" i="2"/>
  <c r="B695" i="2"/>
  <c r="B592" i="2"/>
  <c r="B699" i="2"/>
  <c r="B1851" i="2"/>
  <c r="B1402" i="2"/>
  <c r="B1720" i="2"/>
  <c r="B1205" i="2"/>
  <c r="B1718" i="2"/>
  <c r="B1403" i="2"/>
  <c r="B1304" i="2"/>
  <c r="B1852" i="2"/>
  <c r="B1707" i="2"/>
  <c r="B1405" i="2"/>
  <c r="B1290" i="2"/>
  <c r="B1404" i="2"/>
  <c r="B1401" i="2"/>
  <c r="B1207" i="2"/>
  <c r="B1204" i="2"/>
  <c r="B1202" i="2"/>
  <c r="B1719" i="2"/>
  <c r="B1582" i="2"/>
  <c r="B1206" i="2"/>
  <c r="B1303" i="2"/>
  <c r="B1291" i="2"/>
  <c r="B1289" i="2"/>
  <c r="B785" i="2"/>
  <c r="B758" i="2"/>
  <c r="B601" i="2"/>
  <c r="B520" i="2"/>
  <c r="B1070" i="2"/>
  <c r="B783" i="2"/>
  <c r="B723" i="2"/>
  <c r="B953" i="2"/>
  <c r="B951" i="2"/>
  <c r="B810" i="2"/>
  <c r="B808" i="2"/>
  <c r="B725" i="2"/>
  <c r="B1072" i="2"/>
  <c r="B721" i="2"/>
  <c r="B1069" i="2"/>
  <c r="B782" i="2"/>
  <c r="B757" i="2"/>
  <c r="B702" i="2"/>
  <c r="B1203" i="2"/>
  <c r="B952" i="2"/>
  <c r="B784" i="2"/>
  <c r="B724" i="2"/>
  <c r="B647" i="2"/>
  <c r="B529" i="2"/>
  <c r="B519" i="2"/>
  <c r="B1071" i="2"/>
  <c r="B950" i="2"/>
  <c r="B809" i="2"/>
  <c r="B1141" i="2"/>
  <c r="B1419" i="2"/>
  <c r="B1345" i="2"/>
  <c r="B1302" i="2"/>
  <c r="B1584" i="2"/>
  <c r="B1380" i="2"/>
  <c r="B1258" i="2"/>
  <c r="B1225" i="2"/>
  <c r="B1672" i="2"/>
  <c r="B1378" i="2"/>
  <c r="B1257" i="2"/>
  <c r="B1673" i="2"/>
  <c r="B1452" i="2"/>
  <c r="B1418" i="2"/>
  <c r="B1379" i="2"/>
  <c r="B1030" i="2"/>
  <c r="B945" i="2"/>
  <c r="B1003" i="2"/>
  <c r="B654" i="2"/>
  <c r="B941" i="2"/>
  <c r="B998" i="2"/>
  <c r="B899" i="2"/>
  <c r="B635" i="2"/>
  <c r="B944" i="2"/>
  <c r="B655" i="2"/>
  <c r="B1913" i="2"/>
  <c r="B1499" i="2"/>
  <c r="B1384" i="2"/>
  <c r="B1382" i="2"/>
  <c r="B1269" i="2"/>
  <c r="B1644" i="2"/>
  <c r="B1585" i="2"/>
  <c r="B1385" i="2"/>
  <c r="B1220" i="2"/>
  <c r="B1383" i="2"/>
  <c r="B1381" i="2"/>
  <c r="B1512" i="2"/>
  <c r="B1498" i="2"/>
  <c r="B1274" i="2"/>
  <c r="B1386" i="2"/>
  <c r="B1221" i="2"/>
  <c r="B912" i="2"/>
  <c r="B999" i="2"/>
  <c r="B715" i="2"/>
  <c r="B958" i="2"/>
  <c r="B790" i="2"/>
  <c r="B960" i="2"/>
  <c r="B911" i="2"/>
  <c r="B652" i="2"/>
  <c r="B1000" i="2"/>
  <c r="B716" i="2"/>
  <c r="B969" i="2"/>
  <c r="B959" i="2"/>
  <c r="B1219" i="2"/>
  <c r="B910" i="2"/>
  <c r="B791" i="2"/>
  <c r="B651" i="2"/>
  <c r="B624" i="2"/>
  <c r="B1513" i="2"/>
  <c r="B1886" i="2"/>
  <c r="B1238" i="2"/>
  <c r="B1179" i="2"/>
  <c r="B1658" i="2"/>
  <c r="B1514" i="2"/>
  <c r="B1319" i="2"/>
  <c r="B1895" i="2"/>
  <c r="B1810" i="2"/>
  <c r="B1515" i="2"/>
  <c r="B1180" i="2"/>
  <c r="B1318" i="2"/>
  <c r="B627" i="2"/>
  <c r="B730" i="2"/>
  <c r="B759" i="2"/>
  <c r="B731" i="2"/>
  <c r="B760" i="2"/>
  <c r="B915" i="2"/>
  <c r="B920" i="2"/>
  <c r="B803" i="2"/>
  <c r="B913" i="2"/>
  <c r="B1023" i="2"/>
  <c r="B581" i="2"/>
  <c r="B1848" i="2"/>
  <c r="B1849" i="2"/>
  <c r="B1850" i="2"/>
  <c r="B845" i="2"/>
  <c r="B854" i="2"/>
  <c r="B846" i="2"/>
  <c r="B853" i="2"/>
  <c r="B852" i="2"/>
  <c r="B844" i="2"/>
  <c r="B847" i="2"/>
  <c r="B1505" i="2"/>
  <c r="B1506" i="2"/>
  <c r="B878" i="2"/>
  <c r="B876" i="2"/>
  <c r="B862" i="2"/>
  <c r="B860" i="2"/>
  <c r="B877" i="2"/>
  <c r="B861" i="2"/>
  <c r="B859" i="2"/>
  <c r="B973" i="2"/>
  <c r="B1525" i="2"/>
  <c r="B1527" i="2"/>
  <c r="B1526" i="2"/>
  <c r="B1019" i="2"/>
  <c r="B7" i="2"/>
  <c r="B41" i="2"/>
  <c r="B44" i="2"/>
  <c r="B49" i="2"/>
  <c r="B62" i="2"/>
  <c r="B75" i="2"/>
  <c r="B120" i="2"/>
  <c r="B129" i="2"/>
  <c r="B137" i="2"/>
  <c r="B139" i="2"/>
  <c r="B209" i="2"/>
  <c r="B211" i="2"/>
  <c r="B219" i="2"/>
  <c r="B223" i="2"/>
  <c r="B234" i="2"/>
  <c r="B240" i="2"/>
  <c r="B245" i="2"/>
  <c r="B248" i="2"/>
  <c r="B260" i="2"/>
  <c r="B269" i="2"/>
  <c r="B271" i="2"/>
  <c r="B308" i="2"/>
  <c r="B310" i="2"/>
  <c r="B356" i="2"/>
  <c r="B391" i="2"/>
  <c r="B401" i="2"/>
  <c r="B403" i="2"/>
  <c r="B414" i="2"/>
  <c r="B427" i="2"/>
  <c r="B534" i="2"/>
  <c r="B557" i="2"/>
  <c r="B560" i="2"/>
  <c r="B697" i="2"/>
  <c r="B114" i="2"/>
  <c r="B141" i="2"/>
  <c r="B168" i="2"/>
  <c r="B226" i="2"/>
  <c r="B235" i="2"/>
  <c r="B258" i="2"/>
  <c r="B278" i="2"/>
  <c r="B280" i="2"/>
  <c r="B282" i="2"/>
  <c r="B320" i="2"/>
  <c r="B324" i="2"/>
  <c r="B332" i="2"/>
  <c r="B334" i="2"/>
  <c r="B419" i="2"/>
  <c r="B425" i="2"/>
  <c r="B430" i="2"/>
  <c r="B435" i="2"/>
  <c r="B438" i="2"/>
  <c r="B466" i="2"/>
  <c r="B502" i="2"/>
  <c r="B521" i="2"/>
  <c r="B523" i="2"/>
  <c r="B525" i="2"/>
  <c r="B530" i="2"/>
  <c r="B532" i="2"/>
  <c r="B563" i="2"/>
  <c r="B616" i="2"/>
  <c r="B722" i="2"/>
  <c r="B1437" i="2"/>
  <c r="B1439" i="2"/>
  <c r="B1668" i="2"/>
  <c r="B1669" i="2"/>
  <c r="B1438" i="2"/>
  <c r="B1136" i="2"/>
  <c r="B1440" i="2"/>
  <c r="B936" i="2"/>
  <c r="B935" i="2"/>
  <c r="B933" i="2"/>
  <c r="B1135" i="2"/>
  <c r="B633" i="2"/>
  <c r="B514" i="2"/>
  <c r="B1137" i="2"/>
  <c r="B1134" i="2"/>
  <c r="B934" i="2"/>
  <c r="B932" i="2"/>
  <c r="B1237" i="2"/>
  <c r="B1138" i="2"/>
  <c r="B684" i="2"/>
  <c r="B1139" i="2"/>
  <c r="B1808" i="2"/>
  <c r="B1576" i="2"/>
  <c r="B1423" i="2"/>
  <c r="B1251" i="2"/>
  <c r="B1671" i="2"/>
  <c r="B1339" i="2"/>
  <c r="B1335" i="2"/>
  <c r="B1333" i="2"/>
  <c r="B1311" i="2"/>
  <c r="B1742" i="2"/>
  <c r="B1602" i="2"/>
  <c r="B1312" i="2"/>
  <c r="B1216" i="2"/>
  <c r="B1809" i="2"/>
  <c r="B1717" i="2"/>
  <c r="B1577" i="2"/>
  <c r="B1424" i="2"/>
  <c r="B1342" i="2"/>
  <c r="B1338" i="2"/>
  <c r="B1334" i="2"/>
  <c r="B1313" i="2"/>
  <c r="B1306" i="2"/>
  <c r="B1250" i="2"/>
  <c r="B1902" i="2"/>
  <c r="B1341" i="2"/>
  <c r="B1337" i="2"/>
  <c r="B1314" i="2"/>
  <c r="B1215" i="2"/>
  <c r="B1670" i="2"/>
  <c r="B1340" i="2"/>
  <c r="B1336" i="2"/>
  <c r="B1310" i="2"/>
  <c r="B1305" i="2"/>
  <c r="B1213" i="2"/>
  <c r="B1211" i="2"/>
  <c r="B1209" i="2"/>
  <c r="B1099" i="2"/>
  <c r="B1084" i="2"/>
  <c r="B997" i="2"/>
  <c r="B988" i="2"/>
  <c r="B885" i="2"/>
  <c r="B793" i="2"/>
  <c r="B787" i="2"/>
  <c r="B727" i="2"/>
  <c r="B634" i="2"/>
  <c r="B1082" i="2"/>
  <c r="B1029" i="2"/>
  <c r="B990" i="2"/>
  <c r="B887" i="2"/>
  <c r="B756" i="2"/>
  <c r="B636" i="2"/>
  <c r="B1101" i="2"/>
  <c r="B728" i="2"/>
  <c r="B947" i="2"/>
  <c r="B754" i="2"/>
  <c r="B656" i="2"/>
  <c r="B650" i="2"/>
  <c r="B639" i="2"/>
  <c r="B600" i="2"/>
  <c r="B1208" i="2"/>
  <c r="B1098" i="2"/>
  <c r="B794" i="2"/>
  <c r="B792" i="2"/>
  <c r="B788" i="2"/>
  <c r="B786" i="2"/>
  <c r="B738" i="2"/>
  <c r="B637" i="2"/>
  <c r="B564" i="2"/>
  <c r="B1210" i="2"/>
  <c r="B1100" i="2"/>
  <c r="B1083" i="2"/>
  <c r="B989" i="2"/>
  <c r="B888" i="2"/>
  <c r="B886" i="2"/>
  <c r="B428" i="2"/>
  <c r="B1212" i="2"/>
  <c r="B1102" i="2"/>
  <c r="B991" i="2"/>
  <c r="B755" i="2"/>
  <c r="B1214" i="2"/>
  <c r="B789" i="2"/>
  <c r="B739" i="2"/>
  <c r="B657" i="2"/>
  <c r="B649" i="2"/>
  <c r="B638" i="2"/>
  <c r="B1557" i="2"/>
  <c r="B1854" i="2"/>
  <c r="B1453" i="2"/>
  <c r="B1587" i="2"/>
  <c r="B1367" i="2"/>
  <c r="B1853" i="2"/>
  <c r="B1151" i="2"/>
  <c r="B1586" i="2"/>
  <c r="B1148" i="2"/>
  <c r="B1149" i="2"/>
  <c r="B1150" i="2"/>
  <c r="B1639" i="2"/>
  <c r="B1911" i="2"/>
  <c r="B468" i="2"/>
  <c r="B1731" i="2"/>
  <c r="B1914" i="2"/>
  <c r="B573" i="2"/>
  <c r="B917" i="2"/>
  <c r="B576" i="2"/>
  <c r="B579" i="2"/>
  <c r="B919" i="2"/>
  <c r="B1462" i="2"/>
  <c r="B1460" i="2"/>
  <c r="B1464" i="2"/>
  <c r="B1420" i="2"/>
  <c r="B1195" i="2"/>
  <c r="B1461" i="2"/>
  <c r="B1192" i="2"/>
  <c r="B1463" i="2"/>
  <c r="B1123" i="2"/>
  <c r="B1191" i="2"/>
  <c r="B850" i="2"/>
  <c r="B1113" i="2"/>
  <c r="B848" i="2"/>
  <c r="B851" i="2"/>
  <c r="B1194" i="2"/>
  <c r="B849" i="2"/>
  <c r="B1193" i="2"/>
  <c r="B1612" i="2"/>
  <c r="B1217" i="2"/>
  <c r="B1012" i="2"/>
  <c r="B1178" i="2"/>
  <c r="B1415" i="2"/>
  <c r="B1608" i="2"/>
  <c r="B1485" i="2"/>
  <c r="B1609" i="2"/>
  <c r="B33" i="2"/>
  <c r="B46" i="2"/>
  <c r="B68" i="2"/>
  <c r="B93" i="2"/>
  <c r="B95" i="2"/>
  <c r="B103" i="2"/>
  <c r="B134" i="2"/>
  <c r="B154" i="2"/>
  <c r="B156" i="2"/>
  <c r="B162" i="2"/>
  <c r="B164" i="2"/>
  <c r="B166" i="2"/>
  <c r="B170" i="2"/>
  <c r="B192" i="2"/>
  <c r="B229" i="2"/>
  <c r="B231" i="2"/>
  <c r="B267" i="2"/>
  <c r="B289" i="2"/>
  <c r="B294" i="2"/>
  <c r="B296" i="2"/>
  <c r="B306" i="2"/>
  <c r="B345" i="2"/>
  <c r="B383" i="2"/>
  <c r="B423" i="2"/>
  <c r="B453" i="2"/>
  <c r="B517" i="2"/>
  <c r="B583" i="2"/>
  <c r="B599" i="2"/>
  <c r="H138" i="5"/>
  <c r="J138" i="5" s="1"/>
  <c r="E208" i="5"/>
  <c r="G208" i="5" s="1"/>
  <c r="E242" i="5"/>
  <c r="G242" i="5" s="1"/>
  <c r="H256" i="5"/>
  <c r="J256" i="5" s="1"/>
  <c r="H74" i="5"/>
  <c r="J74" i="5" s="1"/>
  <c r="H210" i="5"/>
  <c r="J210" i="5" s="1"/>
  <c r="E217" i="5"/>
  <c r="G217" i="5" s="1"/>
  <c r="E273" i="5"/>
  <c r="G273" i="5" s="1"/>
  <c r="E35" i="5"/>
  <c r="G35" i="5" s="1"/>
  <c r="H134" i="5"/>
  <c r="J134" i="5" s="1"/>
  <c r="H282" i="5"/>
  <c r="J282" i="5" s="1"/>
  <c r="E289" i="5"/>
  <c r="G289" i="5" s="1"/>
  <c r="E308" i="5"/>
  <c r="G308" i="5" s="1"/>
  <c r="H50" i="5"/>
  <c r="J50" i="5" s="1"/>
  <c r="E45" i="5"/>
  <c r="G45" i="5" s="1"/>
  <c r="H79" i="5"/>
  <c r="H318" i="5"/>
  <c r="J318" i="5" s="1"/>
  <c r="E153" i="5"/>
  <c r="G153" i="5" s="1"/>
  <c r="H178" i="5"/>
  <c r="J178" i="5" s="1"/>
  <c r="E218" i="5"/>
  <c r="G218" i="5" s="1"/>
  <c r="E306" i="5"/>
  <c r="G306" i="5" s="1"/>
  <c r="K318" i="5"/>
  <c r="M318" i="5" s="1"/>
  <c r="K306" i="5"/>
  <c r="M306" i="5" s="1"/>
  <c r="E61" i="5"/>
  <c r="G61" i="5" s="1"/>
  <c r="H240" i="5"/>
  <c r="J240" i="5" s="1"/>
  <c r="E302" i="5"/>
  <c r="G302" i="5" s="1"/>
  <c r="E120" i="5"/>
  <c r="G120" i="5" s="1"/>
  <c r="E274" i="5"/>
  <c r="G274" i="5" s="1"/>
  <c r="E26" i="5"/>
  <c r="G26" i="5" s="1"/>
  <c r="E144" i="5"/>
  <c r="G144" i="5" s="1"/>
  <c r="H158" i="5"/>
  <c r="J158" i="5" s="1"/>
  <c r="H166" i="5"/>
  <c r="J166" i="5" s="1"/>
  <c r="E192" i="5"/>
  <c r="G192" i="5" s="1"/>
  <c r="H37" i="5"/>
  <c r="J37" i="5" s="1"/>
  <c r="H43" i="5"/>
  <c r="J43" i="5" s="1"/>
  <c r="E62" i="5"/>
  <c r="G62" i="5" s="1"/>
  <c r="H122" i="5"/>
  <c r="J122" i="5" s="1"/>
  <c r="H129" i="5"/>
  <c r="J129" i="5" s="1"/>
  <c r="E145" i="5"/>
  <c r="G145" i="5" s="1"/>
  <c r="H174" i="5"/>
  <c r="J174" i="5" s="1"/>
  <c r="E202" i="5"/>
  <c r="G202" i="5" s="1"/>
  <c r="E224" i="5"/>
  <c r="G224" i="5" s="1"/>
  <c r="E258" i="5"/>
  <c r="G258" i="5" s="1"/>
  <c r="E314" i="5"/>
  <c r="G314" i="5" s="1"/>
  <c r="AR1820" i="2"/>
  <c r="BO1735" i="2"/>
  <c r="AP1766" i="2"/>
  <c r="E22" i="5"/>
  <c r="G22" i="5" s="1"/>
  <c r="E32" i="5"/>
  <c r="G32" i="5" s="1"/>
  <c r="E47" i="5"/>
  <c r="G47" i="5" s="1"/>
  <c r="E77" i="5"/>
  <c r="G77" i="5" s="1"/>
  <c r="E151" i="5"/>
  <c r="G151" i="5" s="1"/>
  <c r="H179" i="5"/>
  <c r="J179" i="5" s="1"/>
  <c r="E186" i="5"/>
  <c r="G186" i="5" s="1"/>
  <c r="E248" i="5"/>
  <c r="G248" i="5" s="1"/>
  <c r="E272" i="5"/>
  <c r="G272" i="5" s="1"/>
  <c r="E290" i="5"/>
  <c r="G290" i="5" s="1"/>
  <c r="K314" i="5"/>
  <c r="M314" i="5" s="1"/>
  <c r="H130" i="5"/>
  <c r="J130" i="5" s="1"/>
  <c r="E136" i="5"/>
  <c r="G136" i="5" s="1"/>
  <c r="H142" i="5"/>
  <c r="J142" i="5" s="1"/>
  <c r="E146" i="5"/>
  <c r="G146" i="5" s="1"/>
  <c r="E155" i="5"/>
  <c r="G155" i="5" s="1"/>
  <c r="E163" i="5"/>
  <c r="G163" i="5" s="1"/>
  <c r="E169" i="5"/>
  <c r="G169" i="5" s="1"/>
  <c r="E175" i="5"/>
  <c r="G175" i="5" s="1"/>
  <c r="H215" i="5"/>
  <c r="J215" i="5" s="1"/>
  <c r="E225" i="5"/>
  <c r="G225" i="5" s="1"/>
  <c r="H232" i="5"/>
  <c r="J232" i="5" s="1"/>
  <c r="K319" i="5"/>
  <c r="M319" i="5" s="1"/>
  <c r="AR1782" i="2"/>
  <c r="BO1871" i="2"/>
  <c r="BO1869" i="2"/>
  <c r="E20" i="5"/>
  <c r="G20" i="5" s="1"/>
  <c r="E40" i="5"/>
  <c r="G40" i="5" s="1"/>
  <c r="E54" i="5"/>
  <c r="G54" i="5" s="1"/>
  <c r="E78" i="5"/>
  <c r="G78" i="5" s="1"/>
  <c r="E143" i="5"/>
  <c r="G143" i="5" s="1"/>
  <c r="E152" i="5"/>
  <c r="G152" i="5" s="1"/>
  <c r="E176" i="5"/>
  <c r="G176" i="5" s="1"/>
  <c r="H199" i="5"/>
  <c r="J199" i="5" s="1"/>
  <c r="E316" i="5"/>
  <c r="G316" i="5" s="1"/>
  <c r="AP1908" i="2"/>
  <c r="H159" i="5"/>
  <c r="J159" i="5" s="1"/>
  <c r="H167" i="5"/>
  <c r="J167" i="5" s="1"/>
  <c r="H183" i="5"/>
  <c r="J183" i="5" s="1"/>
  <c r="H226" i="5"/>
  <c r="J226" i="5" s="1"/>
  <c r="K320" i="5"/>
  <c r="M320" i="5" s="1"/>
  <c r="H324" i="5"/>
  <c r="J324" i="5" s="1"/>
  <c r="K327" i="5"/>
  <c r="M327" i="5" s="1"/>
  <c r="E30" i="5"/>
  <c r="G30" i="5" s="1"/>
  <c r="E38" i="5"/>
  <c r="G38" i="5" s="1"/>
  <c r="E63" i="5"/>
  <c r="G63" i="5" s="1"/>
  <c r="E81" i="5"/>
  <c r="G81" i="5" s="1"/>
  <c r="E88" i="5"/>
  <c r="G88" i="5" s="1"/>
  <c r="E92" i="5"/>
  <c r="G92" i="5" s="1"/>
  <c r="E100" i="5"/>
  <c r="G100" i="5" s="1"/>
  <c r="E108" i="5"/>
  <c r="G108" i="5" s="1"/>
  <c r="H117" i="5"/>
  <c r="J117" i="5" s="1"/>
  <c r="E125" i="5"/>
  <c r="G125" i="5" s="1"/>
  <c r="E127" i="5"/>
  <c r="G127" i="5" s="1"/>
  <c r="E131" i="5"/>
  <c r="G131" i="5" s="1"/>
  <c r="E135" i="5"/>
  <c r="G135" i="5" s="1"/>
  <c r="E137" i="5"/>
  <c r="G137" i="5" s="1"/>
  <c r="E171" i="5"/>
  <c r="G171" i="5" s="1"/>
  <c r="E177" i="5"/>
  <c r="G177" i="5" s="1"/>
  <c r="E207" i="5"/>
  <c r="G207" i="5" s="1"/>
  <c r="E219" i="5"/>
  <c r="G219" i="5" s="1"/>
  <c r="H231" i="5"/>
  <c r="J231" i="5" s="1"/>
  <c r="E243" i="5"/>
  <c r="G243" i="5" s="1"/>
  <c r="H251" i="5"/>
  <c r="J251" i="5" s="1"/>
  <c r="E266" i="5"/>
  <c r="G266" i="5" s="1"/>
  <c r="E281" i="5"/>
  <c r="G281" i="5" s="1"/>
  <c r="H44" i="5"/>
  <c r="J44" i="5" s="1"/>
  <c r="E55" i="5"/>
  <c r="G55" i="5" s="1"/>
  <c r="E69" i="5"/>
  <c r="G69" i="5" s="1"/>
  <c r="E71" i="5"/>
  <c r="G71" i="5" s="1"/>
  <c r="E76" i="5"/>
  <c r="G76" i="5" s="1"/>
  <c r="E86" i="5"/>
  <c r="G86" i="5" s="1"/>
  <c r="H154" i="5"/>
  <c r="J154" i="5" s="1"/>
  <c r="H162" i="5"/>
  <c r="J162" i="5" s="1"/>
  <c r="E168" i="5"/>
  <c r="G168" i="5" s="1"/>
  <c r="E184" i="5"/>
  <c r="G184" i="5" s="1"/>
  <c r="E200" i="5"/>
  <c r="G200" i="5" s="1"/>
  <c r="E298" i="5"/>
  <c r="G298" i="5" s="1"/>
  <c r="E227" i="5"/>
  <c r="G227" i="5" s="1"/>
  <c r="E241" i="5"/>
  <c r="G241" i="5" s="1"/>
  <c r="E249" i="5"/>
  <c r="G249" i="5" s="1"/>
  <c r="E257" i="5"/>
  <c r="G257" i="5" s="1"/>
  <c r="H286" i="5"/>
  <c r="J286" i="5" s="1"/>
  <c r="H294" i="5"/>
  <c r="J294" i="5" s="1"/>
  <c r="H310" i="5"/>
  <c r="J310" i="5" s="1"/>
  <c r="E322" i="5"/>
  <c r="G322" i="5" s="1"/>
  <c r="H326" i="5"/>
  <c r="J326" i="5" s="1"/>
  <c r="K328" i="5"/>
  <c r="M328" i="5" s="1"/>
  <c r="K310" i="5"/>
  <c r="M310" i="5" s="1"/>
  <c r="K326" i="5"/>
  <c r="M326" i="5" s="1"/>
  <c r="E31" i="5"/>
  <c r="G31" i="5" s="1"/>
  <c r="E39" i="5"/>
  <c r="G39" i="5" s="1"/>
  <c r="E53" i="5"/>
  <c r="G53" i="5" s="1"/>
  <c r="E80" i="5"/>
  <c r="G80" i="5" s="1"/>
  <c r="E87" i="5"/>
  <c r="G87" i="5" s="1"/>
  <c r="E91" i="5"/>
  <c r="G91" i="5" s="1"/>
  <c r="E93" i="5"/>
  <c r="G93" i="5" s="1"/>
  <c r="E99" i="5"/>
  <c r="G99" i="5" s="1"/>
  <c r="E101" i="5"/>
  <c r="G101" i="5" s="1"/>
  <c r="E107" i="5"/>
  <c r="G107" i="5" s="1"/>
  <c r="E109" i="5"/>
  <c r="G109" i="5" s="1"/>
  <c r="E304" i="5"/>
  <c r="G304" i="5" s="1"/>
  <c r="H42" i="5"/>
  <c r="J42" i="5" s="1"/>
  <c r="H66" i="5"/>
  <c r="J66" i="5" s="1"/>
  <c r="E70" i="5"/>
  <c r="G70" i="5" s="1"/>
  <c r="E84" i="5"/>
  <c r="G84" i="5" s="1"/>
  <c r="E123" i="5"/>
  <c r="G123" i="5" s="1"/>
  <c r="E126" i="5"/>
  <c r="G126" i="5" s="1"/>
  <c r="H150" i="5"/>
  <c r="J150" i="5" s="1"/>
  <c r="H170" i="5"/>
  <c r="J170" i="5" s="1"/>
  <c r="E185" i="5"/>
  <c r="G185" i="5" s="1"/>
  <c r="E201" i="5"/>
  <c r="G201" i="5" s="1"/>
  <c r="E216" i="5"/>
  <c r="G216" i="5" s="1"/>
  <c r="E280" i="5"/>
  <c r="G280" i="5" s="1"/>
  <c r="E288" i="5"/>
  <c r="G288" i="5" s="1"/>
  <c r="E296" i="5"/>
  <c r="G296" i="5" s="1"/>
  <c r="H308" i="5"/>
  <c r="J308" i="5" s="1"/>
  <c r="H316" i="5"/>
  <c r="J316" i="5" s="1"/>
  <c r="E327" i="5"/>
  <c r="G327" i="5" s="1"/>
  <c r="E330" i="5"/>
  <c r="G330" i="5" s="1"/>
  <c r="E265" i="5"/>
  <c r="G265" i="5" s="1"/>
  <c r="H320" i="5"/>
  <c r="J320" i="5" s="1"/>
  <c r="E324" i="5"/>
  <c r="G324" i="5" s="1"/>
  <c r="K330" i="5"/>
  <c r="M330" i="5" s="1"/>
  <c r="AQ678" i="2"/>
  <c r="AQ672" i="2"/>
  <c r="AQ683" i="2"/>
  <c r="AQ676" i="2"/>
  <c r="AQ671" i="2"/>
  <c r="AR1402" i="2"/>
  <c r="AR1773" i="2"/>
  <c r="AR1827" i="2"/>
  <c r="AR1926" i="2"/>
  <c r="H16" i="5"/>
  <c r="J16" i="5" s="1"/>
  <c r="H18" i="5"/>
  <c r="J18" i="5" s="1"/>
  <c r="H25" i="5"/>
  <c r="J25" i="5" s="1"/>
  <c r="E34" i="5"/>
  <c r="G34" i="5" s="1"/>
  <c r="AR1890" i="2"/>
  <c r="E24" i="5"/>
  <c r="G24" i="5" s="1"/>
  <c r="E36" i="5"/>
  <c r="G36" i="5" s="1"/>
  <c r="AP1663" i="2"/>
  <c r="AP1906" i="2"/>
  <c r="E17" i="5"/>
  <c r="G17" i="5" s="1"/>
  <c r="E19" i="5"/>
  <c r="G19" i="5" s="1"/>
  <c r="E21" i="5"/>
  <c r="G21" i="5" s="1"/>
  <c r="AP1466" i="2"/>
  <c r="BO1663" i="2"/>
  <c r="AP1768" i="2"/>
  <c r="AP1792" i="2"/>
  <c r="AP1870" i="2"/>
  <c r="AP1904" i="2"/>
  <c r="AP1917" i="2"/>
  <c r="AP1928" i="2"/>
  <c r="E23" i="5"/>
  <c r="G23" i="5" s="1"/>
  <c r="E28" i="5"/>
  <c r="G28" i="5" s="1"/>
  <c r="H51" i="5"/>
  <c r="J51" i="5" s="1"/>
  <c r="E51" i="5"/>
  <c r="G51" i="5" s="1"/>
  <c r="H33" i="5"/>
  <c r="J33" i="5" s="1"/>
  <c r="AQ674" i="2"/>
  <c r="E41" i="5"/>
  <c r="G41" i="5" s="1"/>
  <c r="H41" i="5"/>
  <c r="J41" i="5" s="1"/>
  <c r="E52" i="5"/>
  <c r="G52" i="5" s="1"/>
  <c r="E49" i="5"/>
  <c r="G49" i="5" s="1"/>
  <c r="H49" i="5"/>
  <c r="J49" i="5" s="1"/>
  <c r="H60" i="5"/>
  <c r="J60" i="5" s="1"/>
  <c r="H68" i="5"/>
  <c r="J68" i="5" s="1"/>
  <c r="H90" i="5"/>
  <c r="J90" i="5" s="1"/>
  <c r="H98" i="5"/>
  <c r="J98" i="5" s="1"/>
  <c r="H106" i="5"/>
  <c r="J106" i="5" s="1"/>
  <c r="H114" i="5"/>
  <c r="J114" i="5" s="1"/>
  <c r="H119" i="5"/>
  <c r="J119" i="5" s="1"/>
  <c r="H124" i="5"/>
  <c r="J124" i="5" s="1"/>
  <c r="H132" i="5"/>
  <c r="E139" i="5"/>
  <c r="G139" i="5" s="1"/>
  <c r="E187" i="5"/>
  <c r="G187" i="5" s="1"/>
  <c r="E195" i="5"/>
  <c r="G195" i="5" s="1"/>
  <c r="E203" i="5"/>
  <c r="G203" i="5" s="1"/>
  <c r="H209" i="5"/>
  <c r="J209" i="5" s="1"/>
  <c r="E211" i="5"/>
  <c r="G211" i="5" s="1"/>
  <c r="E259" i="5"/>
  <c r="G259" i="5" s="1"/>
  <c r="E267" i="5"/>
  <c r="G267" i="5" s="1"/>
  <c r="E275" i="5"/>
  <c r="G275" i="5" s="1"/>
  <c r="E283" i="5"/>
  <c r="G283" i="5" s="1"/>
  <c r="E291" i="5"/>
  <c r="G291" i="5" s="1"/>
  <c r="H297" i="5"/>
  <c r="J297" i="5" s="1"/>
  <c r="E299" i="5"/>
  <c r="G299" i="5" s="1"/>
  <c r="H305" i="5"/>
  <c r="J305" i="5" s="1"/>
  <c r="E309" i="5"/>
  <c r="G309" i="5" s="1"/>
  <c r="H311" i="5"/>
  <c r="J311" i="5" s="1"/>
  <c r="K313" i="5"/>
  <c r="M313" i="5" s="1"/>
  <c r="E317" i="5"/>
  <c r="G317" i="5" s="1"/>
  <c r="H319" i="5"/>
  <c r="J319" i="5" s="1"/>
  <c r="K321" i="5"/>
  <c r="M321" i="5" s="1"/>
  <c r="E325" i="5"/>
  <c r="G325" i="5" s="1"/>
  <c r="K329" i="5"/>
  <c r="M329" i="5" s="1"/>
  <c r="E331" i="5"/>
  <c r="G331" i="5" s="1"/>
  <c r="H57" i="5"/>
  <c r="J57" i="5" s="1"/>
  <c r="E59" i="5"/>
  <c r="G59" i="5" s="1"/>
  <c r="H65" i="5"/>
  <c r="J65" i="5" s="1"/>
  <c r="E67" i="5"/>
  <c r="G67" i="5" s="1"/>
  <c r="H73" i="5"/>
  <c r="J73" i="5" s="1"/>
  <c r="E75" i="5"/>
  <c r="G75" i="5" s="1"/>
  <c r="H83" i="5"/>
  <c r="H85" i="5"/>
  <c r="E89" i="5"/>
  <c r="G89" i="5" s="1"/>
  <c r="H95" i="5"/>
  <c r="J95" i="5" s="1"/>
  <c r="E97" i="5"/>
  <c r="G97" i="5" s="1"/>
  <c r="H103" i="5"/>
  <c r="J103" i="5" s="1"/>
  <c r="E105" i="5"/>
  <c r="G105" i="5" s="1"/>
  <c r="H111" i="5"/>
  <c r="J111" i="5" s="1"/>
  <c r="E113" i="5"/>
  <c r="G113" i="5" s="1"/>
  <c r="H116" i="5"/>
  <c r="J116" i="5" s="1"/>
  <c r="E118" i="5"/>
  <c r="G118" i="5" s="1"/>
  <c r="H182" i="5"/>
  <c r="J182" i="5" s="1"/>
  <c r="H198" i="5"/>
  <c r="J198" i="5" s="1"/>
  <c r="H206" i="5"/>
  <c r="J206" i="5" s="1"/>
  <c r="H214" i="5"/>
  <c r="J214" i="5" s="1"/>
  <c r="H222" i="5"/>
  <c r="J222" i="5" s="1"/>
  <c r="H230" i="5"/>
  <c r="J230" i="5" s="1"/>
  <c r="H238" i="5"/>
  <c r="J238" i="5" s="1"/>
  <c r="H246" i="5"/>
  <c r="J246" i="5" s="1"/>
  <c r="H254" i="5"/>
  <c r="J254" i="5" s="1"/>
  <c r="H262" i="5"/>
  <c r="J262" i="5" s="1"/>
  <c r="H270" i="5"/>
  <c r="J270" i="5" s="1"/>
  <c r="H278" i="5"/>
  <c r="J278" i="5" s="1"/>
  <c r="K312" i="5"/>
  <c r="M312" i="5" s="1"/>
  <c r="E48" i="5"/>
  <c r="G48" i="5" s="1"/>
  <c r="E56" i="5"/>
  <c r="G56" i="5" s="1"/>
  <c r="E64" i="5"/>
  <c r="G64" i="5" s="1"/>
  <c r="E72" i="5"/>
  <c r="G72" i="5" s="1"/>
  <c r="E82" i="5"/>
  <c r="G82" i="5" s="1"/>
  <c r="E94" i="5"/>
  <c r="G94" i="5" s="1"/>
  <c r="E102" i="5"/>
  <c r="G102" i="5" s="1"/>
  <c r="E110" i="5"/>
  <c r="G110" i="5" s="1"/>
  <c r="E128" i="5"/>
  <c r="G128" i="5" s="1"/>
  <c r="E133" i="5"/>
  <c r="G133" i="5" s="1"/>
  <c r="E141" i="5"/>
  <c r="G141" i="5" s="1"/>
  <c r="E149" i="5"/>
  <c r="G149" i="5" s="1"/>
  <c r="E157" i="5"/>
  <c r="G157" i="5" s="1"/>
  <c r="E165" i="5"/>
  <c r="G165" i="5" s="1"/>
  <c r="E173" i="5"/>
  <c r="G173" i="5" s="1"/>
  <c r="E181" i="5"/>
  <c r="G181" i="5" s="1"/>
  <c r="E189" i="5"/>
  <c r="G189" i="5" s="1"/>
  <c r="E197" i="5"/>
  <c r="G197" i="5" s="1"/>
  <c r="E205" i="5"/>
  <c r="G205" i="5" s="1"/>
  <c r="E213" i="5"/>
  <c r="G213" i="5" s="1"/>
  <c r="E221" i="5"/>
  <c r="G221" i="5" s="1"/>
  <c r="E229" i="5"/>
  <c r="G229" i="5" s="1"/>
  <c r="E237" i="5"/>
  <c r="G237" i="5" s="1"/>
  <c r="E245" i="5"/>
  <c r="G245" i="5" s="1"/>
  <c r="E253" i="5"/>
  <c r="G253" i="5" s="1"/>
  <c r="E261" i="5"/>
  <c r="G261" i="5" s="1"/>
  <c r="E269" i="5"/>
  <c r="G269" i="5" s="1"/>
  <c r="E277" i="5"/>
  <c r="G277" i="5" s="1"/>
  <c r="E285" i="5"/>
  <c r="G285" i="5" s="1"/>
  <c r="E293" i="5"/>
  <c r="G293" i="5" s="1"/>
  <c r="E301" i="5"/>
  <c r="G301" i="5" s="1"/>
  <c r="E307" i="5"/>
  <c r="G307" i="5" s="1"/>
  <c r="H309" i="5"/>
  <c r="J309" i="5" s="1"/>
  <c r="K311" i="5"/>
  <c r="M311" i="5" s="1"/>
  <c r="E315" i="5"/>
  <c r="G315" i="5" s="1"/>
  <c r="H317" i="5"/>
  <c r="J317" i="5" s="1"/>
  <c r="E323" i="5"/>
  <c r="G323" i="5" s="1"/>
  <c r="H325" i="5"/>
  <c r="J325" i="5" s="1"/>
  <c r="H331" i="5"/>
  <c r="J331" i="5" s="1"/>
  <c r="E58" i="5"/>
  <c r="G58" i="5" s="1"/>
  <c r="E96" i="5"/>
  <c r="G96" i="5" s="1"/>
  <c r="E104" i="5"/>
  <c r="G104" i="5" s="1"/>
  <c r="E112" i="5"/>
  <c r="G112" i="5" s="1"/>
  <c r="E223" i="5"/>
  <c r="G223" i="5" s="1"/>
  <c r="E247" i="5"/>
  <c r="G247" i="5" s="1"/>
  <c r="E255" i="5"/>
  <c r="G255" i="5" s="1"/>
  <c r="E263" i="5"/>
  <c r="G263" i="5" s="1"/>
  <c r="E271" i="5"/>
  <c r="G271" i="5" s="1"/>
  <c r="E279" i="5"/>
  <c r="G279" i="5" s="1"/>
  <c r="E287" i="5"/>
  <c r="G287" i="5" s="1"/>
  <c r="E295" i="5"/>
  <c r="G295" i="5" s="1"/>
  <c r="E303" i="5"/>
  <c r="G303" i="5" s="1"/>
  <c r="H307" i="5"/>
  <c r="J307" i="5" s="1"/>
  <c r="E313" i="5"/>
  <c r="G313" i="5" s="1"/>
  <c r="H315" i="5"/>
  <c r="J315" i="5" s="1"/>
  <c r="E321" i="5"/>
  <c r="G321" i="5" s="1"/>
  <c r="H323" i="5"/>
  <c r="J323" i="5" s="1"/>
  <c r="E329" i="5"/>
  <c r="G329" i="5" s="1"/>
  <c r="E140" i="5"/>
  <c r="G140" i="5" s="1"/>
  <c r="E148" i="5"/>
  <c r="G148" i="5" s="1"/>
  <c r="E156" i="5"/>
  <c r="G156" i="5" s="1"/>
  <c r="E164" i="5"/>
  <c r="G164" i="5" s="1"/>
  <c r="E172" i="5"/>
  <c r="G172" i="5" s="1"/>
  <c r="E180" i="5"/>
  <c r="G180" i="5" s="1"/>
  <c r="E188" i="5"/>
  <c r="G188" i="5" s="1"/>
  <c r="E196" i="5"/>
  <c r="G196" i="5" s="1"/>
  <c r="E204" i="5"/>
  <c r="G204" i="5" s="1"/>
  <c r="E212" i="5"/>
  <c r="G212" i="5" s="1"/>
  <c r="E220" i="5"/>
  <c r="G220" i="5" s="1"/>
  <c r="E228" i="5"/>
  <c r="G228" i="5" s="1"/>
  <c r="E244" i="5"/>
  <c r="G244" i="5" s="1"/>
  <c r="E252" i="5"/>
  <c r="G252" i="5" s="1"/>
  <c r="E260" i="5"/>
  <c r="G260" i="5" s="1"/>
  <c r="E268" i="5"/>
  <c r="G268" i="5" s="1"/>
  <c r="E276" i="5"/>
  <c r="G276" i="5" s="1"/>
  <c r="E284" i="5"/>
  <c r="G284" i="5" s="1"/>
  <c r="E292" i="5"/>
  <c r="G292" i="5" s="1"/>
  <c r="E300" i="5"/>
  <c r="G300" i="5" s="1"/>
  <c r="E312" i="5"/>
  <c r="G312" i="5" s="1"/>
  <c r="E328" i="5"/>
  <c r="G328" i="5" s="1"/>
  <c r="E147" i="5" l="1"/>
  <c r="G147" i="5" s="1"/>
  <c r="E193" i="5"/>
  <c r="G193" i="5" s="1"/>
  <c r="E161" i="5"/>
  <c r="G161" i="5" s="1"/>
  <c r="E190" i="5"/>
  <c r="G190" i="5" s="1"/>
  <c r="H160" i="5"/>
  <c r="J160" i="5" s="1"/>
  <c r="E194" i="5"/>
  <c r="G194" i="5" s="1"/>
  <c r="E234" i="5"/>
  <c r="G234" i="5" s="1"/>
  <c r="E235" i="5"/>
  <c r="G235" i="5" s="1"/>
  <c r="E191" i="5"/>
  <c r="G191" i="5" s="1"/>
  <c r="E239" i="5"/>
  <c r="G239" i="5" s="1"/>
  <c r="H233" i="5"/>
  <c r="J233" i="5" s="1"/>
  <c r="H236" i="5"/>
  <c r="J236" i="5" s="1"/>
  <c r="J6" i="6"/>
  <c r="K6" i="6" s="1"/>
  <c r="AQ679" i="2"/>
  <c r="AQ680" i="2" s="1"/>
  <c r="AQ675" i="2"/>
  <c r="AQ681" i="2"/>
  <c r="AQ682" i="2" s="1"/>
  <c r="AQ677" i="2"/>
  <c r="S18" i="5" l="1"/>
  <c r="T18" i="5" s="1"/>
  <c r="X18" i="5" s="1"/>
  <c r="S5" i="5"/>
  <c r="T5" i="5" s="1"/>
  <c r="S2" i="5"/>
  <c r="T2" i="5" s="1"/>
  <c r="S14" i="5"/>
  <c r="T14" i="5" s="1"/>
  <c r="X14" i="5" s="1"/>
  <c r="S6" i="5"/>
  <c r="T6" i="5" s="1"/>
  <c r="S16" i="5"/>
  <c r="T16" i="5" s="1"/>
  <c r="X16" i="5" s="1"/>
  <c r="S13" i="5"/>
  <c r="T13" i="5" s="1"/>
  <c r="X13" i="5" s="1"/>
  <c r="S3" i="5"/>
  <c r="T3" i="5" s="1"/>
  <c r="S15" i="5"/>
  <c r="T15" i="5" s="1"/>
  <c r="X15" i="5" s="1"/>
  <c r="S10" i="5"/>
  <c r="T10" i="5" s="1"/>
  <c r="S19" i="5"/>
  <c r="T19" i="5" s="1"/>
  <c r="X19" i="5" s="1"/>
  <c r="U15" i="5"/>
  <c r="V15" i="5" s="1"/>
  <c r="U18" i="5"/>
  <c r="V18" i="5" s="1"/>
  <c r="U17" i="5"/>
  <c r="V17" i="5" s="1"/>
  <c r="U16" i="5"/>
  <c r="V16" i="5" s="1"/>
  <c r="U20" i="5"/>
  <c r="V20" i="5" s="1"/>
  <c r="U3" i="5"/>
  <c r="V3" i="5" s="1"/>
  <c r="U13" i="5"/>
  <c r="V13" i="5" s="1"/>
  <c r="U6" i="5"/>
  <c r="V6" i="5" s="1"/>
  <c r="U2" i="5"/>
  <c r="V2" i="5" s="1"/>
  <c r="S11" i="5"/>
  <c r="T11" i="5" s="1"/>
  <c r="S17" i="5"/>
  <c r="T17" i="5" s="1"/>
  <c r="X17" i="5" s="1"/>
  <c r="S20" i="5"/>
  <c r="T20" i="5" s="1"/>
  <c r="X20" i="5" s="1"/>
  <c r="S12" i="5"/>
  <c r="T12" i="5" s="1"/>
  <c r="X12" i="5" s="1"/>
  <c r="S4" i="5"/>
  <c r="T4" i="5" s="1"/>
  <c r="U19" i="5"/>
  <c r="V19" i="5" s="1"/>
  <c r="U12" i="5"/>
  <c r="V12" i="5" s="1"/>
  <c r="S9" i="5"/>
  <c r="T9" i="5" s="1"/>
  <c r="U4" i="5"/>
  <c r="V4" i="5" s="1"/>
  <c r="U14" i="5"/>
  <c r="V14" i="5" s="1"/>
  <c r="U5" i="5"/>
  <c r="V5" i="5" s="1"/>
  <c r="U10" i="5"/>
  <c r="V10" i="5" s="1"/>
  <c r="U11" i="5"/>
  <c r="V11" i="5" s="1"/>
  <c r="U9" i="5"/>
  <c r="V9" i="5" s="1"/>
  <c r="AP2008" i="2" l="1"/>
  <c r="AR1933" i="2" l="1"/>
  <c r="AR1914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Alejandra Rojas Valderrama</author>
    <author>usuario</author>
    <author>Joselyn Luna Carrillo</author>
    <author>Silvanna Jeanette Cervantes Vicente</author>
    <author>p</author>
    <author>Evelin Alejandra Rojas Valderrama</author>
    <author>User</author>
    <author>Mery Estela Saldaña Reyes</author>
    <author>Rocio Alejandra Arauco Tapia</author>
    <author>Patricia Elena Cabeza Valles</author>
    <author>Kattia Marilyn Aldave Salazar</author>
    <author>tc={E28F5CA6-9697-4A8B-B47E-2B9E8CFD48A9}</author>
    <author>tc={EC48C482-F2A4-4212-8837-D013A9485C10}</author>
    <author>tc={78FBA5BA-66F4-475D-A02E-0BB3D7354CF7}</author>
    <author>tc={1DB97F29-D67A-4D39-A0DE-023C46609D22}</author>
    <author>tc={EB80458E-4D61-48BE-91B2-4A3611354FD6}</author>
    <author>tc={1A26118B-CB0E-403D-A6DE-E835E493AA84}</author>
    <author>tc={4217B472-F2CB-43D4-8CC0-837B0630F064}</author>
    <author>tc={E62B7A27-70EC-4DE5-B1CC-3AFEB27AEF25}</author>
  </authors>
  <commentList>
    <comment ref="S1" authorId="0" shapeId="0" xr:uid="{00000000-0006-0000-0100-00000100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O CIERRE DE COMPRA
</t>
        </r>
      </text>
    </comment>
    <comment ref="AH1" authorId="1" shapeId="0" xr:uid="{83FF230F-A0EA-4BC6-8B36-CC4A337946F8}">
      <text>
        <r>
          <rPr>
            <b/>
            <sz val="9"/>
            <color indexed="81"/>
            <rFont val="Tahoma"/>
            <family val="2"/>
          </rPr>
          <t xml:space="preserve">KRISTEL.
CARGA SUELTA
PALLETS
</t>
        </r>
      </text>
    </comment>
    <comment ref="BS1" authorId="2" shapeId="0" xr:uid="{00000000-0006-0000-0100-000003000000}">
      <text>
        <r>
          <rPr>
            <sz val="9"/>
            <color indexed="81"/>
            <rFont val="Tahoma"/>
            <family val="2"/>
          </rPr>
          <t xml:space="preserve">Diferido
SADA DD
SADA PL
Urgente
</t>
        </r>
      </text>
    </comment>
    <comment ref="AT18" authorId="3" shapeId="0" xr:uid="{00000000-0006-0000-0100-000004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Comenzó Op: 20/06
</t>
        </r>
      </text>
    </comment>
    <comment ref="G22" authorId="3" shapeId="0" xr:uid="{17D43252-6259-455A-8F7E-9B75F539629F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a R. TRADING SA</t>
        </r>
      </text>
    </comment>
    <comment ref="J22" authorId="3" shapeId="0" xr:uid="{13948729-8E0D-4BD0-8F81-11D4278DACFB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a R. TRADING SA</t>
        </r>
      </text>
    </comment>
    <comment ref="G23" authorId="3" shapeId="0" xr:uid="{753265BE-1427-4439-BB73-B2F9D035649A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a R TRADING SA
</t>
        </r>
      </text>
    </comment>
    <comment ref="J23" authorId="3" shapeId="0" xr:uid="{CEEE2B8A-A3E0-43FD-8D5F-E1B124217861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a R TRADING SA
</t>
        </r>
      </text>
    </comment>
    <comment ref="AT23" authorId="3" shapeId="0" xr:uid="{00000000-0006-0000-0100-000006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Comenzó Op: 20/06
</t>
        </r>
      </text>
    </comment>
    <comment ref="H36" authorId="4" shapeId="0" xr:uid="{E60918DF-5E6C-4FBB-8143-6388E12CDFAD}">
      <text>
        <r>
          <rPr>
            <i/>
            <sz val="9"/>
            <color indexed="81"/>
            <rFont val="Tahoma"/>
            <family val="2"/>
          </rPr>
          <t>SE MANEJÓ COMO COMPRA LOCAL</t>
        </r>
      </text>
    </comment>
    <comment ref="R37" authorId="3" shapeId="0" xr:uid="{00000000-0006-0000-0100-000009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1er contrato KTS201710205
</t>
        </r>
      </text>
    </comment>
    <comment ref="R40" authorId="3" shapeId="0" xr:uid="{00000000-0006-0000-0100-00000A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1er contrato KTS201710206</t>
        </r>
      </text>
    </comment>
    <comment ref="AB54" authorId="3" shapeId="0" xr:uid="{5C7225E5-C909-432D-B746-DE831EB2A1EC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Almadesa 2200</t>
        </r>
      </text>
    </comment>
    <comment ref="AT55" authorId="3" shapeId="0" xr:uid="{00000000-0006-0000-0100-00000C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Comenzó descarga 21/07</t>
        </r>
      </text>
    </comment>
    <comment ref="AB56" authorId="3" shapeId="0" xr:uid="{476039C1-F6CA-4E98-9906-B61F67D48F91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2880 - Barron
200 - Zapallal</t>
        </r>
      </text>
    </comment>
    <comment ref="G63" authorId="3" shapeId="0" xr:uid="{89FA5601-0623-4213-A289-BEC4BFB963B5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ANULADA 8000000103</t>
        </r>
      </text>
    </comment>
    <comment ref="J63" authorId="3" shapeId="0" xr:uid="{E5FF8510-6DAF-4304-822F-7709569C163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ANULADA 8000000103</t>
        </r>
      </text>
    </comment>
    <comment ref="AB63" authorId="3" shapeId="0" xr:uid="{BED24C7B-57F1-43BD-B7B3-C799125850EB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300 TM CERES</t>
        </r>
      </text>
    </comment>
    <comment ref="AB68" authorId="3" shapeId="0" xr:uid="{838BA29F-EB90-41FD-AEBD-90B5D4D15319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1800 TM CERES
</t>
        </r>
      </text>
    </comment>
    <comment ref="V76" authorId="3" shapeId="0" xr:uid="{00000000-0006-0000-0100-000011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Se pagó adelanto de 30%
</t>
        </r>
      </text>
    </comment>
    <comment ref="G88" authorId="3" shapeId="0" xr:uid="{24A9AEB3-3ADB-40E7-925E-221E8A1AF2CB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NO APARECE EL NOMBRE DEL PROVEEDOR EN EL SAP
</t>
        </r>
      </text>
    </comment>
    <comment ref="J88" authorId="3" shapeId="0" xr:uid="{D504F0D1-CE7D-4EB4-87D4-6855E0908E32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NO APARECE EL NOMBRE DEL PROVEEDOR EN EL SAP
</t>
        </r>
      </text>
    </comment>
    <comment ref="Y134" authorId="4" shapeId="0" xr:uid="{00000000-0006-0000-0100-000013000000}">
      <text>
        <r>
          <rPr>
            <i/>
            <sz val="9"/>
            <color indexed="81"/>
            <rFont val="Tahoma"/>
            <family val="2"/>
          </rPr>
          <t>SE CANCELÓ EL 40%</t>
        </r>
      </text>
    </comment>
    <comment ref="Y167" authorId="4" shapeId="0" xr:uid="{00000000-0006-0000-0100-000014000000}">
      <text>
        <r>
          <rPr>
            <i/>
            <sz val="9"/>
            <color indexed="81"/>
            <rFont val="Tahoma"/>
            <family val="2"/>
          </rPr>
          <t>SE CANCELÓ EL 40%</t>
        </r>
      </text>
    </comment>
    <comment ref="AT167" authorId="3" shapeId="0" xr:uid="{00000000-0006-0000-0100-000015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2do ingreso 23/01</t>
        </r>
      </text>
    </comment>
    <comment ref="AB173" authorId="3" shapeId="0" xr:uid="{4AEB6554-6492-4933-8939-C9AC2D91F1A1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500TM ALMADESA</t>
        </r>
      </text>
    </comment>
    <comment ref="AB175" authorId="3" shapeId="0" xr:uid="{F8451700-96F5-4292-BE06-11BC7F93F558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400TM A ZAPALLAL</t>
        </r>
      </text>
    </comment>
    <comment ref="AB177" authorId="3" shapeId="0" xr:uid="{8F3F6645-1CBA-4993-B8B7-2E2F328F77DF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100TM A Almadesa</t>
        </r>
      </text>
    </comment>
    <comment ref="AB179" authorId="3" shapeId="0" xr:uid="{9D643071-295A-4063-8FFE-C6D563332CCF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100TM A ZAPALLAL</t>
        </r>
      </text>
    </comment>
    <comment ref="AT193" authorId="3" shapeId="0" xr:uid="{00000000-0006-0000-0100-00001A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Inicia operaciones el 07.02</t>
        </r>
      </text>
    </comment>
    <comment ref="AB196" authorId="3" shapeId="0" xr:uid="{65A97E85-9B76-405B-9258-664F3C025805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200TM a Almadesa</t>
        </r>
      </text>
    </comment>
    <comment ref="X224" authorId="3" shapeId="0" xr:uid="{00000000-0006-0000-0100-00001C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Forfaiting
</t>
        </r>
      </text>
    </comment>
    <comment ref="X225" authorId="3" shapeId="0" xr:uid="{00000000-0006-0000-0100-00001D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Forfaiting
</t>
        </r>
      </text>
    </comment>
    <comment ref="T226" authorId="3" shapeId="0" xr:uid="{00000000-0006-0000-0100-00001E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L/C
</t>
        </r>
      </text>
    </comment>
    <comment ref="T227" authorId="3" shapeId="0" xr:uid="{00000000-0006-0000-0100-00001F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L/C
</t>
        </r>
      </text>
    </comment>
    <comment ref="AT232" authorId="3" shapeId="0" xr:uid="{00000000-0006-0000-0100-000020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Inicia ops. 01/03</t>
        </r>
      </text>
    </comment>
    <comment ref="T235" authorId="3" shapeId="0" xr:uid="{00000000-0006-0000-0100-000021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Prepago:
- 30% del total a la confirmación de compra
- 70% contra documentos (más tardar 5 días antes de embarcar)
</t>
        </r>
      </text>
    </comment>
    <comment ref="Y235" authorId="3" shapeId="0" xr:uid="{00000000-0006-0000-0100-000022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30% Y 70%</t>
        </r>
      </text>
    </comment>
    <comment ref="T236" authorId="3" shapeId="0" xr:uid="{00000000-0006-0000-0100-000023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Prepago:
- 30% del total a la confirmación de compra
- 70% contra documentos (más tardar 5 días antes de embarcar)
</t>
        </r>
      </text>
    </comment>
    <comment ref="Y236" authorId="3" shapeId="0" xr:uid="{00000000-0006-0000-0100-000024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30%</t>
        </r>
      </text>
    </comment>
    <comment ref="T239" authorId="3" shapeId="0" xr:uid="{00000000-0006-0000-0100-000025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Prepago:
- 30% del total a la confirmación de compra
- 70% contra documentos (más tardar 5 días antes de embarcar)
</t>
        </r>
      </text>
    </comment>
    <comment ref="X239" authorId="3" shapeId="0" xr:uid="{00000000-0006-0000-0100-000026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1er pago 27/03</t>
        </r>
      </text>
    </comment>
    <comment ref="T240" authorId="3" shapeId="0" xr:uid="{00000000-0006-0000-0100-000027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Prepago:
- 30% del total a la confirmación de compra
- 70% contra documentos (más tardar 5 días antes de embarcar)
</t>
        </r>
      </text>
    </comment>
    <comment ref="AC250" authorId="3" shapeId="0" xr:uid="{00000000-0006-0000-0100-000028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+ Flete</t>
        </r>
      </text>
    </comment>
    <comment ref="AC251" authorId="3" shapeId="0" xr:uid="{00000000-0006-0000-0100-000029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+ Flete
$10.80 x Bolsa 20kg</t>
        </r>
      </text>
    </comment>
    <comment ref="AC252" authorId="3" shapeId="0" xr:uid="{00000000-0006-0000-0100-00002A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+ Flete</t>
        </r>
      </text>
    </comment>
    <comment ref="T268" authorId="3" shapeId="0" xr:uid="{00000000-0006-0000-0100-00002B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Prepago:
- 30% del total a la confirmación de compra
- 70% contra documentos (más tardar 5 días antes de embarcar)
</t>
        </r>
      </text>
    </comment>
    <comment ref="AB269" authorId="3" shapeId="0" xr:uid="{529BE068-45E4-47B0-B8B9-DEB673C3DCEF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Almadesa - 800tm</t>
        </r>
      </text>
    </comment>
    <comment ref="AB271" authorId="3" shapeId="0" xr:uid="{52F07C07-0448-4307-8124-8797B29BE7A6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100 Huacho</t>
        </r>
      </text>
    </comment>
    <comment ref="AB275" authorId="3" shapeId="0" xr:uid="{F37DE4F8-B21E-40D4-8650-C2E4F66E149E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HUACHO 500TM</t>
        </r>
      </text>
    </comment>
    <comment ref="T304" authorId="3" shapeId="0" xr:uid="{00000000-0006-0000-0100-00002F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20% anticipo
80% contra docs</t>
        </r>
      </text>
    </comment>
    <comment ref="Y304" authorId="3" shapeId="0" xr:uid="{00000000-0006-0000-0100-000030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SE PAGO 20% Y 80%</t>
        </r>
      </text>
    </comment>
    <comment ref="T305" authorId="3" shapeId="0" xr:uid="{00000000-0006-0000-0100-000031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20% anticipo
80% contra docs</t>
        </r>
      </text>
    </comment>
    <comment ref="Y305" authorId="3" shapeId="0" xr:uid="{00000000-0006-0000-0100-000032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SE PAGO 20% Y 80%</t>
        </r>
      </text>
    </comment>
    <comment ref="T306" authorId="3" shapeId="0" xr:uid="{00000000-0006-0000-0100-000033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20% anticipo
80% contra docs</t>
        </r>
      </text>
    </comment>
    <comment ref="Y306" authorId="3" shapeId="0" xr:uid="{00000000-0006-0000-0100-000034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SE PAGO 20% Y 80%</t>
        </r>
      </text>
    </comment>
    <comment ref="T307" authorId="3" shapeId="0" xr:uid="{00000000-0006-0000-0100-000035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20% anticipo
80% contra docs</t>
        </r>
      </text>
    </comment>
    <comment ref="V307" authorId="3" shapeId="0" xr:uid="{00000000-0006-0000-0100-000036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PF185161/2 como ref. para el pago de las 1050tm
</t>
        </r>
      </text>
    </comment>
    <comment ref="Y307" authorId="3" shapeId="0" xr:uid="{00000000-0006-0000-0100-000037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SE PAGO 20%
</t>
        </r>
      </text>
    </comment>
    <comment ref="T308" authorId="3" shapeId="0" xr:uid="{00000000-0006-0000-0100-000038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20% anticipo
80% contra docs</t>
        </r>
      </text>
    </comment>
    <comment ref="V308" authorId="3" shapeId="0" xr:uid="{00000000-0006-0000-0100-000039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PF185161/2 como ref. para el pago de las 1050tm
</t>
        </r>
      </text>
    </comment>
    <comment ref="Y308" authorId="3" shapeId="0" xr:uid="{00000000-0006-0000-0100-00003A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SE PAGO 20% y 80%
</t>
        </r>
      </text>
    </comment>
    <comment ref="T309" authorId="3" shapeId="0" xr:uid="{00000000-0006-0000-0100-00003B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20% anticipo
80% contra docs</t>
        </r>
      </text>
    </comment>
    <comment ref="Y309" authorId="3" shapeId="0" xr:uid="{00000000-0006-0000-0100-00003C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SE PAGO 20% Y 80%</t>
        </r>
      </text>
    </comment>
    <comment ref="T310" authorId="3" shapeId="0" xr:uid="{00000000-0006-0000-0100-00003D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20% anticipo
80% contra docs</t>
        </r>
      </text>
    </comment>
    <comment ref="V310" authorId="3" shapeId="0" xr:uid="{00000000-0006-0000-0100-00003E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PF185161/2 como ref. para el pago de las 1050tm
</t>
        </r>
      </text>
    </comment>
    <comment ref="Y310" authorId="3" shapeId="0" xr:uid="{00000000-0006-0000-0100-00003F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SE PAGO 20% Y 80%</t>
        </r>
      </text>
    </comment>
    <comment ref="T311" authorId="3" shapeId="0" xr:uid="{00000000-0006-0000-0100-000040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20% anticipo
80% contra docs</t>
        </r>
      </text>
    </comment>
    <comment ref="V311" authorId="3" shapeId="0" xr:uid="{00000000-0006-0000-0100-000041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PF185161/2 como ref. para el pago de las 1050tm
</t>
        </r>
      </text>
    </comment>
    <comment ref="Y311" authorId="3" shapeId="0" xr:uid="{00000000-0006-0000-0100-000042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SE PAGO 20% Y 80%</t>
        </r>
      </text>
    </comment>
    <comment ref="Z334" authorId="3" shapeId="0" xr:uid="{EA6F79A3-7AEE-4A80-9872-5C4F07CF72C8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</t>
        </r>
      </text>
    </comment>
    <comment ref="AT334" authorId="3" shapeId="0" xr:uid="{00000000-0006-0000-0100-000044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Comienzo de descarga 27/10
</t>
        </r>
      </text>
    </comment>
    <comment ref="Z335" authorId="3" shapeId="0" xr:uid="{9FC56679-1A89-4266-A3AF-C207536E49EE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</t>
        </r>
      </text>
    </comment>
    <comment ref="Z356" authorId="3" shapeId="0" xr:uid="{0971A3D1-1648-4529-832B-D7C665E7232F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Free out (Descarga porción nave)</t>
        </r>
      </text>
    </comment>
    <comment ref="X368" authorId="3" shapeId="0" xr:uid="{00000000-0006-0000-0100-000047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due date: 19/12/18</t>
        </r>
      </text>
    </comment>
    <comment ref="X369" authorId="3" shapeId="0" xr:uid="{00000000-0006-0000-0100-000048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due date: 17/12/18</t>
        </r>
      </text>
    </comment>
    <comment ref="AI372" authorId="3" shapeId="0" xr:uid="{00000000-0006-0000-0100-000049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MARCA: ROMERO</t>
        </r>
      </text>
    </comment>
    <comment ref="AT372" authorId="3" shapeId="0" xr:uid="{00000000-0006-0000-0100-00004A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26/12 (Segundo ingreso 1x20')</t>
        </r>
      </text>
    </comment>
    <comment ref="AI373" authorId="3" shapeId="0" xr:uid="{00000000-0006-0000-0100-00004B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MARCA: ROMERO</t>
        </r>
      </text>
    </comment>
    <comment ref="AI374" authorId="3" shapeId="0" xr:uid="{00000000-0006-0000-0100-00004C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Bolsas Romero
</t>
        </r>
      </text>
    </comment>
    <comment ref="AI375" authorId="3" shapeId="0" xr:uid="{00000000-0006-0000-0100-00004D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Bolsas Romero
</t>
        </r>
      </text>
    </comment>
    <comment ref="AI376" authorId="3" shapeId="0" xr:uid="{00000000-0006-0000-0100-00004E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Bolsas Romero
</t>
        </r>
      </text>
    </comment>
    <comment ref="AI383" authorId="3" shapeId="0" xr:uid="{00000000-0006-0000-0100-00004F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MARCA: ROMERO</t>
        </r>
      </text>
    </comment>
    <comment ref="AI384" authorId="3" shapeId="0" xr:uid="{00000000-0006-0000-0100-000050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MARCA: ROMERO</t>
        </r>
      </text>
    </comment>
    <comment ref="AB385" authorId="3" shapeId="0" xr:uid="{2C80B36E-4D35-43CA-81B8-200FE998E448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pallets
</t>
        </r>
      </text>
    </comment>
    <comment ref="G386" authorId="3" shapeId="0" xr:uid="{E902B293-6DCB-4300-8886-38BCCDF1F591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203 ANULADA</t>
        </r>
      </text>
    </comment>
    <comment ref="J386" authorId="3" shapeId="0" xr:uid="{0825C9DF-0573-40EC-A36A-73DFF553BDD5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203 ANULADA</t>
        </r>
      </text>
    </comment>
    <comment ref="AI388" authorId="3" shapeId="0" xr:uid="{00000000-0006-0000-0100-000053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SOLAR BAGS</t>
        </r>
      </text>
    </comment>
    <comment ref="AI389" authorId="3" shapeId="0" xr:uid="{00000000-0006-0000-0100-000054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SOLAR BAGS</t>
        </r>
      </text>
    </comment>
    <comment ref="V390" authorId="3" shapeId="0" xr:uid="{00000000-0006-0000-0100-000055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forfaiting</t>
        </r>
      </text>
    </comment>
    <comment ref="V391" authorId="3" shapeId="0" xr:uid="{00000000-0006-0000-0100-000056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forfaiting</t>
        </r>
      </text>
    </comment>
    <comment ref="AI391" authorId="3" shapeId="0" xr:uid="{00000000-0006-0000-0100-000057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 BAGS</t>
        </r>
      </text>
    </comment>
    <comment ref="V392" authorId="3" shapeId="0" xr:uid="{00000000-0006-0000-0100-000058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forfaiting</t>
        </r>
      </text>
    </comment>
    <comment ref="AI392" authorId="3" shapeId="0" xr:uid="{00000000-0006-0000-0100-000059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 BAGS</t>
        </r>
      </text>
    </comment>
    <comment ref="T393" authorId="3" shapeId="0" xr:uid="{00000000-0006-0000-0100-00005A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20% CONTRA PROFORMA
80% CONTRA DOCS</t>
        </r>
      </text>
    </comment>
    <comment ref="AI393" authorId="3" shapeId="0" xr:uid="{00000000-0006-0000-0100-00005B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ROMERO/SIN PALLETS
</t>
        </r>
      </text>
    </comment>
    <comment ref="T394" authorId="3" shapeId="0" xr:uid="{00000000-0006-0000-0100-00005C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20% CONTRA PROFORMA
80% CONTRA DOCS</t>
        </r>
      </text>
    </comment>
    <comment ref="X394" authorId="3" shapeId="0" xr:uid="{00000000-0006-0000-0100-00005D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SE PAGÓ 20% y 80%
</t>
        </r>
      </text>
    </comment>
    <comment ref="AI394" authorId="3" shapeId="0" xr:uid="{00000000-0006-0000-0100-00005E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ROMERO/SIN PALLETS
</t>
        </r>
      </text>
    </comment>
    <comment ref="T395" authorId="3" shapeId="0" xr:uid="{00000000-0006-0000-0100-00005F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Leasing
</t>
        </r>
      </text>
    </comment>
    <comment ref="T396" authorId="3" shapeId="0" xr:uid="{00000000-0006-0000-0100-000060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Leasing
</t>
        </r>
      </text>
    </comment>
    <comment ref="AI398" authorId="3" shapeId="0" xr:uid="{00000000-0006-0000-0100-000061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Bolsas Cosayach
</t>
        </r>
      </text>
    </comment>
    <comment ref="AC407" authorId="3" shapeId="0" xr:uid="{00000000-0006-0000-0100-000062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Incluye NC de $260/TM</t>
        </r>
      </text>
    </comment>
    <comment ref="AC408" authorId="3" shapeId="0" xr:uid="{00000000-0006-0000-0100-000063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Incluye NC de $260/TM</t>
        </r>
      </text>
    </comment>
    <comment ref="AC409" authorId="3" shapeId="0" xr:uid="{00000000-0006-0000-0100-000064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Incluye NC de $260/TM</t>
        </r>
      </text>
    </comment>
    <comment ref="AC410" authorId="3" shapeId="0" xr:uid="{00000000-0006-0000-0100-000065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Incluye NC de $260/TM</t>
        </r>
      </text>
    </comment>
    <comment ref="AC414" authorId="3" shapeId="0" xr:uid="{00000000-0006-0000-0100-000066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NC $10/TM</t>
        </r>
      </text>
    </comment>
    <comment ref="G415" authorId="3" shapeId="0" xr:uid="{6F4D7537-82A2-48AB-AB7F-A4158D229B7E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8000000262 ANULADA</t>
        </r>
      </text>
    </comment>
    <comment ref="J415" authorId="3" shapeId="0" xr:uid="{D6B796E5-093A-43FB-AEB2-AF44CFBE702B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8000000262 ANULADA</t>
        </r>
      </text>
    </comment>
    <comment ref="G423" authorId="3" shapeId="0" xr:uid="{AECB1A55-30D2-4BA2-B45B-D5C9117EDB12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8000000266 ANULADA
</t>
        </r>
      </text>
    </comment>
    <comment ref="J423" authorId="3" shapeId="0" xr:uid="{4F94BB69-04EE-4880-88E6-125B2EF6A87D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8000000266 ANULADA
</t>
        </r>
      </text>
    </comment>
    <comment ref="G424" authorId="3" shapeId="0" xr:uid="{4963E768-38C8-48CB-851C-2F0AD3C5281F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8000000267 ANULADA</t>
        </r>
      </text>
    </comment>
    <comment ref="J424" authorId="3" shapeId="0" xr:uid="{9292C09A-A5FE-4C69-81CF-3C0C76B4F6EB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8000000267 ANULADA</t>
        </r>
      </text>
    </comment>
    <comment ref="G425" authorId="3" shapeId="0" xr:uid="{6A064335-2880-4E72-A910-B7DE59315F63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261 ANULADA</t>
        </r>
      </text>
    </comment>
    <comment ref="J425" authorId="3" shapeId="0" xr:uid="{067F338E-5D73-4B9C-BD2E-04140ECAB395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261 ANULADA</t>
        </r>
      </text>
    </comment>
    <comment ref="AI425" authorId="3" shapeId="0" xr:uid="{00000000-0006-0000-0100-00006A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kemira bags</t>
        </r>
      </text>
    </comment>
    <comment ref="AI426" authorId="3" shapeId="0" xr:uid="{00000000-0006-0000-0100-00006C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 bags</t>
        </r>
      </text>
    </comment>
    <comment ref="AI427" authorId="3" shapeId="0" xr:uid="{00000000-0006-0000-0100-00006D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kemira bags</t>
        </r>
      </text>
    </comment>
    <comment ref="AI428" authorId="3" shapeId="0" xr:uid="{00000000-0006-0000-0100-00006E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 bags</t>
        </r>
      </text>
    </comment>
    <comment ref="AI429" authorId="3" shapeId="0" xr:uid="{00000000-0006-0000-0100-00006F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 bags</t>
        </r>
      </text>
    </comment>
    <comment ref="AI430" authorId="3" shapeId="0" xr:uid="{00000000-0006-0000-0100-000070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kemira bags</t>
        </r>
      </text>
    </comment>
    <comment ref="AI431" authorId="3" shapeId="0" xr:uid="{00000000-0006-0000-0100-000071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kemira bags</t>
        </r>
      </text>
    </comment>
    <comment ref="AB432" authorId="3" shapeId="0" xr:uid="{7B313250-60EB-4121-B253-F7E7F07B5463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300TM PAITA RC
400TM ALMADESA</t>
        </r>
      </text>
    </comment>
    <comment ref="G435" authorId="3" shapeId="0" xr:uid="{75C9A19A-C6CB-44DA-A102-1EF605C602C1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8000000293 ANULADA
</t>
        </r>
      </text>
    </comment>
    <comment ref="J435" authorId="3" shapeId="0" xr:uid="{E9F0E853-F552-4C9E-A6EB-6D7D2DF9714F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8000000293 ANULADA
</t>
        </r>
      </text>
    </comment>
    <comment ref="AI441" authorId="3" shapeId="0" xr:uid="{00000000-0006-0000-0100-000074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Solar bags/pallets
</t>
        </r>
      </text>
    </comment>
    <comment ref="AI442" authorId="3" shapeId="0" xr:uid="{00000000-0006-0000-0100-000075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Solar bags/pallets
</t>
        </r>
      </text>
    </comment>
    <comment ref="AI445" authorId="3" shapeId="0" xr:uid="{00000000-0006-0000-0100-000076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granel</t>
        </r>
      </text>
    </comment>
    <comment ref="AB455" authorId="3" shapeId="0" xr:uid="{18F774CF-6BC2-420E-855E-AA9BA9C35E88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 
s/p</t>
        </r>
      </text>
    </comment>
    <comment ref="AB456" authorId="3" shapeId="0" xr:uid="{73E63186-4D3F-4179-8973-E147ED67F5EA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s/p</t>
        </r>
      </text>
    </comment>
    <comment ref="AB457" authorId="3" shapeId="0" xr:uid="{042272E1-2C1B-400D-BE8B-336C0F134598}">
      <text>
        <r>
          <rPr>
            <i/>
            <sz val="9"/>
            <color indexed="81"/>
            <rFont val="Tahoma"/>
            <family val="2"/>
          </rPr>
          <t xml:space="preserve">Silvanna Jeanette Cervantes Vicente:
ROMERO 
s/p
</t>
        </r>
      </text>
    </comment>
    <comment ref="H462" authorId="3" shapeId="0" xr:uid="{CA8038DC-7625-4C25-B650-7F2670B7DDB4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SE DEBE TRASLADAR A MATARANI
</t>
        </r>
      </text>
    </comment>
    <comment ref="Y465" authorId="3" shapeId="0" xr:uid="{00000000-0006-0000-0100-00007B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20% pagado
80% pagado</t>
        </r>
      </text>
    </comment>
    <comment ref="AI465" authorId="3" shapeId="0" xr:uid="{00000000-0006-0000-0100-00007C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MARCA ROMERO
</t>
        </r>
      </text>
    </comment>
    <comment ref="Y466" authorId="3" shapeId="0" xr:uid="{00000000-0006-0000-0100-00007D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20% pagado
80% pagado</t>
        </r>
      </text>
    </comment>
    <comment ref="AI466" authorId="3" shapeId="0" xr:uid="{00000000-0006-0000-0100-00007E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MARCA ROMERO
</t>
        </r>
      </text>
    </comment>
    <comment ref="Y467" authorId="3" shapeId="0" xr:uid="{00000000-0006-0000-0100-00007F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Pagado 20%
Pagado 80%</t>
        </r>
      </text>
    </comment>
    <comment ref="AI467" authorId="3" shapeId="0" xr:uid="{00000000-0006-0000-0100-000080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MARCA ROMERO
</t>
        </r>
      </text>
    </comment>
    <comment ref="G470" authorId="3" shapeId="0" xr:uid="{F9F37637-99FB-471E-A1D7-7CC64EA3722B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295 ANULADA
</t>
        </r>
      </text>
    </comment>
    <comment ref="J470" authorId="3" shapeId="0" xr:uid="{2CFF3141-A8CA-4A86-88B5-DB649F6F8FAF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295 ANULADA
</t>
        </r>
      </text>
    </comment>
    <comment ref="AI471" authorId="3" shapeId="0" xr:uid="{00000000-0006-0000-0100-000082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MARCA ROMERO
</t>
        </r>
      </text>
    </comment>
    <comment ref="AI472" authorId="3" shapeId="0" xr:uid="{00000000-0006-0000-0100-000083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MARCA ROMERO
</t>
        </r>
      </text>
    </comment>
    <comment ref="AT474" authorId="3" shapeId="0" xr:uid="{00000000-0006-0000-0100-000084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Comienza descarga 27/2</t>
        </r>
      </text>
    </comment>
    <comment ref="AT478" authorId="3" shapeId="0" xr:uid="{00000000-0006-0000-0100-000085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Comienza descarga 27/2</t>
        </r>
      </text>
    </comment>
    <comment ref="AT505" authorId="3" shapeId="0" xr:uid="{00000000-0006-0000-0100-000086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Comenzó descarga: 25/02</t>
        </r>
      </text>
    </comment>
    <comment ref="AB506" authorId="3" shapeId="0" xr:uid="{80C22874-0808-4633-961C-FB8FC1700BD5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700 vta ajinomoto
300 zapallal 
</t>
        </r>
      </text>
    </comment>
    <comment ref="AI510" authorId="3" shapeId="0" xr:uid="{00000000-0006-0000-0100-000088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S/M</t>
        </r>
      </text>
    </comment>
    <comment ref="Z521" authorId="3" shapeId="0" xr:uid="{8F72C30E-780D-4CCD-8EAD-0BEE9A1B24FC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</t>
        </r>
      </text>
    </comment>
    <comment ref="AB544" authorId="3" shapeId="0" xr:uid="{0F04DA3D-E39D-4DDA-9104-570268B9EF07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120 tm virgen del yauca
</t>
        </r>
      </text>
    </comment>
    <comment ref="Z556" authorId="3" shapeId="0" xr:uid="{CEB1685E-4162-42E5-91BF-F903CB474DBD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Free out
</t>
        </r>
      </text>
    </comment>
    <comment ref="Z557" authorId="3" shapeId="0" xr:uid="{68084076-E0A0-4DE2-852D-A7CD191FDB8C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Free out
</t>
        </r>
      </text>
    </comment>
    <comment ref="AI557" authorId="3" shapeId="0" xr:uid="{00000000-0006-0000-0100-00008C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Z558" authorId="3" shapeId="0" xr:uid="{B8832A19-FDAB-47E7-81EB-286BF872C2F6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Free out
</t>
        </r>
      </text>
    </comment>
    <comment ref="AI558" authorId="3" shapeId="0" xr:uid="{00000000-0006-0000-0100-00008E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Z559" authorId="3" shapeId="0" xr:uid="{47D2A558-AA2D-4FB1-9877-13C2939F218B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Free out
</t>
        </r>
      </text>
    </comment>
    <comment ref="AI559" authorId="3" shapeId="0" xr:uid="{00000000-0006-0000-0100-000090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CG559" authorId="3" shapeId="0" xr:uid="{00000000-0006-0000-0100-000092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Se nacionalizacó 276.35TM
</t>
        </r>
      </text>
    </comment>
    <comment ref="Z560" authorId="3" shapeId="0" xr:uid="{6A437EF5-8F26-4966-9F11-4C76EBEB4E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Free out
</t>
        </r>
      </text>
    </comment>
    <comment ref="AI560" authorId="3" shapeId="0" xr:uid="{00000000-0006-0000-0100-000093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Z561" authorId="3" shapeId="0" xr:uid="{B52527E9-CCE6-4AEC-9E3F-F46C462274A3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Free out
</t>
        </r>
      </text>
    </comment>
    <comment ref="AI561" authorId="3" shapeId="0" xr:uid="{00000000-0006-0000-0100-000095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Z562" authorId="3" shapeId="0" xr:uid="{C314B8D6-6AB8-49AD-9AEB-AAB289647F82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Free out
</t>
        </r>
      </text>
    </comment>
    <comment ref="AI562" authorId="3" shapeId="0" xr:uid="{00000000-0006-0000-0100-000097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Z563" authorId="3" shapeId="0" xr:uid="{1E019127-E3C6-4A07-9115-16F90D263635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Free out
</t>
        </r>
      </text>
    </comment>
    <comment ref="AI563" authorId="3" shapeId="0" xr:uid="{00000000-0006-0000-0100-000099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Z564" authorId="3" shapeId="0" xr:uid="{21C4325C-68E1-450C-BFAD-480DED681798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Free out
</t>
        </r>
      </text>
    </comment>
    <comment ref="AI564" authorId="3" shapeId="0" xr:uid="{00000000-0006-0000-0100-00009B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Z565" authorId="3" shapeId="0" xr:uid="{E9F6FC99-9EAD-49EA-AC2B-B2C6749001FF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Free out
</t>
        </r>
      </text>
    </comment>
    <comment ref="AI565" authorId="3" shapeId="0" xr:uid="{00000000-0006-0000-0100-00009D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Z566" authorId="3" shapeId="0" xr:uid="{27244175-C042-495D-9809-32CA96EFBC9D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Free out
</t>
        </r>
      </text>
    </comment>
    <comment ref="AI566" authorId="3" shapeId="0" xr:uid="{00000000-0006-0000-0100-00009F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Z567" authorId="3" shapeId="0" xr:uid="{A819542C-1F92-448D-8A58-50C5F0EEE363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Free out
</t>
        </r>
      </text>
    </comment>
    <comment ref="AI567" authorId="3" shapeId="0" xr:uid="{00000000-0006-0000-0100-0000A1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Z568" authorId="3" shapeId="0" xr:uid="{0D95C298-56A8-439C-ADFA-FECEA04D9CD6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Free out
</t>
        </r>
      </text>
    </comment>
    <comment ref="AI568" authorId="3" shapeId="0" xr:uid="{00000000-0006-0000-0100-0000A3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Z569" authorId="3" shapeId="0" xr:uid="{AD78A7B2-1473-476C-AAC4-7C5A46FF3768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Free out
</t>
        </r>
      </text>
    </comment>
    <comment ref="AI569" authorId="3" shapeId="0" xr:uid="{00000000-0006-0000-0100-0000A5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Z583" authorId="3" shapeId="0" xr:uid="{F5FFF493-6170-4868-B2F4-A422FA1FC999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</t>
        </r>
      </text>
    </comment>
    <comment ref="Z584" authorId="3" shapeId="0" xr:uid="{EDAED10B-B060-440C-8D63-12833CCB8949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</t>
        </r>
      </text>
    </comment>
    <comment ref="Z585" authorId="3" shapeId="0" xr:uid="{859E7310-C657-41EF-86AE-869755883063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</t>
        </r>
      </text>
    </comment>
    <comment ref="Z601" authorId="3" shapeId="0" xr:uid="{D7A234F4-33A7-428A-B666-6784D6028892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</t>
        </r>
      </text>
    </comment>
    <comment ref="AI609" authorId="3" shapeId="0" xr:uid="{00000000-0006-0000-0100-0000AB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C/P
</t>
        </r>
      </text>
    </comment>
    <comment ref="AI610" authorId="3" shapeId="0" xr:uid="{00000000-0006-0000-0100-0000AC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G620" authorId="3" shapeId="0" xr:uid="{CE527230-3336-40D4-81D5-8D9267657C26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anterior: 426</t>
        </r>
      </text>
    </comment>
    <comment ref="J620" authorId="3" shapeId="0" xr:uid="{1579D62E-88F0-46A6-A58F-A649E3C972D6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anterior: 426</t>
        </r>
      </text>
    </comment>
    <comment ref="G621" authorId="3" shapeId="0" xr:uid="{533B3BA1-A395-4C66-A37E-6FA73C2D671C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anterior: 426
</t>
        </r>
      </text>
    </comment>
    <comment ref="J621" authorId="3" shapeId="0" xr:uid="{9BFEEF5D-4FC9-4EAC-88F2-EE4F50717D6F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anterior: 426
</t>
        </r>
      </text>
    </comment>
    <comment ref="G622" authorId="3" shapeId="0" xr:uid="{E3E51E61-35A6-4620-81C6-428C0C56C0BE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anterior: 426</t>
        </r>
      </text>
    </comment>
    <comment ref="J622" authorId="3" shapeId="0" xr:uid="{DC4EE470-158E-4F80-AD83-957127E1C918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anterior: 426</t>
        </r>
      </text>
    </comment>
    <comment ref="G623" authorId="3" shapeId="0" xr:uid="{C8253EE6-B675-4265-BB7A-B66317A926C6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anterior: 426</t>
        </r>
      </text>
    </comment>
    <comment ref="J623" authorId="3" shapeId="0" xr:uid="{D9953BBA-44C0-469A-A7AB-48BD8B4A41E5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anterior: 426</t>
        </r>
      </text>
    </comment>
    <comment ref="G624" authorId="3" shapeId="0" xr:uid="{05BE3797-646A-470C-B0D8-F08A4BBD41B7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anterior: 426</t>
        </r>
      </text>
    </comment>
    <comment ref="J624" authorId="3" shapeId="0" xr:uid="{905A1ECB-EC27-4E68-9D31-7757ECB4C407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anterior: 426</t>
        </r>
      </text>
    </comment>
    <comment ref="AI626" authorId="3" shapeId="0" xr:uid="{00000000-0006-0000-0100-0000B2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AC628" authorId="3" shapeId="0" xr:uid="{00000000-0006-0000-0100-0000B3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$257/TM
</t>
        </r>
      </text>
    </comment>
    <comment ref="Z633" authorId="3" shapeId="0" xr:uid="{48BFE7A0-C993-4A43-8F72-8D11E14E53AA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FIO</t>
        </r>
      </text>
    </comment>
    <comment ref="AC633" authorId="3" shapeId="0" xr:uid="{00000000-0006-0000-0100-0000B5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Interés 6%
</t>
        </r>
      </text>
    </comment>
    <comment ref="V634" authorId="3" shapeId="0" xr:uid="{00000000-0006-0000-0100-0000B6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Forfaiting
</t>
        </r>
      </text>
    </comment>
    <comment ref="Z634" authorId="3" shapeId="0" xr:uid="{ACD4DD46-1579-4258-9F34-BDEE9A9D4E35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FIO</t>
        </r>
      </text>
    </comment>
    <comment ref="Z635" authorId="3" shapeId="0" xr:uid="{868DFE5A-DC3E-488F-B096-94F84013143C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FIO</t>
        </r>
      </text>
    </comment>
    <comment ref="V636" authorId="3" shapeId="0" xr:uid="{00000000-0006-0000-0100-0000B9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Forfaiting
</t>
        </r>
      </text>
    </comment>
    <comment ref="AC636" authorId="3" shapeId="0" xr:uid="{00000000-0006-0000-0100-0000BB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Interés 6%
</t>
        </r>
      </text>
    </comment>
    <comment ref="AI636" authorId="3" shapeId="0" xr:uid="{00000000-0006-0000-0100-0000BA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AC637" authorId="3" shapeId="0" xr:uid="{00000000-0006-0000-0100-0000BD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Interés 6%
</t>
        </r>
      </text>
    </comment>
    <comment ref="AI637" authorId="3" shapeId="0" xr:uid="{00000000-0006-0000-0100-0000BC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AC638" authorId="3" shapeId="0" xr:uid="{00000000-0006-0000-0100-0000BF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Interés 6%
</t>
        </r>
      </text>
    </comment>
    <comment ref="AI638" authorId="3" shapeId="0" xr:uid="{00000000-0006-0000-0100-0000BE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AC639" authorId="3" shapeId="0" xr:uid="{00000000-0006-0000-0100-0000C1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Interés 6%
</t>
        </r>
      </text>
    </comment>
    <comment ref="AI639" authorId="3" shapeId="0" xr:uid="{00000000-0006-0000-0100-0000C0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AI640" authorId="3" shapeId="0" xr:uid="{00000000-0006-0000-0100-0000C2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AI641" authorId="3" shapeId="0" xr:uid="{00000000-0006-0000-0100-0000C3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granel
</t>
        </r>
      </text>
    </comment>
    <comment ref="AI642" authorId="3" shapeId="0" xr:uid="{00000000-0006-0000-0100-0000C4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C/Pallets
</t>
        </r>
      </text>
    </comment>
    <comment ref="Z647" authorId="3" shapeId="0" xr:uid="{8790569F-41FB-48C9-877B-BFB7135F0C3C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G654" authorId="3" shapeId="0" xr:uid="{BB3A1458-FE8D-4475-9D24-F6A7711B980D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547 ANULADA
</t>
        </r>
      </text>
    </comment>
    <comment ref="J654" authorId="3" shapeId="0" xr:uid="{E3ED5615-513D-4C22-8023-733A07CBEF12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547 ANULADA
</t>
        </r>
      </text>
    </comment>
    <comment ref="Z654" authorId="3" shapeId="0" xr:uid="{03245B96-2073-4A90-9D77-72FDD3CCCAEF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</t>
        </r>
      </text>
    </comment>
    <comment ref="Z656" authorId="3" shapeId="0" xr:uid="{B36F997F-299C-4E61-81ED-B480F9504923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</t>
        </r>
      </text>
    </comment>
    <comment ref="Z658" authorId="3" shapeId="0" xr:uid="{2C9C6EF6-B2B4-4131-BE8F-FB93AB25AC14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AI660" authorId="3" shapeId="0" xr:uid="{00000000-0006-0000-0100-0000CA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AI662" authorId="3" shapeId="0" xr:uid="{00000000-0006-0000-0100-0000CB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AT676" authorId="3" shapeId="0" xr:uid="{00000000-0006-0000-0100-0000CC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Ingreso anticipado por vta a Yauca (6/9) </t>
        </r>
      </text>
    </comment>
    <comment ref="AI684" authorId="3" shapeId="0" xr:uid="{00000000-0006-0000-0100-0000CD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C/Pallets
</t>
        </r>
      </text>
    </comment>
    <comment ref="AB687" authorId="3" shapeId="0" xr:uid="{E422FBAF-D2CB-4DEC-A619-E3EA669CFF2D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60Tm Virgen del yauca
</t>
        </r>
      </text>
    </comment>
    <comment ref="AB692" authorId="3" shapeId="0" xr:uid="{162A6DF5-8CB0-47B5-9798-1D3376E6080F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500tm Virgen del Yauca
</t>
        </r>
      </text>
    </comment>
    <comment ref="AT695" authorId="3" shapeId="0" xr:uid="{00000000-0006-0000-0100-0000D0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Ingreso adelantado 26/09</t>
        </r>
      </text>
    </comment>
    <comment ref="AB697" authorId="3" shapeId="0" xr:uid="{680A486F-2A10-46C8-A3EA-14BCE3E8377D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120TM Virgen del Yauca
</t>
        </r>
      </text>
    </comment>
    <comment ref="V704" authorId="3" shapeId="0" xr:uid="{00000000-0006-0000-0100-0000D2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Forfaiting
</t>
        </r>
      </text>
    </comment>
    <comment ref="AI704" authorId="3" shapeId="0" xr:uid="{00000000-0006-0000-0100-0000D3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Z708" authorId="3" shapeId="0" xr:uid="{8527F071-8516-4A22-BF03-442CCBA7A6EC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Z709" authorId="3" shapeId="0" xr:uid="{EDBF4DEC-E558-45C2-859F-2155F8317972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Z710" authorId="3" shapeId="0" xr:uid="{94738A31-F665-45EC-966E-6102C09AC4EB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Z715" authorId="3" shapeId="0" xr:uid="{EDB38C22-7271-4D53-9C40-5E3ECD8B027B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Z723" authorId="3" shapeId="0" xr:uid="{FDE74B2C-DC83-463A-B45C-E96D8AE58DD8}">
      <text>
        <r>
          <rPr>
            <i/>
            <sz val="9"/>
            <color indexed="81"/>
            <rFont val="Tahoma"/>
            <family val="2"/>
          </rPr>
          <t xml:space="preserve">Silvanna Jeanette Cervantes Vicente:
FILO
</t>
        </r>
      </text>
    </comment>
    <comment ref="Z724" authorId="3" shapeId="0" xr:uid="{415F9AC4-F971-4CB3-BF40-2D2243752A9C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AC724" authorId="3" shapeId="0" xr:uid="{00000000-0006-0000-0100-0000DB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NC $12/TM
</t>
        </r>
      </text>
    </comment>
    <comment ref="AI724" authorId="3" shapeId="0" xr:uid="{00000000-0006-0000-0100-0000D9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25KGS ROMERO
</t>
        </r>
      </text>
    </comment>
    <comment ref="Z725" authorId="3" shapeId="0" xr:uid="{CABECC26-CEDF-49BE-88D4-DB727A8BDE6D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G733" authorId="3" shapeId="0" xr:uid="{34FBCE58-6B52-48E3-B874-1273B1A8B8A6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SE ANULÓ LA OC 544
</t>
        </r>
      </text>
    </comment>
    <comment ref="J733" authorId="3" shapeId="0" xr:uid="{5C0D52AC-5D42-45BF-9228-78AE43F0B554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SE ANULÓ LA OC 544
</t>
        </r>
      </text>
    </comment>
    <comment ref="G735" authorId="3" shapeId="0" xr:uid="{39A167A1-AB86-4263-A2FF-E81F4AB4923A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SE ANULÓ LA OC 545
</t>
        </r>
      </text>
    </comment>
    <comment ref="J735" authorId="3" shapeId="0" xr:uid="{648E426B-A4E7-4A8E-AF8A-2812BAC2BD44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SE ANULÓ LA OC 545
</t>
        </r>
      </text>
    </comment>
    <comment ref="G736" authorId="3" shapeId="0" xr:uid="{911D88DB-FBF0-4797-B345-B153C633DBA1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513
</t>
        </r>
      </text>
    </comment>
    <comment ref="J736" authorId="3" shapeId="0" xr:uid="{F6CCA5F7-3412-4BC2-97E7-DB980BEFC047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513
</t>
        </r>
      </text>
    </comment>
    <comment ref="G737" authorId="3" shapeId="0" xr:uid="{8542065D-1577-4AF5-B55B-5906182B694C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514</t>
        </r>
      </text>
    </comment>
    <comment ref="J737" authorId="3" shapeId="0" xr:uid="{D116D965-6663-494F-9954-A38F732C00E6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514</t>
        </r>
      </text>
    </comment>
    <comment ref="V740" authorId="3" shapeId="0" xr:uid="{00000000-0006-0000-0100-0000E1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Forfaiting
</t>
        </r>
      </text>
    </comment>
    <comment ref="G741" authorId="3" shapeId="0" xr:uid="{5A4186A3-2EE6-4177-87FB-D96382E5DAA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609 ANULADA
</t>
        </r>
      </text>
    </comment>
    <comment ref="J741" authorId="3" shapeId="0" xr:uid="{5BE10D60-ED03-464B-BB57-75C7D7086BF4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609 ANULADA
</t>
        </r>
      </text>
    </comment>
    <comment ref="AC741" authorId="3" shapeId="0" xr:uid="{00000000-0006-0000-0100-0000E2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TF $284.5 - 3.5%
</t>
        </r>
      </text>
    </comment>
    <comment ref="G742" authorId="3" shapeId="0" xr:uid="{E0AC9879-5BDE-4CAD-9062-E2D4504082C1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609 ANULADA
</t>
        </r>
      </text>
    </comment>
    <comment ref="J742" authorId="3" shapeId="0" xr:uid="{7FEEB820-CD5C-455A-A8D3-FA472DE3A01A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609 ANULADA
</t>
        </r>
      </text>
    </comment>
    <comment ref="AC742" authorId="3" shapeId="0" xr:uid="{00000000-0006-0000-0100-0000E4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TF $284.5 - 3.5%
</t>
        </r>
      </text>
    </comment>
    <comment ref="G743" authorId="3" shapeId="0" xr:uid="{BDD9AB56-C391-4D15-ADB2-35E08401FB44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611 ANULADA
</t>
        </r>
      </text>
    </comment>
    <comment ref="J743" authorId="3" shapeId="0" xr:uid="{5FD2713F-66F3-40FB-86EA-8E00CE6D13C1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611 ANULADA
</t>
        </r>
      </text>
    </comment>
    <comment ref="AC743" authorId="3" shapeId="0" xr:uid="{00000000-0006-0000-0100-0000E6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TF $284.5 - 3.5%
</t>
        </r>
      </text>
    </comment>
    <comment ref="G744" authorId="3" shapeId="0" xr:uid="{9601CB1D-BC8C-4A81-8C8D-96CA63B5EF02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613 ANULADA
</t>
        </r>
      </text>
    </comment>
    <comment ref="J744" authorId="3" shapeId="0" xr:uid="{5C0A6900-09D3-4BBF-B460-563A900884BB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613 ANULADA
</t>
        </r>
      </text>
    </comment>
    <comment ref="AC744" authorId="3" shapeId="0" xr:uid="{00000000-0006-0000-0100-0000E8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TF $284.5 - 3.5%
</t>
        </r>
      </text>
    </comment>
    <comment ref="G745" authorId="3" shapeId="0" xr:uid="{C2BD05B6-4E52-4395-A7A0-D9638D431034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615 ANULADA
</t>
        </r>
      </text>
    </comment>
    <comment ref="J745" authorId="3" shapeId="0" xr:uid="{18114935-19E7-4466-B2CB-F94FE3EC225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615 ANULADA
</t>
        </r>
      </text>
    </comment>
    <comment ref="AC745" authorId="3" shapeId="0" xr:uid="{00000000-0006-0000-0100-0000EA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TF $284.5 - 3.5%
</t>
        </r>
      </text>
    </comment>
    <comment ref="G746" authorId="3" shapeId="0" xr:uid="{A5906F8A-EA16-48E5-8220-39C9E297FEC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617 ANULADA
</t>
        </r>
      </text>
    </comment>
    <comment ref="J746" authorId="3" shapeId="0" xr:uid="{C26921E6-A55E-4042-8FB4-00C703FF8099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617 ANULADA
</t>
        </r>
      </text>
    </comment>
    <comment ref="AC746" authorId="3" shapeId="0" xr:uid="{00000000-0006-0000-0100-0000EC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TF $284.5 - 3.5%
</t>
        </r>
      </text>
    </comment>
    <comment ref="G747" authorId="3" shapeId="0" xr:uid="{F701710B-E4A3-44EE-8A7F-2F6FAAAF92BB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610 ANULADA
</t>
        </r>
      </text>
    </comment>
    <comment ref="J747" authorId="3" shapeId="0" xr:uid="{91FEF785-8C92-4214-A054-BF9D0DCBD97D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610 ANULADA
</t>
        </r>
      </text>
    </comment>
    <comment ref="AC747" authorId="3" shapeId="0" xr:uid="{00000000-0006-0000-0100-0000EE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TF $254.5 - 3.5%
</t>
        </r>
      </text>
    </comment>
    <comment ref="G748" authorId="3" shapeId="0" xr:uid="{71B0767D-0F3D-49EF-A449-B96F58EF9AC1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612 ANULADA
</t>
        </r>
      </text>
    </comment>
    <comment ref="J748" authorId="3" shapeId="0" xr:uid="{6E27199A-0CE1-400B-83C3-8651555D6C53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612 ANULADA
</t>
        </r>
      </text>
    </comment>
    <comment ref="AC748" authorId="3" shapeId="0" xr:uid="{00000000-0006-0000-0100-0000F0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TF $254.5 - 3.5%
</t>
        </r>
      </text>
    </comment>
    <comment ref="G749" authorId="3" shapeId="0" xr:uid="{1E8547E3-E1B1-41BE-8222-C835514EB351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614 ANULADA
</t>
        </r>
      </text>
    </comment>
    <comment ref="J749" authorId="3" shapeId="0" xr:uid="{BC1F2485-81AC-4D51-A923-A2A413448468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614 ANULADA
</t>
        </r>
      </text>
    </comment>
    <comment ref="AC749" authorId="3" shapeId="0" xr:uid="{00000000-0006-0000-0100-0000F2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TF $254.5 - 3.5%
</t>
        </r>
      </text>
    </comment>
    <comment ref="G750" authorId="3" shapeId="0" xr:uid="{D7208A95-7236-40D0-AF56-3C416F89C0E4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616 ANULADA
</t>
        </r>
      </text>
    </comment>
    <comment ref="J750" authorId="3" shapeId="0" xr:uid="{57FADEAC-65E6-46F7-B981-F7D5E2C753E1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616 ANULADA
</t>
        </r>
      </text>
    </comment>
    <comment ref="AC750" authorId="3" shapeId="0" xr:uid="{00000000-0006-0000-0100-0000F4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TF $254.5 - 3.5%
</t>
        </r>
      </text>
    </comment>
    <comment ref="G751" authorId="3" shapeId="0" xr:uid="{6CCAB8A0-F58A-42D4-ACA5-92A2D5D572EF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618 ANULADA
</t>
        </r>
      </text>
    </comment>
    <comment ref="J751" authorId="3" shapeId="0" xr:uid="{CA851B3B-B70F-4227-AF5F-68A8F543C1BD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618 ANULADA
</t>
        </r>
      </text>
    </comment>
    <comment ref="AC751" authorId="3" shapeId="0" xr:uid="{00000000-0006-0000-0100-0000F6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TF $254.5 - 3.5%
</t>
        </r>
      </text>
    </comment>
    <comment ref="Z752" authorId="3" shapeId="0" xr:uid="{C9F6E39B-3317-4FC1-982D-166B4F4F39F4}">
      <text>
        <r>
          <rPr>
            <b/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Z761" authorId="3" shapeId="0" xr:uid="{F0945E01-FD3C-4CF1-A6F1-0CAC12640689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V774" authorId="3" shapeId="0" xr:uid="{00000000-0006-0000-0100-0000FA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forfaiiting
</t>
        </r>
      </text>
    </comment>
    <comment ref="V775" authorId="3" shapeId="0" xr:uid="{00000000-0006-0000-0100-0000FB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forfaiiting
</t>
        </r>
      </text>
    </comment>
    <comment ref="V776" authorId="3" shapeId="0" xr:uid="{00000000-0006-0000-0100-0000FC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forfaiiting
</t>
        </r>
      </text>
    </comment>
    <comment ref="V777" authorId="3" shapeId="0" xr:uid="{00000000-0006-0000-0100-0000FD00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forfaiiting
</t>
        </r>
      </text>
    </comment>
    <comment ref="Z782" authorId="3" shapeId="0" xr:uid="{AC2B08BF-EA15-45FF-B5FC-B67D78952167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G785" authorId="3" shapeId="0" xr:uid="{588F74D2-5E36-4F2E-A3E6-848498F3D5E7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OC 663 ANULADA
</t>
        </r>
      </text>
    </comment>
    <comment ref="J785" authorId="3" shapeId="0" xr:uid="{3E573096-4379-44DB-8685-452AA5E305CE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OC 663 ANULADA
</t>
        </r>
      </text>
    </comment>
    <comment ref="Z785" authorId="3" shapeId="0" xr:uid="{D4F9BE79-F0CA-4BA5-AFBE-5E88808CFC73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S786" authorId="3" shapeId="0" xr:uid="{00000000-0006-0000-0100-000001010000}">
      <text>
        <r>
          <rPr>
            <i/>
            <sz val="9"/>
            <color indexed="81"/>
            <rFont val="Tahoma"/>
            <family val="2"/>
          </rPr>
          <t xml:space="preserve">Silvanna Jeanette Cervantes Vicente:
</t>
        </r>
        <r>
          <rPr>
            <i/>
            <sz val="9"/>
            <color indexed="81"/>
            <rFont val="Tahoma"/>
            <family val="2"/>
          </rPr>
          <t xml:space="preserve">El cierre fue el 23/10 (se va a considerar como cierre de Noviembre)
</t>
        </r>
      </text>
    </comment>
    <comment ref="S787" authorId="3" shapeId="0" xr:uid="{00000000-0006-0000-0100-000002010000}">
      <text>
        <r>
          <rPr>
            <i/>
            <sz val="9"/>
            <color indexed="81"/>
            <rFont val="Tahoma"/>
            <family val="2"/>
          </rPr>
          <t xml:space="preserve">Silvanna Jeanette Cervantes Vicente:
</t>
        </r>
        <r>
          <rPr>
            <i/>
            <sz val="9"/>
            <color indexed="81"/>
            <rFont val="Tahoma"/>
            <family val="2"/>
          </rPr>
          <t xml:space="preserve">El cierre fue el 23/10 (se va a considerar como cierre de Noviembre)
</t>
        </r>
      </text>
    </comment>
    <comment ref="S788" authorId="3" shapeId="0" xr:uid="{00000000-0006-0000-0100-000003010000}">
      <text>
        <r>
          <rPr>
            <i/>
            <sz val="9"/>
            <color indexed="81"/>
            <rFont val="Tahoma"/>
            <family val="2"/>
          </rPr>
          <t xml:space="preserve">Silvanna Jeanette Cervantes Vicente:
</t>
        </r>
        <r>
          <rPr>
            <i/>
            <sz val="9"/>
            <color indexed="81"/>
            <rFont val="Tahoma"/>
            <family val="2"/>
          </rPr>
          <t xml:space="preserve">El cierre fue el 23/10 (se va a considerar como cierre de Noviembre)
</t>
        </r>
      </text>
    </comment>
    <comment ref="S789" authorId="3" shapeId="0" xr:uid="{00000000-0006-0000-0100-000004010000}">
      <text>
        <r>
          <rPr>
            <i/>
            <sz val="9"/>
            <color indexed="81"/>
            <rFont val="Tahoma"/>
            <family val="2"/>
          </rPr>
          <t xml:space="preserve">Silvanna Jeanette Cervantes Vicente:
</t>
        </r>
        <r>
          <rPr>
            <i/>
            <sz val="9"/>
            <color indexed="81"/>
            <rFont val="Tahoma"/>
            <family val="2"/>
          </rPr>
          <t xml:space="preserve">El cierre fue el 23/10 (se va a considerar como cierre de Noviembre)
</t>
        </r>
      </text>
    </comment>
    <comment ref="Z790" authorId="3" shapeId="0" xr:uid="{D91B2AF5-1BE4-4B56-AD56-A260F50ACA35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S792" authorId="3" shapeId="0" xr:uid="{00000000-0006-0000-0100-000006010000}">
      <text>
        <r>
          <rPr>
            <i/>
            <sz val="9"/>
            <color indexed="81"/>
            <rFont val="Tahoma"/>
            <family val="2"/>
          </rPr>
          <t xml:space="preserve">Silvanna Jeanette Cervantes Vicente:
</t>
        </r>
        <r>
          <rPr>
            <i/>
            <sz val="9"/>
            <color indexed="81"/>
            <rFont val="Tahoma"/>
            <family val="2"/>
          </rPr>
          <t xml:space="preserve">El cierre fue el 23/10 (se va a considerar como cierre de Noviembre)
</t>
        </r>
      </text>
    </comment>
    <comment ref="S793" authorId="3" shapeId="0" xr:uid="{00000000-0006-0000-0100-000007010000}">
      <text>
        <r>
          <rPr>
            <i/>
            <sz val="9"/>
            <color indexed="81"/>
            <rFont val="Tahoma"/>
            <family val="2"/>
          </rPr>
          <t xml:space="preserve">Silvanna Jeanette Cervantes Vicente:
</t>
        </r>
        <r>
          <rPr>
            <i/>
            <sz val="9"/>
            <color indexed="81"/>
            <rFont val="Tahoma"/>
            <family val="2"/>
          </rPr>
          <t xml:space="preserve">El cierre fue el 23/10 (se va a considerar como cierre de Noviembre)
</t>
        </r>
      </text>
    </comment>
    <comment ref="S794" authorId="3" shapeId="0" xr:uid="{00000000-0006-0000-0100-000008010000}">
      <text>
        <r>
          <rPr>
            <i/>
            <sz val="9"/>
            <color indexed="81"/>
            <rFont val="Tahoma"/>
            <family val="2"/>
          </rPr>
          <t xml:space="preserve">Silvanna Jeanette Cervantes Vicente:
</t>
        </r>
        <r>
          <rPr>
            <i/>
            <sz val="9"/>
            <color indexed="81"/>
            <rFont val="Tahoma"/>
            <family val="2"/>
          </rPr>
          <t xml:space="preserve">El cierre fue el 23/10 (se va a considerar como cierre de Noviembre)
</t>
        </r>
      </text>
    </comment>
    <comment ref="V795" authorId="3" shapeId="0" xr:uid="{00000000-0006-0000-0100-00000901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forfaiiting
</t>
        </r>
      </text>
    </comment>
    <comment ref="AC795" authorId="5" shapeId="0" xr:uid="{00000000-0006-0000-0100-00000A010000}">
      <text>
        <r>
          <rPr>
            <i/>
            <sz val="9"/>
            <color indexed="81"/>
            <rFont val="Tahoma"/>
            <family val="2"/>
          </rPr>
          <t>Evelin Alejandra Rojas Valderrama:</t>
        </r>
        <r>
          <rPr>
            <i/>
            <sz val="9"/>
            <color indexed="81"/>
            <rFont val="Tahoma"/>
            <family val="2"/>
          </rPr>
          <t xml:space="preserve">
TF $ 149.2 - 3.7%
</t>
        </r>
      </text>
    </comment>
    <comment ref="V796" authorId="3" shapeId="0" xr:uid="{00000000-0006-0000-0100-00000B01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forfaiiting
</t>
        </r>
      </text>
    </comment>
    <comment ref="AC796" authorId="5" shapeId="0" xr:uid="{00000000-0006-0000-0100-00000C010000}">
      <text>
        <r>
          <rPr>
            <i/>
            <sz val="9"/>
            <color indexed="81"/>
            <rFont val="Tahoma"/>
            <family val="2"/>
          </rPr>
          <t>Evelin Alejandra Rojas Valderrama:</t>
        </r>
        <r>
          <rPr>
            <i/>
            <sz val="9"/>
            <color indexed="81"/>
            <rFont val="Tahoma"/>
            <family val="2"/>
          </rPr>
          <t xml:space="preserve">
TF $ 149.2 - 3.7%
</t>
        </r>
      </text>
    </comment>
    <comment ref="V797" authorId="3" shapeId="0" xr:uid="{00000000-0006-0000-0100-00000D01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forfaiiting
</t>
        </r>
      </text>
    </comment>
    <comment ref="AC797" authorId="5" shapeId="0" xr:uid="{00000000-0006-0000-0100-00000E010000}">
      <text>
        <r>
          <rPr>
            <i/>
            <sz val="9"/>
            <color indexed="81"/>
            <rFont val="Tahoma"/>
            <family val="2"/>
          </rPr>
          <t>Evelin Alejandra Rojas Valderrama:</t>
        </r>
        <r>
          <rPr>
            <i/>
            <sz val="9"/>
            <color indexed="81"/>
            <rFont val="Tahoma"/>
            <family val="2"/>
          </rPr>
          <t xml:space="preserve">
TF $ 149.2 - 3.7%
</t>
        </r>
      </text>
    </comment>
    <comment ref="V798" authorId="3" shapeId="0" xr:uid="{00000000-0006-0000-0100-00000F01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forfaiiting
</t>
        </r>
      </text>
    </comment>
    <comment ref="AC798" authorId="5" shapeId="0" xr:uid="{00000000-0006-0000-0100-000010010000}">
      <text>
        <r>
          <rPr>
            <i/>
            <sz val="9"/>
            <color indexed="81"/>
            <rFont val="Tahoma"/>
            <family val="2"/>
          </rPr>
          <t>Evelin Alejandra Rojas Valderrama:</t>
        </r>
        <r>
          <rPr>
            <i/>
            <sz val="9"/>
            <color indexed="81"/>
            <rFont val="Tahoma"/>
            <family val="2"/>
          </rPr>
          <t xml:space="preserve">
TF $ 149.2 - 3.7%
</t>
        </r>
      </text>
    </comment>
    <comment ref="AT808" authorId="3" shapeId="0" xr:uid="{00000000-0006-0000-0100-000011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Comenzó descargar 14/05
</t>
        </r>
      </text>
    </comment>
    <comment ref="AI817" authorId="3" shapeId="0" xr:uid="{00000000-0006-0000-0100-000012010000}">
      <text>
        <r>
          <rPr>
            <b/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Marca: Romero Fert
</t>
        </r>
      </text>
    </comment>
    <comment ref="AI818" authorId="3" shapeId="0" xr:uid="{00000000-0006-0000-0100-000013010000}">
      <text>
        <r>
          <rPr>
            <b/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Marca: Romero Fert
</t>
        </r>
      </text>
    </comment>
    <comment ref="AT818" authorId="3" shapeId="0" xr:uid="{00000000-0006-0000-0100-00001401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LIBERADO: 27/05
</t>
        </r>
      </text>
    </comment>
    <comment ref="AI819" authorId="3" shapeId="0" xr:uid="{00000000-0006-0000-0100-000015010000}">
      <text>
        <r>
          <rPr>
            <b/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Marca: Romero Fert
</t>
        </r>
      </text>
    </comment>
    <comment ref="AI820" authorId="3" shapeId="0" xr:uid="{00000000-0006-0000-0100-000016010000}">
      <text>
        <r>
          <rPr>
            <b/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Marca: Romero Fert
</t>
        </r>
      </text>
    </comment>
    <comment ref="AT820" authorId="3" shapeId="0" xr:uid="{00000000-0006-0000-0100-00001701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LIBERADO: 27/05
</t>
        </r>
      </text>
    </comment>
    <comment ref="AI821" authorId="3" shapeId="0" xr:uid="{00000000-0006-0000-0100-000018010000}">
      <text>
        <r>
          <rPr>
            <b/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Marca: Romero Fert
</t>
        </r>
      </text>
    </comment>
    <comment ref="AC822" authorId="3" shapeId="0" xr:uid="{00000000-0006-0000-0100-00001901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$259/TM
</t>
        </r>
      </text>
    </comment>
    <comment ref="AC823" authorId="3" shapeId="0" xr:uid="{00000000-0006-0000-0100-00001A01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$259/TM
</t>
        </r>
      </text>
    </comment>
    <comment ref="AT823" authorId="3" shapeId="0" xr:uid="{00000000-0006-0000-0100-00001B01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Liberación por SUCAMEC: 30.05
</t>
        </r>
      </text>
    </comment>
    <comment ref="AC824" authorId="3" shapeId="0" xr:uid="{00000000-0006-0000-0100-00001C01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$259/TM
</t>
        </r>
      </text>
    </comment>
    <comment ref="AC825" authorId="3" shapeId="0" xr:uid="{00000000-0006-0000-0100-00001D01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$259/TM
</t>
        </r>
      </text>
    </comment>
    <comment ref="AC826" authorId="3" shapeId="0" xr:uid="{00000000-0006-0000-0100-00001E01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$259/TM
</t>
        </r>
      </text>
    </comment>
    <comment ref="AT826" authorId="3" shapeId="0" xr:uid="{00000000-0006-0000-0100-00001F01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Liberación 10/06</t>
        </r>
      </text>
    </comment>
    <comment ref="AC827" authorId="3" shapeId="0" xr:uid="{00000000-0006-0000-0100-000020010000}">
      <text>
        <r>
          <rPr>
            <b/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$255.50/tm
</t>
        </r>
      </text>
    </comment>
    <comment ref="AC828" authorId="3" shapeId="0" xr:uid="{00000000-0006-0000-0100-000021010000}">
      <text>
        <r>
          <rPr>
            <b/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$255.50/tm
</t>
        </r>
      </text>
    </comment>
    <comment ref="AC829" authorId="3" shapeId="0" xr:uid="{00000000-0006-0000-0100-000022010000}">
      <text>
        <r>
          <rPr>
            <b/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$255.50/tm
</t>
        </r>
      </text>
    </comment>
    <comment ref="AC830" authorId="3" shapeId="0" xr:uid="{00000000-0006-0000-0100-000023010000}">
      <text>
        <r>
          <rPr>
            <b/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$255.50/tm
</t>
        </r>
      </text>
    </comment>
    <comment ref="V835" authorId="3" shapeId="0" xr:uid="{00000000-0006-0000-0100-00002401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forfaiting</t>
        </r>
      </text>
    </comment>
    <comment ref="V836" authorId="3" shapeId="0" xr:uid="{00000000-0006-0000-0100-00002501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forfaiting</t>
        </r>
      </text>
    </comment>
    <comment ref="V837" authorId="3" shapeId="0" xr:uid="{00000000-0006-0000-0100-00002601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forfaiting</t>
        </r>
      </text>
    </comment>
    <comment ref="V838" authorId="3" shapeId="0" xr:uid="{00000000-0006-0000-0100-00002701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forfaiting</t>
        </r>
      </text>
    </comment>
    <comment ref="V839" authorId="3" shapeId="0" xr:uid="{00000000-0006-0000-0100-00002801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forfaiting</t>
        </r>
      </text>
    </comment>
    <comment ref="AC855" authorId="3" shapeId="0" xr:uid="{00000000-0006-0000-0100-00002901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NC $10/TM
</t>
        </r>
      </text>
    </comment>
    <comment ref="AC856" authorId="3" shapeId="0" xr:uid="{00000000-0006-0000-0100-00002A01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NC $10/TM
</t>
        </r>
      </text>
    </comment>
    <comment ref="AT856" authorId="3" shapeId="0" xr:uid="{00000000-0006-0000-0100-00002B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Ingreso de OC adelantado: 13/4</t>
        </r>
      </text>
    </comment>
    <comment ref="AC857" authorId="3" shapeId="0" xr:uid="{00000000-0006-0000-0100-00002C01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NC $10/TM
</t>
        </r>
      </text>
    </comment>
    <comment ref="V866" authorId="3" shapeId="0" xr:uid="{00000000-0006-0000-0100-00002D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forfaiting
</t>
        </r>
      </text>
    </comment>
    <comment ref="V867" authorId="3" shapeId="0" xr:uid="{00000000-0006-0000-0100-00002E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forfaiting
</t>
        </r>
      </text>
    </comment>
    <comment ref="V868" authorId="3" shapeId="0" xr:uid="{00000000-0006-0000-0100-00002F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forfaiting
</t>
        </r>
      </text>
    </comment>
    <comment ref="V869" authorId="3" shapeId="0" xr:uid="{00000000-0006-0000-0100-000030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forfaiting
</t>
        </r>
      </text>
    </comment>
    <comment ref="V870" authorId="3" shapeId="0" xr:uid="{00000000-0006-0000-0100-000031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forfaiting
</t>
        </r>
      </text>
    </comment>
    <comment ref="AB871" authorId="3" shapeId="0" xr:uid="{62CC277F-034F-45C0-9DE0-D54C76B55186}">
      <text>
        <r>
          <rPr>
            <b/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A CONSIGNACIÓN
</t>
        </r>
      </text>
    </comment>
    <comment ref="V872" authorId="3" shapeId="0" xr:uid="{00000000-0006-0000-0100-000033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forfaiting
</t>
        </r>
      </text>
    </comment>
    <comment ref="AB873" authorId="3" shapeId="0" xr:uid="{398BE104-2E51-491A-9509-714551BEF645}">
      <text>
        <r>
          <rPr>
            <b/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A CONSIGNACIÓN
</t>
        </r>
      </text>
    </comment>
    <comment ref="V874" authorId="3" shapeId="0" xr:uid="{00000000-0006-0000-0100-000035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forfaiting
</t>
        </r>
      </text>
    </comment>
    <comment ref="G876" authorId="3" shapeId="0" xr:uid="{5D338171-3B28-4E12-981E-C23EA6F2585B}">
      <text>
        <r>
          <rPr>
            <b/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710 ANULADA
</t>
        </r>
      </text>
    </comment>
    <comment ref="J876" authorId="3" shapeId="0" xr:uid="{4CC80DA9-EA4A-4965-A58E-96963F181A90}">
      <text>
        <r>
          <rPr>
            <b/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710 ANULADA
</t>
        </r>
      </text>
    </comment>
    <comment ref="G877" authorId="3" shapeId="0" xr:uid="{790E26CA-E76D-417A-B022-A3FFF20EDC75}">
      <text>
        <r>
          <rPr>
            <b/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711 ANULADA
</t>
        </r>
      </text>
    </comment>
    <comment ref="J877" authorId="3" shapeId="0" xr:uid="{0E5B8445-8C3F-4E34-93CC-31E0DB7FCC77}">
      <text>
        <r>
          <rPr>
            <b/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711 ANULADA
</t>
        </r>
      </text>
    </comment>
    <comment ref="G878" authorId="3" shapeId="0" xr:uid="{F570BF10-3E6D-46DE-9EEF-44E02A9221B0}">
      <text>
        <r>
          <rPr>
            <b/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712 ANULADA
</t>
        </r>
      </text>
    </comment>
    <comment ref="J878" authorId="3" shapeId="0" xr:uid="{E51D7973-2910-438B-B365-68FE73CE190E}">
      <text>
        <r>
          <rPr>
            <b/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OC 712 ANULADA
</t>
        </r>
      </text>
    </comment>
    <comment ref="AT878" authorId="3" shapeId="0" xr:uid="{00000000-0006-0000-0100-000038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ingreso adelantado
</t>
        </r>
      </text>
    </comment>
    <comment ref="V879" authorId="3" shapeId="0" xr:uid="{00000000-0006-0000-0100-00003A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880" authorId="3" shapeId="0" xr:uid="{00000000-0006-0000-0100-00003B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forfaiting</t>
        </r>
      </text>
    </comment>
    <comment ref="G881" authorId="3" shapeId="0" xr:uid="{11CF40BC-2A36-47B2-B403-44B30E650F75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OC 745 ANULADA
</t>
        </r>
      </text>
    </comment>
    <comment ref="J881" authorId="3" shapeId="0" xr:uid="{CA0131C1-9AD3-4D2A-A007-878F0F63D8EB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OC 745 ANULADA
</t>
        </r>
      </text>
    </comment>
    <comment ref="V881" authorId="3" shapeId="0" xr:uid="{00000000-0006-0000-0100-00003C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forfaiting</t>
        </r>
      </text>
    </comment>
    <comment ref="AT882" authorId="3" shapeId="0" xr:uid="{00000000-0006-0000-0100-00003E010000}">
      <text>
        <r>
          <rPr>
            <i/>
            <sz val="9"/>
            <color indexed="81"/>
            <rFont val="Tahoma"/>
            <family val="2"/>
          </rPr>
          <t>Silvanna Jeanette Cervantes Vicente:
Liberado 12/06</t>
        </r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AI885" authorId="3" shapeId="0" xr:uid="{00000000-0006-0000-0100-00003F010000}">
      <text>
        <r>
          <rPr>
            <b/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Marca: Romero Fert
</t>
        </r>
      </text>
    </comment>
    <comment ref="AI886" authorId="3" shapeId="0" xr:uid="{00000000-0006-0000-0100-000040010000}">
      <text>
        <r>
          <rPr>
            <b/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Marca: Romero Fert
</t>
        </r>
      </text>
    </comment>
    <comment ref="AI887" authorId="3" shapeId="0" xr:uid="{00000000-0006-0000-0100-000041010000}">
      <text>
        <r>
          <rPr>
            <b/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Marca: Romero Fert
</t>
        </r>
      </text>
    </comment>
    <comment ref="AI888" authorId="3" shapeId="0" xr:uid="{00000000-0006-0000-0100-000042010000}">
      <text>
        <r>
          <rPr>
            <b/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Marca: Romero Fert
</t>
        </r>
      </text>
    </comment>
    <comment ref="BB888" authorId="3" shapeId="0" xr:uid="{00000000-0006-0000-0100-000043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20 CNT RANSA
12 EQ
</t>
        </r>
      </text>
    </comment>
    <comment ref="AT892" authorId="3" shapeId="0" xr:uid="{00000000-0006-0000-0100-00004401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Inicio de descarga: 17/06
</t>
        </r>
      </text>
    </comment>
    <comment ref="T895" authorId="3" shapeId="0" xr:uid="{00000000-0006-0000-0100-000045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50% CAD
50% 5 DAY FROM BL DATE
</t>
        </r>
      </text>
    </comment>
    <comment ref="T896" authorId="3" shapeId="0" xr:uid="{00000000-0006-0000-0100-000046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50% CAD
50% 5 DAY FROM BL DATE
</t>
        </r>
      </text>
    </comment>
    <comment ref="T897" authorId="3" shapeId="0" xr:uid="{00000000-0006-0000-0100-000047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50% CAD
50% 5 DAY FROM BL DATE
</t>
        </r>
      </text>
    </comment>
    <comment ref="T898" authorId="3" shapeId="0" xr:uid="{00000000-0006-0000-0100-000048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50% CAD
50% 5 DAY FROM BL DATE
</t>
        </r>
      </text>
    </comment>
    <comment ref="Z899" authorId="3" shapeId="0" xr:uid="{5F695795-19FB-4031-94E9-6AD435C14C51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FILO
</t>
        </r>
      </text>
    </comment>
    <comment ref="BB902" authorId="3" shapeId="0" xr:uid="{00000000-0006-0000-0100-00004A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04 contenedores a Ransa mañana de ser posible
05 contenedores a nuestros almacenes (Yara) el viernes 10.
</t>
        </r>
      </text>
    </comment>
    <comment ref="Z904" authorId="3" shapeId="0" xr:uid="{478E9499-3309-4971-A727-3B40146862C2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FREE OUT
</t>
        </r>
      </text>
    </comment>
    <comment ref="AI904" authorId="3" shapeId="0" xr:uid="{00000000-0006-0000-0100-00004B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Z905" authorId="3" shapeId="0" xr:uid="{36AA27D2-C465-4992-B6B7-56A7F96FCD21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FREE OUT
</t>
        </r>
      </text>
    </comment>
    <comment ref="AI905" authorId="3" shapeId="0" xr:uid="{00000000-0006-0000-0100-00004D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Z906" authorId="3" shapeId="0" xr:uid="{5A5A3FDD-57AE-4851-8F8B-0B0BC6C8A9E6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FREE OUT
</t>
        </r>
      </text>
    </comment>
    <comment ref="AI906" authorId="3" shapeId="0" xr:uid="{00000000-0006-0000-0100-00004F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Z907" authorId="3" shapeId="0" xr:uid="{95DCAC71-96B9-4807-B0E8-AE2DB68C4213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FREE OUT
</t>
        </r>
      </text>
    </comment>
    <comment ref="AI907" authorId="3" shapeId="0" xr:uid="{00000000-0006-0000-0100-000051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Z908" authorId="3" shapeId="0" xr:uid="{37F68E0F-F1A8-4AFD-8CFF-6166E905947D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FREE OUT
</t>
        </r>
      </text>
    </comment>
    <comment ref="AI908" authorId="3" shapeId="0" xr:uid="{00000000-0006-0000-0100-000053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AI909" authorId="3" shapeId="0" xr:uid="{00000000-0006-0000-0100-000055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AI910" authorId="3" shapeId="0" xr:uid="{00000000-0006-0000-0100-000056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AI911" authorId="3" shapeId="0" xr:uid="{00000000-0006-0000-0100-000057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AI912" authorId="3" shapeId="0" xr:uid="{00000000-0006-0000-0100-000058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AT930" authorId="3" shapeId="0" xr:uid="{00000000-0006-0000-0100-00005901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Ingreso a Ransa Paita
</t>
        </r>
      </text>
    </comment>
    <comment ref="AT931" authorId="3" shapeId="0" xr:uid="{00000000-0006-0000-0100-00005A01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Ingreso a Yara Paita
</t>
        </r>
      </text>
    </comment>
    <comment ref="Z932" authorId="3" shapeId="0" xr:uid="{382462D6-7C07-43C4-8675-5C124F64B809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FREE OUT
</t>
        </r>
      </text>
    </comment>
    <comment ref="AT943" authorId="3" shapeId="0" xr:uid="{00000000-0006-0000-0100-00005C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Inspección: 31/07</t>
        </r>
      </text>
    </comment>
    <comment ref="AI944" authorId="3" shapeId="0" xr:uid="{00000000-0006-0000-0100-00005D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Inside bigbags
</t>
        </r>
      </text>
    </comment>
    <comment ref="AI945" authorId="3" shapeId="0" xr:uid="{00000000-0006-0000-0100-00005E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Inside bigbags
</t>
        </r>
      </text>
    </comment>
    <comment ref="Z946" authorId="3" shapeId="0" xr:uid="{663504BB-453A-42DE-AB4A-EBE96897155C}">
      <text>
        <r>
          <rPr>
            <sz val="9"/>
            <color indexed="81"/>
            <rFont val="Tahoma"/>
            <family val="2"/>
          </rPr>
          <t xml:space="preserve">Silvanna Jeanette Cervantes Vicente:
FILO
</t>
        </r>
      </text>
    </comment>
    <comment ref="AI946" authorId="3" shapeId="0" xr:uid="{00000000-0006-0000-0100-00005F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Z948" authorId="3" shapeId="0" xr:uid="{5A8A78EB-14F7-4F8D-84AC-C55D0F491154}">
      <text>
        <r>
          <rPr>
            <sz val="9"/>
            <color indexed="81"/>
            <rFont val="Tahoma"/>
            <family val="2"/>
          </rPr>
          <t xml:space="preserve">Silvanna Jeanette Cervantes Vicente:
FILO
</t>
        </r>
      </text>
    </comment>
    <comment ref="AI948" authorId="3" shapeId="0" xr:uid="{00000000-0006-0000-0100-000061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Z949" authorId="3" shapeId="0" xr:uid="{D4D9CC6C-1135-4389-BBE4-CF24CFDA3208}">
      <text>
        <r>
          <rPr>
            <sz val="9"/>
            <color indexed="81"/>
            <rFont val="Tahoma"/>
            <family val="2"/>
          </rPr>
          <t xml:space="preserve">Silvanna Jeanette Cervantes Vicente:
FILO
</t>
        </r>
      </text>
    </comment>
    <comment ref="AI949" authorId="3" shapeId="0" xr:uid="{00000000-0006-0000-0100-000063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AI950" authorId="3" shapeId="0" xr:uid="{00000000-0006-0000-0100-000065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BB950" authorId="3" shapeId="0" xr:uid="{00000000-0006-0000-0100-000066010000}">
      <text>
        <r>
          <rPr>
            <sz val="9"/>
            <color indexed="81"/>
            <rFont val="Tahoma"/>
            <family val="2"/>
          </rPr>
          <t>Alejandra Rojas:</t>
        </r>
        <r>
          <rPr>
            <i/>
            <sz val="9"/>
            <color indexed="81"/>
            <rFont val="Tahoma"/>
            <family val="2"/>
          </rPr>
          <t xml:space="preserve">
25 cont Ransa
15 Equilibra
</t>
        </r>
      </text>
    </comment>
    <comment ref="AI951" authorId="3" shapeId="0" xr:uid="{00000000-0006-0000-0100-000067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Z952" authorId="6" shapeId="0" xr:uid="{CF1C1D95-FC97-4F52-B254-1086EA58F97C}">
      <text>
        <r>
          <rPr>
            <sz val="9"/>
            <color indexed="81"/>
            <rFont val="Tahoma"/>
            <family val="2"/>
          </rPr>
          <t>FILO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AI952" authorId="3" shapeId="0" xr:uid="{00000000-0006-0000-0100-000068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Z953" authorId="3" shapeId="0" xr:uid="{2FC640E0-B4BA-4FD7-893B-6213927274EB}">
      <text>
        <r>
          <rPr>
            <sz val="9"/>
            <color indexed="81"/>
            <rFont val="Tahoma"/>
            <family val="2"/>
          </rPr>
          <t xml:space="preserve">Silvanna Jeanette Cervantes Vicente:
FILO
</t>
        </r>
      </text>
    </comment>
    <comment ref="AI953" authorId="3" shapeId="0" xr:uid="{00000000-0006-0000-0100-00006A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BB956" authorId="3" shapeId="0" xr:uid="{00000000-0006-0000-0100-00006C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RANSA: 6 CNTS
EQ: 6 CNTS
</t>
        </r>
      </text>
    </comment>
    <comment ref="Z958" authorId="3" shapeId="0" xr:uid="{F5EBEE42-9342-499A-824F-47F3C80E4096}">
      <text>
        <r>
          <rPr>
            <sz val="9"/>
            <color indexed="81"/>
            <rFont val="Tahoma"/>
            <family val="2"/>
          </rPr>
          <t xml:space="preserve">Silvanna Jeanette Cervantes Vicente:
FILO
</t>
        </r>
      </text>
    </comment>
    <comment ref="AI958" authorId="3" shapeId="0" xr:uid="{00000000-0006-0000-0100-00006D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Z959" authorId="6" shapeId="0" xr:uid="{087074EB-296A-4AA4-A769-B1D8757DF0CE}">
      <text>
        <r>
          <rPr>
            <sz val="9"/>
            <color indexed="81"/>
            <rFont val="Tahoma"/>
            <family val="2"/>
          </rPr>
          <t>FILO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AI959" authorId="3" shapeId="0" xr:uid="{00000000-0006-0000-0100-00006F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Z960" authorId="3" shapeId="0" xr:uid="{83720B8B-7B08-4240-8ECC-18B4E6271D8E}">
      <text>
        <r>
          <rPr>
            <sz val="9"/>
            <color indexed="81"/>
            <rFont val="Tahoma"/>
            <family val="2"/>
          </rPr>
          <t xml:space="preserve">Silvanna Jeanette Cervantes Vicente:
FILO
</t>
        </r>
      </text>
    </comment>
    <comment ref="AI960" authorId="3" shapeId="0" xr:uid="{00000000-0006-0000-0100-000071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G966" authorId="3" shapeId="0" xr:uid="{E528360A-CA83-4FD7-A7BD-9B4C20BB6954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OC 774 ANULADA
</t>
        </r>
      </text>
    </comment>
    <comment ref="J966" authorId="3" shapeId="0" xr:uid="{0B934C15-2FFA-4BA4-AEFE-C69154E74072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OC 774 ANULADA
</t>
        </r>
      </text>
    </comment>
    <comment ref="AI971" authorId="3" shapeId="0" xr:uid="{00000000-0006-0000-0100-000074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AI972" authorId="3" shapeId="0" xr:uid="{00000000-0006-0000-0100-000075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AT975" authorId="6" shapeId="0" xr:uid="{00000000-0006-0000-0100-000076010000}">
      <text>
        <r>
          <rPr>
            <sz val="9"/>
            <color indexed="81"/>
            <rFont val="Tahoma"/>
            <family val="2"/>
          </rPr>
          <t xml:space="preserve">Alejandra Rojas
</t>
        </r>
        <r>
          <rPr>
            <i/>
            <sz val="9"/>
            <color indexed="81"/>
            <rFont val="Tahoma"/>
            <family val="2"/>
          </rPr>
          <t xml:space="preserve">Ingreso adelantado
</t>
        </r>
      </text>
    </comment>
    <comment ref="AT981" authorId="6" shapeId="0" xr:uid="{00000000-0006-0000-0100-000077010000}">
      <text>
        <r>
          <rPr>
            <sz val="9"/>
            <color indexed="81"/>
            <rFont val="Tahoma"/>
            <family val="2"/>
          </rPr>
          <t xml:space="preserve">Alejandra Rojas:
</t>
        </r>
        <r>
          <rPr>
            <i/>
            <sz val="9"/>
            <color indexed="81"/>
            <rFont val="Tahoma"/>
            <family val="2"/>
          </rPr>
          <t xml:space="preserve">Ingreso adelantado
</t>
        </r>
      </text>
    </comment>
    <comment ref="AI985" authorId="3" shapeId="0" xr:uid="{00000000-0006-0000-0100-000078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Z988" authorId="3" shapeId="0" xr:uid="{87816DAB-30B4-4BCD-9748-963AE9238735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Free out
</t>
        </r>
      </text>
    </comment>
    <comment ref="AI988" authorId="3" shapeId="0" xr:uid="{00000000-0006-0000-0100-000079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AI989" authorId="3" shapeId="0" xr:uid="{00000000-0006-0000-0100-00007B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AI990" authorId="3" shapeId="0" xr:uid="{00000000-0006-0000-0100-00007C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BB990" authorId="3" shapeId="0" xr:uid="{00000000-0006-0000-0100-00007D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EQ: 9 CNTS
RANSA: 31 CNTS</t>
        </r>
      </text>
    </comment>
    <comment ref="AI991" authorId="3" shapeId="0" xr:uid="{00000000-0006-0000-0100-00007E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BB991" authorId="3" shapeId="0" xr:uid="{00000000-0006-0000-0100-00007F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EQ: 20 CNTS
RANSA: 20 CNTS
</t>
        </r>
      </text>
    </comment>
    <comment ref="Z995" authorId="3" shapeId="0" xr:uid="{B929FD09-72FA-448B-A6A5-7D0C5B2A1125}">
      <text>
        <r>
          <rPr>
            <sz val="9"/>
            <color indexed="81"/>
            <rFont val="Tahoma"/>
            <family val="2"/>
          </rPr>
          <t xml:space="preserve">Silvanna Jeanette Cervantes Vicente:
FILO
</t>
        </r>
      </text>
    </comment>
    <comment ref="AI995" authorId="3" shapeId="0" xr:uid="{00000000-0006-0000-0100-000080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Z996" authorId="3" shapeId="0" xr:uid="{5427692F-E5C9-4FE4-B8F4-C869E1ED6E21}">
      <text>
        <r>
          <rPr>
            <sz val="9"/>
            <color indexed="81"/>
            <rFont val="Tahoma"/>
            <family val="2"/>
          </rPr>
          <t xml:space="preserve">Silvanna Jeanette Cervantes Vicente:
FILO
</t>
        </r>
      </text>
    </comment>
    <comment ref="AI996" authorId="3" shapeId="0" xr:uid="{00000000-0006-0000-0100-000082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Z997" authorId="3" shapeId="0" xr:uid="{DB6B8739-36AD-4160-9F1C-6F32229630C8}">
      <text>
        <r>
          <rPr>
            <sz val="9"/>
            <color indexed="81"/>
            <rFont val="Tahoma"/>
            <family val="2"/>
          </rPr>
          <t xml:space="preserve">Silvanna Jeanette Cervantes Vicente:
FILO
</t>
        </r>
      </text>
    </comment>
    <comment ref="AI997" authorId="3" shapeId="0" xr:uid="{00000000-0006-0000-0100-000084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BB998" authorId="6" shapeId="0" xr:uid="{00000000-0006-0000-0100-000086010000}">
      <text>
        <r>
          <rPr>
            <sz val="9"/>
            <color indexed="81"/>
            <rFont val="Tahoma"/>
            <family val="2"/>
          </rPr>
          <t xml:space="preserve">2 CONT - RANSA
3 CONT - EQUIIBRA
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Z999" authorId="3" shapeId="0" xr:uid="{ABD9F64C-D1D9-4C96-AA17-12B4EBFC4FDD}">
      <text>
        <r>
          <rPr>
            <sz val="9"/>
            <color indexed="81"/>
            <rFont val="Tahoma"/>
            <family val="2"/>
          </rPr>
          <t xml:space="preserve">Silvanna Jeanette Cervantes Vicente:
FILO
</t>
        </r>
      </text>
    </comment>
    <comment ref="AI999" authorId="3" shapeId="0" xr:uid="{00000000-0006-0000-0100-000087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Z1000" authorId="3" shapeId="0" xr:uid="{BB9EB3CB-E11A-43F3-831E-C033BB44D3CE}">
      <text>
        <r>
          <rPr>
            <sz val="9"/>
            <color indexed="81"/>
            <rFont val="Tahoma"/>
            <family val="2"/>
          </rPr>
          <t xml:space="preserve">Silvanna Jeanette Cervantes Vicente:
FILO
</t>
        </r>
      </text>
    </comment>
    <comment ref="AI1000" authorId="3" shapeId="0" xr:uid="{00000000-0006-0000-0100-000089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Z1001" authorId="6" shapeId="0" xr:uid="{320942F7-6A84-450A-961D-A1C5C3727A85}">
      <text>
        <r>
          <rPr>
            <sz val="9"/>
            <color indexed="81"/>
            <rFont val="Tahoma"/>
            <family val="2"/>
          </rPr>
          <t>FILO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AI1001" authorId="3" shapeId="0" xr:uid="{00000000-0006-0000-0100-00008B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AI1002" authorId="3" shapeId="0" xr:uid="{00000000-0006-0000-0100-00008D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AI1014" authorId="3" shapeId="0" xr:uid="{00000000-0006-0000-0100-00008E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 FERT
</t>
        </r>
      </text>
    </comment>
    <comment ref="AI1015" authorId="3" shapeId="0" xr:uid="{00000000-0006-0000-0100-00008F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 FERT
</t>
        </r>
      </text>
    </comment>
    <comment ref="AT1015" authorId="3" shapeId="0" xr:uid="{00000000-0006-0000-0100-000090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Inspección: 31/07</t>
        </r>
      </text>
    </comment>
    <comment ref="BB1025" authorId="6" shapeId="0" xr:uid="{00000000-0006-0000-0100-000091010000}">
      <text>
        <r>
          <rPr>
            <sz val="9"/>
            <color indexed="81"/>
            <rFont val="Tahoma"/>
            <family val="2"/>
          </rPr>
          <t>3 CONT RANSA
9 CONT SAVAR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BB1026" authorId="6" shapeId="0" xr:uid="{00000000-0006-0000-0100-000092010000}">
      <text>
        <r>
          <rPr>
            <sz val="9"/>
            <color indexed="81"/>
            <rFont val="Tahoma"/>
            <family val="2"/>
          </rPr>
          <t xml:space="preserve">6 CONT RANSA
5 CONT EQUILIBRA
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Z1028" authorId="3" shapeId="0" xr:uid="{B9020F15-70C9-4EC7-A9CE-75E7244734CB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b/>
            <i/>
            <sz val="9"/>
            <color indexed="81"/>
            <rFont val="Tahoma"/>
            <family val="2"/>
          </rPr>
          <t xml:space="preserve">
Free out
</t>
        </r>
      </text>
    </comment>
    <comment ref="AI1028" authorId="3" shapeId="0" xr:uid="{00000000-0006-0000-0100-000093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 FERT
</t>
        </r>
      </text>
    </comment>
    <comment ref="Z1030" authorId="3" shapeId="0" xr:uid="{81A8E4DC-77F6-4850-93B7-4A11E5425A5C}">
      <text>
        <r>
          <rPr>
            <sz val="9"/>
            <color indexed="81"/>
            <rFont val="Tahoma"/>
            <family val="2"/>
          </rPr>
          <t xml:space="preserve">Silvanna Jeanette Cervantes Vicente:
FO
</t>
        </r>
      </text>
    </comment>
    <comment ref="BB1030" authorId="6" shapeId="0" xr:uid="{00000000-0006-0000-0100-000096010000}">
      <text>
        <r>
          <rPr>
            <sz val="9"/>
            <color indexed="81"/>
            <rFont val="Tahoma"/>
            <family val="2"/>
          </rPr>
          <t>4 CONT RANSA
3 CONT EQ.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BB1031" authorId="3" shapeId="0" xr:uid="{00000000-0006-0000-0100-000097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SAVAR: 5 CNTS
RANSA: 4 CNTS
</t>
        </r>
      </text>
    </comment>
    <comment ref="BB1032" authorId="3" shapeId="0" xr:uid="{00000000-0006-0000-0100-000098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EQ: 8 CNTS
RANSA: 8 CNTS</t>
        </r>
      </text>
    </comment>
    <comment ref="AI1035" authorId="3" shapeId="0" xr:uid="{00000000-0006-0000-0100-000099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 FERT
</t>
        </r>
      </text>
    </comment>
    <comment ref="AT1035" authorId="3" shapeId="0" xr:uid="{00000000-0006-0000-0100-00009A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Inspección: 14/09</t>
        </r>
      </text>
    </comment>
    <comment ref="BB1036" authorId="6" shapeId="0" xr:uid="{00000000-0006-0000-0100-00009B010000}">
      <text>
        <r>
          <rPr>
            <sz val="9"/>
            <color indexed="81"/>
            <rFont val="Tahoma"/>
            <family val="2"/>
          </rPr>
          <t>3 CONT SAVAR
3 CONT RANSA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AC1045" authorId="3" shapeId="0" xr:uid="{00000000-0006-0000-0100-00009C010000}">
      <text>
        <r>
          <rPr>
            <b/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$215/tm
</t>
        </r>
      </text>
    </comment>
    <comment ref="AC1046" authorId="3" shapeId="0" xr:uid="{00000000-0006-0000-0100-00009D010000}">
      <text>
        <r>
          <rPr>
            <b/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$215/tm
</t>
        </r>
      </text>
    </comment>
    <comment ref="AC1047" authorId="3" shapeId="0" xr:uid="{00000000-0006-0000-0100-00009E010000}">
      <text>
        <r>
          <rPr>
            <b/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$215/tm
</t>
        </r>
      </text>
    </comment>
    <comment ref="AC1048" authorId="3" shapeId="0" xr:uid="{00000000-0006-0000-0100-00009F010000}">
      <text>
        <r>
          <rPr>
            <b/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$215/tm
</t>
        </r>
      </text>
    </comment>
    <comment ref="AC1049" authorId="3" shapeId="0" xr:uid="{00000000-0006-0000-0100-0000A0010000}">
      <text>
        <r>
          <rPr>
            <b/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$215/tm
</t>
        </r>
      </text>
    </comment>
    <comment ref="V1054" authorId="3" shapeId="0" xr:uid="{00000000-0006-0000-0100-0000A1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Forfaiting</t>
        </r>
      </text>
    </comment>
    <comment ref="V1055" authorId="3" shapeId="0" xr:uid="{00000000-0006-0000-0100-0000A2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Forfaiting
</t>
        </r>
      </text>
    </comment>
    <comment ref="V1056" authorId="3" shapeId="0" xr:uid="{00000000-0006-0000-0100-0000A3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Forfaiting</t>
        </r>
      </text>
    </comment>
    <comment ref="V1057" authorId="3" shapeId="0" xr:uid="{00000000-0006-0000-0100-0000A4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Forfaiting</t>
        </r>
      </text>
    </comment>
    <comment ref="AI1058" authorId="3" shapeId="0" xr:uid="{00000000-0006-0000-0100-0000A5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BB1062" authorId="6" shapeId="0" xr:uid="{00000000-0006-0000-0100-0000A6010000}">
      <text>
        <r>
          <rPr>
            <i/>
            <sz val="9"/>
            <color indexed="81"/>
            <rFont val="Tahoma"/>
            <family val="2"/>
          </rPr>
          <t>6 CONT RANSA
8 CONT EQ.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BB1066" authorId="3" shapeId="0" xr:uid="{00000000-0006-0000-0100-0000A7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ransa: 12 cnts
savar: 13 cnts
</t>
        </r>
      </text>
    </comment>
    <comment ref="AI1069" authorId="3" shapeId="0" xr:uid="{00000000-0006-0000-0100-0000A8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AI1070" authorId="3" shapeId="0" xr:uid="{00000000-0006-0000-0100-0000A9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AI1071" authorId="3" shapeId="0" xr:uid="{00000000-0006-0000-0100-0000AA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V1073" authorId="3" shapeId="0" xr:uid="{00000000-0006-0000-0100-0000AB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NC 7300104592</t>
        </r>
      </text>
    </comment>
    <comment ref="AT1073" authorId="6" shapeId="0" xr:uid="{00000000-0006-0000-0100-0000AC010000}">
      <text>
        <r>
          <rPr>
            <sz val="9"/>
            <color indexed="81"/>
            <rFont val="Tahoma"/>
            <family val="2"/>
          </rPr>
          <t>INGRESO ADELANTADO 14/10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BC1073" authorId="3" shapeId="0" xr:uid="{684A22C2-EA6D-4F25-B1DD-C7E0F901B95B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BL impreso</t>
        </r>
      </text>
    </comment>
    <comment ref="V1074" authorId="3" shapeId="0" xr:uid="{00000000-0006-0000-0100-0000AE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NC 7300104645</t>
        </r>
      </text>
    </comment>
    <comment ref="BC1074" authorId="3" shapeId="0" xr:uid="{7C871961-3AE7-45F6-91AA-AE321D75057B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BL impreso
</t>
        </r>
      </text>
    </comment>
    <comment ref="V1075" authorId="3" shapeId="0" xr:uid="{00000000-0006-0000-0100-0000B0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NC 7300104646</t>
        </r>
      </text>
    </comment>
    <comment ref="BC1075" authorId="3" shapeId="0" xr:uid="{18264AFD-4BA8-48B4-8412-E3472D96B0FD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BL impreso
</t>
        </r>
      </text>
    </comment>
    <comment ref="V1076" authorId="3" shapeId="0" xr:uid="{00000000-0006-0000-0100-0000B2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NC 7300104590</t>
        </r>
      </text>
    </comment>
    <comment ref="AT1076" authorId="6" shapeId="0" xr:uid="{00000000-0006-0000-0100-0000B3010000}">
      <text>
        <r>
          <rPr>
            <sz val="9"/>
            <color indexed="81"/>
            <rFont val="Tahoma"/>
            <family val="2"/>
          </rPr>
          <t>INGRESO ADELANTADO 13/10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BC1076" authorId="3" shapeId="0" xr:uid="{9CB8A7CB-9911-4049-94AF-BD197C080E79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BL impreso
</t>
        </r>
      </text>
    </comment>
    <comment ref="V1077" authorId="3" shapeId="0" xr:uid="{00000000-0006-0000-0100-0000B5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NC 7300104580</t>
        </r>
      </text>
    </comment>
    <comment ref="BC1077" authorId="3" shapeId="0" xr:uid="{C9FDDAEF-9D8E-4CC0-BB83-31B86A7EE687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BL impreso</t>
        </r>
      </text>
    </comment>
    <comment ref="T1078" authorId="3" shapeId="0" xr:uid="{00000000-0006-0000-0100-0000B7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20% in advance
80% 30 días
</t>
        </r>
      </text>
    </comment>
    <comment ref="T1079" authorId="3" shapeId="0" xr:uid="{00000000-0006-0000-0100-0000B8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20% in advance
80% 30 días
</t>
        </r>
      </text>
    </comment>
    <comment ref="T1080" authorId="3" shapeId="0" xr:uid="{00000000-0006-0000-0100-0000B9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20% in advance
80% 30 días
</t>
        </r>
      </text>
    </comment>
    <comment ref="T1081" authorId="3" shapeId="0" xr:uid="{00000000-0006-0000-0100-0000BA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20% in advance
80% 30 días
</t>
        </r>
      </text>
    </comment>
    <comment ref="AI1082" authorId="3" shapeId="0" xr:uid="{00000000-0006-0000-0100-0000BB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AT1082" authorId="6" shapeId="0" xr:uid="{00000000-0006-0000-0100-0000BC010000}">
      <text>
        <r>
          <rPr>
            <i/>
            <sz val="9"/>
            <color indexed="81"/>
            <rFont val="Tahoma"/>
            <family val="2"/>
          </rPr>
          <t xml:space="preserve">OC ADELANTADA
</t>
        </r>
      </text>
    </comment>
    <comment ref="AI1083" authorId="3" shapeId="0" xr:uid="{00000000-0006-0000-0100-0000BD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AT1083" authorId="6" shapeId="0" xr:uid="{00000000-0006-0000-0100-0000BE010000}">
      <text>
        <r>
          <rPr>
            <i/>
            <sz val="9"/>
            <color indexed="81"/>
            <rFont val="Tahoma"/>
            <family val="2"/>
          </rPr>
          <t>INGRESO ADELANTADO DE OC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AI1085" authorId="3" shapeId="0" xr:uid="{00000000-0006-0000-0100-0000BF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T1087" authorId="3" shapeId="0" xr:uid="{00000000-0006-0000-0100-0000C0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20% in advance
80% 30 días
</t>
        </r>
      </text>
    </comment>
    <comment ref="T1088" authorId="3" shapeId="0" xr:uid="{00000000-0006-0000-0100-0000C1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20% in advance
80% 30 días
</t>
        </r>
      </text>
    </comment>
    <comment ref="T1089" authorId="3" shapeId="0" xr:uid="{00000000-0006-0000-0100-0000C2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20% in advance
80% 30 días
</t>
        </r>
      </text>
    </comment>
    <comment ref="CG1089" authorId="6" shapeId="0" xr:uid="{00000000-0006-0000-0100-0000C3010000}">
      <text>
        <r>
          <rPr>
            <i/>
            <sz val="9"/>
            <color indexed="81"/>
            <rFont val="Tahoma"/>
            <family val="2"/>
          </rPr>
          <t>APM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T1090" authorId="3" shapeId="0" xr:uid="{00000000-0006-0000-0100-0000C4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20% in advance
80% 30 días
</t>
        </r>
      </text>
    </comment>
    <comment ref="CG1090" authorId="6" shapeId="0" xr:uid="{00000000-0006-0000-0100-0000C5010000}">
      <text>
        <r>
          <rPr>
            <i/>
            <sz val="9"/>
            <color indexed="81"/>
            <rFont val="Tahoma"/>
            <family val="2"/>
          </rPr>
          <t>APM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T1092" authorId="3" shapeId="0" xr:uid="{00000000-0006-0000-0100-0000C6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20% in advance
80% 30 días
</t>
        </r>
      </text>
    </comment>
    <comment ref="T1097" authorId="3" shapeId="0" xr:uid="{00000000-0006-0000-0100-0000C7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50% in advance
50% 20 días
</t>
        </r>
      </text>
    </comment>
    <comment ref="S1098" authorId="3" shapeId="0" xr:uid="{00000000-0006-0000-0100-0000C8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Cierre de Julio
</t>
        </r>
      </text>
    </comment>
    <comment ref="AC1098" authorId="3" shapeId="0" xr:uid="{00000000-0006-0000-0100-0000CA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tasa 3.60%
</t>
        </r>
      </text>
    </comment>
    <comment ref="AI1098" authorId="3" shapeId="0" xr:uid="{00000000-0006-0000-0100-0000C9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S1099" authorId="3" shapeId="0" xr:uid="{00000000-0006-0000-0100-0000CB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Cierre de Julio
</t>
        </r>
      </text>
    </comment>
    <comment ref="AI1099" authorId="3" shapeId="0" xr:uid="{00000000-0006-0000-0100-0000CC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S1100" authorId="3" shapeId="0" xr:uid="{00000000-0006-0000-0100-0000CD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Cierre de Julio
</t>
        </r>
      </text>
    </comment>
    <comment ref="AC1100" authorId="3" shapeId="0" xr:uid="{00000000-0006-0000-0100-0000CE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tasa 3.60%
</t>
        </r>
      </text>
    </comment>
    <comment ref="AT1100" authorId="6" shapeId="0" xr:uid="{00000000-0006-0000-0100-0000CF010000}">
      <text>
        <r>
          <rPr>
            <i/>
            <sz val="9"/>
            <color indexed="81"/>
            <rFont val="Tahoma"/>
            <family val="2"/>
          </rPr>
          <t>INGRESO ADELANTADO OC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BB1100" authorId="6" shapeId="0" xr:uid="{00000000-0006-0000-0100-0000D0010000}">
      <text>
        <r>
          <rPr>
            <i/>
            <sz val="9"/>
            <color indexed="81"/>
            <rFont val="Tahoma"/>
            <family val="2"/>
          </rPr>
          <t>8 RANSA
9 EQ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S1101" authorId="3" shapeId="0" xr:uid="{00000000-0006-0000-0100-0000D1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Cierre de Julio
</t>
        </r>
      </text>
    </comment>
    <comment ref="AI1101" authorId="3" shapeId="0" xr:uid="{00000000-0006-0000-0100-0000D2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S1102" authorId="3" shapeId="0" xr:uid="{00000000-0006-0000-0100-0000D3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Cierre de Julio
</t>
        </r>
      </text>
    </comment>
    <comment ref="AI1102" authorId="3" shapeId="0" xr:uid="{00000000-0006-0000-0100-0000D4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Z1103" authorId="3" shapeId="0" xr:uid="{D895B330-0E53-4DB6-93D0-A9D189B8B6F6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2020
</t>
        </r>
      </text>
    </comment>
    <comment ref="AI1103" authorId="3" shapeId="0" xr:uid="{00000000-0006-0000-0100-0000D5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BC1104" authorId="3" shapeId="0" xr:uid="{A5C6FE89-57EF-4293-8AD1-231355D5F806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BL impreso
</t>
        </r>
      </text>
    </comment>
    <comment ref="V1105" authorId="3" shapeId="0" xr:uid="{00000000-0006-0000-0100-0000D8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SE EMITIÓ UNA NC PARA LA FACT F200-00042718
</t>
        </r>
      </text>
    </comment>
    <comment ref="BC1105" authorId="3" shapeId="0" xr:uid="{D43F3341-3923-4303-9385-5C7B79262CB2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Bl impreso
</t>
        </r>
      </text>
    </comment>
    <comment ref="V1106" authorId="3" shapeId="0" xr:uid="{00000000-0006-0000-0100-0000DA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SE EMITIÓ UNA NC PARA LA FACT F200-00042718
</t>
        </r>
      </text>
    </comment>
    <comment ref="BC1106" authorId="3" shapeId="0" xr:uid="{291073CE-2D0C-4965-9AE0-4A8E3FA9F2E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Bl impreso
</t>
        </r>
      </text>
    </comment>
    <comment ref="G1107" authorId="7" shapeId="0" xr:uid="{FA3E3C54-1C8F-4F61-8659-43CB1EFD8709}">
      <text>
        <r>
          <rPr>
            <i/>
            <sz val="9"/>
            <color indexed="81"/>
            <rFont val="Tahoma"/>
            <family val="2"/>
          </rPr>
          <t>Mery Estela Saldaña Reyes:</t>
        </r>
        <r>
          <rPr>
            <i/>
            <sz val="9"/>
            <color indexed="81"/>
            <rFont val="Tahoma"/>
            <family val="2"/>
          </rPr>
          <t xml:space="preserve">
ANULADO 951
</t>
        </r>
      </text>
    </comment>
    <comment ref="J1107" authorId="7" shapeId="0" xr:uid="{CDA998BE-17E9-4695-9163-CA53B8CA369F}">
      <text>
        <r>
          <rPr>
            <i/>
            <sz val="9"/>
            <color indexed="81"/>
            <rFont val="Tahoma"/>
            <family val="2"/>
          </rPr>
          <t>Mery Estela Saldaña Reyes:</t>
        </r>
        <r>
          <rPr>
            <i/>
            <sz val="9"/>
            <color indexed="81"/>
            <rFont val="Tahoma"/>
            <family val="2"/>
          </rPr>
          <t xml:space="preserve">
ANULADO 951
</t>
        </r>
      </text>
    </comment>
    <comment ref="V1108" authorId="3" shapeId="0" xr:uid="{00000000-0006-0000-0100-0000DD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se emitió NC de la factura 42714
</t>
        </r>
      </text>
    </comment>
    <comment ref="BC1108" authorId="3" shapeId="0" xr:uid="{FD5DC1B6-C54E-430C-9B3C-EABFD4495A85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BL impreso
</t>
        </r>
      </text>
    </comment>
    <comment ref="V1109" authorId="3" shapeId="0" xr:uid="{00000000-0006-0000-0100-0000DF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SE EMITIÓ UNA NC PARA LA FACT F200-00042715
</t>
        </r>
      </text>
    </comment>
    <comment ref="BC1109" authorId="3" shapeId="0" xr:uid="{4F969434-0245-44D7-BB97-027553F1457D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Bl impreso
</t>
        </r>
      </text>
    </comment>
    <comment ref="V1110" authorId="3" shapeId="0" xr:uid="{00000000-0006-0000-0100-0000E1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SE EMITIÓ UNA NC PARA LA FACT F200-00042715
</t>
        </r>
      </text>
    </comment>
    <comment ref="BC1110" authorId="3" shapeId="0" xr:uid="{31AD531C-536E-4F69-84FC-FB758F9EB185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Bl impreso
</t>
        </r>
      </text>
    </comment>
    <comment ref="V1113" authorId="3" shapeId="0" xr:uid="{00000000-0006-0000-0100-0000E3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F200-00042712 ANULADA
</t>
        </r>
      </text>
    </comment>
    <comment ref="BB1115" authorId="3" shapeId="0" xr:uid="{00000000-0006-0000-0100-0000E4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7/09: 12 CNTS
8/09: 12 CNTS
</t>
        </r>
      </text>
    </comment>
    <comment ref="BC1116" authorId="3" shapeId="0" xr:uid="{29D8DC0A-FB6E-45E9-BDAB-DEDBF26C905C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BL impreso
</t>
        </r>
      </text>
    </comment>
    <comment ref="V1117" authorId="3" shapeId="0" xr:uid="{00000000-0006-0000-0100-0000E6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F200-00042728 ANULADA
</t>
        </r>
      </text>
    </comment>
    <comment ref="BB1117" authorId="6" shapeId="0" xr:uid="{00000000-0006-0000-0100-0000E7010000}">
      <text>
        <r>
          <rPr>
            <sz val="9"/>
            <color indexed="81"/>
            <rFont val="Tahoma"/>
            <family val="2"/>
          </rPr>
          <t>10 CONT : 05/10
5 CONT: 06/10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BC1117" authorId="3" shapeId="0" xr:uid="{ACAD2560-0803-4EDE-BA2A-ECC6AC4F979B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BL impreso
</t>
        </r>
      </text>
    </comment>
    <comment ref="BB1122" authorId="3" shapeId="0" xr:uid="{00000000-0006-0000-0100-0000E901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14 TISUR
20 EQ
</t>
        </r>
      </text>
    </comment>
    <comment ref="BC1123" authorId="3" shapeId="0" xr:uid="{077EF627-99A5-4C7C-B1DD-F534146EDE67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BL impreso
</t>
        </r>
      </text>
    </comment>
    <comment ref="AT1126" authorId="6" shapeId="0" xr:uid="{00000000-0006-0000-0100-0000EB010000}">
      <text>
        <r>
          <rPr>
            <i/>
            <sz val="9"/>
            <color indexed="81"/>
            <rFont val="Tahoma"/>
            <family val="2"/>
          </rPr>
          <t>INGRESO ADELANTADO DE OC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BC1138" authorId="3" shapeId="0" xr:uid="{5B8689BE-4DDB-471B-A213-9F2B8C3D14D3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BL impreso
</t>
        </r>
      </text>
    </comment>
    <comment ref="BC1139" authorId="3" shapeId="0" xr:uid="{83464BD4-DA73-48AE-8D91-90CF59CE65D2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BL impreso
</t>
        </r>
      </text>
    </comment>
    <comment ref="Z1140" authorId="3" shapeId="0" xr:uid="{F71CED3C-DB5B-4673-8075-EFFA39871CD5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Z1141" authorId="3" shapeId="0" xr:uid="{517591F1-5BF3-405F-A258-E05F011F1A66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CG1152" authorId="6" shapeId="0" xr:uid="{00000000-0006-0000-0100-0000F0010000}">
      <text>
        <r>
          <rPr>
            <i/>
            <sz val="9"/>
            <color indexed="81"/>
            <rFont val="Tahoma"/>
            <family val="2"/>
          </rPr>
          <t>APM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BC1158" authorId="3" shapeId="0" xr:uid="{B2BD382A-14C4-4060-AF28-C8E8BB575757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BL impreso
</t>
        </r>
      </text>
    </comment>
    <comment ref="BC1159" authorId="3" shapeId="0" xr:uid="{C5356819-DEE2-4BC4-93EA-AF697147905A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BL impreso
</t>
        </r>
      </text>
    </comment>
    <comment ref="BC1160" authorId="3" shapeId="0" xr:uid="{1A1C32D6-8823-4908-A5B4-B41E68EF8B5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BL impreso
</t>
        </r>
      </text>
    </comment>
    <comment ref="BC1161" authorId="3" shapeId="0" xr:uid="{E7973A67-14AC-458D-888E-535B84E7D265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BL impreso
</t>
        </r>
      </text>
    </comment>
    <comment ref="AC1165" authorId="3" shapeId="0" xr:uid="{00000000-0006-0000-0100-0000F501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3.55%
</t>
        </r>
      </text>
    </comment>
    <comment ref="AC1166" authorId="3" shapeId="0" xr:uid="{00000000-0006-0000-0100-0000F601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3.55%
</t>
        </r>
      </text>
    </comment>
    <comment ref="AT1179" authorId="6" shapeId="0" xr:uid="{00000000-0006-0000-0100-0000F7010000}">
      <text>
        <r>
          <rPr>
            <i/>
            <sz val="9"/>
            <color indexed="81"/>
            <rFont val="Tahoma"/>
            <family val="2"/>
          </rPr>
          <t>oc adelantada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CG1179" authorId="6" shapeId="0" xr:uid="{00000000-0006-0000-0100-0000F8010000}">
      <text>
        <r>
          <rPr>
            <i/>
            <sz val="9"/>
            <color indexed="81"/>
            <rFont val="Tahoma"/>
            <family val="2"/>
          </rPr>
          <t>SLI -DPW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AT1180" authorId="6" shapeId="0" xr:uid="{00000000-0006-0000-0100-0000F9010000}">
      <text>
        <r>
          <rPr>
            <i/>
            <sz val="9"/>
            <color indexed="81"/>
            <rFont val="Tahoma"/>
            <family val="2"/>
          </rPr>
          <t>OC ADELANTADA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CG1180" authorId="6" shapeId="0" xr:uid="{00000000-0006-0000-0100-0000FA010000}">
      <text>
        <r>
          <rPr>
            <i/>
            <sz val="9"/>
            <color indexed="81"/>
            <rFont val="Tahoma"/>
            <family val="2"/>
          </rPr>
          <t>SLI -DPW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Z1202" authorId="3" shapeId="0" xr:uid="{54A1882A-6A52-4D68-BC4D-281DC27932B2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Z1203" authorId="3" shapeId="0" xr:uid="{CDBBCEF0-B7DF-4448-A8EA-82E5E4FAA938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CG1203" authorId="6" shapeId="0" xr:uid="{00000000-0006-0000-0100-0000FD010000}">
      <text>
        <r>
          <rPr>
            <i/>
            <sz val="9"/>
            <color indexed="81"/>
            <rFont val="Tahoma"/>
            <family val="2"/>
          </rPr>
          <t>APM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Z1204" authorId="3" shapeId="0" xr:uid="{3532F03D-910D-49D5-93BB-85E67693945E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AT1204" authorId="6" shapeId="0" xr:uid="{00000000-0006-0000-0100-000000020000}">
      <text>
        <r>
          <rPr>
            <i/>
            <sz val="9"/>
            <color indexed="81"/>
            <rFont val="Tahoma"/>
            <family val="2"/>
          </rPr>
          <t>OC ADELANTADA 26/02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BD1204" authorId="3" shapeId="0" xr:uid="{00000000-0006-0000-0100-0000FF01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antes 18/11
</t>
        </r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5/12
</t>
        </r>
      </text>
    </comment>
    <comment ref="Z1205" authorId="3" shapeId="0" xr:uid="{5EA41471-B79F-49C6-BFFF-D79D81121599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AT1209" authorId="6" shapeId="0" xr:uid="{00000000-0006-0000-0100-000002020000}">
      <text>
        <r>
          <rPr>
            <i/>
            <sz val="9"/>
            <color indexed="81"/>
            <rFont val="Tahoma"/>
            <family val="2"/>
          </rPr>
          <t>OC  ADELANTADA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H1210" authorId="3" shapeId="0" xr:uid="{85F6C7E4-9B77-44C2-ADEF-C4FDB036D518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SOLO LLEGARON 20 CONTENEDORES
</t>
        </r>
      </text>
    </comment>
    <comment ref="AT1210" authorId="6" shapeId="0" xr:uid="{00000000-0006-0000-0100-000004020000}">
      <text>
        <r>
          <rPr>
            <i/>
            <sz val="9"/>
            <color indexed="81"/>
            <rFont val="Tahoma"/>
            <family val="2"/>
          </rPr>
          <t>OC ADELANTADA 02/03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AT1212" authorId="6" shapeId="0" xr:uid="{00000000-0006-0000-0100-000005020000}">
      <text>
        <r>
          <rPr>
            <i/>
            <sz val="9"/>
            <color indexed="81"/>
            <rFont val="Tahoma"/>
            <family val="2"/>
          </rPr>
          <t>OC  ADELANTADA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CG1212" authorId="6" shapeId="0" xr:uid="{00000000-0006-0000-0100-000006020000}">
      <text>
        <r>
          <rPr>
            <i/>
            <sz val="9"/>
            <color indexed="81"/>
            <rFont val="Tahoma"/>
            <family val="2"/>
          </rPr>
          <t xml:space="preserve">APM
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CG1213" authorId="6" shapeId="0" xr:uid="{00000000-0006-0000-0100-000007020000}">
      <text>
        <r>
          <rPr>
            <i/>
            <sz val="9"/>
            <color indexed="81"/>
            <rFont val="Tahoma"/>
            <family val="2"/>
          </rPr>
          <t xml:space="preserve">APM
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AT1214" authorId="6" shapeId="0" xr:uid="{00000000-0006-0000-0100-000008020000}">
      <text>
        <r>
          <rPr>
            <i/>
            <sz val="9"/>
            <color indexed="81"/>
            <rFont val="Tahoma"/>
            <family val="2"/>
          </rPr>
          <t xml:space="preserve">OC ADELANTADA
</t>
        </r>
      </text>
    </comment>
    <comment ref="AT1215" authorId="6" shapeId="0" xr:uid="{00000000-0006-0000-0100-000009020000}">
      <text>
        <r>
          <rPr>
            <i/>
            <sz val="9"/>
            <color indexed="81"/>
            <rFont val="Tahoma"/>
            <family val="2"/>
          </rPr>
          <t>OC ADELANTA 25/03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CG1218" authorId="6" shapeId="0" xr:uid="{00000000-0006-0000-0100-00000A020000}">
      <text>
        <r>
          <rPr>
            <i/>
            <sz val="9"/>
            <color indexed="81"/>
            <rFont val="Tahoma"/>
            <family val="2"/>
          </rPr>
          <t>APM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AI1219" authorId="3" shapeId="0" xr:uid="{00000000-0006-0000-0100-00000B02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 FERT
</t>
        </r>
      </text>
    </comment>
    <comment ref="CG1220" authorId="6" shapeId="0" xr:uid="{00000000-0006-0000-0100-00000C020000}">
      <text>
        <r>
          <rPr>
            <i/>
            <sz val="9"/>
            <color indexed="81"/>
            <rFont val="Tahoma"/>
            <family val="2"/>
          </rPr>
          <t>APM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AI1222" authorId="3" shapeId="0" xr:uid="{00000000-0006-0000-0100-00000D02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 FERT
</t>
        </r>
      </text>
    </comment>
    <comment ref="AI1223" authorId="3" shapeId="0" xr:uid="{00000000-0006-0000-0100-00000E02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 FERT
</t>
        </r>
      </text>
    </comment>
    <comment ref="AI1224" authorId="3" shapeId="0" xr:uid="{00000000-0006-0000-0100-00000F02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 FERT
</t>
        </r>
      </text>
    </comment>
    <comment ref="Z1225" authorId="3" shapeId="0" xr:uid="{35881856-2FB8-4292-924D-BEF451859C94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AT1226" authorId="6" shapeId="0" xr:uid="{00000000-0006-0000-0100-000011020000}">
      <text>
        <r>
          <rPr>
            <i/>
            <sz val="9"/>
            <color indexed="81"/>
            <rFont val="Tahoma"/>
            <family val="2"/>
          </rPr>
          <t>OC ADELANTADA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BB1227" authorId="6" shapeId="0" xr:uid="{00000000-0006-0000-0100-000012020000}">
      <text>
        <r>
          <rPr>
            <sz val="9"/>
            <color indexed="81"/>
            <rFont val="Tahoma"/>
            <family val="2"/>
          </rPr>
          <t>15 SAVAR
15 RANSA</t>
        </r>
        <r>
          <rPr>
            <b/>
            <i/>
            <sz val="9"/>
            <color indexed="81"/>
            <rFont val="Tahoma"/>
            <family val="2"/>
          </rPr>
          <t xml:space="preserve">
</t>
        </r>
      </text>
    </comment>
    <comment ref="CG1231" authorId="6" shapeId="0" xr:uid="{00000000-0006-0000-0100-000013020000}">
      <text>
        <r>
          <rPr>
            <i/>
            <sz val="9"/>
            <color indexed="81"/>
            <rFont val="Tahoma"/>
            <family val="2"/>
          </rPr>
          <t>DD-APM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CG1238" authorId="6" shapeId="0" xr:uid="{00000000-0006-0000-0100-000014020000}">
      <text>
        <r>
          <rPr>
            <i/>
            <sz val="9"/>
            <color indexed="81"/>
            <rFont val="Tahoma"/>
            <family val="2"/>
          </rPr>
          <t>DPW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AT1245" authorId="6" shapeId="0" xr:uid="{00000000-0006-0000-0100-000015020000}">
      <text>
        <r>
          <rPr>
            <i/>
            <sz val="9"/>
            <color indexed="81"/>
            <rFont val="Tahoma"/>
            <family val="2"/>
          </rPr>
          <t>OC ADELANTADA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BB1247" authorId="6" shapeId="0" xr:uid="{00000000-0006-0000-0100-000016020000}">
      <text>
        <r>
          <rPr>
            <i/>
            <sz val="9"/>
            <color indexed="81"/>
            <rFont val="Tahoma"/>
            <family val="2"/>
          </rPr>
          <t>15 CONT RANSA
16 CONT EQ.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AT1249" authorId="6" shapeId="0" xr:uid="{00000000-0006-0000-0100-000017020000}">
      <text>
        <r>
          <rPr>
            <i/>
            <sz val="9"/>
            <color indexed="81"/>
            <rFont val="Tahoma"/>
            <family val="2"/>
          </rPr>
          <t>OC  ADELANTADA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AI1250" authorId="3" shapeId="0" xr:uid="{00000000-0006-0000-0100-000018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DEBERÍA LLEGAR CON MARCA KRISTA SOP
</t>
        </r>
      </text>
    </comment>
    <comment ref="AT1250" authorId="6" shapeId="0" xr:uid="{00000000-0006-0000-0100-000019020000}">
      <text>
        <r>
          <rPr>
            <i/>
            <sz val="9"/>
            <color indexed="81"/>
            <rFont val="Tahoma"/>
            <family val="2"/>
          </rPr>
          <t>OC ADELANTADA 05/04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AI1251" authorId="3" shapeId="0" xr:uid="{00000000-0006-0000-0100-00001A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AT1252" authorId="3" shapeId="0" xr:uid="{00000000-0006-0000-0100-00001B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Ingreso de OC: 16/02
</t>
        </r>
      </text>
    </comment>
    <comment ref="CG1257" authorId="6" shapeId="0" xr:uid="{00000000-0006-0000-0100-00001C020000}">
      <text>
        <r>
          <rPr>
            <i/>
            <sz val="9"/>
            <color indexed="81"/>
            <rFont val="Tahoma"/>
            <family val="2"/>
          </rPr>
          <t>SLI -DPW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AI1259" authorId="3" shapeId="0" xr:uid="{00000000-0006-0000-0100-00001D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MARCA Yaratera Krista MAP
</t>
        </r>
      </text>
    </comment>
    <comment ref="CG1259" authorId="6" shapeId="0" xr:uid="{00000000-0006-0000-0100-00001E020000}">
      <text>
        <r>
          <rPr>
            <i/>
            <sz val="9"/>
            <color indexed="81"/>
            <rFont val="Tahoma"/>
            <family val="2"/>
          </rPr>
          <t>APM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AI1261" authorId="3" shapeId="0" xr:uid="{00000000-0006-0000-0100-00001F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AI1262" authorId="3" shapeId="0" xr:uid="{00000000-0006-0000-0100-000020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AI1263" authorId="3" shapeId="0" xr:uid="{00000000-0006-0000-0100-000021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CG1263" authorId="6" shapeId="0" xr:uid="{00000000-0006-0000-0100-000022020000}">
      <text>
        <r>
          <rPr>
            <i/>
            <sz val="9"/>
            <color indexed="81"/>
            <rFont val="Tahoma"/>
            <family val="2"/>
          </rPr>
          <t>APM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AI1264" authorId="3" shapeId="0" xr:uid="{00000000-0006-0000-0100-000023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CG1264" authorId="6" shapeId="0" xr:uid="{00000000-0006-0000-0100-000024020000}">
      <text>
        <r>
          <rPr>
            <i/>
            <sz val="9"/>
            <color indexed="81"/>
            <rFont val="Tahoma"/>
            <family val="2"/>
          </rPr>
          <t>APM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AI1265" authorId="3" shapeId="0" xr:uid="{00000000-0006-0000-0100-000025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CG1265" authorId="6" shapeId="0" xr:uid="{00000000-0006-0000-0100-000026020000}">
      <text>
        <r>
          <rPr>
            <i/>
            <sz val="9"/>
            <color indexed="81"/>
            <rFont val="Tahoma"/>
            <family val="2"/>
          </rPr>
          <t xml:space="preserve">APM
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AI1266" authorId="3" shapeId="0" xr:uid="{00000000-0006-0000-0100-000027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AI1267" authorId="3" shapeId="0" xr:uid="{00000000-0006-0000-0100-000028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AI1268" authorId="3" shapeId="0" xr:uid="{00000000-0006-0000-0100-000029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Z1269" authorId="3" shapeId="0" xr:uid="{91065747-60D1-46B9-875A-EEC9F350DD4A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CG1271" authorId="6" shapeId="0" xr:uid="{00000000-0006-0000-0100-00002B020000}">
      <text>
        <r>
          <rPr>
            <i/>
            <sz val="9"/>
            <color indexed="81"/>
            <rFont val="Tahoma"/>
            <family val="2"/>
          </rPr>
          <t>SLI -DPW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BB1273" authorId="6" shapeId="0" xr:uid="{00000000-0006-0000-0100-00002C020000}">
      <text>
        <r>
          <rPr>
            <i/>
            <sz val="9"/>
            <color indexed="81"/>
            <rFont val="Tahoma"/>
            <family val="2"/>
          </rPr>
          <t xml:space="preserve">15 cont tisur
40 cont Eq. 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AI1274" authorId="3" shapeId="0" xr:uid="{00000000-0006-0000-0100-00002D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AT1275" authorId="6" shapeId="0" xr:uid="{00000000-0006-0000-0100-00002E020000}">
      <text>
        <r>
          <rPr>
            <i/>
            <sz val="9"/>
            <color indexed="81"/>
            <rFont val="Tahoma"/>
            <family val="2"/>
          </rPr>
          <t>OC ADELANTADA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CG1278" authorId="3" shapeId="0" xr:uid="{00000000-0006-0000-0100-00002F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SADA PL DPW
</t>
        </r>
      </text>
    </comment>
    <comment ref="CG1279" authorId="3" shapeId="0" xr:uid="{00000000-0006-0000-0100-000030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SADA PL DPW
</t>
        </r>
      </text>
    </comment>
    <comment ref="AB1282" authorId="3" shapeId="0" xr:uid="{FED5C29C-973C-4CB0-847F-D8ABACB14B78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antes 450tm
</t>
        </r>
      </text>
    </comment>
    <comment ref="CG1284" authorId="6" shapeId="0" xr:uid="{00000000-0006-0000-0100-000032020000}">
      <text>
        <r>
          <rPr>
            <i/>
            <sz val="9"/>
            <color indexed="81"/>
            <rFont val="Tahoma"/>
            <family val="2"/>
          </rPr>
          <t>SLI -DPW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CG1285" authorId="6" shapeId="0" xr:uid="{00000000-0006-0000-0100-000033020000}">
      <text>
        <r>
          <rPr>
            <i/>
            <sz val="9"/>
            <color indexed="81"/>
            <rFont val="Tahoma"/>
            <family val="2"/>
          </rPr>
          <t>SLI -DPW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CG1286" authorId="6" shapeId="0" xr:uid="{00000000-0006-0000-0100-000034020000}">
      <text>
        <r>
          <rPr>
            <i/>
            <sz val="9"/>
            <color indexed="81"/>
            <rFont val="Tahoma"/>
            <family val="2"/>
          </rPr>
          <t>SLI -DPW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Z1289" authorId="3" shapeId="0" xr:uid="{369D9129-C39F-4664-8637-1D9BADBE3499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BD1289" authorId="3" shapeId="0" xr:uid="{00000000-0006-0000-0100-000036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antes 18/11
</t>
        </r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5/12
</t>
        </r>
      </text>
    </comment>
    <comment ref="BD1290" authorId="3" shapeId="0" xr:uid="{00000000-0006-0000-0100-000037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antes 18/11
</t>
        </r>
      </text>
    </comment>
    <comment ref="AC1302" authorId="3" shapeId="0" xr:uid="{00000000-0006-0000-0100-000038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NC de $20/tm
</t>
        </r>
      </text>
    </comment>
    <comment ref="AT1302" authorId="6" shapeId="0" xr:uid="{00000000-0006-0000-0100-000039020000}">
      <text>
        <r>
          <rPr>
            <i/>
            <sz val="9"/>
            <color indexed="81"/>
            <rFont val="Tahoma"/>
            <family val="2"/>
          </rPr>
          <t xml:space="preserve">OC ADELANTADA 03/03
</t>
        </r>
      </text>
    </comment>
    <comment ref="Z1303" authorId="3" shapeId="0" xr:uid="{8EB544F1-C7FC-4D1F-95FE-D97C2BD347CA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FO
</t>
        </r>
      </text>
    </comment>
    <comment ref="Z1304" authorId="3" shapeId="0" xr:uid="{4F2C2FD1-B1E1-4304-AEA8-D169905C0AA2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FO
</t>
        </r>
      </text>
    </comment>
    <comment ref="AI1305" authorId="3" shapeId="0" xr:uid="{00000000-0006-0000-0100-00003C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AI1306" authorId="3" shapeId="0" xr:uid="{00000000-0006-0000-0100-00003D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AT1306" authorId="7" shapeId="0" xr:uid="{00000000-0006-0000-0100-00003E020000}">
      <text>
        <r>
          <rPr>
            <i/>
            <sz val="9"/>
            <color indexed="81"/>
            <rFont val="Tahoma"/>
            <family val="2"/>
          </rPr>
          <t xml:space="preserve">Ingreso adelantado el 06/08
</t>
        </r>
      </text>
    </comment>
    <comment ref="Z1308" authorId="0" shapeId="0" xr:uid="{7AB2228F-2F89-427C-A16F-C2F96A3E5E18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FILO
</t>
        </r>
      </text>
    </comment>
    <comment ref="AT1308" authorId="0" shapeId="0" xr:uid="{00000000-0006-0000-0100-000040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13/09
</t>
        </r>
      </text>
    </comment>
    <comment ref="Z1309" authorId="3" shapeId="0" xr:uid="{8B7286AE-D5A3-446F-812E-96EAA298C827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BD1314" authorId="3" shapeId="0" xr:uid="{00000000-0006-0000-0100-000042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Antes: 2/04
</t>
        </r>
      </text>
    </comment>
    <comment ref="AT1322" authorId="6" shapeId="0" xr:uid="{00000000-0006-0000-0100-000043020000}">
      <text>
        <r>
          <rPr>
            <i/>
            <sz val="9"/>
            <color indexed="81"/>
            <rFont val="Tahoma"/>
            <family val="2"/>
          </rPr>
          <t>OC ADELANTADA 05/04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CG1344" authorId="6" shapeId="0" xr:uid="{00000000-0006-0000-0100-000044020000}">
      <text>
        <r>
          <rPr>
            <i/>
            <sz val="9"/>
            <color indexed="81"/>
            <rFont val="Tahoma"/>
            <family val="2"/>
          </rPr>
          <t>DPW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Z1346" authorId="3" shapeId="0" xr:uid="{353AAB51-0042-4D66-9C84-1BD72D6F71AD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AI1346" authorId="0" shapeId="0" xr:uid="{00000000-0006-0000-0100-000045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ROMEOR
</t>
        </r>
      </text>
    </comment>
    <comment ref="AT1346" authorId="0" shapeId="0" xr:uid="{00000000-0006-0000-0100-000047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13/09
</t>
        </r>
      </text>
    </comment>
    <comment ref="AZ1346" authorId="3" shapeId="0" xr:uid="{00000000-0006-0000-0100-000048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antes PAITA
</t>
        </r>
      </text>
    </comment>
    <comment ref="T1347" authorId="3" shapeId="0" xr:uid="{00000000-0006-0000-0100-000049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Forfaiting por confirmar
</t>
        </r>
      </text>
    </comment>
    <comment ref="T1348" authorId="3" shapeId="0" xr:uid="{00000000-0006-0000-0100-00004A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Forfaiting por confirmar
</t>
        </r>
      </text>
    </comment>
    <comment ref="T1349" authorId="3" shapeId="0" xr:uid="{00000000-0006-0000-0100-00004B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Forfaiting por confirmar
</t>
        </r>
      </text>
    </comment>
    <comment ref="T1350" authorId="3" shapeId="0" xr:uid="{00000000-0006-0000-0100-00004C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Forfaiting por confirmar
</t>
        </r>
      </text>
    </comment>
    <comment ref="AQ1353" authorId="0" shapeId="0" xr:uid="{00000000-0006-0000-0100-00004D020000}">
      <text>
        <r>
          <rPr>
            <i/>
            <sz val="9"/>
            <color indexed="81"/>
            <rFont val="Tahoma"/>
            <family val="2"/>
          </rPr>
          <t xml:space="preserve">1ER ETA : 31/05
</t>
        </r>
      </text>
    </comment>
    <comment ref="AT1353" authorId="0" shapeId="0" xr:uid="{00000000-0006-0000-0100-00004E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Ingreso adelantado 01/06
</t>
        </r>
      </text>
    </comment>
    <comment ref="AT1354" authorId="0" shapeId="0" xr:uid="{00000000-0006-0000-0100-00004F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Ingreso adelantado 01/06
</t>
        </r>
      </text>
    </comment>
    <comment ref="AT1355" authorId="0" shapeId="0" xr:uid="{00000000-0006-0000-0100-000050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Ingreso adelantado 01/06
</t>
        </r>
      </text>
    </comment>
    <comment ref="AT1356" authorId="0" shapeId="0" xr:uid="{00000000-0006-0000-0100-000051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Ingreso adelantado 01/06
</t>
        </r>
      </text>
    </comment>
    <comment ref="Z1358" authorId="3" shapeId="0" xr:uid="{A949F880-D682-4725-A8C4-C4E19F6C0BCA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Incoterm 2020
</t>
        </r>
      </text>
    </comment>
    <comment ref="CC1359" authorId="7" shapeId="0" xr:uid="{00000000-0006-0000-0100-000053020000}">
      <text>
        <r>
          <rPr>
            <i/>
            <sz val="9"/>
            <color indexed="81"/>
            <rFont val="Tahoma"/>
            <family val="2"/>
          </rPr>
          <t xml:space="preserve">OC ANULADA
</t>
        </r>
      </text>
    </comment>
    <comment ref="AL1367" authorId="3" shapeId="0" xr:uid="{00000000-0006-0000-0100-000054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Antes Febrero
</t>
        </r>
      </text>
    </comment>
    <comment ref="AT1370" authorId="0" shapeId="0" xr:uid="{00000000-0006-0000-0100-000055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Ingreso adelantado 01/06
</t>
        </r>
      </text>
    </comment>
    <comment ref="AT1371" authorId="0" shapeId="0" xr:uid="{00000000-0006-0000-0100-000056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Ingreso adelantado 01/06
</t>
        </r>
      </text>
    </comment>
    <comment ref="AT1372" authorId="0" shapeId="0" xr:uid="{00000000-0006-0000-0100-000057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Ingreso adelantado 01/06
</t>
        </r>
      </text>
    </comment>
    <comment ref="AZ1372" authorId="3" shapeId="0" xr:uid="{00000000-0006-0000-0100-000058020000}">
      <text>
        <r>
          <rPr>
            <i/>
            <sz val="9"/>
            <color indexed="81"/>
            <rFont val="Tahoma"/>
            <family val="2"/>
          </rPr>
          <t xml:space="preserve">Silvanna Jeanette Cervantes Vicente:
CAMBIO DE PUERTO
Alejandra Rojas Valderrama:
ANTES CALLAO/ CAMBIO DE PUERTO
</t>
        </r>
      </text>
    </comment>
    <comment ref="AT1373" authorId="0" shapeId="0" xr:uid="{00000000-0006-0000-0100-000059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Ingreso adelantado 01/06
</t>
        </r>
      </text>
    </comment>
    <comment ref="AT1374" authorId="0" shapeId="0" xr:uid="{00000000-0006-0000-0100-00005A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Ingreso adelantado 01/06
</t>
        </r>
      </text>
    </comment>
    <comment ref="AQ1376" authorId="0" shapeId="0" xr:uid="{00000000-0006-0000-0100-00005B020000}">
      <text>
        <r>
          <rPr>
            <i/>
            <sz val="9"/>
            <color indexed="81"/>
            <rFont val="Tahoma"/>
            <family val="2"/>
          </rPr>
          <t xml:space="preserve">1ER ETA : 31/05
</t>
        </r>
      </text>
    </comment>
    <comment ref="AT1376" authorId="0" shapeId="0" xr:uid="{00000000-0006-0000-0100-00005C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Ingreso adelantado 01/06
</t>
        </r>
      </text>
    </comment>
    <comment ref="AT1377" authorId="0" shapeId="0" xr:uid="{00000000-0006-0000-0100-00005D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Ingreso adelantado 01/06
</t>
        </r>
      </text>
    </comment>
    <comment ref="AZ1386" authorId="3" shapeId="0" xr:uid="{00000000-0006-0000-0100-00005E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Antes Matarani
</t>
        </r>
      </text>
    </comment>
    <comment ref="Z1388" authorId="3" shapeId="0" xr:uid="{3FC5D857-BAE1-47C1-8B42-F3EDAAB5FD18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AT1388" authorId="0" shapeId="0" xr:uid="{00000000-0006-0000-0100-000060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13/09
</t>
        </r>
      </text>
    </comment>
    <comment ref="T1396" authorId="3" shapeId="0" xr:uid="{00000000-0006-0000-0100-000061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Forfaiting por confirmar
</t>
        </r>
      </text>
    </comment>
    <comment ref="T1397" authorId="3" shapeId="0" xr:uid="{00000000-0006-0000-0100-000062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Forfaiting por confirmar
</t>
        </r>
      </text>
    </comment>
    <comment ref="T1398" authorId="3" shapeId="0" xr:uid="{00000000-0006-0000-0100-000063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Forfaiting por confirmar
</t>
        </r>
      </text>
    </comment>
    <comment ref="AT1398" authorId="6" shapeId="0" xr:uid="{00000000-0006-0000-0100-000064020000}">
      <text>
        <r>
          <rPr>
            <i/>
            <sz val="9"/>
            <color indexed="81"/>
            <rFont val="Tahoma"/>
            <family val="2"/>
          </rPr>
          <t>OC ADELANTADA 16/03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T1399" authorId="3" shapeId="0" xr:uid="{00000000-0006-0000-0100-000065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Forfaiting por confirmar
</t>
        </r>
      </text>
    </comment>
    <comment ref="T1400" authorId="3" shapeId="0" xr:uid="{00000000-0006-0000-0100-000066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Forfaiting por confirmar
</t>
        </r>
      </text>
    </comment>
    <comment ref="Z1401" authorId="3" shapeId="0" xr:uid="{E6AEE23D-A25E-46F2-9F77-2FDC38E2E70E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Z1402" authorId="0" shapeId="0" xr:uid="{4EB3D67F-13B4-479A-B95E-1AC9566B1A9E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FILO
</t>
        </r>
      </text>
    </comment>
    <comment ref="AB1402" authorId="0" shapeId="0" xr:uid="{96385B8A-DCD3-4AFF-869A-6BAFD1419BB4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400 BB (1.25 TM)
</t>
        </r>
      </text>
    </comment>
    <comment ref="AI1402" authorId="0" shapeId="0" xr:uid="{00000000-0006-0000-0100-000068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ROMERO FERTILIZANTES
</t>
        </r>
      </text>
    </comment>
    <comment ref="Z1403" authorId="3" shapeId="0" xr:uid="{4C5B8712-CAEA-44C7-B8B1-3171CA88CE2F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AL1403" authorId="3" shapeId="0" xr:uid="{00000000-0006-0000-0100-00006C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Plan ETD： mid of Jul 
</t>
        </r>
      </text>
    </comment>
    <comment ref="Z1405" authorId="3" shapeId="0" xr:uid="{E614848A-444B-4582-8046-A40C23A66ED1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AB1406" authorId="3" shapeId="0" xr:uid="{35A5C3A0-ADD7-400A-91F6-CD285B9943ED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130tm adicionales por confirmar
</t>
        </r>
      </text>
    </comment>
    <comment ref="AQ1412" authorId="0" shapeId="0" xr:uid="{00000000-0006-0000-0100-00006F020000}">
      <text>
        <r>
          <rPr>
            <i/>
            <sz val="9"/>
            <color indexed="81"/>
            <rFont val="Tahoma"/>
            <family val="2"/>
          </rPr>
          <t xml:space="preserve">1ER ETA : 31/05
</t>
        </r>
      </text>
    </comment>
    <comment ref="AT1412" authorId="0" shapeId="0" xr:uid="{00000000-0006-0000-0100-000070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Ingreso adelantado 01/06
</t>
        </r>
      </text>
    </comment>
    <comment ref="AT1413" authorId="0" shapeId="0" xr:uid="{00000000-0006-0000-0100-000071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Ingreso adelantado 01/06
</t>
        </r>
      </text>
    </comment>
    <comment ref="AT1414" authorId="0" shapeId="0" xr:uid="{00000000-0006-0000-0100-000072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Ingreso adelantado 01/06
</t>
        </r>
      </text>
    </comment>
    <comment ref="AT1419" authorId="0" shapeId="0" xr:uid="{00000000-0006-0000-0100-000073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23/10
</t>
        </r>
      </text>
    </comment>
    <comment ref="AT1420" authorId="6" shapeId="0" xr:uid="{00000000-0006-0000-0100-000074020000}">
      <text>
        <r>
          <rPr>
            <i/>
            <sz val="9"/>
            <color indexed="81"/>
            <rFont val="Tahoma"/>
            <family val="2"/>
          </rPr>
          <t>OC ADELANTADA 08/04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Z1423" authorId="3" shapeId="0" xr:uid="{F30E3643-B9B6-4385-84C5-5D41774132D9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FO
</t>
        </r>
      </text>
    </comment>
    <comment ref="AI1423" authorId="3" shapeId="0" xr:uid="{00000000-0006-0000-0100-000075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AL1423" authorId="3" shapeId="0" xr:uid="{00000000-0006-0000-0100-000077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2H MAR - ABR '21
</t>
        </r>
      </text>
    </comment>
    <comment ref="AT1423" authorId="0" shapeId="0" xr:uid="{00000000-0006-0000-0100-000078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4/10
</t>
        </r>
      </text>
    </comment>
    <comment ref="Z1424" authorId="3" shapeId="0" xr:uid="{9E7F8D88-CF42-4BBE-83F4-7430EF76F036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FO
</t>
        </r>
      </text>
    </comment>
    <comment ref="AI1424" authorId="3" shapeId="0" xr:uid="{00000000-0006-0000-0100-000079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AL1424" authorId="3" shapeId="0" xr:uid="{00000000-0006-0000-0100-00007B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2H MAR - ABR '21
</t>
        </r>
      </text>
    </comment>
    <comment ref="AT1424" authorId="0" shapeId="0" xr:uid="{00000000-0006-0000-0100-00007C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22/09
</t>
        </r>
      </text>
    </comment>
    <comment ref="AC1427" authorId="0" shapeId="0" xr:uid="{00000000-0006-0000-0100-00007D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PF: 1,388.87
NC: 292
</t>
        </r>
      </text>
    </comment>
    <comment ref="AC1428" authorId="0" shapeId="0" xr:uid="{00000000-0006-0000-0100-00007E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PF : 1,388.52
NC: 312
</t>
        </r>
      </text>
    </comment>
    <comment ref="AC1429" authorId="0" shapeId="0" xr:uid="{00000000-0006-0000-0100-00007F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PF:1,368.11
NC: 315
</t>
        </r>
      </text>
    </comment>
    <comment ref="Z1430" authorId="3" shapeId="0" xr:uid="{F2AE2FBB-A67F-486F-90E3-B4E07FCEB547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AI1430" authorId="3" shapeId="0" xr:uid="{00000000-0006-0000-0100-000080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Z1432" authorId="3" shapeId="0" xr:uid="{4ED64402-A760-4099-A3BD-CE6C3FB881AB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FIO
</t>
        </r>
      </text>
    </comment>
    <comment ref="AI1432" authorId="3" shapeId="0" xr:uid="{00000000-0006-0000-0100-000082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AB1433" authorId="7" shapeId="0" xr:uid="{CC6567D5-678C-4FCB-BD58-713297450C91}">
      <text>
        <r>
          <rPr>
            <i/>
            <sz val="9"/>
            <color indexed="81"/>
            <rFont val="Tahoma"/>
            <family val="2"/>
          </rPr>
          <t xml:space="preserve">enviaron 10,000 lts
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AC1433" authorId="7" shapeId="0" xr:uid="{00000000-0006-0000-0100-000085020000}">
      <text>
        <r>
          <rPr>
            <i/>
            <sz val="9"/>
            <color indexed="81"/>
            <rFont val="Tahoma"/>
            <family val="2"/>
          </rPr>
          <t>precio $ 10.60 * ltr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AB1435" authorId="3" shapeId="0" xr:uid="{DD64D1BC-2317-41B5-A46D-A659EBE9E025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10LT = 11.9KG
</t>
        </r>
      </text>
    </comment>
    <comment ref="AB1436" authorId="3" shapeId="0" xr:uid="{58A989EF-B384-4254-B650-3B11B1D6694C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10LT = 11.9KG
</t>
        </r>
      </text>
    </comment>
    <comment ref="BO1436" authorId="7" shapeId="0" xr:uid="{00000000-0006-0000-0100-000088020000}">
      <text>
        <r>
          <rPr>
            <i/>
            <sz val="9"/>
            <color indexed="81"/>
            <rFont val="Tahoma"/>
            <family val="2"/>
          </rPr>
          <t xml:space="preserve">6 DIAS LIBRES
</t>
        </r>
      </text>
    </comment>
    <comment ref="AQ1439" authorId="0" shapeId="0" xr:uid="{00000000-0006-0000-0100-000089020000}">
      <text>
        <r>
          <rPr>
            <i/>
            <sz val="9"/>
            <color indexed="81"/>
            <rFont val="Tahoma"/>
            <family val="2"/>
          </rPr>
          <t xml:space="preserve">1ER ETA : 31/05
</t>
        </r>
      </text>
    </comment>
    <comment ref="AT1439" authorId="0" shapeId="0" xr:uid="{00000000-0006-0000-0100-00008A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Ingreso adelantado 01/06
</t>
        </r>
      </text>
    </comment>
    <comment ref="AT1440" authorId="0" shapeId="0" xr:uid="{00000000-0006-0000-0100-00008B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Ingreso adelantado 01/06
</t>
        </r>
      </text>
    </comment>
    <comment ref="AC1447" authorId="3" shapeId="0" xr:uid="{00000000-0006-0000-0100-00008C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CFR sin interés $351.50
</t>
        </r>
      </text>
    </comment>
    <comment ref="AT1447" authorId="0" shapeId="0" xr:uid="{00000000-0006-0000-0100-00008D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Ingreso adelantado 01/06
</t>
        </r>
      </text>
    </comment>
    <comment ref="AC1448" authorId="3" shapeId="0" xr:uid="{00000000-0006-0000-0100-00008E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CFR sin interés $351.50
</t>
        </r>
      </text>
    </comment>
    <comment ref="AT1448" authorId="0" shapeId="0" xr:uid="{00000000-0006-0000-0100-00008F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Ingreso adelantado 01/06
</t>
        </r>
      </text>
    </comment>
    <comment ref="AC1449" authorId="3" shapeId="0" xr:uid="{00000000-0006-0000-0100-000090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CFR sin interés $351.50
</t>
        </r>
      </text>
    </comment>
    <comment ref="AT1449" authorId="0" shapeId="0" xr:uid="{00000000-0006-0000-0100-000091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Ingreso adelantado 01/06
</t>
        </r>
      </text>
    </comment>
    <comment ref="AZ1449" authorId="3" shapeId="0" xr:uid="{00000000-0006-0000-0100-000092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CAMBIO DE PUERTO
</t>
        </r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ANTES CALLAO/ CAMBIO DE PUERTO
</t>
        </r>
      </text>
    </comment>
    <comment ref="AC1450" authorId="3" shapeId="0" xr:uid="{00000000-0006-0000-0100-000093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CFR sin interés $351.50
</t>
        </r>
      </text>
    </comment>
    <comment ref="AT1450" authorId="0" shapeId="0" xr:uid="{00000000-0006-0000-0100-000094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Ingreso adelantado 01/06
</t>
        </r>
      </text>
    </comment>
    <comment ref="AC1451" authorId="3" shapeId="0" xr:uid="{00000000-0006-0000-0100-000095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CFR sin interés $351.50
</t>
        </r>
      </text>
    </comment>
    <comment ref="AT1451" authorId="0" shapeId="0" xr:uid="{00000000-0006-0000-0100-000096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Ingreso adelantado 01/06
</t>
        </r>
      </text>
    </comment>
    <comment ref="AG1453" authorId="7" shapeId="0" xr:uid="{00000000-0006-0000-0100-000097020000}">
      <text>
        <r>
          <rPr>
            <b/>
            <i/>
            <sz val="9"/>
            <color indexed="81"/>
            <rFont val="Tahoma"/>
            <family val="2"/>
          </rPr>
          <t xml:space="preserve">BIG BAGS - 1250 KG
</t>
        </r>
      </text>
    </comment>
    <comment ref="AI1453" authorId="3" shapeId="0" xr:uid="{00000000-0006-0000-0100-000098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Z1454" authorId="3" shapeId="0" xr:uid="{3B4854AA-6A99-4C71-9E8D-AF8BF55B5A5D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AI1454" authorId="3" shapeId="0" xr:uid="{00000000-0006-0000-0100-000099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AL1454" authorId="0" shapeId="0" xr:uid="{00000000-0006-0000-0100-00009B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sz val="9"/>
            <color indexed="81"/>
            <rFont val="Tahoma"/>
            <family val="2"/>
          </rPr>
          <t xml:space="preserve">
JUL
</t>
        </r>
      </text>
    </comment>
    <comment ref="AT1454" authorId="0" shapeId="0" xr:uid="{00000000-0006-0000-0100-00009C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22/09
</t>
        </r>
      </text>
    </comment>
    <comment ref="Z1455" authorId="3" shapeId="0" xr:uid="{4EEF7F69-C616-437D-B72A-2515643BE9EA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AI1455" authorId="3" shapeId="0" xr:uid="{00000000-0006-0000-0100-00009D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ROMERO
</t>
        </r>
      </text>
    </comment>
    <comment ref="AL1455" authorId="0" shapeId="0" xr:uid="{00000000-0006-0000-0100-00009F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sz val="9"/>
            <color indexed="81"/>
            <rFont val="Tahoma"/>
            <family val="2"/>
          </rPr>
          <t xml:space="preserve">
JUL-AGO
</t>
        </r>
      </text>
    </comment>
    <comment ref="AZ1457" authorId="3" shapeId="0" xr:uid="{00000000-0006-0000-0100-0000A0020000}">
      <text>
        <r>
          <rPr>
            <i/>
            <sz val="9"/>
            <color indexed="81"/>
            <rFont val="Tahoma"/>
            <family val="2"/>
          </rPr>
          <t xml:space="preserve">Silvanna Jeanette Cervantes Vicente:
CAMBIO DE PUERTO
Alejandra Rojas Valderrama:
ANTES CALLAO/ CAMBIO DE PUERTO
</t>
        </r>
      </text>
    </comment>
    <comment ref="AZ1462" authorId="3" shapeId="0" xr:uid="{00000000-0006-0000-0100-0000A1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CAMBIO DE PUERTO
</t>
        </r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ANTES CALLAO/ CAMBIO DE PUERTO
</t>
        </r>
      </text>
    </comment>
    <comment ref="T1467" authorId="0" shapeId="0" xr:uid="{00000000-0006-0000-0100-0000A2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Forfaiting
</t>
        </r>
      </text>
    </comment>
    <comment ref="T1468" authorId="0" shapeId="0" xr:uid="{00000000-0006-0000-0100-0000A3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Forfaiting
</t>
        </r>
      </text>
    </comment>
    <comment ref="T1469" authorId="0" shapeId="0" xr:uid="{00000000-0006-0000-0100-0000A4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Forfaiting
</t>
        </r>
      </text>
    </comment>
    <comment ref="AT1469" authorId="0" shapeId="0" xr:uid="{00000000-0006-0000-0100-0000A5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1/10
</t>
        </r>
      </text>
    </comment>
    <comment ref="T1470" authorId="0" shapeId="0" xr:uid="{00000000-0006-0000-0100-0000A6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Forfaiting
</t>
        </r>
      </text>
    </comment>
    <comment ref="T1471" authorId="0" shapeId="0" xr:uid="{00000000-0006-0000-0100-0000A7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Forfaiting
</t>
        </r>
      </text>
    </comment>
    <comment ref="T1472" authorId="0" shapeId="0" xr:uid="{00000000-0006-0000-0100-0000A8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Forfaiting
</t>
        </r>
      </text>
    </comment>
    <comment ref="T1473" authorId="0" shapeId="0" xr:uid="{00000000-0006-0000-0100-0000A9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Forfaiting
</t>
        </r>
      </text>
    </comment>
    <comment ref="T1474" authorId="0" shapeId="0" xr:uid="{00000000-0006-0000-0100-0000AA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Forfaiting
</t>
        </r>
      </text>
    </comment>
    <comment ref="AT1474" authorId="0" shapeId="0" xr:uid="{00000000-0006-0000-0100-0000AB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11/10
</t>
        </r>
      </text>
    </comment>
    <comment ref="T1475" authorId="0" shapeId="0" xr:uid="{00000000-0006-0000-0100-0000AC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Forfaiting
</t>
        </r>
      </text>
    </comment>
    <comment ref="T1476" authorId="0" shapeId="0" xr:uid="{00000000-0006-0000-0100-0000AD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Forfaiting
</t>
        </r>
      </text>
    </comment>
    <comment ref="T1477" authorId="0" shapeId="0" xr:uid="{00000000-0006-0000-0100-0000AE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Forfaiting
</t>
        </r>
      </text>
    </comment>
    <comment ref="AT1477" authorId="0" shapeId="0" xr:uid="{00000000-0006-0000-0100-0000AF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1/10
</t>
        </r>
      </text>
    </comment>
    <comment ref="T1478" authorId="0" shapeId="0" xr:uid="{00000000-0006-0000-0100-0000B0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Forfaiting
</t>
        </r>
      </text>
    </comment>
    <comment ref="T1479" authorId="0" shapeId="0" xr:uid="{00000000-0006-0000-0100-0000B1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Forfaiting
</t>
        </r>
      </text>
    </comment>
    <comment ref="T1480" authorId="0" shapeId="0" xr:uid="{00000000-0006-0000-0100-0000B2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Forfaiting
</t>
        </r>
      </text>
    </comment>
    <comment ref="AT1480" authorId="0" shapeId="0" xr:uid="{00000000-0006-0000-0100-0000B3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1/10
</t>
        </r>
      </text>
    </comment>
    <comment ref="BB1480" authorId="8" shapeId="0" xr:uid="{00000000-0006-0000-0100-0000B4020000}">
      <text>
        <r>
          <rPr>
            <sz val="9"/>
            <color indexed="81"/>
            <rFont val="Tahoma"/>
            <family val="2"/>
          </rPr>
          <t>Rocio Alejandra Arauco Tapia:</t>
        </r>
        <r>
          <rPr>
            <b/>
            <i/>
            <sz val="9"/>
            <color indexed="81"/>
            <rFont val="Tahoma"/>
            <family val="2"/>
          </rPr>
          <t xml:space="preserve">
AJINOMOTO 400TN
</t>
        </r>
      </text>
    </comment>
    <comment ref="T1481" authorId="0" shapeId="0" xr:uid="{00000000-0006-0000-0100-0000B5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Forfaiting
</t>
        </r>
      </text>
    </comment>
    <comment ref="Z1489" authorId="3" shapeId="0" xr:uid="{2C743613-81DF-4534-A5B3-9EE69CA78086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FILO
</t>
        </r>
      </text>
    </comment>
    <comment ref="AI1489" authorId="3" shapeId="0" xr:uid="{00000000-0006-0000-0100-0000B6020000}">
      <text>
        <r>
          <rPr>
            <sz val="9"/>
            <color indexed="81"/>
            <rFont val="Tahoma"/>
            <family val="2"/>
          </rPr>
          <t>Silvanna Jeanette Cervantes Vicente:</t>
        </r>
        <r>
          <rPr>
            <sz val="9"/>
            <color indexed="81"/>
            <rFont val="Tahoma"/>
            <family val="2"/>
          </rPr>
          <t xml:space="preserve">
SACOS DE 25KG - ROMERO
</t>
        </r>
      </text>
    </comment>
    <comment ref="AT1489" authorId="0" shapeId="0" xr:uid="{00000000-0006-0000-0100-0000B8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22/09
</t>
        </r>
      </text>
    </comment>
    <comment ref="AT1493" authorId="0" shapeId="0" xr:uid="{00000000-0006-0000-0100-0000B9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01/09
</t>
        </r>
      </text>
    </comment>
    <comment ref="AZ1497" authorId="3" shapeId="0" xr:uid="{00000000-0006-0000-0100-0000BA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O Salaverry
</t>
        </r>
      </text>
    </comment>
    <comment ref="AT1498" authorId="0" shapeId="0" xr:uid="{00000000-0006-0000-0100-0000BB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5/11
</t>
        </r>
      </text>
    </comment>
    <comment ref="AT1501" authorId="0" shapeId="0" xr:uid="{00000000-0006-0000-0100-0000BC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31/08
</t>
        </r>
      </text>
    </comment>
    <comment ref="AZ1505" authorId="3" shapeId="0" xr:uid="{00000000-0006-0000-0100-0000BD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antes CALLAO
</t>
        </r>
      </text>
    </comment>
    <comment ref="AZ1506" authorId="3" shapeId="0" xr:uid="{00000000-0006-0000-0100-0000BE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antes CALLAO
</t>
        </r>
      </text>
    </comment>
    <comment ref="AZ1507" authorId="3" shapeId="0" xr:uid="{00000000-0006-0000-0100-0000BF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antes CALLAO
</t>
        </r>
      </text>
    </comment>
    <comment ref="AZ1508" authorId="3" shapeId="0" xr:uid="{00000000-0006-0000-0100-0000C002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antes CALLAO
</t>
        </r>
      </text>
    </comment>
    <comment ref="T1513" authorId="0" shapeId="0" xr:uid="{00000000-0006-0000-0100-0000C1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Forfaiting
</t>
        </r>
      </text>
    </comment>
    <comment ref="AI1513" authorId="0" shapeId="0" xr:uid="{00000000-0006-0000-0100-0000C2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1 TM
</t>
        </r>
      </text>
    </comment>
    <comment ref="T1514" authorId="0" shapeId="0" xr:uid="{00000000-0006-0000-0100-0000C3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Forfaiting
</t>
        </r>
      </text>
    </comment>
    <comment ref="T1515" authorId="0" shapeId="0" xr:uid="{00000000-0006-0000-0100-0000C4020000}">
      <text>
        <r>
          <rPr>
            <i/>
            <sz val="9"/>
            <color indexed="81"/>
            <rFont val="Tahoma"/>
            <family val="2"/>
          </rPr>
          <t>Alejandra Rojas Valderrama:</t>
        </r>
        <r>
          <rPr>
            <i/>
            <sz val="9"/>
            <color indexed="81"/>
            <rFont val="Tahoma"/>
            <family val="2"/>
          </rPr>
          <t xml:space="preserve">
Forfaiting
</t>
        </r>
      </text>
    </comment>
    <comment ref="AB1543" authorId="0" shapeId="0" xr:uid="{5E8B3402-B711-4C1D-B5F4-1E3375DC60C7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10,000 LT
</t>
        </r>
      </text>
    </comment>
    <comment ref="AC1543" authorId="0" shapeId="0" xr:uid="{00000000-0006-0000-0100-0000C6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8.5 X LT
</t>
        </r>
      </text>
    </comment>
    <comment ref="Z1558" authorId="0" shapeId="0" xr:uid="{B2DE7461-44DB-46FB-80DB-ECD201874EC8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FILO
</t>
        </r>
      </text>
    </comment>
    <comment ref="AB1558" authorId="0" shapeId="0" xr:uid="{316A9F14-7A32-40A6-971A-1E0104A9273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240 BB (1.25 TM)
</t>
        </r>
      </text>
    </comment>
    <comment ref="AI1558" authorId="0" shapeId="0" xr:uid="{00000000-0006-0000-0100-0000C7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ROMERO FERTILIZANTES
</t>
        </r>
      </text>
    </comment>
    <comment ref="AT1558" authorId="0" shapeId="0" xr:uid="{00000000-0006-0000-0100-0000CA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2/12
</t>
        </r>
      </text>
    </comment>
    <comment ref="AT1567" authorId="8" shapeId="0" xr:uid="{00000000-0006-0000-0100-0000CB020000}">
      <text>
        <r>
          <rPr>
            <sz val="9"/>
            <color indexed="81"/>
            <rFont val="Tahoma"/>
            <family val="2"/>
          </rPr>
          <t>Rocio Alejandra Arauco Tapia: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14-10
</t>
        </r>
      </text>
    </comment>
    <comment ref="AI1569" authorId="5" shapeId="0" xr:uid="{00000000-0006-0000-0100-0000CC02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1.245 TM
</t>
        </r>
      </text>
    </comment>
    <comment ref="AI1570" authorId="5" shapeId="0" xr:uid="{00000000-0006-0000-0100-0000CD02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1.245 TM
</t>
        </r>
      </text>
    </comment>
    <comment ref="AI1571" authorId="5" shapeId="0" xr:uid="{00000000-0006-0000-0100-0000CE02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1.245 TM
</t>
        </r>
      </text>
    </comment>
    <comment ref="AI1572" authorId="5" shapeId="0" xr:uid="{00000000-0006-0000-0100-0000CF02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1.245 TM
</t>
        </r>
      </text>
    </comment>
    <comment ref="AI1573" authorId="5" shapeId="0" xr:uid="{00000000-0006-0000-0100-0000D002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1.245 TM
</t>
        </r>
      </text>
    </comment>
    <comment ref="AI1574" authorId="5" shapeId="0" xr:uid="{00000000-0006-0000-0100-0000D102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1.245 TM
</t>
        </r>
      </text>
    </comment>
    <comment ref="AR1574" authorId="7" shapeId="0" xr:uid="{00000000-0006-0000-0100-0000D2020000}">
      <text>
        <r>
          <rPr>
            <sz val="9"/>
            <color indexed="81"/>
            <rFont val="Tahoma"/>
            <family val="2"/>
          </rPr>
          <t xml:space="preserve">SUCAMEC: 11/03
</t>
        </r>
      </text>
    </comment>
    <comment ref="Z1576" authorId="0" shapeId="0" xr:uid="{F7F5CCFD-A0EA-419B-AFF2-247FD4849357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FO
</t>
        </r>
      </text>
    </comment>
    <comment ref="AB1576" authorId="7" shapeId="0" xr:uid="{2AC12E43-69FE-4D62-86D9-168FA4F3F4F4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1.2 TM BB
</t>
        </r>
      </text>
    </comment>
    <comment ref="AT1576" authorId="5" shapeId="0" xr:uid="{00000000-0006-0000-0100-0000D5020000}">
      <text>
        <r>
          <rPr>
            <sz val="9"/>
            <color indexed="81"/>
            <rFont val="Tahoma"/>
            <family val="2"/>
          </rPr>
          <t xml:space="preserve">Evelin Alejandra Rojas Valderrama:
</t>
        </r>
        <r>
          <rPr>
            <b/>
            <i/>
            <sz val="9"/>
            <color indexed="81"/>
            <rFont val="Tahoma"/>
            <family val="2"/>
          </rPr>
          <t xml:space="preserve">INGRESO ADELANTADO 01/03
</t>
        </r>
      </text>
    </comment>
    <comment ref="Z1582" authorId="0" shapeId="0" xr:uid="{CA50C2C8-BD71-4759-8AB6-D1D612B9EEA1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FILO
</t>
        </r>
      </text>
    </comment>
    <comment ref="AB1582" authorId="0" shapeId="0" xr:uid="{5856420A-704E-4903-B554-C8397AA8A574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960 BB (1.25 TM)
</t>
        </r>
      </text>
    </comment>
    <comment ref="AI1582" authorId="0" shapeId="0" xr:uid="{00000000-0006-0000-0100-0000D6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ROMERO FERTILIZANTES
</t>
        </r>
      </text>
    </comment>
    <comment ref="AT1582" authorId="0" shapeId="0" xr:uid="{00000000-0006-0000-0100-0000D9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2/12
</t>
        </r>
      </text>
    </comment>
    <comment ref="Z1583" authorId="0" shapeId="0" xr:uid="{ADDFBA23-E64A-48D9-BFC7-08D25BF0F22F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FILO
</t>
        </r>
      </text>
    </comment>
    <comment ref="AB1583" authorId="0" shapeId="0" xr:uid="{41253FA0-F6D4-4DBF-93E7-4C1C5B70F8F7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168 BB (1.25 TM)
</t>
        </r>
      </text>
    </comment>
    <comment ref="AI1583" authorId="0" shapeId="0" xr:uid="{00000000-0006-0000-0100-0000DA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ROMERO FERTILIZANTES
</t>
        </r>
      </text>
    </comment>
    <comment ref="AT1583" authorId="0" shapeId="0" xr:uid="{00000000-0006-0000-0100-0000DD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2/12
</t>
        </r>
      </text>
    </comment>
    <comment ref="Z1586" authorId="0" shapeId="0" xr:uid="{01FB9EE0-30D9-4EEB-9EA0-1F059C591C34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FILO
</t>
        </r>
      </text>
    </comment>
    <comment ref="AB1586" authorId="0" shapeId="0" xr:uid="{6A92E907-3E99-4546-902E-1CF1BB4ACB16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52 BB (1.25 TM)
</t>
        </r>
      </text>
    </comment>
    <comment ref="AI1586" authorId="0" shapeId="0" xr:uid="{00000000-0006-0000-0100-0000DE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ROMERO FERTILIZANTES
</t>
        </r>
      </text>
    </comment>
    <comment ref="AB1587" authorId="7" shapeId="0" xr:uid="{554BF3E8-22BB-4F1D-8779-2D9B7C255B5D}">
      <text>
        <r>
          <rPr>
            <sz val="9"/>
            <color indexed="81"/>
            <rFont val="Tahoma"/>
            <family val="2"/>
          </rPr>
          <t>52 BIG BAGS - 1250 KG</t>
        </r>
        <r>
          <rPr>
            <b/>
            <i/>
            <sz val="9"/>
            <color indexed="81"/>
            <rFont val="Tahoma"/>
            <family val="2"/>
          </rPr>
          <t xml:space="preserve">
</t>
        </r>
      </text>
    </comment>
    <comment ref="AR1589" authorId="7" shapeId="0" xr:uid="{00000000-0006-0000-0100-0000E202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SUCAMEC: 26/11
</t>
        </r>
      </text>
    </comment>
    <comment ref="AR1590" authorId="7" shapeId="0" xr:uid="{00000000-0006-0000-0100-0000E302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SUCAMEC: 25/11
</t>
        </r>
      </text>
    </comment>
    <comment ref="Z1598" authorId="0" shapeId="0" xr:uid="{82519D49-6C8B-460E-B86B-479616861895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FILO
</t>
        </r>
      </text>
    </comment>
    <comment ref="AB1598" authorId="0" shapeId="0" xr:uid="{4A5960BB-6934-4728-9729-440D6EE13C5B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450 BB (1 TM)
</t>
        </r>
      </text>
    </comment>
    <comment ref="AI1598" authorId="0" shapeId="0" xr:uid="{00000000-0006-0000-0100-0000E4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ROMERO FERTILIZANTES
</t>
        </r>
      </text>
    </comment>
    <comment ref="AT1598" authorId="0" shapeId="0" xr:uid="{00000000-0006-0000-0100-0000E7020000}">
      <text>
        <r>
          <rPr>
            <sz val="9"/>
            <color indexed="81"/>
            <rFont val="Tahoma"/>
            <family val="2"/>
          </rPr>
          <t xml:space="preserve">Alejandra Rojas Valderrama:
</t>
        </r>
        <r>
          <rPr>
            <b/>
            <i/>
            <sz val="9"/>
            <color indexed="81"/>
            <rFont val="Tahoma"/>
            <family val="2"/>
          </rPr>
          <t xml:space="preserve">INGRESO ADELANTADO 2/12
</t>
        </r>
      </text>
    </comment>
    <comment ref="Z1599" authorId="0" shapeId="0" xr:uid="{DEBD3000-37D2-414B-B514-E72215470F22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FILO
</t>
        </r>
      </text>
    </comment>
    <comment ref="AB1599" authorId="0" shapeId="0" xr:uid="{3F06377B-73C1-4840-B1AA-6B4CBE27A752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100 BB (1 TM)
</t>
        </r>
      </text>
    </comment>
    <comment ref="AI1599" authorId="0" shapeId="0" xr:uid="{00000000-0006-0000-0100-0000E8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ROMERO FERTILIZANTES
</t>
        </r>
      </text>
    </comment>
    <comment ref="AT1599" authorId="0" shapeId="0" xr:uid="{00000000-0006-0000-0100-0000EB020000}">
      <text>
        <r>
          <rPr>
            <sz val="9"/>
            <color indexed="81"/>
            <rFont val="Tahoma"/>
            <family val="2"/>
          </rPr>
          <t xml:space="preserve">Alejandra Rojas Valderrama:
</t>
        </r>
        <r>
          <rPr>
            <b/>
            <i/>
            <sz val="9"/>
            <color indexed="81"/>
            <rFont val="Tahoma"/>
            <family val="2"/>
          </rPr>
          <t xml:space="preserve">INGRESO ADELANTADO 2/12
</t>
        </r>
      </text>
    </comment>
    <comment ref="Z1601" authorId="0" shapeId="0" xr:uid="{8CC0E0FC-DC2A-4ABA-A212-C36490657F9E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FILO
</t>
        </r>
      </text>
    </comment>
    <comment ref="AB1601" authorId="0" shapeId="0" xr:uid="{CB322FCE-DA5D-4228-BC05-796ECB4F1562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140 BB (1.25 TM)
</t>
        </r>
      </text>
    </comment>
    <comment ref="AI1601" authorId="0" shapeId="0" xr:uid="{00000000-0006-0000-0100-0000EC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NEUTRAL
</t>
        </r>
      </text>
    </comment>
    <comment ref="AT1601" authorId="0" shapeId="0" xr:uid="{00000000-0006-0000-0100-0000EF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2/12
</t>
        </r>
      </text>
    </comment>
    <comment ref="AT1604" authorId="0" shapeId="0" xr:uid="{00000000-0006-0000-0100-0000F0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03/09
</t>
        </r>
      </text>
    </comment>
    <comment ref="BG1614" authorId="9" shapeId="0" xr:uid="{657DF3AD-42E6-427A-9AFC-472C4F6CAD54}">
      <text>
        <r>
          <rPr>
            <sz val="9"/>
            <color indexed="81"/>
            <rFont val="Tahoma"/>
            <family val="2"/>
          </rPr>
          <t xml:space="preserve">IFS NEUTRAL MARITIME SERVICE
</t>
        </r>
      </text>
    </comment>
    <comment ref="AT1615" authorId="0" shapeId="0" xr:uid="{00000000-0006-0000-0100-0000F2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22/10
</t>
        </r>
      </text>
    </comment>
    <comment ref="AT1617" authorId="5" shapeId="0" xr:uid="{00000000-0006-0000-0100-0000F3020000}">
      <text>
        <r>
          <rPr>
            <sz val="9"/>
            <color indexed="81"/>
            <rFont val="Tahoma"/>
            <family val="2"/>
          </rPr>
          <t xml:space="preserve">Evelin Alejandra Rojas Valderrama:
INGRESO </t>
        </r>
        <r>
          <rPr>
            <b/>
            <i/>
            <sz val="9"/>
            <color indexed="81"/>
            <rFont val="Tahoma"/>
            <family val="2"/>
          </rPr>
          <t xml:space="preserve">ADELANTADO AL 01/03
</t>
        </r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</t>
        </r>
      </text>
    </comment>
    <comment ref="AT1627" authorId="7" shapeId="0" xr:uid="{00000000-0006-0000-0100-0000F4020000}">
      <text>
        <r>
          <rPr>
            <sz val="9"/>
            <color indexed="81"/>
            <rFont val="Tahoma"/>
            <family val="2"/>
          </rPr>
          <t xml:space="preserve">ingreso adelantado 04/10
</t>
        </r>
      </text>
    </comment>
    <comment ref="AT1629" authorId="8" shapeId="0" xr:uid="{00000000-0006-0000-0100-0000F5020000}">
      <text>
        <r>
          <rPr>
            <sz val="9"/>
            <color indexed="81"/>
            <rFont val="Tahoma"/>
            <family val="2"/>
          </rPr>
          <t>Rocio Alejandra Arauco Tapia:</t>
        </r>
        <r>
          <rPr>
            <b/>
            <i/>
            <sz val="9"/>
            <color indexed="81"/>
            <rFont val="Tahoma"/>
            <family val="2"/>
          </rPr>
          <t xml:space="preserve">
INGRESO ADELANTADO AL18-10
</t>
        </r>
      </text>
    </comment>
    <comment ref="AB1638" authorId="0" shapeId="0" xr:uid="{2F7B2427-0E4D-484C-97EF-DCF1FACC4CCE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13,000 LT
</t>
        </r>
      </text>
    </comment>
    <comment ref="AI1639" authorId="0" shapeId="0" xr:uid="{00000000-0006-0000-0100-0000F7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1450 KG
</t>
        </r>
      </text>
    </comment>
    <comment ref="AT1640" authorId="0" shapeId="0" xr:uid="{00000000-0006-0000-0100-0000F8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3/12
</t>
        </r>
      </text>
    </comment>
    <comment ref="Z1644" authorId="0" shapeId="0" xr:uid="{A9D84895-286E-4611-91EB-DFAF3E022E39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FIO
</t>
        </r>
      </text>
    </comment>
    <comment ref="AB1644" authorId="7" shapeId="0" xr:uid="{1DF2D8B0-73D2-4C69-8D7A-E66780B7E7E6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107 BB (1.25 TM) 
</t>
        </r>
      </text>
    </comment>
    <comment ref="AI1644" authorId="0" shapeId="0" xr:uid="{00000000-0006-0000-0100-0000F9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ROMERO FERTILIZANTES
</t>
        </r>
      </text>
    </comment>
    <comment ref="AT1645" authorId="0" shapeId="0" xr:uid="{00000000-0006-0000-0100-0000FC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16/12
</t>
        </r>
      </text>
    </comment>
    <comment ref="Z1660" authorId="0" shapeId="0" xr:uid="{763C40B7-DCC6-49B3-8EF5-2E4BAADBC49E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FILO
</t>
        </r>
      </text>
    </comment>
    <comment ref="AB1660" authorId="0" shapeId="0" xr:uid="{1772ED1F-D6DC-4BF7-B5F9-F1F560C1A234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640 BB (1.25 TM)
</t>
        </r>
      </text>
    </comment>
    <comment ref="AI1660" authorId="0" shapeId="0" xr:uid="{00000000-0006-0000-0100-0000FD02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ROMERO FERTILIZANTES
</t>
        </r>
      </text>
    </comment>
    <comment ref="AT1660" authorId="0" shapeId="0" xr:uid="{00000000-0006-0000-0100-000000030000}">
      <text>
        <r>
          <rPr>
            <sz val="9"/>
            <color indexed="81"/>
            <rFont val="Tahoma"/>
            <family val="2"/>
          </rPr>
          <t xml:space="preserve">Alejandra Rojas Valderrama:
</t>
        </r>
        <r>
          <rPr>
            <b/>
            <i/>
            <sz val="9"/>
            <color indexed="81"/>
            <rFont val="Tahoma"/>
            <family val="2"/>
          </rPr>
          <t xml:space="preserve">INGRESO ADELANTADO 2/12
</t>
        </r>
      </text>
    </comment>
    <comment ref="AZ1662" authorId="0" shapeId="0" xr:uid="{00000000-0006-0000-0100-000001030000}">
      <text>
        <r>
          <rPr>
            <sz val="9"/>
            <color indexed="81"/>
            <rFont val="Tahoma"/>
            <family val="2"/>
          </rPr>
          <t xml:space="preserve">Alejandra Rojas Valderrama:
ANTES CALLAO
</t>
        </r>
      </text>
    </comment>
    <comment ref="AZ1663" authorId="0" shapeId="0" xr:uid="{00000000-0006-0000-0100-000002030000}">
      <text>
        <r>
          <rPr>
            <sz val="9"/>
            <color indexed="81"/>
            <rFont val="Tahoma"/>
            <family val="2"/>
          </rPr>
          <t xml:space="preserve">Alejandra Rojas Valderrama:
ANTES CALLAO
</t>
        </r>
      </text>
    </comment>
    <comment ref="AZ1664" authorId="0" shapeId="0" xr:uid="{00000000-0006-0000-0100-000003030000}">
      <text>
        <r>
          <rPr>
            <sz val="9"/>
            <color indexed="81"/>
            <rFont val="Tahoma"/>
            <family val="2"/>
          </rPr>
          <t xml:space="preserve">Alejandra Rojas Valderrama:
ANTES CALLAO
</t>
        </r>
      </text>
    </comment>
    <comment ref="Z1670" authorId="0" shapeId="0" xr:uid="{43C537D8-0A8F-4D16-9A94-332C50482733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FO
</t>
        </r>
      </text>
    </comment>
    <comment ref="AB1670" authorId="7" shapeId="0" xr:uid="{D10156F7-0DA9-4EBF-A134-4368F085E6F1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3750 BB (1.20 TM)
</t>
        </r>
      </text>
    </comment>
    <comment ref="AT1670" authorId="5" shapeId="0" xr:uid="{00000000-0006-0000-0100-00000603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03/02
</t>
        </r>
      </text>
    </comment>
    <comment ref="Z1671" authorId="0" shapeId="0" xr:uid="{961D0909-D44B-4C87-80CD-04D038BD39DA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FO
</t>
        </r>
      </text>
    </comment>
    <comment ref="AB1671" authorId="7" shapeId="0" xr:uid="{747B4466-D8D1-4CF0-8EC6-F5BA52354FB8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1.2 TM BB
</t>
        </r>
      </text>
    </comment>
    <comment ref="Z1672" authorId="0" shapeId="0" xr:uid="{BC636D2E-D028-46DA-9AF6-CF9B44DCC8BA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FO
</t>
        </r>
      </text>
    </comment>
    <comment ref="AB1672" authorId="7" shapeId="0" xr:uid="{D0F3CA3C-AF9F-4280-BAFA-38EAF26DE36B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668 BB (1.20TM)
</t>
        </r>
      </text>
    </comment>
    <comment ref="Z1673" authorId="0" shapeId="0" xr:uid="{069B33CC-7AFE-437D-94E8-DDC5FDE5D8A5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FO
</t>
        </r>
      </text>
    </comment>
    <comment ref="AB1673" authorId="7" shapeId="0" xr:uid="{D14B295A-B4C0-4E99-959B-9D5E9DF412DC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500 BB (1.20 TM)
</t>
        </r>
      </text>
    </comment>
    <comment ref="AT1673" authorId="5" shapeId="0" xr:uid="{00000000-0006-0000-0100-00000D03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01/03
</t>
        </r>
      </text>
    </comment>
    <comment ref="V1674" authorId="7" shapeId="0" xr:uid="{00000000-0006-0000-0100-00000E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10 UNDS
</t>
        </r>
      </text>
    </comment>
    <comment ref="AI1674" authorId="9" shapeId="0" xr:uid="{00000000-0006-0000-0100-00000F030000}">
      <text>
        <r>
          <rPr>
            <sz val="9"/>
            <color indexed="81"/>
            <rFont val="Tahoma"/>
            <family val="2"/>
          </rPr>
          <t>Patricia Elena Cabeza Valles:</t>
        </r>
        <r>
          <rPr>
            <b/>
            <i/>
            <sz val="9"/>
            <color indexed="81"/>
            <rFont val="Tahoma"/>
            <family val="2"/>
          </rPr>
          <t xml:space="preserve">
Diseño ACF</t>
        </r>
      </text>
    </comment>
    <comment ref="V1675" authorId="7" shapeId="0" xr:uid="{00000000-0006-0000-0100-000010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5 UNDS
</t>
        </r>
      </text>
    </comment>
    <comment ref="AI1675" authorId="9" shapeId="0" xr:uid="{00000000-0006-0000-0100-000011030000}">
      <text>
        <r>
          <rPr>
            <sz val="9"/>
            <color indexed="81"/>
            <rFont val="Tahoma"/>
            <family val="2"/>
          </rPr>
          <t>Patricia Elena Cabeza Valles:</t>
        </r>
        <r>
          <rPr>
            <b/>
            <i/>
            <sz val="9"/>
            <color indexed="81"/>
            <rFont val="Tahoma"/>
            <family val="2"/>
          </rPr>
          <t xml:space="preserve">
Diseño ACF
</t>
        </r>
      </text>
    </comment>
    <comment ref="V1676" authorId="7" shapeId="0" xr:uid="{00000000-0006-0000-0100-000012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10 UNDS
</t>
        </r>
      </text>
    </comment>
    <comment ref="AI1676" authorId="9" shapeId="0" xr:uid="{00000000-0006-0000-0100-000013030000}">
      <text>
        <r>
          <rPr>
            <sz val="9"/>
            <color indexed="81"/>
            <rFont val="Tahoma"/>
            <family val="2"/>
          </rPr>
          <t>Patricia Elena Cabeza Valles:</t>
        </r>
        <r>
          <rPr>
            <b/>
            <i/>
            <sz val="9"/>
            <color indexed="81"/>
            <rFont val="Tahoma"/>
            <family val="2"/>
          </rPr>
          <t xml:space="preserve">
Diseño ACF
</t>
        </r>
      </text>
    </comment>
    <comment ref="V1677" authorId="7" shapeId="0" xr:uid="{00000000-0006-0000-0100-000014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5 UNDS
</t>
        </r>
      </text>
    </comment>
    <comment ref="AI1677" authorId="9" shapeId="0" xr:uid="{00000000-0006-0000-0100-000015030000}">
      <text>
        <r>
          <rPr>
            <sz val="9"/>
            <color indexed="81"/>
            <rFont val="Tahoma"/>
            <family val="2"/>
          </rPr>
          <t>Patricia Elena Cabeza Valles:</t>
        </r>
        <r>
          <rPr>
            <b/>
            <i/>
            <sz val="9"/>
            <color indexed="81"/>
            <rFont val="Tahoma"/>
            <family val="2"/>
          </rPr>
          <t xml:space="preserve">
Diseño ACF
</t>
        </r>
      </text>
    </comment>
    <comment ref="V1678" authorId="7" shapeId="0" xr:uid="{00000000-0006-0000-0100-000016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10 UNDS
</t>
        </r>
      </text>
    </comment>
    <comment ref="AI1678" authorId="9" shapeId="0" xr:uid="{00000000-0006-0000-0100-000017030000}">
      <text>
        <r>
          <rPr>
            <sz val="9"/>
            <color indexed="81"/>
            <rFont val="Tahoma"/>
            <family val="2"/>
          </rPr>
          <t>Patricia Elena Cabeza Valles:</t>
        </r>
        <r>
          <rPr>
            <b/>
            <i/>
            <sz val="9"/>
            <color indexed="81"/>
            <rFont val="Tahoma"/>
            <family val="2"/>
          </rPr>
          <t xml:space="preserve">
Diseño ACF
</t>
        </r>
      </text>
    </comment>
    <comment ref="V1679" authorId="7" shapeId="0" xr:uid="{00000000-0006-0000-0100-000018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5 UNDS
</t>
        </r>
      </text>
    </comment>
    <comment ref="AI1679" authorId="9" shapeId="0" xr:uid="{00000000-0006-0000-0100-000019030000}">
      <text>
        <r>
          <rPr>
            <sz val="9"/>
            <color indexed="81"/>
            <rFont val="Tahoma"/>
            <family val="2"/>
          </rPr>
          <t>Patricia Elena Cabeza Valles:</t>
        </r>
        <r>
          <rPr>
            <b/>
            <i/>
            <sz val="9"/>
            <color indexed="81"/>
            <rFont val="Tahoma"/>
            <family val="2"/>
          </rPr>
          <t xml:space="preserve">
Diseño ACF
</t>
        </r>
      </text>
    </comment>
    <comment ref="AR1679" authorId="7" shapeId="0" xr:uid="{00000000-0006-0000-0100-00001A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SUCAMEC: 26/11
</t>
        </r>
      </text>
    </comment>
    <comment ref="V1680" authorId="7" shapeId="0" xr:uid="{00000000-0006-0000-0100-00001B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5 UNDS
</t>
        </r>
      </text>
    </comment>
    <comment ref="AI1680" authorId="9" shapeId="0" xr:uid="{00000000-0006-0000-0100-00001C030000}">
      <text>
        <r>
          <rPr>
            <sz val="9"/>
            <color indexed="81"/>
            <rFont val="Tahoma"/>
            <family val="2"/>
          </rPr>
          <t>Patricia Elena Cabeza Valles:</t>
        </r>
        <r>
          <rPr>
            <b/>
            <i/>
            <sz val="9"/>
            <color indexed="81"/>
            <rFont val="Tahoma"/>
            <family val="2"/>
          </rPr>
          <t xml:space="preserve">
Diseño ACF
</t>
        </r>
      </text>
    </comment>
    <comment ref="AR1680" authorId="7" shapeId="0" xr:uid="{00000000-0006-0000-0100-00001D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SUCAMEC: 26/11
</t>
        </r>
      </text>
    </comment>
    <comment ref="V1681" authorId="7" shapeId="0" xr:uid="{00000000-0006-0000-0100-00001E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5 UNDS
</t>
        </r>
      </text>
    </comment>
    <comment ref="AI1681" authorId="9" shapeId="0" xr:uid="{00000000-0006-0000-0100-00001F030000}">
      <text>
        <r>
          <rPr>
            <sz val="9"/>
            <color indexed="81"/>
            <rFont val="Tahoma"/>
            <family val="2"/>
          </rPr>
          <t>Patricia Elena Cabeza Valles:</t>
        </r>
        <r>
          <rPr>
            <b/>
            <i/>
            <sz val="9"/>
            <color indexed="81"/>
            <rFont val="Tahoma"/>
            <family val="2"/>
          </rPr>
          <t xml:space="preserve">
Diseño ACF
</t>
        </r>
      </text>
    </comment>
    <comment ref="AR1681" authorId="7" shapeId="0" xr:uid="{00000000-0006-0000-0100-000020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SUCAMEC: 26/11
</t>
        </r>
      </text>
    </comment>
    <comment ref="V1682" authorId="7" shapeId="0" xr:uid="{00000000-0006-0000-0100-000021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5 UNDS
</t>
        </r>
      </text>
    </comment>
    <comment ref="AI1682" authorId="9" shapeId="0" xr:uid="{00000000-0006-0000-0100-000022030000}">
      <text>
        <r>
          <rPr>
            <sz val="9"/>
            <color indexed="81"/>
            <rFont val="Tahoma"/>
            <family val="2"/>
          </rPr>
          <t>Patricia Elena Cabeza Valles:</t>
        </r>
        <r>
          <rPr>
            <b/>
            <i/>
            <sz val="9"/>
            <color indexed="81"/>
            <rFont val="Tahoma"/>
            <family val="2"/>
          </rPr>
          <t xml:space="preserve">
Diseño ACF
</t>
        </r>
      </text>
    </comment>
    <comment ref="AR1682" authorId="7" shapeId="0" xr:uid="{00000000-0006-0000-0100-000023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SUCAMEC: 26/11
</t>
        </r>
      </text>
    </comment>
    <comment ref="V1683" authorId="7" shapeId="0" xr:uid="{00000000-0006-0000-0100-000024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5 UNDS
</t>
        </r>
      </text>
    </comment>
    <comment ref="AI1683" authorId="9" shapeId="0" xr:uid="{00000000-0006-0000-0100-000025030000}">
      <text>
        <r>
          <rPr>
            <sz val="9"/>
            <color indexed="81"/>
            <rFont val="Tahoma"/>
            <family val="2"/>
          </rPr>
          <t>Patricia Elena Cabeza Valles:</t>
        </r>
        <r>
          <rPr>
            <b/>
            <i/>
            <sz val="9"/>
            <color indexed="81"/>
            <rFont val="Tahoma"/>
            <family val="2"/>
          </rPr>
          <t xml:space="preserve">
Diseño ACF
</t>
        </r>
      </text>
    </comment>
    <comment ref="AR1683" authorId="8" shapeId="0" xr:uid="{00000000-0006-0000-0100-000026030000}">
      <text>
        <r>
          <rPr>
            <sz val="9"/>
            <color indexed="81"/>
            <rFont val="Tahoma"/>
            <family val="2"/>
          </rPr>
          <t>Rocio Alejandra Arauco Tapia:</t>
        </r>
        <r>
          <rPr>
            <b/>
            <i/>
            <sz val="9"/>
            <color indexed="81"/>
            <rFont val="Tahoma"/>
            <family val="2"/>
          </rPr>
          <t xml:space="preserve">
SUCAMEC 03-12
</t>
        </r>
      </text>
    </comment>
    <comment ref="V1684" authorId="7" shapeId="0" xr:uid="{00000000-0006-0000-0100-000027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X 5 UNIDADES
</t>
        </r>
      </text>
    </comment>
    <comment ref="AI1684" authorId="9" shapeId="0" xr:uid="{00000000-0006-0000-0100-000028030000}">
      <text>
        <r>
          <rPr>
            <sz val="9"/>
            <color indexed="81"/>
            <rFont val="Tahoma"/>
            <family val="2"/>
          </rPr>
          <t>Patricia Elena Cabeza Valles:</t>
        </r>
        <r>
          <rPr>
            <b/>
            <i/>
            <sz val="9"/>
            <color indexed="81"/>
            <rFont val="Tahoma"/>
            <family val="2"/>
          </rPr>
          <t xml:space="preserve">
Diseño ACF
</t>
        </r>
      </text>
    </comment>
    <comment ref="AR1684" authorId="7" shapeId="0" xr:uid="{00000000-0006-0000-0100-000029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SUCAMEC: 3/12
</t>
        </r>
      </text>
    </comment>
    <comment ref="V1685" authorId="7" shapeId="0" xr:uid="{00000000-0006-0000-0100-00002A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5 UNDS
</t>
        </r>
      </text>
    </comment>
    <comment ref="AI1685" authorId="9" shapeId="0" xr:uid="{00000000-0006-0000-0100-00002B030000}">
      <text>
        <r>
          <rPr>
            <sz val="9"/>
            <color indexed="81"/>
            <rFont val="Tahoma"/>
            <family val="2"/>
          </rPr>
          <t>Patricia Elena Cabeza Valles:</t>
        </r>
        <r>
          <rPr>
            <b/>
            <i/>
            <sz val="9"/>
            <color indexed="81"/>
            <rFont val="Tahoma"/>
            <family val="2"/>
          </rPr>
          <t xml:space="preserve">
Diseño ACF
</t>
        </r>
      </text>
    </comment>
    <comment ref="AR1685" authorId="7" shapeId="0" xr:uid="{00000000-0006-0000-0100-00002C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SUCAMEC: 13/11
</t>
        </r>
      </text>
    </comment>
    <comment ref="V1686" authorId="7" shapeId="0" xr:uid="{00000000-0006-0000-0100-00002D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X 5 UNIDADES
</t>
        </r>
      </text>
    </comment>
    <comment ref="AI1686" authorId="9" shapeId="0" xr:uid="{00000000-0006-0000-0100-00002E030000}">
      <text>
        <r>
          <rPr>
            <sz val="9"/>
            <color indexed="81"/>
            <rFont val="Tahoma"/>
            <family val="2"/>
          </rPr>
          <t>Patricia Elena Cabeza Valles:</t>
        </r>
        <r>
          <rPr>
            <b/>
            <i/>
            <sz val="9"/>
            <color indexed="81"/>
            <rFont val="Tahoma"/>
            <family val="2"/>
          </rPr>
          <t xml:space="preserve">
Diseño ACF
</t>
        </r>
      </text>
    </comment>
    <comment ref="AR1686" authorId="7" shapeId="0" xr:uid="{00000000-0006-0000-0100-00002F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SUCAMEC: 23/12
</t>
        </r>
      </text>
    </comment>
    <comment ref="V1687" authorId="7" shapeId="0" xr:uid="{00000000-0006-0000-0100-000030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5 UNDS
</t>
        </r>
      </text>
    </comment>
    <comment ref="AI1687" authorId="9" shapeId="0" xr:uid="{00000000-0006-0000-0100-000031030000}">
      <text>
        <r>
          <rPr>
            <sz val="9"/>
            <color indexed="81"/>
            <rFont val="Tahoma"/>
            <family val="2"/>
          </rPr>
          <t>Patricia Elena Cabeza Valles:</t>
        </r>
        <r>
          <rPr>
            <b/>
            <i/>
            <sz val="9"/>
            <color indexed="81"/>
            <rFont val="Tahoma"/>
            <family val="2"/>
          </rPr>
          <t xml:space="preserve">
Diseño ACF
</t>
        </r>
      </text>
    </comment>
    <comment ref="AR1687" authorId="7" shapeId="0" xr:uid="{00000000-0006-0000-0100-000032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SUCAMEC: 20/12
</t>
        </r>
      </text>
    </comment>
    <comment ref="V1688" authorId="7" shapeId="0" xr:uid="{00000000-0006-0000-0100-000033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5 UNDS
</t>
        </r>
      </text>
    </comment>
    <comment ref="AI1688" authorId="9" shapeId="0" xr:uid="{00000000-0006-0000-0100-000034030000}">
      <text>
        <r>
          <rPr>
            <sz val="9"/>
            <color indexed="81"/>
            <rFont val="Tahoma"/>
            <family val="2"/>
          </rPr>
          <t>Patricia Elena Cabeza Valles:</t>
        </r>
        <r>
          <rPr>
            <b/>
            <i/>
            <sz val="9"/>
            <color indexed="81"/>
            <rFont val="Tahoma"/>
            <family val="2"/>
          </rPr>
          <t xml:space="preserve">
Diseño ACF
</t>
        </r>
      </text>
    </comment>
    <comment ref="AR1688" authorId="7" shapeId="0" xr:uid="{00000000-0006-0000-0100-000035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SUCAMEC: 23/12
</t>
        </r>
      </text>
    </comment>
    <comment ref="V1689" authorId="7" shapeId="0" xr:uid="{00000000-0006-0000-0100-000036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5 UNDS
</t>
        </r>
      </text>
    </comment>
    <comment ref="AI1689" authorId="9" shapeId="0" xr:uid="{00000000-0006-0000-0100-000037030000}">
      <text>
        <r>
          <rPr>
            <sz val="9"/>
            <color indexed="81"/>
            <rFont val="Tahoma"/>
            <family val="2"/>
          </rPr>
          <t>Patricia Elena Cabeza Valles:</t>
        </r>
        <r>
          <rPr>
            <b/>
            <i/>
            <sz val="9"/>
            <color indexed="81"/>
            <rFont val="Tahoma"/>
            <family val="2"/>
          </rPr>
          <t xml:space="preserve">
Diseño ACF
</t>
        </r>
      </text>
    </comment>
    <comment ref="AR1689" authorId="7" shapeId="0" xr:uid="{00000000-0006-0000-0100-000038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SUCAMEC: 23/12
</t>
        </r>
      </text>
    </comment>
    <comment ref="V1690" authorId="7" shapeId="0" xr:uid="{00000000-0006-0000-0100-000039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5 UNDS
</t>
        </r>
      </text>
    </comment>
    <comment ref="AI1690" authorId="9" shapeId="0" xr:uid="{00000000-0006-0000-0100-00003A030000}">
      <text>
        <r>
          <rPr>
            <sz val="9"/>
            <color indexed="81"/>
            <rFont val="Tahoma"/>
            <family val="2"/>
          </rPr>
          <t>Patricia Elena Cabeza Valles:</t>
        </r>
        <r>
          <rPr>
            <b/>
            <i/>
            <sz val="9"/>
            <color indexed="81"/>
            <rFont val="Tahoma"/>
            <family val="2"/>
          </rPr>
          <t xml:space="preserve">
Diseño ACF
</t>
        </r>
      </text>
    </comment>
    <comment ref="AR1690" authorId="7" shapeId="0" xr:uid="{00000000-0006-0000-0100-00003B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SUCAMEC: 23/12
</t>
        </r>
      </text>
    </comment>
    <comment ref="V1691" authorId="7" shapeId="0" xr:uid="{00000000-0006-0000-0100-00003C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5 UNDS
</t>
        </r>
      </text>
    </comment>
    <comment ref="AI1691" authorId="9" shapeId="0" xr:uid="{00000000-0006-0000-0100-00003D030000}">
      <text>
        <r>
          <rPr>
            <sz val="9"/>
            <color indexed="81"/>
            <rFont val="Tahoma"/>
            <family val="2"/>
          </rPr>
          <t>Patricia Elena Cabeza Valles:</t>
        </r>
        <r>
          <rPr>
            <b/>
            <i/>
            <sz val="9"/>
            <color indexed="81"/>
            <rFont val="Tahoma"/>
            <family val="2"/>
          </rPr>
          <t xml:space="preserve">
Diseño ACF
</t>
        </r>
      </text>
    </comment>
    <comment ref="AR1691" authorId="7" shapeId="0" xr:uid="{00000000-0006-0000-0100-00003E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SUCAMEC: 23/12
</t>
        </r>
      </text>
    </comment>
    <comment ref="V1692" authorId="7" shapeId="0" xr:uid="{00000000-0006-0000-0100-00003F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5 UNDS
</t>
        </r>
      </text>
    </comment>
    <comment ref="AI1692" authorId="5" shapeId="0" xr:uid="{00000000-0006-0000-0100-00004003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1.245 TM
</t>
        </r>
      </text>
    </comment>
    <comment ref="AR1692" authorId="7" shapeId="0" xr:uid="{00000000-0006-0000-0100-000041030000}">
      <text>
        <r>
          <rPr>
            <sz val="9"/>
            <color indexed="81"/>
            <rFont val="Tahoma"/>
            <family val="2"/>
          </rPr>
          <t xml:space="preserve">SUCAMEC: 21/01
</t>
        </r>
      </text>
    </comment>
    <comment ref="V1693" authorId="7" shapeId="0" xr:uid="{00000000-0006-0000-0100-000042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5 UNDS
</t>
        </r>
      </text>
    </comment>
    <comment ref="AI1693" authorId="5" shapeId="0" xr:uid="{00000000-0006-0000-0100-00004303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1.245 TM
</t>
        </r>
      </text>
    </comment>
    <comment ref="AR1693" authorId="7" shapeId="0" xr:uid="{00000000-0006-0000-0100-000044030000}">
      <text>
        <r>
          <rPr>
            <sz val="9"/>
            <color indexed="81"/>
            <rFont val="Tahoma"/>
            <family val="2"/>
          </rPr>
          <t xml:space="preserve">SUCAMEC: 21/01
</t>
        </r>
      </text>
    </comment>
    <comment ref="AI1694" authorId="5" shapeId="0" xr:uid="{00000000-0006-0000-0100-00004503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1.245 TM
</t>
        </r>
      </text>
    </comment>
    <comment ref="AR1694" authorId="7" shapeId="0" xr:uid="{00000000-0006-0000-0100-000046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SUCAMEC: 27/01/2021
</t>
        </r>
      </text>
    </comment>
    <comment ref="AI1695" authorId="5" shapeId="0" xr:uid="{00000000-0006-0000-0100-00004703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1.245 TM
</t>
        </r>
      </text>
    </comment>
    <comment ref="AR1695" authorId="7" shapeId="0" xr:uid="{00000000-0006-0000-0100-000048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SUCAMEC: 27/01/2021
</t>
        </r>
      </text>
    </comment>
    <comment ref="AI1696" authorId="9" shapeId="0" xr:uid="{00000000-0006-0000-0100-000049030000}">
      <text>
        <r>
          <rPr>
            <sz val="9"/>
            <color indexed="81"/>
            <rFont val="Tahoma"/>
            <family val="2"/>
          </rPr>
          <t>Patricia Elena Cabeza Valles:</t>
        </r>
        <r>
          <rPr>
            <b/>
            <i/>
            <sz val="9"/>
            <color indexed="81"/>
            <rFont val="Tahoma"/>
            <family val="2"/>
          </rPr>
          <t xml:space="preserve">
Diseño ACF
</t>
        </r>
      </text>
    </comment>
    <comment ref="AR1696" authorId="7" shapeId="0" xr:uid="{00000000-0006-0000-0100-00004A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SUCAMEC 08/02
</t>
        </r>
      </text>
    </comment>
    <comment ref="AI1697" authorId="9" shapeId="0" xr:uid="{00000000-0006-0000-0100-00004B030000}">
      <text>
        <r>
          <rPr>
            <sz val="9"/>
            <color indexed="81"/>
            <rFont val="Tahoma"/>
            <family val="2"/>
          </rPr>
          <t>Patricia Elena Cabeza Valles:</t>
        </r>
        <r>
          <rPr>
            <b/>
            <i/>
            <sz val="9"/>
            <color indexed="81"/>
            <rFont val="Tahoma"/>
            <family val="2"/>
          </rPr>
          <t xml:space="preserve">
Diseño ACF
</t>
        </r>
      </text>
    </comment>
    <comment ref="AR1697" authorId="7" shapeId="0" xr:uid="{00000000-0006-0000-0100-00004C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SUCAMEC 08/02
</t>
        </r>
      </text>
    </comment>
    <comment ref="AI1698" authorId="9" shapeId="0" xr:uid="{00000000-0006-0000-0100-00004D030000}">
      <text>
        <r>
          <rPr>
            <sz val="9"/>
            <color indexed="81"/>
            <rFont val="Tahoma"/>
            <family val="2"/>
          </rPr>
          <t>Patricia Elena Cabeza Valles:</t>
        </r>
        <r>
          <rPr>
            <b/>
            <i/>
            <sz val="9"/>
            <color indexed="81"/>
            <rFont val="Tahoma"/>
            <family val="2"/>
          </rPr>
          <t xml:space="preserve">
Diseño ACF
</t>
        </r>
      </text>
    </comment>
    <comment ref="AR1698" authorId="7" shapeId="0" xr:uid="{00000000-0006-0000-0100-00004E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SUCAMEC: 15/02
</t>
        </r>
      </text>
    </comment>
    <comment ref="AI1699" authorId="9" shapeId="0" xr:uid="{00000000-0006-0000-0100-00004F030000}">
      <text>
        <r>
          <rPr>
            <sz val="9"/>
            <color indexed="81"/>
            <rFont val="Tahoma"/>
            <family val="2"/>
          </rPr>
          <t>Patricia Elena Cabeza Valles:</t>
        </r>
        <r>
          <rPr>
            <b/>
            <i/>
            <sz val="9"/>
            <color indexed="81"/>
            <rFont val="Tahoma"/>
            <family val="2"/>
          </rPr>
          <t xml:space="preserve">
Diseño ACF
</t>
        </r>
      </text>
    </comment>
    <comment ref="AR1699" authorId="7" shapeId="0" xr:uid="{00000000-0006-0000-0100-000050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SUCAMEC: 15/02
</t>
        </r>
      </text>
    </comment>
    <comment ref="Z1707" authorId="0" shapeId="0" xr:uid="{F1D75D69-EDE8-4C40-8E29-02DFB96FA569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FILO
</t>
        </r>
      </text>
    </comment>
    <comment ref="AB1707" authorId="0" shapeId="0" xr:uid="{25C480EA-BC11-464C-99FC-75D61209FCE2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1200 BB (1.25 TM)
</t>
        </r>
      </text>
    </comment>
    <comment ref="AI1707" authorId="0" shapeId="0" xr:uid="{00000000-0006-0000-0100-000051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ROMERO FERTILIZANTES
</t>
        </r>
      </text>
    </comment>
    <comment ref="AT1707" authorId="5" shapeId="0" xr:uid="{00000000-0006-0000-0100-00005403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03/02
</t>
        </r>
      </text>
    </comment>
    <comment ref="AZ1707" authorId="7" shapeId="0" xr:uid="{00000000-0006-0000-0100-000055030000}">
      <text>
        <r>
          <rPr>
            <sz val="9"/>
            <color indexed="81"/>
            <rFont val="Tahoma"/>
            <family val="2"/>
          </rPr>
          <t xml:space="preserve">Mery Estela Saldaña Reyes:
O PISCO
</t>
        </r>
      </text>
    </comment>
    <comment ref="AR1709" authorId="7" shapeId="0" xr:uid="{00000000-0006-0000-0100-000056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SUCAMEC: 26/11
</t>
        </r>
      </text>
    </comment>
    <comment ref="AR1710" authorId="8" shapeId="0" xr:uid="{00000000-0006-0000-0100-000057030000}">
      <text>
        <r>
          <rPr>
            <sz val="9"/>
            <color indexed="81"/>
            <rFont val="Tahoma"/>
            <family val="2"/>
          </rPr>
          <t>Rocio Alejandra Arauco Tapia:</t>
        </r>
        <r>
          <rPr>
            <b/>
            <i/>
            <sz val="9"/>
            <color indexed="81"/>
            <rFont val="Tahoma"/>
            <family val="2"/>
          </rPr>
          <t xml:space="preserve">
SUCAMEC 03-12
</t>
        </r>
      </text>
    </comment>
    <comment ref="AT1715" authorId="0" shapeId="0" xr:uid="{00000000-0006-0000-0100-000058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17/11
</t>
        </r>
      </text>
    </comment>
    <comment ref="AB1718" authorId="0" shapeId="0" xr:uid="{C008AECD-42CA-4462-9C7D-18A153235A4F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800 BB (1.25 TM)
</t>
        </r>
      </text>
    </comment>
    <comment ref="AI1718" authorId="7" shapeId="0" xr:uid="{00000000-0006-0000-0100-000059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NEUTRAL (S/M)
</t>
        </r>
      </text>
    </comment>
    <comment ref="AT1718" authorId="0" shapeId="0" xr:uid="{00000000-0006-0000-0100-00005B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22/12
</t>
        </r>
      </text>
    </comment>
    <comment ref="AB1719" authorId="0" shapeId="0" xr:uid="{F234AFCC-4B25-4147-8EBC-57150FEE8018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800 BB (1.25 TM)
</t>
        </r>
      </text>
    </comment>
    <comment ref="AI1719" authorId="7" shapeId="0" xr:uid="{00000000-0006-0000-0100-00005C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NEUTRAL (S/M)
</t>
        </r>
      </text>
    </comment>
    <comment ref="AI1720" authorId="7" shapeId="0" xr:uid="{00000000-0006-0000-0100-00005E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NEUTRAL (S/M)
</t>
        </r>
      </text>
    </comment>
    <comment ref="AB1725" authorId="0" shapeId="0" xr:uid="{3AA2C336-117C-4749-A4FA-C20B0C608E88}">
      <text>
        <r>
          <rPr>
            <sz val="9"/>
            <color indexed="81"/>
            <rFont val="Tahoma"/>
            <family val="2"/>
          </rPr>
          <t xml:space="preserve">Alejandra Rojas Valderrama:
</t>
        </r>
        <r>
          <rPr>
            <b/>
            <i/>
            <sz val="9"/>
            <color indexed="81"/>
            <rFont val="Tahoma"/>
            <family val="2"/>
          </rPr>
          <t xml:space="preserve">20 PALLETS
</t>
        </r>
      </text>
    </comment>
    <comment ref="BO1725" authorId="7" shapeId="0" xr:uid="{00000000-0006-0000-0100-000060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10 dias libres de sobreestadia
</t>
        </r>
      </text>
    </comment>
    <comment ref="AB1726" authorId="0" shapeId="0" xr:uid="{78F46B02-0114-405C-A1DF-DB4FAB2A1A54}">
      <text>
        <r>
          <rPr>
            <sz val="9"/>
            <color indexed="81"/>
            <rFont val="Tahoma"/>
            <family val="2"/>
          </rPr>
          <t xml:space="preserve">Alejandra Rojas Valderrama:
</t>
        </r>
        <r>
          <rPr>
            <b/>
            <i/>
            <sz val="9"/>
            <color indexed="81"/>
            <rFont val="Tahoma"/>
            <family val="2"/>
          </rPr>
          <t xml:space="preserve">20 PALLETS
</t>
        </r>
      </text>
    </comment>
    <comment ref="T1727" authorId="0" shapeId="0" xr:uid="{00000000-0006-0000-0100-000062030000}">
      <text>
        <r>
          <rPr>
            <sz val="9"/>
            <color indexed="81"/>
            <rFont val="Tahoma"/>
            <family val="2"/>
          </rPr>
          <t xml:space="preserve">Alejandra Rojas Valderrama:
50%CAD
50% 30 DÍAS BL
</t>
        </r>
      </text>
    </comment>
    <comment ref="AB1727" authorId="5" shapeId="0" xr:uid="{EA014016-565A-48AF-BA37-18E39A96016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26 BB
</t>
        </r>
      </text>
    </comment>
    <comment ref="AI1727" authorId="0" shapeId="0" xr:uid="{00000000-0006-0000-0100-000063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VALUCID
</t>
        </r>
      </text>
    </comment>
    <comment ref="AT1728" authorId="8" shapeId="0" xr:uid="{00000000-0006-0000-0100-000065030000}">
      <text>
        <r>
          <rPr>
            <sz val="9"/>
            <color indexed="81"/>
            <rFont val="Tahoma"/>
            <family val="2"/>
          </rPr>
          <t>Rocio Alejandra Arauco Tapia: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23-10
</t>
        </r>
      </text>
    </comment>
    <comment ref="Z1731" authorId="0" shapeId="0" xr:uid="{2B2987FE-5E11-48CE-952B-039728277CDE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FILO
</t>
        </r>
      </text>
    </comment>
    <comment ref="AB1731" authorId="7" shapeId="0" xr:uid="{6414E858-9F34-43FB-B6AB-B5FC1465F2DC}">
      <text>
        <r>
          <rPr>
            <sz val="9"/>
            <color indexed="81"/>
            <rFont val="Tahoma"/>
            <family val="2"/>
          </rPr>
          <t xml:space="preserve">Mery Estela Saldaña Reyes:
81 BB (1.25 TM)
</t>
        </r>
      </text>
    </comment>
    <comment ref="AI1731" authorId="0" shapeId="0" xr:uid="{00000000-0006-0000-0100-000066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ROMERO FERTILIZANTES
</t>
        </r>
      </text>
    </comment>
    <comment ref="AT1731" authorId="5" shapeId="0" xr:uid="{00000000-0006-0000-0100-000069030000}">
      <text>
        <r>
          <rPr>
            <sz val="9"/>
            <color indexed="81"/>
            <rFont val="Tahoma"/>
            <family val="2"/>
          </rPr>
          <t xml:space="preserve">Evelin Alejandra Rojas Valderrama:
</t>
        </r>
        <r>
          <rPr>
            <b/>
            <i/>
            <sz val="9"/>
            <color indexed="81"/>
            <rFont val="Tahoma"/>
            <family val="2"/>
          </rPr>
          <t xml:space="preserve">INGRESO ADELANTADO 01/03
</t>
        </r>
      </text>
    </comment>
    <comment ref="Z1732" authorId="0" shapeId="0" xr:uid="{A2E481BC-E0C2-4476-A847-6120B7FB3314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ANTESS FCA
</t>
        </r>
      </text>
    </comment>
    <comment ref="AC1732" authorId="0" shapeId="0" xr:uid="{00000000-0006-0000-0100-00006B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ANTES $207
</t>
        </r>
      </text>
    </comment>
    <comment ref="Z1733" authorId="0" shapeId="0" xr:uid="{95394158-2FB7-4080-8335-554086A48BA3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ANTESS FCA
</t>
        </r>
      </text>
    </comment>
    <comment ref="AC1733" authorId="0" shapeId="0" xr:uid="{00000000-0006-0000-0100-00006D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ANTES $207
</t>
        </r>
      </text>
    </comment>
    <comment ref="AT1737" authorId="5" shapeId="0" xr:uid="{00000000-0006-0000-0100-00006E03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05/01
</t>
        </r>
      </text>
    </comment>
    <comment ref="Z1742" authorId="0" shapeId="0" xr:uid="{3DC98F79-1C28-4854-B996-9924C4F0F16D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FO
</t>
        </r>
      </text>
    </comment>
    <comment ref="AB1742" authorId="7" shapeId="0" xr:uid="{47883018-AC58-40B8-93CC-C22FC6DA9D2E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2800 BB (1.25 TM)
</t>
        </r>
      </text>
    </comment>
    <comment ref="AI1742" authorId="0" shapeId="0" xr:uid="{00000000-0006-0000-0100-00006F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ROMERO FERTILIZANTES
</t>
        </r>
      </text>
    </comment>
    <comment ref="AT1742" authorId="5" shapeId="0" xr:uid="{00000000-0006-0000-0100-00007203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03/02
</t>
        </r>
      </text>
    </comment>
    <comment ref="AT1753" authorId="0" shapeId="0" xr:uid="{00000000-0006-0000-0100-000073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6/12
</t>
        </r>
      </text>
    </comment>
    <comment ref="Z1755" authorId="0" shapeId="0" xr:uid="{AA82BEAD-6CE1-486F-A606-32599285C7A6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FILO
</t>
        </r>
      </text>
    </comment>
    <comment ref="AB1755" authorId="0" shapeId="0" xr:uid="{7DEDFE25-25CE-409D-86AF-76971682CADA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320 BB (1.25 TM)
</t>
        </r>
      </text>
    </comment>
    <comment ref="AI1755" authorId="0" shapeId="0" xr:uid="{00000000-0006-0000-0100-000074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GRANEL
</t>
        </r>
      </text>
    </comment>
    <comment ref="Z1756" authorId="0" shapeId="0" xr:uid="{63993D73-8692-42FF-820B-76470525C354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FILO
</t>
        </r>
      </text>
    </comment>
    <comment ref="AB1756" authorId="0" shapeId="0" xr:uid="{CDA9F6F6-B8FC-4447-8485-D2AE44BD73CA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1360 BB (1.25 TM)
</t>
        </r>
      </text>
    </comment>
    <comment ref="AI1756" authorId="0" shapeId="0" xr:uid="{00000000-0006-0000-0100-000077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ROMERO FERTILIZANTES
</t>
        </r>
      </text>
    </comment>
    <comment ref="AT1756" authorId="5" shapeId="0" xr:uid="{00000000-0006-0000-0100-00007A03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03/02
</t>
        </r>
      </text>
    </comment>
    <comment ref="AZ1756" authorId="7" shapeId="0" xr:uid="{00000000-0006-0000-0100-00007B030000}">
      <text>
        <r>
          <rPr>
            <sz val="9"/>
            <color indexed="81"/>
            <rFont val="Tahoma"/>
            <family val="2"/>
          </rPr>
          <t xml:space="preserve">Mery Estela Saldaña Reyes:
O PISCO
</t>
        </r>
      </text>
    </comment>
    <comment ref="AR1759" authorId="7" shapeId="0" xr:uid="{00000000-0006-0000-0100-00007C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SUCAMEC: 21/12
</t>
        </r>
      </text>
    </comment>
    <comment ref="AR1760" authorId="7" shapeId="0" xr:uid="{00000000-0006-0000-0100-00007D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SUCAMEC: 17/12
</t>
        </r>
      </text>
    </comment>
    <comment ref="AR1761" authorId="7" shapeId="0" xr:uid="{00000000-0006-0000-0100-00007E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SUCAMEC: 23/12
</t>
        </r>
      </text>
    </comment>
    <comment ref="AR1762" authorId="7" shapeId="0" xr:uid="{00000000-0006-0000-0100-00007F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SUCAMEC: 30/12
</t>
        </r>
      </text>
    </comment>
    <comment ref="AR1763" authorId="7" shapeId="0" xr:uid="{00000000-0006-0000-0100-000080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SUCAMEC: 30/12
</t>
        </r>
      </text>
    </comment>
    <comment ref="AR1764" authorId="7" shapeId="0" xr:uid="{00000000-0006-0000-0100-000081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SUCAMEC: 03/01/2022
</t>
        </r>
      </text>
    </comment>
    <comment ref="AC1766" authorId="0" shapeId="0" xr:uid="{00000000-0006-0000-0100-000082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PRECIO DE REFERENCIA
</t>
        </r>
      </text>
    </comment>
    <comment ref="Z1776" authorId="0" shapeId="0" xr:uid="{5DD2EE67-6A6F-44A8-91CD-9493BF9852A1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FILO
</t>
        </r>
      </text>
    </comment>
    <comment ref="AB1776" authorId="7" shapeId="0" xr:uid="{600F6B59-0D12-4F09-92D6-065AC3C94B99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410 BB (1.25 TM)
</t>
        </r>
      </text>
    </comment>
    <comment ref="AI1776" authorId="0" shapeId="0" xr:uid="{00000000-0006-0000-0100-000083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ROMERO FERTILIZANTES
</t>
        </r>
      </text>
    </comment>
    <comment ref="Z1777" authorId="0" shapeId="0" xr:uid="{5AD59963-3A33-4C7F-BB8A-A82228D9C057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FILO
</t>
        </r>
      </text>
    </comment>
    <comment ref="AI1777" authorId="0" shapeId="0" xr:uid="{00000000-0006-0000-0100-000086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GRANEL
</t>
        </r>
      </text>
    </comment>
    <comment ref="Z1778" authorId="0" shapeId="0" xr:uid="{4E1032B1-8E80-4C20-8E90-EB726DAFF13B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FILO
</t>
        </r>
      </text>
    </comment>
    <comment ref="AI1778" authorId="0" shapeId="0" xr:uid="{00000000-0006-0000-0100-000088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GRANEL
</t>
        </r>
      </text>
    </comment>
    <comment ref="AT1784" authorId="5" shapeId="0" xr:uid="{00000000-0006-0000-0100-00008A03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04/02
</t>
        </r>
      </text>
    </comment>
    <comment ref="AT1789" authorId="5" shapeId="0" xr:uid="{00000000-0006-0000-0100-00008B03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06/01
</t>
        </r>
      </text>
    </comment>
    <comment ref="AT1790" authorId="0" shapeId="0" xr:uid="{00000000-0006-0000-0100-00008C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10/12 
</t>
        </r>
      </text>
    </comment>
    <comment ref="T1793" authorId="0" shapeId="0" xr:uid="{00000000-0006-0000-0100-00008D030000}">
      <text>
        <r>
          <rPr>
            <sz val="9"/>
            <color indexed="81"/>
            <rFont val="Tahoma"/>
            <family val="2"/>
          </rPr>
          <t xml:space="preserve">Alejandra Rojas Valderrama:
50%CAD
50% 30 DÍAS BL
</t>
        </r>
      </text>
    </comment>
    <comment ref="AB1793" authorId="5" shapeId="0" xr:uid="{4392A73C-6F27-43CD-A4DD-44A3BEB6AA96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130 BB
</t>
        </r>
      </text>
    </comment>
    <comment ref="AI1793" authorId="0" shapeId="0" xr:uid="{00000000-0006-0000-0100-00008E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VALUCID
</t>
        </r>
      </text>
    </comment>
    <comment ref="T1794" authorId="0" shapeId="0" xr:uid="{00000000-0006-0000-0100-000090030000}">
      <text>
        <r>
          <rPr>
            <sz val="9"/>
            <color indexed="81"/>
            <rFont val="Tahoma"/>
            <family val="2"/>
          </rPr>
          <t xml:space="preserve">Alejandra Rojas Valderrama:
50%CAD
50% 30 DÍAS BL
</t>
        </r>
      </text>
    </comment>
    <comment ref="AB1794" authorId="5" shapeId="0" xr:uid="{365F2AAA-D8D5-4104-A007-D103565929AE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130 BB
</t>
        </r>
      </text>
    </comment>
    <comment ref="AI1794" authorId="0" shapeId="0" xr:uid="{00000000-0006-0000-0100-000091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VALUCID
</t>
        </r>
      </text>
    </comment>
    <comment ref="T1795" authorId="0" shapeId="0" xr:uid="{00000000-0006-0000-0100-000093030000}">
      <text>
        <r>
          <rPr>
            <sz val="9"/>
            <color indexed="81"/>
            <rFont val="Tahoma"/>
            <family val="2"/>
          </rPr>
          <t xml:space="preserve">Alejandra Rojas Valderrama:
50%CAD
50% 30 DÍAS BL
</t>
        </r>
      </text>
    </comment>
    <comment ref="AB1795" authorId="7" shapeId="0" xr:uid="{DABBE90E-3715-4F2A-9C5E-02F8C44E7333}">
      <text>
        <r>
          <rPr>
            <b/>
            <sz val="9"/>
            <color indexed="81"/>
            <rFont val="Tahoma"/>
            <family val="2"/>
          </rPr>
          <t xml:space="preserve">102 BB
</t>
        </r>
      </text>
    </comment>
    <comment ref="AI1795" authorId="0" shapeId="0" xr:uid="{00000000-0006-0000-0100-000094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VALUCID
</t>
        </r>
      </text>
    </comment>
    <comment ref="T1796" authorId="0" shapeId="0" xr:uid="{00000000-0006-0000-0100-000096030000}">
      <text>
        <r>
          <rPr>
            <sz val="9"/>
            <color indexed="81"/>
            <rFont val="Tahoma"/>
            <family val="2"/>
          </rPr>
          <t xml:space="preserve">Alejandra Rojas Valderrama:
50%CAD
50% 30 DÍAS BL
</t>
        </r>
      </text>
    </comment>
    <comment ref="AB1796" authorId="7" shapeId="0" xr:uid="{B66B0514-C417-48DA-B460-42855475D4F6}">
      <text>
        <r>
          <rPr>
            <b/>
            <sz val="9"/>
            <color indexed="81"/>
            <rFont val="Tahoma"/>
            <family val="2"/>
          </rPr>
          <t>30 BB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I1796" authorId="0" shapeId="0" xr:uid="{00000000-0006-0000-0100-000097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VALUCID
</t>
        </r>
      </text>
    </comment>
    <comment ref="R1798" authorId="0" shapeId="0" xr:uid="{00000000-0006-0000-0100-00009B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CONTRATO DEBE SALIR CON FECHA DE ENERO
</t>
        </r>
      </text>
    </comment>
    <comment ref="R1799" authorId="0" shapeId="0" xr:uid="{00000000-0006-0000-0100-00009C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CONTRATO DEBE SALIR CON FECHA DE ENERO
</t>
        </r>
      </text>
    </comment>
    <comment ref="R1800" authorId="0" shapeId="0" xr:uid="{00000000-0006-0000-0100-00009D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CONTRATO DEBE SALIR CON FECHA DE ENERO
</t>
        </r>
      </text>
    </comment>
    <comment ref="R1801" authorId="0" shapeId="0" xr:uid="{00000000-0006-0000-0100-00009E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CONTRATO DEBE SALIR CON FECHA DE ENERO
</t>
        </r>
      </text>
    </comment>
    <comment ref="R1802" authorId="0" shapeId="0" xr:uid="{00000000-0006-0000-0100-00009F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CONTRATO DEBE SALIR CON FECHA DE ENERO
</t>
        </r>
      </text>
    </comment>
    <comment ref="R1803" authorId="0" shapeId="0" xr:uid="{00000000-0006-0000-0100-0000A0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CONTRATO DEBE SALIR CON FECHA DE ENERO
</t>
        </r>
      </text>
    </comment>
    <comment ref="R1804" authorId="0" shapeId="0" xr:uid="{00000000-0006-0000-0100-0000A1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CONTRATO DEBE SALIR CON FECHA DE ENERO
</t>
        </r>
      </text>
    </comment>
    <comment ref="Z1805" authorId="0" shapeId="0" xr:uid="{FCA911E6-9FAF-4DE2-9D19-218FD79AC2BE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FILO
</t>
        </r>
      </text>
    </comment>
    <comment ref="AB1805" authorId="7" shapeId="0" xr:uid="{95FA06FF-0814-4A55-B217-D267FD6333D6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560 BB (1.25KG)
</t>
        </r>
      </text>
    </comment>
    <comment ref="AI1805" authorId="0" shapeId="0" xr:uid="{00000000-0006-0000-0100-0000A2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ROMERO FERTILIZANTES
</t>
        </r>
      </text>
    </comment>
    <comment ref="AT1805" authorId="5" shapeId="0" xr:uid="{00000000-0006-0000-0100-0000A503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03/02
</t>
        </r>
      </text>
    </comment>
    <comment ref="AZ1805" authorId="7" shapeId="0" xr:uid="{00000000-0006-0000-0100-0000A6030000}">
      <text>
        <r>
          <rPr>
            <sz val="9"/>
            <color indexed="81"/>
            <rFont val="Tahoma"/>
            <family val="2"/>
          </rPr>
          <t xml:space="preserve">Mery Estela Saldaña Reyes:
O PISCO
</t>
        </r>
      </text>
    </comment>
    <comment ref="Z1806" authorId="0" shapeId="0" xr:uid="{448485E6-478A-42D9-B544-BBC2EF94F02E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FILO
</t>
        </r>
      </text>
    </comment>
    <comment ref="AB1806" authorId="7" shapeId="0" xr:uid="{85CFA624-397A-43F7-80FB-8C4B57F606FD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1072 BB (1.25 KG)
</t>
        </r>
      </text>
    </comment>
    <comment ref="AI1806" authorId="0" shapeId="0" xr:uid="{00000000-0006-0000-0100-0000A7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ROMERO FERTILIZANTES
</t>
        </r>
      </text>
    </comment>
    <comment ref="AT1806" authorId="5" shapeId="0" xr:uid="{00000000-0006-0000-0100-0000AA03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03/02
</t>
        </r>
      </text>
    </comment>
    <comment ref="AZ1806" authorId="7" shapeId="0" xr:uid="{00000000-0006-0000-0100-0000AB030000}">
      <text>
        <r>
          <rPr>
            <sz val="9"/>
            <color indexed="81"/>
            <rFont val="Tahoma"/>
            <family val="2"/>
          </rPr>
          <t xml:space="preserve">Mery Estela Saldaña Reyes:
O PISCO
</t>
        </r>
      </text>
    </comment>
    <comment ref="Z1807" authorId="0" shapeId="0" xr:uid="{E2036DD8-8AE5-4992-BB35-1658C5F505C6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FILO
</t>
        </r>
      </text>
    </comment>
    <comment ref="AB1807" authorId="7" shapeId="0" xr:uid="{65AA0925-38DA-4944-B119-9ECA0A9353E2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1328 BB
</t>
        </r>
      </text>
    </comment>
    <comment ref="AI1807" authorId="0" shapeId="0" xr:uid="{00000000-0006-0000-0100-0000AC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ROMERO FERTILIZANTES
</t>
        </r>
      </text>
    </comment>
    <comment ref="AZ1807" authorId="7" shapeId="0" xr:uid="{00000000-0006-0000-0100-0000AF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O PISCO
</t>
        </r>
      </text>
    </comment>
    <comment ref="AB1808" authorId="7" shapeId="0" xr:uid="{307DA2A7-9439-45F3-9A24-D658FB50C4A5}">
      <text>
        <r>
          <rPr>
            <b/>
            <sz val="9"/>
            <color indexed="81"/>
            <rFont val="Tahoma"/>
            <family val="2"/>
          </rPr>
          <t>Mery Estela Saldaña Reyes:</t>
        </r>
        <r>
          <rPr>
            <sz val="9"/>
            <color indexed="81"/>
            <rFont val="Tahoma"/>
            <family val="2"/>
          </rPr>
          <t xml:space="preserve">
2917 bb
</t>
        </r>
      </text>
    </comment>
    <comment ref="AI1810" authorId="7" shapeId="0" xr:uid="{00000000-0006-0000-0100-0000B1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642 BB (800 KG)
</t>
        </r>
      </text>
    </comment>
    <comment ref="AB1817" authorId="7" shapeId="0" xr:uid="{173FC291-C68D-4AD0-B158-F2A179D9E7A9}">
      <text>
        <r>
          <rPr>
            <sz val="9"/>
            <color indexed="81"/>
            <rFont val="Tahoma"/>
            <family val="2"/>
          </rPr>
          <t xml:space="preserve">500 tambores
</t>
        </r>
      </text>
    </comment>
    <comment ref="X1827" authorId="7" shapeId="0" xr:uid="{00000000-0006-0000-0100-0000B3030000}">
      <text>
        <r>
          <rPr>
            <b/>
            <sz val="9"/>
            <color indexed="81"/>
            <rFont val="Tahoma"/>
            <family val="2"/>
          </rPr>
          <t>Mery Estela Saldaña Reyes:</t>
        </r>
        <r>
          <rPr>
            <sz val="9"/>
            <color indexed="81"/>
            <rFont val="Tahoma"/>
            <family val="2"/>
          </rPr>
          <t xml:space="preserve">
LC AGAINST ORIGINAL DOCUMENTS
</t>
        </r>
      </text>
    </comment>
    <comment ref="AI1827" authorId="7" shapeId="0" xr:uid="{00000000-0006-0000-0100-0000B4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MARCA ROMERO DE FERTILIZANTES
</t>
        </r>
      </text>
    </comment>
    <comment ref="AI1828" authorId="7" shapeId="0" xr:uid="{00000000-0006-0000-0100-0000B5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MARCA ROMERO DE FERTILIZANTES
</t>
        </r>
      </text>
    </comment>
    <comment ref="AI1829" authorId="7" shapeId="0" xr:uid="{00000000-0006-0000-0100-0000B6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MARCA ROMERO DE FERTILIZANTES
</t>
        </r>
      </text>
    </comment>
    <comment ref="AI1830" authorId="7" shapeId="0" xr:uid="{0B9D902B-D432-4439-8778-13C630C9C113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MARCA ROMERO DE FERTILIZANTES
</t>
        </r>
      </text>
    </comment>
    <comment ref="AI1831" authorId="7" shapeId="0" xr:uid="{C9594991-BE28-4526-9CC5-C1D1E934CB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MARCA ROMERO DE FERTILIZANTES
</t>
        </r>
      </text>
    </comment>
    <comment ref="AB1832" authorId="7" shapeId="0" xr:uid="{A7C777BF-37FD-483F-9D2A-955A175386DD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21600 BB
</t>
        </r>
      </text>
    </comment>
    <comment ref="AR1832" authorId="7" shapeId="0" xr:uid="{00000000-0006-0000-0100-0000B9030000}">
      <text>
        <r>
          <rPr>
            <b/>
            <sz val="9"/>
            <color indexed="81"/>
            <rFont val="Tahoma"/>
            <family val="2"/>
          </rPr>
          <t>Mery Estela Saldaña Reyes:</t>
        </r>
        <r>
          <rPr>
            <sz val="9"/>
            <color indexed="81"/>
            <rFont val="Tahoma"/>
            <family val="2"/>
          </rPr>
          <t xml:space="preserve">
SUCAMEC: 24/03
</t>
        </r>
      </text>
    </comment>
    <comment ref="AR1833" authorId="7" shapeId="0" xr:uid="{00000000-0006-0000-0100-0000BA030000}">
      <text>
        <r>
          <rPr>
            <b/>
            <sz val="9"/>
            <color indexed="81"/>
            <rFont val="Tahoma"/>
            <family val="2"/>
          </rPr>
          <t>Mery Estela Saldaña Reyes:
25/04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R1834" authorId="7" shapeId="0" xr:uid="{00000000-0006-0000-0100-0000BB030000}">
      <text>
        <r>
          <rPr>
            <sz val="9"/>
            <color indexed="81"/>
            <rFont val="Tahoma"/>
            <family val="2"/>
          </rPr>
          <t xml:space="preserve">INSPECCION 18/04
</t>
        </r>
      </text>
    </comment>
    <comment ref="AR1835" authorId="7" shapeId="0" xr:uid="{00000000-0006-0000-0100-0000BC030000}">
      <text>
        <r>
          <rPr>
            <b/>
            <sz val="9"/>
            <color indexed="81"/>
            <rFont val="Tahoma"/>
            <family val="2"/>
          </rPr>
          <t>Mery Estela Saldaña Reyes:
25/04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B1838" authorId="7" shapeId="0" xr:uid="{8CA8F0B1-C1B8-46A0-B224-86E5538A6552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320 bb
</t>
        </r>
      </text>
    </comment>
    <comment ref="AI1838" authorId="0" shapeId="0" xr:uid="{00000000-0006-0000-0100-0000BD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ROMERO FERTILIZANTES
</t>
        </r>
      </text>
    </comment>
    <comment ref="AZ1838" authorId="7" shapeId="0" xr:uid="{00000000-0006-0000-0100-0000BF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O PISCO
</t>
        </r>
      </text>
    </comment>
    <comment ref="Z1839" authorId="0" shapeId="0" xr:uid="{9F861039-C40F-4688-ADDE-89CF3229CBC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FILO
</t>
        </r>
      </text>
    </comment>
    <comment ref="AI1839" authorId="0" shapeId="0" xr:uid="{00000000-0006-0000-0100-0000C0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GRANEL
</t>
        </r>
      </text>
    </comment>
    <comment ref="AZ1839" authorId="7" shapeId="0" xr:uid="{F7C64499-76DE-48D3-80E6-B9BB37C8B765}">
      <text>
        <r>
          <rPr>
            <b/>
            <sz val="9"/>
            <color indexed="81"/>
            <rFont val="Tahoma"/>
            <family val="2"/>
          </rPr>
          <t>OR PISCO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1840" authorId="0" shapeId="0" xr:uid="{A84A4006-B303-447E-89C2-7687D471DF84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FILO
</t>
        </r>
      </text>
    </comment>
    <comment ref="AI1840" authorId="0" shapeId="0" xr:uid="{00000000-0006-0000-0100-0000C2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GRANEL
</t>
        </r>
      </text>
    </comment>
    <comment ref="Z1841" authorId="0" shapeId="0" xr:uid="{047B4562-2D85-4C76-8C5D-CB395031885F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FILO
</t>
        </r>
      </text>
    </comment>
    <comment ref="AI1841" authorId="0" shapeId="0" xr:uid="{00000000-0006-0000-0100-0000C4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GRANEL
</t>
        </r>
      </text>
    </comment>
    <comment ref="Z1845" authorId="0" shapeId="0" xr:uid="{7E74987D-BF7B-42E8-88AD-AB174FD9CFFC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FILO
</t>
        </r>
      </text>
    </comment>
    <comment ref="AI1845" authorId="7" shapeId="0" xr:uid="{00000000-0006-0000-0100-0000C6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NEUTRAL (S/M)
</t>
        </r>
      </text>
    </comment>
    <comment ref="Z1846" authorId="0" shapeId="0" xr:uid="{5E575AFF-E613-454F-9EDB-3D9C1EC4E759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FILO
</t>
        </r>
      </text>
    </comment>
    <comment ref="AI1846" authorId="7" shapeId="0" xr:uid="{1CF528B2-ACBA-4076-B03C-5D4305678FB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NEUTRAL (S/M)
</t>
        </r>
      </text>
    </comment>
    <comment ref="AR1847" authorId="7" shapeId="0" xr:uid="{00000000-0006-0000-0100-0000C8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SUCAMEC: 22/02
</t>
        </r>
      </text>
    </comment>
    <comment ref="AC1848" authorId="0" shapeId="0" xr:uid="{00000000-0006-0000-0100-0000C9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PRECIO DE REFERENCIA
</t>
        </r>
      </text>
    </comment>
    <comment ref="R1851" authorId="0" shapeId="0" xr:uid="{00000000-0006-0000-0100-0000CA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CONTRATO DEBE SALIR CON FECHA DE ENERO
</t>
        </r>
      </text>
    </comment>
    <comment ref="AB1851" authorId="7" shapeId="0" xr:uid="{A28AEFA6-22BD-41A1-B0A3-59340BB32D3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1040 BB (1.25 TM)
</t>
        </r>
        <r>
          <rPr>
            <sz val="9"/>
            <color indexed="81"/>
            <rFont val="Tahoma"/>
            <family val="2"/>
          </rPr>
          <t xml:space="preserve">Kristel:
En Ransa solo ingresó 558 BB
En Paita va ingresar 482 BB
</t>
        </r>
      </text>
    </comment>
    <comment ref="AI1851" authorId="7" shapeId="0" xr:uid="{00000000-0006-0000-0100-0000CB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NEUTRAL (S/M)
</t>
        </r>
      </text>
    </comment>
    <comment ref="R1852" authorId="0" shapeId="0" xr:uid="{00000000-0006-0000-0100-0000CD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CONTRATO DEBE SALIR CON FECHA DE ENERO
</t>
        </r>
      </text>
    </comment>
    <comment ref="AB1852" authorId="7" shapeId="0" xr:uid="{8D1D9176-D04A-4046-BC8D-CDD9811CF6BD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1360 BB (1.25 TM)
</t>
        </r>
      </text>
    </comment>
    <comment ref="AI1852" authorId="7" shapeId="0" xr:uid="{00000000-0006-0000-0100-0000CE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NEUTRAL (S/M)
</t>
        </r>
      </text>
    </comment>
    <comment ref="R1853" authorId="0" shapeId="0" xr:uid="{00000000-0006-0000-0100-0000D0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CONTRATO DEBE SALIR CON FECHA DE ENERO
</t>
        </r>
      </text>
    </comment>
    <comment ref="AB1853" authorId="7" shapeId="0" xr:uid="{6BF40291-4DBF-40A6-940F-AF2F3BB07C72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80 bb (1.25 tm)
</t>
        </r>
      </text>
    </comment>
    <comment ref="AI1853" authorId="7" shapeId="0" xr:uid="{00000000-0006-0000-0100-0000D1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NEUTRAL (S/M)
</t>
        </r>
      </text>
    </comment>
    <comment ref="R1854" authorId="0" shapeId="0" xr:uid="{00000000-0006-0000-0100-0000D303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CONTRATO DEBE SALIR CON FECHA DE ENERO
</t>
        </r>
      </text>
    </comment>
    <comment ref="AB1854" authorId="7" shapeId="0" xr:uid="{7AEFC715-AC13-4D08-AD93-1A0CE57F0AFD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80 bb ( 1.25 tm)
</t>
        </r>
      </text>
    </comment>
    <comment ref="AI1854" authorId="7" shapeId="0" xr:uid="{00000000-0006-0000-0100-0000D403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NEUTRAL (S/M)
</t>
        </r>
      </text>
    </comment>
    <comment ref="AB1856" authorId="2" shapeId="0" xr:uid="{4247B127-72E9-4E93-9B9D-D901AEE52F9B}">
      <text>
        <r>
          <rPr>
            <sz val="9"/>
            <color indexed="81"/>
            <rFont val="Tahoma"/>
            <family val="2"/>
          </rPr>
          <t xml:space="preserve">Antes 189TM
</t>
        </r>
      </text>
    </comment>
    <comment ref="AT1862" authorId="5" shapeId="0" xr:uid="{00000000-0006-0000-0100-0000D703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04/02
</t>
        </r>
      </text>
    </comment>
    <comment ref="AT1863" authorId="5" shapeId="0" xr:uid="{00000000-0006-0000-0100-0000D803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04/02
</t>
        </r>
      </text>
    </comment>
    <comment ref="AT1867" authorId="5" shapeId="0" xr:uid="{00000000-0006-0000-0100-0000D9030000}">
      <text>
        <r>
          <rPr>
            <b/>
            <sz val="9"/>
            <color indexed="81"/>
            <rFont val="Tahoma"/>
            <family val="2"/>
          </rPr>
          <t>Evelin Alejandra Rojas Valderrama:</t>
        </r>
        <r>
          <rPr>
            <sz val="9"/>
            <color indexed="81"/>
            <rFont val="Tahoma"/>
            <family val="2"/>
          </rPr>
          <t xml:space="preserve">
INGRESO ADELANTADO AL 25/02
</t>
        </r>
      </text>
    </comment>
    <comment ref="AT1868" authorId="5" shapeId="0" xr:uid="{00000000-0006-0000-0100-0000DA03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08/03
</t>
        </r>
      </text>
    </comment>
    <comment ref="AT1869" authorId="5" shapeId="0" xr:uid="{00000000-0006-0000-0100-0000DB03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INGRESO ADELANTADO AL 01/03
</t>
        </r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</t>
        </r>
      </text>
    </comment>
    <comment ref="AB1879" authorId="5" shapeId="0" xr:uid="{9B2B0885-BC4A-4470-A0B9-67F2E1DB2AD5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PALLETS
</t>
        </r>
      </text>
    </comment>
    <comment ref="AI1879" authorId="5" shapeId="0" xr:uid="{00000000-0006-0000-0100-0000DC03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1000 KG
</t>
        </r>
      </text>
    </comment>
    <comment ref="AI1880" authorId="5" shapeId="0" xr:uid="{00000000-0006-0000-0100-0000DE03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SACO NEUTRAL
</t>
        </r>
      </text>
    </comment>
    <comment ref="AI1881" authorId="5" shapeId="0" xr:uid="{00000000-0006-0000-0100-0000DF03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SACO NEUTRAL
</t>
        </r>
      </text>
    </comment>
    <comment ref="AR1881" authorId="1" shapeId="0" xr:uid="{3FF610F2-E171-43E0-91D9-A7B31B6788D7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Fecha de inspección tentativa 31/05 
</t>
        </r>
      </text>
    </comment>
    <comment ref="AI1882" authorId="5" shapeId="0" xr:uid="{00000000-0006-0000-0100-0000E003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SACO NEUTRAL
</t>
        </r>
      </text>
    </comment>
    <comment ref="AR1882" authorId="7" shapeId="0" xr:uid="{CD3C5828-685E-4731-9B6E-31DDC388800E}">
      <text>
        <r>
          <rPr>
            <b/>
            <sz val="9"/>
            <color indexed="81"/>
            <rFont val="Tahoma"/>
            <family val="2"/>
          </rPr>
          <t>Mery Estela Saldaña Reyes:</t>
        </r>
        <r>
          <rPr>
            <sz val="9"/>
            <color indexed="81"/>
            <rFont val="Tahoma"/>
            <family val="2"/>
          </rPr>
          <t xml:space="preserve">
INSPECCION HOY 23/05</t>
        </r>
      </text>
    </comment>
    <comment ref="AR1883" authorId="7" shapeId="0" xr:uid="{D52A8446-D535-4AD2-89BB-1E1AE8E7A160}">
      <text>
        <r>
          <rPr>
            <b/>
            <sz val="9"/>
            <color indexed="81"/>
            <rFont val="Tahoma"/>
            <family val="2"/>
          </rPr>
          <t>Mery Estela Saldaña Reyes:</t>
        </r>
        <r>
          <rPr>
            <sz val="9"/>
            <color indexed="81"/>
            <rFont val="Tahoma"/>
            <family val="2"/>
          </rPr>
          <t xml:space="preserve">
INSPECCION HOY 23/05</t>
        </r>
      </text>
    </comment>
    <comment ref="AB1886" authorId="7" shapeId="0" xr:uid="{9F70FC93-EDFC-4F39-8A77-DD716CD96DE4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684 BB
</t>
        </r>
      </text>
    </comment>
    <comment ref="AI1886" authorId="5" shapeId="0" xr:uid="{00000000-0006-0000-0100-0000E203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800 KG
</t>
        </r>
      </text>
    </comment>
    <comment ref="AC1894" authorId="7" shapeId="0" xr:uid="{00000000-0006-0000-0100-0000E4030000}">
      <text>
        <r>
          <rPr>
            <b/>
            <i/>
            <sz val="9"/>
            <color indexed="81"/>
            <rFont val="Tahoma"/>
            <family val="2"/>
          </rPr>
          <t xml:space="preserve">por confirmar
</t>
        </r>
      </text>
    </comment>
    <comment ref="AI1896" authorId="9" shapeId="0" xr:uid="{00000000-0006-0000-0100-0000E6030000}">
      <text>
        <r>
          <rPr>
            <sz val="9"/>
            <color indexed="81"/>
            <rFont val="Tahoma"/>
            <family val="2"/>
          </rPr>
          <t>Patricia Elena Cabeza Valles:</t>
        </r>
        <r>
          <rPr>
            <b/>
            <i/>
            <sz val="9"/>
            <color indexed="81"/>
            <rFont val="Tahoma"/>
            <family val="2"/>
          </rPr>
          <t xml:space="preserve">
Diseño ACF
</t>
        </r>
      </text>
    </comment>
    <comment ref="AR1896" authorId="10" shapeId="0" xr:uid="{00000000-0006-0000-0100-0000E7030000}">
      <text>
        <r>
          <rPr>
            <b/>
            <sz val="9"/>
            <color indexed="81"/>
            <rFont val="Tahoma"/>
            <family val="2"/>
          </rPr>
          <t>Kattia Marilyn Aldave Salazar:</t>
        </r>
        <r>
          <rPr>
            <sz val="9"/>
            <color indexed="81"/>
            <rFont val="Tahoma"/>
            <family val="2"/>
          </rPr>
          <t xml:space="preserve">
08/04
</t>
        </r>
      </text>
    </comment>
    <comment ref="AI1897" authorId="9" shapeId="0" xr:uid="{00000000-0006-0000-0100-0000E8030000}">
      <text>
        <r>
          <rPr>
            <sz val="9"/>
            <color indexed="81"/>
            <rFont val="Tahoma"/>
            <family val="2"/>
          </rPr>
          <t>Patricia Elena Cabeza Valles:</t>
        </r>
        <r>
          <rPr>
            <b/>
            <i/>
            <sz val="9"/>
            <color indexed="81"/>
            <rFont val="Tahoma"/>
            <family val="2"/>
          </rPr>
          <t xml:space="preserve">
Diseño ACF
</t>
        </r>
      </text>
    </comment>
    <comment ref="AR1897" authorId="10" shapeId="0" xr:uid="{00000000-0006-0000-0100-0000E9030000}">
      <text>
        <r>
          <rPr>
            <b/>
            <sz val="9"/>
            <color indexed="81"/>
            <rFont val="Tahoma"/>
            <family val="2"/>
          </rPr>
          <t>Kattia Marilyn Aldave Salazar:</t>
        </r>
        <r>
          <rPr>
            <sz val="9"/>
            <color indexed="81"/>
            <rFont val="Tahoma"/>
            <family val="2"/>
          </rPr>
          <t xml:space="preserve">
08/04
</t>
        </r>
      </text>
    </comment>
    <comment ref="AI1898" authorId="9" shapeId="0" xr:uid="{00000000-0006-0000-0100-0000EA030000}">
      <text>
        <r>
          <rPr>
            <sz val="9"/>
            <color indexed="81"/>
            <rFont val="Tahoma"/>
            <family val="2"/>
          </rPr>
          <t>Patricia Elena Cabeza Valles:</t>
        </r>
        <r>
          <rPr>
            <b/>
            <i/>
            <sz val="9"/>
            <color indexed="81"/>
            <rFont val="Tahoma"/>
            <family val="2"/>
          </rPr>
          <t xml:space="preserve">
Diseño ACF
</t>
        </r>
      </text>
    </comment>
    <comment ref="AR1898" authorId="10" shapeId="0" xr:uid="{00000000-0006-0000-0100-0000EB030000}">
      <text>
        <r>
          <rPr>
            <b/>
            <sz val="9"/>
            <color indexed="81"/>
            <rFont val="Tahoma"/>
            <family val="2"/>
          </rPr>
          <t>Kattia Marilyn Aldave Salazar:</t>
        </r>
        <r>
          <rPr>
            <sz val="9"/>
            <color indexed="81"/>
            <rFont val="Tahoma"/>
            <family val="2"/>
          </rPr>
          <t xml:space="preserve">
08/04
</t>
        </r>
      </text>
    </comment>
    <comment ref="AI1899" authorId="9" shapeId="0" xr:uid="{00000000-0006-0000-0100-0000EC030000}">
      <text>
        <r>
          <rPr>
            <sz val="9"/>
            <color indexed="81"/>
            <rFont val="Tahoma"/>
            <family val="2"/>
          </rPr>
          <t>Patricia Elena Cabeza Valles:</t>
        </r>
        <r>
          <rPr>
            <b/>
            <i/>
            <sz val="9"/>
            <color indexed="81"/>
            <rFont val="Tahoma"/>
            <family val="2"/>
          </rPr>
          <t xml:space="preserve">
Diseño ACF
</t>
        </r>
      </text>
    </comment>
    <comment ref="AR1899" authorId="10" shapeId="0" xr:uid="{00000000-0006-0000-0100-0000ED030000}">
      <text>
        <r>
          <rPr>
            <b/>
            <sz val="9"/>
            <color indexed="81"/>
            <rFont val="Tahoma"/>
            <family val="2"/>
          </rPr>
          <t>Kattia Marilyn Aldave Salazar:</t>
        </r>
        <r>
          <rPr>
            <sz val="9"/>
            <color indexed="81"/>
            <rFont val="Tahoma"/>
            <family val="2"/>
          </rPr>
          <t xml:space="preserve">
08/04
</t>
        </r>
      </text>
    </comment>
    <comment ref="T1900" authorId="7" shapeId="0" xr:uid="{00000000-0006-0000-0100-0000EE030000}">
      <text>
        <r>
          <rPr>
            <b/>
            <sz val="9"/>
            <color indexed="81"/>
            <rFont val="Tahoma"/>
            <family val="2"/>
          </rPr>
          <t>Mery Estela Saldaña Reyes:</t>
        </r>
        <r>
          <rPr>
            <sz val="9"/>
            <color indexed="81"/>
            <rFont val="Tahoma"/>
            <family val="2"/>
          </rPr>
          <t xml:space="preserve">
CAD CONTRA DOCS ORIGINALES
</t>
        </r>
      </text>
    </comment>
    <comment ref="AI1900" authorId="5" shapeId="0" xr:uid="{00000000-0006-0000-0100-0000EF03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ROMERO FERTILIZANTES
</t>
        </r>
      </text>
    </comment>
    <comment ref="Z1901" authorId="5" shapeId="0" xr:uid="{CDB6D7F1-7118-4B0A-B874-1999DB084DDE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FILO
</t>
        </r>
      </text>
    </comment>
    <comment ref="AB1901" authorId="7" shapeId="0" xr:uid="{2B1A21AE-242B-4492-9138-A58E11CC2C41}">
      <text>
        <r>
          <rPr>
            <sz val="9"/>
            <color indexed="81"/>
            <rFont val="Tahoma"/>
            <family val="2"/>
          </rPr>
          <t xml:space="preserve">320BB
</t>
        </r>
      </text>
    </comment>
    <comment ref="AG1901" authorId="5" shapeId="0" xr:uid="{00000000-0006-0000-0100-0000F003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1,250 KG
</t>
        </r>
      </text>
    </comment>
    <comment ref="AI1901" authorId="5" shapeId="0" xr:uid="{00000000-0006-0000-0100-0000F103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ROMERO FERTILIZANTES
</t>
        </r>
      </text>
    </comment>
    <comment ref="Z1902" authorId="5" shapeId="0" xr:uid="{B68DB6F9-8A16-4EF4-9CA5-2EC532C7D394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FIO
</t>
        </r>
      </text>
    </comment>
    <comment ref="AB1902" authorId="7" shapeId="0" xr:uid="{78234278-1348-43C7-A0A0-F819B34D56B3}">
      <text>
        <r>
          <rPr>
            <b/>
            <sz val="9"/>
            <color indexed="81"/>
            <rFont val="Tahoma"/>
            <family val="2"/>
          </rPr>
          <t>Mery Estela Saldaña Reyes:</t>
        </r>
        <r>
          <rPr>
            <sz val="9"/>
            <color indexed="81"/>
            <rFont val="Tahoma"/>
            <family val="2"/>
          </rPr>
          <t xml:space="preserve">
912 bb
</t>
        </r>
      </text>
    </comment>
    <comment ref="AG1904" authorId="7" shapeId="0" xr:uid="{00000000-0006-0000-0100-0000F6030000}">
      <text>
        <r>
          <rPr>
            <sz val="9"/>
            <color indexed="81"/>
            <rFont val="Tahoma"/>
            <family val="2"/>
          </rPr>
          <t>BIG BAGS 1 TM</t>
        </r>
        <r>
          <rPr>
            <b/>
            <i/>
            <sz val="9"/>
            <color indexed="81"/>
            <rFont val="Tahoma"/>
            <family val="2"/>
          </rPr>
          <t xml:space="preserve">
</t>
        </r>
      </text>
    </comment>
    <comment ref="AG1905" authorId="7" shapeId="0" xr:uid="{00000000-0006-0000-0100-0000F7030000}">
      <text>
        <r>
          <rPr>
            <sz val="9"/>
            <color indexed="81"/>
            <rFont val="Tahoma"/>
            <family val="2"/>
          </rPr>
          <t>BIG BAGS 1 TM</t>
        </r>
        <r>
          <rPr>
            <b/>
            <i/>
            <sz val="9"/>
            <color indexed="81"/>
            <rFont val="Tahoma"/>
            <family val="2"/>
          </rPr>
          <t xml:space="preserve">
</t>
        </r>
      </text>
    </comment>
    <comment ref="AG1906" authorId="7" shapeId="0" xr:uid="{00000000-0006-0000-0100-0000F8030000}">
      <text>
        <r>
          <rPr>
            <sz val="9"/>
            <color indexed="81"/>
            <rFont val="Tahoma"/>
            <family val="2"/>
          </rPr>
          <t>BIG BAGS 1 TM</t>
        </r>
        <r>
          <rPr>
            <b/>
            <i/>
            <sz val="9"/>
            <color indexed="81"/>
            <rFont val="Tahoma"/>
            <family val="2"/>
          </rPr>
          <t xml:space="preserve">
</t>
        </r>
      </text>
    </comment>
    <comment ref="AG1907" authorId="7" shapeId="0" xr:uid="{00000000-0006-0000-0100-0000F9030000}">
      <text>
        <r>
          <rPr>
            <sz val="9"/>
            <color indexed="81"/>
            <rFont val="Tahoma"/>
            <family val="2"/>
          </rPr>
          <t>BIG BAGS 1 TM</t>
        </r>
        <r>
          <rPr>
            <b/>
            <i/>
            <sz val="9"/>
            <color indexed="81"/>
            <rFont val="Tahoma"/>
            <family val="2"/>
          </rPr>
          <t xml:space="preserve">
</t>
        </r>
      </text>
    </comment>
    <comment ref="AG1908" authorId="7" shapeId="0" xr:uid="{00000000-0006-0000-0100-0000FA030000}">
      <text>
        <r>
          <rPr>
            <sz val="9"/>
            <color indexed="81"/>
            <rFont val="Tahoma"/>
            <family val="2"/>
          </rPr>
          <t>BIG BAGS 1 TM</t>
        </r>
        <r>
          <rPr>
            <b/>
            <i/>
            <sz val="9"/>
            <color indexed="81"/>
            <rFont val="Tahoma"/>
            <family val="2"/>
          </rPr>
          <t xml:space="preserve">
</t>
        </r>
      </text>
    </comment>
    <comment ref="AG1909" authorId="7" shapeId="0" xr:uid="{00000000-0006-0000-0100-0000FB030000}">
      <text>
        <r>
          <rPr>
            <sz val="9"/>
            <color indexed="81"/>
            <rFont val="Tahoma"/>
            <family val="2"/>
          </rPr>
          <t>BIG BAGS 1 TM</t>
        </r>
        <r>
          <rPr>
            <b/>
            <i/>
            <sz val="9"/>
            <color indexed="81"/>
            <rFont val="Tahoma"/>
            <family val="2"/>
          </rPr>
          <t xml:space="preserve">
</t>
        </r>
      </text>
    </comment>
    <comment ref="AI1911" authorId="0" shapeId="0" xr:uid="{EF95996B-D9F4-43BE-8305-5878DAAF844D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1450 KG
</t>
        </r>
      </text>
    </comment>
    <comment ref="AB1913" authorId="7" shapeId="0" xr:uid="{89B0C86A-9EA8-423A-A759-DE23D3D5D0DC}">
      <text>
        <r>
          <rPr>
            <b/>
            <sz val="9"/>
            <color indexed="81"/>
            <rFont val="Tahoma"/>
            <family val="2"/>
          </rPr>
          <t xml:space="preserve">430 BB (1TM)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I1913" authorId="5" shapeId="0" xr:uid="{00000000-0006-0000-0100-0000FD03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ROMERO FERTILIZANTES
</t>
        </r>
      </text>
    </comment>
    <comment ref="AI1914" authorId="5" shapeId="0" xr:uid="{00000000-0006-0000-0100-0000FF03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ROMERO FERTILIZANTES
</t>
        </r>
      </text>
    </comment>
    <comment ref="AI1915" authorId="5" shapeId="0" xr:uid="{00000000-0006-0000-0100-00000004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NEUTRAL
</t>
        </r>
      </text>
    </comment>
    <comment ref="AC1924" authorId="5" shapeId="0" xr:uid="{00000000-0006-0000-0100-00000104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PRECIO REFERENCIAL AL MED DE FEBRERO
</t>
        </r>
      </text>
    </comment>
    <comment ref="AG1925" authorId="7" shapeId="0" xr:uid="{00000000-0006-0000-0100-000002040000}">
      <text>
        <r>
          <rPr>
            <sz val="9"/>
            <color indexed="81"/>
            <rFont val="Tahoma"/>
            <family val="2"/>
          </rPr>
          <t>BIG BAGS 1 TM</t>
        </r>
        <r>
          <rPr>
            <b/>
            <i/>
            <sz val="9"/>
            <color indexed="81"/>
            <rFont val="Tahoma"/>
            <family val="2"/>
          </rPr>
          <t xml:space="preserve">
</t>
        </r>
      </text>
    </comment>
    <comment ref="AG1926" authorId="7" shapeId="0" xr:uid="{00000000-0006-0000-0100-000003040000}">
      <text>
        <r>
          <rPr>
            <sz val="9"/>
            <color indexed="81"/>
            <rFont val="Tahoma"/>
            <family val="2"/>
          </rPr>
          <t>BIG BAGS 1 TM</t>
        </r>
        <r>
          <rPr>
            <b/>
            <i/>
            <sz val="9"/>
            <color indexed="81"/>
            <rFont val="Tahoma"/>
            <family val="2"/>
          </rPr>
          <t xml:space="preserve">
</t>
        </r>
      </text>
    </comment>
    <comment ref="AG1927" authorId="7" shapeId="0" xr:uid="{00000000-0006-0000-0100-000004040000}">
      <text>
        <r>
          <rPr>
            <sz val="9"/>
            <color indexed="81"/>
            <rFont val="Tahoma"/>
            <family val="2"/>
          </rPr>
          <t>BIG BAGS 1 TM</t>
        </r>
        <r>
          <rPr>
            <b/>
            <i/>
            <sz val="9"/>
            <color indexed="81"/>
            <rFont val="Tahoma"/>
            <family val="2"/>
          </rPr>
          <t xml:space="preserve">
</t>
        </r>
      </text>
    </comment>
    <comment ref="V1928" authorId="7" shapeId="0" xr:uid="{7212CCCA-5BE9-415F-A94F-3180D7EE53D1}">
      <text>
        <r>
          <rPr>
            <b/>
            <sz val="9"/>
            <color indexed="81"/>
            <rFont val="Tahoma"/>
            <family val="2"/>
          </rPr>
          <t>CREDIT NOTE: 192/2022</t>
        </r>
      </text>
    </comment>
    <comment ref="AG1928" authorId="7" shapeId="0" xr:uid="{00000000-0006-0000-0100-000005040000}">
      <text>
        <r>
          <rPr>
            <sz val="9"/>
            <color indexed="81"/>
            <rFont val="Tahoma"/>
            <family val="2"/>
          </rPr>
          <t>BIG BAGS 1 TM</t>
        </r>
        <r>
          <rPr>
            <b/>
            <i/>
            <sz val="9"/>
            <color indexed="81"/>
            <rFont val="Tahoma"/>
            <family val="2"/>
          </rPr>
          <t xml:space="preserve">
</t>
        </r>
      </text>
    </comment>
    <comment ref="AC1933" authorId="7" shapeId="0" xr:uid="{00000000-0006-0000-0100-000008040000}">
      <text>
        <r>
          <rPr>
            <b/>
            <sz val="9"/>
            <color indexed="81"/>
            <rFont val="Tahoma"/>
            <family val="2"/>
          </rPr>
          <t xml:space="preserve">Precio pendiente de confirmacion
</t>
        </r>
      </text>
    </comment>
    <comment ref="AT1934" authorId="11" shapeId="0" xr:uid="{E28F5CA6-9697-4A8B-B47E-2B9E8CFD48A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Fecha de Inspección: 06/05</t>
      </text>
    </comment>
    <comment ref="AT1935" authorId="12" shapeId="0" xr:uid="{EC48C482-F2A4-4212-8837-D013A9485C1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Fecha de inspección 06/05</t>
      </text>
    </comment>
    <comment ref="AR1936" authorId="1" shapeId="0" xr:uid="{3FEFE026-363D-49B4-97C8-E348BA23C980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Inspección 26/05</t>
        </r>
      </text>
    </comment>
    <comment ref="AR1937" authorId="1" shapeId="0" xr:uid="{7C8BAFC8-E91B-42CE-81D3-D967E4B1C6E6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Inspección 26/05</t>
        </r>
      </text>
    </comment>
    <comment ref="AR1938" authorId="1" shapeId="0" xr:uid="{171B596C-C45B-4A66-AE5B-536AEC72CD2A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Inspección 26/05</t>
        </r>
      </text>
    </comment>
    <comment ref="AR1939" authorId="1" shapeId="0" xr:uid="{5B6B9652-1669-4B8C-9C2D-F3E95DF86714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Fecha de inspección tentativa 31/05
</t>
        </r>
      </text>
    </comment>
    <comment ref="Z1954" authorId="5" shapeId="0" xr:uid="{4A7D4AB2-7CDE-445F-821A-12300D06BCEF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FILO
</t>
        </r>
      </text>
    </comment>
    <comment ref="AB1954" authorId="7" shapeId="0" xr:uid="{2C73D049-DE14-4192-A8B2-5B777AFB922F}">
      <text>
        <r>
          <rPr>
            <b/>
            <sz val="9"/>
            <color indexed="81"/>
            <rFont val="Tahoma"/>
            <family val="2"/>
          </rPr>
          <t xml:space="preserve">2800 BB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G1954" authorId="5" shapeId="0" xr:uid="{00000000-0006-0000-0100-00000904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1,250 KG
</t>
        </r>
      </text>
    </comment>
    <comment ref="AI1954" authorId="5" shapeId="0" xr:uid="{00000000-0006-0000-0100-00000A04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ROMERO FERTILIZANTES
</t>
        </r>
      </text>
    </comment>
    <comment ref="AB1956" authorId="7" shapeId="0" xr:uid="{74F14BD7-F762-48C4-B88B-405C33958509}">
      <text>
        <r>
          <rPr>
            <sz val="9"/>
            <color indexed="81"/>
            <rFont val="Tahoma"/>
            <family val="2"/>
          </rPr>
          <t xml:space="preserve">800 BB
</t>
        </r>
      </text>
    </comment>
    <comment ref="AZ1956" authorId="7" shapeId="0" xr:uid="{00000000-0006-0000-0100-00000E040000}">
      <text>
        <r>
          <rPr>
            <b/>
            <sz val="9"/>
            <color indexed="81"/>
            <rFont val="Tahoma"/>
            <family val="2"/>
          </rPr>
          <t>OR PISCO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I1967" authorId="3" shapeId="0" xr:uid="{00000000-0006-0000-0100-00000F040000}">
      <text>
        <r>
          <rPr>
            <i/>
            <sz val="9"/>
            <color indexed="81"/>
            <rFont val="Tahoma"/>
            <family val="2"/>
          </rPr>
          <t>Silvanna Jeanette Cervantes Vicente:</t>
        </r>
        <r>
          <rPr>
            <i/>
            <sz val="9"/>
            <color indexed="81"/>
            <rFont val="Tahoma"/>
            <family val="2"/>
          </rPr>
          <t xml:space="preserve">
C/Pallets
</t>
        </r>
      </text>
    </comment>
    <comment ref="AB1968" authorId="7" shapeId="0" xr:uid="{7A8C374F-D569-4F1B-B8BB-DD7A5EBB225C}">
      <text>
        <r>
          <rPr>
            <sz val="9"/>
            <color indexed="81"/>
            <rFont val="Tahoma"/>
            <family val="2"/>
          </rPr>
          <t xml:space="preserve">IBC x 1000 TM
</t>
        </r>
      </text>
    </comment>
    <comment ref="AI1968" authorId="7" shapeId="0" xr:uid="{00000000-0006-0000-0100-000010040000}">
      <text>
        <r>
          <rPr>
            <b/>
            <sz val="9"/>
            <color indexed="81"/>
            <rFont val="Tahoma"/>
            <family val="2"/>
          </rPr>
          <t>Mery Estela Saldaña Reyes:</t>
        </r>
        <r>
          <rPr>
            <sz val="9"/>
            <color indexed="81"/>
            <rFont val="Tahoma"/>
            <family val="2"/>
          </rPr>
          <t xml:space="preserve">
1 TM
</t>
        </r>
      </text>
    </comment>
    <comment ref="AB1969" authorId="7" shapeId="0" xr:uid="{9C34C175-19D4-4FA0-B486-494198C670C8}">
      <text>
        <r>
          <rPr>
            <b/>
            <sz val="9"/>
            <color indexed="81"/>
            <rFont val="Tahoma"/>
            <family val="2"/>
          </rPr>
          <t xml:space="preserve">200 bidones x 10 lts
</t>
        </r>
      </text>
    </comment>
    <comment ref="AB1970" authorId="7" shapeId="0" xr:uid="{BE2E80BC-D3A6-44B6-89F2-1622F1E8AEE5}">
      <text>
        <r>
          <rPr>
            <b/>
            <sz val="9"/>
            <color indexed="81"/>
            <rFont val="Tahoma"/>
            <family val="2"/>
          </rPr>
          <t xml:space="preserve">240 bidones de 20 lts
</t>
        </r>
      </text>
    </comment>
    <comment ref="AC1977" authorId="5" shapeId="0" xr:uid="{00000000-0006-0000-0100-00001904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PRECIO REFERENCIAL AL MED DE FEBRERO
</t>
        </r>
      </text>
    </comment>
    <comment ref="L1978" authorId="2" shapeId="0" xr:uid="{D678418C-0FC1-4413-8735-F80F974C181E}">
      <text>
        <r>
          <rPr>
            <b/>
            <sz val="9"/>
            <color indexed="81"/>
            <rFont val="Tahoma"/>
            <family val="2"/>
          </rPr>
          <t>Joselyn Luna:</t>
        </r>
        <r>
          <rPr>
            <sz val="9"/>
            <color indexed="81"/>
            <rFont val="Tahoma"/>
            <family val="2"/>
          </rPr>
          <t xml:space="preserve"> Costeo corregido</t>
        </r>
      </text>
    </comment>
    <comment ref="AC1979" authorId="5" shapeId="0" xr:uid="{00000000-0006-0000-0100-00001B04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PRECIO REFERENCIAL AL MED DE FEBRERO
</t>
        </r>
      </text>
    </comment>
    <comment ref="Z1981" authorId="5" shapeId="0" xr:uid="{CCE9C9A6-2A43-4B51-B343-A182A6EB7817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FILO
</t>
        </r>
      </text>
    </comment>
    <comment ref="AB1981" authorId="7" shapeId="0" xr:uid="{5AB1DAEB-2B5D-4445-BA12-63FBE01D6287}">
      <text>
        <r>
          <rPr>
            <b/>
            <sz val="9"/>
            <color indexed="81"/>
            <rFont val="Tahoma"/>
            <family val="2"/>
          </rPr>
          <t>1200 BB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G1981" authorId="5" shapeId="0" xr:uid="{00000000-0006-0000-0100-00001D04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1,250 KG
</t>
        </r>
      </text>
    </comment>
    <comment ref="AI1981" authorId="5" shapeId="0" xr:uid="{00000000-0006-0000-0100-00001E040000}">
      <text>
        <r>
          <rPr>
            <sz val="9"/>
            <color indexed="81"/>
            <rFont val="Tahoma"/>
            <family val="2"/>
          </rPr>
          <t>Evelin 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ROMERO FERTILIZANTES
</t>
        </r>
      </text>
    </comment>
    <comment ref="Z1982" authorId="0" shapeId="0" xr:uid="{97BD47E7-B1DB-439A-9ADD-E36746BA1F9C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FO
</t>
        </r>
      </text>
    </comment>
    <comment ref="AI1997" authorId="7" shapeId="0" xr:uid="{00000000-0006-0000-0100-00002404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MARCA ROMERO DE FERTILIZANTES
</t>
        </r>
      </text>
    </comment>
    <comment ref="AI1998" authorId="7" shapeId="0" xr:uid="{00000000-0006-0000-0100-00002504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MARCA ROMERO DE FERTILIZANTES
</t>
        </r>
      </text>
    </comment>
    <comment ref="AI1999" authorId="7" shapeId="0" xr:uid="{00000000-0006-0000-0100-000026040000}">
      <text>
        <r>
          <rPr>
            <sz val="9"/>
            <color indexed="81"/>
            <rFont val="Tahoma"/>
            <family val="2"/>
          </rPr>
          <t>Mery Estela Saldaña Reyes:</t>
        </r>
        <r>
          <rPr>
            <b/>
            <i/>
            <sz val="9"/>
            <color indexed="81"/>
            <rFont val="Tahoma"/>
            <family val="2"/>
          </rPr>
          <t xml:space="preserve">
MARCA ROMERO DE FERTILIZANTES
</t>
        </r>
      </text>
    </comment>
    <comment ref="AC2000" authorId="13" shapeId="0" xr:uid="{78FBA5BA-66F4-475D-A02E-0BB3D7354CF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PRECIO REFERENCIAL AL MES DE MAYO</t>
      </text>
    </comment>
    <comment ref="AC2001" authorId="14" shapeId="0" xr:uid="{1DB97F29-D67A-4D39-A0DE-023C46609D2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PRECIO REFERENCIAL AL MES DE MAYO</t>
      </text>
    </comment>
    <comment ref="AC2010" authorId="15" shapeId="0" xr:uid="{EB80458E-4D61-48BE-91B2-4A3611354FD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PRECIO REFERENCIAL AL MES DE MAYO</t>
      </text>
    </comment>
    <comment ref="AC2012" authorId="16" shapeId="0" xr:uid="{1A26118B-CB0E-403D-A6DE-E835E493AA8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PRECIO REFERENCIAL AL MES DE MAYO</t>
      </text>
    </comment>
    <comment ref="AC2013" authorId="17" shapeId="0" xr:uid="{4217B472-F2CB-43D4-8CC0-837B0630F06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PRECIO REFERENCIAL AL MES DE ABRIL</t>
      </text>
    </comment>
    <comment ref="AC2014" authorId="18" shapeId="0" xr:uid="{E62B7A27-70EC-4DE5-B1CC-3AFEB27AEF2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PRECIO REFERENCIAL AL MES DE ABRIL</t>
      </text>
    </comment>
    <comment ref="T2030" authorId="0" shapeId="0" xr:uid="{9D31441E-7B8F-4110-820A-4FB518C942E4}">
      <text>
        <r>
          <rPr>
            <sz val="9"/>
            <color indexed="81"/>
            <rFont val="Tahoma"/>
            <family val="2"/>
          </rPr>
          <t xml:space="preserve">CAD FISICO
</t>
        </r>
      </text>
    </comment>
    <comment ref="AB2030" authorId="7" shapeId="0" xr:uid="{4D40E2ED-BC39-4EE2-818D-BE563B237349}">
      <text>
        <r>
          <rPr>
            <b/>
            <sz val="9"/>
            <color indexed="81"/>
            <rFont val="Tahoma"/>
            <family val="2"/>
          </rPr>
          <t>30 BB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I2030" authorId="0" shapeId="0" xr:uid="{8AEE7296-2468-4979-933C-6C6794A35CF1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VALUCID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Alejandra Rojas Valderrama</author>
  </authors>
  <commentList>
    <comment ref="I2" authorId="0" shapeId="0" xr:uid="{00000000-0006-0000-0400-000001000000}">
      <text>
        <r>
          <rPr>
            <sz val="9"/>
            <color indexed="81"/>
            <rFont val="Tahoma"/>
            <family val="2"/>
          </rPr>
          <t>Alejandra Rojas Valderrama:</t>
        </r>
        <r>
          <rPr>
            <b/>
            <i/>
            <sz val="9"/>
            <color indexed="81"/>
            <rFont val="Tahoma"/>
            <family val="2"/>
          </rPr>
          <t xml:space="preserve">
ADELANTO
</t>
        </r>
      </text>
    </comment>
  </commentList>
</comments>
</file>

<file path=xl/sharedStrings.xml><?xml version="1.0" encoding="utf-8"?>
<sst xmlns="http://schemas.openxmlformats.org/spreadsheetml/2006/main" count="49795" uniqueCount="8114">
  <si>
    <t>ACTAGRO</t>
  </si>
  <si>
    <t>SC</t>
  </si>
  <si>
    <t>ÁCIDO FOSFÓRICO</t>
  </si>
  <si>
    <t>PENDIENTE</t>
  </si>
  <si>
    <t>PREPAGO</t>
  </si>
  <si>
    <t>Contenedor 20'</t>
  </si>
  <si>
    <t>1 kg</t>
  </si>
  <si>
    <t>EXW</t>
  </si>
  <si>
    <t>AMBERES / BELGICA</t>
  </si>
  <si>
    <t>PAITA</t>
  </si>
  <si>
    <t>DIFERIDO</t>
  </si>
  <si>
    <t>VERDE</t>
  </si>
  <si>
    <t>AIR CANADA</t>
  </si>
  <si>
    <t>COMPLETO</t>
  </si>
  <si>
    <t>MSC</t>
  </si>
  <si>
    <t>AGRIFERT</t>
  </si>
  <si>
    <t>AR</t>
  </si>
  <si>
    <t>ÁCIDO FÚLVICO EN POLVO X25KG</t>
  </si>
  <si>
    <t>EN TRÁNSITO</t>
  </si>
  <si>
    <t>CAD</t>
  </si>
  <si>
    <t>CANCELADO</t>
  </si>
  <si>
    <t>Contenedor 40'</t>
  </si>
  <si>
    <t>20 kg</t>
  </si>
  <si>
    <t>FCA</t>
  </si>
  <si>
    <t>ALEXANDRIA EL DEKHEILA / EGIPTO</t>
  </si>
  <si>
    <t>SALAVERRY</t>
  </si>
  <si>
    <t>SADA PL</t>
  </si>
  <si>
    <t>NARANJA</t>
  </si>
  <si>
    <t>APL</t>
  </si>
  <si>
    <t>HAPAG LLOYD</t>
  </si>
  <si>
    <t>ACF MINERA</t>
  </si>
  <si>
    <t>AGROCOTE 38-3-3</t>
  </si>
  <si>
    <t>EN DESPACHO</t>
  </si>
  <si>
    <t>Camión</t>
  </si>
  <si>
    <t>25 kg</t>
  </si>
  <si>
    <t>FAS</t>
  </si>
  <si>
    <t>ANTOFAGASTA / CHILE</t>
  </si>
  <si>
    <t>CALLAO</t>
  </si>
  <si>
    <t>SADA DD</t>
  </si>
  <si>
    <t>ROJO</t>
  </si>
  <si>
    <t>CCNI</t>
  </si>
  <si>
    <t>HAMBURG SUD</t>
  </si>
  <si>
    <t>ANAGRA</t>
  </si>
  <si>
    <t>ADENTU 50 SG X 100 GR</t>
  </si>
  <si>
    <t>S</t>
  </si>
  <si>
    <t>EN DESCARGA</t>
  </si>
  <si>
    <t>Granel</t>
  </si>
  <si>
    <t>50 kg</t>
  </si>
  <si>
    <t>FOB</t>
  </si>
  <si>
    <t>AQABA / JORDANIA</t>
  </si>
  <si>
    <t>PISCO</t>
  </si>
  <si>
    <t>URGENTE</t>
  </si>
  <si>
    <t>*CHARTER*</t>
  </si>
  <si>
    <t>EVERGREEN LINE</t>
  </si>
  <si>
    <t>ANTALIEN</t>
  </si>
  <si>
    <t>ANTAZIMA 500 SC X 1 LT</t>
  </si>
  <si>
    <t>SUCAMEC</t>
  </si>
  <si>
    <t>FERT.</t>
  </si>
  <si>
    <t>Granel - BB</t>
  </si>
  <si>
    <t>50 Lb</t>
  </si>
  <si>
    <t>CFR</t>
  </si>
  <si>
    <t>ARICA / CHILE</t>
  </si>
  <si>
    <t>MATARANI</t>
  </si>
  <si>
    <t>ANTICIPADO</t>
  </si>
  <si>
    <t>CMA CGM</t>
  </si>
  <si>
    <t>MAERSK LINE</t>
  </si>
  <si>
    <t>AMEROPA</t>
  </si>
  <si>
    <t>ANTHODIM 120 EC X 1 LT</t>
  </si>
  <si>
    <t>PDT INGR OC</t>
  </si>
  <si>
    <t>MAQ.</t>
  </si>
  <si>
    <t>Cnt '20- BB</t>
  </si>
  <si>
    <t>Bigbag</t>
  </si>
  <si>
    <t>CPT</t>
  </si>
  <si>
    <t>ARZEW / ARGELIA</t>
  </si>
  <si>
    <t>COSCO</t>
  </si>
  <si>
    <t>AMEROPA (ZINSA)</t>
  </si>
  <si>
    <t>ANTAMETRINA X 1 LT</t>
  </si>
  <si>
    <t>TERMINADO</t>
  </si>
  <si>
    <t>RT-EQUI</t>
  </si>
  <si>
    <t>Cnt '40- BB</t>
  </si>
  <si>
    <t>Bidones 35kg</t>
  </si>
  <si>
    <t>CIF</t>
  </si>
  <si>
    <t>ASDOD / ISRAEL</t>
  </si>
  <si>
    <t>CHINA SHIPPING  CONTAINER LINE</t>
  </si>
  <si>
    <t>BLUELAND</t>
  </si>
  <si>
    <t>ANTAMETRINA X 250 ML</t>
  </si>
  <si>
    <t>Bidones 50kg</t>
  </si>
  <si>
    <t>CIP</t>
  </si>
  <si>
    <t>BALBOA / PANAMA</t>
  </si>
  <si>
    <t>DANMAR LINES</t>
  </si>
  <si>
    <t>CANPOTEX</t>
  </si>
  <si>
    <t>BROWN AGRONYL CR X 20KG</t>
  </si>
  <si>
    <t>REEMPLAZADO</t>
  </si>
  <si>
    <t>Granel Líquido</t>
  </si>
  <si>
    <t>DAT</t>
  </si>
  <si>
    <t>BAYUQUAN / CHINA</t>
  </si>
  <si>
    <t>EMPYREAN LINE</t>
  </si>
  <si>
    <t>CERES PERÚ</t>
  </si>
  <si>
    <t>CLORURO DE POTASIO BLANCO ESTANDAR</t>
  </si>
  <si>
    <t>DEPÓSITO</t>
  </si>
  <si>
    <t>Granel Sólido</t>
  </si>
  <si>
    <t>DAP</t>
  </si>
  <si>
    <t>BARCELONA / ESPAÑA</t>
  </si>
  <si>
    <t>CHANGSHA GREEN MOUNTAIN CHEMICAL CO</t>
  </si>
  <si>
    <t>CLORURO DE POTASIO ROJO GRANULAR</t>
  </si>
  <si>
    <t>NACIONALIZADO</t>
  </si>
  <si>
    <t>IBC</t>
  </si>
  <si>
    <t>DDP</t>
  </si>
  <si>
    <t>BUSAN / KOREA</t>
  </si>
  <si>
    <t>GEARBULK</t>
  </si>
  <si>
    <t>CHENGDU ROCCA CO.,LTD</t>
  </si>
  <si>
    <t>CR - MAG BIGBAG</t>
  </si>
  <si>
    <t>LTS</t>
  </si>
  <si>
    <t>CALIFORNIA / USA</t>
  </si>
  <si>
    <t>G2 OCEAN</t>
  </si>
  <si>
    <t>COMPASS MINERALS</t>
  </si>
  <si>
    <t>CR - MAG X 25KG</t>
  </si>
  <si>
    <t>NO APLICA</t>
  </si>
  <si>
    <t>días BL</t>
  </si>
  <si>
    <t>1L</t>
  </si>
  <si>
    <t>DURANIT DURASOP X 1TM</t>
  </si>
  <si>
    <t>5L</t>
  </si>
  <si>
    <t>DISAN (KEYTRADE)</t>
  </si>
  <si>
    <t>EVOLHUMIC- DRIP X 10LT</t>
  </si>
  <si>
    <t>REALIZADO</t>
  </si>
  <si>
    <t>días ETA</t>
  </si>
  <si>
    <t>20L</t>
  </si>
  <si>
    <t>CHARLESTON / USA</t>
  </si>
  <si>
    <t>HANSEÁTICA (AG.C)</t>
  </si>
  <si>
    <t>DOYLE EQUIPMENT MANUFACTURING CO</t>
  </si>
  <si>
    <t>EVOLHUMIC- DRIP X 210LT</t>
  </si>
  <si>
    <t>días FACT.</t>
  </si>
  <si>
    <t>CHIWAN / CHINA</t>
  </si>
  <si>
    <t>DREYMOOR</t>
  </si>
  <si>
    <t>EVOLHUMIC- DRIP X 20LT</t>
  </si>
  <si>
    <t>CHONGQING / CHINA</t>
  </si>
  <si>
    <t>EVA-FERT AG</t>
  </si>
  <si>
    <t>EVOLHUMIC- DRIP X 20LT (MUESTRA)</t>
  </si>
  <si>
    <t>SWB</t>
  </si>
  <si>
    <t>DALIAN / CHINA</t>
  </si>
  <si>
    <t>HELVETIA CONTAINER LINE</t>
  </si>
  <si>
    <t>ENTRO CO</t>
  </si>
  <si>
    <t>FOSFATO DIAMÓNICO GRANULAR</t>
  </si>
  <si>
    <t>ORIGEN</t>
  </si>
  <si>
    <t>ESTAMBUL / TURQUÍA</t>
  </si>
  <si>
    <t>HYUNDAI</t>
  </si>
  <si>
    <t>EVERRIS INTERNATIONAL B.V.</t>
  </si>
  <si>
    <t>FOSFATO MONOAMÓNICO GRANULAR</t>
  </si>
  <si>
    <t>DESTINO</t>
  </si>
  <si>
    <t>FANGCHENG / CHINA</t>
  </si>
  <si>
    <t>K-LINE</t>
  </si>
  <si>
    <t xml:space="preserve">EXPAN CHEMICALS NV </t>
  </si>
  <si>
    <t>FOSFATO MONOAMÓNICO CRISTALIZADO</t>
  </si>
  <si>
    <t>GDYNIA / POLONIA</t>
  </si>
  <si>
    <t>FERTILIZERS &amp; CHEMICALS LTD.</t>
  </si>
  <si>
    <t>FOSFATO MONOAMÓNICO CRISTALIZADO (NOVAMAP)</t>
  </si>
  <si>
    <t>EN RECLAMO</t>
  </si>
  <si>
    <t>HAIFA / ISRAEL</t>
  </si>
  <si>
    <t>MOL</t>
  </si>
  <si>
    <t xml:space="preserve">FERTINAGRO BIOTECH, S.L.        </t>
  </si>
  <si>
    <t>FOSFATO MONOPOTASICO (MKP) X BIGBAG</t>
  </si>
  <si>
    <t>RECONOCIDO</t>
  </si>
  <si>
    <t>HAMBURGO / ALEMANIA</t>
  </si>
  <si>
    <t>GAVILON</t>
  </si>
  <si>
    <t>FOSFATO MONOPOTASICO (MKP) X 25KG</t>
  </si>
  <si>
    <t>HELSINGBORG / SUECIA</t>
  </si>
  <si>
    <t>MSK</t>
  </si>
  <si>
    <t>GAVILON FERTILIZER LLC</t>
  </si>
  <si>
    <t>FITHOPLAY 200 SC X 1 LT</t>
  </si>
  <si>
    <t>HONG KONG / CHINA</t>
  </si>
  <si>
    <t>NYK LINE</t>
  </si>
  <si>
    <t>GLOBAL MARKET FERTILIZER AG</t>
  </si>
  <si>
    <t>FITHOPLAY 200 SC X 250 ML</t>
  </si>
  <si>
    <t>HUANGPU / CHINA</t>
  </si>
  <si>
    <t>ONE</t>
  </si>
  <si>
    <t xml:space="preserve">HELIOPOTASSE SA  </t>
  </si>
  <si>
    <t>IPROL 500 WP X 200 GR</t>
  </si>
  <si>
    <t>HUNAN / CHINA</t>
  </si>
  <si>
    <t>PACIFIC INTERNATIONAL LINES</t>
  </si>
  <si>
    <t>HELMAG</t>
  </si>
  <si>
    <t>KALKUS 250 WG X 100 GR</t>
  </si>
  <si>
    <t>IQUIQUE / CHILE</t>
  </si>
  <si>
    <t>QIYUAN LOGISTICS</t>
  </si>
  <si>
    <t>ICL EUROPE COOPERATIEF U.A.</t>
  </si>
  <si>
    <t>KICKUP X 10LT (MUESTRA)</t>
  </si>
  <si>
    <t>JAKARTA / INDONESIA</t>
  </si>
  <si>
    <t>SEA FAIR (AG.C)</t>
  </si>
  <si>
    <t>ICL PREMIUM FERTILIZERS</t>
  </si>
  <si>
    <t>KICKUP X 10LT</t>
  </si>
  <si>
    <t>JINGZHOU / CHINA</t>
  </si>
  <si>
    <t>SEALAND</t>
  </si>
  <si>
    <t>IDAI NATURE</t>
  </si>
  <si>
    <t>MEZCLADORA</t>
  </si>
  <si>
    <t>KAOHSIUNG / TAIWAN</t>
  </si>
  <si>
    <t>SEA SHIPPING LINE</t>
  </si>
  <si>
    <t>INDAGRO</t>
  </si>
  <si>
    <t>MICROELEMENTO SFERA 1 A GRANEL</t>
  </si>
  <si>
    <t>KEELUNG / TAIWAN</t>
  </si>
  <si>
    <t>VICTORIA LINE CHILE LIMITADA</t>
  </si>
  <si>
    <t>JM FERTILIZER</t>
  </si>
  <si>
    <t>MICROELEMENTO SFERA 1 - 50KG</t>
  </si>
  <si>
    <t>KLAIPEDA / LITUANIA</t>
  </si>
  <si>
    <t>YAN MING</t>
  </si>
  <si>
    <t xml:space="preserve">K+S ASIA PACIFIC PTE LTD                        </t>
  </si>
  <si>
    <t>MICROELEMENTO SFERA 4 A GRANEL</t>
  </si>
  <si>
    <t>KOTKA / FINLANDIA</t>
  </si>
  <si>
    <t>WAN HAI</t>
  </si>
  <si>
    <t xml:space="preserve">K+S KALI GMBH </t>
  </si>
  <si>
    <t>MICROELEMENTO SFERA 4 - 50KG</t>
  </si>
  <si>
    <t>LAIZHOU / CHINA</t>
  </si>
  <si>
    <t>K+S Minerals and Agriculture GmbH</t>
  </si>
  <si>
    <t>MICROELEMENTO SFERA 5 A GRANEL</t>
  </si>
  <si>
    <t>LA SPEZIA / ITALIA</t>
  </si>
  <si>
    <t>KEYTRADE</t>
  </si>
  <si>
    <t>MICROELEMENTO SFERA B32 A GRANEL</t>
  </si>
  <si>
    <t>LAZARO CARDENAS, MEXICO</t>
  </si>
  <si>
    <t>KIRNS</t>
  </si>
  <si>
    <t>MICROELEMENTO SFERA S2 X 50 KG</t>
  </si>
  <si>
    <t>LIANYUNGANG / CHINA</t>
  </si>
  <si>
    <t>LUENGO COLOR, SLU</t>
  </si>
  <si>
    <t>MICROELEMENTO SFERA STI (BIG BAG)</t>
  </si>
  <si>
    <t>LOS ANGELES / USA</t>
  </si>
  <si>
    <t>MANTTRA AMERICAS</t>
  </si>
  <si>
    <t>MICROELEMENTO SFERA Z20 X 20KG</t>
  </si>
  <si>
    <t>MARION / USA</t>
  </si>
  <si>
    <t>MANUCHAR NV</t>
  </si>
  <si>
    <t>NITRATO DE AMONIO</t>
  </si>
  <si>
    <t>MOSAIC / USA</t>
  </si>
  <si>
    <t>MEKATRADE ASIA PTE LTD</t>
  </si>
  <si>
    <t>NITRATO DE CALCIO</t>
  </si>
  <si>
    <t>NANJING / CHINA</t>
  </si>
  <si>
    <t>MITSUI &amp; CO., Ltda</t>
  </si>
  <si>
    <t>NITRATO DE CALCIO PREMIUM</t>
  </si>
  <si>
    <t>NEW ORLEANS / USA</t>
  </si>
  <si>
    <t>NEW CHINA CHEMICALS CO., LTD.</t>
  </si>
  <si>
    <t>NITRATO DE CALCIO Y AMONIO</t>
  </si>
  <si>
    <t>NEW YORK / USA</t>
  </si>
  <si>
    <t>NITRON GROUP LLC</t>
  </si>
  <si>
    <t>NITRATO DE MAGNESIO HEXAHIDRATADO</t>
  </si>
  <si>
    <t>NHAVA / INDIA</t>
  </si>
  <si>
    <t>NITRON INTERNATIONAL CORPORATION</t>
  </si>
  <si>
    <t>NITRATO DE POTASIO CRISTALIZADO</t>
  </si>
  <si>
    <t>NORFOLK / USA</t>
  </si>
  <si>
    <t>NORBRIGHT INDUSTRY CO., LTD.</t>
  </si>
  <si>
    <t>NITRATO DE POTASIO CRISTALIZADO (BIG BAG)</t>
  </si>
  <si>
    <t>OREGON / USA</t>
  </si>
  <si>
    <t>NUTRECO</t>
  </si>
  <si>
    <t>NPK 15-15-15</t>
  </si>
  <si>
    <t>PUERTO ANGAMOS / CHILE</t>
  </si>
  <si>
    <t>NUTRICHEM PROCESSING LLP</t>
  </si>
  <si>
    <t>NPK 16-16-16</t>
  </si>
  <si>
    <t>PUERTO QUETZAL / PANAMÁ</t>
  </si>
  <si>
    <t>PHOSAGRO</t>
  </si>
  <si>
    <t>NPK 31-3-3</t>
  </si>
  <si>
    <t>QINZHOU / CHINA</t>
  </si>
  <si>
    <t>QUIMTIA LIMITED</t>
  </si>
  <si>
    <t xml:space="preserve">NPK 12-32-16 </t>
  </si>
  <si>
    <t>QINGDAO / CHINA</t>
  </si>
  <si>
    <t>ROTEM AMFERT NEGEV LTD (NovaPeak)</t>
  </si>
  <si>
    <t>NOVACID 12-6-28-7-CA</t>
  </si>
  <si>
    <t>QINHUANGDAO / CHINA</t>
  </si>
  <si>
    <t>SAMSUNG</t>
  </si>
  <si>
    <t>NOVACID 15-30-15</t>
  </si>
  <si>
    <t>QUETZAL/ GUATEMALA</t>
  </si>
  <si>
    <t>STAR GRACE MINING CO.,LTD</t>
  </si>
  <si>
    <t>NUTRIVANT PEAKVANT 0-49-32</t>
  </si>
  <si>
    <t>ROSARIO / ARGENTINA</t>
  </si>
  <si>
    <t>TESSENDERLO</t>
  </si>
  <si>
    <t xml:space="preserve">NUTRIVANT PLUS FRUITS 12-5-27-8 CA </t>
  </si>
  <si>
    <t>RIGA / LETONIA</t>
  </si>
  <si>
    <t>TEUTÓN</t>
  </si>
  <si>
    <t>NUTRIVANT PLUS RICE 0-46-30-MG-B</t>
  </si>
  <si>
    <t>SHANGAI / CHINA</t>
  </si>
  <si>
    <t xml:space="preserve">TGO Agriculture (USA) Inc. </t>
  </si>
  <si>
    <t>NUTRIVANT STARTER 11-36-24 + MN + FV</t>
  </si>
  <si>
    <t>SAVANHA / USA</t>
  </si>
  <si>
    <t>TIMAB</t>
  </si>
  <si>
    <t>NYIELD ADITIVO</t>
  </si>
  <si>
    <t>SAN LORENZO / ARGENTINA</t>
  </si>
  <si>
    <t xml:space="preserve">TRAMMO, INC. </t>
  </si>
  <si>
    <t>OSMOCOTE CLASSIC 19-6-12 (4M)</t>
  </si>
  <si>
    <t>ST. PETERSBURG / RUSSIA</t>
  </si>
  <si>
    <t>TOYOTA TSUSHO CORPORATION</t>
  </si>
  <si>
    <t>OSMOCOTE PLUS 15-9-12 (6M)</t>
  </si>
  <si>
    <t>TAMPA / USA</t>
  </si>
  <si>
    <t>URALKALI</t>
  </si>
  <si>
    <t>OSMOCOTE PLUS 15-9-12 (9M)</t>
  </si>
  <si>
    <t>TALLIN / ESTONIA</t>
  </si>
  <si>
    <t>URALCHEM</t>
  </si>
  <si>
    <t>OSMOCOTE PLUS 15-9-12 (4M)</t>
  </si>
  <si>
    <t>TIANJING / CHINA</t>
  </si>
  <si>
    <t>URALCHEM (MITSUI)</t>
  </si>
  <si>
    <t>OSMOCOTE CLASSIC 14-14-14 (4M)</t>
  </si>
  <si>
    <t>JINGTANG / CHINA</t>
  </si>
  <si>
    <t>PHOSAGRO (MITSUI)</t>
  </si>
  <si>
    <t>PEKACID</t>
  </si>
  <si>
    <t>UST-LUGA / RUSIA</t>
  </si>
  <si>
    <t>WEGROW AG</t>
  </si>
  <si>
    <t>POLISULFATO GRANULADO</t>
  </si>
  <si>
    <t>VALENCIA / ESPAÑA</t>
  </si>
  <si>
    <t>WITTRACO DÜNGEMITTEL GmbH</t>
  </si>
  <si>
    <t>POLISULFATO ESTÁNDAR</t>
  </si>
  <si>
    <t>VERACRUZ / MEXICO</t>
  </si>
  <si>
    <t>YARA PERÚ SRL</t>
  </si>
  <si>
    <t>POTASHPLUS A GRANEL</t>
  </si>
  <si>
    <t>WUHAN / CHINA</t>
  </si>
  <si>
    <t>NITRON GROUP CORPORATION</t>
  </si>
  <si>
    <t>PYRIPOD 400 SC X 200 ML</t>
  </si>
  <si>
    <t>XIAMEN / CHINA</t>
  </si>
  <si>
    <t>PPC ADOB Sp. z o.o. Sp. K.</t>
  </si>
  <si>
    <t>MICROMAX FE HBED X 1KG</t>
  </si>
  <si>
    <t>XINGANG / CHINA</t>
  </si>
  <si>
    <t>MICROMAX ZN EDTA X 1KG</t>
  </si>
  <si>
    <t>YUZHNY / UCRANIA</t>
  </si>
  <si>
    <t>MICROMAX MN EDTA X 1KG</t>
  </si>
  <si>
    <t>YANGZHONG / CHINA</t>
  </si>
  <si>
    <t>SAL DOBLE DE NITRATO DE CALCIO Y AMONIO</t>
  </si>
  <si>
    <t>YANTAI / CHINA</t>
  </si>
  <si>
    <t>SINOMECTINA 18EC X 1 LT</t>
  </si>
  <si>
    <t>YICHANG / CHINA</t>
  </si>
  <si>
    <t>SINOMECTINA 18EC X 250 ML</t>
  </si>
  <si>
    <t>ZHENJIANG/CHINA</t>
  </si>
  <si>
    <t>SINODIFE 250 EC X 1 LT</t>
  </si>
  <si>
    <t>ZHANGJIANG / CHINA</t>
  </si>
  <si>
    <t>SINOCLOPRID 350 SC X 1 LT</t>
  </si>
  <si>
    <t>SINOCLOPRID 350 SC X 250 ML</t>
  </si>
  <si>
    <t>SINOCLOPRID 350 SC X 200 LTS</t>
  </si>
  <si>
    <t>SINOFENURON 50 EC X 1 LT</t>
  </si>
  <si>
    <t>SINOCONAZOLE 250 EW X 1 LT</t>
  </si>
  <si>
    <t>SINOFENURON 50 EC X 250 ML</t>
  </si>
  <si>
    <t>SULFATO DE AMONIO BEIGE ESTÁNDAR</t>
  </si>
  <si>
    <t>SULFATO DE AMONIO BLANCO ESTÁNDAR</t>
  </si>
  <si>
    <t>SULFATO DE AMONIO BLANCO GRANULAR</t>
  </si>
  <si>
    <t>SULFATO DE AMONIO MARRÓN ESTÁNDAR</t>
  </si>
  <si>
    <t>SULFATO DE COBRE PENTAHIDRATADO</t>
  </si>
  <si>
    <t xml:space="preserve">SULFATO DE MAGNESIO HEPTAHIDRATADO </t>
  </si>
  <si>
    <t>SULFATO DE MAGNESIO HEPTAHIDRATADO ORG X 25KG - EPSOTOP</t>
  </si>
  <si>
    <t>SULFATO DE MAGNESIO MONOHIDRATADO GRANULAR (KIESERITA)</t>
  </si>
  <si>
    <t>SULFATO DE POTASIO GRANULAR - FO PREMIUM</t>
  </si>
  <si>
    <t>SULFATO DE POTASIO GRANULAR</t>
  </si>
  <si>
    <t>SULFATO DE POTASIO SOLUBLE</t>
  </si>
  <si>
    <t>SULFATO DE POTASIO SOLUBLE ORG X 25KG - HORTISUL</t>
  </si>
  <si>
    <t>SULFATO DE POTASIO SOLUBLE - SOLUSOP52</t>
  </si>
  <si>
    <t>SULFATO DE ZINC HEPTAHIDRATADO</t>
  </si>
  <si>
    <t>SULFATO FERROSO HEPTAHIDRATADO</t>
  </si>
  <si>
    <t>SUPERFOSFATO TRIPLE – TSP X 50KG</t>
  </si>
  <si>
    <t>SUPERFOSFATO TRIPLE – TSP X BIGBAG</t>
  </si>
  <si>
    <t>STRUCTURE X 10LT (MUESTRA)</t>
  </si>
  <si>
    <t>TIOSULFATO DE POTASIO</t>
  </si>
  <si>
    <t>TIOSULFATO DE AMONIO</t>
  </si>
  <si>
    <t>TIOSULFATO DE CALCIO</t>
  </si>
  <si>
    <t>UREA ADBLUE (BIG BAG)</t>
  </si>
  <si>
    <t>UREA FOSFATADA X 25KG</t>
  </si>
  <si>
    <t>UREA GRANULADA</t>
  </si>
  <si>
    <t>UREA PERLADA</t>
  </si>
  <si>
    <t>UREA NITRATO DE AMONIO SOLUCIÓN ACUOSA</t>
  </si>
  <si>
    <t>WENTUN 500 WG X 100GR</t>
  </si>
  <si>
    <t>SULFATO DE AMONIO ESTÁNDAR</t>
  </si>
  <si>
    <t xml:space="preserve">SUPERFOSFATO TRIPLE – TSP </t>
  </si>
  <si>
    <t>NATURDAI MIMETIC X 1L</t>
  </si>
  <si>
    <t>NATURDAI MIMETIC X 5L</t>
  </si>
  <si>
    <t>BIPOCLEAN X 25KG</t>
  </si>
  <si>
    <t>BIPOCLEAN X 5KG</t>
  </si>
  <si>
    <t>IDAI BROTAVERD X 1 LT</t>
  </si>
  <si>
    <t>IDAI COBRE X 1 LT</t>
  </si>
  <si>
    <t>IDAI COBRE X 20 LT</t>
  </si>
  <si>
    <t>NATURDAI S-SYSTEM X 1 LT</t>
  </si>
  <si>
    <t>VEGEX FOS SOAP X 1L</t>
  </si>
  <si>
    <t>VEGEX FOS SOAP X 5L</t>
  </si>
  <si>
    <t>VEGEX CRISOIL X 1L</t>
  </si>
  <si>
    <t>VEGEX CRISOIL X 20L</t>
  </si>
  <si>
    <t>VEGEX KUNEKA PLUS X 1L</t>
  </si>
  <si>
    <t>VEGEX KUNEKA PLUS X 5L</t>
  </si>
  <si>
    <t>VEGEX KUNEKA PLUS X 20L</t>
  </si>
  <si>
    <t>VEGEX SOILNET X 1L</t>
  </si>
  <si>
    <t>VEGEX PROTOIL X 1L</t>
  </si>
  <si>
    <t>VALUCID PK</t>
  </si>
  <si>
    <t>FOSFATO MONOAMÓNICO CRISTALIZADO (MX)</t>
  </si>
  <si>
    <t>WOLFTRAX (MUESTRA)</t>
  </si>
  <si>
    <t>YARAMILA HYDRAN</t>
  </si>
  <si>
    <t>YARAMILA INTEGRADOR NPK 15-09-20</t>
  </si>
  <si>
    <t>YARAMILA COMPLEX</t>
  </si>
  <si>
    <t>YARALIVA CALCINIT X BIGBAG</t>
  </si>
  <si>
    <t>YARATERA CALCINIT X 25KG</t>
  </si>
  <si>
    <t>YARALIVA CALCINIT X 25KG</t>
  </si>
  <si>
    <t>YARATERA REXOLIN X60 X5KG</t>
  </si>
  <si>
    <t>YARALIVA NITRABOR A GRANEL</t>
  </si>
  <si>
    <t>NITRATO DE POTASIO CRISTALIZADO ÁCIDO X25KG</t>
  </si>
  <si>
    <t>ZINCODUR 25/17 BIGBAGS X1000KG</t>
  </si>
  <si>
    <t>YARABELA NITROMAG X50KG</t>
  </si>
  <si>
    <t>YARAMILA KABAL PLUS NPK 10-30-10 X50KG</t>
  </si>
  <si>
    <t>YARAMILA TRISTAR NKP 15-15-15 X50KG</t>
  </si>
  <si>
    <t>YARAMILA KABAL NPK 10-20-20 X 50KG</t>
  </si>
  <si>
    <t>YARATERA REXOLIN ZN X 5KG</t>
  </si>
  <si>
    <t>SACO YARATERA CALCINIT X 25KG</t>
  </si>
  <si>
    <t>BOLSA YARAMILA TRISTAR X 50KG</t>
  </si>
  <si>
    <t>BOLSA YARAMILA KABAL X 50KG</t>
  </si>
  <si>
    <t>BOLSA YARAMILA KABAL PLUS X 50KG</t>
  </si>
  <si>
    <t>YARALIVA NITRABOR X25 KG</t>
  </si>
  <si>
    <t>O</t>
  </si>
  <si>
    <t>YARATERA REXOLIN CXK X5KG</t>
  </si>
  <si>
    <t>T</t>
  </si>
  <si>
    <t>YARATERA REXOLIN MN13 X5KG</t>
  </si>
  <si>
    <t>YARATERA REXOLIN Q48 X5KG</t>
  </si>
  <si>
    <t>YARAVITA MAGTRAC X 10L</t>
  </si>
  <si>
    <t xml:space="preserve">YARAVITA ZINTRAC </t>
  </si>
  <si>
    <t>C-BIO CPS X 10 LT</t>
  </si>
  <si>
    <t>B</t>
  </si>
  <si>
    <t>AÑO CONTRATO</t>
  </si>
  <si>
    <t>FAMILIA-TIPO</t>
  </si>
  <si>
    <t>ESTATUS 1</t>
  </si>
  <si>
    <t>ESTATUS 2</t>
  </si>
  <si>
    <t>CRITICIDAD</t>
  </si>
  <si>
    <t>REF. COMEX</t>
  </si>
  <si>
    <t>SOLPED</t>
  </si>
  <si>
    <t>OC</t>
  </si>
  <si>
    <t>ESTATUS OC</t>
  </si>
  <si>
    <t>FCH. PROVISION OC</t>
  </si>
  <si>
    <t xml:space="preserve">FCH. INGRESO OC </t>
  </si>
  <si>
    <t>CODIGO</t>
  </si>
  <si>
    <t>PARETO</t>
  </si>
  <si>
    <t>PRODUCTO</t>
  </si>
  <si>
    <t>PROVEEDOR</t>
  </si>
  <si>
    <t>CONTRATO</t>
  </si>
  <si>
    <t>FECHA DE CONTRATO</t>
  </si>
  <si>
    <t>COND. PAGO</t>
  </si>
  <si>
    <t>PLAZO PAGO</t>
  </si>
  <si>
    <t>FACTURA</t>
  </si>
  <si>
    <t>ESTADO DE PAGO FACT.</t>
  </si>
  <si>
    <t>INCOTERM</t>
  </si>
  <si>
    <t>TERMINO CFR</t>
  </si>
  <si>
    <t>CANTIDAD TM</t>
  </si>
  <si>
    <t>USD x TM</t>
  </si>
  <si>
    <t>FLETE X TM</t>
  </si>
  <si>
    <t>TOTAL USD</t>
  </si>
  <si>
    <t>CNT</t>
  </si>
  <si>
    <t>TIPO DE CARGA 1</t>
  </si>
  <si>
    <t>TIPO DE CARGA 2</t>
  </si>
  <si>
    <t>PRESENTACIÓN</t>
  </si>
  <si>
    <t>PESO DE BIG BAG TM</t>
  </si>
  <si>
    <t>MARCA</t>
  </si>
  <si>
    <t>MES EMBARQUE PROGRAMADO</t>
  </si>
  <si>
    <t>BLS</t>
  </si>
  <si>
    <t>FECHA B/L</t>
  </si>
  <si>
    <t>PTO ORIGEN</t>
  </si>
  <si>
    <t>PAIS ORIGEN</t>
  </si>
  <si>
    <t>NAVE ORIGEN</t>
  </si>
  <si>
    <t>NAVE DESTINO</t>
  </si>
  <si>
    <t>NAVIERA</t>
  </si>
  <si>
    <t>TERMINAL MARITIMO</t>
  </si>
  <si>
    <t>AGENTE MARITIMO</t>
  </si>
  <si>
    <t>ALMACÉN DESTINO</t>
  </si>
  <si>
    <t>DIRECCIONAMIENTO</t>
  </si>
  <si>
    <t>EMISIÓN DE BL</t>
  </si>
  <si>
    <t>ETD INICIAL</t>
  </si>
  <si>
    <t>ETD FINAL</t>
  </si>
  <si>
    <t>ETA INICIAL</t>
  </si>
  <si>
    <t>ETA FINAL</t>
  </si>
  <si>
    <t>INGRESO ALM ESTIMADO</t>
  </si>
  <si>
    <t>FCH. INICIO INGRESO ALM</t>
  </si>
  <si>
    <t>FCH. FIN INGRESO ALM</t>
  </si>
  <si>
    <t>MES INGRESO ALM</t>
  </si>
  <si>
    <t>AÑO INGRESO ALM</t>
  </si>
  <si>
    <t xml:space="preserve">PTO LLEGADA </t>
  </si>
  <si>
    <t>NRO. MANIFIESTO</t>
  </si>
  <si>
    <t>FCH. TERM. DESCARGA MN</t>
  </si>
  <si>
    <t>FCH. VB</t>
  </si>
  <si>
    <t>N° DAM</t>
  </si>
  <si>
    <t>FCH. DAM</t>
  </si>
  <si>
    <t>TIPO DESPACHO</t>
  </si>
  <si>
    <t>CANAL</t>
  </si>
  <si>
    <t>FCH. LEVANTE DAM</t>
  </si>
  <si>
    <t>RATIO DESCARGA ALM. REF</t>
  </si>
  <si>
    <t>DOCS ENTREGADOS</t>
  </si>
  <si>
    <t>LICENCIA ANUAL SUCAMEC / IQBF</t>
  </si>
  <si>
    <t>NRO. EXP. IMPO
SUCAMEC / IQBF</t>
  </si>
  <si>
    <t>SUCE 
SUCAMEC / IQBF</t>
  </si>
  <si>
    <t>ESTATUS SUCAMEC / IQBF</t>
  </si>
  <si>
    <t>OBSERVACIÓN</t>
  </si>
  <si>
    <t>MOTIVOS DE DEMORAS</t>
  </si>
  <si>
    <t>OBSERVACION 2</t>
  </si>
  <si>
    <t>CONSIDERAR PARA LOS KPI's</t>
  </si>
  <si>
    <t>RÉG</t>
  </si>
  <si>
    <t>CODIFICACION DESPACHO</t>
  </si>
  <si>
    <t>CONCLUIDO</t>
  </si>
  <si>
    <t>(VS)MF-009A/17</t>
  </si>
  <si>
    <t>CERRADO</t>
  </si>
  <si>
    <t>NG-SC-01065</t>
  </si>
  <si>
    <t>I-8811</t>
  </si>
  <si>
    <t>MAYO</t>
  </si>
  <si>
    <t xml:space="preserve"> x|</t>
  </si>
  <si>
    <t>MV VELVET</t>
  </si>
  <si>
    <t>(VS)MF-009B/17</t>
  </si>
  <si>
    <t>I-8812</t>
  </si>
  <si>
    <t>(VS)MF-009C/17</t>
  </si>
  <si>
    <t>I-8813</t>
  </si>
  <si>
    <t>(VS)MF-009D/17</t>
  </si>
  <si>
    <t>I-8814</t>
  </si>
  <si>
    <t>(VS)MF-009E/17</t>
  </si>
  <si>
    <t>I-8815</t>
  </si>
  <si>
    <t>12</t>
  </si>
  <si>
    <t>(VS)MF-011A/17</t>
  </si>
  <si>
    <t>INV-796-A</t>
  </si>
  <si>
    <t>ABRIL</t>
  </si>
  <si>
    <t>JPO TAURUS</t>
  </si>
  <si>
    <t>MARY V.2503E</t>
  </si>
  <si>
    <t>(VS)MF-014B/17</t>
  </si>
  <si>
    <t>707789</t>
  </si>
  <si>
    <t>HLCUTS1170439840</t>
  </si>
  <si>
    <t>TEXAS TRADER</t>
  </si>
  <si>
    <t>MAGARI</t>
  </si>
  <si>
    <t>(VS)MF-019/17</t>
  </si>
  <si>
    <t>KTS201710118.1</t>
  </si>
  <si>
    <t>KTI20170570</t>
  </si>
  <si>
    <t>MAEU960230955</t>
  </si>
  <si>
    <t xml:space="preserve">SVENDBORG MAERSK </t>
  </si>
  <si>
    <t xml:space="preserve">SEALAND LOS ANGELES </t>
  </si>
  <si>
    <t>(VS)MF-022/17</t>
  </si>
  <si>
    <t>KTS201710117.0</t>
  </si>
  <si>
    <t>KTI20170569</t>
  </si>
  <si>
    <t>MAEU960230923</t>
  </si>
  <si>
    <t>(VS)MF-023/17</t>
  </si>
  <si>
    <t>KTS201710117.1</t>
  </si>
  <si>
    <t>20170714</t>
  </si>
  <si>
    <t>HLCUTPE170437035</t>
  </si>
  <si>
    <t>APL HOUSTON</t>
  </si>
  <si>
    <t>(VS)MF-047/17</t>
  </si>
  <si>
    <t>S32730/S32568/S32727/S32567</t>
  </si>
  <si>
    <t>I33468/I33467</t>
  </si>
  <si>
    <t>MSCUWB149455</t>
  </si>
  <si>
    <t>MSC MARINA</t>
  </si>
  <si>
    <t>MSC BRANKA</t>
  </si>
  <si>
    <t>(VS)MF-048B/17</t>
  </si>
  <si>
    <t>YARA</t>
  </si>
  <si>
    <t>N/H</t>
  </si>
  <si>
    <t>14061</t>
  </si>
  <si>
    <t>MV VULLY</t>
  </si>
  <si>
    <t>(VS)MF-048C/17</t>
  </si>
  <si>
    <t>14062</t>
  </si>
  <si>
    <t>(VS)MF-048D/17</t>
  </si>
  <si>
    <t>14063</t>
  </si>
  <si>
    <t>(VS)MF-048E/17</t>
  </si>
  <si>
    <t>14064</t>
  </si>
  <si>
    <t>(VS)MF-049A/17</t>
  </si>
  <si>
    <t>S/N</t>
  </si>
  <si>
    <t>11456</t>
  </si>
  <si>
    <t>MV FEDERAL SPEY</t>
  </si>
  <si>
    <t>(VS)MF-049B/17</t>
  </si>
  <si>
    <t>11458</t>
  </si>
  <si>
    <t>(VS)MF-049C/17</t>
  </si>
  <si>
    <t>11465</t>
  </si>
  <si>
    <t>(VS)MF-049D/17</t>
  </si>
  <si>
    <t>11467</t>
  </si>
  <si>
    <t>(VS)MF-049E/17</t>
  </si>
  <si>
    <t>11468</t>
  </si>
  <si>
    <t>(VS)MF-050A/17</t>
  </si>
  <si>
    <t>11457</t>
  </si>
  <si>
    <t>(VS)MF-050B/17</t>
  </si>
  <si>
    <t>11459</t>
  </si>
  <si>
    <t>(VS)MF-050C/17</t>
  </si>
  <si>
    <t>11470</t>
  </si>
  <si>
    <t>(VS)MF-050D/17</t>
  </si>
  <si>
    <t>11464</t>
  </si>
  <si>
    <t>(VS)MF-050E/17</t>
  </si>
  <si>
    <t>11466</t>
  </si>
  <si>
    <t>(VS)MF-051/17</t>
  </si>
  <si>
    <t>5515</t>
  </si>
  <si>
    <t>INV-796-B</t>
  </si>
  <si>
    <t>KKLUBOM1700085</t>
  </si>
  <si>
    <t>MOL PACE</t>
  </si>
  <si>
    <t>(VS)MF-059A/17</t>
  </si>
  <si>
    <t>NG-SC-01554</t>
  </si>
  <si>
    <t>I-8816</t>
  </si>
  <si>
    <t>(VS)MF-059B/17</t>
  </si>
  <si>
    <t>I-8817</t>
  </si>
  <si>
    <t>(VS)MF-059C/17</t>
  </si>
  <si>
    <t>I-8818</t>
  </si>
  <si>
    <t>MF-001/17</t>
  </si>
  <si>
    <t>HLCUEUR170500688</t>
  </si>
  <si>
    <t>CALLAO EXPRESS</t>
  </si>
  <si>
    <t>HS LISZT</t>
  </si>
  <si>
    <t>MF-002/17</t>
  </si>
  <si>
    <t>JUNIO</t>
  </si>
  <si>
    <t>MSCUJL431069</t>
  </si>
  <si>
    <t>MSC CARLA</t>
  </si>
  <si>
    <t>CMA CGM MEKONG</t>
  </si>
  <si>
    <t>MF-003/17</t>
  </si>
  <si>
    <t>MSCUJL431093</t>
  </si>
  <si>
    <t>TG ATHENA</t>
  </si>
  <si>
    <t>SEALAND PHILADELPHIA</t>
  </si>
  <si>
    <t>MF-004/17</t>
  </si>
  <si>
    <t>KTS201710118.2</t>
  </si>
  <si>
    <t>MAEU960630797</t>
  </si>
  <si>
    <t>SUSAN MAERSK</t>
  </si>
  <si>
    <t>SEALAND GUAYAQUIL </t>
  </si>
  <si>
    <t>MF-005/17</t>
  </si>
  <si>
    <t>KTS201710118.3</t>
  </si>
  <si>
    <t>KTI20170837</t>
  </si>
  <si>
    <t>MAEU960987996</t>
  </si>
  <si>
    <t xml:space="preserve">JULES VERNE </t>
  </si>
  <si>
    <t>SEALAND MANZANILLO</t>
  </si>
  <si>
    <t>MF-006/17</t>
  </si>
  <si>
    <t>MF-007/17</t>
  </si>
  <si>
    <t>KTS201710422.0</t>
  </si>
  <si>
    <t>KTI20171283</t>
  </si>
  <si>
    <t>OCTUBRE</t>
  </si>
  <si>
    <t>RAC08TJ03</t>
  </si>
  <si>
    <t>TIAJIN / CHINA</t>
  </si>
  <si>
    <t>MV RUI AN CHENG</t>
  </si>
  <si>
    <t>MF-008/17</t>
  </si>
  <si>
    <t>KTS201710422.1</t>
  </si>
  <si>
    <t>MF-009/17</t>
  </si>
  <si>
    <t>KTS201710422.2</t>
  </si>
  <si>
    <t>MF-010/17</t>
  </si>
  <si>
    <t>KTS201710423</t>
  </si>
  <si>
    <t>KTI20171284</t>
  </si>
  <si>
    <t>MF-011/17</t>
  </si>
  <si>
    <t>KTS201710207</t>
  </si>
  <si>
    <t>KTI20170871</t>
  </si>
  <si>
    <t>MAEU961085873</t>
  </si>
  <si>
    <t>MSC MELATILDE</t>
  </si>
  <si>
    <t>SOROE MAERSK</t>
  </si>
  <si>
    <t>MF-012/17</t>
  </si>
  <si>
    <t>KTS201710247</t>
  </si>
  <si>
    <t>SEPTIEMBRE</t>
  </si>
  <si>
    <t>HLCUTPE170811229</t>
  </si>
  <si>
    <t>YM WREATH</t>
  </si>
  <si>
    <t>CSCL WINTER</t>
  </si>
  <si>
    <t>MF-013/17</t>
  </si>
  <si>
    <t>20171109A</t>
  </si>
  <si>
    <t>MAEU962016647</t>
  </si>
  <si>
    <t>KMARIN AQUA</t>
  </si>
  <si>
    <t xml:space="preserve">KMARIN AQUA </t>
  </si>
  <si>
    <t>MF-014/17</t>
  </si>
  <si>
    <t>KTS201710247.2</t>
  </si>
  <si>
    <t>MAEU962221976</t>
  </si>
  <si>
    <t>SALLY MAERSK</t>
  </si>
  <si>
    <t>MF-015/17</t>
  </si>
  <si>
    <t>KTS201710247.3</t>
  </si>
  <si>
    <t>20171226A</t>
  </si>
  <si>
    <t>NOVIEMBRE '17</t>
  </si>
  <si>
    <t>HLCUTPE171005205</t>
  </si>
  <si>
    <t>SHANGHAI EXPRESS</t>
  </si>
  <si>
    <t>MF-016/17</t>
  </si>
  <si>
    <t>20171226B</t>
  </si>
  <si>
    <t>HLCUTPE171028535</t>
  </si>
  <si>
    <t>CMA CGM THALASSA</t>
  </si>
  <si>
    <t>MF-017A/17</t>
  </si>
  <si>
    <t>KTS201730091</t>
  </si>
  <si>
    <t>KTI20170782</t>
  </si>
  <si>
    <t>SUDU27999A66P8G5</t>
  </si>
  <si>
    <t>CAP RICARDA</t>
  </si>
  <si>
    <t>CAP SAN TAINARO</t>
  </si>
  <si>
    <t>MF-017B/17</t>
  </si>
  <si>
    <t>KTS201730092</t>
  </si>
  <si>
    <t>KTI20170789</t>
  </si>
  <si>
    <t>SUDU27999A66P95E</t>
  </si>
  <si>
    <t>MF-018A/17</t>
  </si>
  <si>
    <t>PS-2117</t>
  </si>
  <si>
    <t>300000959</t>
  </si>
  <si>
    <t>SUDUC7ANRES1006X</t>
  </si>
  <si>
    <t xml:space="preserve">CALLAO EXPRESS </t>
  </si>
  <si>
    <t>MF-018B/17</t>
  </si>
  <si>
    <t>PS-2017</t>
  </si>
  <si>
    <t>300000960</t>
  </si>
  <si>
    <t>SUDUC7ANRES1008X</t>
  </si>
  <si>
    <t>MF-019/17</t>
  </si>
  <si>
    <t>GSSW17SHA2456A</t>
  </si>
  <si>
    <t>BULK HERO</t>
  </si>
  <si>
    <t>MF-020/17</t>
  </si>
  <si>
    <t>ROM-17020219</t>
  </si>
  <si>
    <t>JULIO</t>
  </si>
  <si>
    <t>GSSW17SHA2706A</t>
  </si>
  <si>
    <t>MV.CLARKE QUAY</t>
  </si>
  <si>
    <t>MF-021/17</t>
  </si>
  <si>
    <t>INV-830</t>
  </si>
  <si>
    <t>MSCUUB987990</t>
  </si>
  <si>
    <t>MSC SOLA</t>
  </si>
  <si>
    <t>MSC ANZU</t>
  </si>
  <si>
    <t>MF-022A/17</t>
  </si>
  <si>
    <t>SFG67368</t>
  </si>
  <si>
    <t>I393282A</t>
  </si>
  <si>
    <t>KS FLORA</t>
  </si>
  <si>
    <t>MF-022B/17</t>
  </si>
  <si>
    <t>I393282B</t>
  </si>
  <si>
    <t>MF-022C/17</t>
  </si>
  <si>
    <t>I393282C</t>
  </si>
  <si>
    <t>MF-022D/17</t>
  </si>
  <si>
    <t>I393282D</t>
  </si>
  <si>
    <t>MF-022E/17</t>
  </si>
  <si>
    <t>I393282E</t>
  </si>
  <si>
    <t>MF-023A/17</t>
  </si>
  <si>
    <t>NG-SC-01626</t>
  </si>
  <si>
    <t>I-9623</t>
  </si>
  <si>
    <t>TA001A</t>
  </si>
  <si>
    <t>MV TIZIANA</t>
  </si>
  <si>
    <t>MF-023B/17</t>
  </si>
  <si>
    <t>I-9624</t>
  </si>
  <si>
    <t>TA001B</t>
  </si>
  <si>
    <t>MF-023C/17</t>
  </si>
  <si>
    <t>I-9625</t>
  </si>
  <si>
    <t>TA001C</t>
  </si>
  <si>
    <t>MF-023D/17</t>
  </si>
  <si>
    <t>I-9626</t>
  </si>
  <si>
    <t>TA001D</t>
  </si>
  <si>
    <t>MF-024A/17</t>
  </si>
  <si>
    <t>NG-SC-01627</t>
  </si>
  <si>
    <t>I-9613</t>
  </si>
  <si>
    <t>MF-024B/17</t>
  </si>
  <si>
    <t>I-9614</t>
  </si>
  <si>
    <t>MF-024C/17</t>
  </si>
  <si>
    <t>I-9615</t>
  </si>
  <si>
    <t>MF-024D/17</t>
  </si>
  <si>
    <t>I-9616</t>
  </si>
  <si>
    <t>MF-024E/17</t>
  </si>
  <si>
    <t>I-9617</t>
  </si>
  <si>
    <t>MF-025A/17</t>
  </si>
  <si>
    <t>NG-SC-01628</t>
  </si>
  <si>
    <t>I-9618</t>
  </si>
  <si>
    <t>ASNKG01</t>
  </si>
  <si>
    <t>MF-025B/17</t>
  </si>
  <si>
    <t>I-9619</t>
  </si>
  <si>
    <t>ASNKG02</t>
  </si>
  <si>
    <t>MF-025C/17</t>
  </si>
  <si>
    <t>I-9620</t>
  </si>
  <si>
    <t>ASNKG03</t>
  </si>
  <si>
    <t>MF-025D/17</t>
  </si>
  <si>
    <t>I-9621</t>
  </si>
  <si>
    <t>ASNKG04</t>
  </si>
  <si>
    <t>MF-025E/17</t>
  </si>
  <si>
    <t>I-9622</t>
  </si>
  <si>
    <t>ASNKG05</t>
  </si>
  <si>
    <t>MF-026/17</t>
  </si>
  <si>
    <t>NG-CTR-669/017</t>
  </si>
  <si>
    <t>HLCUME3170629101</t>
  </si>
  <si>
    <t>FRISIA LISSABON</t>
  </si>
  <si>
    <t>CNP ILO</t>
  </si>
  <si>
    <t>MF-027/17</t>
  </si>
  <si>
    <t>MAEU961235173</t>
  </si>
  <si>
    <t>MAERSK BOGOR</t>
  </si>
  <si>
    <t>MF-028/17</t>
  </si>
  <si>
    <t>170526-S32614-LEP</t>
  </si>
  <si>
    <t>6SIT2017004000</t>
  </si>
  <si>
    <t>AGOSTO</t>
  </si>
  <si>
    <t>MAEU575220136</t>
  </si>
  <si>
    <t xml:space="preserve">KAITONG99 </t>
  </si>
  <si>
    <t xml:space="preserve">LUNA MAERSK </t>
  </si>
  <si>
    <t>MF-029/17</t>
  </si>
  <si>
    <t>EGLV100750212680</t>
  </si>
  <si>
    <t>ITAL MODERNA</t>
  </si>
  <si>
    <t>ARKADIA</t>
  </si>
  <si>
    <t>MF-030A/17</t>
  </si>
  <si>
    <t>KTS201710316</t>
  </si>
  <si>
    <t>KTI20170918</t>
  </si>
  <si>
    <t>SUDU27297A6I29JF</t>
  </si>
  <si>
    <t>MONTE CERVANTES</t>
  </si>
  <si>
    <t>VALPARAISO EXPRESS</t>
  </si>
  <si>
    <t>MF-030B/17</t>
  </si>
  <si>
    <t>KTS201710317</t>
  </si>
  <si>
    <t>KTI20170919</t>
  </si>
  <si>
    <t>SUDU27297A6I2RFA</t>
  </si>
  <si>
    <t>MF-031A/17</t>
  </si>
  <si>
    <t>108/17</t>
  </si>
  <si>
    <t>493/17 ZMU</t>
  </si>
  <si>
    <t>MSCURP236699</t>
  </si>
  <si>
    <t>MSC MALIN</t>
  </si>
  <si>
    <t>MF-031B/17</t>
  </si>
  <si>
    <t>494/17 ZMU</t>
  </si>
  <si>
    <t>MSCURP236665</t>
  </si>
  <si>
    <t>SEALAND LOS ANGELES</t>
  </si>
  <si>
    <t>MF-032A/17</t>
  </si>
  <si>
    <t>108/17_A04</t>
  </si>
  <si>
    <t>507/17 ZMU</t>
  </si>
  <si>
    <t>HLCURIX170910743</t>
  </si>
  <si>
    <t>EMPIRE</t>
  </si>
  <si>
    <t>MF-032B/17</t>
  </si>
  <si>
    <t>108/17_A03</t>
  </si>
  <si>
    <t>506/17 ZMU</t>
  </si>
  <si>
    <t>HLCURIX170910805</t>
  </si>
  <si>
    <t>MF-033A/17</t>
  </si>
  <si>
    <t>KTS201710366</t>
  </si>
  <si>
    <t>SUDU27297A6WQS64</t>
  </si>
  <si>
    <t>MSC ORIANE</t>
  </si>
  <si>
    <t>JPO LIBRA</t>
  </si>
  <si>
    <t>MF-033B/17</t>
  </si>
  <si>
    <t>KTS201710367</t>
  </si>
  <si>
    <t>SUDU27297A6WQKYB</t>
  </si>
  <si>
    <t>MF-034/17</t>
  </si>
  <si>
    <t>6SIT2017003999</t>
  </si>
  <si>
    <t>MAEU575220133</t>
  </si>
  <si>
    <t xml:space="preserve">SEALAND BALBOA </t>
  </si>
  <si>
    <t>MF-035/17</t>
  </si>
  <si>
    <t>SSFD170817EQ</t>
  </si>
  <si>
    <t>GSSW17SHA3020A</t>
  </si>
  <si>
    <t>BIWA ARROW</t>
  </si>
  <si>
    <t>MF-036/17</t>
  </si>
  <si>
    <t>HLCUEUR170813782</t>
  </si>
  <si>
    <t>CMA CGM NIAGARA</t>
  </si>
  <si>
    <t>MF-037/17</t>
  </si>
  <si>
    <t>MSCUKX065598</t>
  </si>
  <si>
    <t>MSC ADELAIDE</t>
  </si>
  <si>
    <t>MF-038A/17</t>
  </si>
  <si>
    <t>PS-3517</t>
  </si>
  <si>
    <t>SUDUC7ANRES1801X</t>
  </si>
  <si>
    <t>SAN CLEMENTE</t>
  </si>
  <si>
    <t>MF-038B/17</t>
  </si>
  <si>
    <t>PS-3717</t>
  </si>
  <si>
    <t>SUDUC7ANRES1803X</t>
  </si>
  <si>
    <t>MF-039A/17</t>
  </si>
  <si>
    <t>PS-3617</t>
  </si>
  <si>
    <t>SUDUC7ANRES1802X</t>
  </si>
  <si>
    <t>MF-039B/17</t>
  </si>
  <si>
    <t>PS-3817</t>
  </si>
  <si>
    <t>SUDUC7ANRES1800X</t>
  </si>
  <si>
    <t>CARTAGENA EXPRESS</t>
  </si>
  <si>
    <t>MF-040A/17</t>
  </si>
  <si>
    <t>F200-00015596</t>
  </si>
  <si>
    <t>ALINDA</t>
  </si>
  <si>
    <t>MF-040B/17</t>
  </si>
  <si>
    <t>F200-00015599</t>
  </si>
  <si>
    <t>MF-040C/17</t>
  </si>
  <si>
    <t>F200-00015598</t>
  </si>
  <si>
    <t>MF-040D/17</t>
  </si>
  <si>
    <t>F200-00015597</t>
  </si>
  <si>
    <t>MF-041A/17</t>
  </si>
  <si>
    <t>2017/320_2</t>
  </si>
  <si>
    <t>PATR-501468</t>
  </si>
  <si>
    <t>SUDU87880A2AI007</t>
  </si>
  <si>
    <t>SONDERBORG STRAIT</t>
  </si>
  <si>
    <t>MF-041B/17</t>
  </si>
  <si>
    <t>PATR-501438</t>
  </si>
  <si>
    <t>MOS0147592</t>
  </si>
  <si>
    <t xml:space="preserve">STEFAN SIBUM </t>
  </si>
  <si>
    <t>MF-042A/17</t>
  </si>
  <si>
    <t>PATR-501697</t>
  </si>
  <si>
    <t>SUDU87880A2FV009</t>
  </si>
  <si>
    <t xml:space="preserve"> KATHARINA SCHEPERS </t>
  </si>
  <si>
    <t>MF-042B/17</t>
  </si>
  <si>
    <t>PATR-501705</t>
  </si>
  <si>
    <t>MOS0147635</t>
  </si>
  <si>
    <t xml:space="preserve">A LA MARINE </t>
  </si>
  <si>
    <t>MF-043A/17</t>
  </si>
  <si>
    <t>2017/320_3</t>
  </si>
  <si>
    <t>PATR-501292</t>
  </si>
  <si>
    <t>SUDU87880A25R005</t>
  </si>
  <si>
    <t>MF-043B/17</t>
  </si>
  <si>
    <t>PATR-501391</t>
  </si>
  <si>
    <t>MOS0147428A</t>
  </si>
  <si>
    <t>VLADIMIR</t>
  </si>
  <si>
    <t>MF-044/17</t>
  </si>
  <si>
    <t>SG-MS-L-11903</t>
  </si>
  <si>
    <t>OCT-NOV '17</t>
  </si>
  <si>
    <t>MAEU962162581</t>
  </si>
  <si>
    <t>MAGLEBY MAERSK</t>
  </si>
  <si>
    <t xml:space="preserve">SEALAND MANZANILLO </t>
  </si>
  <si>
    <t>MF-045A/17</t>
  </si>
  <si>
    <t>NG CTR 716/17</t>
  </si>
  <si>
    <t>NNGT70101700</t>
  </si>
  <si>
    <t>JIN LONG</t>
  </si>
  <si>
    <t>MF-045B/17</t>
  </si>
  <si>
    <t>HLCUCA4171059931</t>
  </si>
  <si>
    <t>HUI JIN QIAO</t>
  </si>
  <si>
    <t>MF-046A/17</t>
  </si>
  <si>
    <t>PS-4417</t>
  </si>
  <si>
    <t>HLCUANR171015857</t>
  </si>
  <si>
    <t>CMA CGM TANYA</t>
  </si>
  <si>
    <t xml:space="preserve"> </t>
  </si>
  <si>
    <t>MF-046B/17</t>
  </si>
  <si>
    <t>PS-4517</t>
  </si>
  <si>
    <t>HLCUANR171024002</t>
  </si>
  <si>
    <t>GUAYAQUIL EXPRESS</t>
  </si>
  <si>
    <t>MF-047/17</t>
  </si>
  <si>
    <t>KTS201710418</t>
  </si>
  <si>
    <t>KTI20171285</t>
  </si>
  <si>
    <t>RAC08TJ04</t>
  </si>
  <si>
    <t>MF-048A/17</t>
  </si>
  <si>
    <t>SUDU77HFAES0010X</t>
  </si>
  <si>
    <t>SEASPAN JAKARTA</t>
  </si>
  <si>
    <t>MF-048B/17</t>
  </si>
  <si>
    <t>MF-048C/17</t>
  </si>
  <si>
    <t>MF-048D/17</t>
  </si>
  <si>
    <t>MF-049A/17</t>
  </si>
  <si>
    <t>MSCUOJ614186</t>
  </si>
  <si>
    <t>MF-049B/17</t>
  </si>
  <si>
    <t>HLCUHAM170990375</t>
  </si>
  <si>
    <t>CAP SAN SOUNIO</t>
  </si>
  <si>
    <t>MF-050/17</t>
  </si>
  <si>
    <t>KTS201710437</t>
  </si>
  <si>
    <t>KTI20171282</t>
  </si>
  <si>
    <t>RAC08TJ02</t>
  </si>
  <si>
    <t>MF-051A/17</t>
  </si>
  <si>
    <t>NG CTR 723/017</t>
  </si>
  <si>
    <t>HLCUME3170949215</t>
  </si>
  <si>
    <t>MF-051B/17</t>
  </si>
  <si>
    <t>SUDU27297A7NDHL2</t>
  </si>
  <si>
    <t>MONTE SARMIENTO</t>
  </si>
  <si>
    <t>MF-052A/17</t>
  </si>
  <si>
    <t>SUDU27297A7UFV9P</t>
  </si>
  <si>
    <t>MF-052B/17</t>
  </si>
  <si>
    <t>SUDU27297A7UFFP0</t>
  </si>
  <si>
    <t>MF-053A/17</t>
  </si>
  <si>
    <t>NG CTR 724/017</t>
  </si>
  <si>
    <t>SEPT-OCT</t>
  </si>
  <si>
    <t>WUAN70044500</t>
  </si>
  <si>
    <t>WU HAN CHANG HONG</t>
  </si>
  <si>
    <t>COSCO ANTWERP</t>
  </si>
  <si>
    <t>MF-053B/17</t>
  </si>
  <si>
    <t>MAEU962616590</t>
  </si>
  <si>
    <t>YUGANGJI9</t>
  </si>
  <si>
    <t>MF-054/17</t>
  </si>
  <si>
    <t>000012</t>
  </si>
  <si>
    <t>SEAUSLD621411</t>
  </si>
  <si>
    <t>MAERSK WESTPORT</t>
  </si>
  <si>
    <t>MF-055/17</t>
  </si>
  <si>
    <t>108/17_A05</t>
  </si>
  <si>
    <t>825/17 ZMU</t>
  </si>
  <si>
    <t>HLCURIX171010844</t>
  </si>
  <si>
    <t>MF-056A/17</t>
  </si>
  <si>
    <t>MF-056B/17</t>
  </si>
  <si>
    <t>108/17_A07</t>
  </si>
  <si>
    <t>827/17 ZMU 01</t>
  </si>
  <si>
    <t>DICIEMBRE</t>
  </si>
  <si>
    <t>HLCURIX171211302</t>
  </si>
  <si>
    <t>SEA TRANSPORT</t>
  </si>
  <si>
    <t>MF-057A/17</t>
  </si>
  <si>
    <t>108/17_A06</t>
  </si>
  <si>
    <t xml:space="preserve">826/17 ZMU </t>
  </si>
  <si>
    <t>HLCURIX171211313</t>
  </si>
  <si>
    <t>MF-057B/17</t>
  </si>
  <si>
    <t>827/17 ZMU 02</t>
  </si>
  <si>
    <t>HLCURIX180110307</t>
  </si>
  <si>
    <t>EMOTION</t>
  </si>
  <si>
    <t>JULIANA</t>
  </si>
  <si>
    <t>MF-058/17</t>
  </si>
  <si>
    <t>KTS201710451</t>
  </si>
  <si>
    <t>KTI20171317</t>
  </si>
  <si>
    <t>GSSW17SHA3764A</t>
  </si>
  <si>
    <t>MV TUJU ARROW</t>
  </si>
  <si>
    <t>MF-059/17</t>
  </si>
  <si>
    <t>SSFD170925EQ</t>
  </si>
  <si>
    <t>299254-01</t>
  </si>
  <si>
    <t>GSSW17SHA3553A</t>
  </si>
  <si>
    <t xml:space="preserve">TANCHOU ARROW </t>
  </si>
  <si>
    <t>MF-060/17</t>
  </si>
  <si>
    <t>-</t>
  </si>
  <si>
    <t>001-550</t>
  </si>
  <si>
    <t>2212-0464-710.013</t>
  </si>
  <si>
    <t>DIMITRIS C</t>
  </si>
  <si>
    <t>BLUE ANCHOR LINE</t>
  </si>
  <si>
    <t>MF-061A/17</t>
  </si>
  <si>
    <t>HLCUGDY180114473</t>
  </si>
  <si>
    <t>MILAN EXPRESS</t>
  </si>
  <si>
    <t>MF-061B/17</t>
  </si>
  <si>
    <t>MF-061C/17</t>
  </si>
  <si>
    <t>MF-062/17</t>
  </si>
  <si>
    <t>MSCUUG374764</t>
  </si>
  <si>
    <t>CONTI ANNAPURNA</t>
  </si>
  <si>
    <t>MF-063A/17</t>
  </si>
  <si>
    <t>KTS201710452</t>
  </si>
  <si>
    <t>MAEU962638489</t>
  </si>
  <si>
    <t>CECILIE MAERSK</t>
  </si>
  <si>
    <t xml:space="preserve">CARSTEN MAERSK </t>
  </si>
  <si>
    <t>MF-063B/17</t>
  </si>
  <si>
    <t>KTS201710453</t>
  </si>
  <si>
    <t>MAEU962449117</t>
  </si>
  <si>
    <t xml:space="preserve">CLAES MAERSK </t>
  </si>
  <si>
    <t>MF-064/17</t>
  </si>
  <si>
    <t>KTS201710476</t>
  </si>
  <si>
    <t>HLCUTPE171140293</t>
  </si>
  <si>
    <t>TIANJIN V-004E</t>
  </si>
  <si>
    <t>MF-065A/17</t>
  </si>
  <si>
    <t>F001-15937</t>
  </si>
  <si>
    <t>MV NORTHERN DANCER</t>
  </si>
  <si>
    <t>MF-065B/17</t>
  </si>
  <si>
    <t>F001-15939</t>
  </si>
  <si>
    <t>MF-065C/17</t>
  </si>
  <si>
    <t>F001-15940</t>
  </si>
  <si>
    <t>MF-065D/17</t>
  </si>
  <si>
    <t>F001-15943</t>
  </si>
  <si>
    <t>MF-065E/17</t>
  </si>
  <si>
    <t>F001-15942</t>
  </si>
  <si>
    <t>MF-066A/17</t>
  </si>
  <si>
    <t>F001-15948</t>
  </si>
  <si>
    <t>MF-066B/17</t>
  </si>
  <si>
    <t>F001-15949</t>
  </si>
  <si>
    <t>MF-066C/17</t>
  </si>
  <si>
    <t>F001-15950</t>
  </si>
  <si>
    <t>MF-066D/17</t>
  </si>
  <si>
    <t>F001-15953</t>
  </si>
  <si>
    <t>MF-066E/17</t>
  </si>
  <si>
    <t>F001-15952</t>
  </si>
  <si>
    <t>MF-067/17</t>
  </si>
  <si>
    <t>000013</t>
  </si>
  <si>
    <t>SEAUSLD633311</t>
  </si>
  <si>
    <t>MERIDIAN</t>
  </si>
  <si>
    <t>MF-068A/17</t>
  </si>
  <si>
    <t>SUDU77ASHES0078X</t>
  </si>
  <si>
    <t>SEAGO PIRAEUS</t>
  </si>
  <si>
    <t>MF-068B/17</t>
  </si>
  <si>
    <t>SUDU77999A3DV002</t>
  </si>
  <si>
    <t>SEAGO ISTANBUL</t>
  </si>
  <si>
    <t>MF-069A/17</t>
  </si>
  <si>
    <t xml:space="preserve">DICIEMBRE </t>
  </si>
  <si>
    <t>SUDU77ASHES0087X</t>
  </si>
  <si>
    <t>SEAGO FELIXSTOWE</t>
  </si>
  <si>
    <t>CMA CGM Niagara</t>
  </si>
  <si>
    <t>MF-069B/17</t>
  </si>
  <si>
    <t>SUDU77999A3GG002</t>
  </si>
  <si>
    <t>MF-070A/17</t>
  </si>
  <si>
    <t>SFG67652</t>
  </si>
  <si>
    <t>I435032A</t>
  </si>
  <si>
    <t>ZGSVA03E</t>
  </si>
  <si>
    <t>MV SUPERNOVA</t>
  </si>
  <si>
    <t>MF-070B/17</t>
  </si>
  <si>
    <t>I435032B</t>
  </si>
  <si>
    <t>ZGSVA03F</t>
  </si>
  <si>
    <t>MF-070C/17</t>
  </si>
  <si>
    <t>I435032C</t>
  </si>
  <si>
    <t>ZGSVA03A</t>
  </si>
  <si>
    <t>MF-070D/17</t>
  </si>
  <si>
    <t>I435032D</t>
  </si>
  <si>
    <t>ZGSVA03B</t>
  </si>
  <si>
    <t>MF-071/17</t>
  </si>
  <si>
    <t>000014</t>
  </si>
  <si>
    <t>HBL-EM17000214</t>
  </si>
  <si>
    <t>KIEL TRADER</t>
  </si>
  <si>
    <t>MF-072A/17</t>
  </si>
  <si>
    <t>S35383</t>
  </si>
  <si>
    <t>I35909</t>
  </si>
  <si>
    <t>HCLE 132777</t>
  </si>
  <si>
    <t>MSC BARCELONA</t>
  </si>
  <si>
    <t>MF-072B/17</t>
  </si>
  <si>
    <t>MF-072C/17</t>
  </si>
  <si>
    <t>MF-073A/17</t>
  </si>
  <si>
    <t>PS-4817</t>
  </si>
  <si>
    <t>HLCUANR171067748</t>
  </si>
  <si>
    <t>MF-073B/17</t>
  </si>
  <si>
    <t>HLCUANR171067843</t>
  </si>
  <si>
    <t>MF-074A/17</t>
  </si>
  <si>
    <t>HLCUANR171130982</t>
  </si>
  <si>
    <t>MF-074B/17</t>
  </si>
  <si>
    <t>HLCUANR171242346</t>
  </si>
  <si>
    <t>MF-075A/17</t>
  </si>
  <si>
    <t>ENERO</t>
  </si>
  <si>
    <t>HLCUANR180143609</t>
  </si>
  <si>
    <t>MF-075B/17</t>
  </si>
  <si>
    <t>HLCUANR180143525</t>
  </si>
  <si>
    <t>MF-076/17</t>
  </si>
  <si>
    <t>MSCUUG470877</t>
  </si>
  <si>
    <t xml:space="preserve">MSC SOLA </t>
  </si>
  <si>
    <t>MSC SASHA/MSC VIDISHA</t>
  </si>
  <si>
    <t>MF-077A/17</t>
  </si>
  <si>
    <t>F001-17242</t>
  </si>
  <si>
    <t>MV BLUEBILL</t>
  </si>
  <si>
    <t>MF-077B/17</t>
  </si>
  <si>
    <t>F001-17243</t>
  </si>
  <si>
    <t>MF-077C/17</t>
  </si>
  <si>
    <t>F001-17245</t>
  </si>
  <si>
    <t>MF-077D/17</t>
  </si>
  <si>
    <t>F001-17246</t>
  </si>
  <si>
    <t>MF-077E/17</t>
  </si>
  <si>
    <t>F001-17247</t>
  </si>
  <si>
    <t>MF-078A/17</t>
  </si>
  <si>
    <t>F001-17264</t>
  </si>
  <si>
    <t>MF-078B/17</t>
  </si>
  <si>
    <t>F001-17265</t>
  </si>
  <si>
    <t>MF-078C/17</t>
  </si>
  <si>
    <t>F001-17266</t>
  </si>
  <si>
    <t>MF-078D/17</t>
  </si>
  <si>
    <t>F001-17267</t>
  </si>
  <si>
    <t>MF-079A/17</t>
  </si>
  <si>
    <t>UKT-EQUILIBRA-2017-1</t>
  </si>
  <si>
    <t>17-11-9613-1</t>
  </si>
  <si>
    <t>MF-079B/17</t>
  </si>
  <si>
    <t>17-11-9613-2</t>
  </si>
  <si>
    <t>MF-079C/17</t>
  </si>
  <si>
    <t>17-11-9613-3</t>
  </si>
  <si>
    <t>MF-079D/17</t>
  </si>
  <si>
    <t>17-11-9313-4</t>
  </si>
  <si>
    <t>MF-080A/17</t>
  </si>
  <si>
    <t>17-11-1958-1</t>
  </si>
  <si>
    <t>MF-080B/17</t>
  </si>
  <si>
    <t>17-11-1958-2</t>
  </si>
  <si>
    <t>MF-080C/17</t>
  </si>
  <si>
    <t>17-11-1958-3</t>
  </si>
  <si>
    <t>MF-080D/17</t>
  </si>
  <si>
    <t>17-11-1958-4</t>
  </si>
  <si>
    <t>MF-081/17</t>
  </si>
  <si>
    <t>108/17_A08</t>
  </si>
  <si>
    <t>1007/17 ZMU</t>
  </si>
  <si>
    <t>HLCURIX171211295</t>
  </si>
  <si>
    <t>MF-082A1/17</t>
  </si>
  <si>
    <t>NG CTR 754/017</t>
  </si>
  <si>
    <t>HLCUME3180113263</t>
  </si>
  <si>
    <t>VIRGINIA TRADER</t>
  </si>
  <si>
    <t>MF-082A2/17</t>
  </si>
  <si>
    <t>HLCUME3180100660</t>
  </si>
  <si>
    <t>BLACKPOOL TOWER</t>
  </si>
  <si>
    <t>MF-082B/17</t>
  </si>
  <si>
    <t>SUDU27297A8WR1H5</t>
  </si>
  <si>
    <t>MF-083A1/17</t>
  </si>
  <si>
    <t>DIC-ENE</t>
  </si>
  <si>
    <t>HLCUME3180109560</t>
  </si>
  <si>
    <t>MF-083A2/17</t>
  </si>
  <si>
    <t>MF-083B/17</t>
  </si>
  <si>
    <t>SUDU28297A8XZH7B</t>
  </si>
  <si>
    <t>MF-084/17</t>
  </si>
  <si>
    <t>SG-MS-L-12030</t>
  </si>
  <si>
    <t>GSSW17SHA4264A</t>
  </si>
  <si>
    <t>NANDU ARROW</t>
  </si>
  <si>
    <t>MF-085/17</t>
  </si>
  <si>
    <t>SG-MS-L-12029</t>
  </si>
  <si>
    <t>MAEU963198257</t>
  </si>
  <si>
    <t>MAERSK MC-KINNEY MOLLER</t>
  </si>
  <si>
    <t>MF-086A/17</t>
  </si>
  <si>
    <t>108/17_A09</t>
  </si>
  <si>
    <t>195/18 ZMU</t>
  </si>
  <si>
    <t>MARZO</t>
  </si>
  <si>
    <t>HLCURIX180310716</t>
  </si>
  <si>
    <t>MF-086B/17</t>
  </si>
  <si>
    <t>108/17_A10</t>
  </si>
  <si>
    <t>202/18 ZMU</t>
  </si>
  <si>
    <t>HLCURIX180311211</t>
  </si>
  <si>
    <t>MF-087A/17</t>
  </si>
  <si>
    <t>TGOA17SA083-DAP</t>
  </si>
  <si>
    <t>TGOA-DAP-171113-06</t>
  </si>
  <si>
    <t>ZD06</t>
  </si>
  <si>
    <t>MV BUNA ARROW</t>
  </si>
  <si>
    <t>MF-087B/17</t>
  </si>
  <si>
    <t>TGOA-DAP-171113-07</t>
  </si>
  <si>
    <t>ZD07</t>
  </si>
  <si>
    <t>MF-087C/17</t>
  </si>
  <si>
    <t>TGOA-DAP-171113-08</t>
  </si>
  <si>
    <t>ZD08</t>
  </si>
  <si>
    <t>MF-087D/17</t>
  </si>
  <si>
    <t>TGOA-DAP-171113-09</t>
  </si>
  <si>
    <t>ZD09</t>
  </si>
  <si>
    <t>MF-087E/17</t>
  </si>
  <si>
    <t>TGOA-DAP-171113-10</t>
  </si>
  <si>
    <t>ZD10</t>
  </si>
  <si>
    <t>MF-088A/17</t>
  </si>
  <si>
    <t>TGOA17SA082-AS</t>
  </si>
  <si>
    <t>TGOA-AS-171111-06</t>
  </si>
  <si>
    <t>ZA06</t>
  </si>
  <si>
    <t>MF-088B/17</t>
  </si>
  <si>
    <t>TGOA-AS-171111-07</t>
  </si>
  <si>
    <t>ZA07</t>
  </si>
  <si>
    <t>MF-088C/17</t>
  </si>
  <si>
    <t>TGOA-AS-171111-08</t>
  </si>
  <si>
    <t>ZA08</t>
  </si>
  <si>
    <t>MF-089A/17</t>
  </si>
  <si>
    <t>S-01702052</t>
  </si>
  <si>
    <t>I20496</t>
  </si>
  <si>
    <t xml:space="preserve"> MV MUSKY</t>
  </si>
  <si>
    <t>MF-089B/17</t>
  </si>
  <si>
    <t>I20497</t>
  </si>
  <si>
    <t>MF-089C/17</t>
  </si>
  <si>
    <t>I20498</t>
  </si>
  <si>
    <t>MF-089D/17</t>
  </si>
  <si>
    <t>I20499</t>
  </si>
  <si>
    <t>MF-090A/17</t>
  </si>
  <si>
    <t>S-01702054</t>
  </si>
  <si>
    <t>MF-090B/17</t>
  </si>
  <si>
    <t>MF-090C/17</t>
  </si>
  <si>
    <t>MF-090D/17</t>
  </si>
  <si>
    <t>MF-091/17</t>
  </si>
  <si>
    <t>S36072</t>
  </si>
  <si>
    <t>I36790</t>
  </si>
  <si>
    <t>HCLE 135420</t>
  </si>
  <si>
    <t>MSC MARTA</t>
  </si>
  <si>
    <t>MSC YASHI B </t>
  </si>
  <si>
    <t>MF-092A/17</t>
  </si>
  <si>
    <t>KTS201710624.0</t>
  </si>
  <si>
    <t>MAEU963769920</t>
  </si>
  <si>
    <t xml:space="preserve">SEROJA EMPAT </t>
  </si>
  <si>
    <t>CARSTEN MAERSK </t>
  </si>
  <si>
    <t>MF-092B/17</t>
  </si>
  <si>
    <t>MAEU963600679</t>
  </si>
  <si>
    <t>MF-093A/17</t>
  </si>
  <si>
    <t>KTS201710624.1</t>
  </si>
  <si>
    <t>MAEU963546543</t>
  </si>
  <si>
    <t>SOROE MAERSK </t>
  </si>
  <si>
    <t>MF-093B/17</t>
  </si>
  <si>
    <t>MAEU963805110</t>
  </si>
  <si>
    <t>MARINER</t>
  </si>
  <si>
    <t>MF-094A/17</t>
  </si>
  <si>
    <t>KTS201710624.2</t>
  </si>
  <si>
    <t>FEBRERO</t>
  </si>
  <si>
    <t>MAEU963885919</t>
  </si>
  <si>
    <t>SEROJA ENAM</t>
  </si>
  <si>
    <t>MF-094B/17</t>
  </si>
  <si>
    <t>MAEU963885823</t>
  </si>
  <si>
    <t xml:space="preserve">SEROJA ENAM </t>
  </si>
  <si>
    <t>MF-095A1/17</t>
  </si>
  <si>
    <t>S-01702053</t>
  </si>
  <si>
    <t>I-20907</t>
  </si>
  <si>
    <t>GSSW18SIN2030G</t>
  </si>
  <si>
    <t>MV STAR MAINE</t>
  </si>
  <si>
    <t>MF-095A2/17</t>
  </si>
  <si>
    <t>I-20909</t>
  </si>
  <si>
    <t>GSSW18SIN2030M</t>
  </si>
  <si>
    <t>MF-095B1/17</t>
  </si>
  <si>
    <t>I-20908</t>
  </si>
  <si>
    <t>GSSW18SIN2030L</t>
  </si>
  <si>
    <t>MF-095B2/17</t>
  </si>
  <si>
    <t>I-20910</t>
  </si>
  <si>
    <t>GSSW18SIN2030N</t>
  </si>
  <si>
    <t>MF-096/17</t>
  </si>
  <si>
    <t>ROM17021248</t>
  </si>
  <si>
    <t>HLCUTS1180330004</t>
  </si>
  <si>
    <t>MF-097A/17</t>
  </si>
  <si>
    <t>KTS201710648</t>
  </si>
  <si>
    <t>ENE-FEB</t>
  </si>
  <si>
    <t>MAEU596300629</t>
  </si>
  <si>
    <t>EASLINE QINGDAO</t>
  </si>
  <si>
    <t>ALS APOLLO 1803</t>
  </si>
  <si>
    <t>MF-097B/17</t>
  </si>
  <si>
    <t>MAEU596300630</t>
  </si>
  <si>
    <t>MARINER 1805</t>
  </si>
  <si>
    <t>MF-098A/17</t>
  </si>
  <si>
    <t>PF-0812-17</t>
  </si>
  <si>
    <t>0812-17</t>
  </si>
  <si>
    <t xml:space="preserve">18TRYPEC18000003706/MSCUUC742337
</t>
  </si>
  <si>
    <t>MSC CORDOBA</t>
  </si>
  <si>
    <t>MSC YASHI B</t>
  </si>
  <si>
    <t>MF-098B/17</t>
  </si>
  <si>
    <t>PF-0912-17</t>
  </si>
  <si>
    <t>0912-17</t>
  </si>
  <si>
    <t xml:space="preserve">18TRYPEP18000003441/MSCUUC732114
</t>
  </si>
  <si>
    <t>MSC MONTEREY</t>
  </si>
  <si>
    <t>MF-099/17</t>
  </si>
  <si>
    <t>HLCUEUR180132947</t>
  </si>
  <si>
    <t>MF-100/17</t>
  </si>
  <si>
    <t>171228-S37888-PP</t>
  </si>
  <si>
    <t>6SIT2018001905</t>
  </si>
  <si>
    <t>GSSW18SHA2411A</t>
  </si>
  <si>
    <t xml:space="preserve">MV MISAGO ARROW </t>
  </si>
  <si>
    <t>MF-101A/17</t>
  </si>
  <si>
    <t>F001-18456</t>
  </si>
  <si>
    <t>MV AARGAU</t>
  </si>
  <si>
    <t>MF-101B/17</t>
  </si>
  <si>
    <t>F001-18457</t>
  </si>
  <si>
    <t>MF-101C/17</t>
  </si>
  <si>
    <t>F001-18458</t>
  </si>
  <si>
    <t>MF-102/17</t>
  </si>
  <si>
    <t>SG-MS-L-12082</t>
  </si>
  <si>
    <t>OA805BAYCLL002</t>
  </si>
  <si>
    <t xml:space="preserve">MV OCEAN AMBITIOUS </t>
  </si>
  <si>
    <t>MF-001/18</t>
  </si>
  <si>
    <t>MF-002/18</t>
  </si>
  <si>
    <t>CORINTHIAKOS</t>
  </si>
  <si>
    <t>MIZAR</t>
  </si>
  <si>
    <t>MF-003/18</t>
  </si>
  <si>
    <t>CSAV TOCONAO</t>
  </si>
  <si>
    <t>EVER LYRIC</t>
  </si>
  <si>
    <t>MF-004A/18</t>
  </si>
  <si>
    <t>108/17_A11</t>
  </si>
  <si>
    <t>272/18 ZMU</t>
  </si>
  <si>
    <t>HLCURIX180510025</t>
  </si>
  <si>
    <t>MF-004B/18</t>
  </si>
  <si>
    <t>108/17_A12</t>
  </si>
  <si>
    <t>273/18 ZMU</t>
  </si>
  <si>
    <t>HLCURIX180412245</t>
  </si>
  <si>
    <t>MF-005A/18</t>
  </si>
  <si>
    <t>FEB-MARZO</t>
  </si>
  <si>
    <t>MSCUPC698672</t>
  </si>
  <si>
    <t>MSC CRISTINA</t>
  </si>
  <si>
    <t>MSC SHREYA B</t>
  </si>
  <si>
    <t>MF-005B/18</t>
  </si>
  <si>
    <t>MSCUPC656571</t>
  </si>
  <si>
    <t>MSC FABIOLA</t>
  </si>
  <si>
    <t>MF-006A/18</t>
  </si>
  <si>
    <t>108/17_A13</t>
  </si>
  <si>
    <t>286/18 ZMU</t>
  </si>
  <si>
    <t>HLCURIX180510226</t>
  </si>
  <si>
    <t>MF-006B/18</t>
  </si>
  <si>
    <t>108/17_A14</t>
  </si>
  <si>
    <t>287/18 ZMU</t>
  </si>
  <si>
    <t>HLCURIX180510248</t>
  </si>
  <si>
    <t>MF-007A/18</t>
  </si>
  <si>
    <t>108/17_A16</t>
  </si>
  <si>
    <t>289/18 ZMU</t>
  </si>
  <si>
    <t>HLCURIX180611724</t>
  </si>
  <si>
    <t>BOMAR VICTORY</t>
  </si>
  <si>
    <t>MF-007B/18</t>
  </si>
  <si>
    <t>108/17_A17</t>
  </si>
  <si>
    <t>290/18 ZMU</t>
  </si>
  <si>
    <t>HLCURIX180611735</t>
  </si>
  <si>
    <t>MF-008A/18</t>
  </si>
  <si>
    <t>NG CTR 813/018</t>
  </si>
  <si>
    <t>EGLV152820210527</t>
  </si>
  <si>
    <t xml:space="preserve">NORTHERN JUVENILE </t>
  </si>
  <si>
    <t>NORTHERN JUVENILE</t>
  </si>
  <si>
    <t>MF-008B/18</t>
  </si>
  <si>
    <t>YCHG000312</t>
  </si>
  <si>
    <t>BIN GANG</t>
  </si>
  <si>
    <t>MF-009A/18</t>
  </si>
  <si>
    <t>MF-009B/18</t>
  </si>
  <si>
    <t>MF-010/18</t>
  </si>
  <si>
    <t>108/17_A15</t>
  </si>
  <si>
    <t>288/18 ZMU</t>
  </si>
  <si>
    <t>HLCURIX180510014</t>
  </si>
  <si>
    <t>MF-011A/18</t>
  </si>
  <si>
    <t>CE00027-340</t>
  </si>
  <si>
    <t>COSU8008021080</t>
  </si>
  <si>
    <t>ANASSA</t>
  </si>
  <si>
    <t>EXPRESS BERLIN</t>
  </si>
  <si>
    <t>MF-011B/18</t>
  </si>
  <si>
    <t>MF-011C/18</t>
  </si>
  <si>
    <t>MF-012/18</t>
  </si>
  <si>
    <t>ZVYN148</t>
  </si>
  <si>
    <t>GT-78092</t>
  </si>
  <si>
    <t>SLD829629</t>
  </si>
  <si>
    <t>CAROLINE MAERSK</t>
  </si>
  <si>
    <t>MF-013A/18</t>
  </si>
  <si>
    <t>KTS201810156</t>
  </si>
  <si>
    <t>MARZO - ABRIL</t>
  </si>
  <si>
    <t>SF809BAYCLL008</t>
  </si>
  <si>
    <t>MV SAGA FRAM </t>
  </si>
  <si>
    <t>MF-013B.1/18</t>
  </si>
  <si>
    <t>KTS201810155</t>
  </si>
  <si>
    <t>MAR-ABR</t>
  </si>
  <si>
    <t>MAEU964310533</t>
  </si>
  <si>
    <t>MERETE MAERSK.</t>
  </si>
  <si>
    <t> SEALAND LOS ANGELES </t>
  </si>
  <si>
    <t>MF-013B.2/18</t>
  </si>
  <si>
    <t>MAEU964310528</t>
  </si>
  <si>
    <t>MF-013B.3/18</t>
  </si>
  <si>
    <t>MAEU964314631</t>
  </si>
  <si>
    <t>MADRID MAERSK</t>
  </si>
  <si>
    <t>MF-013B.4/18</t>
  </si>
  <si>
    <t>MAEU575995570</t>
  </si>
  <si>
    <t>MF-014A/18</t>
  </si>
  <si>
    <t>MSCUKX917269</t>
  </si>
  <si>
    <t>MSC AVNI</t>
  </si>
  <si>
    <t>MF-014B/18</t>
  </si>
  <si>
    <t>SUDUC8ANRES0521X</t>
  </si>
  <si>
    <t>CAP SAN TAINRO</t>
  </si>
  <si>
    <t>MF-015/18</t>
  </si>
  <si>
    <t>EGLV152820210519</t>
  </si>
  <si>
    <t>LOUISIANA TRADER </t>
  </si>
  <si>
    <t>MF-016A/18</t>
  </si>
  <si>
    <t xml:space="preserve">ABRIL </t>
  </si>
  <si>
    <t>HLCUSCL180365875</t>
  </si>
  <si>
    <t>SATIE</t>
  </si>
  <si>
    <t>MF-016B/18</t>
  </si>
  <si>
    <t>HLCUSCL180423532</t>
  </si>
  <si>
    <t>ANGAMOS / CHILE</t>
  </si>
  <si>
    <t>MF-017A/18</t>
  </si>
  <si>
    <t>KTS 201810166.1</t>
  </si>
  <si>
    <t>ABR-MAY</t>
  </si>
  <si>
    <t>MAEU964800259</t>
  </si>
  <si>
    <t>SVENDBORG MAERSK</t>
  </si>
  <si>
    <t>E.R. TIANSHAN</t>
  </si>
  <si>
    <t>MF-017B/18</t>
  </si>
  <si>
    <t>KTS 201810167.1</t>
  </si>
  <si>
    <t>MAEU964591255</t>
  </si>
  <si>
    <t>JI HONG</t>
  </si>
  <si>
    <t>MF-018/18</t>
  </si>
  <si>
    <t>103-00000028</t>
  </si>
  <si>
    <t>MF-019/18</t>
  </si>
  <si>
    <t>SG-MSL-12169-1</t>
  </si>
  <si>
    <t>MAEU578116108</t>
  </si>
  <si>
    <t>MUNKEBO MAERSK</t>
  </si>
  <si>
    <t>MF-020/18</t>
  </si>
  <si>
    <t>MSCUPC926438</t>
  </si>
  <si>
    <t>MSC GAYANE</t>
  </si>
  <si>
    <t>MF-021A/18</t>
  </si>
  <si>
    <t>SC-000757</t>
  </si>
  <si>
    <t>SI0001187</t>
  </si>
  <si>
    <t>AOA/COM/053/2018C</t>
  </si>
  <si>
    <t xml:space="preserve">MV NORD NANAMI </t>
  </si>
  <si>
    <t>MF-021B/18</t>
  </si>
  <si>
    <t>SI0001188</t>
  </si>
  <si>
    <t>AOA/COM/053/2018B</t>
  </si>
  <si>
    <t>MF-021C/18</t>
  </si>
  <si>
    <t>SI0001189</t>
  </si>
  <si>
    <t>AOA/COM/053/2018A</t>
  </si>
  <si>
    <t>MF-022/18</t>
  </si>
  <si>
    <t>COSU8008020530</t>
  </si>
  <si>
    <t>ROTTERDAM</t>
  </si>
  <si>
    <t>MF-023A/18</t>
  </si>
  <si>
    <t>F001-22212</t>
  </si>
  <si>
    <t>RIXPAI05</t>
  </si>
  <si>
    <t>MV IONIC HALO</t>
  </si>
  <si>
    <t>MF-023B/18</t>
  </si>
  <si>
    <t>F001-22213</t>
  </si>
  <si>
    <t>RIXSVY05</t>
  </si>
  <si>
    <t>MF-023C/18</t>
  </si>
  <si>
    <t>F001-22214</t>
  </si>
  <si>
    <t>RIXCLL05</t>
  </si>
  <si>
    <t>MF-023D/18</t>
  </si>
  <si>
    <t>MF-024A/18</t>
  </si>
  <si>
    <t>F001-22223</t>
  </si>
  <si>
    <t>RIXPAI02</t>
  </si>
  <si>
    <t>MF-024B/18</t>
  </si>
  <si>
    <t>F001-22215</t>
  </si>
  <si>
    <t>RIXSVY02</t>
  </si>
  <si>
    <t>MF-024C/18</t>
  </si>
  <si>
    <t>F001-22218</t>
  </si>
  <si>
    <t>RIXCLL02</t>
  </si>
  <si>
    <t>MF-024D/18</t>
  </si>
  <si>
    <t>F001-22217</t>
  </si>
  <si>
    <t>RIXPIO02</t>
  </si>
  <si>
    <t>MF-024E/18</t>
  </si>
  <si>
    <t>F001-22216</t>
  </si>
  <si>
    <t>RIXMRI02</t>
  </si>
  <si>
    <t>MF-025/18</t>
  </si>
  <si>
    <t>MAEU964680585</t>
  </si>
  <si>
    <t>JI HONG </t>
  </si>
  <si>
    <t>MF-026A/18</t>
  </si>
  <si>
    <t>ZVYN154</t>
  </si>
  <si>
    <t>GT-79079</t>
  </si>
  <si>
    <t>2da Q. MAYO</t>
  </si>
  <si>
    <t>HLCUSCL180619539</t>
  </si>
  <si>
    <t>MAPOCHO</t>
  </si>
  <si>
    <t>MF-026B/18</t>
  </si>
  <si>
    <t>ZVYN153</t>
  </si>
  <si>
    <t>GT-79315</t>
  </si>
  <si>
    <t>HLCUSCL180641039</t>
  </si>
  <si>
    <t>MF-027A.1/18</t>
  </si>
  <si>
    <t>KTS201810282</t>
  </si>
  <si>
    <t>KTI20180933</t>
  </si>
  <si>
    <t>MAEU589086152</t>
  </si>
  <si>
    <t>LAURA MAERSK</t>
  </si>
  <si>
    <t>MF-027B.1/18</t>
  </si>
  <si>
    <t>KTS201810283</t>
  </si>
  <si>
    <t>KTI20180957</t>
  </si>
  <si>
    <t>MAEU589086206</t>
  </si>
  <si>
    <t>MF-027A.2/18</t>
  </si>
  <si>
    <t>KTI20180994</t>
  </si>
  <si>
    <t>2da Q. JUNIO</t>
  </si>
  <si>
    <t>MAEU589086215</t>
  </si>
  <si>
    <t>MF-027B.2/18</t>
  </si>
  <si>
    <t>KTI20181035</t>
  </si>
  <si>
    <t>MAEU589086216</t>
  </si>
  <si>
    <t>MF-028A/18</t>
  </si>
  <si>
    <t>C-5173</t>
  </si>
  <si>
    <t>MEDUB6023189</t>
  </si>
  <si>
    <t xml:space="preserve">SUIDONG FANG </t>
  </si>
  <si>
    <t>MOL BELLWETHER</t>
  </si>
  <si>
    <t>MF-028B/18</t>
  </si>
  <si>
    <t>C-5174</t>
  </si>
  <si>
    <t>MEDUSJ087510</t>
  </si>
  <si>
    <t>JIANGONG628</t>
  </si>
  <si>
    <t xml:space="preserve">SEALAND LOS ANGELES    </t>
  </si>
  <si>
    <t>MF-029A/18</t>
  </si>
  <si>
    <t>C-5175</t>
  </si>
  <si>
    <t>NNGT80040100</t>
  </si>
  <si>
    <t>WAN HAI 512</t>
  </si>
  <si>
    <t>MF-029B/18</t>
  </si>
  <si>
    <t>C-5176</t>
  </si>
  <si>
    <t>MAEU964825065</t>
  </si>
  <si>
    <t>MF-030/18</t>
  </si>
  <si>
    <t>SUDUA8BASES0292X</t>
  </si>
  <si>
    <t>MF-031/18</t>
  </si>
  <si>
    <t>MAEU964680596</t>
  </si>
  <si>
    <t>MF-032/18</t>
  </si>
  <si>
    <t>1ra Q. Junio</t>
  </si>
  <si>
    <t>SUDUA8BASES0334X</t>
  </si>
  <si>
    <t>MF-033/18</t>
  </si>
  <si>
    <t>SUDUA8HAM000339X</t>
  </si>
  <si>
    <t>MF-034A/18</t>
  </si>
  <si>
    <t>014-48894941</t>
  </si>
  <si>
    <t>MF-034B/18</t>
  </si>
  <si>
    <t>MF-034C/18</t>
  </si>
  <si>
    <t>MF-035A/18</t>
  </si>
  <si>
    <t>S-01800800</t>
  </si>
  <si>
    <t>10-15 JUNIO</t>
  </si>
  <si>
    <t>12A</t>
  </si>
  <si>
    <t xml:space="preserve">MV ECO SPLENDOR </t>
  </si>
  <si>
    <t>MF-035B/18</t>
  </si>
  <si>
    <t>12B</t>
  </si>
  <si>
    <t>MF-035C/18</t>
  </si>
  <si>
    <t>12C</t>
  </si>
  <si>
    <t>MF-035D/18</t>
  </si>
  <si>
    <t>12D</t>
  </si>
  <si>
    <t>MF-036A/18</t>
  </si>
  <si>
    <t>AMC0656167</t>
  </si>
  <si>
    <t>QINGDAO TOWER</t>
  </si>
  <si>
    <t>SPIRIT OF MELBOURNE</t>
  </si>
  <si>
    <t>MF-036B/18</t>
  </si>
  <si>
    <t>18070019 (PF185161/1)</t>
  </si>
  <si>
    <t>AMC0658308</t>
  </si>
  <si>
    <t>APL LE HAVRE</t>
  </si>
  <si>
    <t>MF-037A1/18</t>
  </si>
  <si>
    <t>18080013 (PF185160/2)</t>
  </si>
  <si>
    <t>AMC0662778</t>
  </si>
  <si>
    <t>CMA CGM GEORGIA</t>
  </si>
  <si>
    <t>GLASGOW EXPRESS</t>
  </si>
  <si>
    <t>MF-037A2/18</t>
  </si>
  <si>
    <t>AMC0665774</t>
  </si>
  <si>
    <t>CMA CGM MUMBAI</t>
  </si>
  <si>
    <t>CELINA STAR</t>
  </si>
  <si>
    <t>MF-037A3/18</t>
  </si>
  <si>
    <t>MEDUMB407275</t>
  </si>
  <si>
    <t>MSC NITYA B</t>
  </si>
  <si>
    <t>MF-037B1/18</t>
  </si>
  <si>
    <t xml:space="preserve">18070039 (PF185161/2) </t>
  </si>
  <si>
    <t>AMC0659099</t>
  </si>
  <si>
    <t>NAVIOS UNISON</t>
  </si>
  <si>
    <t>MF-037B2/18</t>
  </si>
  <si>
    <t xml:space="preserve">18070045 (PF185161/3) </t>
  </si>
  <si>
    <t>AMC0660313</t>
  </si>
  <si>
    <t>EXPRESS ROME</t>
  </si>
  <si>
    <t>MF-037B3/18</t>
  </si>
  <si>
    <t>AMC0662768</t>
  </si>
  <si>
    <t>XIN HONG KONG</t>
  </si>
  <si>
    <t>DOMINGO</t>
  </si>
  <si>
    <t>MF-038A/18</t>
  </si>
  <si>
    <t>KTS 201810357</t>
  </si>
  <si>
    <t>KTI20181164</t>
  </si>
  <si>
    <t>JUNIO-JULIO</t>
  </si>
  <si>
    <t>HLCUCA4180778068</t>
  </si>
  <si>
    <t>MSC RENEE</t>
  </si>
  <si>
    <t>MF-038B1/18</t>
  </si>
  <si>
    <t>KTS 201810358</t>
  </si>
  <si>
    <t>MAEU965712867</t>
  </si>
  <si>
    <t>SEALAND BALBOA</t>
  </si>
  <si>
    <t>MF-038B2/18</t>
  </si>
  <si>
    <t>20181175</t>
  </si>
  <si>
    <t>MAEU605986136</t>
  </si>
  <si>
    <t>HAIAN SONG</t>
  </si>
  <si>
    <t>MF-039A/18</t>
  </si>
  <si>
    <t>KTS201810384</t>
  </si>
  <si>
    <t>20181108</t>
  </si>
  <si>
    <t>ONEYTS8QV0363700</t>
  </si>
  <si>
    <t>BRIGHTON</t>
  </si>
  <si>
    <t>MSC FAUSTINA</t>
  </si>
  <si>
    <t>MF-039B/18</t>
  </si>
  <si>
    <t>KTS201810385</t>
  </si>
  <si>
    <t>20181109</t>
  </si>
  <si>
    <t>ONEYTS8QV0364800</t>
  </si>
  <si>
    <t>AS FORTUNA</t>
  </si>
  <si>
    <t>MF-040A/18</t>
  </si>
  <si>
    <t>20601647649b</t>
  </si>
  <si>
    <t>MEDUCO091481</t>
  </si>
  <si>
    <t>MSC LUISA</t>
  </si>
  <si>
    <t>MF-040B/18</t>
  </si>
  <si>
    <t>MF-040C/18</t>
  </si>
  <si>
    <t>MF-041A/18</t>
  </si>
  <si>
    <t>S-01801033</t>
  </si>
  <si>
    <t>22660</t>
  </si>
  <si>
    <t>2H JULIO - 1H AGO</t>
  </si>
  <si>
    <t>SM18004NKG00616</t>
  </si>
  <si>
    <t>MV SMEW</t>
  </si>
  <si>
    <t>MF-041B/18</t>
  </si>
  <si>
    <t>22661</t>
  </si>
  <si>
    <t>SM18004NKG00617</t>
  </si>
  <si>
    <t>MF-041C/18</t>
  </si>
  <si>
    <t>22662</t>
  </si>
  <si>
    <t>SM18004NKG00618</t>
  </si>
  <si>
    <t>MF-041D/18</t>
  </si>
  <si>
    <t>22663</t>
  </si>
  <si>
    <t>SM18004NKG00619</t>
  </si>
  <si>
    <t>MF-042A/18</t>
  </si>
  <si>
    <t>S-01801034</t>
  </si>
  <si>
    <t>22754</t>
  </si>
  <si>
    <t>MF-042B/18</t>
  </si>
  <si>
    <t>22755</t>
  </si>
  <si>
    <t>MF-042C/18</t>
  </si>
  <si>
    <t>22756</t>
  </si>
  <si>
    <t>MF-042D/18</t>
  </si>
  <si>
    <t>22757</t>
  </si>
  <si>
    <t>MF-043A/18</t>
  </si>
  <si>
    <t>S-01801032</t>
  </si>
  <si>
    <t>22673</t>
  </si>
  <si>
    <t>SM18004NKG001A</t>
  </si>
  <si>
    <t>MF-043B/18</t>
  </si>
  <si>
    <t>22676</t>
  </si>
  <si>
    <t>SM18004NKG001D</t>
  </si>
  <si>
    <t>MF-043C/18</t>
  </si>
  <si>
    <t>22674</t>
  </si>
  <si>
    <t>SM18004NKG001B</t>
  </si>
  <si>
    <t>MF-043D/18</t>
  </si>
  <si>
    <t>22675</t>
  </si>
  <si>
    <t>SM18004NKG001C</t>
  </si>
  <si>
    <t>MF-044A/18</t>
  </si>
  <si>
    <t>S-01801039</t>
  </si>
  <si>
    <t>SM18004NKG003A</t>
  </si>
  <si>
    <t>MF-044B/18</t>
  </si>
  <si>
    <t>22498</t>
  </si>
  <si>
    <t>SM18004NKG003B</t>
  </si>
  <si>
    <t>MF-045/18</t>
  </si>
  <si>
    <t>180629-S42488-MPI</t>
  </si>
  <si>
    <t>6SIT2018004409</t>
  </si>
  <si>
    <t>CS825TXGCLL015</t>
  </si>
  <si>
    <t>CS SONOMA</t>
  </si>
  <si>
    <t>MF-046/18</t>
  </si>
  <si>
    <t>6SIT2018004502</t>
  </si>
  <si>
    <t>GSSW18SHA3933A</t>
  </si>
  <si>
    <t>FINCH ARROW</t>
  </si>
  <si>
    <t>MF-047/18</t>
  </si>
  <si>
    <t>C-5285 | S-01801104</t>
  </si>
  <si>
    <t>23276</t>
  </si>
  <si>
    <t>MAEU578420925</t>
  </si>
  <si>
    <t>MAERSK NIAMEY</t>
  </si>
  <si>
    <t>CHASTINE MAERSK</t>
  </si>
  <si>
    <t>MF-048/18</t>
  </si>
  <si>
    <t>KTS201810425</t>
  </si>
  <si>
    <t>KTI20180989</t>
  </si>
  <si>
    <t>1865303/ONEYRICUJ2445300</t>
  </si>
  <si>
    <t>NYK RUMINA</t>
  </si>
  <si>
    <t xml:space="preserve">MSC MARIA SAVERIA  </t>
  </si>
  <si>
    <t>MF-049A/18</t>
  </si>
  <si>
    <t>UKT-EQUILIBRA-2018-1</t>
  </si>
  <si>
    <t>18-08-2284/1</t>
  </si>
  <si>
    <t>MV STRATEGIC HARMONY</t>
  </si>
  <si>
    <t>MF-049B/18</t>
  </si>
  <si>
    <t>18-08-2284/2</t>
  </si>
  <si>
    <t>MF-049C/18</t>
  </si>
  <si>
    <t>18-08-2284/3</t>
  </si>
  <si>
    <t>MF-049D/18</t>
  </si>
  <si>
    <t>18-08-2284/4</t>
  </si>
  <si>
    <t>MF-050A/18</t>
  </si>
  <si>
    <t>Equilibra 2018 - 01</t>
  </si>
  <si>
    <t>K3465</t>
  </si>
  <si>
    <t>PTLD/PERU-02</t>
  </si>
  <si>
    <t>ULTRA PROSPERITY</t>
  </si>
  <si>
    <t>MF-050B/18</t>
  </si>
  <si>
    <t>MF-050C/18</t>
  </si>
  <si>
    <t>MF-051A/18</t>
  </si>
  <si>
    <t>N/A</t>
  </si>
  <si>
    <t>F001-24320</t>
  </si>
  <si>
    <t>MF-051B/18</t>
  </si>
  <si>
    <t>F001-24322</t>
  </si>
  <si>
    <t>MF-051C/18</t>
  </si>
  <si>
    <t>F001-24325</t>
  </si>
  <si>
    <t>MF-051D/18</t>
  </si>
  <si>
    <t>F001-24358</t>
  </si>
  <si>
    <t>MF-051E/18</t>
  </si>
  <si>
    <t>F001-24359</t>
  </si>
  <si>
    <t>10</t>
  </si>
  <si>
    <t>MF-052A/18</t>
  </si>
  <si>
    <t>F001-24324</t>
  </si>
  <si>
    <t>MF-052B18</t>
  </si>
  <si>
    <t>F001-24327</t>
  </si>
  <si>
    <t>MF-052C/18</t>
  </si>
  <si>
    <t>F001-24360</t>
  </si>
  <si>
    <t>MF-053A/18</t>
  </si>
  <si>
    <t>F001-24321</t>
  </si>
  <si>
    <t>MF-053B/18</t>
  </si>
  <si>
    <t>F001-24323</t>
  </si>
  <si>
    <t>17</t>
  </si>
  <si>
    <t>MF-053C/18</t>
  </si>
  <si>
    <t>F001-24326</t>
  </si>
  <si>
    <t>MF-054/18</t>
  </si>
  <si>
    <t>180807-S43392-MPI</t>
  </si>
  <si>
    <t>7SIT2018001255</t>
  </si>
  <si>
    <t>2H SETIEMBRE</t>
  </si>
  <si>
    <t>GSSW18SHA4341A</t>
  </si>
  <si>
    <t>OSPREY ARROW</t>
  </si>
  <si>
    <t>MF-055/18</t>
  </si>
  <si>
    <t>SG-MSL-12329-1</t>
  </si>
  <si>
    <t>ONEYDL8XA0088300</t>
  </si>
  <si>
    <t>X-PRESS ANNAPURNA</t>
  </si>
  <si>
    <t>MF-056/18</t>
  </si>
  <si>
    <t>S-184318</t>
  </si>
  <si>
    <t>4566</t>
  </si>
  <si>
    <t>ONEYTS8NO0535700</t>
  </si>
  <si>
    <t>MOL PREMIUM</t>
  </si>
  <si>
    <t>ALIOTH 142S </t>
  </si>
  <si>
    <t>MF-057A/18</t>
  </si>
  <si>
    <t>PAT/EQUILIBRA/2018-277</t>
  </si>
  <si>
    <t>PATR-504076</t>
  </si>
  <si>
    <t>2H AGOSTO</t>
  </si>
  <si>
    <t>MV INDIAN BULKER</t>
  </si>
  <si>
    <t>MF-057B/18</t>
  </si>
  <si>
    <t>PATR-504072</t>
  </si>
  <si>
    <t>MF-057C/18</t>
  </si>
  <si>
    <t>PATR-504073</t>
  </si>
  <si>
    <t>MF-057D/18</t>
  </si>
  <si>
    <t>PATR-504074</t>
  </si>
  <si>
    <t>MF-058A/18</t>
  </si>
  <si>
    <t>PATR-504067</t>
  </si>
  <si>
    <t>MF-058B/18</t>
  </si>
  <si>
    <t>PATR-504068</t>
  </si>
  <si>
    <t>MF-058C/18</t>
  </si>
  <si>
    <t>PATR-504069</t>
  </si>
  <si>
    <t>MF-058D/18</t>
  </si>
  <si>
    <t>PATR-504070</t>
  </si>
  <si>
    <t>MF-058E/18</t>
  </si>
  <si>
    <t>PATR-504071</t>
  </si>
  <si>
    <t>MF-059A/18</t>
  </si>
  <si>
    <t>C-5364 | S-01801332</t>
  </si>
  <si>
    <t>23330</t>
  </si>
  <si>
    <t>15AGO - 15SEPT</t>
  </si>
  <si>
    <t>HLCUCA41808APMU1</t>
  </si>
  <si>
    <t>MF-059B/18</t>
  </si>
  <si>
    <t>C-5364 | S-01801333</t>
  </si>
  <si>
    <t>23331</t>
  </si>
  <si>
    <t>HLCUCA4180940465</t>
  </si>
  <si>
    <t>MF-060A/18</t>
  </si>
  <si>
    <t>C-5362 | S-01801329</t>
  </si>
  <si>
    <t>23353-I</t>
  </si>
  <si>
    <t>SUDU28297AD3Q071</t>
  </si>
  <si>
    <t>MF-060B/18</t>
  </si>
  <si>
    <t>C-5362 | S-01801330</t>
  </si>
  <si>
    <t>23354-I</t>
  </si>
  <si>
    <t>SUDU28297AD3Q073</t>
  </si>
  <si>
    <t>MF-061A/18</t>
  </si>
  <si>
    <t>KTS US 201830237</t>
  </si>
  <si>
    <t>20181702</t>
  </si>
  <si>
    <t>OCT - NOV '18</t>
  </si>
  <si>
    <t>MAEU581804602</t>
  </si>
  <si>
    <t>CARSTEN MAERSK</t>
  </si>
  <si>
    <t>MF-061B/18</t>
  </si>
  <si>
    <t>20181787</t>
  </si>
  <si>
    <t>MAEU581806620</t>
  </si>
  <si>
    <t>MF-062A1/18</t>
  </si>
  <si>
    <t>B7FE-18-1001-PNPE</t>
  </si>
  <si>
    <t>B7FE-18-1001-PNPE-02</t>
  </si>
  <si>
    <t>1RA SEMANA OCTUBRE</t>
  </si>
  <si>
    <t>1003973/1</t>
  </si>
  <si>
    <t>POLYNESIA</t>
  </si>
  <si>
    <t>MF-062B/18</t>
  </si>
  <si>
    <t>B7FE-18-1002-PNPE</t>
  </si>
  <si>
    <t>B7FE-18-1002-PNPE-02</t>
  </si>
  <si>
    <t>2DA SEMANA OCTUBRE</t>
  </si>
  <si>
    <t>1003972/1</t>
  </si>
  <si>
    <t>MF-062A2/18</t>
  </si>
  <si>
    <t>B7FE-18-1001-PNPE-01</t>
  </si>
  <si>
    <t xml:space="preserve">1004132/1/HLCUSCL181100083 </t>
  </si>
  <si>
    <t>MF-062B2/18</t>
  </si>
  <si>
    <t>MF-063A/18</t>
  </si>
  <si>
    <t>TGOA18SA072-TSP</t>
  </si>
  <si>
    <t>TGOA-TSP-180924-01</t>
  </si>
  <si>
    <t>SETIEMBRE</t>
  </si>
  <si>
    <t>RH180903A</t>
  </si>
  <si>
    <t>PRINCESSE OUI</t>
  </si>
  <si>
    <t>MF-063B/18</t>
  </si>
  <si>
    <t>TGOA-TSP-180924-02</t>
  </si>
  <si>
    <t>RH180903B</t>
  </si>
  <si>
    <t>MF-063C/18</t>
  </si>
  <si>
    <t>TGOA-TSP-180924-03</t>
  </si>
  <si>
    <t>RH180903C</t>
  </si>
  <si>
    <t>MF-063D/18</t>
  </si>
  <si>
    <t>TGOA-TSP-180924-04</t>
  </si>
  <si>
    <t>RH180903D</t>
  </si>
  <si>
    <t>MF-064/18</t>
  </si>
  <si>
    <t>2017/320</t>
  </si>
  <si>
    <t>PATR-504500</t>
  </si>
  <si>
    <t>MOS0152254</t>
  </si>
  <si>
    <t>CMA CGM LOUGA</t>
  </si>
  <si>
    <t>MF-065A/18</t>
  </si>
  <si>
    <t>SC-002721</t>
  </si>
  <si>
    <t>SI0004867</t>
  </si>
  <si>
    <t>APLU719486063</t>
  </si>
  <si>
    <t>DERBY D 006W</t>
  </si>
  <si>
    <t>CMA CGM CALCUTT</t>
  </si>
  <si>
    <t>MF-065B/18</t>
  </si>
  <si>
    <t>SI0005337</t>
  </si>
  <si>
    <t>ONEYTS8NG0353600</t>
  </si>
  <si>
    <t>ALIOTH 148S</t>
  </si>
  <si>
    <t>MF-066/18</t>
  </si>
  <si>
    <t>108/17_A18</t>
  </si>
  <si>
    <t>807/18 ZMU</t>
  </si>
  <si>
    <t>MSCUVX598815</t>
  </si>
  <si>
    <t>NEWYORKER</t>
  </si>
  <si>
    <t>MF-067/18</t>
  </si>
  <si>
    <t>108/17_A19</t>
  </si>
  <si>
    <t>808/18 ZMU</t>
  </si>
  <si>
    <t>MSCUVX599904</t>
  </si>
  <si>
    <t>MSC JOY</t>
  </si>
  <si>
    <t>MSC ANTONELLA</t>
  </si>
  <si>
    <t>MF-068/18</t>
  </si>
  <si>
    <t>K3800</t>
  </si>
  <si>
    <t>PTLD/PERU-01</t>
  </si>
  <si>
    <t>MV PORT ALBERNI</t>
  </si>
  <si>
    <t>MF-069/18</t>
  </si>
  <si>
    <t>108/17_A20</t>
  </si>
  <si>
    <t>810/18 ZMU</t>
  </si>
  <si>
    <t>SGU0166414</t>
  </si>
  <si>
    <t>A LA MARINE</t>
  </si>
  <si>
    <t>MF-070/18</t>
  </si>
  <si>
    <t>108/17_A21</t>
  </si>
  <si>
    <t>811/18 ZMU</t>
  </si>
  <si>
    <t>SGU0166413</t>
  </si>
  <si>
    <t>MF-071/18</t>
  </si>
  <si>
    <t>KTS201810527</t>
  </si>
  <si>
    <t>20181707</t>
  </si>
  <si>
    <t>GSSW18SHA4953A</t>
  </si>
  <si>
    <t xml:space="preserve">MV STAR MAJESTY </t>
  </si>
  <si>
    <t>MF-072A1/18</t>
  </si>
  <si>
    <t>KTS201810526</t>
  </si>
  <si>
    <t>20181752</t>
  </si>
  <si>
    <t>MAEU966711028</t>
  </si>
  <si>
    <t>MAERSK STEPNICA</t>
  </si>
  <si>
    <t>MF-072A2/18</t>
  </si>
  <si>
    <t>20181748</t>
  </si>
  <si>
    <t>MAEU966676443</t>
  </si>
  <si>
    <t>SAN FELIX</t>
  </si>
  <si>
    <t>MF-073A1/18</t>
  </si>
  <si>
    <t>5303</t>
  </si>
  <si>
    <t>18110014</t>
  </si>
  <si>
    <t>ONEYTS8NG0352500</t>
  </si>
  <si>
    <t>MIZAR 151S</t>
  </si>
  <si>
    <t>MF-073A2/18</t>
  </si>
  <si>
    <t>18120009</t>
  </si>
  <si>
    <t>ONEYTS8NG0373800</t>
  </si>
  <si>
    <t>NYK LIBRA</t>
  </si>
  <si>
    <t>MF-074/18</t>
  </si>
  <si>
    <t>SE INGRESA COMO ACTIVO</t>
  </si>
  <si>
    <t>00612946</t>
  </si>
  <si>
    <t>NOVIEMBRE '18</t>
  </si>
  <si>
    <t>SORD34359</t>
  </si>
  <si>
    <t>LIMARI</t>
  </si>
  <si>
    <t>DUBLIN EXPRESS</t>
  </si>
  <si>
    <t>MF-075/18</t>
  </si>
  <si>
    <t>00612945</t>
  </si>
  <si>
    <t>SORD34351</t>
  </si>
  <si>
    <t xml:space="preserve">DUBLIN EXPRESS    </t>
  </si>
  <si>
    <t>MF-076/18</t>
  </si>
  <si>
    <t>S40356</t>
  </si>
  <si>
    <t>I40972</t>
  </si>
  <si>
    <t>HCLE 145237/EGLV400842305039</t>
  </si>
  <si>
    <t>EVER LAUREL</t>
  </si>
  <si>
    <t>LOUSIANA TRADER</t>
  </si>
  <si>
    <t>MF-077/18</t>
  </si>
  <si>
    <t>B7FE-18-1002-PNPE-01</t>
  </si>
  <si>
    <t>1003998/1/SNG0251045</t>
  </si>
  <si>
    <t>MF-078/18</t>
  </si>
  <si>
    <t>FTNCRG180309</t>
  </si>
  <si>
    <t>IBC0458989</t>
  </si>
  <si>
    <t>LIVERPOOL EXPRESS</t>
  </si>
  <si>
    <t>MF-079A/18</t>
  </si>
  <si>
    <t>F001-26263</t>
  </si>
  <si>
    <t>MV ALYCIA</t>
  </si>
  <si>
    <t>MF-079B/18</t>
  </si>
  <si>
    <t>F001-26264</t>
  </si>
  <si>
    <t>MF-079C/18</t>
  </si>
  <si>
    <t>F001-26265</t>
  </si>
  <si>
    <t>MF-079D/18</t>
  </si>
  <si>
    <t>F001-26266</t>
  </si>
  <si>
    <t>MF-080A/18</t>
  </si>
  <si>
    <t>TGOA-DAP-180924-13</t>
  </si>
  <si>
    <t>ZD13</t>
  </si>
  <si>
    <t>MF-080B/18</t>
  </si>
  <si>
    <t>TGOA-DAP-180924-14</t>
  </si>
  <si>
    <t>ZD14</t>
  </si>
  <si>
    <t>MF-080C/18</t>
  </si>
  <si>
    <t>TGOA-DAP-180924-15</t>
  </si>
  <si>
    <t>ZD15</t>
  </si>
  <si>
    <t>MF-081A1/18</t>
  </si>
  <si>
    <t>300115811</t>
  </si>
  <si>
    <t>201852681</t>
  </si>
  <si>
    <t>OCT / DIC / ENE</t>
  </si>
  <si>
    <t>SUDU78HFA000504X</t>
  </si>
  <si>
    <t>MF-081A2/18</t>
  </si>
  <si>
    <t>300116190</t>
  </si>
  <si>
    <t>201852793</t>
  </si>
  <si>
    <t>SUDU78HFA000600X</t>
  </si>
  <si>
    <t>SEAGO ANTWERP</t>
  </si>
  <si>
    <t>MF-082A1/18</t>
  </si>
  <si>
    <t>300116466</t>
  </si>
  <si>
    <t>201852906</t>
  </si>
  <si>
    <t>SUDU78HFA000639X</t>
  </si>
  <si>
    <t>MF-082A2/18</t>
  </si>
  <si>
    <t>300116673</t>
  </si>
  <si>
    <t>201950035</t>
  </si>
  <si>
    <t>MAEU606262507</t>
  </si>
  <si>
    <t>PACOBA</t>
  </si>
  <si>
    <t>CLIFFORD MAERSK</t>
  </si>
  <si>
    <t>MF-083/18</t>
  </si>
  <si>
    <t>1722</t>
  </si>
  <si>
    <t>5211</t>
  </si>
  <si>
    <t>COSU6178131420</t>
  </si>
  <si>
    <t>COSCO SHIPPING GEMINI</t>
  </si>
  <si>
    <t>XIN YA ZHOU</t>
  </si>
  <si>
    <t>MF-084A/18</t>
  </si>
  <si>
    <t>C-5464 | S-01801757</t>
  </si>
  <si>
    <t>24190</t>
  </si>
  <si>
    <t>2NDH OCT- NOV '18</t>
  </si>
  <si>
    <t>SUDU28297ADVJ4PP</t>
  </si>
  <si>
    <t>MF-084B/18</t>
  </si>
  <si>
    <t>C-5465 | S-01801760</t>
  </si>
  <si>
    <t>24191</t>
  </si>
  <si>
    <t>SUDU28297ADVJX2B</t>
  </si>
  <si>
    <t>MF-085A/18</t>
  </si>
  <si>
    <t>4000702287</t>
  </si>
  <si>
    <t>4200615942</t>
  </si>
  <si>
    <t>HBG1285381</t>
  </si>
  <si>
    <t>MF-085B/18</t>
  </si>
  <si>
    <t>4000702286</t>
  </si>
  <si>
    <t>4200615890</t>
  </si>
  <si>
    <t>SUDUA8HAM012904X</t>
  </si>
  <si>
    <t>MF-086/18</t>
  </si>
  <si>
    <t>SG-MSL-12329-2</t>
  </si>
  <si>
    <t>AC834BAYCLL003</t>
  </si>
  <si>
    <t>ARIS CONFIDENCE </t>
  </si>
  <si>
    <t>MF-087/18</t>
  </si>
  <si>
    <t>SG-MSL-12329-3</t>
  </si>
  <si>
    <t>ONEYDL8XA0137500</t>
  </si>
  <si>
    <t>TALAS SA</t>
  </si>
  <si>
    <t>MF-088A/18</t>
  </si>
  <si>
    <t>S-01801767</t>
  </si>
  <si>
    <t>24033</t>
  </si>
  <si>
    <t>MV CRESTY</t>
  </si>
  <si>
    <t>MF-088B/18</t>
  </si>
  <si>
    <t>23994</t>
  </si>
  <si>
    <t>MF-088C/18</t>
  </si>
  <si>
    <t>24032</t>
  </si>
  <si>
    <t>MF-089A/18</t>
  </si>
  <si>
    <t>UKT-EQUILIBRA-2018-2</t>
  </si>
  <si>
    <t>18-10-4052-1</t>
  </si>
  <si>
    <t>MV GULLWING</t>
  </si>
  <si>
    <t>MF-089B/18</t>
  </si>
  <si>
    <t>18-10-4052-2</t>
  </si>
  <si>
    <t>MF-090A/18</t>
  </si>
  <si>
    <t>4000703021</t>
  </si>
  <si>
    <t>4200615943</t>
  </si>
  <si>
    <t>HBG1284639</t>
  </si>
  <si>
    <t>MF-090B/18</t>
  </si>
  <si>
    <t>4000703017</t>
  </si>
  <si>
    <t>4200615891</t>
  </si>
  <si>
    <t>SUDUA8HAM012532X</t>
  </si>
  <si>
    <t>MF-091/18</t>
  </si>
  <si>
    <t>2/2018871-872</t>
  </si>
  <si>
    <t>20181792</t>
  </si>
  <si>
    <t>NOV - DIC  '18</t>
  </si>
  <si>
    <t>18.CRC.0363/MEDUCO230063</t>
  </si>
  <si>
    <t>VICTORIA</t>
  </si>
  <si>
    <t>MF-092A.1/18</t>
  </si>
  <si>
    <t>20190089</t>
  </si>
  <si>
    <t>DIC - ENE 2019</t>
  </si>
  <si>
    <t>19.CRC.0015/MAEU967775605</t>
  </si>
  <si>
    <t>ADILIA I</t>
  </si>
  <si>
    <t>MF-092A.2/18</t>
  </si>
  <si>
    <t>20190058</t>
  </si>
  <si>
    <t>ENE 2019</t>
  </si>
  <si>
    <t>19.CRC.0007/MAEU967723094</t>
  </si>
  <si>
    <t>MF-092A.3/18</t>
  </si>
  <si>
    <t>20190087</t>
  </si>
  <si>
    <t>19.CRC.0016/MAEU967766676</t>
  </si>
  <si>
    <t>MF-092B/18</t>
  </si>
  <si>
    <t>20190135</t>
  </si>
  <si>
    <t>19.CRC.0018/HLCUGOT190119895</t>
  </si>
  <si>
    <t>WES GESA</t>
  </si>
  <si>
    <t>CERINTHUS</t>
  </si>
  <si>
    <t>MF-093A/18</t>
  </si>
  <si>
    <t>20181854</t>
  </si>
  <si>
    <t>18.CRC.0377/MEDUCO238132</t>
  </si>
  <si>
    <t>MF-093B/18</t>
  </si>
  <si>
    <t>20190059</t>
  </si>
  <si>
    <t>19.CRC.0006/MEDUHO023517</t>
  </si>
  <si>
    <t>MSC SHUBA B</t>
  </si>
  <si>
    <t>MF-094A/18</t>
  </si>
  <si>
    <t>8000000292/8000000276</t>
  </si>
  <si>
    <t>252/18</t>
  </si>
  <si>
    <t>445/18 PMU</t>
  </si>
  <si>
    <t>MF-094B/18</t>
  </si>
  <si>
    <t>446/18 PMU</t>
  </si>
  <si>
    <t>MF-094C/18</t>
  </si>
  <si>
    <t>447/18 PMU</t>
  </si>
  <si>
    <t>MF-095A/18</t>
  </si>
  <si>
    <t>1010/18 ZMU</t>
  </si>
  <si>
    <t>MF-095B/18</t>
  </si>
  <si>
    <t>1011/18 ZMU</t>
  </si>
  <si>
    <t>MF-095C/18</t>
  </si>
  <si>
    <t>1012/18 ZMU</t>
  </si>
  <si>
    <t>MF-095D1/18</t>
  </si>
  <si>
    <t>1012/18 ZMU 01</t>
  </si>
  <si>
    <t>14A</t>
  </si>
  <si>
    <t>MF-095D2/18</t>
  </si>
  <si>
    <t>1013/18 ZMU</t>
  </si>
  <si>
    <t>14B</t>
  </si>
  <si>
    <t>MF-095E/18</t>
  </si>
  <si>
    <t>1014/18 ZMU</t>
  </si>
  <si>
    <t>MF-096A/18</t>
  </si>
  <si>
    <t>108/17_A22</t>
  </si>
  <si>
    <t>976/18 ZMU</t>
  </si>
  <si>
    <t>SGU0168009</t>
  </si>
  <si>
    <t>AKERDIJK</t>
  </si>
  <si>
    <t>MF-096B/18</t>
  </si>
  <si>
    <t>108/17_A23</t>
  </si>
  <si>
    <t>977/18 ZMU</t>
  </si>
  <si>
    <t>SGU0168010</t>
  </si>
  <si>
    <t>MF-097/18</t>
  </si>
  <si>
    <t>CE00090-458</t>
  </si>
  <si>
    <t>812</t>
  </si>
  <si>
    <t>COSU8008024730</t>
  </si>
  <si>
    <t>KOTA CARUM 051W</t>
  </si>
  <si>
    <t>MF-098/18</t>
  </si>
  <si>
    <t>CE00090-466</t>
  </si>
  <si>
    <t>813</t>
  </si>
  <si>
    <t>MF-099/18</t>
  </si>
  <si>
    <t>300116709</t>
  </si>
  <si>
    <t>201950037</t>
  </si>
  <si>
    <t>MAEU606267617</t>
  </si>
  <si>
    <t>MF-100A/18</t>
  </si>
  <si>
    <t>S-01801845</t>
  </si>
  <si>
    <t>I-24428</t>
  </si>
  <si>
    <t>2H NOV - DIC '18</t>
  </si>
  <si>
    <t>MV COQUIMBO</t>
  </si>
  <si>
    <t>MF-100B/18</t>
  </si>
  <si>
    <t>I-24425</t>
  </si>
  <si>
    <t>MF-100C/18</t>
  </si>
  <si>
    <t>I-24427</t>
  </si>
  <si>
    <t>MF-100D/18</t>
  </si>
  <si>
    <t>I-24426</t>
  </si>
  <si>
    <t>MF-101A/18</t>
  </si>
  <si>
    <t>F001-28636</t>
  </si>
  <si>
    <t>USEZGNKG01E</t>
  </si>
  <si>
    <t>MV UNI SUNSHINE</t>
  </si>
  <si>
    <t>MF-101B/18</t>
  </si>
  <si>
    <t>F001-28637</t>
  </si>
  <si>
    <t>USEZGNKG01F</t>
  </si>
  <si>
    <t>MF-102A/18</t>
  </si>
  <si>
    <t>F001-28633</t>
  </si>
  <si>
    <t>ZGSUNSHINE01E</t>
  </si>
  <si>
    <t>MF-102B/18</t>
  </si>
  <si>
    <t>F001-28634</t>
  </si>
  <si>
    <t>ZGSUNSHINE01F</t>
  </si>
  <si>
    <t>MF-102C/18</t>
  </si>
  <si>
    <t>F001-28635</t>
  </si>
  <si>
    <t>ZGSUNSHINE01G</t>
  </si>
  <si>
    <t>MF-103A1/18</t>
  </si>
  <si>
    <t>B7FE-18-1201-PNPE</t>
  </si>
  <si>
    <t>B7FE-18-1201-PNPE-01</t>
  </si>
  <si>
    <t>1H FEB 2019</t>
  </si>
  <si>
    <t>1005095/1/EGLV731900023320</t>
  </si>
  <si>
    <t>MELBOURNE STRAIT</t>
  </si>
  <si>
    <t>MELBOURNE STRAIT </t>
  </si>
  <si>
    <t>MF-103A2/18</t>
  </si>
  <si>
    <t>B7FE-18-1201-PNPE-02</t>
  </si>
  <si>
    <t>1005241/1/EGLV731900033619</t>
  </si>
  <si>
    <t xml:space="preserve">LOUISIANA TRADER </t>
  </si>
  <si>
    <t>LOUISIANA TRADER</t>
  </si>
  <si>
    <t>MF-103B/18</t>
  </si>
  <si>
    <t>B7FE-18-1202-PNPE</t>
  </si>
  <si>
    <t>2h ENERO 2019</t>
  </si>
  <si>
    <t>1004882/1/HLCUSCL190246955</t>
  </si>
  <si>
    <t>MF-104/18</t>
  </si>
  <si>
    <t>4000709468</t>
  </si>
  <si>
    <t>4200622898</t>
  </si>
  <si>
    <t>ENERO '19</t>
  </si>
  <si>
    <t>HBG1295485</t>
  </si>
  <si>
    <t>MF-105A/18</t>
  </si>
  <si>
    <t>C-5546</t>
  </si>
  <si>
    <t>24650</t>
  </si>
  <si>
    <t>HLCUCA41812AQUN1</t>
  </si>
  <si>
    <t>CAUTIN</t>
  </si>
  <si>
    <t>MF-105B/18</t>
  </si>
  <si>
    <t>C-5547</t>
  </si>
  <si>
    <t>24651</t>
  </si>
  <si>
    <t>HLCUCA4181297150</t>
  </si>
  <si>
    <t>MF-105C/18</t>
  </si>
  <si>
    <t>C-5548</t>
  </si>
  <si>
    <t>24652</t>
  </si>
  <si>
    <t>HLCUCA4181297267</t>
  </si>
  <si>
    <t>MF-106/18</t>
  </si>
  <si>
    <t>4000709583</t>
  </si>
  <si>
    <t>4200624811</t>
  </si>
  <si>
    <t>HLCUSCL190215000</t>
  </si>
  <si>
    <t>MSC LAUREN</t>
  </si>
  <si>
    <t>MF-107A/18</t>
  </si>
  <si>
    <t>2017/320_A5</t>
  </si>
  <si>
    <t>40100198</t>
  </si>
  <si>
    <t>SUDU89880A4SW003</t>
  </si>
  <si>
    <t>RIJNBORG</t>
  </si>
  <si>
    <t>MF-107B/18</t>
  </si>
  <si>
    <t>40100160</t>
  </si>
  <si>
    <t>SUDU89880A4SW004</t>
  </si>
  <si>
    <t>MF-108A/18</t>
  </si>
  <si>
    <t>5420</t>
  </si>
  <si>
    <t>PF185420/2/19020002</t>
  </si>
  <si>
    <t>YMLUC500000710</t>
  </si>
  <si>
    <t>COSCO PRINCE RUPERT</t>
  </si>
  <si>
    <t>MF-108B/18</t>
  </si>
  <si>
    <t>19010028</t>
  </si>
  <si>
    <t>2h ENERO '19</t>
  </si>
  <si>
    <t>AMC0705886</t>
  </si>
  <si>
    <t>MF-109/18</t>
  </si>
  <si>
    <t>19020038</t>
  </si>
  <si>
    <t>1h FEBRERO '19</t>
  </si>
  <si>
    <t>AMC0715963</t>
  </si>
  <si>
    <t>APL SAVANNAH</t>
  </si>
  <si>
    <t>MF-110A/18</t>
  </si>
  <si>
    <t>KTS 201810709</t>
  </si>
  <si>
    <t>18-12-18</t>
  </si>
  <si>
    <t>20190116</t>
  </si>
  <si>
    <t>DIC - ENE '19</t>
  </si>
  <si>
    <t>MEDUG1539824</t>
  </si>
  <si>
    <t>MSC CLEA</t>
  </si>
  <si>
    <t>MAULLIN</t>
  </si>
  <si>
    <t>MF-110B/18</t>
  </si>
  <si>
    <t>KTS 201810710</t>
  </si>
  <si>
    <t>MF-110C/18</t>
  </si>
  <si>
    <t>KTS 201810708</t>
  </si>
  <si>
    <t>20190034</t>
  </si>
  <si>
    <t>MAEU967457002</t>
  </si>
  <si>
    <t>CORNELIUS MAERSK</t>
  </si>
  <si>
    <t>MF-111A/18</t>
  </si>
  <si>
    <t>KTS 201810704</t>
  </si>
  <si>
    <t>KTS 20190058</t>
  </si>
  <si>
    <t>HLCUTA11901BIGF2</t>
  </si>
  <si>
    <t>XIANG SHUN</t>
  </si>
  <si>
    <t>CORCOVADO</t>
  </si>
  <si>
    <t>MF-111B/18</t>
  </si>
  <si>
    <t>KTS 201810705</t>
  </si>
  <si>
    <t>KTS 20190059</t>
  </si>
  <si>
    <t>HLCUTA11901BIGA7</t>
  </si>
  <si>
    <t>MF-001A/19</t>
  </si>
  <si>
    <t>001/2019</t>
  </si>
  <si>
    <t>081-5/2019</t>
  </si>
  <si>
    <t>MV AMELIE</t>
  </si>
  <si>
    <t>MF-001B/19</t>
  </si>
  <si>
    <t>081-6/2019</t>
  </si>
  <si>
    <t>MF-001C/19</t>
  </si>
  <si>
    <t> 8000000355</t>
  </si>
  <si>
    <t>081-3/2019</t>
  </si>
  <si>
    <t>MF-001D/19</t>
  </si>
  <si>
    <t>081-4/2019</t>
  </si>
  <si>
    <t>MF-002A/19</t>
  </si>
  <si>
    <t>198-1/2019</t>
  </si>
  <si>
    <t>6A</t>
  </si>
  <si>
    <t>MF-002B/19</t>
  </si>
  <si>
    <t>081-2/2019</t>
  </si>
  <si>
    <t>MF-002C/19</t>
  </si>
  <si>
    <t>198-2/2019</t>
  </si>
  <si>
    <t>6B</t>
  </si>
  <si>
    <t>MF-002D/19</t>
  </si>
  <si>
    <t>081-1/2019</t>
  </si>
  <si>
    <t>MF-003A/19</t>
  </si>
  <si>
    <t>19LYAN01</t>
  </si>
  <si>
    <t>FEBRERO '19</t>
  </si>
  <si>
    <t>HDMUQSPE8179929</t>
  </si>
  <si>
    <t>ADRIAN SCHULTE</t>
  </si>
  <si>
    <t>MF-003B/19</t>
  </si>
  <si>
    <t>MF-003C/19</t>
  </si>
  <si>
    <t>MF-003D/19</t>
  </si>
  <si>
    <t>MF-003E/19</t>
  </si>
  <si>
    <t>MF-003F/19</t>
  </si>
  <si>
    <t>MF-003G/19</t>
  </si>
  <si>
    <t>MF-003H/19</t>
  </si>
  <si>
    <t>MF-003I/19</t>
  </si>
  <si>
    <t>MF-003J/19</t>
  </si>
  <si>
    <t>UND</t>
  </si>
  <si>
    <t>MF-003K/19</t>
  </si>
  <si>
    <t>MF-003L/19</t>
  </si>
  <si>
    <t>MF-003M/19</t>
  </si>
  <si>
    <t>MF-003N/19</t>
  </si>
  <si>
    <t>MF-003Ñ/19</t>
  </si>
  <si>
    <t>MF-003O/19</t>
  </si>
  <si>
    <t>MF-003P/19</t>
  </si>
  <si>
    <t>MF-003Q/19</t>
  </si>
  <si>
    <t>MF-003R/19</t>
  </si>
  <si>
    <t>MF-003S/19</t>
  </si>
  <si>
    <t>MF-004A/19</t>
  </si>
  <si>
    <t>B7FE-19-0101-ANPE-01</t>
  </si>
  <si>
    <t>MV GLARUS</t>
  </si>
  <si>
    <t>MF-004B/19</t>
  </si>
  <si>
    <t>B7FE-19-0101-ANPE-02</t>
  </si>
  <si>
    <t>MF-004C/19</t>
  </si>
  <si>
    <t>B7FE-19-0101-ANPE-03</t>
  </si>
  <si>
    <t>MF-005A/19</t>
  </si>
  <si>
    <t>B7FE-19-0102-URPE-01</t>
  </si>
  <si>
    <t>MF-005B/19</t>
  </si>
  <si>
    <t>B7FE-19-0102-URPE-02</t>
  </si>
  <si>
    <t>MF-005C/19</t>
  </si>
  <si>
    <t>B7FE-19-0102-URPE-03</t>
  </si>
  <si>
    <t>MF-005D/19</t>
  </si>
  <si>
    <t>B7FE-19-0102-URPE-04</t>
  </si>
  <si>
    <t>MF-005E/19</t>
  </si>
  <si>
    <t>B7FE-19-0102-URPE-05</t>
  </si>
  <si>
    <t>MF-006/19</t>
  </si>
  <si>
    <t>1882</t>
  </si>
  <si>
    <t>5913</t>
  </si>
  <si>
    <t>GSSW19SHA2304A</t>
  </si>
  <si>
    <t>TENCA ARROW</t>
  </si>
  <si>
    <t>MF-007/19</t>
  </si>
  <si>
    <t>KTS 201910048</t>
  </si>
  <si>
    <t>20190223</t>
  </si>
  <si>
    <t>CKBB90003000</t>
  </si>
  <si>
    <t>XIN CHANG FENG</t>
  </si>
  <si>
    <t>PIL</t>
  </si>
  <si>
    <t>MF-008/19</t>
  </si>
  <si>
    <t>C-5592 | S-01900122</t>
  </si>
  <si>
    <t>25201</t>
  </si>
  <si>
    <t>SUDU29297AFF3MGH</t>
  </si>
  <si>
    <t>MSC CADIZ</t>
  </si>
  <si>
    <t>MF-009A/19</t>
  </si>
  <si>
    <t>C-5593 | S-01900123</t>
  </si>
  <si>
    <t>25333</t>
  </si>
  <si>
    <t>MARZO '19</t>
  </si>
  <si>
    <t>SUDU29297AFDAK7Z</t>
  </si>
  <si>
    <t>MONTE VERDE</t>
  </si>
  <si>
    <t>MF-009B/19</t>
  </si>
  <si>
    <t>C-5596 | S-01900133</t>
  </si>
  <si>
    <t>25390</t>
  </si>
  <si>
    <t>SUDU29297AFV08S9</t>
  </si>
  <si>
    <t>MSC MICHAELA</t>
  </si>
  <si>
    <t>MF-010A/19</t>
  </si>
  <si>
    <t>S-01900118</t>
  </si>
  <si>
    <t>I-25277</t>
  </si>
  <si>
    <t>1-3 FEB</t>
  </si>
  <si>
    <t>CJ190202</t>
  </si>
  <si>
    <t>MV TN DAWN</t>
  </si>
  <si>
    <t>MF-010B/19</t>
  </si>
  <si>
    <t>I-25278</t>
  </si>
  <si>
    <t>CJ190203</t>
  </si>
  <si>
    <t>MF-011A/19</t>
  </si>
  <si>
    <t>S-01900119</t>
  </si>
  <si>
    <t>I-25267</t>
  </si>
  <si>
    <t>GF190107A</t>
  </si>
  <si>
    <t>MF-011B/19</t>
  </si>
  <si>
    <t>I-25268</t>
  </si>
  <si>
    <t>GF190107B</t>
  </si>
  <si>
    <t>MF-012A1/19</t>
  </si>
  <si>
    <t>S-194658</t>
  </si>
  <si>
    <t>4755</t>
  </si>
  <si>
    <t>2H FEBRERO 19'</t>
  </si>
  <si>
    <t>ONEYTA8RP2708700</t>
  </si>
  <si>
    <t>NYK LYNX</t>
  </si>
  <si>
    <t>ALIOTH</t>
  </si>
  <si>
    <t>MF-012A2/19</t>
  </si>
  <si>
    <t>MF-012B/19</t>
  </si>
  <si>
    <t>4769</t>
  </si>
  <si>
    <t>1HMARZO 19'</t>
  </si>
  <si>
    <t>HLCUTA11902AVPW0</t>
  </si>
  <si>
    <t>SAN FRANCISCO BRIDGE</t>
  </si>
  <si>
    <t>MF-013/19</t>
  </si>
  <si>
    <t>S-194659</t>
  </si>
  <si>
    <t>4777</t>
  </si>
  <si>
    <t>GSSW19SHA2287A</t>
  </si>
  <si>
    <t>CYPRESS ARROW</t>
  </si>
  <si>
    <t>MF-014/19</t>
  </si>
  <si>
    <t>ROM19020210</t>
  </si>
  <si>
    <t>HLCUTS1190865426</t>
  </si>
  <si>
    <t>BARZAN</t>
  </si>
  <si>
    <t>MF-015/19</t>
  </si>
  <si>
    <t>ROM19020211</t>
  </si>
  <si>
    <t>HLCUTS1190865404</t>
  </si>
  <si>
    <t>EASLINE DALIAN</t>
  </si>
  <si>
    <t>MF-016A1/19</t>
  </si>
  <si>
    <t>B7FE-19-0202-MSPE</t>
  </si>
  <si>
    <t>B7FE-19-0202-MSPE-01</t>
  </si>
  <si>
    <t>2H FEB - MARCH</t>
  </si>
  <si>
    <t>EGLV141900081035</t>
  </si>
  <si>
    <t>CAPE MAHON</t>
  </si>
  <si>
    <t>LLOYD DON PASQUALE</t>
  </si>
  <si>
    <t>MF-016A2/19</t>
  </si>
  <si>
    <t>B7FE-19-0202-MSPE-02</t>
  </si>
  <si>
    <t>SUDUN9471AFPPY1B</t>
  </si>
  <si>
    <t>SOFIE MAERSK</t>
  </si>
  <si>
    <t>LEDA MAERSK</t>
  </si>
  <si>
    <t>MF-017/19</t>
  </si>
  <si>
    <t>S-01900141</t>
  </si>
  <si>
    <t>I-25269</t>
  </si>
  <si>
    <t>GF190108C</t>
  </si>
  <si>
    <t>MF-018/19</t>
  </si>
  <si>
    <t>5465</t>
  </si>
  <si>
    <t>19030022</t>
  </si>
  <si>
    <t>ONEYTS8NG0533600</t>
  </si>
  <si>
    <t>MF-019/19</t>
  </si>
  <si>
    <t>19030070</t>
  </si>
  <si>
    <t>1H MARZO '19</t>
  </si>
  <si>
    <t>HLCUTS1190858048</t>
  </si>
  <si>
    <t>COSCO FOS</t>
  </si>
  <si>
    <t>MF-020A1/19</t>
  </si>
  <si>
    <t>SG-MSL-12329-4A</t>
  </si>
  <si>
    <t>EGLV144900027396</t>
  </si>
  <si>
    <t>EVER SMILE</t>
  </si>
  <si>
    <t>MF-020A2/19</t>
  </si>
  <si>
    <t>SG-MSL-12329-4B</t>
  </si>
  <si>
    <t>EGLV144900027183</t>
  </si>
  <si>
    <t>SYDNEY TRADER</t>
  </si>
  <si>
    <t>MF-021/19</t>
  </si>
  <si>
    <t>ROM19020213</t>
  </si>
  <si>
    <t>EGLV142900373301</t>
  </si>
  <si>
    <t>EVER DYNAMIC</t>
  </si>
  <si>
    <t>MF-022/19</t>
  </si>
  <si>
    <t>C-5615 | S-01900230</t>
  </si>
  <si>
    <t>25227</t>
  </si>
  <si>
    <t>HLCUWUH190228301</t>
  </si>
  <si>
    <t>HAO HANG</t>
  </si>
  <si>
    <t>MF-023A1/19</t>
  </si>
  <si>
    <t>PS-1719</t>
  </si>
  <si>
    <t>301000830</t>
  </si>
  <si>
    <t>HLCUANR190320938</t>
  </si>
  <si>
    <t>MF-023B1/19</t>
  </si>
  <si>
    <t>301000829</t>
  </si>
  <si>
    <t>HLCUANR190320916</t>
  </si>
  <si>
    <t>MF-023A2/19</t>
  </si>
  <si>
    <t>301000848</t>
  </si>
  <si>
    <t>ABRIL '19</t>
  </si>
  <si>
    <t>HLCUANR190352340</t>
  </si>
  <si>
    <t>MF-023B2/19</t>
  </si>
  <si>
    <t>301000849</t>
  </si>
  <si>
    <t>HLCUANR190352402</t>
  </si>
  <si>
    <t>MF-023A3/19</t>
  </si>
  <si>
    <t>301000887</t>
  </si>
  <si>
    <t>MAYO '19</t>
  </si>
  <si>
    <t>HLCUANR190451420</t>
  </si>
  <si>
    <t>MF-023B3/19</t>
  </si>
  <si>
    <t>301000886</t>
  </si>
  <si>
    <t>HLCUANR190451380</t>
  </si>
  <si>
    <t>MF-024A/19</t>
  </si>
  <si>
    <t>PP-0119</t>
  </si>
  <si>
    <t>MF-024B/19</t>
  </si>
  <si>
    <t>MF-025/19</t>
  </si>
  <si>
    <t>FXE 190.004</t>
  </si>
  <si>
    <t>190400727/0402</t>
  </si>
  <si>
    <t>DIMITRI C</t>
  </si>
  <si>
    <t>MF-026A/19</t>
  </si>
  <si>
    <t>030/19</t>
  </si>
  <si>
    <t>234/19 AZ</t>
  </si>
  <si>
    <t>MV STRATEGIC EQUITY</t>
  </si>
  <si>
    <t>MF-026B/19</t>
  </si>
  <si>
    <t>235/19 AZ</t>
  </si>
  <si>
    <t>MF-026C/19</t>
  </si>
  <si>
    <t>236/19 AZ</t>
  </si>
  <si>
    <t>MF-027A/19</t>
  </si>
  <si>
    <t>005/19 AM</t>
  </si>
  <si>
    <t>MF-027B/19</t>
  </si>
  <si>
    <t>006/19 AM</t>
  </si>
  <si>
    <t>MF-027C/19</t>
  </si>
  <si>
    <t>007/19 AM</t>
  </si>
  <si>
    <t>MF-028A/19</t>
  </si>
  <si>
    <t>269/19 ZMU</t>
  </si>
  <si>
    <t>MF-028B/19</t>
  </si>
  <si>
    <t>270/19 ZMU</t>
  </si>
  <si>
    <t>MF-028C/19</t>
  </si>
  <si>
    <t>271/19 ZMU</t>
  </si>
  <si>
    <t>MF-029A/19</t>
  </si>
  <si>
    <t>2019-002</t>
  </si>
  <si>
    <t>I43962</t>
  </si>
  <si>
    <t>NAM3534959</t>
  </si>
  <si>
    <t>SEATRADE ORANGE</t>
  </si>
  <si>
    <t>CMA CGM JEAN GABRIEL</t>
  </si>
  <si>
    <t>MF-029B/19</t>
  </si>
  <si>
    <t>MF-029C/19</t>
  </si>
  <si>
    <t>S45453</t>
  </si>
  <si>
    <t>I43127</t>
  </si>
  <si>
    <t>NAM3479654</t>
  </si>
  <si>
    <t>CONTSHIP ICE</t>
  </si>
  <si>
    <t>MF-029D/19</t>
  </si>
  <si>
    <t>MF-029E/19</t>
  </si>
  <si>
    <t>S45452</t>
  </si>
  <si>
    <t>I43126</t>
  </si>
  <si>
    <t>NAM3479930</t>
  </si>
  <si>
    <t>MF-030A/19</t>
  </si>
  <si>
    <t>8000000432(s/nac)/8000000453</t>
  </si>
  <si>
    <t>204712/209852</t>
  </si>
  <si>
    <t>KTS 201910132</t>
  </si>
  <si>
    <t>KTI20190456</t>
  </si>
  <si>
    <t>2H MAR - 1H ABR</t>
  </si>
  <si>
    <t>GSSW19SHA2480BCDEFG</t>
  </si>
  <si>
    <t>MF-030B1/19</t>
  </si>
  <si>
    <t>KTS 201910133.0</t>
  </si>
  <si>
    <t>KTI20190377</t>
  </si>
  <si>
    <t>ONEYDL8CC0976800</t>
  </si>
  <si>
    <t>ALS APOLLO</t>
  </si>
  <si>
    <t>MF-030B2/19</t>
  </si>
  <si>
    <t>KTS 201910133.1</t>
  </si>
  <si>
    <t>KTI20190402</t>
  </si>
  <si>
    <t>ONEYDL8CC0982500</t>
  </si>
  <si>
    <t>MF-030B3/19</t>
  </si>
  <si>
    <t>KTS 201910133.2</t>
  </si>
  <si>
    <t xml:space="preserve">KTI 20190451 </t>
  </si>
  <si>
    <t>SUDUN94946781217</t>
  </si>
  <si>
    <t>MOSCOW MAERSK</t>
  </si>
  <si>
    <t>SAN CRISTOBAL</t>
  </si>
  <si>
    <t>MF-030B4/19</t>
  </si>
  <si>
    <t>KTS 201910133.3</t>
  </si>
  <si>
    <t xml:space="preserve">KTI 20190455 </t>
  </si>
  <si>
    <t>SUDUN94946781230</t>
  </si>
  <si>
    <t>MF-031A/19</t>
  </si>
  <si>
    <t>KTS 201910091</t>
  </si>
  <si>
    <t xml:space="preserve">KTI 20190370 </t>
  </si>
  <si>
    <t>ONEYTS8NG0562800</t>
  </si>
  <si>
    <t xml:space="preserve">NYK LIBRA </t>
  </si>
  <si>
    <t>MOL BREEZE</t>
  </si>
  <si>
    <t>MF-031B/19</t>
  </si>
  <si>
    <t>KTS 201910092</t>
  </si>
  <si>
    <t>KTI20190371</t>
  </si>
  <si>
    <t>HLCUTS1190857670</t>
  </si>
  <si>
    <t>MF-032A/19</t>
  </si>
  <si>
    <t>KTS 201910113</t>
  </si>
  <si>
    <t>KTI20190447</t>
  </si>
  <si>
    <t>0019A79638</t>
  </si>
  <si>
    <t>EVER EXCEL</t>
  </si>
  <si>
    <t>MF-032B1/19</t>
  </si>
  <si>
    <t>KTS 201910114</t>
  </si>
  <si>
    <t>KTI201900429</t>
  </si>
  <si>
    <t>ONEYTPEV17992900</t>
  </si>
  <si>
    <t>YM WIDTH</t>
  </si>
  <si>
    <t>MF-032B2/19</t>
  </si>
  <si>
    <t>KTI 20190498</t>
  </si>
  <si>
    <t>ONEYTPEV21147300</t>
  </si>
  <si>
    <t>YM WINNER</t>
  </si>
  <si>
    <t>ALIOTH </t>
  </si>
  <si>
    <t>MF-032B3/19</t>
  </si>
  <si>
    <t>KTI20190502</t>
  </si>
  <si>
    <t>ONEYTPEV22803300</t>
  </si>
  <si>
    <t>KMTC KULSAN</t>
  </si>
  <si>
    <t>MF-032B4/19</t>
  </si>
  <si>
    <t>KTI20190503</t>
  </si>
  <si>
    <t>ONEYTPEV21265400</t>
  </si>
  <si>
    <t>MF-033A/19</t>
  </si>
  <si>
    <t>KTS 201910115</t>
  </si>
  <si>
    <t>20190333</t>
  </si>
  <si>
    <t>HLCUTA11902AWII5</t>
  </si>
  <si>
    <t>XIANG SHUN 1912E</t>
  </si>
  <si>
    <t>MAIPO</t>
  </si>
  <si>
    <t>MF-033B/19</t>
  </si>
  <si>
    <t>KTS 201910116</t>
  </si>
  <si>
    <t>20190334</t>
  </si>
  <si>
    <t>HLCUTA11902AWIJ6</t>
  </si>
  <si>
    <t>MF-034/19</t>
  </si>
  <si>
    <t>1960</t>
  </si>
  <si>
    <t>6277</t>
  </si>
  <si>
    <t>GSSW19SHA2382A</t>
  </si>
  <si>
    <t>MF-035A/19</t>
  </si>
  <si>
    <t>CE00090-503</t>
  </si>
  <si>
    <t>903</t>
  </si>
  <si>
    <t>COSU8008027170</t>
  </si>
  <si>
    <t xml:space="preserve">WAN HAI 613   </t>
  </si>
  <si>
    <t>MF-035B/19</t>
  </si>
  <si>
    <t>CE00090-502</t>
  </si>
  <si>
    <t>902</t>
  </si>
  <si>
    <t>INTRA/GUA-PAI19502001/HLCUGU2190356543</t>
  </si>
  <si>
    <t xml:space="preserve">NYK LYRA </t>
  </si>
  <si>
    <t>MF-036A/19</t>
  </si>
  <si>
    <t>OFV2019000041</t>
  </si>
  <si>
    <t>FV194E000021</t>
  </si>
  <si>
    <t>PAEM007487/IBC0496813</t>
  </si>
  <si>
    <t>CELINE STAR</t>
  </si>
  <si>
    <t>MF-036B/19</t>
  </si>
  <si>
    <t>MF-036C/19</t>
  </si>
  <si>
    <t>MF-036D/19</t>
  </si>
  <si>
    <t>MF-036E/19</t>
  </si>
  <si>
    <t>MF-036F/19</t>
  </si>
  <si>
    <t>MF-036G/19</t>
  </si>
  <si>
    <t>MF-036H/19</t>
  </si>
  <si>
    <t>MF-036I/19</t>
  </si>
  <si>
    <t>MF-037/19</t>
  </si>
  <si>
    <t>C-5681 | S-01900457</t>
  </si>
  <si>
    <t>25748</t>
  </si>
  <si>
    <t>HLCUME3190418752</t>
  </si>
  <si>
    <t>MINERVA</t>
  </si>
  <si>
    <t>MF-038/19</t>
  </si>
  <si>
    <t>KTS201910156</t>
  </si>
  <si>
    <t>KTI 20190315</t>
  </si>
  <si>
    <t>2H ABRIL</t>
  </si>
  <si>
    <t>GSSW19SHA2744A</t>
  </si>
  <si>
    <t>JAVA STAR</t>
  </si>
  <si>
    <t>MF-039/19</t>
  </si>
  <si>
    <t>KTS201910157</t>
  </si>
  <si>
    <t>KTI 201910157</t>
  </si>
  <si>
    <t>GSSW19SHA2744B</t>
  </si>
  <si>
    <t>MF-040/19</t>
  </si>
  <si>
    <t>KTS201910158</t>
  </si>
  <si>
    <t>KTI20190301</t>
  </si>
  <si>
    <t>APRIL '19</t>
  </si>
  <si>
    <t>HLCUTA11904ASCE1</t>
  </si>
  <si>
    <t>MF-041A1/19</t>
  </si>
  <si>
    <t>SC-005196</t>
  </si>
  <si>
    <t>SI0010329a</t>
  </si>
  <si>
    <t>1</t>
  </si>
  <si>
    <t>MV TS GOLF</t>
  </si>
  <si>
    <t>MF-041A2/19</t>
  </si>
  <si>
    <t>SI0010329b</t>
  </si>
  <si>
    <t>2</t>
  </si>
  <si>
    <t>MF-041B/19</t>
  </si>
  <si>
    <t>SI0010329c</t>
  </si>
  <si>
    <t>MF-041C1/19</t>
  </si>
  <si>
    <t>SI0010329d</t>
  </si>
  <si>
    <t>4</t>
  </si>
  <si>
    <t>MF-041C2/19</t>
  </si>
  <si>
    <t>SI0010329e</t>
  </si>
  <si>
    <t>5</t>
  </si>
  <si>
    <t>MF-041D/19</t>
  </si>
  <si>
    <t>SI0010329f</t>
  </si>
  <si>
    <t>MF-042A/19</t>
  </si>
  <si>
    <t>F001-32621</t>
  </si>
  <si>
    <t>CHVWANHU190101-5</t>
  </si>
  <si>
    <t>MV OCEAN SATOKO</t>
  </si>
  <si>
    <t>MF-042B/19</t>
  </si>
  <si>
    <t>F001-32622</t>
  </si>
  <si>
    <t>CHVWANHU190101-6</t>
  </si>
  <si>
    <t>MF-042C/19</t>
  </si>
  <si>
    <t>F001-32623</t>
  </si>
  <si>
    <t>CHVWANHU190101-7</t>
  </si>
  <si>
    <t>MF-043A/19</t>
  </si>
  <si>
    <t>F001-32613</t>
  </si>
  <si>
    <t>ZGOSO190401D</t>
  </si>
  <si>
    <t>MF-043B/19</t>
  </si>
  <si>
    <t>F001-32617</t>
  </si>
  <si>
    <t>ZGOSO190401E</t>
  </si>
  <si>
    <t>MF-043C/19</t>
  </si>
  <si>
    <t>F001-32618</t>
  </si>
  <si>
    <t>ZGOSO190401F</t>
  </si>
  <si>
    <t>MF-043D/19</t>
  </si>
  <si>
    <t>F001-32619</t>
  </si>
  <si>
    <t>ZGOSO190401G</t>
  </si>
  <si>
    <t>MF-044A/19</t>
  </si>
  <si>
    <t>KTS 201910222</t>
  </si>
  <si>
    <t>KTI20190544</t>
  </si>
  <si>
    <t>0019A99830</t>
  </si>
  <si>
    <t>KOTA CEPAT</t>
  </si>
  <si>
    <t>MF-044B/19</t>
  </si>
  <si>
    <t>KTS 201910223</t>
  </si>
  <si>
    <t>KTI20190545</t>
  </si>
  <si>
    <t>ONEYKHHV03204800</t>
  </si>
  <si>
    <t>COPIAPO</t>
  </si>
  <si>
    <t>MF-045/19</t>
  </si>
  <si>
    <t>SG-MSL-12329-5</t>
  </si>
  <si>
    <t>GSSW19SHA2923B</t>
  </si>
  <si>
    <t>MV MACAW ARROW</t>
  </si>
  <si>
    <t>MF-046A/19</t>
  </si>
  <si>
    <t>C-5736 S-01900693</t>
  </si>
  <si>
    <t>27034</t>
  </si>
  <si>
    <t>JUNIO '19</t>
  </si>
  <si>
    <t>SUDU29297AH9T743</t>
  </si>
  <si>
    <t>MONTE OLIVIA</t>
  </si>
  <si>
    <t>LAUST MAERSK</t>
  </si>
  <si>
    <t>MF-046B1/19</t>
  </si>
  <si>
    <t>C-5748 S-01900748</t>
  </si>
  <si>
    <t>27215</t>
  </si>
  <si>
    <t>SUDU29999AHTAE0U</t>
  </si>
  <si>
    <t>POLAR ARGENTINA</t>
  </si>
  <si>
    <t>MF-046B2/19</t>
  </si>
  <si>
    <t>27658</t>
  </si>
  <si>
    <t>SUDU29999AI6PVVS</t>
  </si>
  <si>
    <t>POLAR ECUADOR</t>
  </si>
  <si>
    <t>MF-047A1/19</t>
  </si>
  <si>
    <t>ROM19020781</t>
  </si>
  <si>
    <t xml:space="preserve"> ROM19020781</t>
  </si>
  <si>
    <t>SUDUN9462AHBODSJ</t>
  </si>
  <si>
    <t>HAMMONIA BEROLINA</t>
  </si>
  <si>
    <t>SPIRIT LISBON</t>
  </si>
  <si>
    <t>MF-047B1/19</t>
  </si>
  <si>
    <t>ROM19020782</t>
  </si>
  <si>
    <t>SUDUN9998AHX7USK</t>
  </si>
  <si>
    <t>CAPT.THANASIS</t>
  </si>
  <si>
    <t>MF-047A2/19</t>
  </si>
  <si>
    <t>ROM19020783</t>
  </si>
  <si>
    <t>SUDUN9462AIXY631</t>
  </si>
  <si>
    <t>TYGRA</t>
  </si>
  <si>
    <t>SAFMARINE MAKUTU</t>
  </si>
  <si>
    <t>MF-047B2/19</t>
  </si>
  <si>
    <t>ROM19020784</t>
  </si>
  <si>
    <t>HLCUCA4190598058</t>
  </si>
  <si>
    <t>SEASPAN BRAVO</t>
  </si>
  <si>
    <t>EF ELDRA</t>
  </si>
  <si>
    <t>MF-048/19</t>
  </si>
  <si>
    <t>KTS 201910251</t>
  </si>
  <si>
    <t>20190629</t>
  </si>
  <si>
    <t>MEDUHO392763</t>
  </si>
  <si>
    <t>NOVOROSSIYSK, RUSSIA</t>
  </si>
  <si>
    <t>MSC NILGUN</t>
  </si>
  <si>
    <t xml:space="preserve">MSC BIANCA </t>
  </si>
  <si>
    <t>MF-049/19</t>
  </si>
  <si>
    <t>KTS 201910252</t>
  </si>
  <si>
    <t>20190653</t>
  </si>
  <si>
    <t>HLCUTS1191102845</t>
  </si>
  <si>
    <t>MF-050/19</t>
  </si>
  <si>
    <t>FXE 190.099</t>
  </si>
  <si>
    <t>190401708/0408</t>
  </si>
  <si>
    <t>CRISTINA STAR</t>
  </si>
  <si>
    <t>MF-051A/19</t>
  </si>
  <si>
    <t>PAT/EQUILIBRA/2019-192</t>
  </si>
  <si>
    <t>B7FE-19-0601-PUPE-01</t>
  </si>
  <si>
    <t>MV CHINA SPIRIT</t>
  </si>
  <si>
    <t>MF-051B/19</t>
  </si>
  <si>
    <t>B7FE-19-0601-PUPE-02</t>
  </si>
  <si>
    <t>MF-051C/19</t>
  </si>
  <si>
    <t>B7FE-19-0601-PUPE-03</t>
  </si>
  <si>
    <t>MF-051D/19</t>
  </si>
  <si>
    <t>B7FE-19-0601-PUPE-04</t>
  </si>
  <si>
    <t>MF-052A/19</t>
  </si>
  <si>
    <t>B7FE-19-0602-GUPE-01</t>
  </si>
  <si>
    <t>MF-052B/19</t>
  </si>
  <si>
    <t>B7FE-19-0602-GUPE-02</t>
  </si>
  <si>
    <t>MF-052C/19</t>
  </si>
  <si>
    <t>B7FE-19-0602-GUPE-03</t>
  </si>
  <si>
    <t>MF-052D/19</t>
  </si>
  <si>
    <t>B7FE-19-0602-GUPE-04</t>
  </si>
  <si>
    <t>MF-053A/19</t>
  </si>
  <si>
    <t>49672</t>
  </si>
  <si>
    <t>MEDUKB145010</t>
  </si>
  <si>
    <t>MSC KATIE</t>
  </si>
  <si>
    <t>MF-053B/19</t>
  </si>
  <si>
    <t>MF-053B.1/19</t>
  </si>
  <si>
    <t>MF-053C/19</t>
  </si>
  <si>
    <t>MF-053D/19</t>
  </si>
  <si>
    <t>MF-054/19</t>
  </si>
  <si>
    <t>KTS 201910314</t>
  </si>
  <si>
    <t>20190655</t>
  </si>
  <si>
    <t>GSSW19SHA3168A</t>
  </si>
  <si>
    <t xml:space="preserve">MV TUJU ARROW </t>
  </si>
  <si>
    <t>MF-055/19</t>
  </si>
  <si>
    <t>KTS 201910313</t>
  </si>
  <si>
    <t>20190687</t>
  </si>
  <si>
    <t>MEDUH1059474</t>
  </si>
  <si>
    <t>MSC LARA</t>
  </si>
  <si>
    <t>MSC AZOV</t>
  </si>
  <si>
    <t>MF-056/19</t>
  </si>
  <si>
    <t>2017/320_A6</t>
  </si>
  <si>
    <t>19CH-40101332</t>
  </si>
  <si>
    <t>SUDU89880A5O6001</t>
  </si>
  <si>
    <t xml:space="preserve">VILNIA MAERSK </t>
  </si>
  <si>
    <t>LUNA MAERSK</t>
  </si>
  <si>
    <t>MF-057A/19</t>
  </si>
  <si>
    <t>A1_005/19</t>
  </si>
  <si>
    <t>B7FE-19-0601-ANPE-01</t>
  </si>
  <si>
    <t xml:space="preserve">MV CARLOTA BOLTEN </t>
  </si>
  <si>
    <t>MF-057B/19</t>
  </si>
  <si>
    <t>B7FE-19-0601-ANPE-02</t>
  </si>
  <si>
    <t>MF-057C/19</t>
  </si>
  <si>
    <t>B7FE-19-0601-ANPE-03</t>
  </si>
  <si>
    <t>MF-057D/19</t>
  </si>
  <si>
    <t>B7FE-19-0601-ANPE-04</t>
  </si>
  <si>
    <t>MF-057E/19</t>
  </si>
  <si>
    <t>B7FE-19-0601-ANPE-05</t>
  </si>
  <si>
    <t>MF-058/19</t>
  </si>
  <si>
    <t>KTS 201910316</t>
  </si>
  <si>
    <t>KTI20190636</t>
  </si>
  <si>
    <t>JUNIO - JULIO '19</t>
  </si>
  <si>
    <t>GSSW19SHA3276A</t>
  </si>
  <si>
    <t>MF-059/19</t>
  </si>
  <si>
    <t>S1000010</t>
  </si>
  <si>
    <t>20190668</t>
  </si>
  <si>
    <t>GSSW19SHA3278A</t>
  </si>
  <si>
    <t>MF-060/19</t>
  </si>
  <si>
    <t>S1000009</t>
  </si>
  <si>
    <t>20190656</t>
  </si>
  <si>
    <t>GSSW19SHA3275A</t>
  </si>
  <si>
    <t>MF-061A1/19</t>
  </si>
  <si>
    <t>S1000003</t>
  </si>
  <si>
    <t>20190662</t>
  </si>
  <si>
    <t>ONEYTPEV41145300</t>
  </si>
  <si>
    <t>HAMBURG EXPRESS</t>
  </si>
  <si>
    <t>MF-061A2/19</t>
  </si>
  <si>
    <t>20190663</t>
  </si>
  <si>
    <t>HLCUTPE190628271</t>
  </si>
  <si>
    <t xml:space="preserve">YM WELCOME </t>
  </si>
  <si>
    <t>MF-061A3/19</t>
  </si>
  <si>
    <t>20190678</t>
  </si>
  <si>
    <t xml:space="preserve">HLCUTPE190628293 </t>
  </si>
  <si>
    <t xml:space="preserve">YM WINNER </t>
  </si>
  <si>
    <t>MF-062/19</t>
  </si>
  <si>
    <t>S1000006</t>
  </si>
  <si>
    <t>20190689</t>
  </si>
  <si>
    <t>HLCUDL2190724195</t>
  </si>
  <si>
    <t>ARICA BRIDGE</t>
  </si>
  <si>
    <t>MATAQUITO</t>
  </si>
  <si>
    <t>MF-063/19</t>
  </si>
  <si>
    <t>S-195158</t>
  </si>
  <si>
    <t>5036</t>
  </si>
  <si>
    <t>TXWA004885</t>
  </si>
  <si>
    <t>CMA CGM TIGRIS</t>
  </si>
  <si>
    <t>MF-064/19</t>
  </si>
  <si>
    <t>300120589</t>
  </si>
  <si>
    <t>201951668</t>
  </si>
  <si>
    <t>SUDU79HFA001376X</t>
  </si>
  <si>
    <t>HAIFO / ISRAEL</t>
  </si>
  <si>
    <t>MAERSK SKARSTIND</t>
  </si>
  <si>
    <t>MF-065/19</t>
  </si>
  <si>
    <t>4000730006</t>
  </si>
  <si>
    <t>4200640143</t>
  </si>
  <si>
    <t>HBG1329891</t>
  </si>
  <si>
    <t>CMA CGM FORT ST PIERRE</t>
  </si>
  <si>
    <t>MF-066A1/19</t>
  </si>
  <si>
    <t>PS-5119</t>
  </si>
  <si>
    <t>301000929</t>
  </si>
  <si>
    <t>HLCUANR190630040</t>
  </si>
  <si>
    <t>SANTOS EXPRESS</t>
  </si>
  <si>
    <t>MF-066B1/19</t>
  </si>
  <si>
    <t>301000928</t>
  </si>
  <si>
    <t>HLCUANR190630030</t>
  </si>
  <si>
    <t>MF-066A2/19</t>
  </si>
  <si>
    <t>301000936</t>
  </si>
  <si>
    <t>JULIO '19</t>
  </si>
  <si>
    <t>HLCUANR190646986</t>
  </si>
  <si>
    <t>MF-066B2/19</t>
  </si>
  <si>
    <t>301000935</t>
  </si>
  <si>
    <t>HLCUANR190646825</t>
  </si>
  <si>
    <t>MF-067/19</t>
  </si>
  <si>
    <t xml:space="preserve">SG-MSL-12329-6 </t>
  </si>
  <si>
    <t>SG-MSL-12329-6</t>
  </si>
  <si>
    <t>GSSW19SHA3467B</t>
  </si>
  <si>
    <t>MV PELICAN ARROW</t>
  </si>
  <si>
    <t>MF-068/19</t>
  </si>
  <si>
    <t>SG-MSL-12329-7</t>
  </si>
  <si>
    <t>SUDUN94941561909</t>
  </si>
  <si>
    <t>MARCHEN MAERSK</t>
  </si>
  <si>
    <t>MF-069A/19</t>
  </si>
  <si>
    <t>S1000094</t>
  </si>
  <si>
    <t>1000101</t>
  </si>
  <si>
    <t>ONEYKHHV05754600</t>
  </si>
  <si>
    <t xml:space="preserve">YM WINDOW </t>
  </si>
  <si>
    <t>MOL BRIGHTNESS</t>
  </si>
  <si>
    <t>MF-069B/19</t>
  </si>
  <si>
    <t>S1000095</t>
  </si>
  <si>
    <t>1000109</t>
  </si>
  <si>
    <t>ONEYKHHV05755700</t>
  </si>
  <si>
    <t xml:space="preserve">YM WISH </t>
  </si>
  <si>
    <t>MF-070A/19</t>
  </si>
  <si>
    <t>S1000105</t>
  </si>
  <si>
    <t>1000079</t>
  </si>
  <si>
    <t>GGZ0996338</t>
  </si>
  <si>
    <t>SUI DE YANG</t>
  </si>
  <si>
    <t>SEROJA TIGA</t>
  </si>
  <si>
    <t>MF-070B/19</t>
  </si>
  <si>
    <t>S1000106</t>
  </si>
  <si>
    <t>KTI S1000106</t>
  </si>
  <si>
    <t>HLCUSZX1907AZWO5</t>
  </si>
  <si>
    <t>HAI BANG DA</t>
  </si>
  <si>
    <t>MF-071/19</t>
  </si>
  <si>
    <t>S-195245</t>
  </si>
  <si>
    <t>5057</t>
  </si>
  <si>
    <t>ONEYTS9QJ0372500</t>
  </si>
  <si>
    <t>NYK LIBRA 881E</t>
  </si>
  <si>
    <t>MF-072/19</t>
  </si>
  <si>
    <t xml:space="preserve">S-195250 </t>
  </si>
  <si>
    <t>5051</t>
  </si>
  <si>
    <t>GSSW19SHA3485A</t>
  </si>
  <si>
    <t>MF-073/19</t>
  </si>
  <si>
    <t>EQUIPERU/SOPG/C269/19</t>
  </si>
  <si>
    <t>698/19</t>
  </si>
  <si>
    <t>ONEYDL8XA0393900</t>
  </si>
  <si>
    <t xml:space="preserve">ARICA BRIDGE </t>
  </si>
  <si>
    <t>MF-074A/19</t>
  </si>
  <si>
    <t xml:space="preserve">S-195251 </t>
  </si>
  <si>
    <t>5062</t>
  </si>
  <si>
    <t>GSSW19SHA3462A</t>
  </si>
  <si>
    <t>MF-074B/19</t>
  </si>
  <si>
    <t>5058</t>
  </si>
  <si>
    <t>ONEYTA9RP0581500</t>
  </si>
  <si>
    <t>MEHUIN</t>
  </si>
  <si>
    <t>MF-075/19</t>
  </si>
  <si>
    <t>EQUIPERU/NITCAL/C273/19</t>
  </si>
  <si>
    <t>702/19</t>
  </si>
  <si>
    <t>GSSW19SHA3495B</t>
  </si>
  <si>
    <t>MF-076/19</t>
  </si>
  <si>
    <t>S1000103</t>
  </si>
  <si>
    <t>KTI20190661</t>
  </si>
  <si>
    <t>55719-07061</t>
  </si>
  <si>
    <t>MIAMI / USA</t>
  </si>
  <si>
    <t>MAERSK GATESHEAD</t>
  </si>
  <si>
    <t>MF-077A/19</t>
  </si>
  <si>
    <t>ZVYN187</t>
  </si>
  <si>
    <t>GT-86821</t>
  </si>
  <si>
    <t>MEDUSG938146</t>
  </si>
  <si>
    <t>MSC CAPELLA</t>
  </si>
  <si>
    <t>MF-077B1/19</t>
  </si>
  <si>
    <t>GT-88354</t>
  </si>
  <si>
    <t>SUDUB9SCL0338781</t>
  </si>
  <si>
    <t>MF-077B2/19</t>
  </si>
  <si>
    <t>GT-88691</t>
  </si>
  <si>
    <t>MEDUCH201120</t>
  </si>
  <si>
    <t>MSC ZEBRA</t>
  </si>
  <si>
    <t>MF-078A/19</t>
  </si>
  <si>
    <t>Nr.252/18_SA1</t>
  </si>
  <si>
    <t>383/19 PMU-01</t>
  </si>
  <si>
    <t>INTERLINK PROBITY</t>
  </si>
  <si>
    <t>MF-078B/19</t>
  </si>
  <si>
    <t>383/19 PMU</t>
  </si>
  <si>
    <t>MF-078C/19</t>
  </si>
  <si>
    <t>384/19 PMU</t>
  </si>
  <si>
    <t>MF-078D/19</t>
  </si>
  <si>
    <t>385/19 PMU</t>
  </si>
  <si>
    <t>MF-078E/19</t>
  </si>
  <si>
    <t>474/19 AZ</t>
  </si>
  <si>
    <t>MF-079A/19</t>
  </si>
  <si>
    <t>Nr.084/19_A1</t>
  </si>
  <si>
    <t>626/19 ZMU</t>
  </si>
  <si>
    <t>MF-079B/19</t>
  </si>
  <si>
    <t>622/19 ZMU</t>
  </si>
  <si>
    <t>MF-079C/19</t>
  </si>
  <si>
    <t>623/19 ZMU</t>
  </si>
  <si>
    <t>MF-079D/19</t>
  </si>
  <si>
    <t>624/19 ZMU</t>
  </si>
  <si>
    <t>MF-079E/19</t>
  </si>
  <si>
    <t>625/19 ZMU</t>
  </si>
  <si>
    <t>MF-080/19</t>
  </si>
  <si>
    <t>2017/320_A7</t>
  </si>
  <si>
    <t>19CH-40101695</t>
  </si>
  <si>
    <t>JULIO - AGOSTO '19</t>
  </si>
  <si>
    <t>MOS0155771</t>
  </si>
  <si>
    <t>CMA CGM PREGOLIA</t>
  </si>
  <si>
    <t>MF-081A/19</t>
  </si>
  <si>
    <t>F001-36064</t>
  </si>
  <si>
    <t>MF-081B/19</t>
  </si>
  <si>
    <t>F001-36059</t>
  </si>
  <si>
    <t>MF-081C/19</t>
  </si>
  <si>
    <t>F001-36065</t>
  </si>
  <si>
    <t>MF-081D/19</t>
  </si>
  <si>
    <t>F001-36060</t>
  </si>
  <si>
    <t>MF-081E/19</t>
  </si>
  <si>
    <t>F001-36058</t>
  </si>
  <si>
    <t>MF-082A/19</t>
  </si>
  <si>
    <t>F001-36061</t>
  </si>
  <si>
    <t>MF-082B/19</t>
  </si>
  <si>
    <t>F001-36062</t>
  </si>
  <si>
    <t>MF-082C/19</t>
  </si>
  <si>
    <t>F001-36066</t>
  </si>
  <si>
    <t>MF-082D/19</t>
  </si>
  <si>
    <t>F001-36063</t>
  </si>
  <si>
    <t>MF-082E/19</t>
  </si>
  <si>
    <t>F001-36057</t>
  </si>
  <si>
    <t>MF-083/19</t>
  </si>
  <si>
    <t>4000733540</t>
  </si>
  <si>
    <t>Días BL</t>
  </si>
  <si>
    <t>4200644173</t>
  </si>
  <si>
    <t>HBG1340523</t>
  </si>
  <si>
    <t>CMA CGM FORT ST GEORGES</t>
  </si>
  <si>
    <t>MF-084A/19</t>
  </si>
  <si>
    <t>F001-36565</t>
  </si>
  <si>
    <t>AGOSTO '19</t>
  </si>
  <si>
    <t>ZGGID190812E</t>
  </si>
  <si>
    <t>GRANDE ISLAND</t>
  </si>
  <si>
    <t>MF-084B/19</t>
  </si>
  <si>
    <t>F001-36556</t>
  </si>
  <si>
    <t>ZGGID190812F</t>
  </si>
  <si>
    <t>MF-084C/19</t>
  </si>
  <si>
    <t>F001-36559</t>
  </si>
  <si>
    <t>ZGGID190812G</t>
  </si>
  <si>
    <t>MF-084D/19</t>
  </si>
  <si>
    <t>F001-36573</t>
  </si>
  <si>
    <t>--</t>
  </si>
  <si>
    <t>ZGGID190812H</t>
  </si>
  <si>
    <t>MF-084E/19</t>
  </si>
  <si>
    <t>F001-36570</t>
  </si>
  <si>
    <t>ZGGID190812I</t>
  </si>
  <si>
    <t>MF-085A/19</t>
  </si>
  <si>
    <t>F001-36561</t>
  </si>
  <si>
    <t>ZGGID190801E</t>
  </si>
  <si>
    <t>MF-085B/19</t>
  </si>
  <si>
    <t>F001-36566</t>
  </si>
  <si>
    <t>ZGGID190801F</t>
  </si>
  <si>
    <t>MF-085C/19</t>
  </si>
  <si>
    <t>F001-36567</t>
  </si>
  <si>
    <t>ZGGID190801G</t>
  </si>
  <si>
    <t>MF-085D/19</t>
  </si>
  <si>
    <t>F001-36572</t>
  </si>
  <si>
    <t>ZGGID190801H</t>
  </si>
  <si>
    <t>MF-085E/19</t>
  </si>
  <si>
    <t>F001-36568</t>
  </si>
  <si>
    <t>ZGGID190801I</t>
  </si>
  <si>
    <t>MF-086A/19</t>
  </si>
  <si>
    <t>F001-36575</t>
  </si>
  <si>
    <t>ZGGID190802B</t>
  </si>
  <si>
    <t>MF-086B/19</t>
  </si>
  <si>
    <t>F001-36558</t>
  </si>
  <si>
    <t>ZGGID190802C</t>
  </si>
  <si>
    <t>MF-086C/19</t>
  </si>
  <si>
    <t>F001-36560</t>
  </si>
  <si>
    <t>ZGGID190802D</t>
  </si>
  <si>
    <t>MF-086D/19</t>
  </si>
  <si>
    <t>F001-36574</t>
  </si>
  <si>
    <t>ZGGID190802E</t>
  </si>
  <si>
    <t>MF-086E/19</t>
  </si>
  <si>
    <t>F001-36571</t>
  </si>
  <si>
    <t>ZGGID190802F</t>
  </si>
  <si>
    <t>MF-087A/19</t>
  </si>
  <si>
    <t>Annex N° 25</t>
  </si>
  <si>
    <t>588/19 ZMU</t>
  </si>
  <si>
    <t>AGOSTO'19</t>
  </si>
  <si>
    <t>SGU0175733</t>
  </si>
  <si>
    <t>SAN PETERSBURGO / RUSIA</t>
  </si>
  <si>
    <t>CMA CGM NEVA</t>
  </si>
  <si>
    <t>MF-087B/19</t>
  </si>
  <si>
    <t>Annex N° 24</t>
  </si>
  <si>
    <t>587/19 ZMU</t>
  </si>
  <si>
    <t>SGU0175735</t>
  </si>
  <si>
    <t>MF-088/19</t>
  </si>
  <si>
    <t xml:space="preserve">SG-MSL-12329-8 </t>
  </si>
  <si>
    <t>AGO'19</t>
  </si>
  <si>
    <t>4356-0464-908.011/ONEYDL9CT0716700</t>
  </si>
  <si>
    <t>NYK ISABEL</t>
  </si>
  <si>
    <t>ONE/ K+N</t>
  </si>
  <si>
    <t>MF-089/19</t>
  </si>
  <si>
    <t>B7FE-19-0701-MNPE</t>
  </si>
  <si>
    <t>1H AGOSTO'19</t>
  </si>
  <si>
    <t>ONEYTA9PU9055400</t>
  </si>
  <si>
    <t xml:space="preserve">NYK LYRA   </t>
  </si>
  <si>
    <t>MF-090/19</t>
  </si>
  <si>
    <t>S1000198</t>
  </si>
  <si>
    <t>1000352</t>
  </si>
  <si>
    <t>AGO - SET '19</t>
  </si>
  <si>
    <t>SUDUN9537ALRT621</t>
  </si>
  <si>
    <t xml:space="preserve">KAI TONG </t>
  </si>
  <si>
    <t>MF-091/19</t>
  </si>
  <si>
    <t>S1000199</t>
  </si>
  <si>
    <t>1000231</t>
  </si>
  <si>
    <t>GSSW19SHA3846A</t>
  </si>
  <si>
    <t>CHANGSHU / CHINA</t>
  </si>
  <si>
    <t>CORELLA ARROW</t>
  </si>
  <si>
    <t>MF-092/19</t>
  </si>
  <si>
    <t>C-5877 S-01901318</t>
  </si>
  <si>
    <t>28230</t>
  </si>
  <si>
    <t>HLCUME3190876122</t>
  </si>
  <si>
    <t>E.R CANADA</t>
  </si>
  <si>
    <t>MF-093/19</t>
  </si>
  <si>
    <t>2017/320_A8</t>
  </si>
  <si>
    <t>19CH-40101951</t>
  </si>
  <si>
    <t>SET '19</t>
  </si>
  <si>
    <t>MOS0155471A</t>
  </si>
  <si>
    <t xml:space="preserve">CMA CGM LOUGA </t>
  </si>
  <si>
    <t>MF-094/19</t>
  </si>
  <si>
    <t>EQUIPERU/MAGNIT/C321/19</t>
  </si>
  <si>
    <t>788/19</t>
  </si>
  <si>
    <t>GSSW19SHA3801A</t>
  </si>
  <si>
    <t>MF-095A1/19</t>
  </si>
  <si>
    <t>S1000216</t>
  </si>
  <si>
    <t>1000279</t>
  </si>
  <si>
    <t>GSSW19SHA3859B</t>
  </si>
  <si>
    <t>MF-095A2/19</t>
  </si>
  <si>
    <t>1000281</t>
  </si>
  <si>
    <t>GSSW19SHA3859A</t>
  </si>
  <si>
    <t>MF-095B1/19</t>
  </si>
  <si>
    <t>S1000217</t>
  </si>
  <si>
    <t>1000230</t>
  </si>
  <si>
    <t>ONEYTS8NG0858900</t>
  </si>
  <si>
    <t>SEADREAM</t>
  </si>
  <si>
    <t>MF-095B2/19</t>
  </si>
  <si>
    <t>1000267</t>
  </si>
  <si>
    <t>ONEYTS8NG0861300</t>
  </si>
  <si>
    <t>GENOVA</t>
  </si>
  <si>
    <t>MF-096A/19</t>
  </si>
  <si>
    <t>PP-0219</t>
  </si>
  <si>
    <t>301001036</t>
  </si>
  <si>
    <t>SUDUC9ANR019754X</t>
  </si>
  <si>
    <t xml:space="preserve">LARS MAERSK </t>
  </si>
  <si>
    <t>MF-096B/19</t>
  </si>
  <si>
    <t>301001037</t>
  </si>
  <si>
    <t>SUDUC9ANR020042X</t>
  </si>
  <si>
    <t>MF-097A/19</t>
  </si>
  <si>
    <t>S-195442</t>
  </si>
  <si>
    <t>5144</t>
  </si>
  <si>
    <t>SF918BAYCLL010</t>
  </si>
  <si>
    <t xml:space="preserve">SAGA FJORD </t>
  </si>
  <si>
    <t>MF-097B/19</t>
  </si>
  <si>
    <t>ONEYTS9QJ0552500</t>
  </si>
  <si>
    <t>MF-098A1/19</t>
  </si>
  <si>
    <t>C-5912 S-01301475</t>
  </si>
  <si>
    <t>28360</t>
  </si>
  <si>
    <t>HLCUME3190931501</t>
  </si>
  <si>
    <t>TORRENTE</t>
  </si>
  <si>
    <t>MF-098A2/19</t>
  </si>
  <si>
    <t>28518-A</t>
  </si>
  <si>
    <t>OCT '19</t>
  </si>
  <si>
    <t>SUDU29297AJBHXP9</t>
  </si>
  <si>
    <t>LUTETIA</t>
  </si>
  <si>
    <t>LEXA MAERSK</t>
  </si>
  <si>
    <t>MF-098A3/19</t>
  </si>
  <si>
    <t>28518-B</t>
  </si>
  <si>
    <t>SUDU29297AJBH004</t>
  </si>
  <si>
    <t>SAFMARINE NOMAZWE</t>
  </si>
  <si>
    <t>MF-098A4/19</t>
  </si>
  <si>
    <t>28518-C</t>
  </si>
  <si>
    <t>SUDU2929MEMOH004</t>
  </si>
  <si>
    <t>POLAR</t>
  </si>
  <si>
    <t>RANSA</t>
  </si>
  <si>
    <t>MF-099A1/19</t>
  </si>
  <si>
    <t>SG-MSL-12329-9A</t>
  </si>
  <si>
    <t xml:space="preserve"> 4356-0464-909.013/ONEYDL9CT0879300</t>
  </si>
  <si>
    <t>MSC NATASHA</t>
  </si>
  <si>
    <t>MF-099A2/19</t>
  </si>
  <si>
    <t>SG-MSL-12329-9B</t>
  </si>
  <si>
    <t>NOVIEMBRE '19</t>
  </si>
  <si>
    <t>4356-0464-911.016/ONEYDL9CT0845300</t>
  </si>
  <si>
    <t>MF-100.1/19</t>
  </si>
  <si>
    <t>EQUIPERU/SULMAG/C358/19</t>
  </si>
  <si>
    <t>861/19</t>
  </si>
  <si>
    <t>SF918BAYCLL027/028</t>
  </si>
  <si>
    <t>SAGA FJORD</t>
  </si>
  <si>
    <t>MF-100.2/19</t>
  </si>
  <si>
    <t>EQUIPERU/SULMAG/C359/19</t>
  </si>
  <si>
    <t>861-1/19</t>
  </si>
  <si>
    <t>MEDUQ0035590</t>
  </si>
  <si>
    <t xml:space="preserve">MOL PROSPERITY </t>
  </si>
  <si>
    <t>MF-100.3/19</t>
  </si>
  <si>
    <t>EQUIPERU/SULMAG/C360/19</t>
  </si>
  <si>
    <t>862-863/19</t>
  </si>
  <si>
    <t>GSSW19SHA4572B</t>
  </si>
  <si>
    <t>JAPIN ARROW</t>
  </si>
  <si>
    <t>MF-101A1/19</t>
  </si>
  <si>
    <t>2/2019610/611</t>
  </si>
  <si>
    <t>20191004</t>
  </si>
  <si>
    <t>2H SET '19</t>
  </si>
  <si>
    <t>19.CRC.0011</t>
  </si>
  <si>
    <t>PETKUM</t>
  </si>
  <si>
    <t>LICA MAERSK</t>
  </si>
  <si>
    <t>AG. CARGA</t>
  </si>
  <si>
    <t>MF-101A2/19</t>
  </si>
  <si>
    <t>20191014</t>
  </si>
  <si>
    <t>19.CRC.0344/MAEU585554520</t>
  </si>
  <si>
    <t>MSC / AG. CARGA</t>
  </si>
  <si>
    <t>MF-101B/19</t>
  </si>
  <si>
    <t>20191062</t>
  </si>
  <si>
    <t>19.CRC.0345/MAEU585555096</t>
  </si>
  <si>
    <t>EXPANSA</t>
  </si>
  <si>
    <t>MF-102/19</t>
  </si>
  <si>
    <t>1012026</t>
  </si>
  <si>
    <t>INTRA/GUA-CLL19502002/HLCUGU2190858667</t>
  </si>
  <si>
    <t xml:space="preserve">SAN FRANCISCO BRIDGE </t>
  </si>
  <si>
    <t>HAPAG LLOYD / AG. CARGA</t>
  </si>
  <si>
    <t>MF-103A1/19</t>
  </si>
  <si>
    <t>2017/320_A9</t>
  </si>
  <si>
    <t>19CH-40102290</t>
  </si>
  <si>
    <t>SUDU89880A6J3008</t>
  </si>
  <si>
    <t>VISTULA MAERSK</t>
  </si>
  <si>
    <t>MF-103A2/19</t>
  </si>
  <si>
    <t>19CH-40102392</t>
  </si>
  <si>
    <t>SUDU89880A6M3004</t>
  </si>
  <si>
    <t xml:space="preserve">VISTULA MAERSK </t>
  </si>
  <si>
    <t>MF-104A1/19</t>
  </si>
  <si>
    <t>603/11433</t>
  </si>
  <si>
    <t>1039700</t>
  </si>
  <si>
    <t xml:space="preserve">MV GREENWING </t>
  </si>
  <si>
    <r>
      <t>MF-104A2/19</t>
    </r>
    <r>
      <rPr>
        <sz val="6"/>
        <color indexed="8"/>
        <rFont val="Arial"/>
        <family val="2"/>
      </rPr>
      <t xml:space="preserve"> (VTA GAV)</t>
    </r>
  </si>
  <si>
    <t>1039696</t>
  </si>
  <si>
    <t>MF-104B1/19</t>
  </si>
  <si>
    <t>1039698</t>
  </si>
  <si>
    <r>
      <t xml:space="preserve">MF-104B2/19 </t>
    </r>
    <r>
      <rPr>
        <sz val="6"/>
        <color indexed="8"/>
        <rFont val="Arial"/>
        <family val="2"/>
      </rPr>
      <t>(VTA GAV)</t>
    </r>
  </si>
  <si>
    <t>1039693</t>
  </si>
  <si>
    <t>MF-105A/19</t>
  </si>
  <si>
    <t>Nr.108/17_A27</t>
  </si>
  <si>
    <t>747/19 ZMU</t>
  </si>
  <si>
    <t>SGU0176790</t>
  </si>
  <si>
    <t>MF-105B/19</t>
  </si>
  <si>
    <t>Nr.108/17_A26</t>
  </si>
  <si>
    <t>746/19 ZMU</t>
  </si>
  <si>
    <t>SGU0176786</t>
  </si>
  <si>
    <t>MF-106A/19</t>
  </si>
  <si>
    <t>3099104130</t>
  </si>
  <si>
    <t>4610007104</t>
  </si>
  <si>
    <t>HLCUJK1190930798</t>
  </si>
  <si>
    <t>NYK FUSHIMI</t>
  </si>
  <si>
    <t>MF-106B/19</t>
  </si>
  <si>
    <t>4610007175</t>
  </si>
  <si>
    <t>HLCUJK1190930754</t>
  </si>
  <si>
    <t>SEASPAN NEW DELHI</t>
  </si>
  <si>
    <t>MF-107/19</t>
  </si>
  <si>
    <t>S1000281</t>
  </si>
  <si>
    <t>1000348</t>
  </si>
  <si>
    <t xml:space="preserve">ZHONG YI ZE TAI </t>
  </si>
  <si>
    <t>XIN OU ZHOU</t>
  </si>
  <si>
    <t>MF-108A1/19</t>
  </si>
  <si>
    <t>243119</t>
  </si>
  <si>
    <t>B7FE-19-1002-URPE-04</t>
  </si>
  <si>
    <t>MV ROJEN</t>
  </si>
  <si>
    <t>MF-108A2/19</t>
  </si>
  <si>
    <t>B7FE-19-1002-URPE-05</t>
  </si>
  <si>
    <t>MF-108B/19</t>
  </si>
  <si>
    <t>B7FE-19-1002-URPE-06</t>
  </si>
  <si>
    <t>MF-108C/19</t>
  </si>
  <si>
    <t>B7FE-19-1002-URPE-01</t>
  </si>
  <si>
    <t>MF-108D/19</t>
  </si>
  <si>
    <t>B7FE-19-1002-URPE-02</t>
  </si>
  <si>
    <t>MF-108E/19</t>
  </si>
  <si>
    <t>B7FE-19-1002-URPE-03</t>
  </si>
  <si>
    <t>MF-109A/19</t>
  </si>
  <si>
    <t>B7FE-19-1001-ANPE-01</t>
  </si>
  <si>
    <t>MF-109B/19</t>
  </si>
  <si>
    <t>B7FE-19-1001-ANPE-02</t>
  </si>
  <si>
    <t>MF-109C/19</t>
  </si>
  <si>
    <t>B7FE-19-1001-ANPE-03</t>
  </si>
  <si>
    <t>MF-109D/19</t>
  </si>
  <si>
    <t>B7FE-19-1001-ANPE-04</t>
  </si>
  <si>
    <t>MF-109E/19</t>
  </si>
  <si>
    <t>B7FE-19-1001-ANPE-05</t>
  </si>
  <si>
    <t>MF-110A/19</t>
  </si>
  <si>
    <t>ROM19021588</t>
  </si>
  <si>
    <t>EO920TXGCLL002</t>
  </si>
  <si>
    <t>MV EARTH OCEAN</t>
  </si>
  <si>
    <t>MF-110B/19</t>
  </si>
  <si>
    <t>ROM19021587</t>
  </si>
  <si>
    <t>ONEYTS9TI2707400</t>
  </si>
  <si>
    <t>MF-111.1/19</t>
  </si>
  <si>
    <t>S1000298</t>
  </si>
  <si>
    <t>20190867</t>
  </si>
  <si>
    <t>ONEYTPEV71865800</t>
  </si>
  <si>
    <t>MF-111.2/19</t>
  </si>
  <si>
    <t>S1000299</t>
  </si>
  <si>
    <t>20190853</t>
  </si>
  <si>
    <t>HLCUTPE191001386</t>
  </si>
  <si>
    <t>COCHRANE</t>
  </si>
  <si>
    <t>MF-111.3/19</t>
  </si>
  <si>
    <t>20190865</t>
  </si>
  <si>
    <t>HLCUTPE191001459</t>
  </si>
  <si>
    <t>MF-112.1/19</t>
  </si>
  <si>
    <t>SG-MSL-12329-10</t>
  </si>
  <si>
    <t>SG-MSL-12329-10A</t>
  </si>
  <si>
    <t>4356-0464-911.014/ ONEYDL9CT0825800</t>
  </si>
  <si>
    <t>MF-112.2/19</t>
  </si>
  <si>
    <t>SG-MSL-12329-10B</t>
  </si>
  <si>
    <t>4356-0464-911.017/ ONEYDL9CT0847500</t>
  </si>
  <si>
    <t>MF-113A1/19</t>
  </si>
  <si>
    <t>2017/320_A10</t>
  </si>
  <si>
    <t>19CH-40102635</t>
  </si>
  <si>
    <t>1H NOVIEMBRE '19</t>
  </si>
  <si>
    <t xml:space="preserve"> MOS0157010 </t>
  </si>
  <si>
    <t xml:space="preserve">CMA CGM PREGOLIA </t>
  </si>
  <si>
    <t>COSCO SHIPPING DANUBE</t>
  </si>
  <si>
    <t>MF-113A2/19</t>
  </si>
  <si>
    <t>19CH-40102714</t>
  </si>
  <si>
    <t>2H NOVIEMBRE '19</t>
  </si>
  <si>
    <t>MOS0157012</t>
  </si>
  <si>
    <t>ARIES J</t>
  </si>
  <si>
    <t>MF-114A/19</t>
  </si>
  <si>
    <t>B7FE-19-0902-MNPE</t>
  </si>
  <si>
    <t>RAC46TJ22</t>
  </si>
  <si>
    <t xml:space="preserve">RONG AN CHENG </t>
  </si>
  <si>
    <t>MF-115/19</t>
  </si>
  <si>
    <t>FXE 190.019</t>
  </si>
  <si>
    <t>190404152/0408</t>
  </si>
  <si>
    <t>ALEXIS</t>
  </si>
  <si>
    <t>CMA CGM (IFS)</t>
  </si>
  <si>
    <t>MF-116A/19</t>
  </si>
  <si>
    <t>2802</t>
  </si>
  <si>
    <t>N-12530-A</t>
  </si>
  <si>
    <t>MF-116B/19</t>
  </si>
  <si>
    <t>N-12530-B</t>
  </si>
  <si>
    <t>MF-116C/19</t>
  </si>
  <si>
    <t>N-12530-C</t>
  </si>
  <si>
    <t>MF-116D/19</t>
  </si>
  <si>
    <t>N-12530-D</t>
  </si>
  <si>
    <t>MF-117A/19</t>
  </si>
  <si>
    <t>2651</t>
  </si>
  <si>
    <t>N-12529-A</t>
  </si>
  <si>
    <t>MF-117B/19</t>
  </si>
  <si>
    <t>N-12529-B</t>
  </si>
  <si>
    <t>MF-117C/19</t>
  </si>
  <si>
    <t>N-12529-C</t>
  </si>
  <si>
    <t>MF-117D/19</t>
  </si>
  <si>
    <t>N-12529-D</t>
  </si>
  <si>
    <t>MF-118A/19</t>
  </si>
  <si>
    <t>2649</t>
  </si>
  <si>
    <t>N-12528-A</t>
  </si>
  <si>
    <t>MF-118B/19</t>
  </si>
  <si>
    <t>N-12528-B</t>
  </si>
  <si>
    <t>MF-118C/19</t>
  </si>
  <si>
    <t>N-12528-C</t>
  </si>
  <si>
    <t>MF-119A/19</t>
  </si>
  <si>
    <t>2650</t>
  </si>
  <si>
    <t>N-12380-A</t>
  </si>
  <si>
    <t>MF-119B/19</t>
  </si>
  <si>
    <t>N-12380-B</t>
  </si>
  <si>
    <t>MF-119C/19</t>
  </si>
  <si>
    <t>N-12380-C</t>
  </si>
  <si>
    <t>MF-119D/19</t>
  </si>
  <si>
    <t>N-12380-D</t>
  </si>
  <si>
    <t>MF-120A/19</t>
  </si>
  <si>
    <t>158/19-1</t>
  </si>
  <si>
    <t>877/19 ZMU</t>
  </si>
  <si>
    <t>SGU0177977</t>
  </si>
  <si>
    <t>MF-120B/19</t>
  </si>
  <si>
    <t>158/19-2</t>
  </si>
  <si>
    <t>878/19 ZMU</t>
  </si>
  <si>
    <t>SGU0177978</t>
  </si>
  <si>
    <t>MF-121A/19</t>
  </si>
  <si>
    <t>C-5980 S-01901764</t>
  </si>
  <si>
    <t>29125</t>
  </si>
  <si>
    <t>HLCUME3191128520</t>
  </si>
  <si>
    <t>TUCAPEL</t>
  </si>
  <si>
    <t>MF-121B/19</t>
  </si>
  <si>
    <t>C-5981 S-01901765</t>
  </si>
  <si>
    <t>29126</t>
  </si>
  <si>
    <t>SUDU29MEX032583X</t>
  </si>
  <si>
    <t>POLAR COSTA RICA</t>
  </si>
  <si>
    <t>MF-122A/19</t>
  </si>
  <si>
    <t>SG-MSL-12329-12</t>
  </si>
  <si>
    <t>SF921BAYCLL001</t>
  </si>
  <si>
    <t>SAGA FLORA</t>
  </si>
  <si>
    <t>MF-122B1/19</t>
  </si>
  <si>
    <t>SG-MSL-12329-11</t>
  </si>
  <si>
    <t>SG-MSL-12329-11A</t>
  </si>
  <si>
    <t>4352-0464-911.012/ ONEYTA9PTD808400</t>
  </si>
  <si>
    <t>MF-122B2/19</t>
  </si>
  <si>
    <t>SG-MSL-12329-11B</t>
  </si>
  <si>
    <t>4356-0464-911.015/ ONEYDL9CT0840500</t>
  </si>
  <si>
    <t>MF-122C/19</t>
  </si>
  <si>
    <t>SG-MSL-12329-13</t>
  </si>
  <si>
    <t>JY201910</t>
  </si>
  <si>
    <t>MF-123A/19</t>
  </si>
  <si>
    <t>SC-007775</t>
  </si>
  <si>
    <t>SI0015597</t>
  </si>
  <si>
    <t>0019C86402</t>
  </si>
  <si>
    <t>AGIOS MINAS</t>
  </si>
  <si>
    <t>MF-123B/19</t>
  </si>
  <si>
    <t>SI0015474</t>
  </si>
  <si>
    <t>KEL/PAI/1911007</t>
  </si>
  <si>
    <t xml:space="preserve">CRISTINA STAR </t>
  </si>
  <si>
    <t>MF-124A/19</t>
  </si>
  <si>
    <t>SI0015912</t>
  </si>
  <si>
    <t>2H DICIEMBRE '19</t>
  </si>
  <si>
    <t>0019C99184</t>
  </si>
  <si>
    <t>KOTA CEPAT </t>
  </si>
  <si>
    <t>MF-124B/19</t>
  </si>
  <si>
    <t>SI0015810</t>
  </si>
  <si>
    <t>ONEYKHHV10120300</t>
  </si>
  <si>
    <t>MF-125A/19</t>
  </si>
  <si>
    <t>SG-ZSL-12329-15</t>
  </si>
  <si>
    <t>SF921TXGCLL010</t>
  </si>
  <si>
    <t>TIANJIN / CHINA</t>
  </si>
  <si>
    <t>MF-125B/19</t>
  </si>
  <si>
    <t>SG-ZSL-12329-14</t>
  </si>
  <si>
    <t>4369-0464-911.011/ TXGH001894</t>
  </si>
  <si>
    <t>CMA CGM ZHENG HE</t>
  </si>
  <si>
    <t>APL/ K+N</t>
  </si>
  <si>
    <t>MF-126A/19</t>
  </si>
  <si>
    <t>SI0016421</t>
  </si>
  <si>
    <t>1H DICIEMBRE '19</t>
  </si>
  <si>
    <t>0019D01433</t>
  </si>
  <si>
    <t>MF-126B1/19</t>
  </si>
  <si>
    <t>SI0016272-A</t>
  </si>
  <si>
    <t>ONEYKHHV10522900</t>
  </si>
  <si>
    <t xml:space="preserve">MOL BENEFACTOR </t>
  </si>
  <si>
    <t>MF-126B2/19</t>
  </si>
  <si>
    <t>SI0016272-B</t>
  </si>
  <si>
    <t>ONEYKHHV10523300</t>
  </si>
  <si>
    <t>MF-127A/19</t>
  </si>
  <si>
    <t>3081</t>
  </si>
  <si>
    <t>N-13985-A</t>
  </si>
  <si>
    <t>DICIEMBRE '19</t>
  </si>
  <si>
    <t>ERJJ01D</t>
  </si>
  <si>
    <t>JINGJIANG/CHINA</t>
  </si>
  <si>
    <t>ELIZABETH RIVER</t>
  </si>
  <si>
    <t>MF-127B/19</t>
  </si>
  <si>
    <t>N-13985-B</t>
  </si>
  <si>
    <t>ERJJ01E</t>
  </si>
  <si>
    <t>MF-127C/19</t>
  </si>
  <si>
    <t>N-13985-C</t>
  </si>
  <si>
    <t>ERJJ01B</t>
  </si>
  <si>
    <t>MF-127D/19</t>
  </si>
  <si>
    <t>N-13985-D</t>
  </si>
  <si>
    <t>ERJJ01C</t>
  </si>
  <si>
    <t>MF-128A/19</t>
  </si>
  <si>
    <t>7300014260</t>
  </si>
  <si>
    <t>NOV - 1H DIC '19</t>
  </si>
  <si>
    <t>MEDUBZ086019</t>
  </si>
  <si>
    <t>JOANNA</t>
  </si>
  <si>
    <t>MSC EARTH</t>
  </si>
  <si>
    <t>MF-128B/19</t>
  </si>
  <si>
    <t>7300017996</t>
  </si>
  <si>
    <t>HBG1370832</t>
  </si>
  <si>
    <t>MF-129/19</t>
  </si>
  <si>
    <t>.</t>
  </si>
  <si>
    <t>04532292632</t>
  </si>
  <si>
    <t>SANTIAGO / CHILE</t>
  </si>
  <si>
    <t>LAN CARGO</t>
  </si>
  <si>
    <t>MF-130.1/19</t>
  </si>
  <si>
    <t>PEQUI1912</t>
  </si>
  <si>
    <t>FV194E000182</t>
  </si>
  <si>
    <t>ENERO '20</t>
  </si>
  <si>
    <t>032019122294</t>
  </si>
  <si>
    <t>MF-130.2/19</t>
  </si>
  <si>
    <t>MF-130.3/19</t>
  </si>
  <si>
    <t>MF-131/19</t>
  </si>
  <si>
    <t>2010100170</t>
  </si>
  <si>
    <t>HLCUBSC2001BHRB0</t>
  </si>
  <si>
    <t>CHARLESTON/USA</t>
  </si>
  <si>
    <t>SPIRIT OF AUCKLAND</t>
  </si>
  <si>
    <t>MF-001/20</t>
  </si>
  <si>
    <t>SC 200014</t>
  </si>
  <si>
    <t>220.061</t>
  </si>
  <si>
    <t>FEBRERO '20</t>
  </si>
  <si>
    <t>ONEYTS9NC7284600</t>
  </si>
  <si>
    <t>WIKING</t>
  </si>
  <si>
    <t>EQUILIBRA</t>
  </si>
  <si>
    <t>MF-002/20</t>
  </si>
  <si>
    <t>NORBRIGHT</t>
  </si>
  <si>
    <t>MF-003A/20</t>
  </si>
  <si>
    <t>SG-MSL-12329-17</t>
  </si>
  <si>
    <t>BABYQCLA02</t>
  </si>
  <si>
    <t>MV BANGLAR ARJAN </t>
  </si>
  <si>
    <t>MF-003B1/20</t>
  </si>
  <si>
    <t>SG-MSL-12329-16</t>
  </si>
  <si>
    <t>SG-MSL-12329-16A</t>
  </si>
  <si>
    <t>SUDUN94945670890</t>
  </si>
  <si>
    <t>MAERSK HONG KONG</t>
  </si>
  <si>
    <t>MINSTREL</t>
  </si>
  <si>
    <t>MF-003B2/20</t>
  </si>
  <si>
    <t>SG-MSL-12329-16B</t>
  </si>
  <si>
    <t>SUDUN0471APKTADA</t>
  </si>
  <si>
    <t>MF-004/20</t>
  </si>
  <si>
    <t>DEX 0031/03/2020</t>
  </si>
  <si>
    <t>OOLU2636720650</t>
  </si>
  <si>
    <t>HERCULES J </t>
  </si>
  <si>
    <t>EWX COSCO</t>
  </si>
  <si>
    <t>OOCL</t>
  </si>
  <si>
    <t>MF-005.1/20</t>
  </si>
  <si>
    <t>C-6067 | S-02000066</t>
  </si>
  <si>
    <t>29872</t>
  </si>
  <si>
    <t>HLCUME3200233433</t>
  </si>
  <si>
    <t xml:space="preserve">E.R CANADA </t>
  </si>
  <si>
    <t>SAVAR</t>
  </si>
  <si>
    <t>MF-005.2/20</t>
  </si>
  <si>
    <t>HLCUME3200233433/HLCUME3200336620</t>
  </si>
  <si>
    <t>MF-006/20</t>
  </si>
  <si>
    <t>C-6069 | S-02000071</t>
  </si>
  <si>
    <t>29970</t>
  </si>
  <si>
    <t>SUDU20MEX003513X</t>
  </si>
  <si>
    <t xml:space="preserve">SAFMARINE BENGUELA </t>
  </si>
  <si>
    <t>MF-007/20</t>
  </si>
  <si>
    <t>C-6070 | S-02000072</t>
  </si>
  <si>
    <t>29802</t>
  </si>
  <si>
    <t>HLCUME3200171384</t>
  </si>
  <si>
    <t>MF-008/20</t>
  </si>
  <si>
    <t>MF-009A/20</t>
  </si>
  <si>
    <t>391</t>
  </si>
  <si>
    <t>MEDUCH610734</t>
  </si>
  <si>
    <t>MSC NORA</t>
  </si>
  <si>
    <t>MF-009B/20</t>
  </si>
  <si>
    <t>413</t>
  </si>
  <si>
    <t>HLCUSCL200208114</t>
  </si>
  <si>
    <t>MF-010A/20</t>
  </si>
  <si>
    <t>441</t>
  </si>
  <si>
    <t>MARZO '20</t>
  </si>
  <si>
    <t>HLCUSCL200342937</t>
  </si>
  <si>
    <t>MF-010B/20</t>
  </si>
  <si>
    <t>447</t>
  </si>
  <si>
    <t>HLCUSCL200242621</t>
  </si>
  <si>
    <t>MF-011/20</t>
  </si>
  <si>
    <t>S5000050</t>
  </si>
  <si>
    <t>5000041</t>
  </si>
  <si>
    <t>HLCUTA11912ASDR2</t>
  </si>
  <si>
    <t>MF-012A/20</t>
  </si>
  <si>
    <t>B7FE-20-3003-ANPE-01</t>
  </si>
  <si>
    <t>FEB - MAR '20</t>
  </si>
  <si>
    <t>MV FEDERAL SKEENA</t>
  </si>
  <si>
    <t>MF-012B/20</t>
  </si>
  <si>
    <t>B7FE-20-3003-ANPE-02</t>
  </si>
  <si>
    <t>MF-012C/20</t>
  </si>
  <si>
    <t>B7FE-20-3003-ANPE-03</t>
  </si>
  <si>
    <t>MF-012D/20</t>
  </si>
  <si>
    <t>B7FE-20-3003-ANPE-04</t>
  </si>
  <si>
    <t>MF-012E/20</t>
  </si>
  <si>
    <t>B7FE-20-3003-ANPE-05</t>
  </si>
  <si>
    <t>TISUR</t>
  </si>
  <si>
    <t>MF-013A/20</t>
  </si>
  <si>
    <t>B7FE-20-3004-URPE-01</t>
  </si>
  <si>
    <t>MF-013B/20</t>
  </si>
  <si>
    <t>B7FE-20-3004-URPE-02</t>
  </si>
  <si>
    <t>MF-013C/20</t>
  </si>
  <si>
    <t>B7FE-20-3004-URPE-03</t>
  </si>
  <si>
    <t>MF-013D/20</t>
  </si>
  <si>
    <t>B7FE-20-3004-URPE-04</t>
  </si>
  <si>
    <t>MF-014A/20</t>
  </si>
  <si>
    <t>GAVILON PERÚ (MITSUI)</t>
  </si>
  <si>
    <t>MF-014B/20</t>
  </si>
  <si>
    <t>MF-014C/20</t>
  </si>
  <si>
    <t>MF-014D/20</t>
  </si>
  <si>
    <t>MF-015A/20</t>
  </si>
  <si>
    <t>S-02000105</t>
  </si>
  <si>
    <t>I-30300(30300-C)</t>
  </si>
  <si>
    <t>MV WOODY</t>
  </si>
  <si>
    <t>MF-015B/20</t>
  </si>
  <si>
    <t>I-30301(30301-C)</t>
  </si>
  <si>
    <t>MF-015C/20</t>
  </si>
  <si>
    <t>I-30302(30302-C)</t>
  </si>
  <si>
    <t>MF-015D1/20</t>
  </si>
  <si>
    <t>I-30303(30303-C)</t>
  </si>
  <si>
    <t>MF-015D2/20</t>
  </si>
  <si>
    <t>I-30304(30304-C)</t>
  </si>
  <si>
    <t>MF-016A/20</t>
  </si>
  <si>
    <t>F200-00042358</t>
  </si>
  <si>
    <t>PAI1</t>
  </si>
  <si>
    <t>PORSGRUNN / NORUEGA</t>
  </si>
  <si>
    <t>MF-016B/20</t>
  </si>
  <si>
    <t>F200-00042357</t>
  </si>
  <si>
    <t>SAL1</t>
  </si>
  <si>
    <t>MF-016C/20</t>
  </si>
  <si>
    <t>F200-00042359</t>
  </si>
  <si>
    <t>CAL1</t>
  </si>
  <si>
    <t>MF-016D/20</t>
  </si>
  <si>
    <t>F200-00042360</t>
  </si>
  <si>
    <t>MAT1</t>
  </si>
  <si>
    <t>MF-017A/20</t>
  </si>
  <si>
    <t>F200-00042365</t>
  </si>
  <si>
    <t>PAI3</t>
  </si>
  <si>
    <t>MF-017B/20</t>
  </si>
  <si>
    <t>F200-00042366</t>
  </si>
  <si>
    <t>SAL3</t>
  </si>
  <si>
    <t>MF-017C/20</t>
  </si>
  <si>
    <t>F200-00042367</t>
  </si>
  <si>
    <t>CAL3</t>
  </si>
  <si>
    <t>MF-017D/20</t>
  </si>
  <si>
    <t>F200-00042371</t>
  </si>
  <si>
    <t>MAT3</t>
  </si>
  <si>
    <t>MF-018A/20</t>
  </si>
  <si>
    <t>F200-00042361</t>
  </si>
  <si>
    <t>PAI2</t>
  </si>
  <si>
    <t>MF-018B/20</t>
  </si>
  <si>
    <t>F200-00042362</t>
  </si>
  <si>
    <t>SAL2</t>
  </si>
  <si>
    <t>MF-018C/20</t>
  </si>
  <si>
    <t>F200-00042363</t>
  </si>
  <si>
    <t>CAL2</t>
  </si>
  <si>
    <t>MF-018D/20</t>
  </si>
  <si>
    <t>F200-00042364</t>
  </si>
  <si>
    <t>MAT2</t>
  </si>
  <si>
    <t>MF-019/20</t>
  </si>
  <si>
    <t>MF-020/20</t>
  </si>
  <si>
    <t>MF-021/20</t>
  </si>
  <si>
    <t>MF-022A/20</t>
  </si>
  <si>
    <t>K5708(CN-CB246)</t>
  </si>
  <si>
    <t>VCR-PERU31</t>
  </si>
  <si>
    <t>VANCOUVER / CANADA</t>
  </si>
  <si>
    <t xml:space="preserve">MV INDIGO SW </t>
  </si>
  <si>
    <t>MF-022B/20</t>
  </si>
  <si>
    <t>K5714(CN-CB251)</t>
  </si>
  <si>
    <t>VCR-PERU32</t>
  </si>
  <si>
    <t>MF-022C/20</t>
  </si>
  <si>
    <t>K5715(CN-CB252)</t>
  </si>
  <si>
    <t>VCR-PERU33</t>
  </si>
  <si>
    <t>MF-023/20</t>
  </si>
  <si>
    <t>MF-024/20</t>
  </si>
  <si>
    <t>F200-00042141</t>
  </si>
  <si>
    <t>HLCUBO2200128069</t>
  </si>
  <si>
    <t>CARTAGENA / COLOMBIA</t>
  </si>
  <si>
    <t>MF-025/20</t>
  </si>
  <si>
    <t>F200-00042150</t>
  </si>
  <si>
    <t>HLCUBO2200128058</t>
  </si>
  <si>
    <t>MF-026/20</t>
  </si>
  <si>
    <t>F200-00042148</t>
  </si>
  <si>
    <t>HLCUBO2200134064</t>
  </si>
  <si>
    <t>MF-027/20</t>
  </si>
  <si>
    <t>F200-00042140</t>
  </si>
  <si>
    <t>HLCUBO2200102874</t>
  </si>
  <si>
    <t>MF-028A/20</t>
  </si>
  <si>
    <t>51631</t>
  </si>
  <si>
    <t>10LT</t>
  </si>
  <si>
    <t>267047.100.</t>
  </si>
  <si>
    <t>POLAR MEXICO</t>
  </si>
  <si>
    <t>AGENTE DE CARGA</t>
  </si>
  <si>
    <t>MF-028B/20</t>
  </si>
  <si>
    <t>Cilindro 210LT</t>
  </si>
  <si>
    <t>MF-028C/20</t>
  </si>
  <si>
    <t>MF-029A/20</t>
  </si>
  <si>
    <t>SC-009024</t>
  </si>
  <si>
    <t>SI0019035a</t>
  </si>
  <si>
    <t>JINGJIANG / CHINA</t>
  </si>
  <si>
    <t xml:space="preserve">MV SAN FELICE </t>
  </si>
  <si>
    <t>MF-029B/20</t>
  </si>
  <si>
    <t>SI0019035b</t>
  </si>
  <si>
    <t>MF-029C/20</t>
  </si>
  <si>
    <t>SI0019035c</t>
  </si>
  <si>
    <t>MF-030A/20</t>
  </si>
  <si>
    <t>SC-009025</t>
  </si>
  <si>
    <t>SI0019040a</t>
  </si>
  <si>
    <t>ZGSFE200302B</t>
  </si>
  <si>
    <t>MF-030B1/20</t>
  </si>
  <si>
    <t>SI0019040b</t>
  </si>
  <si>
    <t>ZGSFE200302C</t>
  </si>
  <si>
    <t>MF-030B2/20</t>
  </si>
  <si>
    <t>SC-009405</t>
  </si>
  <si>
    <t>SI0019041a</t>
  </si>
  <si>
    <t>ZGSFE200303</t>
  </si>
  <si>
    <t>MF-030C1/20</t>
  </si>
  <si>
    <t>SI0019040c</t>
  </si>
  <si>
    <t>ZGSFE200302D</t>
  </si>
  <si>
    <t>MF-030C2/20</t>
  </si>
  <si>
    <t>SI0019041b</t>
  </si>
  <si>
    <t>ZGSFE200302E</t>
  </si>
  <si>
    <t>MF-030D/20</t>
  </si>
  <si>
    <t>SI0019040d</t>
  </si>
  <si>
    <t>ZGSFE200302F</t>
  </si>
  <si>
    <t>MF-031/20</t>
  </si>
  <si>
    <t>1242</t>
  </si>
  <si>
    <t>COSU6258506500</t>
  </si>
  <si>
    <t>E.R. FRANCE</t>
  </si>
  <si>
    <t>MF-032/20</t>
  </si>
  <si>
    <t xml:space="preserve">OC4600016141_A </t>
  </si>
  <si>
    <t>F200-00042222</t>
  </si>
  <si>
    <t>MEDUC1058352</t>
  </si>
  <si>
    <t>MSC ELMA</t>
  </si>
  <si>
    <t>MF-033/20</t>
  </si>
  <si>
    <t>F200-00042243</t>
  </si>
  <si>
    <t>MEDUC1059582</t>
  </si>
  <si>
    <t>MF-034/20</t>
  </si>
  <si>
    <t>F200-00042237</t>
  </si>
  <si>
    <t>BGA0261569</t>
  </si>
  <si>
    <t>MF-035A/20</t>
  </si>
  <si>
    <t>SC-009326</t>
  </si>
  <si>
    <t>SI0018961b</t>
  </si>
  <si>
    <t xml:space="preserve">MV MYKONOS BAY </t>
  </si>
  <si>
    <t>MF-035B/20</t>
  </si>
  <si>
    <t>SI0018961c</t>
  </si>
  <si>
    <t>MF-035C/20</t>
  </si>
  <si>
    <t>SI0018961a</t>
  </si>
  <si>
    <t>MF-036/20</t>
  </si>
  <si>
    <t>463</t>
  </si>
  <si>
    <t>HLCUSCL200389306</t>
  </si>
  <si>
    <t>anulada: 8000000718</t>
  </si>
  <si>
    <t>MF-037/20</t>
  </si>
  <si>
    <t>464</t>
  </si>
  <si>
    <t>HLCUSCL200389299</t>
  </si>
  <si>
    <t>anulada: 8000000719</t>
  </si>
  <si>
    <t>MF-038/20</t>
  </si>
  <si>
    <t>1272</t>
  </si>
  <si>
    <t>ABRIL '20</t>
  </si>
  <si>
    <t>COSU6260842440</t>
  </si>
  <si>
    <t>LONG BEACH TRADER</t>
  </si>
  <si>
    <t>MF-039A1/20</t>
  </si>
  <si>
    <t>S5000097</t>
  </si>
  <si>
    <t>5000063</t>
  </si>
  <si>
    <t>MARZO - ABRIL '20</t>
  </si>
  <si>
    <t>TWN0394360</t>
  </si>
  <si>
    <t>MF-039A2/20</t>
  </si>
  <si>
    <t>5000082</t>
  </si>
  <si>
    <t>001AA75410</t>
  </si>
  <si>
    <t xml:space="preserve">KOTA CEPAT </t>
  </si>
  <si>
    <t>MF-039A3/20</t>
  </si>
  <si>
    <t>S5000098</t>
  </si>
  <si>
    <t>5000095</t>
  </si>
  <si>
    <t>ABRIL - MAYO '20</t>
  </si>
  <si>
    <t xml:space="preserve">EGLV001000250943 </t>
  </si>
  <si>
    <t xml:space="preserve">CMA CGM ESTELLE </t>
  </si>
  <si>
    <t>CMA CGM ESTELLE</t>
  </si>
  <si>
    <t>MF-039B1/20</t>
  </si>
  <si>
    <t>5000107</t>
  </si>
  <si>
    <t>ONEYTPEA32935700</t>
  </si>
  <si>
    <t xml:space="preserve">ULSAN EXPRESS </t>
  </si>
  <si>
    <t>EQ / RANSA</t>
  </si>
  <si>
    <t>MF-040/20</t>
  </si>
  <si>
    <t>S5000093</t>
  </si>
  <si>
    <t>20200139</t>
  </si>
  <si>
    <t>HLCUBSC2004ARYZ0</t>
  </si>
  <si>
    <t>MV TUBUL</t>
  </si>
  <si>
    <t>MF-041A/20</t>
  </si>
  <si>
    <t>B7FE-20-3008-ANPE</t>
  </si>
  <si>
    <t>B7FE-20-3008-ANPE-01</t>
  </si>
  <si>
    <t>MV FEDERAL YELLOWSTONE</t>
  </si>
  <si>
    <t>MF-041B/20</t>
  </si>
  <si>
    <t>B7FE-20-3008-ANPE-02</t>
  </si>
  <si>
    <t>MF-041C/20</t>
  </si>
  <si>
    <t>B7FE-20-3008-ANPE-03</t>
  </si>
  <si>
    <t>MF-041D/20</t>
  </si>
  <si>
    <t>B7FE-20-3008-ANPE-04</t>
  </si>
  <si>
    <t>MF-041E/20</t>
  </si>
  <si>
    <t>B7FE-20-3008-ANPE-05</t>
  </si>
  <si>
    <t>MF-042A/20</t>
  </si>
  <si>
    <t>UKT-EQUILIBRA-2020-1</t>
  </si>
  <si>
    <t>20-04-6515/1</t>
  </si>
  <si>
    <t>9MOP</t>
  </si>
  <si>
    <t>MF-042B/20</t>
  </si>
  <si>
    <t>20-04-6515/2</t>
  </si>
  <si>
    <t>10MOP</t>
  </si>
  <si>
    <t>MF-042C/20</t>
  </si>
  <si>
    <t>20-04-6515/3</t>
  </si>
  <si>
    <t>11MOP</t>
  </si>
  <si>
    <t>MF-042D/20</t>
  </si>
  <si>
    <t>20-04-6515/4</t>
  </si>
  <si>
    <t>12MOP</t>
  </si>
  <si>
    <t>MF-043/20</t>
  </si>
  <si>
    <t xml:space="preserve">SC 200041 </t>
  </si>
  <si>
    <t>220.070</t>
  </si>
  <si>
    <t>GSSW20SHA2895A</t>
  </si>
  <si>
    <t>MV EMU ARROW</t>
  </si>
  <si>
    <t>MF-044/20</t>
  </si>
  <si>
    <t>PS-2920</t>
  </si>
  <si>
    <t>301001370</t>
  </si>
  <si>
    <t>SUDUC0ANR007012X</t>
  </si>
  <si>
    <t>MF-045/20</t>
  </si>
  <si>
    <t>301001400</t>
  </si>
  <si>
    <t>SUDUC0ANR007604X</t>
  </si>
  <si>
    <t>MF-046/20</t>
  </si>
  <si>
    <t>301001429</t>
  </si>
  <si>
    <t>JUNIO - JULIO '20</t>
  </si>
  <si>
    <t>SUDUC0ANR008307X</t>
  </si>
  <si>
    <t>MF-047/20</t>
  </si>
  <si>
    <t>301001434</t>
  </si>
  <si>
    <t>JULIO - AGOSTO '20</t>
  </si>
  <si>
    <t>SUDUC0ANR008266X</t>
  </si>
  <si>
    <t>MF-048/20</t>
  </si>
  <si>
    <t>S5000107</t>
  </si>
  <si>
    <t>5000122</t>
  </si>
  <si>
    <t>GSSW20SHA3036A</t>
  </si>
  <si>
    <t>ZHENJIANG / CHINA</t>
  </si>
  <si>
    <t>MV TR CROWN</t>
  </si>
  <si>
    <t>MF-049/20</t>
  </si>
  <si>
    <t>S5000106</t>
  </si>
  <si>
    <t>5000138</t>
  </si>
  <si>
    <t>GSSW20SHA2902A</t>
  </si>
  <si>
    <t>MF-050/20</t>
  </si>
  <si>
    <t>S5000108</t>
  </si>
  <si>
    <t>5000139</t>
  </si>
  <si>
    <t>GSSW20SHA3042A</t>
  </si>
  <si>
    <t>MF-051/20</t>
  </si>
  <si>
    <t>S5000109</t>
  </si>
  <si>
    <t>5000140</t>
  </si>
  <si>
    <t>GSSW20SHA2904A</t>
  </si>
  <si>
    <t>MF-052A/20</t>
  </si>
  <si>
    <t>S5000110</t>
  </si>
  <si>
    <t>5000109</t>
  </si>
  <si>
    <t>MAYO '20</t>
  </si>
  <si>
    <t>GSSW20SHA3038A</t>
  </si>
  <si>
    <t>SAVAR/RANSA</t>
  </si>
  <si>
    <t>MF-052B/20</t>
  </si>
  <si>
    <t>S5000111</t>
  </si>
  <si>
    <t>5000110</t>
  </si>
  <si>
    <t>GSSW20SHA3035A</t>
  </si>
  <si>
    <t>MF-053A/20</t>
  </si>
  <si>
    <t>S5000112</t>
  </si>
  <si>
    <t>5000106</t>
  </si>
  <si>
    <t>GGZ1089860</t>
  </si>
  <si>
    <t>NAN GANG 20</t>
  </si>
  <si>
    <t>APL ESPLANADE</t>
  </si>
  <si>
    <t>MF-053B1/20</t>
  </si>
  <si>
    <t>S5000113</t>
  </si>
  <si>
    <t>5000102</t>
  </si>
  <si>
    <t>SUDUN0459AR0MU2S</t>
  </si>
  <si>
    <t>JIN LONG 65</t>
  </si>
  <si>
    <t>MF-053B2/20</t>
  </si>
  <si>
    <t>5000105</t>
  </si>
  <si>
    <t>SUDUN0998ARLJ851</t>
  </si>
  <si>
    <t>MAERSK STRALSUND</t>
  </si>
  <si>
    <t>MF-054A/20</t>
  </si>
  <si>
    <t>FV204E000045</t>
  </si>
  <si>
    <t>IBC0597444</t>
  </si>
  <si>
    <t>KRISTINA</t>
  </si>
  <si>
    <t>MF-054B/20</t>
  </si>
  <si>
    <t>MF-054C/20</t>
  </si>
  <si>
    <t>5 kg</t>
  </si>
  <si>
    <t>MF-054D/20</t>
  </si>
  <si>
    <t>206580 </t>
  </si>
  <si>
    <t>MF-054E/20</t>
  </si>
  <si>
    <t>206577 </t>
  </si>
  <si>
    <t>1LT</t>
  </si>
  <si>
    <t>MF-054F/20</t>
  </si>
  <si>
    <t>MF-054G/20</t>
  </si>
  <si>
    <t>MF-054H/20</t>
  </si>
  <si>
    <t>MF-055.1/20</t>
  </si>
  <si>
    <t>C-6159 | S-02000502</t>
  </si>
  <si>
    <t>30453</t>
  </si>
  <si>
    <t>SUDU20MEX010324X</t>
  </si>
  <si>
    <t>MAERSK BRANI</t>
  </si>
  <si>
    <t>MF-055.2/20</t>
  </si>
  <si>
    <t>30790</t>
  </si>
  <si>
    <t>SUDU20MEX011470X</t>
  </si>
  <si>
    <t>MAERSK BRATAN</t>
  </si>
  <si>
    <t>MF-056/20</t>
  </si>
  <si>
    <t>FXE 200.006</t>
  </si>
  <si>
    <t>BCN/CAL/04344</t>
  </si>
  <si>
    <t>POHORJE</t>
  </si>
  <si>
    <t>MF-057.1/20</t>
  </si>
  <si>
    <t>4600016393</t>
  </si>
  <si>
    <t>F200-00042404</t>
  </si>
  <si>
    <t>MEDUC1063675</t>
  </si>
  <si>
    <t>MAERSK YANGTZE</t>
  </si>
  <si>
    <t>MSC MADHU B</t>
  </si>
  <si>
    <t>MF-057.2/20</t>
  </si>
  <si>
    <t>MF-057.3/20</t>
  </si>
  <si>
    <t>MF-058/20</t>
  </si>
  <si>
    <t>4600016394</t>
  </si>
  <si>
    <t>F200-00042389</t>
  </si>
  <si>
    <t>HLCUBO2200404651</t>
  </si>
  <si>
    <t>MF-059/20</t>
  </si>
  <si>
    <t>4600016395</t>
  </si>
  <si>
    <t>F200-00042405</t>
  </si>
  <si>
    <t>HLCUBO2200408451</t>
  </si>
  <si>
    <t>MF-060/20</t>
  </si>
  <si>
    <t>4600016391</t>
  </si>
  <si>
    <t>F200-00042388</t>
  </si>
  <si>
    <t>HLCUBO2200406328</t>
  </si>
  <si>
    <t>MF-061/20</t>
  </si>
  <si>
    <t>4600016392</t>
  </si>
  <si>
    <t>F200-00042406</t>
  </si>
  <si>
    <t>BGA0263589</t>
  </si>
  <si>
    <t>MF-062/20</t>
  </si>
  <si>
    <t>MF-063/20</t>
  </si>
  <si>
    <t>S1000547</t>
  </si>
  <si>
    <t>20200250</t>
  </si>
  <si>
    <t>GSSW20SHA3083A</t>
  </si>
  <si>
    <t>anulada: 8000000858</t>
  </si>
  <si>
    <t>MF-064/20</t>
  </si>
  <si>
    <t>20200251</t>
  </si>
  <si>
    <t>GSSW20SHA3040A</t>
  </si>
  <si>
    <t>MF-065/20</t>
  </si>
  <si>
    <t>20200252</t>
  </si>
  <si>
    <t>GSSW20SHA3106A</t>
  </si>
  <si>
    <t>MF-066/20</t>
  </si>
  <si>
    <t>MF-067/20</t>
  </si>
  <si>
    <t>MF-068/20</t>
  </si>
  <si>
    <t>S1000546</t>
  </si>
  <si>
    <t>20200192-A</t>
  </si>
  <si>
    <t>CNN0119309</t>
  </si>
  <si>
    <t>HUI HAI LONG</t>
  </si>
  <si>
    <t>MF-069/20</t>
  </si>
  <si>
    <t>20200192-B</t>
  </si>
  <si>
    <t>CNN0119308 </t>
  </si>
  <si>
    <t>MF-070/20</t>
  </si>
  <si>
    <t>20200192-C</t>
  </si>
  <si>
    <t>EGLV155000031546</t>
  </si>
  <si>
    <t>KYOTO TOWER</t>
  </si>
  <si>
    <t> RHL AUDACIA</t>
  </si>
  <si>
    <t>MF-071/20</t>
  </si>
  <si>
    <t>S5000118</t>
  </si>
  <si>
    <t>5000108</t>
  </si>
  <si>
    <t>MEDUND178707</t>
  </si>
  <si>
    <t>MSC BHAVYA</t>
  </si>
  <si>
    <t>MSC CHLOE</t>
  </si>
  <si>
    <t>MF-072/20</t>
  </si>
  <si>
    <t>7300066552</t>
  </si>
  <si>
    <t>HBG1408383</t>
  </si>
  <si>
    <t>MF-073/20</t>
  </si>
  <si>
    <t>S5000126</t>
  </si>
  <si>
    <t>20200230</t>
  </si>
  <si>
    <t>HLCUTA12004BHJC4</t>
  </si>
  <si>
    <t>QIYUNHE</t>
  </si>
  <si>
    <t>MF-074/20</t>
  </si>
  <si>
    <t>S5000127</t>
  </si>
  <si>
    <t>20200231</t>
  </si>
  <si>
    <t>HLCUTA12004BHHB2</t>
  </si>
  <si>
    <t>MF-075/20</t>
  </si>
  <si>
    <t>S5000128</t>
  </si>
  <si>
    <t>5000147</t>
  </si>
  <si>
    <t>GSSW20SHA3039A</t>
  </si>
  <si>
    <t>MF-076/20</t>
  </si>
  <si>
    <t>S5000129</t>
  </si>
  <si>
    <t>5000168</t>
  </si>
  <si>
    <t>GSSW20SHA3107A</t>
  </si>
  <si>
    <t>MF-077/20</t>
  </si>
  <si>
    <t>SC 20053</t>
  </si>
  <si>
    <t>220.095</t>
  </si>
  <si>
    <t>GSSW20SHA3053A</t>
  </si>
  <si>
    <t>MF-078/20</t>
  </si>
  <si>
    <t>S-206200</t>
  </si>
  <si>
    <t>5462</t>
  </si>
  <si>
    <t>EGLV142000597408</t>
  </si>
  <si>
    <t xml:space="preserve">EVER ULYSSES </t>
  </si>
  <si>
    <t>MF-079/20</t>
  </si>
  <si>
    <t>19JEQ001</t>
  </si>
  <si>
    <t>20JEQ001-1</t>
  </si>
  <si>
    <t>GSSW20SHA3159A</t>
  </si>
  <si>
    <t>MV RAVEN ARROW</t>
  </si>
  <si>
    <t>MF-080/20</t>
  </si>
  <si>
    <t>20JEQ001-2</t>
  </si>
  <si>
    <t>GSSW20SHA3125A</t>
  </si>
  <si>
    <t>MF-081.1/20</t>
  </si>
  <si>
    <t>SG-MSL-12329-18</t>
  </si>
  <si>
    <t>SG-MSL-12329-18A</t>
  </si>
  <si>
    <t>SUDUN94945671909</t>
  </si>
  <si>
    <t>MANCHESTER MAERSK</t>
  </si>
  <si>
    <t>MAERSK NORTHWOOD</t>
  </si>
  <si>
    <t>MF-081.2/20</t>
  </si>
  <si>
    <t>SG-MSL-12329-18B</t>
  </si>
  <si>
    <t>SUDUN0471ARFV5T7</t>
  </si>
  <si>
    <t>MF-082/20</t>
  </si>
  <si>
    <t>SG-MSL-12329-19</t>
  </si>
  <si>
    <t>PABYQCAL04</t>
  </si>
  <si>
    <t>MV PANAMANA</t>
  </si>
  <si>
    <t>MF-083/20</t>
  </si>
  <si>
    <t>SG-MSL-12329-20</t>
  </si>
  <si>
    <t>GSSW20SHA3109A</t>
  </si>
  <si>
    <t>MF-084/20</t>
  </si>
  <si>
    <t>MF-085/20</t>
  </si>
  <si>
    <t>B7FE-20-3009-PAPE</t>
  </si>
  <si>
    <t>B7FE-20-3009-PAPE-01</t>
  </si>
  <si>
    <t>CNN0119278</t>
  </si>
  <si>
    <t>CMA CGM MUNDRA</t>
  </si>
  <si>
    <t>MF-086/20</t>
  </si>
  <si>
    <t>B7FE-20-3009-PAPE-02</t>
  </si>
  <si>
    <t>CNN0119414</t>
  </si>
  <si>
    <t>MF-087/20</t>
  </si>
  <si>
    <t>B7FE-20-3009-PAPE-03</t>
  </si>
  <si>
    <t>HLCUCA4200595510</t>
  </si>
  <si>
    <t>anulada: 8000000958</t>
  </si>
  <si>
    <t>MF-088/20</t>
  </si>
  <si>
    <t>SG-MSL-12329-21</t>
  </si>
  <si>
    <t>SG-ZSL-12329-21</t>
  </si>
  <si>
    <t>GSSW20SHA3045A</t>
  </si>
  <si>
    <t>MF-089/20</t>
  </si>
  <si>
    <t>SG-MSL-12329-22</t>
  </si>
  <si>
    <t>PATJCLL01</t>
  </si>
  <si>
    <t>MF-090/20</t>
  </si>
  <si>
    <t>SG-MSL-12329-23</t>
  </si>
  <si>
    <t>GSSW20SHA3108A</t>
  </si>
  <si>
    <t>MF-091/20</t>
  </si>
  <si>
    <t>1381</t>
  </si>
  <si>
    <t>INTRA/GUA-CLL20502001</t>
  </si>
  <si>
    <t>MF-092/20</t>
  </si>
  <si>
    <t>1467</t>
  </si>
  <si>
    <t>JUNIO '20</t>
  </si>
  <si>
    <t>INTRA/GUA-CLL20502002</t>
  </si>
  <si>
    <t>CAPE PIONEER</t>
  </si>
  <si>
    <t>MF-093/20</t>
  </si>
  <si>
    <t>4600016470</t>
  </si>
  <si>
    <t>F200-00042469</t>
  </si>
  <si>
    <t> BGA0264107</t>
  </si>
  <si>
    <t>MF-094/20</t>
  </si>
  <si>
    <t>4600016471</t>
  </si>
  <si>
    <t>F200-00042466</t>
  </si>
  <si>
    <t>HLCUBO2200420313 </t>
  </si>
  <si>
    <t>MF-095/20</t>
  </si>
  <si>
    <t>4600016472</t>
  </si>
  <si>
    <t>F200-00042462</t>
  </si>
  <si>
    <t>HLCUBO2200420251</t>
  </si>
  <si>
    <t>MF-096/20</t>
  </si>
  <si>
    <t>4600016476</t>
  </si>
  <si>
    <t>F200-00042461</t>
  </si>
  <si>
    <t>BGA0264105</t>
  </si>
  <si>
    <t>MF-097/20</t>
  </si>
  <si>
    <t>4600016488</t>
  </si>
  <si>
    <t>F200-00042460</t>
  </si>
  <si>
    <t>BGA0264147</t>
  </si>
  <si>
    <t>MF-098/20</t>
  </si>
  <si>
    <t>4600016474</t>
  </si>
  <si>
    <t>F200-00042470</t>
  </si>
  <si>
    <t>EGLV711000022501</t>
  </si>
  <si>
    <t>CALYPSO</t>
  </si>
  <si>
    <t> LOUISIANA TRADER</t>
  </si>
  <si>
    <t>MF-099/20</t>
  </si>
  <si>
    <t>B7FE-20-3010-ZSPE</t>
  </si>
  <si>
    <t>GSSW20SHA3053B</t>
  </si>
  <si>
    <t>MF-100/20</t>
  </si>
  <si>
    <t>0000001</t>
  </si>
  <si>
    <t>PER-01</t>
  </si>
  <si>
    <t>MV SINGAPORE SPIRIT</t>
  </si>
  <si>
    <t>MF-101A/20</t>
  </si>
  <si>
    <t>SC 20068</t>
  </si>
  <si>
    <t>220.102</t>
  </si>
  <si>
    <t>EGLV153005004991</t>
  </si>
  <si>
    <t>DIHAO12</t>
  </si>
  <si>
    <t>CMA CGM TAGE</t>
  </si>
  <si>
    <t>anulada: 8000000879</t>
  </si>
  <si>
    <t>MF-101B/20</t>
  </si>
  <si>
    <t>220.103</t>
  </si>
  <si>
    <t>HLCUTS12005AQTP6</t>
  </si>
  <si>
    <t>BALTIC SOUTH</t>
  </si>
  <si>
    <t>MF-102/20</t>
  </si>
  <si>
    <t>45 / 2020</t>
  </si>
  <si>
    <t>HLCUSS5200508360</t>
  </si>
  <si>
    <t>SANTOS / BRAZIL</t>
  </si>
  <si>
    <t xml:space="preserve">E.R. BERLIN </t>
  </si>
  <si>
    <t>MF-103A/20</t>
  </si>
  <si>
    <t>BF7E-20-3012-PUPE-01</t>
  </si>
  <si>
    <t>MV WESTERN BOHEME</t>
  </si>
  <si>
    <t>MF-103B/20</t>
  </si>
  <si>
    <t>B7FE-20-3012-PUPE-02</t>
  </si>
  <si>
    <t>MF-103C/20</t>
  </si>
  <si>
    <t>BF7E-20-3012-PUPE-03</t>
  </si>
  <si>
    <t>MF-103D/20</t>
  </si>
  <si>
    <t>BF7E-20-3012-PUPE-04</t>
  </si>
  <si>
    <t>MF-104A/20</t>
  </si>
  <si>
    <t>B7FE-20-3013-GUPE-01</t>
  </si>
  <si>
    <t>MF-104B/20</t>
  </si>
  <si>
    <t>B7FE-20-3013-GUPE-02</t>
  </si>
  <si>
    <t>MF-104C/20</t>
  </si>
  <si>
    <t>B7FE-20-3013-GUPE-03</t>
  </si>
  <si>
    <t>MF-104D/20</t>
  </si>
  <si>
    <t>B7FE-20-3013-GUPE-04</t>
  </si>
  <si>
    <t>MF-105A/20</t>
  </si>
  <si>
    <t>TGOA20SA040-AS</t>
  </si>
  <si>
    <t>TGOA-AS-200608-01</t>
  </si>
  <si>
    <t>JJ06</t>
  </si>
  <si>
    <t>MV DORYSIA</t>
  </si>
  <si>
    <t>MF-105B/20</t>
  </si>
  <si>
    <t>TGOA-AS-200608-02</t>
  </si>
  <si>
    <t>JJ07</t>
  </si>
  <si>
    <t>MF-105C/20</t>
  </si>
  <si>
    <t>TGOA-AS-200608-03</t>
  </si>
  <si>
    <t>JJ08</t>
  </si>
  <si>
    <t>MF-106/20</t>
  </si>
  <si>
    <t>B7FE-20-3011-PNPE</t>
  </si>
  <si>
    <t>1008237/1</t>
  </si>
  <si>
    <t>MF-107A/20</t>
  </si>
  <si>
    <t>C-6203 | S-02000731</t>
  </si>
  <si>
    <t>31154</t>
  </si>
  <si>
    <t>2H MAYO - JUNIO '20</t>
  </si>
  <si>
    <t>SUDU20MEX014529X</t>
  </si>
  <si>
    <t>MONTE ACONCAGUA</t>
  </si>
  <si>
    <t>MF-107B/20</t>
  </si>
  <si>
    <t>C-6202 | S-02000727</t>
  </si>
  <si>
    <t>31086</t>
  </si>
  <si>
    <t>SUDU20297ANFJ5ZU</t>
  </si>
  <si>
    <t>MAERSK BULAN</t>
  </si>
  <si>
    <t>MF-108/20</t>
  </si>
  <si>
    <t>S5000153</t>
  </si>
  <si>
    <t>5000291</t>
  </si>
  <si>
    <t>MAYO - JUNIO '20</t>
  </si>
  <si>
    <t>GSSW20SHA3562A</t>
  </si>
  <si>
    <t>MV PETREL ARROW</t>
  </si>
  <si>
    <t>MF-109A/20</t>
  </si>
  <si>
    <t>S5000154</t>
  </si>
  <si>
    <t>20200278</t>
  </si>
  <si>
    <t>001AB28014</t>
  </si>
  <si>
    <t>YM UBERTY</t>
  </si>
  <si>
    <t>MF-109B1/20</t>
  </si>
  <si>
    <t>S5000155</t>
  </si>
  <si>
    <t>20200276</t>
  </si>
  <si>
    <t>TWN0401140</t>
  </si>
  <si>
    <t xml:space="preserve">CSAV TRANCURA </t>
  </si>
  <si>
    <t>MF-109B2/20</t>
  </si>
  <si>
    <t>20200277</t>
  </si>
  <si>
    <t>TWN0401141</t>
  </si>
  <si>
    <t xml:space="preserve">CMA CGM MUSCA </t>
  </si>
  <si>
    <t>MF-110/20</t>
  </si>
  <si>
    <t>4600016473</t>
  </si>
  <si>
    <t>F200-00042472</t>
  </si>
  <si>
    <t>HLCUBO2200501914</t>
  </si>
  <si>
    <t>MF-111/20</t>
  </si>
  <si>
    <t>4600016528</t>
  </si>
  <si>
    <t>F200-00042477</t>
  </si>
  <si>
    <t> BGA0264959</t>
  </si>
  <si>
    <t>MF-112/20</t>
  </si>
  <si>
    <t>4600016529</t>
  </si>
  <si>
    <t>F200-00042473</t>
  </si>
  <si>
    <t>MEDUC1066157</t>
  </si>
  <si>
    <t>MSC ALTAMIRA</t>
  </si>
  <si>
    <t>MF-113A/20</t>
  </si>
  <si>
    <t>SC20073</t>
  </si>
  <si>
    <t>220.094</t>
  </si>
  <si>
    <t>GSSW20SHA3160A</t>
  </si>
  <si>
    <t>MF-113B/20</t>
  </si>
  <si>
    <t>220.093</t>
  </si>
  <si>
    <t>GSSW20SHA3138A</t>
  </si>
  <si>
    <t>MF-114/20</t>
  </si>
  <si>
    <t>SC20074</t>
  </si>
  <si>
    <t>220.101</t>
  </si>
  <si>
    <t>GSSW20SHA3128A</t>
  </si>
  <si>
    <t>MF-115/20</t>
  </si>
  <si>
    <t>SC20075</t>
  </si>
  <si>
    <t>220.121</t>
  </si>
  <si>
    <t>ONEYTA0DJ4586800</t>
  </si>
  <si>
    <t>MOL PARAMOUNT</t>
  </si>
  <si>
    <t>FOUMA</t>
  </si>
  <si>
    <t>MF-116/20</t>
  </si>
  <si>
    <t>SG-ZSL-12329-24</t>
  </si>
  <si>
    <t>GSSW20SHA3045B</t>
  </si>
  <si>
    <t>MF-117/20</t>
  </si>
  <si>
    <t>SG-ZSL-12329-25</t>
  </si>
  <si>
    <t>GSSW20SHA3569B</t>
  </si>
  <si>
    <t>BUYAQUAN / CHINA</t>
  </si>
  <si>
    <t>MF-118A/20</t>
  </si>
  <si>
    <t>AL128/2020S</t>
  </si>
  <si>
    <t>2020/AL128/INV1</t>
  </si>
  <si>
    <t>PATJCLL09</t>
  </si>
  <si>
    <t>MF-118B/20</t>
  </si>
  <si>
    <t>2020/AL128/INV2</t>
  </si>
  <si>
    <t>YSTJPAA53</t>
  </si>
  <si>
    <t>MV YANGTZE SPIRIT</t>
  </si>
  <si>
    <t>MF-119/20</t>
  </si>
  <si>
    <t>AL129/2020S</t>
  </si>
  <si>
    <t>2020/AL129/INV1</t>
  </si>
  <si>
    <t>GSSW20SHA3218B</t>
  </si>
  <si>
    <t>MF-220/20</t>
  </si>
  <si>
    <t>4600016591</t>
  </si>
  <si>
    <t>F200-00042481</t>
  </si>
  <si>
    <t xml:space="preserve">BGA0265352 </t>
  </si>
  <si>
    <t>MF-221/20</t>
  </si>
  <si>
    <t>4600016590</t>
  </si>
  <si>
    <t>F200-00042538</t>
  </si>
  <si>
    <t>BGA0265356</t>
  </si>
  <si>
    <t>anulada: 8000000817</t>
  </si>
  <si>
    <t>MF-222/20</t>
  </si>
  <si>
    <t>MF-223/20</t>
  </si>
  <si>
    <t>4600016595</t>
  </si>
  <si>
    <t>F200-00042532</t>
  </si>
  <si>
    <t>EGLV711000026361</t>
  </si>
  <si>
    <t>STELAR WALVIS BAY</t>
  </si>
  <si>
    <t>anulada: 8000000816</t>
  </si>
  <si>
    <t>MF-224/20</t>
  </si>
  <si>
    <t>4600016784</t>
  </si>
  <si>
    <t>F200-00042604</t>
  </si>
  <si>
    <t>JULIO '20</t>
  </si>
  <si>
    <t xml:space="preserve"> BGA0267283 </t>
  </si>
  <si>
    <t>anulada: 8000000882</t>
  </si>
  <si>
    <t>MF-225/20</t>
  </si>
  <si>
    <t>4600016783</t>
  </si>
  <si>
    <t>F200-00042593</t>
  </si>
  <si>
    <t xml:space="preserve"> BGA0267277 </t>
  </si>
  <si>
    <t>anulada: 8000000869</t>
  </si>
  <si>
    <t>MF-226.1/20</t>
  </si>
  <si>
    <t>4600016592</t>
  </si>
  <si>
    <t>F200-00042526</t>
  </si>
  <si>
    <t xml:space="preserve">BGA0265397 </t>
  </si>
  <si>
    <t>MF-226.2/20</t>
  </si>
  <si>
    <t>4600016594</t>
  </si>
  <si>
    <t>F200-00042485</t>
  </si>
  <si>
    <t>HLCUBO2200519956</t>
  </si>
  <si>
    <t>MF-227/20</t>
  </si>
  <si>
    <t>4600016751</t>
  </si>
  <si>
    <t>F200-00042653</t>
  </si>
  <si>
    <t>RTM1004612</t>
  </si>
  <si>
    <t>ROTTERDAM / PAISES BAJOS</t>
  </si>
  <si>
    <t>anulada: 8000000796</t>
  </si>
  <si>
    <t>MF-228/20</t>
  </si>
  <si>
    <t>4600016593</t>
  </si>
  <si>
    <t>F200-00042572</t>
  </si>
  <si>
    <t>END JUNIO '20</t>
  </si>
  <si>
    <t>MEDUC1069490</t>
  </si>
  <si>
    <t>MSC VITA</t>
  </si>
  <si>
    <t xml:space="preserve">MSC </t>
  </si>
  <si>
    <t>MF-229/20</t>
  </si>
  <si>
    <t>579</t>
  </si>
  <si>
    <t>2H JULIO '20</t>
  </si>
  <si>
    <t>HLCUSCL200716708</t>
  </si>
  <si>
    <t>MF-230/20</t>
  </si>
  <si>
    <t>550</t>
  </si>
  <si>
    <t>HLCUSCL200642613</t>
  </si>
  <si>
    <t>MF-231/20</t>
  </si>
  <si>
    <t>4600016796</t>
  </si>
  <si>
    <t>F200-00042663</t>
  </si>
  <si>
    <t>HLCUBO2200715655</t>
  </si>
  <si>
    <t>TISUR / EQ</t>
  </si>
  <si>
    <t>anulada: 8000000808/8000000938</t>
  </si>
  <si>
    <t>MF-232/20</t>
  </si>
  <si>
    <t>4600016792</t>
  </si>
  <si>
    <t>F200-00042585</t>
  </si>
  <si>
    <t>HLCUBO2200700220</t>
  </si>
  <si>
    <t>anulada: 8000000809/8000000853/8000000965/973</t>
  </si>
  <si>
    <t>MF-233/20</t>
  </si>
  <si>
    <t>4600016795</t>
  </si>
  <si>
    <t>F200-00042591</t>
  </si>
  <si>
    <t>BGA0267275</t>
  </si>
  <si>
    <t>anulada: 8000000870</t>
  </si>
  <si>
    <t>MF-234/20</t>
  </si>
  <si>
    <t>4600016793</t>
  </si>
  <si>
    <t>F200-00042586</t>
  </si>
  <si>
    <t>BGA0267271</t>
  </si>
  <si>
    <t>anulada: 8000000811</t>
  </si>
  <si>
    <t>MF-235/20</t>
  </si>
  <si>
    <t>4600016791</t>
  </si>
  <si>
    <t>F200-00042589</t>
  </si>
  <si>
    <t>MEDUC1070894</t>
  </si>
  <si>
    <t>MSC ARICA</t>
  </si>
  <si>
    <t>anulada: 8000000812</t>
  </si>
  <si>
    <t>MF-236/20</t>
  </si>
  <si>
    <t>4600016794</t>
  </si>
  <si>
    <t>F200-00042592</t>
  </si>
  <si>
    <t>BGA0267278</t>
  </si>
  <si>
    <t>anulada: 8000000813/8000000868</t>
  </si>
  <si>
    <t>MF-237/20</t>
  </si>
  <si>
    <t>4600016790</t>
  </si>
  <si>
    <t>F200-00042587</t>
  </si>
  <si>
    <t>BGA0267274</t>
  </si>
  <si>
    <t>anulada: 8000000814</t>
  </si>
  <si>
    <t>MF-238/20</t>
  </si>
  <si>
    <t>FV204E000065</t>
  </si>
  <si>
    <t>200101988/0301</t>
  </si>
  <si>
    <t>MARY</t>
  </si>
  <si>
    <t>MSL (AG. CARGA)</t>
  </si>
  <si>
    <t>MF-239.1/20</t>
  </si>
  <si>
    <t>B7FE-20-3014-PAPE</t>
  </si>
  <si>
    <t>B7FE-20-3014-PAPE-01</t>
  </si>
  <si>
    <t>1H JULIO '20</t>
  </si>
  <si>
    <t>CNN0119796</t>
  </si>
  <si>
    <t>HUI JIN QIAO 759</t>
  </si>
  <si>
    <t>MF-239.2/20</t>
  </si>
  <si>
    <t>B7FE-20-3014-PAPE-03</t>
  </si>
  <si>
    <t>EGLV155000070053</t>
  </si>
  <si>
    <t>EVER CORE</t>
  </si>
  <si>
    <t>MF-240.1/20</t>
  </si>
  <si>
    <t>B7FE-20-3014-PAPE-02</t>
  </si>
  <si>
    <t>HLCUSZX2007BMRU9</t>
  </si>
  <si>
    <t>HUI JIN QIAO 968</t>
  </si>
  <si>
    <t>MF-240.2/20</t>
  </si>
  <si>
    <t>B7FE-20-3014-PAPE-04</t>
  </si>
  <si>
    <t>SUDUN0998AT7MURZ</t>
  </si>
  <si>
    <t>HUI JIN QIAO 292</t>
  </si>
  <si>
    <t>MF-241/20</t>
  </si>
  <si>
    <t>S5000205</t>
  </si>
  <si>
    <t>5000235</t>
  </si>
  <si>
    <t>GSSW20SHA3556A</t>
  </si>
  <si>
    <t xml:space="preserve">MV PETREL ARROW </t>
  </si>
  <si>
    <t>MF-242/20</t>
  </si>
  <si>
    <t>MF-243/20</t>
  </si>
  <si>
    <t>SC20102</t>
  </si>
  <si>
    <t>220.146</t>
  </si>
  <si>
    <t>SUDUN0494ASP2550</t>
  </si>
  <si>
    <t xml:space="preserve">
MAERSK HALIFAX</t>
  </si>
  <si>
    <t>MF-244/20</t>
  </si>
  <si>
    <t>4600016643</t>
  </si>
  <si>
    <t>F200-00042573</t>
  </si>
  <si>
    <t>LYK0141142</t>
  </si>
  <si>
    <t>BREVIK / NORUEGA</t>
  </si>
  <si>
    <t>MAERSK HALIFAX</t>
  </si>
  <si>
    <t>anulada: 8000000834/8000000916</t>
  </si>
  <si>
    <t>MF-245/20</t>
  </si>
  <si>
    <t>4600016642</t>
  </si>
  <si>
    <t>F200-00042574</t>
  </si>
  <si>
    <t>LYK0141141</t>
  </si>
  <si>
    <t>ENERGIZER</t>
  </si>
  <si>
    <t>anulada: 8000000835/8000000915</t>
  </si>
  <si>
    <t>MF-246/20</t>
  </si>
  <si>
    <t>4600016757</t>
  </si>
  <si>
    <t>F200-00042575</t>
  </si>
  <si>
    <t xml:space="preserve">HLCUOSL200612030 </t>
  </si>
  <si>
    <t>anulada: 8000000836</t>
  </si>
  <si>
    <t>ADM TEMPORAL</t>
  </si>
  <si>
    <t>MF-247/20</t>
  </si>
  <si>
    <t>1492</t>
  </si>
  <si>
    <t>JULIO- AGOSTO '20</t>
  </si>
  <si>
    <t>COSU6271237730</t>
  </si>
  <si>
    <t>CARDIFF</t>
  </si>
  <si>
    <t>MF-248/20</t>
  </si>
  <si>
    <t>S5000204</t>
  </si>
  <si>
    <t>5000204</t>
  </si>
  <si>
    <t>END JUN '20 - JUL '20</t>
  </si>
  <si>
    <t>KLP0135430</t>
  </si>
  <si>
    <t>TUNADAL</t>
  </si>
  <si>
    <t>MF-249A/20</t>
  </si>
  <si>
    <t>PP-6420</t>
  </si>
  <si>
    <t>301001478</t>
  </si>
  <si>
    <t>SUDUC0ANR011890X</t>
  </si>
  <si>
    <t>MV POLAR ECUADOR</t>
  </si>
  <si>
    <t>MF-249B/20</t>
  </si>
  <si>
    <t>301001479</t>
  </si>
  <si>
    <t>SUDUC0ANR011891X</t>
  </si>
  <si>
    <t>MF-250A/20</t>
  </si>
  <si>
    <t>TGOA20SA056-ASDAP</t>
  </si>
  <si>
    <t>TGOA-AS-200608-09</t>
  </si>
  <si>
    <t xml:space="preserve">Granel </t>
  </si>
  <si>
    <t>JJ09</t>
  </si>
  <si>
    <t>MF-250B/20</t>
  </si>
  <si>
    <t>TGOA-AS-200608-10</t>
  </si>
  <si>
    <t>JJ10</t>
  </si>
  <si>
    <t>MF-250C/20</t>
  </si>
  <si>
    <t>TGOA-AS-200608-11</t>
  </si>
  <si>
    <t>JJ11</t>
  </si>
  <si>
    <t>MF-251A/20</t>
  </si>
  <si>
    <t>TGOA-DAP-200610-10</t>
  </si>
  <si>
    <t>MF-251B/20</t>
  </si>
  <si>
    <t>TGOA-DAP-200610-11</t>
  </si>
  <si>
    <t>MF-251C/20</t>
  </si>
  <si>
    <t>TGOA-DAP-200610-12</t>
  </si>
  <si>
    <t>MF-251D/20</t>
  </si>
  <si>
    <t>TGOA-DAP-200610-13</t>
  </si>
  <si>
    <t>MF-252A/20</t>
  </si>
  <si>
    <t>243/19</t>
  </si>
  <si>
    <t>B7FE-20-3015-ANPE-01</t>
  </si>
  <si>
    <t>MF-252B/20</t>
  </si>
  <si>
    <t>B7FE-20-3015-ANPE-02</t>
  </si>
  <si>
    <t>MF-252C/20</t>
  </si>
  <si>
    <t>B7FE-20-3015-ANPE-03</t>
  </si>
  <si>
    <t>MF-252D/20</t>
  </si>
  <si>
    <t>B7FE-20-3015-ANPE-04</t>
  </si>
  <si>
    <t>MF-252E/20</t>
  </si>
  <si>
    <t>B7FE-20-3015-ANPE-05</t>
  </si>
  <si>
    <t>MF-253A/20</t>
  </si>
  <si>
    <t>UKT-EQUILIBRA-2020-2</t>
  </si>
  <si>
    <t>20-07-1165-3</t>
  </si>
  <si>
    <t>MOP8</t>
  </si>
  <si>
    <t>MF-253B/20</t>
  </si>
  <si>
    <t>20-07-1165-4</t>
  </si>
  <si>
    <t>MOP9</t>
  </si>
  <si>
    <t>MF-253C/20</t>
  </si>
  <si>
    <t>20-07-1165-1</t>
  </si>
  <si>
    <t>MOP6</t>
  </si>
  <si>
    <t>MF-253D/20</t>
  </si>
  <si>
    <t>20-07-1165-2</t>
  </si>
  <si>
    <t>MOP7</t>
  </si>
  <si>
    <t>MF-254A/20</t>
  </si>
  <si>
    <t>157/2020</t>
  </si>
  <si>
    <t>#450-A/2020</t>
  </si>
  <si>
    <t>2H JUL - AGO '20</t>
  </si>
  <si>
    <t>MF-254B/20</t>
  </si>
  <si>
    <t>#450-B/2020</t>
  </si>
  <si>
    <t>MF-254C/20</t>
  </si>
  <si>
    <t>#450-D/2020</t>
  </si>
  <si>
    <t>MF-254D/20</t>
  </si>
  <si>
    <t>#450-C/2020</t>
  </si>
  <si>
    <t>MF-255/20</t>
  </si>
  <si>
    <t>S-02001320</t>
  </si>
  <si>
    <t>I-31753</t>
  </si>
  <si>
    <t>MV SPAR LYNX</t>
  </si>
  <si>
    <t>MF-256/20</t>
  </si>
  <si>
    <t>4600016922</t>
  </si>
  <si>
    <t>F200-00042665</t>
  </si>
  <si>
    <t>AGOSTO '20</t>
  </si>
  <si>
    <t>BGA0269114</t>
  </si>
  <si>
    <t>MF-257/20</t>
  </si>
  <si>
    <t>4600016923</t>
  </si>
  <si>
    <t>F200-00042666</t>
  </si>
  <si>
    <t>BGA0269115</t>
  </si>
  <si>
    <t>MF-258.1/20</t>
  </si>
  <si>
    <t>ROM20021305-1</t>
  </si>
  <si>
    <t>1H AGOSTO '20</t>
  </si>
  <si>
    <t>SUDUN0998ATTOY2G</t>
  </si>
  <si>
    <t>GUNDE MAERSK</t>
  </si>
  <si>
    <t>anulada: 8000001025</t>
  </si>
  <si>
    <t>MF-258.2/20</t>
  </si>
  <si>
    <t>ROM20021305-2</t>
  </si>
  <si>
    <t>2H AGOSTO '20</t>
  </si>
  <si>
    <t>SUDUN0998ATW9YTU</t>
  </si>
  <si>
    <t>GUNHILDE MAERSK</t>
  </si>
  <si>
    <t>MF-259/20</t>
  </si>
  <si>
    <t>4600016873</t>
  </si>
  <si>
    <t>F200-00042648</t>
  </si>
  <si>
    <t>BGA0268081</t>
  </si>
  <si>
    <t>MF-260/20</t>
  </si>
  <si>
    <t>4600016868</t>
  </si>
  <si>
    <t>F200-00042649</t>
  </si>
  <si>
    <t>HLCUBO2200715783</t>
  </si>
  <si>
    <t>MF-261/20</t>
  </si>
  <si>
    <t>4600016869</t>
  </si>
  <si>
    <t>F200-00042647</t>
  </si>
  <si>
    <t>BGA0268079</t>
  </si>
  <si>
    <t>MF-262/20</t>
  </si>
  <si>
    <t>4600016870</t>
  </si>
  <si>
    <t>F200-00042646</t>
  </si>
  <si>
    <t>HLCUBO2200715699</t>
  </si>
  <si>
    <t>MF-263/20</t>
  </si>
  <si>
    <t>4600016871</t>
  </si>
  <si>
    <t>F200-00042645</t>
  </si>
  <si>
    <t>HLCUBO2200715688</t>
  </si>
  <si>
    <t>MF-264/20</t>
  </si>
  <si>
    <t>4600016872</t>
  </si>
  <si>
    <t>F200-00042664</t>
  </si>
  <si>
    <t>HLCUBO2200715845</t>
  </si>
  <si>
    <t>MF-265A.1/20</t>
  </si>
  <si>
    <t>SG-MSL-12329-26</t>
  </si>
  <si>
    <t>SG-MSL-12329-26A</t>
  </si>
  <si>
    <t>SUDUN0471AT2Y3KM</t>
  </si>
  <si>
    <t>MF-265A.2/20</t>
  </si>
  <si>
    <t>SG-MSL-12329-26B</t>
  </si>
  <si>
    <t>SUDUN0471ATJLKZD</t>
  </si>
  <si>
    <t>MF-265A.3/20</t>
  </si>
  <si>
    <t>SG-MSL-12329-26C</t>
  </si>
  <si>
    <t>1H SETIEMBRE '20</t>
  </si>
  <si>
    <t>SUDUN0471ATR3LGX</t>
  </si>
  <si>
    <t>MSC DIANA</t>
  </si>
  <si>
    <t>MF-265A.4/20</t>
  </si>
  <si>
    <t>SG-MSL-12329-26D</t>
  </si>
  <si>
    <t>ONEYTA9RP3362500</t>
  </si>
  <si>
    <t>HYUNDAI LONG BEACH</t>
  </si>
  <si>
    <t>MF-266A1/20</t>
  </si>
  <si>
    <t>7100054497</t>
  </si>
  <si>
    <t>7300099485</t>
  </si>
  <si>
    <t>2H AGOSTO 20'</t>
  </si>
  <si>
    <t>HBG1434866</t>
  </si>
  <si>
    <t>MF-266B1.1/20</t>
  </si>
  <si>
    <t>7100054499</t>
  </si>
  <si>
    <t>7300100392</t>
  </si>
  <si>
    <t>HBG1434436A</t>
  </si>
  <si>
    <t>MF-266B1.2/20</t>
  </si>
  <si>
    <t>7300100393</t>
  </si>
  <si>
    <t>HBG1434436B</t>
  </si>
  <si>
    <t>MF-266A2/20</t>
  </si>
  <si>
    <t>7100054506</t>
  </si>
  <si>
    <t>7300098638</t>
  </si>
  <si>
    <t>HBG1434645</t>
  </si>
  <si>
    <t>MF-266B2/20</t>
  </si>
  <si>
    <t>7100054518</t>
  </si>
  <si>
    <t>7300100394</t>
  </si>
  <si>
    <t>HBG1434658</t>
  </si>
  <si>
    <t xml:space="preserve">anulada: 8000000888 </t>
  </si>
  <si>
    <t>MF-267.1/20</t>
  </si>
  <si>
    <t>ROM20021330</t>
  </si>
  <si>
    <t>SUDUN0998AUC0K6F</t>
  </si>
  <si>
    <t>GUTHORM MAERSK</t>
  </si>
  <si>
    <t>MF-267.2/20</t>
  </si>
  <si>
    <t>ROM20021331</t>
  </si>
  <si>
    <t>2H SETIEMBRE '20</t>
  </si>
  <si>
    <t>SUDUN0998AUC1TWU</t>
  </si>
  <si>
    <t>MAERSK YUKON</t>
  </si>
  <si>
    <t>MF-268.1/20</t>
  </si>
  <si>
    <t>ROM20021328</t>
  </si>
  <si>
    <t>HLCUCA42008AQNR8</t>
  </si>
  <si>
    <t>MSC KANOKO</t>
  </si>
  <si>
    <t>anulada: 8000001049</t>
  </si>
  <si>
    <t>MF-268.2/20</t>
  </si>
  <si>
    <t>ROM20021329</t>
  </si>
  <si>
    <t>HLCUCA42008ARZV6</t>
  </si>
  <si>
    <t>MF-269/20</t>
  </si>
  <si>
    <t>SC-001003</t>
  </si>
  <si>
    <t>SI0003153</t>
  </si>
  <si>
    <t>SETIEMBRE '20</t>
  </si>
  <si>
    <t>ONEYTPEA70568400</t>
  </si>
  <si>
    <t>anulada: 8000001157</t>
  </si>
  <si>
    <t>MF-270.1/20</t>
  </si>
  <si>
    <t>SI0003152</t>
  </si>
  <si>
    <t>ONEYTPEA70552400</t>
  </si>
  <si>
    <t>MOL BEYOND</t>
  </si>
  <si>
    <t>anulada 8000001105</t>
  </si>
  <si>
    <t>MF-270.2/20</t>
  </si>
  <si>
    <t>MF-271A/20</t>
  </si>
  <si>
    <t>SG-MNL-12329-27</t>
  </si>
  <si>
    <t>SG-MNL-12329-27A</t>
  </si>
  <si>
    <t>SUDUN0471ATV4K9L</t>
  </si>
  <si>
    <t>AOTEA MAERSK</t>
  </si>
  <si>
    <t>MF-271B/20</t>
  </si>
  <si>
    <t>SG-MNL-12329-27B</t>
  </si>
  <si>
    <t>SUDUN0471AU7CSMP</t>
  </si>
  <si>
    <t>MSC FEBE</t>
  </si>
  <si>
    <t>MF-272.1.1/20</t>
  </si>
  <si>
    <t>ROM20021437</t>
  </si>
  <si>
    <t>ROM20021437-1</t>
  </si>
  <si>
    <t>HLCUCA42009ASBL5</t>
  </si>
  <si>
    <t>MSC MARGRIT</t>
  </si>
  <si>
    <t>MF-272.1.2/20</t>
  </si>
  <si>
    <t>ROM20021437-2</t>
  </si>
  <si>
    <t>HLCUCA4201041030</t>
  </si>
  <si>
    <t>SEASPAN BEAUTY</t>
  </si>
  <si>
    <t>MF-272.2.1/20</t>
  </si>
  <si>
    <t>ROM20021438</t>
  </si>
  <si>
    <t>ROM20021438-1</t>
  </si>
  <si>
    <t>1H OCTUBRE '20</t>
  </si>
  <si>
    <t>HLCUCA42010ASHQ8</t>
  </si>
  <si>
    <t>MSC PERLE</t>
  </si>
  <si>
    <t>MF-272.2.2/20</t>
  </si>
  <si>
    <t>ROM20021438-2</t>
  </si>
  <si>
    <t>HLCUCA42010ASHT0</t>
  </si>
  <si>
    <t>MF-272.2.3/20</t>
  </si>
  <si>
    <t>MF-272.3.1/20</t>
  </si>
  <si>
    <t>ROM20021439</t>
  </si>
  <si>
    <t>ROM20021439-1</t>
  </si>
  <si>
    <t>HLCUCA4201240775</t>
  </si>
  <si>
    <t>MF-272.3.2/20</t>
  </si>
  <si>
    <t>MF-273.1/20</t>
  </si>
  <si>
    <t>MF-273.2/20</t>
  </si>
  <si>
    <t>MF-273.3/20</t>
  </si>
  <si>
    <t>MF-274/20</t>
  </si>
  <si>
    <t>ROM20021433</t>
  </si>
  <si>
    <t>HLCUCA42008APPF4</t>
  </si>
  <si>
    <t>ALEXANDRIA / EGIPTO</t>
  </si>
  <si>
    <t>MF-275.1/20</t>
  </si>
  <si>
    <t>2/2020555-556</t>
  </si>
  <si>
    <t>20201953</t>
  </si>
  <si>
    <t>2W SETIEMBRE '20</t>
  </si>
  <si>
    <t>MEDUAL620906</t>
  </si>
  <si>
    <t>MF-275.2/20</t>
  </si>
  <si>
    <t>2020005</t>
  </si>
  <si>
    <t>MEDUAL627083</t>
  </si>
  <si>
    <t>E.R. VANCOUVER</t>
  </si>
  <si>
    <t>MF-276.1/20</t>
  </si>
  <si>
    <t>20201928</t>
  </si>
  <si>
    <t>MEDUAL614388</t>
  </si>
  <si>
    <t>MSC JEMIMA</t>
  </si>
  <si>
    <t>MF-276.2/20</t>
  </si>
  <si>
    <t>20202022</t>
  </si>
  <si>
    <t>MEDUAL632075</t>
  </si>
  <si>
    <t>MSC ALIX 3</t>
  </si>
  <si>
    <t>MSC ALGECIRAS</t>
  </si>
  <si>
    <t>MF-276.3/20</t>
  </si>
  <si>
    <t>20202050</t>
  </si>
  <si>
    <t>1W OCTUBRE '20</t>
  </si>
  <si>
    <t>MEDUAL641290</t>
  </si>
  <si>
    <t>MF-277/20</t>
  </si>
  <si>
    <t>S5000254</t>
  </si>
  <si>
    <t>5000258</t>
  </si>
  <si>
    <t>KLP0136399</t>
  </si>
  <si>
    <t>PHILEMON</t>
  </si>
  <si>
    <t>MF-278/20</t>
  </si>
  <si>
    <t>4600016928</t>
  </si>
  <si>
    <t>F200-00042751</t>
  </si>
  <si>
    <t>LYK0141593</t>
  </si>
  <si>
    <t>MEANDI</t>
  </si>
  <si>
    <t>MF-279.1/20</t>
  </si>
  <si>
    <t>4600016929</t>
  </si>
  <si>
    <t>F200-00042752</t>
  </si>
  <si>
    <t xml:space="preserve"> LYK0141595 </t>
  </si>
  <si>
    <t>MF-279.2/20</t>
  </si>
  <si>
    <t> LYK0141595 / RTM1021302</t>
  </si>
  <si>
    <t>MF-280/20</t>
  </si>
  <si>
    <t>4600016930</t>
  </si>
  <si>
    <t>F200-00042717</t>
  </si>
  <si>
    <t>HLCUOSL200713952</t>
  </si>
  <si>
    <t xml:space="preserve">ENERGIZER </t>
  </si>
  <si>
    <t>MF-281/20</t>
  </si>
  <si>
    <t>4600016973/L200228A</t>
  </si>
  <si>
    <t>F200-00042748</t>
  </si>
  <si>
    <t>LYK0141727</t>
  </si>
  <si>
    <t>anulada: 8000000954</t>
  </si>
  <si>
    <t>MF-282.1/20</t>
  </si>
  <si>
    <t>4600016974/L200228B</t>
  </si>
  <si>
    <t>F200-00042753</t>
  </si>
  <si>
    <t>LYK0141728</t>
  </si>
  <si>
    <t>MF-282.2/20</t>
  </si>
  <si>
    <t>LYK0141728 / RTM1021343</t>
  </si>
  <si>
    <t>MF-283.1/20</t>
  </si>
  <si>
    <t>4600016975/L200228C</t>
  </si>
  <si>
    <t>F200-00042716</t>
  </si>
  <si>
    <t>HLCUOSL200810115</t>
  </si>
  <si>
    <t>MF-283.2/20</t>
  </si>
  <si>
    <t>HLCUOSL200812947</t>
  </si>
  <si>
    <t>MF-284/20</t>
  </si>
  <si>
    <t>4600016957</t>
  </si>
  <si>
    <t>F200-00042831</t>
  </si>
  <si>
    <t>HLCUOSL200714290</t>
  </si>
  <si>
    <t>MF-285/20</t>
  </si>
  <si>
    <t>4600016925</t>
  </si>
  <si>
    <t>F200-00042735</t>
  </si>
  <si>
    <t>EGLV711000044792</t>
  </si>
  <si>
    <t>MAERSK WAKAYAMA</t>
  </si>
  <si>
    <t> ALIOTH</t>
  </si>
  <si>
    <t>MF-286/20</t>
  </si>
  <si>
    <t>4600016924</t>
  </si>
  <si>
    <t>F200-00042701</t>
  </si>
  <si>
    <t>HLCUBO2200737039</t>
  </si>
  <si>
    <t>MF-287/20</t>
  </si>
  <si>
    <t>4600016988</t>
  </si>
  <si>
    <t>F200-00042730</t>
  </si>
  <si>
    <t xml:space="preserve">LYK0141702 </t>
  </si>
  <si>
    <t>CERES</t>
  </si>
  <si>
    <t>MF-288/20</t>
  </si>
  <si>
    <t>4600016989/L200229C</t>
  </si>
  <si>
    <t>F200-00042814</t>
  </si>
  <si>
    <t>LYK0141698</t>
  </si>
  <si>
    <t>MF-289/20</t>
  </si>
  <si>
    <t>4600017070</t>
  </si>
  <si>
    <t>F200-00042732</t>
  </si>
  <si>
    <t>BGA0270558</t>
  </si>
  <si>
    <t>MF-290/20</t>
  </si>
  <si>
    <t>4600017071</t>
  </si>
  <si>
    <t>F200-00042733</t>
  </si>
  <si>
    <t>HLCUBO2200826390 </t>
  </si>
  <si>
    <t>MF-291/20</t>
  </si>
  <si>
    <t>4600017072</t>
  </si>
  <si>
    <t>F200-00042736</t>
  </si>
  <si>
    <t> HLCUBO2200824646</t>
  </si>
  <si>
    <t>MF-292/20</t>
  </si>
  <si>
    <t>4600017073</t>
  </si>
  <si>
    <t>F200-00042734</t>
  </si>
  <si>
    <t xml:space="preserve"> HLCUBO2200822187 </t>
  </si>
  <si>
    <t>MF-293/20</t>
  </si>
  <si>
    <t>4600017102</t>
  </si>
  <si>
    <t>F200-00042668</t>
  </si>
  <si>
    <t>HLCUBO2200715644</t>
  </si>
  <si>
    <t>anulada: 8000000939</t>
  </si>
  <si>
    <t>MF-294/20</t>
  </si>
  <si>
    <t>4600016990</t>
  </si>
  <si>
    <t>F200-00042711</t>
  </si>
  <si>
    <t xml:space="preserve"> LYK0141703 </t>
  </si>
  <si>
    <t>MF-295A/20</t>
  </si>
  <si>
    <t>SC-001313</t>
  </si>
  <si>
    <t>SI0004275a</t>
  </si>
  <si>
    <t>HUANGHUA / CHINA</t>
  </si>
  <si>
    <t>MV PRETTY SIGHT</t>
  </si>
  <si>
    <t>MF-295B/20</t>
  </si>
  <si>
    <t>SI0004275b</t>
  </si>
  <si>
    <t>MF-295C/20</t>
  </si>
  <si>
    <t>SI0004275c</t>
  </si>
  <si>
    <t>MF-295D/20</t>
  </si>
  <si>
    <t>SI0004275d</t>
  </si>
  <si>
    <t>MF-295E/20</t>
  </si>
  <si>
    <t>SI0004275e</t>
  </si>
  <si>
    <t>MF-296A/20</t>
  </si>
  <si>
    <t>SC-001314</t>
  </si>
  <si>
    <t>SI0004277a</t>
  </si>
  <si>
    <t>MF-296B/20</t>
  </si>
  <si>
    <t>SI0004277b</t>
  </si>
  <si>
    <t>MF-296C/20</t>
  </si>
  <si>
    <t>SI0004277c</t>
  </si>
  <si>
    <t>MF-296D/20</t>
  </si>
  <si>
    <t>SI0004277d</t>
  </si>
  <si>
    <t>MF-296E/20</t>
  </si>
  <si>
    <t>SI0004277e</t>
  </si>
  <si>
    <t>anulada: 8000001135</t>
  </si>
  <si>
    <t>MF-297A/20</t>
  </si>
  <si>
    <t>SC-001409</t>
  </si>
  <si>
    <t>SI0003726a</t>
  </si>
  <si>
    <t>MF-297B/20</t>
  </si>
  <si>
    <t>SI0003726b</t>
  </si>
  <si>
    <t>MF-297C/20</t>
  </si>
  <si>
    <t>SI0003726c</t>
  </si>
  <si>
    <t>MF-297D/20</t>
  </si>
  <si>
    <t>SI0003726d</t>
  </si>
  <si>
    <t>MF-298/20</t>
  </si>
  <si>
    <t>7100061479</t>
  </si>
  <si>
    <t>7300100391</t>
  </si>
  <si>
    <t>HBG1436614</t>
  </si>
  <si>
    <t>MF-299/20</t>
  </si>
  <si>
    <t>7100062014</t>
  </si>
  <si>
    <t>7300100395</t>
  </si>
  <si>
    <t>HBG1436682</t>
  </si>
  <si>
    <t>anulada: 8000000961</t>
  </si>
  <si>
    <t>MF-300/20</t>
  </si>
  <si>
    <t>B7FE-20-3016-MNPE</t>
  </si>
  <si>
    <t>TJCLL22</t>
  </si>
  <si>
    <t>ASIA PEARL II</t>
  </si>
  <si>
    <t>MF-301/20</t>
  </si>
  <si>
    <t>YARA SWITZERLAND LTD</t>
  </si>
  <si>
    <t>L200250</t>
  </si>
  <si>
    <t>STL0110107356</t>
  </si>
  <si>
    <t>GSSW20SHA4456A</t>
  </si>
  <si>
    <t>MV STAR JAPAN</t>
  </si>
  <si>
    <t>MF-302A/20</t>
  </si>
  <si>
    <t>SC-001488</t>
  </si>
  <si>
    <t>SI0003736a</t>
  </si>
  <si>
    <t>MF-302B/20</t>
  </si>
  <si>
    <t>SI0003736b</t>
  </si>
  <si>
    <t>MF-302C/20</t>
  </si>
  <si>
    <t>SI0003736c</t>
  </si>
  <si>
    <t>MF-302D/20</t>
  </si>
  <si>
    <t>SI0003736d</t>
  </si>
  <si>
    <t>MF-303A/20</t>
  </si>
  <si>
    <t>SC-001489</t>
  </si>
  <si>
    <t>SI0003730a</t>
  </si>
  <si>
    <t>MF-303B/20</t>
  </si>
  <si>
    <t>SI0003730b</t>
  </si>
  <si>
    <t>MF-304A/20</t>
  </si>
  <si>
    <t>SC-001490</t>
  </si>
  <si>
    <t>SI0003732a</t>
  </si>
  <si>
    <t>MF-304B/20</t>
  </si>
  <si>
    <t>SI0003732b</t>
  </si>
  <si>
    <t>MF-304C/20</t>
  </si>
  <si>
    <t>SI0003732c</t>
  </si>
  <si>
    <t>MF-304D/20</t>
  </si>
  <si>
    <t>SI0003732d</t>
  </si>
  <si>
    <t>MF-305/20</t>
  </si>
  <si>
    <t>VALUDOR Products LLC</t>
  </si>
  <si>
    <t>VP-20201102</t>
  </si>
  <si>
    <t>TJCLL71</t>
  </si>
  <si>
    <t>TOKYO SPIRIT</t>
  </si>
  <si>
    <t>MF-306A/20</t>
  </si>
  <si>
    <t>SC-001426</t>
  </si>
  <si>
    <t>SI0003728a</t>
  </si>
  <si>
    <t>MF-306B/20</t>
  </si>
  <si>
    <t>SI0003728b</t>
  </si>
  <si>
    <t>MF-306C/20</t>
  </si>
  <si>
    <t>SI0003728c</t>
  </si>
  <si>
    <t>MF-307/20</t>
  </si>
  <si>
    <t>4600017090/L200239C</t>
  </si>
  <si>
    <t>F200-00042825</t>
  </si>
  <si>
    <t>HLCUOSL200812885</t>
  </si>
  <si>
    <t>anulada: 8000001003</t>
  </si>
  <si>
    <t>MF-308/20</t>
  </si>
  <si>
    <t>4600017093/L200239F</t>
  </si>
  <si>
    <t>F200-00042827</t>
  </si>
  <si>
    <t>HLCUOSL200812925</t>
  </si>
  <si>
    <t xml:space="preserve">anulada: 8000001005 </t>
  </si>
  <si>
    <t>MF-309/20</t>
  </si>
  <si>
    <t>4600017088/L200239A</t>
  </si>
  <si>
    <t>F200-00042826</t>
  </si>
  <si>
    <t>LYK0141999</t>
  </si>
  <si>
    <t>MF-310/20</t>
  </si>
  <si>
    <t>4600017089/L200239B</t>
  </si>
  <si>
    <t>F200-00042828</t>
  </si>
  <si>
    <t>LYK0142001</t>
  </si>
  <si>
    <t>MF-311/20</t>
  </si>
  <si>
    <t>4600017091/L200239D</t>
  </si>
  <si>
    <t>F200-00042829</t>
  </si>
  <si>
    <t>LYK0142000</t>
  </si>
  <si>
    <t>anulada: 8000001007</t>
  </si>
  <si>
    <t>MF-312/20</t>
  </si>
  <si>
    <t>4600017092/L200239E</t>
  </si>
  <si>
    <t>F200-00042830</t>
  </si>
  <si>
    <t xml:space="preserve"> LYK0142002 </t>
  </si>
  <si>
    <t>anulada: 8000001008</t>
  </si>
  <si>
    <t>MF-313A/20</t>
  </si>
  <si>
    <t>S5000285</t>
  </si>
  <si>
    <t>5000303</t>
  </si>
  <si>
    <t>MEDUNC562356</t>
  </si>
  <si>
    <t>MSC LEIGH</t>
  </si>
  <si>
    <t>MF-313B/20</t>
  </si>
  <si>
    <t>5000304</t>
  </si>
  <si>
    <t>MEDUNC563685</t>
  </si>
  <si>
    <t>MF-313C/20</t>
  </si>
  <si>
    <t>5000305</t>
  </si>
  <si>
    <t>HLCUKLJ200913073</t>
  </si>
  <si>
    <t>MF-314A/20</t>
  </si>
  <si>
    <t>TGOA20SA103-OCT</t>
  </si>
  <si>
    <t>TGOA-AS-201030-01</t>
  </si>
  <si>
    <t>2H OCTUBRE '20</t>
  </si>
  <si>
    <t>IPJJ01F</t>
  </si>
  <si>
    <t>MV INTERLINK PARITY</t>
  </si>
  <si>
    <t>MF-314B/20</t>
  </si>
  <si>
    <t>TGOA-AS-201030-02</t>
  </si>
  <si>
    <t>IPJJ01G</t>
  </si>
  <si>
    <t>MF-315A/20</t>
  </si>
  <si>
    <t>TGOA-DAP-201103-01</t>
  </si>
  <si>
    <t>GF201020C</t>
  </si>
  <si>
    <t>MF-315B/20</t>
  </si>
  <si>
    <t>TGOA-DAP-201103-02</t>
  </si>
  <si>
    <t>GF201020E</t>
  </si>
  <si>
    <t>MF-315C/20</t>
  </si>
  <si>
    <t>TGOA-DAP-201103-03</t>
  </si>
  <si>
    <t>GF201020A</t>
  </si>
  <si>
    <t>MF-315D/20</t>
  </si>
  <si>
    <t>TGOA-DAP-201103-04</t>
  </si>
  <si>
    <t>GF201020D</t>
  </si>
  <si>
    <t>MF-315E/20</t>
  </si>
  <si>
    <t>TGOA-DAP-201103-05</t>
  </si>
  <si>
    <t>GF201020B</t>
  </si>
  <si>
    <t>MF-316A/20</t>
  </si>
  <si>
    <t>TGOA-UREA-201030-01</t>
  </si>
  <si>
    <t>IPJJ03C</t>
  </si>
  <si>
    <t>MF-316B/20</t>
  </si>
  <si>
    <t>TGOA-UREA-201030-02</t>
  </si>
  <si>
    <t>IPJJ03D</t>
  </si>
  <si>
    <t>MF-316C/20</t>
  </si>
  <si>
    <t>TGOA-UREA-201030-03</t>
  </si>
  <si>
    <t>IPJJ03A</t>
  </si>
  <si>
    <t>MF-316D/20</t>
  </si>
  <si>
    <t>TGOA-UREA-201030-04</t>
  </si>
  <si>
    <t>IPJJ03B</t>
  </si>
  <si>
    <t>MF-317A/20</t>
  </si>
  <si>
    <t>PEQUI2009</t>
  </si>
  <si>
    <t>FV204E000105</t>
  </si>
  <si>
    <t>OCTUBRE '20</t>
  </si>
  <si>
    <t>EM2CL-1036927</t>
  </si>
  <si>
    <t>anulada: 8000000986</t>
  </si>
  <si>
    <t>MF-317B/20</t>
  </si>
  <si>
    <t>MF-318/20</t>
  </si>
  <si>
    <t>4600017265</t>
  </si>
  <si>
    <t>F200-00042963</t>
  </si>
  <si>
    <t>MEDUPR774043</t>
  </si>
  <si>
    <t>MF-319/20</t>
  </si>
  <si>
    <t>204826</t>
  </si>
  <si>
    <t>2017/320_A11</t>
  </si>
  <si>
    <t>20CH-40103445</t>
  </si>
  <si>
    <t>MOS0162492</t>
  </si>
  <si>
    <t xml:space="preserve">CMA CGM NEVA </t>
  </si>
  <si>
    <t>MF-320/20</t>
  </si>
  <si>
    <t>2017/320_A12</t>
  </si>
  <si>
    <t>20CH-40103595</t>
  </si>
  <si>
    <t>NOVIEMBRE '20</t>
  </si>
  <si>
    <t>MOS0163477</t>
  </si>
  <si>
    <t>MF-321A/20</t>
  </si>
  <si>
    <t>N°243119_A5</t>
  </si>
  <si>
    <t>B7FE-20-3017-ANPE-01</t>
  </si>
  <si>
    <t>2H SET - 1H OCT '20</t>
  </si>
  <si>
    <t>MV CIELO DI IYO</t>
  </si>
  <si>
    <t>MF-321B/20</t>
  </si>
  <si>
    <t>B7FE-20-3017-ANPE-02</t>
  </si>
  <si>
    <t>MF-321C/20</t>
  </si>
  <si>
    <t>B7FE-20-3017-ANPE-03</t>
  </si>
  <si>
    <t>MF-321D/20</t>
  </si>
  <si>
    <t>B7FE-20-3017-ANPE-04</t>
  </si>
  <si>
    <t>MF-321E/20</t>
  </si>
  <si>
    <t>B7FE-20-3017-ANPE-05</t>
  </si>
  <si>
    <t>MF-322A/20</t>
  </si>
  <si>
    <t>B7FE-20-3018-URPE-01</t>
  </si>
  <si>
    <t>MF-322B/20</t>
  </si>
  <si>
    <t>B7FE-20-3018-URPE-02</t>
  </si>
  <si>
    <t>MF-322C/20</t>
  </si>
  <si>
    <t>B7FE-20-3018-URPE-03</t>
  </si>
  <si>
    <t>anulada: 8000001069</t>
  </si>
  <si>
    <t>MF-322D/20</t>
  </si>
  <si>
    <t>B7FE-20-3018-URPE-04</t>
  </si>
  <si>
    <t>MF-322E/20</t>
  </si>
  <si>
    <t>B7FE-20-3018-URPE-05</t>
  </si>
  <si>
    <t>MF-323A/20</t>
  </si>
  <si>
    <t xml:space="preserve"> L200256A</t>
  </si>
  <si>
    <t>F200-00042948</t>
  </si>
  <si>
    <t>PAITA 2</t>
  </si>
  <si>
    <t>HEROYA / NORUEGA</t>
  </si>
  <si>
    <t>MF-323B/20</t>
  </si>
  <si>
    <t>F200-00042949</t>
  </si>
  <si>
    <t>SALAVERRY 2</t>
  </si>
  <si>
    <t>MF-323C/20</t>
  </si>
  <si>
    <t>F200-00042945</t>
  </si>
  <si>
    <t>CALLAO 2</t>
  </si>
  <si>
    <t>MF-323D/20</t>
  </si>
  <si>
    <t>F200-00042942</t>
  </si>
  <si>
    <t>PISCO 2</t>
  </si>
  <si>
    <t>MF-323E/20</t>
  </si>
  <si>
    <t>F200-00042950</t>
  </si>
  <si>
    <t>MATARANI 2</t>
  </si>
  <si>
    <t>MF-324A/20</t>
  </si>
  <si>
    <t xml:space="preserve"> L200256B</t>
  </si>
  <si>
    <t>F200-00042943</t>
  </si>
  <si>
    <t>PAITA 1</t>
  </si>
  <si>
    <t>MF-324B/20</t>
  </si>
  <si>
    <t>F200-00042946</t>
  </si>
  <si>
    <t>SALAVERRY 1</t>
  </si>
  <si>
    <t>MF-324C.1/20</t>
  </si>
  <si>
    <t>F200-00042961</t>
  </si>
  <si>
    <t>CALLAO 1</t>
  </si>
  <si>
    <t>anulada: 8000001040</t>
  </si>
  <si>
    <t>MF-324C.2/20</t>
  </si>
  <si>
    <t>F200-00042960</t>
  </si>
  <si>
    <t>anulada: 8000001058</t>
  </si>
  <si>
    <t>MF-324D/20</t>
  </si>
  <si>
    <t>F200-00042947</t>
  </si>
  <si>
    <t>PISCO 1</t>
  </si>
  <si>
    <t>anulada 8000001041</t>
  </si>
  <si>
    <t>MF-324E/20</t>
  </si>
  <si>
    <t>F200-00042944</t>
  </si>
  <si>
    <t>MATARANI 1</t>
  </si>
  <si>
    <t>anulada: 8000001042</t>
  </si>
  <si>
    <t>MF-325/20</t>
  </si>
  <si>
    <t>SG-MSL-12329-28</t>
  </si>
  <si>
    <t>SET - OCT '20</t>
  </si>
  <si>
    <t>GSSW20SHA4457A</t>
  </si>
  <si>
    <t>MF-326.1/20</t>
  </si>
  <si>
    <t>SG-MSL-12329-29</t>
  </si>
  <si>
    <t>SG-MSL-12329-29A</t>
  </si>
  <si>
    <t>GSSW20SHA4477A</t>
  </si>
  <si>
    <t>MF-326.2/20</t>
  </si>
  <si>
    <t>SG-MSL-12329-29B</t>
  </si>
  <si>
    <t>XZHBYQCLL11</t>
  </si>
  <si>
    <t>MV XING ZUN HAI</t>
  </si>
  <si>
    <t>MF-327.1/20</t>
  </si>
  <si>
    <t>SG-MSL-12329-30</t>
  </si>
  <si>
    <t>GSSW20SHA4459A</t>
  </si>
  <si>
    <t>MF-327.2/20</t>
  </si>
  <si>
    <t>MF-327.3/20</t>
  </si>
  <si>
    <t>MF-328A/20</t>
  </si>
  <si>
    <t>L200275B</t>
  </si>
  <si>
    <t>STL0110107409</t>
  </si>
  <si>
    <t xml:space="preserve"> MEDUAL670000</t>
  </si>
  <si>
    <t>MF-328B/20</t>
  </si>
  <si>
    <t>STL0110107459</t>
  </si>
  <si>
    <t>SUDU70999ADK5006</t>
  </si>
  <si>
    <t>MONTE ALEGRE</t>
  </si>
  <si>
    <t>MF-328C1/20</t>
  </si>
  <si>
    <t>STL0110107487</t>
  </si>
  <si>
    <t>SUDU71999AE0M008</t>
  </si>
  <si>
    <t xml:space="preserve">anulada: 8000001243 </t>
  </si>
  <si>
    <t>MF-328C2/20</t>
  </si>
  <si>
    <t>SUDU71999MEMO008</t>
  </si>
  <si>
    <t>MF-329A.1/20</t>
  </si>
  <si>
    <t>L200275A</t>
  </si>
  <si>
    <t>STL0110107407</t>
  </si>
  <si>
    <t>MEDUAL660860</t>
  </si>
  <si>
    <t>MSC FLORENTINA</t>
  </si>
  <si>
    <t xml:space="preserve">MSC KANOKO </t>
  </si>
  <si>
    <t>MF-329A.2/20</t>
  </si>
  <si>
    <t>MSC MANU</t>
  </si>
  <si>
    <t>MF-329B/20</t>
  </si>
  <si>
    <t>STL0110107438</t>
  </si>
  <si>
    <t>MEDUAL680181</t>
  </si>
  <si>
    <t>MF-329C/20</t>
  </si>
  <si>
    <t>STL0110107486</t>
  </si>
  <si>
    <t>SUDU71999AE0M009</t>
  </si>
  <si>
    <t>POLAR BRASIL</t>
  </si>
  <si>
    <t>MF-330/20</t>
  </si>
  <si>
    <t>L200275C</t>
  </si>
  <si>
    <t>STL0110107408</t>
  </si>
  <si>
    <t>HLCUALY201105447</t>
  </si>
  <si>
    <t>ETE N</t>
  </si>
  <si>
    <t>MF-331/20</t>
  </si>
  <si>
    <t>F200-00042972</t>
  </si>
  <si>
    <t>2H OCT - 1H NOV '20</t>
  </si>
  <si>
    <t>RTM1031207</t>
  </si>
  <si>
    <t>MF-332/20</t>
  </si>
  <si>
    <t>61-2868</t>
  </si>
  <si>
    <t>9392</t>
  </si>
  <si>
    <t>GSSW20SHA4477B</t>
  </si>
  <si>
    <t>MF-333/20</t>
  </si>
  <si>
    <t>S5000293</t>
  </si>
  <si>
    <t>5000361</t>
  </si>
  <si>
    <t>OCT - NOV '20</t>
  </si>
  <si>
    <t>SUDUI0617A6556MB</t>
  </si>
  <si>
    <t>GEMLIK / TURQUÍA</t>
  </si>
  <si>
    <t>CMA CGM NERVAL</t>
  </si>
  <si>
    <t>MF-334/20</t>
  </si>
  <si>
    <t>S5000314</t>
  </si>
  <si>
    <t>5000374</t>
  </si>
  <si>
    <t>GSSW20SHA4474B</t>
  </si>
  <si>
    <t>MF-335/20</t>
  </si>
  <si>
    <t>S5000315</t>
  </si>
  <si>
    <t>5000340</t>
  </si>
  <si>
    <t>GSSW20SHA4429B</t>
  </si>
  <si>
    <t>MF-336A/20</t>
  </si>
  <si>
    <t>S5000305</t>
  </si>
  <si>
    <t>5000330</t>
  </si>
  <si>
    <t>MEDUNC570276</t>
  </si>
  <si>
    <t>MSC BIANCA</t>
  </si>
  <si>
    <t>MF-336B.1/20</t>
  </si>
  <si>
    <t>S5000306</t>
  </si>
  <si>
    <t>5000331</t>
  </si>
  <si>
    <t>MEDUNC570417</t>
  </si>
  <si>
    <t>MF-336B.2/20</t>
  </si>
  <si>
    <t>5000332</t>
  </si>
  <si>
    <t>MEDUNC570425</t>
  </si>
  <si>
    <t>MF-337/20</t>
  </si>
  <si>
    <t>SC 20150</t>
  </si>
  <si>
    <t>220.232</t>
  </si>
  <si>
    <t>GSSW20SHA4460A</t>
  </si>
  <si>
    <t>anulada: 8000001142</t>
  </si>
  <si>
    <t>MF-338/20</t>
  </si>
  <si>
    <t xml:space="preserve">7100068324 </t>
  </si>
  <si>
    <t>7300117483</t>
  </si>
  <si>
    <t>HBG1447523A</t>
  </si>
  <si>
    <t>MF-339.1/20</t>
  </si>
  <si>
    <t>4600017238</t>
  </si>
  <si>
    <t>F200-00042849</t>
  </si>
  <si>
    <t>HLCUBO2200929754</t>
  </si>
  <si>
    <t>MF-339.2.1/20</t>
  </si>
  <si>
    <t>F200-42850</t>
  </si>
  <si>
    <t>MF-339.2.2/20</t>
  </si>
  <si>
    <t>MF-339.2.3/20</t>
  </si>
  <si>
    <t>MF-340A1/20</t>
  </si>
  <si>
    <t>PS-9820</t>
  </si>
  <si>
    <t>301001549</t>
  </si>
  <si>
    <t>SUDUC0ANR020156X</t>
  </si>
  <si>
    <t>POLAR PERU</t>
  </si>
  <si>
    <t>MF-340A2/20</t>
  </si>
  <si>
    <t>306028226</t>
  </si>
  <si>
    <t>FEBRERO '21</t>
  </si>
  <si>
    <t>MAEU209831882</t>
  </si>
  <si>
    <t>TEESPORT / UK</t>
  </si>
  <si>
    <t>BG IRELAND</t>
  </si>
  <si>
    <t>MF-341B1/20</t>
  </si>
  <si>
    <t>301001544</t>
  </si>
  <si>
    <t>SUDUC0ANR020186X</t>
  </si>
  <si>
    <t>MF-341B2/20</t>
  </si>
  <si>
    <t>301001588</t>
  </si>
  <si>
    <t>DICIEMBRE '20</t>
  </si>
  <si>
    <t>SUDUC0ANR020191X</t>
  </si>
  <si>
    <t>MF-342/20</t>
  </si>
  <si>
    <t>301001574</t>
  </si>
  <si>
    <t>HLCUANR201067660</t>
  </si>
  <si>
    <t>MF-343/20</t>
  </si>
  <si>
    <t>4600017094/L200240A</t>
  </si>
  <si>
    <t>NOVIEMBRE</t>
  </si>
  <si>
    <t>F200-00042967</t>
  </si>
  <si>
    <t> LYK0142522</t>
  </si>
  <si>
    <t>MF-344/20</t>
  </si>
  <si>
    <t>7100070430</t>
  </si>
  <si>
    <t>7300115367</t>
  </si>
  <si>
    <t>HBG1446069</t>
  </si>
  <si>
    <t>MF-345/20</t>
  </si>
  <si>
    <t>2017/320_A13</t>
  </si>
  <si>
    <t>20CH-40104063</t>
  </si>
  <si>
    <t>SGU0190036</t>
  </si>
  <si>
    <t xml:space="preserve">CMA CGM JEAN GABRIEL </t>
  </si>
  <si>
    <t>MF-346A/20</t>
  </si>
  <si>
    <t>B7FE-20-3023-GUPE-01</t>
  </si>
  <si>
    <t>1H NOVIEMBRE '20</t>
  </si>
  <si>
    <t>MV EARTH HARMONY</t>
  </si>
  <si>
    <t>MF-346B/20</t>
  </si>
  <si>
    <t>B7FE-20-3023-GUPE-02</t>
  </si>
  <si>
    <t>MF-346C/20</t>
  </si>
  <si>
    <t>B7FE-20-3023-GUPE-03</t>
  </si>
  <si>
    <t>MF-346D/20</t>
  </si>
  <si>
    <t>B7FE-20-3023-GUPE-04</t>
  </si>
  <si>
    <t>MF-347A/20</t>
  </si>
  <si>
    <t>B7FE-20-3022-PUPE-01</t>
  </si>
  <si>
    <t>MF-347B/20</t>
  </si>
  <si>
    <t>B7FE-20-3022-PUPE-02</t>
  </si>
  <si>
    <t>MF-347C/20</t>
  </si>
  <si>
    <t>B7FE-20-3022-PUPE-03</t>
  </si>
  <si>
    <t>MF-347D/20</t>
  </si>
  <si>
    <t>B7FE-20-3022-PUPE-04</t>
  </si>
  <si>
    <t>MF-348/20</t>
  </si>
  <si>
    <t>4600017237</t>
  </si>
  <si>
    <t>F200-00042929</t>
  </si>
  <si>
    <t>BGA0272540</t>
  </si>
  <si>
    <t>MF-349/20</t>
  </si>
  <si>
    <t>4600017239</t>
  </si>
  <si>
    <t>F200-00042973</t>
  </si>
  <si>
    <t>EGLV711000050610</t>
  </si>
  <si>
    <t>MAERSK WILMINGTON</t>
  </si>
  <si>
    <t>JULIANA 20046S</t>
  </si>
  <si>
    <t>MF-350/20</t>
  </si>
  <si>
    <t>S-02002080</t>
  </si>
  <si>
    <t>33709</t>
  </si>
  <si>
    <t>SUDU20MEX037415X</t>
  </si>
  <si>
    <t>MONTE PASCOAL</t>
  </si>
  <si>
    <t>POLAR CHILE</t>
  </si>
  <si>
    <t>MF-351A/20</t>
  </si>
  <si>
    <t>L200300B</t>
  </si>
  <si>
    <t>STL0110107521</t>
  </si>
  <si>
    <t>1H ENERO '21</t>
  </si>
  <si>
    <t>HLCUALY210119227</t>
  </si>
  <si>
    <t>FLEUR N</t>
  </si>
  <si>
    <t xml:space="preserve"> CMA CGM SAMBHAR</t>
  </si>
  <si>
    <t>MF-351B/20</t>
  </si>
  <si>
    <t>L200300A</t>
  </si>
  <si>
    <t>STL0110107631</t>
  </si>
  <si>
    <t>SUDU71724AF1T012</t>
  </si>
  <si>
    <t>E.R. CAMILLA</t>
  </si>
  <si>
    <t>MF-352/20</t>
  </si>
  <si>
    <t>SC 20170</t>
  </si>
  <si>
    <t>220.293</t>
  </si>
  <si>
    <t>ELTJCLL47</t>
  </si>
  <si>
    <t>MV ELISAR</t>
  </si>
  <si>
    <t>MF-353/20</t>
  </si>
  <si>
    <t>MF-354.1/20</t>
  </si>
  <si>
    <t>MF-354.2/20</t>
  </si>
  <si>
    <t>MF-354.3/20</t>
  </si>
  <si>
    <t>MF-355A/20</t>
  </si>
  <si>
    <t>7100076270</t>
  </si>
  <si>
    <t>7300127725</t>
  </si>
  <si>
    <t>HBG1458603</t>
  </si>
  <si>
    <t>MF-355B/20</t>
  </si>
  <si>
    <t>7100076281</t>
  </si>
  <si>
    <t>7300125308</t>
  </si>
  <si>
    <t>HBG1458638</t>
  </si>
  <si>
    <t>MF-356A/20</t>
  </si>
  <si>
    <t>L200306A</t>
  </si>
  <si>
    <t>STL0110107450</t>
  </si>
  <si>
    <t>1H DICIEMBRE '20</t>
  </si>
  <si>
    <t>GSSW20SHA4822A</t>
  </si>
  <si>
    <t>SISKIN ARROW</t>
  </si>
  <si>
    <t>MF-356B/20</t>
  </si>
  <si>
    <t>MF-357.1/20</t>
  </si>
  <si>
    <t>S5000342</t>
  </si>
  <si>
    <t>5000372</t>
  </si>
  <si>
    <t>MEDUNC578220</t>
  </si>
  <si>
    <t>KLAIPEDA / LITHUANIA</t>
  </si>
  <si>
    <t>MSC ANYA</t>
  </si>
  <si>
    <t>MF-357.2/20</t>
  </si>
  <si>
    <t>5000388</t>
  </si>
  <si>
    <t>MEDUNC578261</t>
  </si>
  <si>
    <t>MSC FEDERICA</t>
  </si>
  <si>
    <t>MF-358.1/20</t>
  </si>
  <si>
    <t>5000358</t>
  </si>
  <si>
    <t>2W NOVIEMBRE'20</t>
  </si>
  <si>
    <t>MEDUNC578089</t>
  </si>
  <si>
    <t>MSC JAPAN</t>
  </si>
  <si>
    <t>MF-358.2/20</t>
  </si>
  <si>
    <t>5000371</t>
  </si>
  <si>
    <t>3W NOVIEMBRE'20</t>
  </si>
  <si>
    <t>MEDUNC578246</t>
  </si>
  <si>
    <t>MF-358.3/20</t>
  </si>
  <si>
    <t>5000389</t>
  </si>
  <si>
    <t>4W NOVIEMBRE'20</t>
  </si>
  <si>
    <t>MEDUNC578253</t>
  </si>
  <si>
    <t>MF-358.4/20</t>
  </si>
  <si>
    <t>5000398</t>
  </si>
  <si>
    <t>MEDUNC582883</t>
  </si>
  <si>
    <t>MF-359/20</t>
  </si>
  <si>
    <t>5000423</t>
  </si>
  <si>
    <t>HLCUKLJ201213020</t>
  </si>
  <si>
    <t>MF-360/20</t>
  </si>
  <si>
    <t>S5000343</t>
  </si>
  <si>
    <t>5000426</t>
  </si>
  <si>
    <t>GSSW20SHA5220A</t>
  </si>
  <si>
    <t>MF-361/20</t>
  </si>
  <si>
    <t>B7FE-20-3024-SZPE</t>
  </si>
  <si>
    <t>B7FE-20-3024-ZSPE</t>
  </si>
  <si>
    <t>2H NOVIEMBRE '20</t>
  </si>
  <si>
    <t>ELTJCLL48</t>
  </si>
  <si>
    <t>MF-362/20</t>
  </si>
  <si>
    <t>4600017095/L200240B</t>
  </si>
  <si>
    <t>F200-00042987</t>
  </si>
  <si>
    <t> LYK0142523</t>
  </si>
  <si>
    <t>CONMAR GULF</t>
  </si>
  <si>
    <t>MF-363/20</t>
  </si>
  <si>
    <t>4600017529</t>
  </si>
  <si>
    <t>F200-00043035</t>
  </si>
  <si>
    <t>BGA0277001</t>
  </si>
  <si>
    <t>MF-364/20</t>
  </si>
  <si>
    <t>4600017530</t>
  </si>
  <si>
    <t>F200-00043034</t>
  </si>
  <si>
    <t>BGA0277000</t>
  </si>
  <si>
    <t>MF-365/20</t>
  </si>
  <si>
    <t xml:space="preserve">4600017531 </t>
  </si>
  <si>
    <t>F200-00043053</t>
  </si>
  <si>
    <t>HLCUBO2201132799</t>
  </si>
  <si>
    <t>MF-366/20</t>
  </si>
  <si>
    <t>S5000351</t>
  </si>
  <si>
    <t>5000418</t>
  </si>
  <si>
    <t>2H NOV - 2H DIC '20</t>
  </si>
  <si>
    <t>SUDUI0617A6GFLJ3</t>
  </si>
  <si>
    <t>YARIMCA / TURQUÍA</t>
  </si>
  <si>
    <t>MF-367/20</t>
  </si>
  <si>
    <t>4600017356</t>
  </si>
  <si>
    <t>F200-00042997</t>
  </si>
  <si>
    <t>BGA0274612</t>
  </si>
  <si>
    <t>el ingreso de OC debe ser SIN IGV</t>
  </si>
  <si>
    <t>MF-368/20</t>
  </si>
  <si>
    <t>4600017410</t>
  </si>
  <si>
    <t>F200-00042995</t>
  </si>
  <si>
    <t>HLCUBO2201100410</t>
  </si>
  <si>
    <t>MF-369/20</t>
  </si>
  <si>
    <t>4600017468</t>
  </si>
  <si>
    <t>F200-00042996</t>
  </si>
  <si>
    <t>HLCUBO2201113912</t>
  </si>
  <si>
    <t>MF-370/20</t>
  </si>
  <si>
    <t>4600017357</t>
  </si>
  <si>
    <t>F200-00042991</t>
  </si>
  <si>
    <t>HLCUBO2201032545</t>
  </si>
  <si>
    <t>MF-371/20</t>
  </si>
  <si>
    <t>4600017411</t>
  </si>
  <si>
    <t>F200-00042980</t>
  </si>
  <si>
    <t>HLCUBO2201100392</t>
  </si>
  <si>
    <t>MF-372/20</t>
  </si>
  <si>
    <t>4600017358</t>
  </si>
  <si>
    <t>F200-00042994</t>
  </si>
  <si>
    <t>STELLAR WALVIS BAY</t>
  </si>
  <si>
    <t>MF-373/20</t>
  </si>
  <si>
    <t>4600017469</t>
  </si>
  <si>
    <t>F200-00043003</t>
  </si>
  <si>
    <t>BGA0276071</t>
  </si>
  <si>
    <t>MF-374/20</t>
  </si>
  <si>
    <t>4600017470</t>
  </si>
  <si>
    <t>F200-00043020</t>
  </si>
  <si>
    <t>BGA0276073</t>
  </si>
  <si>
    <t>MF-375/20</t>
  </si>
  <si>
    <t>4600017471</t>
  </si>
  <si>
    <t>F200-00043043</t>
  </si>
  <si>
    <t>BGA0276317</t>
  </si>
  <si>
    <t xml:space="preserve">RANSA </t>
  </si>
  <si>
    <t>MF-376/20</t>
  </si>
  <si>
    <t>4600017472</t>
  </si>
  <si>
    <t>F200-00043027</t>
  </si>
  <si>
    <t>HLCUBO2201120289</t>
  </si>
  <si>
    <t>MF-377/20</t>
  </si>
  <si>
    <t>4600017473</t>
  </si>
  <si>
    <t>F200-00043026</t>
  </si>
  <si>
    <t>HLCUBO2201120351</t>
  </si>
  <si>
    <t>MF-378/20</t>
  </si>
  <si>
    <t>4600017474</t>
  </si>
  <si>
    <t>F200-00043044</t>
  </si>
  <si>
    <t>HLCUBO2201120413</t>
  </si>
  <si>
    <t>MF-379/20</t>
  </si>
  <si>
    <t>4600017475</t>
  </si>
  <si>
    <t>F200-00043040</t>
  </si>
  <si>
    <t>MF-380/20</t>
  </si>
  <si>
    <t>858</t>
  </si>
  <si>
    <t>HLCUSCL201175133</t>
  </si>
  <si>
    <t>MF-381.1/20</t>
  </si>
  <si>
    <t>SG-MSL-12329-31</t>
  </si>
  <si>
    <t>SG-MSL-12329-31A</t>
  </si>
  <si>
    <t>3W NOVIEMBRE '20</t>
  </si>
  <si>
    <t>XZHBYQCLL12</t>
  </si>
  <si>
    <t>MF-381.2/20</t>
  </si>
  <si>
    <t>SG-MSL-12329-31B</t>
  </si>
  <si>
    <t>1W DICIEMBRE '20</t>
  </si>
  <si>
    <t>GSSW20SHA5212B</t>
  </si>
  <si>
    <t>MF-382/20</t>
  </si>
  <si>
    <t>SG-MSL-12329-32</t>
  </si>
  <si>
    <t>GSSW20SHA5237A</t>
  </si>
  <si>
    <t>MF-383/20</t>
  </si>
  <si>
    <t>7100082607</t>
  </si>
  <si>
    <t>7300140319</t>
  </si>
  <si>
    <t>ENERO '21</t>
  </si>
  <si>
    <t>HBG1463036</t>
  </si>
  <si>
    <t>MF-384A/20</t>
  </si>
  <si>
    <t>243/19_A2</t>
  </si>
  <si>
    <t>B7FE-20-3028-ANPE-01</t>
  </si>
  <si>
    <t>2H DICIEMBRE '20</t>
  </si>
  <si>
    <t xml:space="preserve">MV BERGE TRONADOR </t>
  </si>
  <si>
    <t>MF-384B/20</t>
  </si>
  <si>
    <t>B7FE-20-3028-ANPE-02</t>
  </si>
  <si>
    <t>MF-384C/20</t>
  </si>
  <si>
    <t>B7FE-20-3028-ANPE-03</t>
  </si>
  <si>
    <t>MF-384D/20</t>
  </si>
  <si>
    <t>B7FE-20-3028-ANPE-04</t>
  </si>
  <si>
    <t>MF-385A/20</t>
  </si>
  <si>
    <t>B7FE-20-3029-URPE</t>
  </si>
  <si>
    <t>MF-386A/20</t>
  </si>
  <si>
    <t>UKT-EQUILIBRA-2020-3</t>
  </si>
  <si>
    <t>20-12-4490-1</t>
  </si>
  <si>
    <t>MF-386B/20</t>
  </si>
  <si>
    <t>20-12-4490-2</t>
  </si>
  <si>
    <t>MF-386C/20</t>
  </si>
  <si>
    <t>20-12-4490-3</t>
  </si>
  <si>
    <t>MF-387/20</t>
  </si>
  <si>
    <t>MF-388/20</t>
  </si>
  <si>
    <t>7100084472</t>
  </si>
  <si>
    <t>7300151173</t>
  </si>
  <si>
    <t>HBG1465545</t>
  </si>
  <si>
    <t>MF-389/20</t>
  </si>
  <si>
    <t>S5000390</t>
  </si>
  <si>
    <t>5000442</t>
  </si>
  <si>
    <t>DIC '20 - ENE '21</t>
  </si>
  <si>
    <t>XZHBYQPAT02</t>
  </si>
  <si>
    <t xml:space="preserve">MV XING ZUN HAI </t>
  </si>
  <si>
    <t>MF-390/20</t>
  </si>
  <si>
    <t>S5000391</t>
  </si>
  <si>
    <t>5000439</t>
  </si>
  <si>
    <t>GSSW20SHA5444A</t>
  </si>
  <si>
    <t>MF-391/20</t>
  </si>
  <si>
    <t>L210013A</t>
  </si>
  <si>
    <t>STL0110107710</t>
  </si>
  <si>
    <t>2H ENE '21 - 1H FEB '21</t>
  </si>
  <si>
    <t>SUDU71999AFBS004</t>
  </si>
  <si>
    <t>WADI ALRAYAN</t>
  </si>
  <si>
    <t>anulada: 8000001363</t>
  </si>
  <si>
    <t>MF-392/20</t>
  </si>
  <si>
    <t>L210013B</t>
  </si>
  <si>
    <t>STL0110107929</t>
  </si>
  <si>
    <t>SUDU71724AGCS031</t>
  </si>
  <si>
    <t>MF-393/20</t>
  </si>
  <si>
    <t>SOLINC INDUSTRIAL CO., LIMITED</t>
  </si>
  <si>
    <t>MF-393-20</t>
  </si>
  <si>
    <t>DIC '20 - 1H ENE '21</t>
  </si>
  <si>
    <t>TC03TJ2101</t>
  </si>
  <si>
    <t>TS JASMINE</t>
  </si>
  <si>
    <t>MF-394/20</t>
  </si>
  <si>
    <t>MF-394-20</t>
  </si>
  <si>
    <t>MAY - JUN '21</t>
  </si>
  <si>
    <t>FL2101TC29</t>
  </si>
  <si>
    <t>MV MSXT FLORA</t>
  </si>
  <si>
    <t>MF-395/20</t>
  </si>
  <si>
    <t>S5000400</t>
  </si>
  <si>
    <t>5000487</t>
  </si>
  <si>
    <t>GSSW21SHA2178A</t>
  </si>
  <si>
    <t>MV PENGUIN ARROW</t>
  </si>
  <si>
    <t>MF-396.1.1/20</t>
  </si>
  <si>
    <t>L210026A-1</t>
  </si>
  <si>
    <t>STL110108082</t>
  </si>
  <si>
    <t>MARZO '21</t>
  </si>
  <si>
    <t>SUDU71999AHDK006</t>
  </si>
  <si>
    <t>SEAMAX NORWALK</t>
  </si>
  <si>
    <t>MF-396.1.2/20</t>
  </si>
  <si>
    <t>L210026A-2</t>
  </si>
  <si>
    <t>STL110108130</t>
  </si>
  <si>
    <t>SUDU71999AHJS001</t>
  </si>
  <si>
    <t>MF-396.2.1.1/20</t>
  </si>
  <si>
    <t>L210026E</t>
  </si>
  <si>
    <t>STL110108235</t>
  </si>
  <si>
    <t>SUDU71724AHX6005</t>
  </si>
  <si>
    <t xml:space="preserve"> CAP SAN TAINARO</t>
  </si>
  <si>
    <t>MF-396.2.1.2/20</t>
  </si>
  <si>
    <t>SUDU71724AIFI001</t>
  </si>
  <si>
    <t>MF-396.3/20</t>
  </si>
  <si>
    <t>L210026C</t>
  </si>
  <si>
    <t>STL0110107772</t>
  </si>
  <si>
    <t>SUDU71999AFG5002</t>
  </si>
  <si>
    <t>anulada: 8000001362</t>
  </si>
  <si>
    <t>MF-001/21</t>
  </si>
  <si>
    <t>MICROMAX ZN EDTA X 5KG</t>
  </si>
  <si>
    <t>DEX 0046/02/2021</t>
  </si>
  <si>
    <t>2H FEBRERO '21</t>
  </si>
  <si>
    <t>COSU6292324120</t>
  </si>
  <si>
    <t>ALRAYAN</t>
  </si>
  <si>
    <t>anulada: 8000001187/8000001188</t>
  </si>
  <si>
    <t>MF-002/21</t>
  </si>
  <si>
    <t>7100095474</t>
  </si>
  <si>
    <t>7300161038</t>
  </si>
  <si>
    <t>2H ENERO '21</t>
  </si>
  <si>
    <t>HBG1472637</t>
  </si>
  <si>
    <t>anulada: 8000001193</t>
  </si>
  <si>
    <t>MF-003/21</t>
  </si>
  <si>
    <t>61-3122</t>
  </si>
  <si>
    <t>10 478</t>
  </si>
  <si>
    <t>KSBYQCLL03</t>
  </si>
  <si>
    <t>MV KOUSHUN</t>
  </si>
  <si>
    <t>anulada: 8000001195</t>
  </si>
  <si>
    <t>MF-004/21</t>
  </si>
  <si>
    <t>2017/320_A14</t>
  </si>
  <si>
    <t>21CH-40100802</t>
  </si>
  <si>
    <t>2H FEBRERO - 1H MARZO</t>
  </si>
  <si>
    <t>MAEU911837030</t>
  </si>
  <si>
    <t>VENTA MAERSK</t>
  </si>
  <si>
    <t>MF-004.1/21</t>
  </si>
  <si>
    <t>MF-005/21</t>
  </si>
  <si>
    <t>4600017700</t>
  </si>
  <si>
    <t>BGA0279123</t>
  </si>
  <si>
    <t>MF-006/21</t>
  </si>
  <si>
    <t>MF-007A1.1/21</t>
  </si>
  <si>
    <t>S-02100150</t>
  </si>
  <si>
    <t>34470</t>
  </si>
  <si>
    <t>HLCUME3210255140</t>
  </si>
  <si>
    <t>TOLTEN</t>
  </si>
  <si>
    <t>CMA CGM SAMBHAR</t>
  </si>
  <si>
    <t>145-2022-10-000206-00</t>
  </si>
  <si>
    <t>MF-007A1.2/21</t>
  </si>
  <si>
    <t>MF-007A1.3/21</t>
  </si>
  <si>
    <t>35018</t>
  </si>
  <si>
    <t>MARZO '21 - ABRIL '21</t>
  </si>
  <si>
    <t>HLCUME3210388124</t>
  </si>
  <si>
    <t>TUCUPEL</t>
  </si>
  <si>
    <t>MF-007A2/21</t>
  </si>
  <si>
    <t>34825</t>
  </si>
  <si>
    <t>HLCUME3210353630</t>
  </si>
  <si>
    <t>TIRUA</t>
  </si>
  <si>
    <t>MF-007B/21</t>
  </si>
  <si>
    <t>34344</t>
  </si>
  <si>
    <t>HLCUME3210237366</t>
  </si>
  <si>
    <t xml:space="preserve">MOLLY SCHULTE </t>
  </si>
  <si>
    <t>MF-008A1/21</t>
  </si>
  <si>
    <t>S-02100154</t>
  </si>
  <si>
    <t>34782</t>
  </si>
  <si>
    <t>HLCUME3210346876</t>
  </si>
  <si>
    <t>MF-008A2/21</t>
  </si>
  <si>
    <t>35100</t>
  </si>
  <si>
    <t>ABRIL '21</t>
  </si>
  <si>
    <t>HLCUME3210421550</t>
  </si>
  <si>
    <t>MF-008A3/21</t>
  </si>
  <si>
    <t>35893</t>
  </si>
  <si>
    <t>MAYO '21</t>
  </si>
  <si>
    <t>HLCUME3210612245</t>
  </si>
  <si>
    <t>TEMPANO</t>
  </si>
  <si>
    <t>MF-008B1/21</t>
  </si>
  <si>
    <t>34826</t>
  </si>
  <si>
    <t>HLCUME3210356090</t>
  </si>
  <si>
    <t>X-PRESS MACHU PICHU</t>
  </si>
  <si>
    <t>MF-008B2/21</t>
  </si>
  <si>
    <t>35128</t>
  </si>
  <si>
    <t xml:space="preserve">HLCUME3210431607 </t>
  </si>
  <si>
    <t>MF-008B3/21</t>
  </si>
  <si>
    <t>36112</t>
  </si>
  <si>
    <t>HLCUME3210642054</t>
  </si>
  <si>
    <t>MF-009.1/21</t>
  </si>
  <si>
    <t>L210050</t>
  </si>
  <si>
    <t>STL110108219</t>
  </si>
  <si>
    <t>2H MAR '21</t>
  </si>
  <si>
    <t>SUDU71999AIGU001</t>
  </si>
  <si>
    <t>MF-009.2/21</t>
  </si>
  <si>
    <t>MF-009.3/21</t>
  </si>
  <si>
    <t>MF-009.4/21</t>
  </si>
  <si>
    <t>MF-010.1/21</t>
  </si>
  <si>
    <t>MF-010.2/21</t>
  </si>
  <si>
    <t>MF-010.3/21</t>
  </si>
  <si>
    <t>MF-010.4/21</t>
  </si>
  <si>
    <t>MF-010.5/21</t>
  </si>
  <si>
    <t>MF-010.6/21</t>
  </si>
  <si>
    <t>MF-011/21</t>
  </si>
  <si>
    <t>61-3137</t>
  </si>
  <si>
    <t>11 301</t>
  </si>
  <si>
    <t>GSSW21SHA3856A</t>
  </si>
  <si>
    <t>MF-012/21</t>
  </si>
  <si>
    <t>4600017701</t>
  </si>
  <si>
    <t>F200-00043058</t>
  </si>
  <si>
    <t>HLCUBO2210102316</t>
  </si>
  <si>
    <t>MF-013/21</t>
  </si>
  <si>
    <t>7100101938</t>
  </si>
  <si>
    <t>7300189567</t>
  </si>
  <si>
    <t>HBG1508123</t>
  </si>
  <si>
    <t xml:space="preserve">CMA CGM SAMBHAR </t>
  </si>
  <si>
    <t>anulada: 8000001201</t>
  </si>
  <si>
    <t>MF-014/21</t>
  </si>
  <si>
    <t>B7FE-21-3030-MNPE</t>
  </si>
  <si>
    <t>FEB '21 - MAR '21</t>
  </si>
  <si>
    <t>FL2101TC28</t>
  </si>
  <si>
    <t>MF-015A/21</t>
  </si>
  <si>
    <t>S-02100157</t>
  </si>
  <si>
    <t>I-34291</t>
  </si>
  <si>
    <t>MV INTERLINK CAPACITY</t>
  </si>
  <si>
    <t>MF-015B/21</t>
  </si>
  <si>
    <t>I-34291-1</t>
  </si>
  <si>
    <t>2A</t>
  </si>
  <si>
    <t>anulada: 8000001253/8000001256</t>
  </si>
  <si>
    <t>MF-015C/21</t>
  </si>
  <si>
    <t>I-34291-2</t>
  </si>
  <si>
    <t>2B</t>
  </si>
  <si>
    <t>MF-015D/21</t>
  </si>
  <si>
    <t>I-34291-3</t>
  </si>
  <si>
    <t>2C</t>
  </si>
  <si>
    <t>MF-016A/21</t>
  </si>
  <si>
    <t>TGOA21SA038-MAR</t>
  </si>
  <si>
    <t>TGOA-AS-210415-3C</t>
  </si>
  <si>
    <t>VK03C</t>
  </si>
  <si>
    <t>MV VITA KOUAN</t>
  </si>
  <si>
    <t>MF-016B/21</t>
  </si>
  <si>
    <t>TGOA-AS-210407-7</t>
  </si>
  <si>
    <t>VKJJ01-7</t>
  </si>
  <si>
    <t>MF-016C/21</t>
  </si>
  <si>
    <t>TGOA-AS-210407-8</t>
  </si>
  <si>
    <t>VKJJ01-8</t>
  </si>
  <si>
    <t>MF-016D/21</t>
  </si>
  <si>
    <t>TGOA-AS-210407-9</t>
  </si>
  <si>
    <t>VKJJ01-9</t>
  </si>
  <si>
    <t>MF-016E/21</t>
  </si>
  <si>
    <t>TGOA-AS-210415-3E</t>
  </si>
  <si>
    <t>VK03E</t>
  </si>
  <si>
    <t>MF-017A/21</t>
  </si>
  <si>
    <t>TGOA-DAP-210412-1F</t>
  </si>
  <si>
    <t>VK01F</t>
  </si>
  <si>
    <t>MF-017B/21</t>
  </si>
  <si>
    <t>MF-018/21</t>
  </si>
  <si>
    <t>2.100.152</t>
  </si>
  <si>
    <t>FXE 2.100.003</t>
  </si>
  <si>
    <t>210400341/0403</t>
  </si>
  <si>
    <t>MF-019/21</t>
  </si>
  <si>
    <t>PS-1521</t>
  </si>
  <si>
    <t>306027431</t>
  </si>
  <si>
    <t>2H MAR - 1H ABR '21</t>
  </si>
  <si>
    <t>MAEU208361971</t>
  </si>
  <si>
    <t>ALDEBARAN J</t>
  </si>
  <si>
    <t>anulada: 8000001206</t>
  </si>
  <si>
    <t>MF-020/21</t>
  </si>
  <si>
    <t>PS-1621</t>
  </si>
  <si>
    <t>306027432</t>
  </si>
  <si>
    <t>MAEU208362072</t>
  </si>
  <si>
    <t>MF-021/21</t>
  </si>
  <si>
    <t>PS-1721</t>
  </si>
  <si>
    <t>306028227</t>
  </si>
  <si>
    <t>MAEU209831943</t>
  </si>
  <si>
    <t>MF-022A/21</t>
  </si>
  <si>
    <t>UKT-EQUILIBRA-2021-1</t>
  </si>
  <si>
    <t>21-03-5359-1</t>
  </si>
  <si>
    <t>1MOP</t>
  </si>
  <si>
    <t>MF-022B/21</t>
  </si>
  <si>
    <t>21-03-5359-2</t>
  </si>
  <si>
    <t>2MOP</t>
  </si>
  <si>
    <t>MF-022C/21</t>
  </si>
  <si>
    <t>21-03-5359-3</t>
  </si>
  <si>
    <t>3MOP</t>
  </si>
  <si>
    <t>MF-022D/21</t>
  </si>
  <si>
    <t>21-03-5359-4</t>
  </si>
  <si>
    <t>4MOP</t>
  </si>
  <si>
    <t>MF-022E/21</t>
  </si>
  <si>
    <t>21-03-5359-5</t>
  </si>
  <si>
    <t>5MOP</t>
  </si>
  <si>
    <t>MF-023/21</t>
  </si>
  <si>
    <t>VP-20210405</t>
  </si>
  <si>
    <t>2021TJCA012</t>
  </si>
  <si>
    <t xml:space="preserve">MV OCEAN APPLAUD </t>
  </si>
  <si>
    <t>anulada: 8000001212</t>
  </si>
  <si>
    <t>MF-024.1/21</t>
  </si>
  <si>
    <t>S-02100268</t>
  </si>
  <si>
    <t>34513</t>
  </si>
  <si>
    <t>HLCUME3210259174</t>
  </si>
  <si>
    <t xml:space="preserve">MONTE TAMARO </t>
  </si>
  <si>
    <t>MF-024.2/21</t>
  </si>
  <si>
    <t>35261</t>
  </si>
  <si>
    <t>HLCUME3210454960</t>
  </si>
  <si>
    <t xml:space="preserve">MSC BARCELONA </t>
  </si>
  <si>
    <t>MF-025A/21</t>
  </si>
  <si>
    <t>UKT-EQUILIBRA-2021-2</t>
  </si>
  <si>
    <t>21-02-2532-1</t>
  </si>
  <si>
    <t xml:space="preserve">MV JINLING CONFIDENCE </t>
  </si>
  <si>
    <t>MF-025B/21</t>
  </si>
  <si>
    <t>21-02-2532-2</t>
  </si>
  <si>
    <t>MF-025C/21</t>
  </si>
  <si>
    <t>21-02-2532-3</t>
  </si>
  <si>
    <t>anulada: 8000001328</t>
  </si>
  <si>
    <t>MF-025D/21</t>
  </si>
  <si>
    <t>21-02-2532-4</t>
  </si>
  <si>
    <t>MF-025E/21</t>
  </si>
  <si>
    <t>21-02-2532-5</t>
  </si>
  <si>
    <t>MF-026A/21</t>
  </si>
  <si>
    <t>TGOA-UREA-210409-3F</t>
  </si>
  <si>
    <t>VKJJ03F</t>
  </si>
  <si>
    <t>MF-026B/21</t>
  </si>
  <si>
    <t>TGOA-UREA-210409-3G</t>
  </si>
  <si>
    <t>VKJJ03G</t>
  </si>
  <si>
    <t>MF-026C/21</t>
  </si>
  <si>
    <t>TGOA-UREA-210409-3H</t>
  </si>
  <si>
    <t>VKJJ03H</t>
  </si>
  <si>
    <t>MF-027A.1/21</t>
  </si>
  <si>
    <t>7100109273</t>
  </si>
  <si>
    <t>7300185845</t>
  </si>
  <si>
    <t>HLCUFRA210213282</t>
  </si>
  <si>
    <t>anulada: 8000001213</t>
  </si>
  <si>
    <t>MF-027A.2/21</t>
  </si>
  <si>
    <t>MF-027B/21</t>
  </si>
  <si>
    <t>7100109285</t>
  </si>
  <si>
    <t>7300169187</t>
  </si>
  <si>
    <t>HLCUFRA210209271</t>
  </si>
  <si>
    <t>MF-028A1/21</t>
  </si>
  <si>
    <t>S5000456</t>
  </si>
  <si>
    <t>5000655</t>
  </si>
  <si>
    <t>ABR - MAY '21</t>
  </si>
  <si>
    <t>MAEU210534771</t>
  </si>
  <si>
    <t>AL HILAL</t>
  </si>
  <si>
    <t>MF-028A2/21</t>
  </si>
  <si>
    <t>5000656</t>
  </si>
  <si>
    <t>SUDUI1617A7GZ5MB</t>
  </si>
  <si>
    <t>MF-028B1/21</t>
  </si>
  <si>
    <t>S5000457</t>
  </si>
  <si>
    <t>5000557</t>
  </si>
  <si>
    <t>HLCUEUR210406145</t>
  </si>
  <si>
    <t>GULBENIZ A</t>
  </si>
  <si>
    <t>MF-028B2/21</t>
  </si>
  <si>
    <t>5000573</t>
  </si>
  <si>
    <t>HLCUEUR210407517</t>
  </si>
  <si>
    <t>NORTHERN DEMOCRAT</t>
  </si>
  <si>
    <t>MF-028B3/21</t>
  </si>
  <si>
    <t>5000612</t>
  </si>
  <si>
    <t>MAEU210534586</t>
  </si>
  <si>
    <t>COSCO INDONESIA</t>
  </si>
  <si>
    <t>anulado: 8000001451</t>
  </si>
  <si>
    <t>MF-028C/21</t>
  </si>
  <si>
    <t>S5000458</t>
  </si>
  <si>
    <t>5000697-698</t>
  </si>
  <si>
    <t>SUDUI1617A7KTZKS</t>
  </si>
  <si>
    <t>MAERSK NEWARK</t>
  </si>
  <si>
    <t>MF-029A/21</t>
  </si>
  <si>
    <t>SLC-MGN210202</t>
  </si>
  <si>
    <t>2021TJCA009</t>
  </si>
  <si>
    <t>anulada: 8000001367</t>
  </si>
  <si>
    <t>MF-029B/21</t>
  </si>
  <si>
    <t>SLC-MGN210202B</t>
  </si>
  <si>
    <t>FL2101TC30</t>
  </si>
  <si>
    <t>MF-030A/21</t>
  </si>
  <si>
    <t>S5000460</t>
  </si>
  <si>
    <t>5000526</t>
  </si>
  <si>
    <t>MAEU912021379</t>
  </si>
  <si>
    <t>VILNIA MAERSK</t>
  </si>
  <si>
    <t>MF-030B1/21</t>
  </si>
  <si>
    <t>S5000459</t>
  </si>
  <si>
    <t>5000525</t>
  </si>
  <si>
    <t>MAEU912021369</t>
  </si>
  <si>
    <t>A.P.MOLLER</t>
  </si>
  <si>
    <t>MF-030B2/21</t>
  </si>
  <si>
    <t>MAEU209547377</t>
  </si>
  <si>
    <t>MF-031A/21</t>
  </si>
  <si>
    <t>20210221</t>
  </si>
  <si>
    <t>MEDUSV519690</t>
  </si>
  <si>
    <t>MEDLOG</t>
  </si>
  <si>
    <t>MF-031B/21</t>
  </si>
  <si>
    <t>20210220</t>
  </si>
  <si>
    <t>MEDUSV519633</t>
  </si>
  <si>
    <t>MSC ELOISE</t>
  </si>
  <si>
    <t>MF-032A/21</t>
  </si>
  <si>
    <t>MF-032B/21</t>
  </si>
  <si>
    <t>MF-033A/21</t>
  </si>
  <si>
    <t>S-02100323</t>
  </si>
  <si>
    <t>I-34292</t>
  </si>
  <si>
    <t>MF-033B/21</t>
  </si>
  <si>
    <t>I-34292-1</t>
  </si>
  <si>
    <t>3A</t>
  </si>
  <si>
    <t>MF-033C/21</t>
  </si>
  <si>
    <t>I-34292-2</t>
  </si>
  <si>
    <t>3B</t>
  </si>
  <si>
    <t>HUACHO</t>
  </si>
  <si>
    <t>MF-033D/21</t>
  </si>
  <si>
    <t>I-34292-3</t>
  </si>
  <si>
    <t>3C</t>
  </si>
  <si>
    <t>MF-034/21</t>
  </si>
  <si>
    <t>S-02100324</t>
  </si>
  <si>
    <t>I-34198</t>
  </si>
  <si>
    <t>00517/BON/21</t>
  </si>
  <si>
    <t>BONTANG / INDONESIA</t>
  </si>
  <si>
    <t>MV CL CENTURY</t>
  </si>
  <si>
    <t>MF-035.1/21</t>
  </si>
  <si>
    <t>SG-MSL-12329-34</t>
  </si>
  <si>
    <t>SG-MSL-12329-34A</t>
  </si>
  <si>
    <t>BEBYQCLL01</t>
  </si>
  <si>
    <t>MV  BELITA</t>
  </si>
  <si>
    <t>EN PROCESO</t>
  </si>
  <si>
    <t>MF-035.2/21</t>
  </si>
  <si>
    <t>ROMERO FERTILIZANTES</t>
  </si>
  <si>
    <t>BAYUQUAN</t>
  </si>
  <si>
    <t>CHINA</t>
  </si>
  <si>
    <t>MF-036.1/21</t>
  </si>
  <si>
    <t>SG-MSL-12329-33</t>
  </si>
  <si>
    <t>264056BAY009</t>
  </si>
  <si>
    <t>NEW ABLE</t>
  </si>
  <si>
    <t>MF-036.2/21</t>
  </si>
  <si>
    <t>MF-037/21</t>
  </si>
  <si>
    <t>SG-MSL-12329-35</t>
  </si>
  <si>
    <t>GSSW21SHA2934A</t>
  </si>
  <si>
    <t>MF-038/21</t>
  </si>
  <si>
    <t>7100115541</t>
  </si>
  <si>
    <t>7300179933</t>
  </si>
  <si>
    <t>HBG1494147</t>
  </si>
  <si>
    <t>MF-039A/21</t>
  </si>
  <si>
    <t>MF-039B/21</t>
  </si>
  <si>
    <t>MF-039C/21</t>
  </si>
  <si>
    <t>MF-040A/21</t>
  </si>
  <si>
    <t>TGOA-AS-210407-6</t>
  </si>
  <si>
    <t>VKJJ01-6</t>
  </si>
  <si>
    <t>MF-040B/21</t>
  </si>
  <si>
    <t>TGOA-AS-210415-3D</t>
  </si>
  <si>
    <t>VK03D</t>
  </si>
  <si>
    <t>MF-040C/21</t>
  </si>
  <si>
    <t>TGOA-AS-210407-11</t>
  </si>
  <si>
    <t>VKJJ01-11</t>
  </si>
  <si>
    <t>MF-040D/21</t>
  </si>
  <si>
    <t>TGOA-AS-210407-12</t>
  </si>
  <si>
    <t>VKJJ01-12</t>
  </si>
  <si>
    <t>MF-040E/21</t>
  </si>
  <si>
    <t>TGOA-AS-210407-10</t>
  </si>
  <si>
    <t>VKJJ01-10</t>
  </si>
  <si>
    <t>MF-041/21</t>
  </si>
  <si>
    <t>MF-042/21</t>
  </si>
  <si>
    <t>4600017807</t>
  </si>
  <si>
    <t>F200-00043069</t>
  </si>
  <si>
    <t>HLCUBO2210134606</t>
  </si>
  <si>
    <t>CMA CGM OHIO</t>
  </si>
  <si>
    <t>MF-043/21</t>
  </si>
  <si>
    <t>4600017806</t>
  </si>
  <si>
    <t>F200-00043070</t>
  </si>
  <si>
    <t>HLCUBO2210134599</t>
  </si>
  <si>
    <t>MF-044/21</t>
  </si>
  <si>
    <t>7100119063</t>
  </si>
  <si>
    <t>7300233553</t>
  </si>
  <si>
    <t>HBG1513397</t>
  </si>
  <si>
    <t>anulada : 8000001225, 8000001676</t>
  </si>
  <si>
    <t>MF-045/21</t>
  </si>
  <si>
    <t>7100119059</t>
  </si>
  <si>
    <t>7300234395</t>
  </si>
  <si>
    <t>HLCUFRA210647687</t>
  </si>
  <si>
    <t>anulada : 8000001226, 8000001677</t>
  </si>
  <si>
    <t>MF-046/21</t>
  </si>
  <si>
    <t>4600017838/L210069</t>
  </si>
  <si>
    <t>F200-43071</t>
  </si>
  <si>
    <t>LYK0144813</t>
  </si>
  <si>
    <t>MF-047/21</t>
  </si>
  <si>
    <t>L210070A</t>
  </si>
  <si>
    <t>F200-43073</t>
  </si>
  <si>
    <t>LYK0144842</t>
  </si>
  <si>
    <t>MF-048/21</t>
  </si>
  <si>
    <t>L210070B</t>
  </si>
  <si>
    <t>F200-43072</t>
  </si>
  <si>
    <t>LYK0144848</t>
  </si>
  <si>
    <t>MF-049/21</t>
  </si>
  <si>
    <t>S5000471</t>
  </si>
  <si>
    <t>5000611</t>
  </si>
  <si>
    <t>HGKAOCLL01</t>
  </si>
  <si>
    <t>HG HONGKONG</t>
  </si>
  <si>
    <t>MF-050/21</t>
  </si>
  <si>
    <t>5000610</t>
  </si>
  <si>
    <t>HGKAOPAI01</t>
  </si>
  <si>
    <t>anulada : 8000001512</t>
  </si>
  <si>
    <t>MF-051/21</t>
  </si>
  <si>
    <t xml:space="preserve">- </t>
  </si>
  <si>
    <t>F200-43107</t>
  </si>
  <si>
    <t>BGA0288354</t>
  </si>
  <si>
    <t>MF-052/21</t>
  </si>
  <si>
    <t>F200-43092</t>
  </si>
  <si>
    <t>HLCUBO2210441072</t>
  </si>
  <si>
    <t>MF-053/21</t>
  </si>
  <si>
    <t>S-02100561</t>
  </si>
  <si>
    <t>36554</t>
  </si>
  <si>
    <t>JUNIO '21</t>
  </si>
  <si>
    <t>SUDU21MEX025032X</t>
  </si>
  <si>
    <t>anulada : 8000001460</t>
  </si>
  <si>
    <t>MF-054/21</t>
  </si>
  <si>
    <t>S-02100563</t>
  </si>
  <si>
    <t>36912</t>
  </si>
  <si>
    <t>SUDU21MEX024141X</t>
  </si>
  <si>
    <t>MAERSK BALI</t>
  </si>
  <si>
    <t>anulada: 8000001525</t>
  </si>
  <si>
    <t>MF-055/21</t>
  </si>
  <si>
    <t>S-02100562</t>
  </si>
  <si>
    <t>36934</t>
  </si>
  <si>
    <t>SUDU21MEX023434X</t>
  </si>
  <si>
    <t>MH HAMBURG</t>
  </si>
  <si>
    <t>POLAR COLOMBIA</t>
  </si>
  <si>
    <t>MF-056.1/21</t>
  </si>
  <si>
    <t>B7FE-21-3031-MNPE</t>
  </si>
  <si>
    <t>MAR - ABR '21</t>
  </si>
  <si>
    <t>2021TJCA030/051</t>
  </si>
  <si>
    <t>MF-056.2/21</t>
  </si>
  <si>
    <t>MF-057/21</t>
  </si>
  <si>
    <t>S5000495</t>
  </si>
  <si>
    <t>5000704</t>
  </si>
  <si>
    <t>2H MAR - ABR '21</t>
  </si>
  <si>
    <t>HGHKTJPAI10</t>
  </si>
  <si>
    <t>MF-058/21</t>
  </si>
  <si>
    <t>S5000507</t>
  </si>
  <si>
    <t>20210152</t>
  </si>
  <si>
    <t>210101269/0202</t>
  </si>
  <si>
    <t>anulada: 8000001293</t>
  </si>
  <si>
    <t>MF-059/21</t>
  </si>
  <si>
    <t>S5000508</t>
  </si>
  <si>
    <t>5000543</t>
  </si>
  <si>
    <t>MAR - 2H ABR '21</t>
  </si>
  <si>
    <t>YMLUC236085494</t>
  </si>
  <si>
    <t>EVER LOADING</t>
  </si>
  <si>
    <t>YANG MING MARINE</t>
  </si>
  <si>
    <t>MF-060.1/21</t>
  </si>
  <si>
    <t>60356</t>
  </si>
  <si>
    <t>357442800DEN</t>
  </si>
  <si>
    <t>HYUNDAI SATURN</t>
  </si>
  <si>
    <t>MSC MELINE NX125A</t>
  </si>
  <si>
    <t>CHRISTAL LINE</t>
  </si>
  <si>
    <t>MF-060.2/21</t>
  </si>
  <si>
    <t>59310</t>
  </si>
  <si>
    <t>356286692DEN</t>
  </si>
  <si>
    <t>MSC ROMANE</t>
  </si>
  <si>
    <t>anulada: 8000001422</t>
  </si>
  <si>
    <t>MF-061A/21</t>
  </si>
  <si>
    <t>TGOA21SA047-AS</t>
  </si>
  <si>
    <t>TGOA-AS-210406-3</t>
  </si>
  <si>
    <t>1H ABRIL '21</t>
  </si>
  <si>
    <t>VKJJ02-3</t>
  </si>
  <si>
    <t>MF-061B/21</t>
  </si>
  <si>
    <t>TGOA-AS-210406-4</t>
  </si>
  <si>
    <t>VKJJ02-4</t>
  </si>
  <si>
    <t>MF-061C/21</t>
  </si>
  <si>
    <t>TGOA-AS-210406-5</t>
  </si>
  <si>
    <t>VKJJ02-5</t>
  </si>
  <si>
    <t>MF-061D/21</t>
  </si>
  <si>
    <t>TGOA-AS-210406-6</t>
  </si>
  <si>
    <t>VKJJ02-6</t>
  </si>
  <si>
    <t>MF-062/21</t>
  </si>
  <si>
    <t>PP-4421</t>
  </si>
  <si>
    <t>306028792</t>
  </si>
  <si>
    <t>MAEU210687879</t>
  </si>
  <si>
    <t>SPICA J</t>
  </si>
  <si>
    <t>MF-063.1/21</t>
  </si>
  <si>
    <t>PP-4521</t>
  </si>
  <si>
    <t>306028939</t>
  </si>
  <si>
    <t>MAEU210688001</t>
  </si>
  <si>
    <t>MF-063.2/21</t>
  </si>
  <si>
    <t>306029252</t>
  </si>
  <si>
    <t>MAEU211289582</t>
  </si>
  <si>
    <t>CSCL SAN JOSE</t>
  </si>
  <si>
    <t>MF-064/21</t>
  </si>
  <si>
    <t>PS-4321</t>
  </si>
  <si>
    <t>306028228</t>
  </si>
  <si>
    <t>MAEU210046393</t>
  </si>
  <si>
    <t>BF IRELAND</t>
  </si>
  <si>
    <t>SAVAR / RANSA</t>
  </si>
  <si>
    <t>MF-065/21</t>
  </si>
  <si>
    <t>F200-43081</t>
  </si>
  <si>
    <t>SUDU21159AT02X59</t>
  </si>
  <si>
    <t>MF-066/21</t>
  </si>
  <si>
    <t>F200-43087</t>
  </si>
  <si>
    <t>HLCUBO2210411548</t>
  </si>
  <si>
    <t>MF-067A/21</t>
  </si>
  <si>
    <t>243/19_7</t>
  </si>
  <si>
    <t>B7FE-21-3033-ANPE-01</t>
  </si>
  <si>
    <t>JULIO '21</t>
  </si>
  <si>
    <t>MF-067B/21</t>
  </si>
  <si>
    <t>B7FE-21-3033-ANPE-02</t>
  </si>
  <si>
    <t>MF-067C/21</t>
  </si>
  <si>
    <t>B7FE-21-3033-ANPE-03</t>
  </si>
  <si>
    <t>anulada: 8000001329</t>
  </si>
  <si>
    <t>MF-067D/21</t>
  </si>
  <si>
    <t>B7FE-21-3033-ANPE-04</t>
  </si>
  <si>
    <t>MF-067E/21</t>
  </si>
  <si>
    <t>B7FE-21-3033-ANPE-05</t>
  </si>
  <si>
    <t>MF-068/21</t>
  </si>
  <si>
    <t xml:space="preserve">7100137788 </t>
  </si>
  <si>
    <t>7300242776</t>
  </si>
  <si>
    <t>HBG1556972</t>
  </si>
  <si>
    <t>anulada : 8000001275</t>
  </si>
  <si>
    <t>MF-069/21</t>
  </si>
  <si>
    <t>EQUIPERU/FERRUSUL/C132/2021</t>
  </si>
  <si>
    <t>#247/2021</t>
  </si>
  <si>
    <t>AQTJPAI08</t>
  </si>
  <si>
    <t>MV AQUAPROSPER</t>
  </si>
  <si>
    <t>Anulada : 8000001276, 8000001457</t>
  </si>
  <si>
    <t>MF-070/21</t>
  </si>
  <si>
    <t>SG-MNL-12329-37</t>
  </si>
  <si>
    <t>FL2101TC20</t>
  </si>
  <si>
    <t>MF-071/21</t>
  </si>
  <si>
    <t>SG-MNL-12329-36</t>
  </si>
  <si>
    <t>264056XGG023</t>
  </si>
  <si>
    <t>MF-072A/21</t>
  </si>
  <si>
    <t>4600018365</t>
  </si>
  <si>
    <t>F200-43099</t>
  </si>
  <si>
    <t>PAI 2</t>
  </si>
  <si>
    <t>MF-072B/21</t>
  </si>
  <si>
    <t>F200-43101</t>
  </si>
  <si>
    <t>CAL 2</t>
  </si>
  <si>
    <t>anulada:8000001303</t>
  </si>
  <si>
    <t>MF-072C/21</t>
  </si>
  <si>
    <t>F200-43100</t>
  </si>
  <si>
    <t>MAT 2</t>
  </si>
  <si>
    <t>MF-072D/21</t>
  </si>
  <si>
    <t>MF-073A/21</t>
  </si>
  <si>
    <t>4600018366</t>
  </si>
  <si>
    <t>F200-43097</t>
  </si>
  <si>
    <t>PAI 1</t>
  </si>
  <si>
    <t>MF-073B/21</t>
  </si>
  <si>
    <t>F200-43096</t>
  </si>
  <si>
    <t>SAL 1</t>
  </si>
  <si>
    <t>MF-073C/21</t>
  </si>
  <si>
    <t>F200-43102</t>
  </si>
  <si>
    <t>CAL 1</t>
  </si>
  <si>
    <t>anulada:8000001307</t>
  </si>
  <si>
    <t>MF-073D/21</t>
  </si>
  <si>
    <t>F200-43098</t>
  </si>
  <si>
    <t>PIS 1</t>
  </si>
  <si>
    <t>anulada:8000001357</t>
  </si>
  <si>
    <t>MF-073E/21</t>
  </si>
  <si>
    <t>F200-43103</t>
  </si>
  <si>
    <t>MAT 1</t>
  </si>
  <si>
    <t>MF-074/21</t>
  </si>
  <si>
    <t>S-02100814</t>
  </si>
  <si>
    <t>35 kg</t>
  </si>
  <si>
    <t>S/M</t>
  </si>
  <si>
    <t>DALIAN</t>
  </si>
  <si>
    <t>MF-075/21</t>
  </si>
  <si>
    <t>S-02100815</t>
  </si>
  <si>
    <t>MF-076A/21</t>
  </si>
  <si>
    <t>TGOA21SA055-JUN</t>
  </si>
  <si>
    <t>TGOA-AS-210707-1</t>
  </si>
  <si>
    <t>IPYTEZJG0204C</t>
  </si>
  <si>
    <t>ZHANGJIAGANG / CHINA</t>
  </si>
  <si>
    <t>MV INKAN PANDAN</t>
  </si>
  <si>
    <t>MV IKAN PANDAN</t>
  </si>
  <si>
    <t>MF-076B/21</t>
  </si>
  <si>
    <t>TGOA-AS-210707-2</t>
  </si>
  <si>
    <t>IPYTEZJG0204D</t>
  </si>
  <si>
    <t>anulada: 8000001533</t>
  </si>
  <si>
    <t>MF-076C/21</t>
  </si>
  <si>
    <t>TGOA-AS-210707-3</t>
  </si>
  <si>
    <t>IPYTEZJG0204E</t>
  </si>
  <si>
    <t>anulada: 8000001534</t>
  </si>
  <si>
    <t>MF-076D/21</t>
  </si>
  <si>
    <t>TGOA-AS-210707-4</t>
  </si>
  <si>
    <t>IPYTEZJG0204F</t>
  </si>
  <si>
    <t>anulada: 8000001535</t>
  </si>
  <si>
    <t>MF-077A/21</t>
  </si>
  <si>
    <t>TGOA-DAP-210702-1</t>
  </si>
  <si>
    <t>IPDAPZJG02B</t>
  </si>
  <si>
    <t>MF-077B/21</t>
  </si>
  <si>
    <t>TGOA-DAP-210702-2</t>
  </si>
  <si>
    <t>IPDAPZJG02A</t>
  </si>
  <si>
    <t>MF-077C/21</t>
  </si>
  <si>
    <t>TGOA-DAP-210702-3</t>
  </si>
  <si>
    <t>IPDAPZJG02C</t>
  </si>
  <si>
    <t>MF-078A/21</t>
  </si>
  <si>
    <t>TGOA-MAP-210702-1</t>
  </si>
  <si>
    <t>IPYTEZJG01</t>
  </si>
  <si>
    <t>MF-079A/21</t>
  </si>
  <si>
    <t>TGOA-UREA-210802-A</t>
  </si>
  <si>
    <t>TJGYIP010203JA</t>
  </si>
  <si>
    <t>anulada :8000001536</t>
  </si>
  <si>
    <t>MF-079B/21</t>
  </si>
  <si>
    <t>TGOA-UREA-210802-B</t>
  </si>
  <si>
    <t>TJGYIP010203J</t>
  </si>
  <si>
    <t>anulada: 8000001548</t>
  </si>
  <si>
    <t>MF-079C/21</t>
  </si>
  <si>
    <t>TGOA-UREA-210802-C</t>
  </si>
  <si>
    <t>TJGYIP010203D</t>
  </si>
  <si>
    <t>anulada:8000001555</t>
  </si>
  <si>
    <t>MF-079D/21</t>
  </si>
  <si>
    <t>TGOA-UREA-210802-D</t>
  </si>
  <si>
    <t>TJGYIP010203C</t>
  </si>
  <si>
    <t>MF-080A/21</t>
  </si>
  <si>
    <t>TGOA-UREA-210802-4</t>
  </si>
  <si>
    <t>TJGYIP010203Q</t>
  </si>
  <si>
    <t>anulada: 8000001549</t>
  </si>
  <si>
    <t>MF-080B/21</t>
  </si>
  <si>
    <t>TGOA-UREA-210802-3</t>
  </si>
  <si>
    <t>TJGYIP010203N</t>
  </si>
  <si>
    <t>anulada: 8000001556</t>
  </si>
  <si>
    <t>MF-080C/21</t>
  </si>
  <si>
    <t>TGOA-UREA-210802-2</t>
  </si>
  <si>
    <t>TJGYIP010203M</t>
  </si>
  <si>
    <t>MF-081/21</t>
  </si>
  <si>
    <t>4600018126/L210110B</t>
  </si>
  <si>
    <t>F200-43094</t>
  </si>
  <si>
    <t xml:space="preserve">LYK0146015 </t>
  </si>
  <si>
    <t>MF-082/21</t>
  </si>
  <si>
    <t>4600018127/L210110A</t>
  </si>
  <si>
    <t>F200-43095</t>
  </si>
  <si>
    <t xml:space="preserve">LYK0146010 </t>
  </si>
  <si>
    <t>MF-083/21</t>
  </si>
  <si>
    <t>4600018128/L210110C</t>
  </si>
  <si>
    <t>F200-43106</t>
  </si>
  <si>
    <t xml:space="preserve">HLCUOSL210412832 </t>
  </si>
  <si>
    <t>IDA RAMBOW</t>
  </si>
  <si>
    <t>anulada : 8000001319</t>
  </si>
  <si>
    <t>MF-084/21</t>
  </si>
  <si>
    <t>4600018287</t>
  </si>
  <si>
    <t>F200-43155</t>
  </si>
  <si>
    <t>HLCURTM210663451</t>
  </si>
  <si>
    <t>Anulado: 8000001288</t>
  </si>
  <si>
    <t>MF-085/21</t>
  </si>
  <si>
    <t xml:space="preserve">4600018266/L210119C </t>
  </si>
  <si>
    <t>F200-43128</t>
  </si>
  <si>
    <t>HLCUOSL210511637</t>
  </si>
  <si>
    <t>anulada: 8000001380</t>
  </si>
  <si>
    <t>MF-086/21</t>
  </si>
  <si>
    <t>4600018264/L210119A</t>
  </si>
  <si>
    <t>F200-43126</t>
  </si>
  <si>
    <t>LYK0146693</t>
  </si>
  <si>
    <t>MF-087/21</t>
  </si>
  <si>
    <t>4600018265/L210119B</t>
  </si>
  <si>
    <t>F200-43127</t>
  </si>
  <si>
    <t>LYK0146697</t>
  </si>
  <si>
    <t>MF-088/21</t>
  </si>
  <si>
    <t>SC-21093</t>
  </si>
  <si>
    <t>221.186</t>
  </si>
  <si>
    <t>2H MAY - JUN '21</t>
  </si>
  <si>
    <t>FL2101TC70</t>
  </si>
  <si>
    <t>MF-089/21</t>
  </si>
  <si>
    <t>MF-090/21</t>
  </si>
  <si>
    <t>F200-43088</t>
  </si>
  <si>
    <t>HLCUBO2210441050</t>
  </si>
  <si>
    <t>MF-091/21</t>
  </si>
  <si>
    <t>S5000570</t>
  </si>
  <si>
    <t>5000653</t>
  </si>
  <si>
    <t>JUN - JUL '21</t>
  </si>
  <si>
    <t>MAEU912547899</t>
  </si>
  <si>
    <t>VUOKSI MAERSK</t>
  </si>
  <si>
    <t>MF-092.1/21</t>
  </si>
  <si>
    <t>S5000573</t>
  </si>
  <si>
    <t>5000691</t>
  </si>
  <si>
    <t>GSSW21SHA4008B</t>
  </si>
  <si>
    <t>MV STAR HIDRA</t>
  </si>
  <si>
    <t>anulada: 8000001500,8000001484</t>
  </si>
  <si>
    <t>MF-092.2/21</t>
  </si>
  <si>
    <t>5000748</t>
  </si>
  <si>
    <t>GSSW21SHA4254B</t>
  </si>
  <si>
    <t>MF-092.3/21</t>
  </si>
  <si>
    <t>5000758</t>
  </si>
  <si>
    <t>GSSW21SHA4306A</t>
  </si>
  <si>
    <t>MF-093/21</t>
  </si>
  <si>
    <t>S5000574</t>
  </si>
  <si>
    <t>5000692</t>
  </si>
  <si>
    <t>GSSW21SHA4008A</t>
  </si>
  <si>
    <t>anulada: 8000001485</t>
  </si>
  <si>
    <t>MF-094/21</t>
  </si>
  <si>
    <t>S5000575</t>
  </si>
  <si>
    <t>5000693</t>
  </si>
  <si>
    <t>GSSW21SHA4031A</t>
  </si>
  <si>
    <t>MF-095/21</t>
  </si>
  <si>
    <t>S5000564</t>
  </si>
  <si>
    <t>5000753</t>
  </si>
  <si>
    <t>2H JUL - AGO '21</t>
  </si>
  <si>
    <t>GSSW21SHA4254A</t>
  </si>
  <si>
    <t>MF-096/21</t>
  </si>
  <si>
    <t>MF-097/21</t>
  </si>
  <si>
    <t>4600018223</t>
  </si>
  <si>
    <t>F200-43093</t>
  </si>
  <si>
    <t>MF-098.1/21</t>
  </si>
  <si>
    <t>4600018267</t>
  </si>
  <si>
    <t>F200-43153</t>
  </si>
  <si>
    <t>LYK0147318</t>
  </si>
  <si>
    <t>MF-098.2/21</t>
  </si>
  <si>
    <t>MF-099/21</t>
  </si>
  <si>
    <t>4600018369</t>
  </si>
  <si>
    <t>F200-43114</t>
  </si>
  <si>
    <t>HLCUBO2210546907</t>
  </si>
  <si>
    <t>MF-100/21</t>
  </si>
  <si>
    <t>4600018225</t>
  </si>
  <si>
    <t>F200-43105</t>
  </si>
  <si>
    <t>MF-101.1.2/21</t>
  </si>
  <si>
    <t>4600018363</t>
  </si>
  <si>
    <t>F200-43110</t>
  </si>
  <si>
    <t>BGA0290097</t>
  </si>
  <si>
    <t>anulada: 8000001345</t>
  </si>
  <si>
    <t>MF-101.1.1/21</t>
  </si>
  <si>
    <t>BGA0291729</t>
  </si>
  <si>
    <t>anulada: 8000001372</t>
  </si>
  <si>
    <t>MF-101.2.2/21</t>
  </si>
  <si>
    <t>MF-101.2.1/21</t>
  </si>
  <si>
    <t>MF-102/21</t>
  </si>
  <si>
    <t>4600018370</t>
  </si>
  <si>
    <t>F200-43118</t>
  </si>
  <si>
    <t>SEAU211030231</t>
  </si>
  <si>
    <t>MF-103/21</t>
  </si>
  <si>
    <t>4600018268</t>
  </si>
  <si>
    <t>F200-43152</t>
  </si>
  <si>
    <t>LYK0147319</t>
  </si>
  <si>
    <t>CMA CGM ARKANSAS</t>
  </si>
  <si>
    <t>MF-104/21</t>
  </si>
  <si>
    <t>4600018269</t>
  </si>
  <si>
    <t>F200-43204</t>
  </si>
  <si>
    <t>HLCUOSL210811715</t>
  </si>
  <si>
    <t>KATHARINA SCHEPERS</t>
  </si>
  <si>
    <t>MF-105/21</t>
  </si>
  <si>
    <t>SG-ZSL-12329-38</t>
  </si>
  <si>
    <t>264056BAY021</t>
  </si>
  <si>
    <t>MF-106A/21</t>
  </si>
  <si>
    <t>TGOA-SCR-210702-1</t>
  </si>
  <si>
    <t>IPBFZJG01</t>
  </si>
  <si>
    <t>anulada: 8000001550</t>
  </si>
  <si>
    <t>MF-106B/21</t>
  </si>
  <si>
    <t>TGOA-SCR-210702-3</t>
  </si>
  <si>
    <t>IPBFZJG02</t>
  </si>
  <si>
    <t>anulada: 8000001557</t>
  </si>
  <si>
    <t>MF-106C/21</t>
  </si>
  <si>
    <t>TGOA-SCR-210702-2</t>
  </si>
  <si>
    <t>IPBFZJG03</t>
  </si>
  <si>
    <t>MF-107/21</t>
  </si>
  <si>
    <t>DEX 0114/08/2021</t>
  </si>
  <si>
    <t>HLCUGDY210854142</t>
  </si>
  <si>
    <t>POZNAN / POLONIA</t>
  </si>
  <si>
    <t>MILAN TRADER</t>
  </si>
  <si>
    <t>MF-108A/21</t>
  </si>
  <si>
    <t>SC004952</t>
  </si>
  <si>
    <t>SI0011536a</t>
  </si>
  <si>
    <t>PAI 01</t>
  </si>
  <si>
    <t>JINZHOU / CHINA</t>
  </si>
  <si>
    <t>MV CAPETAN VASSILIS II</t>
  </si>
  <si>
    <t>anulada: 8000001351</t>
  </si>
  <si>
    <t>MF-108B/21</t>
  </si>
  <si>
    <t>SI0011536b</t>
  </si>
  <si>
    <t>CAL 02</t>
  </si>
  <si>
    <t>MF-108C/21</t>
  </si>
  <si>
    <t>SI0011536c</t>
  </si>
  <si>
    <t>MAT 03</t>
  </si>
  <si>
    <t>MF-109/21</t>
  </si>
  <si>
    <t>4600018463</t>
  </si>
  <si>
    <t>F200-43143</t>
  </si>
  <si>
    <t>HLCUBO2210610435</t>
  </si>
  <si>
    <t>MF-110.1/21</t>
  </si>
  <si>
    <t>F200-43116</t>
  </si>
  <si>
    <t>BGA0292075</t>
  </si>
  <si>
    <t>anulada: 8000001373</t>
  </si>
  <si>
    <t>MF-110.2/21</t>
  </si>
  <si>
    <t>BGA0293812</t>
  </si>
  <si>
    <t>MF-111/21</t>
  </si>
  <si>
    <t>4600018461</t>
  </si>
  <si>
    <t>F200-43130</t>
  </si>
  <si>
    <t>BGA0291559</t>
  </si>
  <si>
    <t>anulada: 8000001389</t>
  </si>
  <si>
    <t>MF-112/21</t>
  </si>
  <si>
    <t>4600018460</t>
  </si>
  <si>
    <t>F200-43139</t>
  </si>
  <si>
    <t>HLCUBO2210610307</t>
  </si>
  <si>
    <t>MF-113/21</t>
  </si>
  <si>
    <t>4600018462</t>
  </si>
  <si>
    <t>F200-43131</t>
  </si>
  <si>
    <t>BGA0292082</t>
  </si>
  <si>
    <t>MF-114/21</t>
  </si>
  <si>
    <t>MF-115/21</t>
  </si>
  <si>
    <t>MF-116/21</t>
  </si>
  <si>
    <t>5000654</t>
  </si>
  <si>
    <t>MAEU912556029</t>
  </si>
  <si>
    <t>MF-117/21</t>
  </si>
  <si>
    <t>5000711</t>
  </si>
  <si>
    <t xml:space="preserve">HLCUKLJ210712956  </t>
  </si>
  <si>
    <t>MF-118A/21</t>
  </si>
  <si>
    <t>243/19_8</t>
  </si>
  <si>
    <t>B7FE-21-3036-ANPE-01</t>
  </si>
  <si>
    <t>MV KOTOR</t>
  </si>
  <si>
    <t>MF-118B/21</t>
  </si>
  <si>
    <t>B7FE-21-3036-ANPE-02</t>
  </si>
  <si>
    <t>MF-118C/21</t>
  </si>
  <si>
    <t>B7FE-21-3036-ANPE-03</t>
  </si>
  <si>
    <t>MF-118D/21</t>
  </si>
  <si>
    <t>B7FE-21-3036-ANPE-04</t>
  </si>
  <si>
    <t>MF-118E/21</t>
  </si>
  <si>
    <t>B7FE-21-3036-ANPE-05</t>
  </si>
  <si>
    <t>anulada : 8000001447</t>
  </si>
  <si>
    <t>MF-119A/21</t>
  </si>
  <si>
    <t>UKT-EQUILIBRA-2021-3</t>
  </si>
  <si>
    <t>21-06-6720-1</t>
  </si>
  <si>
    <t>MF-119B/21</t>
  </si>
  <si>
    <t>21-06-6720-2</t>
  </si>
  <si>
    <t>MF-119C/21</t>
  </si>
  <si>
    <t>21-06-6720-3</t>
  </si>
  <si>
    <t>MF-120.1/21</t>
  </si>
  <si>
    <t>S-02101401</t>
  </si>
  <si>
    <t>I-36009</t>
  </si>
  <si>
    <t>2H MAY - 1H JUN '21</t>
  </si>
  <si>
    <t>MV COMMON CALYPSO</t>
  </si>
  <si>
    <t>MF-120.2/21</t>
  </si>
  <si>
    <t>S-02101470</t>
  </si>
  <si>
    <t>I-36110</t>
  </si>
  <si>
    <t>MF-121/21</t>
  </si>
  <si>
    <t>S-02101402</t>
  </si>
  <si>
    <t>I-36007</t>
  </si>
  <si>
    <t>7B</t>
  </si>
  <si>
    <t>MF-122A/21</t>
  </si>
  <si>
    <t>PS-6921</t>
  </si>
  <si>
    <t>306029805</t>
  </si>
  <si>
    <t>AGOSTO  '21</t>
  </si>
  <si>
    <t>MAEU212169954</t>
  </si>
  <si>
    <t>MF-122B/21</t>
  </si>
  <si>
    <t>PS-6821</t>
  </si>
  <si>
    <t>306029806</t>
  </si>
  <si>
    <t>MAEU212235485</t>
  </si>
  <si>
    <t>anulada: 8000001358</t>
  </si>
  <si>
    <t>MF-123/21</t>
  </si>
  <si>
    <t>4600018713</t>
  </si>
  <si>
    <t>F200-43195</t>
  </si>
  <si>
    <t>5 LT</t>
  </si>
  <si>
    <t>AGOSTO '21</t>
  </si>
  <si>
    <t>HLCULIV210898683</t>
  </si>
  <si>
    <t>LONDRES / REINO UNIDO</t>
  </si>
  <si>
    <t>MF-124.1/21</t>
  </si>
  <si>
    <t>F200-43117</t>
  </si>
  <si>
    <t>HLCUBO2210546995</t>
  </si>
  <si>
    <t>MF-124.2/21</t>
  </si>
  <si>
    <t>HLCUBO2210664248</t>
  </si>
  <si>
    <t>MF-125/21</t>
  </si>
  <si>
    <t>4600018522</t>
  </si>
  <si>
    <t>F200-43129</t>
  </si>
  <si>
    <t>BGA0291553</t>
  </si>
  <si>
    <t>MF-126.1/21</t>
  </si>
  <si>
    <t>4600018486</t>
  </si>
  <si>
    <t>F200-43144</t>
  </si>
  <si>
    <t>HLCUBO2210722480</t>
  </si>
  <si>
    <t>MF.126.2/21</t>
  </si>
  <si>
    <t>F200-43148</t>
  </si>
  <si>
    <t>HLCUBO2210749270</t>
  </si>
  <si>
    <t>MF-127/21</t>
  </si>
  <si>
    <t>4600018488</t>
  </si>
  <si>
    <t>F200-43145</t>
  </si>
  <si>
    <t>BGA0293488</t>
  </si>
  <si>
    <t>MF-128/21</t>
  </si>
  <si>
    <t xml:space="preserve">4600018523/L210197A </t>
  </si>
  <si>
    <t>F200-43185</t>
  </si>
  <si>
    <t>HLCUANR210885836</t>
  </si>
  <si>
    <t>AS PATRIA</t>
  </si>
  <si>
    <t>MF-129/21</t>
  </si>
  <si>
    <t>4600018487</t>
  </si>
  <si>
    <t>F200-43141</t>
  </si>
  <si>
    <t>BGA0293137</t>
  </si>
  <si>
    <t>MF-130.1/21</t>
  </si>
  <si>
    <t>4600018489-1</t>
  </si>
  <si>
    <t>F200-43147</t>
  </si>
  <si>
    <t>BGA0296087</t>
  </si>
  <si>
    <t>MF-130.2/21</t>
  </si>
  <si>
    <t>4600018489-2</t>
  </si>
  <si>
    <t>F200-43146</t>
  </si>
  <si>
    <t>MEDUC1117760</t>
  </si>
  <si>
    <t>SAN ANTONIO</t>
  </si>
  <si>
    <t>MSC JAPÓN</t>
  </si>
  <si>
    <t>MF-130.3/21</t>
  </si>
  <si>
    <t>4600018489-3</t>
  </si>
  <si>
    <t>F200-43158</t>
  </si>
  <si>
    <t xml:space="preserve">BGA0296092 </t>
  </si>
  <si>
    <t>MF-131/21</t>
  </si>
  <si>
    <t>4600018524/L210197B</t>
  </si>
  <si>
    <t>F200-43186</t>
  </si>
  <si>
    <t>HLCUANR210878184</t>
  </si>
  <si>
    <t>MF-132/21</t>
  </si>
  <si>
    <t>MF-133/21</t>
  </si>
  <si>
    <t>MF-134/21</t>
  </si>
  <si>
    <t>21JEQ001</t>
  </si>
  <si>
    <t>75B039XGG048</t>
  </si>
  <si>
    <t>MV GLOBAL LAGUNA</t>
  </si>
  <si>
    <t>MF-135/21</t>
  </si>
  <si>
    <t>4600018371</t>
  </si>
  <si>
    <t>200-43133</t>
  </si>
  <si>
    <t>HLCUBO2210549101</t>
  </si>
  <si>
    <t>MF-136A1/21</t>
  </si>
  <si>
    <t>21L910</t>
  </si>
  <si>
    <t>21L910B</t>
  </si>
  <si>
    <t>MAEU912745575</t>
  </si>
  <si>
    <t>NORTHERN JADE</t>
  </si>
  <si>
    <t>MF-136A2/21</t>
  </si>
  <si>
    <t>21L910C</t>
  </si>
  <si>
    <t>MEDUX1318633</t>
  </si>
  <si>
    <t>MF-136A3/21</t>
  </si>
  <si>
    <t>MF-136A4/21</t>
  </si>
  <si>
    <t>MF-136A5/21</t>
  </si>
  <si>
    <t>MF-136B1.1/21</t>
  </si>
  <si>
    <t>21L909</t>
  </si>
  <si>
    <t>21L909A</t>
  </si>
  <si>
    <t>KAI TONG 16</t>
  </si>
  <si>
    <t>MF-136B1.2/21</t>
  </si>
  <si>
    <t>MF-136B2.1/21</t>
  </si>
  <si>
    <t>21L909C</t>
  </si>
  <si>
    <t xml:space="preserve">EGLV155100087454 </t>
  </si>
  <si>
    <t>EVER LEGEND </t>
  </si>
  <si>
    <t>EVER LEGEND</t>
  </si>
  <si>
    <t>MF-136B2.2/21</t>
  </si>
  <si>
    <t>MF-137A/21</t>
  </si>
  <si>
    <t>ACF BAQUEDANO S.A</t>
  </si>
  <si>
    <t>108</t>
  </si>
  <si>
    <t>Big bags</t>
  </si>
  <si>
    <t>CAMION</t>
  </si>
  <si>
    <t>TRANSPORTES Y LOGISTICA ALPORT LTD</t>
  </si>
  <si>
    <t>145-2022-10-000116-00</t>
  </si>
  <si>
    <t>MF-137B/21</t>
  </si>
  <si>
    <t>109</t>
  </si>
  <si>
    <t xml:space="preserve">	145-2022-10-000139-00</t>
  </si>
  <si>
    <t>MF-137C/21</t>
  </si>
  <si>
    <t>120</t>
  </si>
  <si>
    <t xml:space="preserve">	145-2022-10-000147-00</t>
  </si>
  <si>
    <t>MF-137D.1/21</t>
  </si>
  <si>
    <t>121</t>
  </si>
  <si>
    <t xml:space="preserve">	145-2022-10-000162-00</t>
  </si>
  <si>
    <t>MF-137D.2/21</t>
  </si>
  <si>
    <t xml:space="preserve">	145-2022-10-000167-00</t>
  </si>
  <si>
    <t>MF-137E/21</t>
  </si>
  <si>
    <t>122</t>
  </si>
  <si>
    <t xml:space="preserve">	145-2022-10-000180-00</t>
  </si>
  <si>
    <t>MUESTRA 1/21</t>
  </si>
  <si>
    <t>LIMUS X1LT</t>
  </si>
  <si>
    <t>transf.</t>
  </si>
  <si>
    <t>gratuita</t>
  </si>
  <si>
    <t>1 LT</t>
  </si>
  <si>
    <t>MF-139A/21</t>
  </si>
  <si>
    <t>S5000614</t>
  </si>
  <si>
    <t>5000851</t>
  </si>
  <si>
    <t>FIO</t>
  </si>
  <si>
    <t>BB - Granel</t>
  </si>
  <si>
    <t>2H OCT - DIC '21</t>
  </si>
  <si>
    <t xml:space="preserve">TCLCS003 </t>
  </si>
  <si>
    <t>SUAO / TAIWAN</t>
  </si>
  <si>
    <t>TCLC QUANZHOU</t>
  </si>
  <si>
    <t>118-2022-10-040680-00</t>
  </si>
  <si>
    <t>anulada:8000001406</t>
  </si>
  <si>
    <t>MF-139B/21</t>
  </si>
  <si>
    <t>MF-140/21</t>
  </si>
  <si>
    <t>S5000632</t>
  </si>
  <si>
    <t>5000797</t>
  </si>
  <si>
    <t>JUL '21 - AGO '21</t>
  </si>
  <si>
    <t>HLCUKLJ210913542</t>
  </si>
  <si>
    <t>MF-141A/21</t>
  </si>
  <si>
    <t>PAT/Mitsui/2021-651</t>
  </si>
  <si>
    <t>B7FE-21-3037-PUPE-01</t>
  </si>
  <si>
    <t>2H AGO '21</t>
  </si>
  <si>
    <t>UST-LUGA /RUSIA</t>
  </si>
  <si>
    <t xml:space="preserve">MV FEDERAL DEE </t>
  </si>
  <si>
    <t>MF-141B/21</t>
  </si>
  <si>
    <t>B7FE-21-3037-PUPE-02</t>
  </si>
  <si>
    <t>anulada :8000001488, 8000001523</t>
  </si>
  <si>
    <t>MF-141C/21</t>
  </si>
  <si>
    <t>B7FE-21-3037-PUPE-03</t>
  </si>
  <si>
    <t>MF-142.1/21</t>
  </si>
  <si>
    <t>SG-MSL-12329-39</t>
  </si>
  <si>
    <t>AGO '21 - SET '21</t>
  </si>
  <si>
    <t>75B039XGG038</t>
  </si>
  <si>
    <t>S-S</t>
  </si>
  <si>
    <t>MF-142.2/21</t>
  </si>
  <si>
    <t>anulada: 8000001635</t>
  </si>
  <si>
    <t>MF-143/21</t>
  </si>
  <si>
    <t>7100168544</t>
  </si>
  <si>
    <t>7300242775</t>
  </si>
  <si>
    <t>4W JUL'21</t>
  </si>
  <si>
    <t>HBG1546920</t>
  </si>
  <si>
    <t>MF-144/21</t>
  </si>
  <si>
    <t>S5000643</t>
  </si>
  <si>
    <t>5000772</t>
  </si>
  <si>
    <t>4W SET - OCT '21</t>
  </si>
  <si>
    <t xml:space="preserve">GSSW21SHA4470A </t>
  </si>
  <si>
    <t xml:space="preserve">MV ACER ARROW </t>
  </si>
  <si>
    <t>MF-145/21</t>
  </si>
  <si>
    <t>EQUIPERU/IRON/C255/2021</t>
  </si>
  <si>
    <t>#471/2021</t>
  </si>
  <si>
    <t>SET '21</t>
  </si>
  <si>
    <t>GSSW21SHA4825B</t>
  </si>
  <si>
    <t>MV MATSU ARROW</t>
  </si>
  <si>
    <t>MF-146/21</t>
  </si>
  <si>
    <t>EQUIPERU/IRON/C254/2021</t>
  </si>
  <si>
    <t>#470/2021</t>
  </si>
  <si>
    <t>1W AGO '21</t>
  </si>
  <si>
    <t>264056XGG055</t>
  </si>
  <si>
    <t>MF-147A/21</t>
  </si>
  <si>
    <t>S5000641</t>
  </si>
  <si>
    <t>5000783</t>
  </si>
  <si>
    <t>3W AGO '21 - SET '21</t>
  </si>
  <si>
    <t>HLCUKLJ210913213</t>
  </si>
  <si>
    <t>OK</t>
  </si>
  <si>
    <t>MF-147B/21</t>
  </si>
  <si>
    <t>S5000642</t>
  </si>
  <si>
    <t>5000782</t>
  </si>
  <si>
    <t>HLCUKLJ210913202</t>
  </si>
  <si>
    <t>MF-148A/21</t>
  </si>
  <si>
    <t>5000789</t>
  </si>
  <si>
    <t>HLCUKLJ210913480</t>
  </si>
  <si>
    <t>COSCO SHIPPING VOLGA</t>
  </si>
  <si>
    <t>MF-148B/21</t>
  </si>
  <si>
    <t>5000790</t>
  </si>
  <si>
    <t>HLCUKLJ210913470</t>
  </si>
  <si>
    <t>MF-149/21</t>
  </si>
  <si>
    <t>S5000651</t>
  </si>
  <si>
    <t>5000750</t>
  </si>
  <si>
    <t>2W AGO '21</t>
  </si>
  <si>
    <t>EGVL155100092423</t>
  </si>
  <si>
    <t>EVER CANDID</t>
  </si>
  <si>
    <t>EVER LIVEN</t>
  </si>
  <si>
    <t>MF-150.1/21</t>
  </si>
  <si>
    <t>S5000652</t>
  </si>
  <si>
    <t>5000760</t>
  </si>
  <si>
    <t>MAEU912884873</t>
  </si>
  <si>
    <t>CEZANNE</t>
  </si>
  <si>
    <t>MF-150.2/21</t>
  </si>
  <si>
    <t>5000761</t>
  </si>
  <si>
    <t>MAEU912879997</t>
  </si>
  <si>
    <t>MF-150.3/21</t>
  </si>
  <si>
    <t>5000762</t>
  </si>
  <si>
    <t>MAEU912890339</t>
  </si>
  <si>
    <t>MF-150.4/21</t>
  </si>
  <si>
    <t>5000859</t>
  </si>
  <si>
    <t>EGLV155100144971</t>
  </si>
  <si>
    <t xml:space="preserve">GREEN CELEBRITY </t>
  </si>
  <si>
    <t>DPWC</t>
  </si>
  <si>
    <t>EVERGREEN</t>
  </si>
  <si>
    <t xml:space="preserve">	118-2022-10-074526-00</t>
  </si>
  <si>
    <t>MF-150.5/21</t>
  </si>
  <si>
    <t>5000860</t>
  </si>
  <si>
    <t>EGLV155100144997</t>
  </si>
  <si>
    <t>118-2022-10-074558-00</t>
  </si>
  <si>
    <t>MF-151.1/21</t>
  </si>
  <si>
    <t>ECOCHEM GROUP CO.LTD</t>
  </si>
  <si>
    <t xml:space="preserve">21Y719 </t>
  </si>
  <si>
    <t>21Y719</t>
  </si>
  <si>
    <t>75B039XGG072</t>
  </si>
  <si>
    <t>MF-151.2/21</t>
  </si>
  <si>
    <t xml:space="preserve">21Y720 </t>
  </si>
  <si>
    <t>21Y720</t>
  </si>
  <si>
    <t>75B039XGG073</t>
  </si>
  <si>
    <t>MF-152/21</t>
  </si>
  <si>
    <t xml:space="preserve">21Y717 </t>
  </si>
  <si>
    <t>264056XGG103</t>
  </si>
  <si>
    <t xml:space="preserve">NEW ABLE </t>
  </si>
  <si>
    <t>MF-153/21</t>
  </si>
  <si>
    <t xml:space="preserve">21Y718 </t>
  </si>
  <si>
    <t>21Y718</t>
  </si>
  <si>
    <t>75B039XGG049</t>
  </si>
  <si>
    <t>MF-154/21</t>
  </si>
  <si>
    <t>MF-155/21</t>
  </si>
  <si>
    <t xml:space="preserve">4600018650 </t>
  </si>
  <si>
    <t>F200-43156</t>
  </si>
  <si>
    <t xml:space="preserve">BGA0296287 </t>
  </si>
  <si>
    <t>MF-156.1/21</t>
  </si>
  <si>
    <t>4600018712</t>
  </si>
  <si>
    <t>F200-43157</t>
  </si>
  <si>
    <t>BGA0297059</t>
  </si>
  <si>
    <t>anulada:8000001458, 8000001498</t>
  </si>
  <si>
    <t>MF-156.2/21</t>
  </si>
  <si>
    <t>AGO '21</t>
  </si>
  <si>
    <t xml:space="preserve">BGA0298242 </t>
  </si>
  <si>
    <t>anulado:8000001470, 8000001479</t>
  </si>
  <si>
    <t>MUESTRA 2/21</t>
  </si>
  <si>
    <t>YARAREGA AZUTEK</t>
  </si>
  <si>
    <t>F200-43162</t>
  </si>
  <si>
    <t>MF-157/21</t>
  </si>
  <si>
    <t>S-02101957</t>
  </si>
  <si>
    <t>I-37456</t>
  </si>
  <si>
    <t>2H SET '21</t>
  </si>
  <si>
    <t>BBG3YZ01</t>
  </si>
  <si>
    <t>MV BBG KINDNESS</t>
  </si>
  <si>
    <t>anulada : 8000001465, 8000001464</t>
  </si>
  <si>
    <t>MF-158/21</t>
  </si>
  <si>
    <t>4600018859</t>
  </si>
  <si>
    <t>F200-43205</t>
  </si>
  <si>
    <t>HLCURTM2108AUVR8</t>
  </si>
  <si>
    <t xml:space="preserve">  CMA CGM ARKANSAS</t>
  </si>
  <si>
    <t xml:space="preserve"> CMA CGM ARKANSAS</t>
  </si>
  <si>
    <t>MF-159/21</t>
  </si>
  <si>
    <t>4600018860</t>
  </si>
  <si>
    <t>F200-43206</t>
  </si>
  <si>
    <t>HLCURTM210930649</t>
  </si>
  <si>
    <t>MF-160/21</t>
  </si>
  <si>
    <t>4600018651-2</t>
  </si>
  <si>
    <t>F200-43163</t>
  </si>
  <si>
    <t>BGA0296414</t>
  </si>
  <si>
    <t>MF-161/21</t>
  </si>
  <si>
    <t>4600018649</t>
  </si>
  <si>
    <t>F200-43164</t>
  </si>
  <si>
    <t xml:space="preserve">BGA0296302 </t>
  </si>
  <si>
    <t>MF-162.1/21</t>
  </si>
  <si>
    <t>4600018909</t>
  </si>
  <si>
    <t>F200-43209</t>
  </si>
  <si>
    <t>HLCURTM210961300</t>
  </si>
  <si>
    <t>T-S</t>
  </si>
  <si>
    <t>MF-162.2/21</t>
  </si>
  <si>
    <t>4600018958</t>
  </si>
  <si>
    <t>F200-43223</t>
  </si>
  <si>
    <t>HLCURTM211026180</t>
  </si>
  <si>
    <t>MF-163/21</t>
  </si>
  <si>
    <t>FXE 2.100.030</t>
  </si>
  <si>
    <t>210403755/0408</t>
  </si>
  <si>
    <t>MF-164/21</t>
  </si>
  <si>
    <t>4600018645 / L210198A</t>
  </si>
  <si>
    <t>F200-43197</t>
  </si>
  <si>
    <t>LYK0148897</t>
  </si>
  <si>
    <t>anulada: 8000001611</t>
  </si>
  <si>
    <t>MF-165/21</t>
  </si>
  <si>
    <t>4600018646 / L210198B</t>
  </si>
  <si>
    <t>F200-43190</t>
  </si>
  <si>
    <t>LYK0148894</t>
  </si>
  <si>
    <t>MF-166/21</t>
  </si>
  <si>
    <t>4600018831</t>
  </si>
  <si>
    <t>F200-43270</t>
  </si>
  <si>
    <t>SETIEMBRE '21</t>
  </si>
  <si>
    <t>HLCUANR211252934</t>
  </si>
  <si>
    <t xml:space="preserve">	118-2022-10-072158-00</t>
  </si>
  <si>
    <t>MF-167/21</t>
  </si>
  <si>
    <t>4600018830</t>
  </si>
  <si>
    <t>F200-43278</t>
  </si>
  <si>
    <t>HLCUANR211262499</t>
  </si>
  <si>
    <t>BELGICA</t>
  </si>
  <si>
    <t>TRAMARSA</t>
  </si>
  <si>
    <t>145-2022-10-000280-01-9-00</t>
  </si>
  <si>
    <t>Todo Ok.</t>
  </si>
  <si>
    <t>MF-168/21</t>
  </si>
  <si>
    <t>4600018652-2</t>
  </si>
  <si>
    <t>F200-43172</t>
  </si>
  <si>
    <t>BGA0296923</t>
  </si>
  <si>
    <t>MF-169/21</t>
  </si>
  <si>
    <t>4600018653</t>
  </si>
  <si>
    <t>F200-43165</t>
  </si>
  <si>
    <t>HLCUBO2210755231</t>
  </si>
  <si>
    <t>MF-170/21</t>
  </si>
  <si>
    <t>4600018651-1</t>
  </si>
  <si>
    <t>F200-43166</t>
  </si>
  <si>
    <t xml:space="preserve">SUDU21159AV9K8U1 </t>
  </si>
  <si>
    <t>anulada: 8000001477</t>
  </si>
  <si>
    <t>MF-171.1/21</t>
  </si>
  <si>
    <t>4600018652-1</t>
  </si>
  <si>
    <t>F200-43167</t>
  </si>
  <si>
    <t xml:space="preserve">BGA0296416 </t>
  </si>
  <si>
    <t>MF-171.2/21</t>
  </si>
  <si>
    <t>4600018651</t>
  </si>
  <si>
    <t>F200-43168</t>
  </si>
  <si>
    <t>BGA0296922</t>
  </si>
  <si>
    <t>MF-172/21</t>
  </si>
  <si>
    <t>4600018826-1</t>
  </si>
  <si>
    <t>F200-43171</t>
  </si>
  <si>
    <t xml:space="preserve">BGA0298976 </t>
  </si>
  <si>
    <t>MF-173/21</t>
  </si>
  <si>
    <t>4600018825-1</t>
  </si>
  <si>
    <t>F200-43177</t>
  </si>
  <si>
    <t>HLCUBO2210853468</t>
  </si>
  <si>
    <t>MF-174/21</t>
  </si>
  <si>
    <t>4600018826</t>
  </si>
  <si>
    <t>F200-43175</t>
  </si>
  <si>
    <t>BGA0300440</t>
  </si>
  <si>
    <t>MF-175/21</t>
  </si>
  <si>
    <t>4600018825</t>
  </si>
  <si>
    <t>F200-43174</t>
  </si>
  <si>
    <t>BGA0298977</t>
  </si>
  <si>
    <t xml:space="preserve"> AS PATRIA</t>
  </si>
  <si>
    <t>anulada: 8000001541</t>
  </si>
  <si>
    <t>MF-176/21</t>
  </si>
  <si>
    <t>4600018652</t>
  </si>
  <si>
    <t>F200-43173</t>
  </si>
  <si>
    <t>BGA0298972</t>
  </si>
  <si>
    <t>MF-177/21</t>
  </si>
  <si>
    <t>4600018827</t>
  </si>
  <si>
    <t>F200-43180</t>
  </si>
  <si>
    <t>BGA0298975</t>
  </si>
  <si>
    <t xml:space="preserve"> CMA CGM JEAN GABRIEL</t>
  </si>
  <si>
    <t>MF-178/21</t>
  </si>
  <si>
    <t>4600018827-1</t>
  </si>
  <si>
    <t>F200-43181</t>
  </si>
  <si>
    <t>SUDU21159AVTTVU7</t>
  </si>
  <si>
    <t>MF-179/21</t>
  </si>
  <si>
    <t>4600018828</t>
  </si>
  <si>
    <t>F200-43179</t>
  </si>
  <si>
    <t xml:space="preserve"> BGA0298973 </t>
  </si>
  <si>
    <t>anulada:  8000001571</t>
  </si>
  <si>
    <t>MF-180/21</t>
  </si>
  <si>
    <t>4600018828-1</t>
  </si>
  <si>
    <t>F200-43178</t>
  </si>
  <si>
    <t>BGA0298974</t>
  </si>
  <si>
    <t>MF-181/21</t>
  </si>
  <si>
    <t>4600018829</t>
  </si>
  <si>
    <t>F200-43188</t>
  </si>
  <si>
    <t xml:space="preserve"> BGA0300577 </t>
  </si>
  <si>
    <t>MF-182/21</t>
  </si>
  <si>
    <t>F200-43210</t>
  </si>
  <si>
    <t>MF-183/21</t>
  </si>
  <si>
    <t>F200-43222</t>
  </si>
  <si>
    <t>MF-184.1/21</t>
  </si>
  <si>
    <t xml:space="preserve">               4600018909</t>
  </si>
  <si>
    <t>F200-43213</t>
  </si>
  <si>
    <t>MF-184.2/21</t>
  </si>
  <si>
    <t>F200-43224</t>
  </si>
  <si>
    <t>MF-185/21</t>
  </si>
  <si>
    <t>4600018714</t>
  </si>
  <si>
    <t>F200-43194</t>
  </si>
  <si>
    <t>10 LT</t>
  </si>
  <si>
    <t xml:space="preserve">  HLCULIV210899419  </t>
  </si>
  <si>
    <t xml:space="preserve"> GUAYAQUIL EXPRESS</t>
  </si>
  <si>
    <t>MF-186/21</t>
  </si>
  <si>
    <t>S5000702</t>
  </si>
  <si>
    <t>5000807</t>
  </si>
  <si>
    <t>1H OCT '21</t>
  </si>
  <si>
    <t>MEDUIG015700</t>
  </si>
  <si>
    <t xml:space="preserve"> MSC MADHU B</t>
  </si>
  <si>
    <t xml:space="preserve"> MSC AINO</t>
  </si>
  <si>
    <t>MF-187/21</t>
  </si>
  <si>
    <t>S-02102031</t>
  </si>
  <si>
    <t>38238</t>
  </si>
  <si>
    <t>OCTUBRE '21</t>
  </si>
  <si>
    <t>HLCUME3211064984</t>
  </si>
  <si>
    <t>NYK DIANA</t>
  </si>
  <si>
    <t>MF-188/21</t>
  </si>
  <si>
    <t>S-02102030</t>
  </si>
  <si>
    <t>37855</t>
  </si>
  <si>
    <t>SUDU21MEX035189X</t>
  </si>
  <si>
    <t xml:space="preserve"> MAERSK BATUR</t>
  </si>
  <si>
    <t>MF-189A/21</t>
  </si>
  <si>
    <t>MF-189B/21</t>
  </si>
  <si>
    <t>MF-190/21</t>
  </si>
  <si>
    <t>2021-842</t>
  </si>
  <si>
    <t>S5000707</t>
  </si>
  <si>
    <t>5000906</t>
  </si>
  <si>
    <t>FIO - CQD</t>
  </si>
  <si>
    <t xml:space="preserve">QTJCLL56 </t>
  </si>
  <si>
    <t xml:space="preserve">MV QING YUN SHAN </t>
  </si>
  <si>
    <t>APM</t>
  </si>
  <si>
    <t>AGUNSA</t>
  </si>
  <si>
    <t>118-2022-10-121104-01-6-00</t>
  </si>
  <si>
    <t>MF-191A/21</t>
  </si>
  <si>
    <t>TGOA21SA058-OCT</t>
  </si>
  <si>
    <t>TGOA-AS-211101-A</t>
  </si>
  <si>
    <t>2H SET- 1H OCT '21</t>
  </si>
  <si>
    <t>ZGEVR211004A</t>
  </si>
  <si>
    <t>MV DORIC SHOGUN</t>
  </si>
  <si>
    <t>G-S</t>
  </si>
  <si>
    <t>MF-191B/21</t>
  </si>
  <si>
    <t>TGOA-AS-211101-B</t>
  </si>
  <si>
    <t>ZGEVR211004B</t>
  </si>
  <si>
    <t>MF-191C/21</t>
  </si>
  <si>
    <t>TGOA-AS-211101-E</t>
  </si>
  <si>
    <t>ZGEVR211005E</t>
  </si>
  <si>
    <t>MF-191D/21</t>
  </si>
  <si>
    <t>TGOA-AS-211101-C</t>
  </si>
  <si>
    <t>ZGEVR211004C</t>
  </si>
  <si>
    <t>MF-192A/21</t>
  </si>
  <si>
    <t>TGOA-DAP-211102-C</t>
  </si>
  <si>
    <t>ZGEVR211001-C</t>
  </si>
  <si>
    <t>MF-192B/21</t>
  </si>
  <si>
    <t>TGOA-DAP-211102-D</t>
  </si>
  <si>
    <t>ZGEVR211001-D</t>
  </si>
  <si>
    <t>MF-192C/21</t>
  </si>
  <si>
    <t>TGOA-DAP-211102-E</t>
  </si>
  <si>
    <t>ZGEVR211001-E</t>
  </si>
  <si>
    <t>MF-192D.1/21</t>
  </si>
  <si>
    <t>TGOA-DAP-211102-F</t>
  </si>
  <si>
    <t>ZGEVR211001-F</t>
  </si>
  <si>
    <t>anulada : 8000001640</t>
  </si>
  <si>
    <t>MF-192D.2/21</t>
  </si>
  <si>
    <t>TGOA-DAP-211118-B</t>
  </si>
  <si>
    <t>PJ07B</t>
  </si>
  <si>
    <t>PANJING / CHINA</t>
  </si>
  <si>
    <t>MF-192D.3/21</t>
  </si>
  <si>
    <t>TGOA-DAP-211118-C</t>
  </si>
  <si>
    <t>PJ01C</t>
  </si>
  <si>
    <t>MF-193A/21</t>
  </si>
  <si>
    <t>MF-193B/21</t>
  </si>
  <si>
    <t>MF-193C/21</t>
  </si>
  <si>
    <t>MF-194A/21</t>
  </si>
  <si>
    <t>E-S</t>
  </si>
  <si>
    <t>MF-194B/21</t>
  </si>
  <si>
    <t>MF-195/21</t>
  </si>
  <si>
    <t>MERRYCORN</t>
  </si>
  <si>
    <t>MC/EA20210909SCS01</t>
  </si>
  <si>
    <t>MC/EQ20211015CI01</t>
  </si>
  <si>
    <t>75B039XGG071</t>
  </si>
  <si>
    <t>MF-196/21</t>
  </si>
  <si>
    <t>4600018647 / L210198C</t>
  </si>
  <si>
    <t>F200-43258</t>
  </si>
  <si>
    <t>HLCUOSL211012448</t>
  </si>
  <si>
    <t xml:space="preserve">	145-2022-10-000214-00</t>
  </si>
  <si>
    <t>MF-197A.1/21</t>
  </si>
  <si>
    <t>2021-824</t>
  </si>
  <si>
    <t>S-02102058_A1</t>
  </si>
  <si>
    <t>39110</t>
  </si>
  <si>
    <t>PALLETS</t>
  </si>
  <si>
    <t>1H NOV - 2H DIC '21</t>
  </si>
  <si>
    <t>MEDUM5707440</t>
  </si>
  <si>
    <t>VERACRUZ</t>
  </si>
  <si>
    <t xml:space="preserve"> MEXICO</t>
  </si>
  <si>
    <t xml:space="preserve"> SEALAND WASHINGTON</t>
  </si>
  <si>
    <t>anulacion: 8000001632, 8000001877</t>
  </si>
  <si>
    <t>CONGESTION EN PUERTO - INTERMEDIARIO</t>
  </si>
  <si>
    <t>MF-197A.2/21</t>
  </si>
  <si>
    <t>2021-823</t>
  </si>
  <si>
    <t>39169</t>
  </si>
  <si>
    <t>HLCUME3220161756</t>
  </si>
  <si>
    <t xml:space="preserve"> DIMITRIS C</t>
  </si>
  <si>
    <t>046-2022-10-000665-00</t>
  </si>
  <si>
    <t>COSTEO OBSERVADO</t>
  </si>
  <si>
    <t>MF-197A.3/21</t>
  </si>
  <si>
    <t>39137</t>
  </si>
  <si>
    <t>HLCUME3220165483</t>
  </si>
  <si>
    <t>MEXICO</t>
  </si>
  <si>
    <t xml:space="preserve"> VALPARAISO  EXPRESS</t>
  </si>
  <si>
    <t>118-2022-10-124472-01-6-00</t>
  </si>
  <si>
    <t>MF-197B/21</t>
  </si>
  <si>
    <t>S-02102057</t>
  </si>
  <si>
    <t>38657</t>
  </si>
  <si>
    <t>DICIEMBRE '21</t>
  </si>
  <si>
    <t>SUDU21MEX041172X</t>
  </si>
  <si>
    <t>IAN TAYLOR</t>
  </si>
  <si>
    <t>MF-198A/21</t>
  </si>
  <si>
    <t>S-02102043</t>
  </si>
  <si>
    <t>I-37631</t>
  </si>
  <si>
    <t>BK3ZJGHRSJ01B</t>
  </si>
  <si>
    <t>MF-198B/21</t>
  </si>
  <si>
    <t>I-37632</t>
  </si>
  <si>
    <t>BK3ZJGHRSJ01C</t>
  </si>
  <si>
    <t>MF-199A/21</t>
  </si>
  <si>
    <t>S-02102044</t>
  </si>
  <si>
    <t>I-37466</t>
  </si>
  <si>
    <t>BBG3YZ0405D</t>
  </si>
  <si>
    <t>MF-199B/21</t>
  </si>
  <si>
    <t>I-37467</t>
  </si>
  <si>
    <t>BBG3YZ0405I</t>
  </si>
  <si>
    <t>MF-200A/21</t>
  </si>
  <si>
    <t>S5000695</t>
  </si>
  <si>
    <t>5000853</t>
  </si>
  <si>
    <t>4W NOV '21 - DIC '21</t>
  </si>
  <si>
    <t xml:space="preserve">TCLCS001 </t>
  </si>
  <si>
    <t xml:space="preserve">	082-2022-10-000019-00</t>
  </si>
  <si>
    <t>MF-200B/21</t>
  </si>
  <si>
    <t>5000852</t>
  </si>
  <si>
    <t>MF-201A/21</t>
  </si>
  <si>
    <t>S5000697</t>
  </si>
  <si>
    <t>5000855</t>
  </si>
  <si>
    <t xml:space="preserve">TCLCS002 </t>
  </si>
  <si>
    <t>082-2022-10-000018-00</t>
  </si>
  <si>
    <t>anulada : 8000001689</t>
  </si>
  <si>
    <t>MF-201B/21</t>
  </si>
  <si>
    <t>5000854</t>
  </si>
  <si>
    <t xml:space="preserve">TCLCS004 </t>
  </si>
  <si>
    <t xml:space="preserve">	118-2022-10-040685-00</t>
  </si>
  <si>
    <t>anulada:8000001658</t>
  </si>
  <si>
    <t>MF-202A/21</t>
  </si>
  <si>
    <t>Nº 29</t>
  </si>
  <si>
    <t>CG/012/2021-1</t>
  </si>
  <si>
    <t>TRANS. CERRO GORDO LTDA.</t>
  </si>
  <si>
    <t>MF-202B/21</t>
  </si>
  <si>
    <t>Nº 32</t>
  </si>
  <si>
    <t>MF-202C/21</t>
  </si>
  <si>
    <t>CG/012/2021-2</t>
  </si>
  <si>
    <t>MF-202D/21</t>
  </si>
  <si>
    <t>Nº 37</t>
  </si>
  <si>
    <t>MF-202E/21</t>
  </si>
  <si>
    <t>CG/012/2021-3</t>
  </si>
  <si>
    <t>MF-202F/21</t>
  </si>
  <si>
    <t>N° 41</t>
  </si>
  <si>
    <t>CG/013/2021-1</t>
  </si>
  <si>
    <t>MF-202G/21</t>
  </si>
  <si>
    <t>N° 43</t>
  </si>
  <si>
    <t>MF-202H/21</t>
  </si>
  <si>
    <t>MF-202I/21</t>
  </si>
  <si>
    <t>N° 44</t>
  </si>
  <si>
    <t>CG/014/2021-1</t>
  </si>
  <si>
    <t>MF-202J/21</t>
  </si>
  <si>
    <t>CG/014/2021-2</t>
  </si>
  <si>
    <t>MF-202K/21</t>
  </si>
  <si>
    <t>N° 48</t>
  </si>
  <si>
    <t>MF-202L/21</t>
  </si>
  <si>
    <t>CG/014/2021-3</t>
  </si>
  <si>
    <t>MF-202M/21</t>
  </si>
  <si>
    <t>MF-202N/21</t>
  </si>
  <si>
    <t>N° 57</t>
  </si>
  <si>
    <t>MF-202O/21</t>
  </si>
  <si>
    <t>N° 58</t>
  </si>
  <si>
    <t>MF-202P/21</t>
  </si>
  <si>
    <t>MF-202Q/21</t>
  </si>
  <si>
    <t>MF-202R/21</t>
  </si>
  <si>
    <t>N° 59</t>
  </si>
  <si>
    <t>MF-202S/21</t>
  </si>
  <si>
    <t>N° 98</t>
  </si>
  <si>
    <t>MF-202T/21</t>
  </si>
  <si>
    <t>N° 99</t>
  </si>
  <si>
    <t>MF-202U/21</t>
  </si>
  <si>
    <t>N° 106</t>
  </si>
  <si>
    <t>S-C</t>
  </si>
  <si>
    <t>MF-202V/21</t>
  </si>
  <si>
    <t>N° 107</t>
  </si>
  <si>
    <t>MF-202W/21</t>
  </si>
  <si>
    <t>N° 110</t>
  </si>
  <si>
    <t>MF-202X/21</t>
  </si>
  <si>
    <t>N° 112</t>
  </si>
  <si>
    <t>MF-202Y/21</t>
  </si>
  <si>
    <t>N° 113</t>
  </si>
  <si>
    <t>145-2022-10-000101-00</t>
  </si>
  <si>
    <t>MF-202Z/21</t>
  </si>
  <si>
    <t>N° 114</t>
  </si>
  <si>
    <t>145-2022-10-000104-00</t>
  </si>
  <si>
    <t>MF-203/21</t>
  </si>
  <si>
    <t>4600018829-1</t>
  </si>
  <si>
    <t>F200-43187</t>
  </si>
  <si>
    <t>SUDU21159AW40A1L</t>
  </si>
  <si>
    <t>MF-204A/21</t>
  </si>
  <si>
    <t>4600019053</t>
  </si>
  <si>
    <t>F200-43207</t>
  </si>
  <si>
    <t>BGA0304379</t>
  </si>
  <si>
    <t>MF-204B.1/21</t>
  </si>
  <si>
    <t>4600019051_A</t>
  </si>
  <si>
    <t>F200-43208</t>
  </si>
  <si>
    <t>BGA0304393</t>
  </si>
  <si>
    <t>MF-204B.2/21</t>
  </si>
  <si>
    <t>4600019051_B</t>
  </si>
  <si>
    <t>F200-43218</t>
  </si>
  <si>
    <t>SUDU21159AWKCF68</t>
  </si>
  <si>
    <t>MF-204C/21</t>
  </si>
  <si>
    <t>4600019048</t>
  </si>
  <si>
    <t>F200-43212</t>
  </si>
  <si>
    <t>HLCUBO2210928935</t>
  </si>
  <si>
    <t>MF-204D/21</t>
  </si>
  <si>
    <t>4600018970</t>
  </si>
  <si>
    <t>F200-43203</t>
  </si>
  <si>
    <t>HLCUBO2210957562</t>
  </si>
  <si>
    <t>anulada: 8000001614</t>
  </si>
  <si>
    <t>MF-204E/21</t>
  </si>
  <si>
    <t>F200-43200</t>
  </si>
  <si>
    <t>HLCUBO2210958080</t>
  </si>
  <si>
    <t>MF-205/21</t>
  </si>
  <si>
    <t>SG-MSL-12329-40</t>
  </si>
  <si>
    <t>OCT - DIC 21'</t>
  </si>
  <si>
    <t>Y08005XGG051</t>
  </si>
  <si>
    <t>ROYAL CHIBA</t>
  </si>
  <si>
    <t>127-2022-10-000073-00</t>
  </si>
  <si>
    <t>MF-206A/21</t>
  </si>
  <si>
    <t>243/19_A9</t>
  </si>
  <si>
    <t>B7FE-21-3039-ANPE-01</t>
  </si>
  <si>
    <t>1W OCTUBRE '21</t>
  </si>
  <si>
    <t>RIGA / LATVIA</t>
  </si>
  <si>
    <t xml:space="preserve">MV CHIOS FREEDOM </t>
  </si>
  <si>
    <t>MF-206B/21</t>
  </si>
  <si>
    <t>B7FE-21-3039-ANPE-02</t>
  </si>
  <si>
    <t>MF-206C/21</t>
  </si>
  <si>
    <t>B7FE-21-3039-ANPE-03</t>
  </si>
  <si>
    <t>MF-207A/21</t>
  </si>
  <si>
    <t xml:space="preserve">UKT-EQUILIBRA-2021-4 </t>
  </si>
  <si>
    <t>21-07-7429-1</t>
  </si>
  <si>
    <t>MF-207B/21</t>
  </si>
  <si>
    <t>21-07-7429-2</t>
  </si>
  <si>
    <t>MF-207C/21</t>
  </si>
  <si>
    <t>21-07-7429-3</t>
  </si>
  <si>
    <t>anulada : 8000001653</t>
  </si>
  <si>
    <t>MF-208A/21</t>
  </si>
  <si>
    <t>B7FE-21-3040-PUPE-01</t>
  </si>
  <si>
    <t>MF-208B/21</t>
  </si>
  <si>
    <t>B7FE-21-3040-PUPE-02</t>
  </si>
  <si>
    <t>HUACHO/SAVAR</t>
  </si>
  <si>
    <t>anulada : 8000001649</t>
  </si>
  <si>
    <t>MF-208C/21</t>
  </si>
  <si>
    <t>B7FE-21-3040-PUPE-03</t>
  </si>
  <si>
    <t>MF-209/21</t>
  </si>
  <si>
    <t>MF-210A/21</t>
  </si>
  <si>
    <t>TGOA-MGN-211102-B</t>
  </si>
  <si>
    <t>ZGEVR211007B</t>
  </si>
  <si>
    <t>MF-210B/21</t>
  </si>
  <si>
    <t>TGOA-MGN-211102-A</t>
  </si>
  <si>
    <t>ZGEVR211007A</t>
  </si>
  <si>
    <t>MF-210C/21</t>
  </si>
  <si>
    <t>TGOA-MGN-211102-C</t>
  </si>
  <si>
    <t xml:space="preserve">  ZGEVR211007C  </t>
  </si>
  <si>
    <t>MF-211/21</t>
  </si>
  <si>
    <t>MF-212/21</t>
  </si>
  <si>
    <t>MF-213A/21</t>
  </si>
  <si>
    <t>PS-10321</t>
  </si>
  <si>
    <t>306031286</t>
  </si>
  <si>
    <t>OCT 21'</t>
  </si>
  <si>
    <t>MAEU213775769</t>
  </si>
  <si>
    <t>TEESPORT / REINO UNIDO</t>
  </si>
  <si>
    <t>BG IRLANDA</t>
  </si>
  <si>
    <t>MF-213B/21</t>
  </si>
  <si>
    <t>PS-10221</t>
  </si>
  <si>
    <t>306031276</t>
  </si>
  <si>
    <t>MAEU213775510</t>
  </si>
  <si>
    <t>ELBSTROM</t>
  </si>
  <si>
    <t>MF-214A/21</t>
  </si>
  <si>
    <t>202152716</t>
  </si>
  <si>
    <t>1H NOV 21'</t>
  </si>
  <si>
    <t>SUDU71HFA002217X</t>
  </si>
  <si>
    <t>MAERSK NORFOLK</t>
  </si>
  <si>
    <t>MAERSK SALINA</t>
  </si>
  <si>
    <t>MF-214B/21</t>
  </si>
  <si>
    <t>202152934</t>
  </si>
  <si>
    <t>SUDU71HFA002480X</t>
  </si>
  <si>
    <t>MAERSK SARAT</t>
  </si>
  <si>
    <t>MF-215/21</t>
  </si>
  <si>
    <t>50887PRE</t>
  </si>
  <si>
    <t>VALUCID PK 0-60-20</t>
  </si>
  <si>
    <t>MW11TC12E</t>
  </si>
  <si>
    <t xml:space="preserve">CHANG HANG JIN HAI </t>
  </si>
  <si>
    <t>AGENTAL</t>
  </si>
  <si>
    <t>118-2022-10-073813-01-1-00</t>
  </si>
  <si>
    <t>MF-216A/21</t>
  </si>
  <si>
    <t>F200-43198</t>
  </si>
  <si>
    <t>OCT '21</t>
  </si>
  <si>
    <t>BGA0302128</t>
  </si>
  <si>
    <t>MF-216B/21</t>
  </si>
  <si>
    <t>4600019113</t>
  </si>
  <si>
    <t>F200-43255</t>
  </si>
  <si>
    <t>LYK0150468</t>
  </si>
  <si>
    <t xml:space="preserve">	118-2022-10-035023-00</t>
  </si>
  <si>
    <t>MF-217/21</t>
  </si>
  <si>
    <t>F200-43189</t>
  </si>
  <si>
    <t>BGA0302146</t>
  </si>
  <si>
    <t>MF-218/21</t>
  </si>
  <si>
    <t>S5000720</t>
  </si>
  <si>
    <t>5000867</t>
  </si>
  <si>
    <t>FILO</t>
  </si>
  <si>
    <t>NOV '21 - 1H DIC '21</t>
  </si>
  <si>
    <t>GSSW21SHA5458B</t>
  </si>
  <si>
    <t xml:space="preserve">	118-2022-10-040692-00</t>
  </si>
  <si>
    <t>MF-219A.1/21</t>
  </si>
  <si>
    <t>PS-11721</t>
  </si>
  <si>
    <t>301001940</t>
  </si>
  <si>
    <t>HLCUANR211145039</t>
  </si>
  <si>
    <t>MF-219A.2/21</t>
  </si>
  <si>
    <t>301001945</t>
  </si>
  <si>
    <t>HLCUANR211215217</t>
  </si>
  <si>
    <t>MF-219B.1/21</t>
  </si>
  <si>
    <t>PS-11821</t>
  </si>
  <si>
    <t>301001934</t>
  </si>
  <si>
    <t>HLCUANR211137323</t>
  </si>
  <si>
    <t>MF-219B.2/21</t>
  </si>
  <si>
    <t>301002125</t>
  </si>
  <si>
    <t>HLCUANR220222243</t>
  </si>
  <si>
    <t>046-2022-10-000838-01-1-00</t>
  </si>
  <si>
    <t>Daño de CNT USD 29.50</t>
  </si>
  <si>
    <t>MF-220A/21</t>
  </si>
  <si>
    <t>4600018991</t>
  </si>
  <si>
    <t>F200-43199</t>
  </si>
  <si>
    <t>HLCUBO2210957752</t>
  </si>
  <si>
    <t>MF-220B/21</t>
  </si>
  <si>
    <t>4600019191</t>
  </si>
  <si>
    <t>F200-43226</t>
  </si>
  <si>
    <t>NOVIEMBRE '21</t>
  </si>
  <si>
    <t>HLCUBO2211052597</t>
  </si>
  <si>
    <t>MF-221/21</t>
  </si>
  <si>
    <t>4600018990_A</t>
  </si>
  <si>
    <t>F200-43196</t>
  </si>
  <si>
    <t>BGA0302142</t>
  </si>
  <si>
    <t>MF-222/21</t>
  </si>
  <si>
    <t>REPUESTOS</t>
  </si>
  <si>
    <t>SAUR EQUIPAMENTOS S.A.</t>
  </si>
  <si>
    <t>PUERTO ALEGRE / BRASIL</t>
  </si>
  <si>
    <t>FEDEX</t>
  </si>
  <si>
    <t>MF-223/21</t>
  </si>
  <si>
    <t>4600018987</t>
  </si>
  <si>
    <t>F200-43202</t>
  </si>
  <si>
    <t>BGA0302150</t>
  </si>
  <si>
    <t>MF-224/21</t>
  </si>
  <si>
    <t>4600018990</t>
  </si>
  <si>
    <t>F200-43201</t>
  </si>
  <si>
    <t>BGA0302139</t>
  </si>
  <si>
    <t>MF-225/21</t>
  </si>
  <si>
    <t>S5000724</t>
  </si>
  <si>
    <t>5000836</t>
  </si>
  <si>
    <t>TCLCK001</t>
  </si>
  <si>
    <t>082-2022-10-000020-00</t>
  </si>
  <si>
    <t>MUESTRA 3/21</t>
  </si>
  <si>
    <t>UREA (MUESTRA)</t>
  </si>
  <si>
    <t>NPK SOLUCIONES PARA EL AGRO Y LA INDUSTRIA S.A. DE C.V. (MÉXICO)</t>
  </si>
  <si>
    <t>MINATITLAN / MEXICO</t>
  </si>
  <si>
    <t>DHL</t>
  </si>
  <si>
    <t>MF-227/21</t>
  </si>
  <si>
    <t>S-02102443</t>
  </si>
  <si>
    <t>39374</t>
  </si>
  <si>
    <t>ENERO '22</t>
  </si>
  <si>
    <t>HLCUME3220269215</t>
  </si>
  <si>
    <t>TEMPANOS</t>
  </si>
  <si>
    <t>046-2022-10-001046-01-1-00</t>
  </si>
  <si>
    <t>Segregación IMO incluida en la tarifa Segu?</t>
  </si>
  <si>
    <t>O-S</t>
  </si>
  <si>
    <t>MF-228/21</t>
  </si>
  <si>
    <t>MF-229/21</t>
  </si>
  <si>
    <t xml:space="preserve">4600019193 / L210256B </t>
  </si>
  <si>
    <t>F200-43245</t>
  </si>
  <si>
    <t>HLCUANR211120076</t>
  </si>
  <si>
    <t>MF-230/21</t>
  </si>
  <si>
    <t xml:space="preserve">4600019192 / L210256A </t>
  </si>
  <si>
    <t>F200-43244</t>
  </si>
  <si>
    <t>HLCUANR211119940</t>
  </si>
  <si>
    <t>MF-231/21</t>
  </si>
  <si>
    <t>4600019190</t>
  </si>
  <si>
    <t>F200-43221</t>
  </si>
  <si>
    <t>SUDU21159AWUUSV3</t>
  </si>
  <si>
    <t>MF-232/21</t>
  </si>
  <si>
    <t>4600018986</t>
  </si>
  <si>
    <t>F200-43211</t>
  </si>
  <si>
    <t>HLCUBO2210954754</t>
  </si>
  <si>
    <t>MF-233/21</t>
  </si>
  <si>
    <t>4600019112</t>
  </si>
  <si>
    <t>F200-43280</t>
  </si>
  <si>
    <t>YARATERA CALCINIT</t>
  </si>
  <si>
    <t>LYK0152208</t>
  </si>
  <si>
    <t xml:space="preserve">	DIMITRIS C</t>
  </si>
  <si>
    <t>046-2022-10-000839-01-8-00</t>
  </si>
  <si>
    <t>Provisionar el aforo (movilización, precintos, etc). Todo ok. 14SE</t>
  </si>
  <si>
    <t>MF-234/21</t>
  </si>
  <si>
    <t>4600019187</t>
  </si>
  <si>
    <t>F200-43220</t>
  </si>
  <si>
    <t xml:space="preserve">HLCUBO2211052352 </t>
  </si>
  <si>
    <t>MF-235.1/21</t>
  </si>
  <si>
    <t>4600019189</t>
  </si>
  <si>
    <t>F200-43239</t>
  </si>
  <si>
    <t>HLCUBO2211052470</t>
  </si>
  <si>
    <t>MF-235.2/21</t>
  </si>
  <si>
    <t>F200-43227</t>
  </si>
  <si>
    <t>HLCUBO2211052510</t>
  </si>
  <si>
    <t>MF-236/21</t>
  </si>
  <si>
    <t>4600019188</t>
  </si>
  <si>
    <t>F200-43225</t>
  </si>
  <si>
    <t>HLCUBO2211052290</t>
  </si>
  <si>
    <t>MF-237/21</t>
  </si>
  <si>
    <t>21JEQ002</t>
  </si>
  <si>
    <t>NOV - DIC '21</t>
  </si>
  <si>
    <t>QTJCLL24</t>
  </si>
  <si>
    <t>118-2022-10-121106-00</t>
  </si>
  <si>
    <t>MF-238/21</t>
  </si>
  <si>
    <t>SG-MSL-12329-41</t>
  </si>
  <si>
    <t>Y08005XGG052</t>
  </si>
  <si>
    <t>127-2022-10-000083-00</t>
  </si>
  <si>
    <t>MF-239/21</t>
  </si>
  <si>
    <t>S-02102532</t>
  </si>
  <si>
    <t>I-38310</t>
  </si>
  <si>
    <t>2H OCT - 1H NOV '21</t>
  </si>
  <si>
    <t>MV EQUINOX STAR</t>
  </si>
  <si>
    <t>MF-240/21</t>
  </si>
  <si>
    <t>S-02102533</t>
  </si>
  <si>
    <t>I-38304</t>
  </si>
  <si>
    <t>MF-241A/21</t>
  </si>
  <si>
    <t>243/19_A10</t>
  </si>
  <si>
    <t>B7FE-21-3042-ANPE-01</t>
  </si>
  <si>
    <t>1H NOV '21</t>
  </si>
  <si>
    <t>MV MAESTRO DIAMOND</t>
  </si>
  <si>
    <t>MF-241B/21</t>
  </si>
  <si>
    <t>084/19</t>
  </si>
  <si>
    <t>999/21 ZMU 02</t>
  </si>
  <si>
    <t>MF-241C/21</t>
  </si>
  <si>
    <t>B7FE-21-3042-ANPE-02</t>
  </si>
  <si>
    <t>MF-241D.1/21</t>
  </si>
  <si>
    <t>999/21 ZMU 01</t>
  </si>
  <si>
    <t>MF-241D.2/21</t>
  </si>
  <si>
    <t>B7FE-21-3042-ANPE-03</t>
  </si>
  <si>
    <t>MF-241E/21</t>
  </si>
  <si>
    <t>B7FE-21-3042-ANPE-04</t>
  </si>
  <si>
    <t>MF-242/21</t>
  </si>
  <si>
    <t xml:space="preserve">YARAMILA INTEGRADOR NPK 15-09-20  </t>
  </si>
  <si>
    <t>4600019255 / L210264A</t>
  </si>
  <si>
    <t>F200-43273</t>
  </si>
  <si>
    <t>LYK0151447</t>
  </si>
  <si>
    <t xml:space="preserve">	118-2022-10-102143-00</t>
  </si>
  <si>
    <t>Todo ok</t>
  </si>
  <si>
    <t>MF-243/21</t>
  </si>
  <si>
    <t>4600019256</t>
  </si>
  <si>
    <t>BREVIK</t>
  </si>
  <si>
    <t>NORUEGA</t>
  </si>
  <si>
    <t>MF-244A/21</t>
  </si>
  <si>
    <t>L210229/ 4600019342</t>
  </si>
  <si>
    <t>F200-43233</t>
  </si>
  <si>
    <t>HEROYA / NORWAY</t>
  </si>
  <si>
    <t>MF-244B/21</t>
  </si>
  <si>
    <t>F200-43229</t>
  </si>
  <si>
    <t>MF-244C/21</t>
  </si>
  <si>
    <t>L210229/4600019342</t>
  </si>
  <si>
    <t>F200-43228</t>
  </si>
  <si>
    <t>MF-244D/21</t>
  </si>
  <si>
    <t>F200-43236</t>
  </si>
  <si>
    <t>MF-244E/21</t>
  </si>
  <si>
    <t>F200-43230</t>
  </si>
  <si>
    <t>MF-245A/21</t>
  </si>
  <si>
    <t>L210229/4600019341</t>
  </si>
  <si>
    <t>F200-43235</t>
  </si>
  <si>
    <t>MF-245B/21</t>
  </si>
  <si>
    <t>F200-43232</t>
  </si>
  <si>
    <t>SAL 2</t>
  </si>
  <si>
    <t>MF-245C/21</t>
  </si>
  <si>
    <t>F200-43231</t>
  </si>
  <si>
    <t>MF-245D/21</t>
  </si>
  <si>
    <t>F200-43234</t>
  </si>
  <si>
    <t>MF-246/21</t>
  </si>
  <si>
    <t>S5000738</t>
  </si>
  <si>
    <t>5000862</t>
  </si>
  <si>
    <t>ROMERO</t>
  </si>
  <si>
    <t>MW11TC12M</t>
  </si>
  <si>
    <t xml:space="preserve">XINGANG / CHINA </t>
  </si>
  <si>
    <t>118-2022-10-074133-01-2-00</t>
  </si>
  <si>
    <t>MF-247.1/21</t>
  </si>
  <si>
    <t>21JEQ003</t>
  </si>
  <si>
    <t>TIANJIN</t>
  </si>
  <si>
    <t>INSPECCION EN ORIGEN</t>
  </si>
  <si>
    <t>MF-247.2/21</t>
  </si>
  <si>
    <t>MF-248/21</t>
  </si>
  <si>
    <t>MF-249/21</t>
  </si>
  <si>
    <t>MF-250.1/21</t>
  </si>
  <si>
    <t>4600019287</t>
  </si>
  <si>
    <t>F200-43247</t>
  </si>
  <si>
    <t>HLCUBO2211166018</t>
  </si>
  <si>
    <t xml:space="preserve"> GUAYAQUIL EXPRESS </t>
  </si>
  <si>
    <t>MF-250.2/21</t>
  </si>
  <si>
    <t>F200-43249</t>
  </si>
  <si>
    <t>HLCUBO2211247810</t>
  </si>
  <si>
    <t>MF-250.3/21</t>
  </si>
  <si>
    <t>F200-43250</t>
  </si>
  <si>
    <t>HLCUBO2211247853</t>
  </si>
  <si>
    <t xml:space="preserve"> DIMITRIS C </t>
  </si>
  <si>
    <t>MF-250.4/21</t>
  </si>
  <si>
    <t>F200-43261</t>
  </si>
  <si>
    <t>HLCUBO2211247897</t>
  </si>
  <si>
    <t xml:space="preserve">	046-2022-10-000275-00</t>
  </si>
  <si>
    <t>MF-251.1/21</t>
  </si>
  <si>
    <t>4600019286</t>
  </si>
  <si>
    <t>F200-43238</t>
  </si>
  <si>
    <t>BGA0308127</t>
  </si>
  <si>
    <t>MF-251.2/21</t>
  </si>
  <si>
    <t>F200-43242</t>
  </si>
  <si>
    <t>BGA0308128</t>
  </si>
  <si>
    <t>MF-251.3/21</t>
  </si>
  <si>
    <t>F200-43246</t>
  </si>
  <si>
    <t>BGA0308129</t>
  </si>
  <si>
    <t xml:space="preserve"> CMA CGM OHIO </t>
  </si>
  <si>
    <t>MF-251.4/21</t>
  </si>
  <si>
    <t>F200-43248</t>
  </si>
  <si>
    <t>BGA0308130</t>
  </si>
  <si>
    <t>MF-252/21</t>
  </si>
  <si>
    <t>4600019285</t>
  </si>
  <si>
    <t>F200-43243</t>
  </si>
  <si>
    <t>HLCUBO2211115270</t>
  </si>
  <si>
    <t>MF-253/21</t>
  </si>
  <si>
    <t>4600019258</t>
  </si>
  <si>
    <t>F200-43237</t>
  </si>
  <si>
    <t>BGA0308126</t>
  </si>
  <si>
    <t>MF-254.1/21</t>
  </si>
  <si>
    <t>4600019259</t>
  </si>
  <si>
    <t>F200-43241</t>
  </si>
  <si>
    <t>HLCUBO2211115280</t>
  </si>
  <si>
    <t>MF-254.2/21</t>
  </si>
  <si>
    <t>F200-43267</t>
  </si>
  <si>
    <t xml:space="preserve">HLCUBO2220217195    </t>
  </si>
  <si>
    <t xml:space="preserve">	046-2022-10-000483-00</t>
  </si>
  <si>
    <t>MF-255/21</t>
  </si>
  <si>
    <t>2H NOV - 1H DIC '21</t>
  </si>
  <si>
    <t>anulada : 8000001703</t>
  </si>
  <si>
    <t>MF-256.1/21</t>
  </si>
  <si>
    <t>MF-256.2.1/21</t>
  </si>
  <si>
    <t>51531PRE</t>
  </si>
  <si>
    <t xml:space="preserve">QTJCLL57 </t>
  </si>
  <si>
    <t>118-2022-10-121298-00</t>
  </si>
  <si>
    <t>MF-256.2.2/21</t>
  </si>
  <si>
    <t xml:space="preserve">QTJCLL66 </t>
  </si>
  <si>
    <t>118-2022-10-121355-00</t>
  </si>
  <si>
    <t>3 HORAS EXTRAS PARA LA RECEPCION POR DEMORA EN APM. TOTAL PEN 255.00</t>
  </si>
  <si>
    <t>MF-256.2.3/21</t>
  </si>
  <si>
    <t>MF-257A/21</t>
  </si>
  <si>
    <t>TGOA21SA061DEC</t>
  </si>
  <si>
    <t>TGOA-AS-220109-E</t>
  </si>
  <si>
    <t>GE015WDZJG01-E</t>
  </si>
  <si>
    <t>GW ELENI</t>
  </si>
  <si>
    <t>046-2022-10-000319-00</t>
  </si>
  <si>
    <t>MF-257B/21</t>
  </si>
  <si>
    <t>TGOA-AS-220109-F</t>
  </si>
  <si>
    <t>GE015WDZJG01-F</t>
  </si>
  <si>
    <t xml:space="preserve">	082-2022-10-000031-00</t>
  </si>
  <si>
    <t>MF-257C/21</t>
  </si>
  <si>
    <t>TGOA-AS-220109-G</t>
  </si>
  <si>
    <t>GE015WDZJG01-G</t>
  </si>
  <si>
    <t xml:space="preserve">	118-2022-10-058656-00</t>
  </si>
  <si>
    <t>MF-257D/21</t>
  </si>
  <si>
    <t>TGOA-AS-220109-H</t>
  </si>
  <si>
    <t>GE015WDZJG01-H</t>
  </si>
  <si>
    <t>145-2022-10-000156-00</t>
  </si>
  <si>
    <t>MF-258A/21</t>
  </si>
  <si>
    <t>TGOA-GAS-220109-E</t>
  </si>
  <si>
    <t>GE015YTEZJG06E</t>
  </si>
  <si>
    <t xml:space="preserve">	046-2022-10-000317-00</t>
  </si>
  <si>
    <t>MF-258B/21</t>
  </si>
  <si>
    <t>TGOA-GAS-220109-F</t>
  </si>
  <si>
    <t>GE015YTEZJG06F</t>
  </si>
  <si>
    <t xml:space="preserve">	118-2022-10-058657-00</t>
  </si>
  <si>
    <t>MF-258C/21</t>
  </si>
  <si>
    <t>TGOA-GAS-220109-G</t>
  </si>
  <si>
    <t>GE015YTEZJG06G</t>
  </si>
  <si>
    <t xml:space="preserve"> :	145-2022-10-000157-00</t>
  </si>
  <si>
    <t>MF-259/21</t>
  </si>
  <si>
    <t>SG-MNL-12329-42</t>
  </si>
  <si>
    <t>Y08005XGG055</t>
  </si>
  <si>
    <t>127-2022-10-000086-00</t>
  </si>
  <si>
    <t>MF-260.1/21</t>
  </si>
  <si>
    <t>SG-MSL-12329-43</t>
  </si>
  <si>
    <t>SG-MSL-12329-43A</t>
  </si>
  <si>
    <t>Y08005XGG111</t>
  </si>
  <si>
    <t xml:space="preserve">	127-2022-10-000087-00</t>
  </si>
  <si>
    <t>MF-260.2/21</t>
  </si>
  <si>
    <t>SG-MSL-12329-43B</t>
  </si>
  <si>
    <t>902050XGG028</t>
  </si>
  <si>
    <t>GLOBAL SPLENDOUR</t>
  </si>
  <si>
    <t>127-2022-10-000194-00</t>
  </si>
  <si>
    <t>MF-261A/21</t>
  </si>
  <si>
    <t>2021-849</t>
  </si>
  <si>
    <t>S5000748</t>
  </si>
  <si>
    <t>5000924</t>
  </si>
  <si>
    <t>ENERO - FEBRERO 22'</t>
  </si>
  <si>
    <t>SUSA-1</t>
  </si>
  <si>
    <t>SUAO</t>
  </si>
  <si>
    <t>TAIWAN</t>
  </si>
  <si>
    <t>MV OBROVAC</t>
  </si>
  <si>
    <t>CANOPUS</t>
  </si>
  <si>
    <t>082-2022-10-000098-01-4-00</t>
  </si>
  <si>
    <t xml:space="preserve">SADA DD </t>
  </si>
  <si>
    <t>Limpieza de bodega USD 538.41 (prorratear con MF-010/22)</t>
  </si>
  <si>
    <t>MF-261B/21</t>
  </si>
  <si>
    <t>5000923</t>
  </si>
  <si>
    <t>SUCA-1</t>
  </si>
  <si>
    <t>127-2022-10-000404-01-1-00</t>
  </si>
  <si>
    <t>Costo de desconsolidación por PEN 5/TM?. ANULAR OC 8000001894</t>
  </si>
  <si>
    <t>MF-262/21</t>
  </si>
  <si>
    <t xml:space="preserve">PHOSAGRO </t>
  </si>
  <si>
    <t>PAT_EQUILIBRA PERU_2017-320</t>
  </si>
  <si>
    <t>22CH-40100138</t>
  </si>
  <si>
    <t>2H DICIEMBRE '21</t>
  </si>
  <si>
    <t>MAEU913447694</t>
  </si>
  <si>
    <t>VAYENGA MAERSK</t>
  </si>
  <si>
    <t>118-2022-10-053609-00</t>
  </si>
  <si>
    <t>MF-263/21</t>
  </si>
  <si>
    <t>S5000743</t>
  </si>
  <si>
    <t>20210695</t>
  </si>
  <si>
    <t>2H DIC - ENE '22</t>
  </si>
  <si>
    <t>EM3CL-1113024</t>
  </si>
  <si>
    <t>MF-264A/21</t>
  </si>
  <si>
    <t>S-02102672</t>
  </si>
  <si>
    <t>I-38461</t>
  </si>
  <si>
    <t xml:space="preserve">2H NOV- 1H DIC </t>
  </si>
  <si>
    <t xml:space="preserve">MV EXPLORER AFRICA </t>
  </si>
  <si>
    <t>MF-264B/21</t>
  </si>
  <si>
    <t>I-38462</t>
  </si>
  <si>
    <t>MF-265A.1/21</t>
  </si>
  <si>
    <t>S-02102673</t>
  </si>
  <si>
    <t>I-38472</t>
  </si>
  <si>
    <t>MF-265A.2/21</t>
  </si>
  <si>
    <t>I-38473</t>
  </si>
  <si>
    <t>MF-265B/21</t>
  </si>
  <si>
    <t>I-38474</t>
  </si>
  <si>
    <t>MF-266/21</t>
  </si>
  <si>
    <t>ALGARIUM 10L BIDON</t>
  </si>
  <si>
    <t>C&amp;B AGRI ENTERPRISE LTD</t>
  </si>
  <si>
    <t>INV220010</t>
  </si>
  <si>
    <t>ALGARIUM</t>
  </si>
  <si>
    <t>DUBLIN</t>
  </si>
  <si>
    <t>IRLANDA</t>
  </si>
  <si>
    <t>VANGUARD LOGISTICS SERVICES PERU</t>
  </si>
  <si>
    <t>118-2022-10-080674-00</t>
  </si>
  <si>
    <t>MF-267/21</t>
  </si>
  <si>
    <t>YARAVITA CROP BOOST x 1 LT</t>
  </si>
  <si>
    <t>4600019477</t>
  </si>
  <si>
    <t>POCKLINGTON</t>
  </si>
  <si>
    <t>REINO UNIDO</t>
  </si>
  <si>
    <t>CMA CGM CARL ANTOINE</t>
  </si>
  <si>
    <t>MF-268/21</t>
  </si>
  <si>
    <t>YARAVITA CROP BOOST x 10 LT</t>
  </si>
  <si>
    <t>MF-269/21</t>
  </si>
  <si>
    <t>YARAVITA BUD BUILDER x 10 LT</t>
  </si>
  <si>
    <t>MUESTRA 4/21</t>
  </si>
  <si>
    <t>100866</t>
  </si>
  <si>
    <t>35G3TZ333GD</t>
  </si>
  <si>
    <t>UPS</t>
  </si>
  <si>
    <t>MF-270A/21</t>
  </si>
  <si>
    <t>2022-137</t>
  </si>
  <si>
    <t>4600019404</t>
  </si>
  <si>
    <t>F200-43283</t>
  </si>
  <si>
    <t>10-30-10</t>
  </si>
  <si>
    <t>HLCUBO2220216974</t>
  </si>
  <si>
    <t>COLOMBIA</t>
  </si>
  <si>
    <t>145-2022-10-000282-01-1-00</t>
  </si>
  <si>
    <r>
      <t xml:space="preserve">Pte: Carta aclaratoria COA. OC anulada </t>
    </r>
    <r>
      <rPr>
        <b/>
        <sz val="8"/>
        <color rgb="FFD60093"/>
        <rFont val="Arial"/>
        <family val="2"/>
      </rPr>
      <t>8000001763</t>
    </r>
  </si>
  <si>
    <t>MF-270B/21</t>
  </si>
  <si>
    <t>4600019405</t>
  </si>
  <si>
    <t>F200-43252</t>
  </si>
  <si>
    <t>BGA0314882</t>
  </si>
  <si>
    <t>118-2022-10-034900-00</t>
  </si>
  <si>
    <t>MF-270C/21</t>
  </si>
  <si>
    <t>F200-43254</t>
  </si>
  <si>
    <t>HLCUBO2211247960</t>
  </si>
  <si>
    <t>118-2022-10-035014-00</t>
  </si>
  <si>
    <t>MF-271A/21</t>
  </si>
  <si>
    <t>4600019464</t>
  </si>
  <si>
    <t>F200-43266</t>
  </si>
  <si>
    <t>HLCUBO2220158670</t>
  </si>
  <si>
    <t xml:space="preserve">	046-2022-10-000418-00</t>
  </si>
  <si>
    <t>MF-271B/21</t>
  </si>
  <si>
    <t>4600019463</t>
  </si>
  <si>
    <t>F200-43263</t>
  </si>
  <si>
    <t>HLCUBO2220110629</t>
  </si>
  <si>
    <t>145-2022-10-000129-00</t>
  </si>
  <si>
    <t>MF-272A/21</t>
  </si>
  <si>
    <t>2021-894</t>
  </si>
  <si>
    <t>Al-Afaq for Agricultural Materials Trade Company</t>
  </si>
  <si>
    <t>L/C</t>
  </si>
  <si>
    <t>2/2022</t>
  </si>
  <si>
    <t>Bidones 25 kg</t>
  </si>
  <si>
    <t>CDC0132497</t>
  </si>
  <si>
    <t>AQABA</t>
  </si>
  <si>
    <t>JORDANIA</t>
  </si>
  <si>
    <t>CONTSHIP VIE</t>
  </si>
  <si>
    <t>MF-272B/21</t>
  </si>
  <si>
    <t>4/2022</t>
  </si>
  <si>
    <t>CDC0132746</t>
  </si>
  <si>
    <t>CMA CGM OTELLO</t>
  </si>
  <si>
    <t>Provisionar inspeccion SGS por USD 2,340 + IGV</t>
  </si>
  <si>
    <t>MF-272C/21</t>
  </si>
  <si>
    <t>CDC0133366</t>
  </si>
  <si>
    <t>NINGBO EXPRESS</t>
  </si>
  <si>
    <t>MF-272D/21</t>
  </si>
  <si>
    <t>MF-272E/21</t>
  </si>
  <si>
    <t>MF-273A/21</t>
  </si>
  <si>
    <t>KINGENTA</t>
  </si>
  <si>
    <t>KINGENTA-20211210TA</t>
  </si>
  <si>
    <t>CARGA SUELTA</t>
  </si>
  <si>
    <t xml:space="preserve">HLCUTA12112BCVK1 </t>
  </si>
  <si>
    <t>LIANYUNGANG</t>
  </si>
  <si>
    <t>SONGYUNHE</t>
  </si>
  <si>
    <t>SEASPAN BRILLIANCE</t>
  </si>
  <si>
    <t>118-2022-10-097365-00</t>
  </si>
  <si>
    <t>SUCE 2022168463 / Exp. 202200076629 - APROBADO. Daño de CNT por USD 29.50</t>
  </si>
  <si>
    <t>MF-273B/21</t>
  </si>
  <si>
    <t>2021-892</t>
  </si>
  <si>
    <t>KINGENTA-20211210TB</t>
  </si>
  <si>
    <t xml:space="preserve">HLCUTA12201FOFO6 </t>
  </si>
  <si>
    <t xml:space="preserve">LIANYUNGANG </t>
  </si>
  <si>
    <t>KUALA LUMPUR EXPRESS</t>
  </si>
  <si>
    <t>118-2022-10-114110-01-4-00</t>
  </si>
  <si>
    <t>SUCE 2022220933 / EXP 202200104891 - APROBADO/ Daño de CNT por USD 153.30 + IGV</t>
  </si>
  <si>
    <t>MF-273C/21</t>
  </si>
  <si>
    <t>KINGENTA-20211210TE</t>
  </si>
  <si>
    <t xml:space="preserve">YONGYUE11 </t>
  </si>
  <si>
    <t xml:space="preserve">CORNELIUS MAERSK </t>
  </si>
  <si>
    <t>COLUMBUS</t>
  </si>
  <si>
    <t>118-2022-10-128044-01-9-00</t>
  </si>
  <si>
    <t>SUCE 2022211285 / Exp. 202200099975 - APROBADO</t>
  </si>
  <si>
    <t>MF-273D/21</t>
  </si>
  <si>
    <t>KINGENTA-20211210TC/D</t>
  </si>
  <si>
    <t>HLCUTA12202FHFS6</t>
  </si>
  <si>
    <t xml:space="preserve"> EASLINE KWANGYANG</t>
  </si>
  <si>
    <t>118-2022-10-134041-01-8-00</t>
  </si>
  <si>
    <t>SUCE 2022220934 / EXP 202200104892 - APROBADO / Daño de CNT por USD 93.90</t>
  </si>
  <si>
    <t>MF-274/21</t>
  </si>
  <si>
    <t>S-02102736</t>
  </si>
  <si>
    <t>39895</t>
  </si>
  <si>
    <t>93.31</t>
  </si>
  <si>
    <t>FEBRERO - MARZO '22</t>
  </si>
  <si>
    <t>SUDU22051AZ1194T</t>
  </si>
  <si>
    <t>MANZANILLO</t>
  </si>
  <si>
    <t>RANSA /EQUILIBRA</t>
  </si>
  <si>
    <t>MF-274.1/21</t>
  </si>
  <si>
    <t>MF-275/21</t>
  </si>
  <si>
    <t>SG-MNL-12329-44</t>
  </si>
  <si>
    <t>902050XGG072</t>
  </si>
  <si>
    <t>127-2022-10-000193-00</t>
  </si>
  <si>
    <t>MF-276.1/21</t>
  </si>
  <si>
    <t>21JEQ005</t>
  </si>
  <si>
    <t>GLOBAL ANDES</t>
  </si>
  <si>
    <t>MF-276.2/21</t>
  </si>
  <si>
    <t>2021-898</t>
  </si>
  <si>
    <t>MF-276.3/21</t>
  </si>
  <si>
    <t>MF-277/21</t>
  </si>
  <si>
    <t>4600019194 / L210256C</t>
  </si>
  <si>
    <t>F200-43251</t>
  </si>
  <si>
    <t>HLCUANR211155214</t>
  </si>
  <si>
    <t>145-2022-10-000080-00</t>
  </si>
  <si>
    <t>MF-278/21</t>
  </si>
  <si>
    <t>PS-13921</t>
  </si>
  <si>
    <t>301002131</t>
  </si>
  <si>
    <t>HLCUANR220222086</t>
  </si>
  <si>
    <t>118-2022-10-116488-01-4-00</t>
  </si>
  <si>
    <t xml:space="preserve">ANULAR OC: 8000001774 / Daño de CNT por USD 59.00 </t>
  </si>
  <si>
    <t>MF-278.1/21</t>
  </si>
  <si>
    <t>118-2022-10-129548-01-0-00</t>
  </si>
  <si>
    <t>1 CONTENEDOR RESTANTE</t>
  </si>
  <si>
    <t>NITRATO CALCIO POLVO SOL</t>
  </si>
  <si>
    <t>21JEQ004</t>
  </si>
  <si>
    <t>NEUTRAL</t>
  </si>
  <si>
    <t>MF-280/21</t>
  </si>
  <si>
    <t>N° 117</t>
  </si>
  <si>
    <t>TRANSPORTES Y LOGISTICA ALPORT LIMITADA</t>
  </si>
  <si>
    <t xml:space="preserve">	145-2022-10-000089-00</t>
  </si>
  <si>
    <t>MF-281/21</t>
  </si>
  <si>
    <t>4600019430</t>
  </si>
  <si>
    <t>F200-43265</t>
  </si>
  <si>
    <t>HLCUBO2220158648</t>
  </si>
  <si>
    <t xml:space="preserve">	046-2022-10-000420-00</t>
  </si>
  <si>
    <t>MF-282/21</t>
  </si>
  <si>
    <t>4600019431</t>
  </si>
  <si>
    <t>F200-43262</t>
  </si>
  <si>
    <t>BGA0314676</t>
  </si>
  <si>
    <t xml:space="preserve">	118-2022-10-044930-00</t>
  </si>
  <si>
    <t>MF-283/21</t>
  </si>
  <si>
    <t>4600019432</t>
  </si>
  <si>
    <t>F200-43264</t>
  </si>
  <si>
    <t>MF-284A/21</t>
  </si>
  <si>
    <t>TGOA-MGN-220109-1</t>
  </si>
  <si>
    <t>GE015YTEZJG04</t>
  </si>
  <si>
    <t>046-2022-10-000318-00</t>
  </si>
  <si>
    <t>MF-284B/21</t>
  </si>
  <si>
    <t>TGOA-MGN-220109-2</t>
  </si>
  <si>
    <t>GE015YTEZJG03</t>
  </si>
  <si>
    <t xml:space="preserve">	082-2022-10-000032-00</t>
  </si>
  <si>
    <t>MF-285A/21</t>
  </si>
  <si>
    <t>TGOA-FE-220109-1</t>
  </si>
  <si>
    <t>GE015YTEZJG02</t>
  </si>
  <si>
    <t>046-2022-10-000320-00</t>
  </si>
  <si>
    <t>MF-285B/21</t>
  </si>
  <si>
    <t>TGOA-FE-220109-2</t>
  </si>
  <si>
    <t>GE015YTEZJG01</t>
  </si>
  <si>
    <t>082-2022-10-000033-00</t>
  </si>
  <si>
    <t>MF-286/21</t>
  </si>
  <si>
    <t>MF-287/21</t>
  </si>
  <si>
    <t>2022-48</t>
  </si>
  <si>
    <t>4600019522</t>
  </si>
  <si>
    <t>F200-43285</t>
  </si>
  <si>
    <t>HLCUANR2201AQNU8</t>
  </si>
  <si>
    <t>TPE</t>
  </si>
  <si>
    <t>046-2022-10-000837-01-5-00</t>
  </si>
  <si>
    <t>Todo ok. 14 SE</t>
  </si>
  <si>
    <t>MF-288/21</t>
  </si>
  <si>
    <t>2022-49</t>
  </si>
  <si>
    <t>4600019523</t>
  </si>
  <si>
    <t>F200-43284</t>
  </si>
  <si>
    <t>HLCUANR2201AQOB5</t>
  </si>
  <si>
    <t>118-2022-10-109757-01-3-00</t>
  </si>
  <si>
    <t>Todo ok. 14SE</t>
  </si>
  <si>
    <t>MF-289/21</t>
  </si>
  <si>
    <t>2022-50</t>
  </si>
  <si>
    <t>4600019524</t>
  </si>
  <si>
    <t>F200-43302</t>
  </si>
  <si>
    <t>FEBRERO '22</t>
  </si>
  <si>
    <t>HLCUANR220249910</t>
  </si>
  <si>
    <t xml:space="preserve">CMA CGM OHIO </t>
  </si>
  <si>
    <t>046-2022-10-001223-01-0-00</t>
  </si>
  <si>
    <t>NACIONALIZADA</t>
  </si>
  <si>
    <t>MF-290/21</t>
  </si>
  <si>
    <t>4600019525</t>
  </si>
  <si>
    <t>F200-43288</t>
  </si>
  <si>
    <t>HLCUANR220249900</t>
  </si>
  <si>
    <t>AMBERES</t>
  </si>
  <si>
    <t>118-2022-10-145681-01-3-00</t>
  </si>
  <si>
    <t>PDTE: PRECIO CIF, FACTURA, SEGURO, 12 SE..ANULAR OC 8000001887</t>
  </si>
  <si>
    <t>MF-291/21</t>
  </si>
  <si>
    <t>2022-53</t>
  </si>
  <si>
    <t>4600019526</t>
  </si>
  <si>
    <t>F200-43301</t>
  </si>
  <si>
    <t>MARZO '22</t>
  </si>
  <si>
    <t>HLCUANR220287775</t>
  </si>
  <si>
    <t>046-2022-10-001224-01-7-00</t>
  </si>
  <si>
    <t>Pte: Todo. 12 SE. Roleo de MN por estabilidad</t>
  </si>
  <si>
    <t>MF-292/21</t>
  </si>
  <si>
    <t>2022-54</t>
  </si>
  <si>
    <t>4600019527</t>
  </si>
  <si>
    <t>F200-43300</t>
  </si>
  <si>
    <t>HLCUANR220287742</t>
  </si>
  <si>
    <t>118-2022-10-154755-01-6-00</t>
  </si>
  <si>
    <t>PTE: Todo. 12 SE. Anular oc 8000001910,8000001932</t>
  </si>
  <si>
    <t>DEMORA POR DISPONIBILIDAD DE BOOKING</t>
  </si>
  <si>
    <t>MF-293A/21</t>
  </si>
  <si>
    <t>4600019505</t>
  </si>
  <si>
    <t>F200-43259</t>
  </si>
  <si>
    <t>HLCUBO2211262132</t>
  </si>
  <si>
    <t xml:space="preserve">	046-2022-10-000276-00</t>
  </si>
  <si>
    <t>MF-293B/21</t>
  </si>
  <si>
    <t>F200-43257</t>
  </si>
  <si>
    <t>HLCUBO2220110684</t>
  </si>
  <si>
    <t>046-2022-10-000277-00</t>
  </si>
  <si>
    <t>MF-294A/21</t>
  </si>
  <si>
    <t>4600019508</t>
  </si>
  <si>
    <t>F200-43256</t>
  </si>
  <si>
    <t>BGA0313547</t>
  </si>
  <si>
    <t>MF-294B/21</t>
  </si>
  <si>
    <t>F200-43253</t>
  </si>
  <si>
    <t>MF-295/21</t>
  </si>
  <si>
    <t>4600019512</t>
  </si>
  <si>
    <t>F200-43260</t>
  </si>
  <si>
    <t>HLCUBO2211269862</t>
  </si>
  <si>
    <t xml:space="preserve">	145-2022-10-000119-00</t>
  </si>
  <si>
    <t>MF-296/21</t>
  </si>
  <si>
    <t>4600019506</t>
  </si>
  <si>
    <t>F200-43268</t>
  </si>
  <si>
    <t>HLCUBO2220167188</t>
  </si>
  <si>
    <t>046-2022-10-000494-00</t>
  </si>
  <si>
    <t>Daño de CNT por USD 108.80</t>
  </si>
  <si>
    <t>MF-297A/21</t>
  </si>
  <si>
    <t>4600019509</t>
  </si>
  <si>
    <t>F200-43271</t>
  </si>
  <si>
    <t>BGA0319322</t>
  </si>
  <si>
    <t xml:space="preserve"> CMA CGM OHIO</t>
  </si>
  <si>
    <t>118-2022-10-077474-00</t>
  </si>
  <si>
    <t>MF-297B/21</t>
  </si>
  <si>
    <t>F200-43269</t>
  </si>
  <si>
    <t>BGA0318123</t>
  </si>
  <si>
    <t>118-2022-10-072363-00</t>
  </si>
  <si>
    <t>MF-298/21</t>
  </si>
  <si>
    <t>4600019513</t>
  </si>
  <si>
    <t>F200-43272</t>
  </si>
  <si>
    <t>HLCUBO2220167904</t>
  </si>
  <si>
    <t>046-2022-10-000552-00</t>
  </si>
  <si>
    <t>MF-299A/21</t>
  </si>
  <si>
    <t>2022-46</t>
  </si>
  <si>
    <t>4600019507</t>
  </si>
  <si>
    <t>F200-43279</t>
  </si>
  <si>
    <t>HLCUBO2220212867</t>
  </si>
  <si>
    <t>046-2022-10-000697-00</t>
  </si>
  <si>
    <t>MF-299B/21</t>
  </si>
  <si>
    <t>F200-43281</t>
  </si>
  <si>
    <t>HLCUBO2220167926</t>
  </si>
  <si>
    <t xml:space="preserve">	046-2022-10-000773-00</t>
  </si>
  <si>
    <t>MF-299C/21</t>
  </si>
  <si>
    <t>F200-43286</t>
  </si>
  <si>
    <t>HLCUBO2220354219</t>
  </si>
  <si>
    <t>046-2022-10-000980-01-2-00</t>
  </si>
  <si>
    <t xml:space="preserve">Demora en liberación de BL (fds). Daño de CNT por USD 29.50 </t>
  </si>
  <si>
    <t>MF-299D/21</t>
  </si>
  <si>
    <t>F200-43287</t>
  </si>
  <si>
    <t>HLCUBO2220354190</t>
  </si>
  <si>
    <t>046-2022-10-000981-01-9-00</t>
  </si>
  <si>
    <t>MF-300A/21</t>
  </si>
  <si>
    <t>2022-47</t>
  </si>
  <si>
    <t>4600019511</t>
  </si>
  <si>
    <t>F200-43282</t>
  </si>
  <si>
    <t>HLCUBO2220167524</t>
  </si>
  <si>
    <t>Todo ok. 1/8 CNTs descargados., OC anulada 8000001867, 8000001919</t>
  </si>
  <si>
    <t>MF-300A.1/21</t>
  </si>
  <si>
    <t xml:space="preserve">CARTAGENA EXPRESS   </t>
  </si>
  <si>
    <t>118-2022-10-131910-01-5-00</t>
  </si>
  <si>
    <t>Todo ok. 7 CNTs restantes. Daño de CNT por USD USD 274.79 (posterior al cierre de provisión).</t>
  </si>
  <si>
    <t>MF-300B/21</t>
  </si>
  <si>
    <t xml:space="preserve"> F200-43277</t>
  </si>
  <si>
    <t>BGA0320028</t>
  </si>
  <si>
    <t>118-2022-10-102150-00</t>
  </si>
  <si>
    <t>MF-301/21</t>
  </si>
  <si>
    <t>4600019514</t>
  </si>
  <si>
    <t>F200-43274</t>
  </si>
  <si>
    <t>HLCUBO2220217034</t>
  </si>
  <si>
    <t xml:space="preserve">	046-2022-10-000612-00</t>
  </si>
  <si>
    <t>Daño de CNT por USD 29.50</t>
  </si>
  <si>
    <t>MF-302/21</t>
  </si>
  <si>
    <t>2022-55</t>
  </si>
  <si>
    <t>CLORURO DE CALCIO</t>
  </si>
  <si>
    <t>S5000783</t>
  </si>
  <si>
    <t>5000940</t>
  </si>
  <si>
    <t>MEDUAF258688</t>
  </si>
  <si>
    <t>ALEXANDRIA</t>
  </si>
  <si>
    <t>EGYPTO</t>
  </si>
  <si>
    <t>MSC GIANINA</t>
  </si>
  <si>
    <t xml:space="preserve"> JEPPESEN MAERSK</t>
  </si>
  <si>
    <t>MF-001A/22</t>
  </si>
  <si>
    <t xml:space="preserve"> S5000787 </t>
  </si>
  <si>
    <t>5000917</t>
  </si>
  <si>
    <t>2H ENE - 2H MAR '22</t>
  </si>
  <si>
    <t>MEDUQE080591</t>
  </si>
  <si>
    <t>QINGDAO</t>
  </si>
  <si>
    <t>VALOR</t>
  </si>
  <si>
    <t xml:space="preserve"> JENS MAERSK</t>
  </si>
  <si>
    <t>046-2022-10-001204-01-6-00</t>
  </si>
  <si>
    <t>N° 03117-2021-SUCAMEC/GEPP</t>
  </si>
  <si>
    <t>MF-001B/22</t>
  </si>
  <si>
    <t>5000950</t>
  </si>
  <si>
    <t>MEDUQE080583</t>
  </si>
  <si>
    <t>CONGESTION EN PUERTO - ORIGEN</t>
  </si>
  <si>
    <t>MF-001C.1/22</t>
  </si>
  <si>
    <t>5000970</t>
  </si>
  <si>
    <t>MAERSK STOCKHOLM</t>
  </si>
  <si>
    <t>MF-001C.2/22</t>
  </si>
  <si>
    <t>2021-912</t>
  </si>
  <si>
    <t>5000971</t>
  </si>
  <si>
    <t>MF-001C.3/22</t>
  </si>
  <si>
    <t>5000972</t>
  </si>
  <si>
    <t>MF-001D/22</t>
  </si>
  <si>
    <t>5000969</t>
  </si>
  <si>
    <t>MF-002/22</t>
  </si>
  <si>
    <t>PAT_EQUILIBRA PERU_2022-071_A1</t>
  </si>
  <si>
    <t>22CH-40100666</t>
  </si>
  <si>
    <t>RUSIA</t>
  </si>
  <si>
    <t xml:space="preserve">MAERSK BULAN </t>
  </si>
  <si>
    <t>118-2022-10-133999-01-3-00</t>
  </si>
  <si>
    <t>Pernocte de unidades por PEN 250.00 por T. Descarga el 16/04 03AM</t>
  </si>
  <si>
    <t>MUESTRA 1/22</t>
  </si>
  <si>
    <t>ALGANACT™ EVP9 Ld</t>
  </si>
  <si>
    <t>ALGAIA R&amp;D Center</t>
  </si>
  <si>
    <t>#EQUILIBRA1221</t>
  </si>
  <si>
    <t>6 LT</t>
  </si>
  <si>
    <t>LANNILIS / FRANCIA</t>
  </si>
  <si>
    <t>MUESTRA 2/22</t>
  </si>
  <si>
    <t>ALGANACT™ EVP6 Ld</t>
  </si>
  <si>
    <t>MF-003A/22</t>
  </si>
  <si>
    <t>UKT-EQUILIBRA-2022-1</t>
  </si>
  <si>
    <t>22-01-1018-1</t>
  </si>
  <si>
    <t>MV BBC NEPTUNE</t>
  </si>
  <si>
    <t>046-2022-10-000918-01-5-00</t>
  </si>
  <si>
    <t>MF-003B/22</t>
  </si>
  <si>
    <t>22-01-1018-2</t>
  </si>
  <si>
    <t>082-2022-10-000084-01-3-00</t>
  </si>
  <si>
    <t>MF-003C/22</t>
  </si>
  <si>
    <t>2021-854</t>
  </si>
  <si>
    <t>22-01-1018-3</t>
  </si>
  <si>
    <t>ST. PETERSBURG</t>
  </si>
  <si>
    <t>118-2022-10-149043-01-1-00</t>
  </si>
  <si>
    <t>MF-004A/22</t>
  </si>
  <si>
    <t>UKT-EQUILIBRA-2022-2</t>
  </si>
  <si>
    <t>21-12-9849-1</t>
  </si>
  <si>
    <t>082-2022-10-000085-01-1-00</t>
  </si>
  <si>
    <t>MF-004B/22</t>
  </si>
  <si>
    <t>2021-856</t>
  </si>
  <si>
    <t>21-12-9849-2</t>
  </si>
  <si>
    <t>118-2022-10-149044-01-8-00</t>
  </si>
  <si>
    <t>ANULAR OC: 8000001848</t>
  </si>
  <si>
    <t>MF-005/22</t>
  </si>
  <si>
    <t xml:space="preserve">4600019194 / L210256C </t>
  </si>
  <si>
    <t>Pte: Todo. 14 SE.</t>
  </si>
  <si>
    <t>MF-006/22</t>
  </si>
  <si>
    <t>MF-007A/22</t>
  </si>
  <si>
    <t>N° 134</t>
  </si>
  <si>
    <t>ACF</t>
  </si>
  <si>
    <t>1H MARZO '22</t>
  </si>
  <si>
    <t>CG/005/2022-A</t>
  </si>
  <si>
    <t xml:space="preserve">SUCE 2022159814 / Exp. 202200072422 - APROBADO </t>
  </si>
  <si>
    <t>MF-007B/22</t>
  </si>
  <si>
    <t>2022-11</t>
  </si>
  <si>
    <t>N° 138</t>
  </si>
  <si>
    <t>145-2022-10-000235-00</t>
  </si>
  <si>
    <t xml:space="preserve">SUCE 2022167202 / Exp. 202200076104 - APROBADO </t>
  </si>
  <si>
    <t>MF-007C/22</t>
  </si>
  <si>
    <t>CG/005/2022-B</t>
  </si>
  <si>
    <t>145-2022-10-000231-00</t>
  </si>
  <si>
    <t xml:space="preserve">SUCE 2022167203 / Exp. 202200076105 - APROBADO </t>
  </si>
  <si>
    <t>MF-007D/22</t>
  </si>
  <si>
    <t>N° 142</t>
  </si>
  <si>
    <t>CG/006/2022</t>
  </si>
  <si>
    <t>145-2022-10-000232-00</t>
  </si>
  <si>
    <t>SUCE 2022167204 / Exp. 202200076106 - APROBADO</t>
  </si>
  <si>
    <t>MF-008/22</t>
  </si>
  <si>
    <t>EQUIPERU/MAGNIT/C058/2022</t>
  </si>
  <si>
    <t>MF-009/22</t>
  </si>
  <si>
    <t>SG-MNL-12329-45</t>
  </si>
  <si>
    <t>2H ABRIL '22</t>
  </si>
  <si>
    <t>MF-010/22</t>
  </si>
  <si>
    <t>S5000831</t>
  </si>
  <si>
    <t>5000926</t>
  </si>
  <si>
    <t>2H FEBRERO '22</t>
  </si>
  <si>
    <t>Limpieza de bodega USD 260.96. ANULAR OC: 8000001844</t>
  </si>
  <si>
    <t>MF-011/22</t>
  </si>
  <si>
    <t>2022-14</t>
  </si>
  <si>
    <t>4600019953</t>
  </si>
  <si>
    <t>CARTAGENA</t>
  </si>
  <si>
    <t>MF-012A/22</t>
  </si>
  <si>
    <t>2022-59</t>
  </si>
  <si>
    <t>060/2022</t>
  </si>
  <si>
    <t>177-1/2022</t>
  </si>
  <si>
    <t>YPFB</t>
  </si>
  <si>
    <t>EQU177/B</t>
  </si>
  <si>
    <t>DESAGUADERO</t>
  </si>
  <si>
    <t>BOLIVIA</t>
  </si>
  <si>
    <t>145-2022-10-000326-01-9-00</t>
  </si>
  <si>
    <t>ANULAR OC: 8000001863</t>
  </si>
  <si>
    <t>MF-012B/22</t>
  </si>
  <si>
    <t>177-2/2022</t>
  </si>
  <si>
    <t>EQU177/A</t>
  </si>
  <si>
    <t>145-2022-10-000333-01-5-00</t>
  </si>
  <si>
    <t>MF-012C/22</t>
  </si>
  <si>
    <t>177-3/2022</t>
  </si>
  <si>
    <t>EQU216/C</t>
  </si>
  <si>
    <t>145-2022-10-000338-01-7-00</t>
  </si>
  <si>
    <t>ANULAR OC: 8000001975</t>
  </si>
  <si>
    <t>MF-012D/22</t>
  </si>
  <si>
    <t>177-4/2022</t>
  </si>
  <si>
    <t>145-2022-10-000339-01-3-00</t>
  </si>
  <si>
    <t>ANULAR OC: 8000001937</t>
  </si>
  <si>
    <t>MF-012E/22</t>
  </si>
  <si>
    <t>177-5/2022</t>
  </si>
  <si>
    <t>EQU217/D</t>
  </si>
  <si>
    <t>145-2022-10-000344-01-7-00</t>
  </si>
  <si>
    <t>ANULAR OC: 8000001938</t>
  </si>
  <si>
    <t>MF-012F/22</t>
  </si>
  <si>
    <t>177-6/2022</t>
  </si>
  <si>
    <t>145-2022-10-000346-01-1-00</t>
  </si>
  <si>
    <t>ANULAR OC: 8000001939</t>
  </si>
  <si>
    <t>MF-013/22</t>
  </si>
  <si>
    <t>MF-014/22</t>
  </si>
  <si>
    <t>2022-37</t>
  </si>
  <si>
    <t>S5000848</t>
  </si>
  <si>
    <t>5000993</t>
  </si>
  <si>
    <t>TANQUE  IBC</t>
  </si>
  <si>
    <t>2H MAR - 2H ABR '22</t>
  </si>
  <si>
    <t>MEDULV425300</t>
  </si>
  <si>
    <t>LA SPEZIA</t>
  </si>
  <si>
    <t>ITALIA</t>
  </si>
  <si>
    <t xml:space="preserve"> CAPE AKRITAS</t>
  </si>
  <si>
    <t>118-2022-10-159374-01-0-00</t>
  </si>
  <si>
    <t>MF-015/22</t>
  </si>
  <si>
    <t xml:space="preserve"> 2022-60</t>
  </si>
  <si>
    <t>S-02200463</t>
  </si>
  <si>
    <t>I-39538</t>
  </si>
  <si>
    <t>AOA/COM/035/2022</t>
  </si>
  <si>
    <t>MERS EL HADJADJ JETTY / ALGERIA</t>
  </si>
  <si>
    <t>ALGERIA</t>
  </si>
  <si>
    <t>MV INGWAR SELMER</t>
  </si>
  <si>
    <t>SOUTH SHIPPING</t>
  </si>
  <si>
    <t>046-2022-10-000975-01-9-00</t>
  </si>
  <si>
    <t>Reclamo por trimado USD 0.07/TM</t>
  </si>
  <si>
    <t>MF-016/22</t>
  </si>
  <si>
    <t>2022-36</t>
  </si>
  <si>
    <t>S5000862</t>
  </si>
  <si>
    <t>ABRIL - MAYO '22</t>
  </si>
  <si>
    <t>SXHTJCLL52</t>
  </si>
  <si>
    <t>SHENG XIANG HAI</t>
  </si>
  <si>
    <t>MF-017/22</t>
  </si>
  <si>
    <t>2022-41</t>
  </si>
  <si>
    <t>S5000864</t>
  </si>
  <si>
    <t>MV GINKGO ARROW</t>
  </si>
  <si>
    <t>FALTA DE DISPONIBILIDAD DE NAVES EN ORIGEN</t>
  </si>
  <si>
    <t>MF-018/22</t>
  </si>
  <si>
    <t>2022-61</t>
  </si>
  <si>
    <t>S5000863</t>
  </si>
  <si>
    <t>MARZO - MAYO '22</t>
  </si>
  <si>
    <t>MF-019A/22</t>
  </si>
  <si>
    <t>2022-39</t>
  </si>
  <si>
    <t>EQUIPERU/CALNIT/C105/2022</t>
  </si>
  <si>
    <t>ABRIL-JUNIO '22</t>
  </si>
  <si>
    <t>MF-019B/22</t>
  </si>
  <si>
    <t>2022-38</t>
  </si>
  <si>
    <t>EQUIPERU/CALNIT/C106/2022</t>
  </si>
  <si>
    <t>MF-020A/22</t>
  </si>
  <si>
    <t>2022-62</t>
  </si>
  <si>
    <t>UREA PERLADA (MITSUI)</t>
  </si>
  <si>
    <t>1H ABRIL '22</t>
  </si>
  <si>
    <t>BONTANG</t>
  </si>
  <si>
    <t>INDONESIA</t>
  </si>
  <si>
    <t>CL DIYIN HE</t>
  </si>
  <si>
    <t>MF-020B/22</t>
  </si>
  <si>
    <t>MF-020C/22</t>
  </si>
  <si>
    <t>MF-020D/22</t>
  </si>
  <si>
    <t>MF-021A/22</t>
  </si>
  <si>
    <t>2022-63</t>
  </si>
  <si>
    <t>4600019869</t>
  </si>
  <si>
    <t>F200-43298</t>
  </si>
  <si>
    <t>ABRIL '22</t>
  </si>
  <si>
    <t>HLCUBO2220434755</t>
  </si>
  <si>
    <t>046-2022-10-001195-01-7-00</t>
  </si>
  <si>
    <t>MF-021B/22</t>
  </si>
  <si>
    <t>F200-43299</t>
  </si>
  <si>
    <t>HLCUBO2220367280</t>
  </si>
  <si>
    <t>046-2022-10-001196-01-3-00</t>
  </si>
  <si>
    <t>MF-022/22</t>
  </si>
  <si>
    <t>2022-64</t>
  </si>
  <si>
    <t>4600019870</t>
  </si>
  <si>
    <t>HLCUANR220446327</t>
  </si>
  <si>
    <t>MF-023A/22</t>
  </si>
  <si>
    <t>2022-66</t>
  </si>
  <si>
    <t>088/2022</t>
  </si>
  <si>
    <t>#192-1/2022</t>
  </si>
  <si>
    <t>2H ABRIL - MAYO</t>
  </si>
  <si>
    <t>ANULAR OC: 8000001940</t>
  </si>
  <si>
    <t>MF-023B/22</t>
  </si>
  <si>
    <t>#192-2/2022</t>
  </si>
  <si>
    <t>ANULAR OC: 8000001941</t>
  </si>
  <si>
    <t>MF-023C/22</t>
  </si>
  <si>
    <t>ANULAR OC: 8000001942</t>
  </si>
  <si>
    <t>MF-023D/22</t>
  </si>
  <si>
    <t>ANULAR OC: 8000001943</t>
  </si>
  <si>
    <t>MF-024/22</t>
  </si>
  <si>
    <t>2022-31</t>
  </si>
  <si>
    <t>SULFATO DE MANGANESO MONOHIDRATADO x 25kg</t>
  </si>
  <si>
    <t>MF-025/22</t>
  </si>
  <si>
    <t>2022-95</t>
  </si>
  <si>
    <t>NITRATO DE SULFATO DE AMONIO</t>
  </si>
  <si>
    <t>S5000875</t>
  </si>
  <si>
    <t>XINGANG</t>
  </si>
  <si>
    <t>MF-026/22</t>
  </si>
  <si>
    <t>2022-106</t>
  </si>
  <si>
    <t>MF-027/22</t>
  </si>
  <si>
    <t>2021-107</t>
  </si>
  <si>
    <t>4600019980</t>
  </si>
  <si>
    <t>YARAMILA TRISTAR NKP 15-15-15</t>
  </si>
  <si>
    <t>MF-028/22</t>
  </si>
  <si>
    <t>2021-108</t>
  </si>
  <si>
    <t>4600019979</t>
  </si>
  <si>
    <t>MAYO '22</t>
  </si>
  <si>
    <t>MF-029A/22</t>
  </si>
  <si>
    <t>2022-71</t>
  </si>
  <si>
    <t>N° 192</t>
  </si>
  <si>
    <t>2H MAYO '22</t>
  </si>
  <si>
    <t>IQUIQUE</t>
  </si>
  <si>
    <t>CHILE</t>
  </si>
  <si>
    <t>145-2022-10-000364-01-8-00</t>
  </si>
  <si>
    <t>MF-029B/22</t>
  </si>
  <si>
    <t>N° 193</t>
  </si>
  <si>
    <t>145-2022-10-000373-01-7-00</t>
  </si>
  <si>
    <t>MF-029D/22</t>
  </si>
  <si>
    <t>MF-029G/22</t>
  </si>
  <si>
    <t>MF-029H/22</t>
  </si>
  <si>
    <t>MF-029I/22</t>
  </si>
  <si>
    <t>MF-029J/22</t>
  </si>
  <si>
    <t>MF-029K/22</t>
  </si>
  <si>
    <t>MF-029L/22</t>
  </si>
  <si>
    <t>MF-029M/22</t>
  </si>
  <si>
    <t>MF-029N/22</t>
  </si>
  <si>
    <t>MF-029O/22</t>
  </si>
  <si>
    <t>MF-030/22</t>
  </si>
  <si>
    <t>2022-81</t>
  </si>
  <si>
    <t>S5000878</t>
  </si>
  <si>
    <t>MAY - 2H JUN '22</t>
  </si>
  <si>
    <t>MF-031/22</t>
  </si>
  <si>
    <t>2022-79</t>
  </si>
  <si>
    <t>S5000879</t>
  </si>
  <si>
    <t>JUNIO '22</t>
  </si>
  <si>
    <t>MF-032/22</t>
  </si>
  <si>
    <t>2022-100</t>
  </si>
  <si>
    <t>SG-MSL-12329-46</t>
  </si>
  <si>
    <t>MF-033/22</t>
  </si>
  <si>
    <t>2022-114</t>
  </si>
  <si>
    <t>S5000880</t>
  </si>
  <si>
    <t>MAYO -JUNIO '22</t>
  </si>
  <si>
    <t>MF-034/22</t>
  </si>
  <si>
    <t>2022-73</t>
  </si>
  <si>
    <t>SG-ZSL-12329-47</t>
  </si>
  <si>
    <t>MF-035/22</t>
  </si>
  <si>
    <t>2022-75</t>
  </si>
  <si>
    <t>S5000882</t>
  </si>
  <si>
    <t>MAYO - JUNIO '22</t>
  </si>
  <si>
    <t>MF-036A/22</t>
  </si>
  <si>
    <t>2022-120</t>
  </si>
  <si>
    <t xml:space="preserve">S5000888 </t>
  </si>
  <si>
    <t>JUNIO - JULIO '22</t>
  </si>
  <si>
    <t>MF-037A/22</t>
  </si>
  <si>
    <t>2022-116</t>
  </si>
  <si>
    <t>S-02200754</t>
  </si>
  <si>
    <t>I-40098</t>
  </si>
  <si>
    <t>THIENG LIENG</t>
  </si>
  <si>
    <t>VIETNAM</t>
  </si>
  <si>
    <t>MF-037B/22</t>
  </si>
  <si>
    <t>I-40099</t>
  </si>
  <si>
    <t>MF-037C/22</t>
  </si>
  <si>
    <t>I-40100</t>
  </si>
  <si>
    <t>MF-037D/22</t>
  </si>
  <si>
    <t>I-40101</t>
  </si>
  <si>
    <t>MF-038A/22</t>
  </si>
  <si>
    <t>2022-78</t>
  </si>
  <si>
    <t xml:space="preserve">ROTEM AMFERT NEGEV LTD </t>
  </si>
  <si>
    <t>ISRAEL</t>
  </si>
  <si>
    <t>MF-038B/22</t>
  </si>
  <si>
    <t>MF-039/22</t>
  </si>
  <si>
    <t>2022-82</t>
  </si>
  <si>
    <t>K+S Minerals and Agriculture (Panama) S.A.</t>
  </si>
  <si>
    <t>HAMBURGO</t>
  </si>
  <si>
    <t>ALEMANIA</t>
  </si>
  <si>
    <t>MF-040A/22</t>
  </si>
  <si>
    <t>ALGARIUM 1000L BIDON</t>
  </si>
  <si>
    <t>INV220073</t>
  </si>
  <si>
    <t>HLCUDUB220404766</t>
  </si>
  <si>
    <t>BG SAPPHIRE</t>
  </si>
  <si>
    <t>MF-040B/22</t>
  </si>
  <si>
    <t>MF-040C/22</t>
  </si>
  <si>
    <t>ALGARIUM 20L BIDON</t>
  </si>
  <si>
    <t>20 LT</t>
  </si>
  <si>
    <t>MF-041/22</t>
  </si>
  <si>
    <t>MF-042A/22</t>
  </si>
  <si>
    <t>2022-131</t>
  </si>
  <si>
    <t>4600019975</t>
  </si>
  <si>
    <t>MF-042B/22</t>
  </si>
  <si>
    <t>MF-042C/22</t>
  </si>
  <si>
    <t>MF-042D/22</t>
  </si>
  <si>
    <t>MF-043/22</t>
  </si>
  <si>
    <t>2022-133</t>
  </si>
  <si>
    <t>4600019977</t>
  </si>
  <si>
    <t>EUROPA</t>
  </si>
  <si>
    <t>MF-044/22</t>
  </si>
  <si>
    <t>2022-132</t>
  </si>
  <si>
    <t>4600019976</t>
  </si>
  <si>
    <t>MF-045/22</t>
  </si>
  <si>
    <t>2022-134</t>
  </si>
  <si>
    <t>4600019978</t>
  </si>
  <si>
    <t>MF-046/22</t>
  </si>
  <si>
    <t>MF-047/22</t>
  </si>
  <si>
    <t>2022-126</t>
  </si>
  <si>
    <t>SG-MNL-12329-48</t>
  </si>
  <si>
    <t>MF-048/22</t>
  </si>
  <si>
    <t xml:space="preserve"> 2021-128</t>
  </si>
  <si>
    <t>S5000894</t>
  </si>
  <si>
    <t>JUNIO - 2H JULIO '22</t>
  </si>
  <si>
    <t>MF-049/22</t>
  </si>
  <si>
    <t>2022-130</t>
  </si>
  <si>
    <t>2 H MAYO - 1H JUNIO '22</t>
  </si>
  <si>
    <t>MF-050/22</t>
  </si>
  <si>
    <t>2022-87</t>
  </si>
  <si>
    <t>MF-051A/22</t>
  </si>
  <si>
    <t>MF-051B/22</t>
  </si>
  <si>
    <t>MF-051C/22</t>
  </si>
  <si>
    <t>MF-051D/22</t>
  </si>
  <si>
    <t>MF-052A/22</t>
  </si>
  <si>
    <t>MF-052B/22</t>
  </si>
  <si>
    <t>MF-052C/22</t>
  </si>
  <si>
    <t>MF-052D/22</t>
  </si>
  <si>
    <t>MF-053A/22</t>
  </si>
  <si>
    <t>MF-053B/22</t>
  </si>
  <si>
    <t>MF-053C/22</t>
  </si>
  <si>
    <t>MF-053D/22</t>
  </si>
  <si>
    <t>S-P</t>
  </si>
  <si>
    <t>MF-056/22</t>
  </si>
  <si>
    <t>2 H MAYO - JUNIO '22</t>
  </si>
  <si>
    <t>2022-88</t>
  </si>
  <si>
    <t>S-02200841</t>
  </si>
  <si>
    <t>MF-058/22</t>
  </si>
  <si>
    <t>SG-MNL-12329-49</t>
  </si>
  <si>
    <t>2022-139</t>
  </si>
  <si>
    <t>4600020049</t>
  </si>
  <si>
    <t>MF-060/22</t>
  </si>
  <si>
    <t>Anular oc: 8000001948</t>
  </si>
  <si>
    <t>MF-062/22</t>
  </si>
  <si>
    <t>2022-153</t>
  </si>
  <si>
    <t>S5000913</t>
  </si>
  <si>
    <t>AÑO</t>
  </si>
  <si>
    <t>REFERENCIA</t>
  </si>
  <si>
    <t>MES</t>
  </si>
  <si>
    <t>F. INGRESO
ALM</t>
  </si>
  <si>
    <t>FECHÁ LIMIT.</t>
  </si>
  <si>
    <t>F. ELABORACION 
DE COSTEO</t>
  </si>
  <si>
    <t>CUMPLE</t>
  </si>
  <si>
    <t xml:space="preserve">FECHÁ LIMIT.
</t>
  </si>
  <si>
    <t>F. INGRESO
 SG AGRO</t>
  </si>
  <si>
    <t>F. ENVIO GG</t>
  </si>
  <si>
    <t>Feriados 2021</t>
  </si>
  <si>
    <t>OBS</t>
  </si>
  <si>
    <t>TOTAL REF.</t>
  </si>
  <si>
    <t xml:space="preserve">% CUM. </t>
  </si>
  <si>
    <t>ALE</t>
  </si>
  <si>
    <t>% CUM. ALE</t>
  </si>
  <si>
    <t>AGO</t>
  </si>
  <si>
    <t>ELABORACIÓN</t>
  </si>
  <si>
    <t>INGRESO</t>
  </si>
  <si>
    <t>ENVIO</t>
  </si>
  <si>
    <t>ENE</t>
  </si>
  <si>
    <t>FEB</t>
  </si>
  <si>
    <t>MAR</t>
  </si>
  <si>
    <t>ABR</t>
  </si>
  <si>
    <t>MAY</t>
  </si>
  <si>
    <t>JUN</t>
  </si>
  <si>
    <t>JUL</t>
  </si>
  <si>
    <t>AGOS</t>
  </si>
  <si>
    <t>SET</t>
  </si>
  <si>
    <t>OCT</t>
  </si>
  <si>
    <t>NOV</t>
  </si>
  <si>
    <t>DIC</t>
  </si>
  <si>
    <t xml:space="preserve">MF-084/21 </t>
  </si>
  <si>
    <t>SI</t>
  </si>
  <si>
    <t>PTE. OBS</t>
  </si>
  <si>
    <t>OC no aprobada hasta el 21/03</t>
  </si>
  <si>
    <t>ERROR TI OC</t>
  </si>
  <si>
    <t>Desviación, 1 CNT</t>
  </si>
  <si>
    <t>Desviación, sólo 24TM VS 24</t>
  </si>
  <si>
    <t>Transición Segu</t>
  </si>
  <si>
    <t xml:space="preserve">Dentro de presupuesto. HHEE </t>
  </si>
  <si>
    <t>REVISADO POR ALE</t>
  </si>
  <si>
    <t>PDT REVISIÓN ALE</t>
  </si>
  <si>
    <t>REVISAR HORAS EXTRA</t>
  </si>
  <si>
    <t>LICENCIA</t>
  </si>
  <si>
    <t>Fecha Aut.</t>
  </si>
  <si>
    <t>Fecha Vig.</t>
  </si>
  <si>
    <t>F. Actual</t>
  </si>
  <si>
    <t>Meses V.</t>
  </si>
  <si>
    <t>Producto</t>
  </si>
  <si>
    <t>Cantidad TM</t>
  </si>
  <si>
    <t>Acumulado</t>
  </si>
  <si>
    <t>Saldo</t>
  </si>
  <si>
    <t>03117-2021-SUCAMEC/GEPP</t>
  </si>
  <si>
    <t>01610-2022-SUCAMEC/GEPP</t>
  </si>
  <si>
    <t>PUERTO</t>
  </si>
  <si>
    <t>CLASIFICACIÓN</t>
  </si>
  <si>
    <t>FAMILIA</t>
  </si>
  <si>
    <t>PELIGROSO</t>
  </si>
  <si>
    <t>SOLUBLE</t>
  </si>
  <si>
    <t>SIMPLE</t>
  </si>
  <si>
    <t>ESPECIALIDAD</t>
  </si>
  <si>
    <t>GENERICO</t>
  </si>
  <si>
    <t>CONTROLADO</t>
  </si>
  <si>
    <t>OSMOCOTE CLASSIC (4M)</t>
  </si>
  <si>
    <t>OSMOCOTE PLUS (6M)</t>
  </si>
  <si>
    <t>OSMOCOTE PLUS (9M)</t>
  </si>
  <si>
    <t>AGROQUIMICO</t>
  </si>
  <si>
    <t>BIOESTIMULANTE</t>
  </si>
  <si>
    <t>OPP</t>
  </si>
  <si>
    <t>TPP</t>
  </si>
  <si>
    <t>TIPO DE CARGA</t>
  </si>
  <si>
    <t>ABC</t>
  </si>
  <si>
    <t>Etiquetas de fila</t>
  </si>
  <si>
    <t>ABC VOL</t>
  </si>
  <si>
    <t>A</t>
  </si>
  <si>
    <t>YaraTera</t>
  </si>
  <si>
    <t>A+</t>
  </si>
  <si>
    <t>Genéricos</t>
  </si>
  <si>
    <t>CLORURO POTASIO GRANULAR ROJO</t>
  </si>
  <si>
    <t>SULFATO POTASIO SOLUBLE</t>
  </si>
  <si>
    <t>Soluble</t>
  </si>
  <si>
    <t xml:space="preserve">A </t>
  </si>
  <si>
    <t>SULFATO MAGNESIO HEPTAHIDRATADO</t>
  </si>
  <si>
    <t>SULFATO AMONIO MARRON</t>
  </si>
  <si>
    <t>YaraMila</t>
  </si>
  <si>
    <t>SULFATO AMONIO ESTANDAR</t>
  </si>
  <si>
    <t>HYDRAN</t>
  </si>
  <si>
    <t>FOSFATO MONOAMONICO GRANULAR</t>
  </si>
  <si>
    <t>COMPUESTO NITRO SULFATO</t>
  </si>
  <si>
    <t>Mezcla</t>
  </si>
  <si>
    <t>COMPLEX</t>
  </si>
  <si>
    <t>NITRATO POTASIO CRISTALIZADO</t>
  </si>
  <si>
    <t>CLORURO POTASIO ESTANDAR BLANCO</t>
  </si>
  <si>
    <t>COMPUESTO 20-20-20</t>
  </si>
  <si>
    <t>CLORURO DE POTASIO ESTANDAR BLANCO</t>
  </si>
  <si>
    <t>SUPER-N</t>
  </si>
  <si>
    <t>Mezcla Dif.</t>
  </si>
  <si>
    <t>SULFATO POTASIO GRANULAR</t>
  </si>
  <si>
    <t>YARAMILA KABAL PLUS</t>
  </si>
  <si>
    <t>NITRATO MAGNESIO HEXAHIDRATADO</t>
  </si>
  <si>
    <t xml:space="preserve">FOSFATO MONOAMONICO CRISTALIZADO </t>
  </si>
  <si>
    <t>C</t>
  </si>
  <si>
    <t>YARALIVA NITRABOR</t>
  </si>
  <si>
    <t>YaraLiva</t>
  </si>
  <si>
    <t xml:space="preserve">SULFATO ZINC </t>
  </si>
  <si>
    <t>SULFATO DE AMONIO GRANULADO</t>
  </si>
  <si>
    <t>UREA ADBLUE</t>
  </si>
  <si>
    <t>Especialidad</t>
  </si>
  <si>
    <t>INTEGRADOR</t>
  </si>
  <si>
    <t>SULFATO AMONIO GRANULADO</t>
  </si>
  <si>
    <t>ÁCIDO BÓRICO</t>
  </si>
  <si>
    <t>F LIQ MgS  Mg7% S6%</t>
  </si>
  <si>
    <t>Líquidos</t>
  </si>
  <si>
    <t>SULFATO DE MANGANESO</t>
  </si>
  <si>
    <t>F LIQ ESP A-N7.83% P5.99% K6.45% Ca3.80%</t>
  </si>
  <si>
    <t>SULFATO DE CU PENTAHIDRAT. 25%CU X 25 KG</t>
  </si>
  <si>
    <t>F LIQ ESPARRAGO - MgO 6.41% B 0.45%</t>
  </si>
  <si>
    <t>SULFATO MAGNESIO MONO (KIESERITA)</t>
  </si>
  <si>
    <t>COMPUESTO ESPECIAL 2</t>
  </si>
  <si>
    <t>COMP. FERTILIGENTT PAPA SIERRA</t>
  </si>
  <si>
    <t>YARAMILA INTEGRADOR</t>
  </si>
  <si>
    <t>COMPUESTO ESPECIAL</t>
  </si>
  <si>
    <t>F LIQ NITRATO DE CALCIO N 9% CaO 15%</t>
  </si>
  <si>
    <t>F LIQ K15 K15%</t>
  </si>
  <si>
    <t>YARAMILA KABAL</t>
  </si>
  <si>
    <t>COMPUESTO PAPA</t>
  </si>
  <si>
    <t>F LIQ ESP B-N7.48% P5.18% K8.06% Ca2.45%</t>
  </si>
  <si>
    <t>COMPUESTO ALCACHOFA PRODUCCION</t>
  </si>
  <si>
    <t>POTASH PLUS</t>
  </si>
  <si>
    <t>F LIQ NK-SOP N2% K9% S1%</t>
  </si>
  <si>
    <t>COMPUESTO ALCACHOFA ARRANQUE</t>
  </si>
  <si>
    <t>FOSFATO MONOPOTASICO</t>
  </si>
  <si>
    <t>SULFATO COBRE</t>
  </si>
  <si>
    <t>SUPERFOSFATO TRIPLE</t>
  </si>
  <si>
    <t>NITRATO CALCIO PREMIUM</t>
  </si>
  <si>
    <t>SULFATO MANGANESO MONOHIDRATADO</t>
  </si>
  <si>
    <t>F LQ UVA17 N24% P6.63% CaO8.96%B0.03%</t>
  </si>
  <si>
    <t>F LIQ PK N1% P18% K6%</t>
  </si>
  <si>
    <t>F LIQ N+ P N8% P2O5 1.75%</t>
  </si>
  <si>
    <t>F LIQ CN-Mg  N9% Mg5% Ca10%</t>
  </si>
  <si>
    <t>F LIQ NK N2.5% K9%</t>
  </si>
  <si>
    <t>COMPUESTO TROPICAL</t>
  </si>
  <si>
    <t>SULFATO POTASIO SOLUBLE ORGANICO</t>
  </si>
  <si>
    <t>FERT LIQ Fe4.2% Mn3.35% Cu0.28%</t>
  </si>
  <si>
    <t>COMPUESTO ALCACHOFA COSECHA</t>
  </si>
  <si>
    <t>SULFATO FERROSO</t>
  </si>
  <si>
    <t>NPK 12-32-16</t>
  </si>
  <si>
    <t>SULFATO MAGNESIO HEPTA ORGANICO</t>
  </si>
  <si>
    <t>COMPUESTO LAREDO</t>
  </si>
  <si>
    <t>BARRIDO</t>
  </si>
  <si>
    <t>COMP. DANPER ALCACHOFA CALCIPOTASIO 2021</t>
  </si>
  <si>
    <t>F LIQ UVA15N4.69%P12.1% Ca8.02% B0.06%</t>
  </si>
  <si>
    <t>F LIQ Zn+2  Zn10.5% S5% EDTA2.5%</t>
  </si>
  <si>
    <t>UREA FOSFATADA</t>
  </si>
  <si>
    <t>F LIQ Zn-B Zn6% B0.6% EDTA2%</t>
  </si>
  <si>
    <t>FERTI LIQUID FORM BETA MICROS MISTI</t>
  </si>
  <si>
    <t>COMPUESTO NITRO SULFATO PREMIUM</t>
  </si>
  <si>
    <t>FERTILIZANTE LIQUIDO NSA N20% S5%</t>
  </si>
  <si>
    <t>NITRATO DE POTASIO CRISTALIZADO ÁCIDO</t>
  </si>
  <si>
    <t>F LIQ NITRATO DE CALCIO N 9% CAO 15% (PH=2)</t>
  </si>
  <si>
    <t>EQ NPK LIQ CHIRA MICROS 017</t>
  </si>
  <si>
    <t>YARAMILA TRISTAR</t>
  </si>
  <si>
    <t>EQ NPK LQ CHIRA MICROS FERTI 007 AC</t>
  </si>
  <si>
    <t>EQ NPK LIQ UAN 35</t>
  </si>
  <si>
    <t>COMPUESTO PIJUAYO CRECIMIENTO</t>
  </si>
  <si>
    <t>BIO CALCIO (CAO) 19%</t>
  </si>
  <si>
    <t>COMPUESTO ROBUSTOP EQUILIBRA</t>
  </si>
  <si>
    <t>FERTIBAGRA</t>
  </si>
  <si>
    <t>FERT LIQUIDO CAN17 N17% CaO12.38%</t>
  </si>
  <si>
    <t>NITRATO CALCIO CRISTALIZADO</t>
  </si>
  <si>
    <t>SULFATO POTASIO GRANULAR ORG. KALISOP</t>
  </si>
  <si>
    <t>YARATERA REXOLIN X60</t>
  </si>
  <si>
    <t>COMPUESTO INICIO</t>
  </si>
  <si>
    <t>F LIQ N+ P N8% P2O5 1.75% (PH= 5)</t>
  </si>
  <si>
    <t xml:space="preserve">MICROMAX ZN EDTA K </t>
  </si>
  <si>
    <t>ROCA FOSFORICA</t>
  </si>
  <si>
    <t>YARATERA REXOLIN ZN 15</t>
  </si>
  <si>
    <t>EVOLHUMIC - DRIP</t>
  </si>
  <si>
    <t>Bioestimulante</t>
  </si>
  <si>
    <t>OSMOCOTE 4M</t>
  </si>
  <si>
    <t xml:space="preserve">YARALIVA CALCINIT ZN-B </t>
  </si>
  <si>
    <t>FUEL BLACK 18%</t>
  </si>
  <si>
    <t>OSMOCOTE 6M</t>
  </si>
  <si>
    <t>YARAVITA MAGTRAC</t>
  </si>
  <si>
    <t>YaraVita</t>
  </si>
  <si>
    <t>NOVACID</t>
  </si>
  <si>
    <t>TIOSULFATO CALCIO</t>
  </si>
  <si>
    <t>TIOSULFATO POTASIO</t>
  </si>
  <si>
    <t>YARAVITA STOPIT</t>
  </si>
  <si>
    <t>YARAVITA ZINTRAC 700</t>
  </si>
  <si>
    <t>F LIQ MGS  MGS7% S6% (PH=4.8)</t>
  </si>
  <si>
    <t>YARAVITA CROP BOOST</t>
  </si>
  <si>
    <t>YARAVITA POTASH ADVANCE</t>
  </si>
  <si>
    <t>MICROELEMENTO SFERA 4</t>
  </si>
  <si>
    <t>MULTIFERT CAFE PRODUCCION</t>
  </si>
  <si>
    <t>YARAVITA AGRIPOTASH</t>
  </si>
  <si>
    <t xml:space="preserve">MICROMAX FE HBED </t>
  </si>
  <si>
    <t>YARAVITA FRUTREL</t>
  </si>
  <si>
    <t xml:space="preserve">MICROMAX MN EDTA K </t>
  </si>
  <si>
    <t>BIPOCLEAN</t>
  </si>
  <si>
    <t>Biocontrol</t>
  </si>
  <si>
    <t>VEGEX CRISOIL</t>
  </si>
  <si>
    <t>YARAVITA CROPLIFT BIO</t>
  </si>
  <si>
    <t>OSMOCOTE 9M</t>
  </si>
  <si>
    <t>NUTRIVANT PLUS FRUITS</t>
  </si>
  <si>
    <t>NUTRIVANT PEAKVANT</t>
  </si>
  <si>
    <t>NUTRIVANT STARTED</t>
  </si>
  <si>
    <t>YARAVERA AMIDAS</t>
  </si>
  <si>
    <t>YaraVera</t>
  </si>
  <si>
    <t>SINOCLOPRID  350 SC</t>
  </si>
  <si>
    <t>Agroquímico</t>
  </si>
  <si>
    <t>SINOFENURON 50 EC</t>
  </si>
  <si>
    <t>UREA BAJA EN BIURET</t>
  </si>
  <si>
    <t>NUTRIVANT PLUS RICE</t>
  </si>
  <si>
    <t>YARAVITA BUD BUILDER FL</t>
  </si>
  <si>
    <t>SINOMECTINA 18EC</t>
  </si>
  <si>
    <t>ADENTU 50 SG</t>
  </si>
  <si>
    <t>ANTAMETRINA</t>
  </si>
  <si>
    <t>TIOSULFATO AMONIO</t>
  </si>
  <si>
    <t>AGROCOTE</t>
  </si>
  <si>
    <t>ANTAZIMA 500 SC</t>
  </si>
  <si>
    <t>FITHOPLAY 200 SC</t>
  </si>
  <si>
    <t>SINOCONAZOLE 250 EW</t>
  </si>
  <si>
    <t>VEGEX KUNEKA PLUS</t>
  </si>
  <si>
    <t>YARAVITA ZINTRAC MGB</t>
  </si>
  <si>
    <t>KALKUS 250 WG</t>
  </si>
  <si>
    <t>SINODIFE 250 EC</t>
  </si>
  <si>
    <t>YARAVITA AMAZINC</t>
  </si>
  <si>
    <t>STRUCTURE</t>
  </si>
  <si>
    <t>VEGEX FOS SOAP</t>
  </si>
  <si>
    <t>ALTO</t>
  </si>
  <si>
    <t>ANTHODIM 120 EC</t>
  </si>
  <si>
    <t>ÁCIDO CÍTRICO ANHIDRO</t>
  </si>
  <si>
    <t>IPROL 500 WP</t>
  </si>
  <si>
    <t>ANTIFOAM 1520</t>
  </si>
  <si>
    <t>WENTUN 500 WG</t>
  </si>
  <si>
    <t>NATURDAI MIMETIC</t>
  </si>
  <si>
    <t>COMPUESTO ALCACHOFA CRECIMIENTO</t>
  </si>
  <si>
    <t>CONCA</t>
  </si>
  <si>
    <t>TIEMPO DE INGRESO</t>
  </si>
  <si>
    <t>CONTENEDORES</t>
  </si>
  <si>
    <t>GRANEL</t>
  </si>
  <si>
    <t>BREAKBULK</t>
  </si>
  <si>
    <t>COVID</t>
  </si>
  <si>
    <t>FACTORES DE FUERZA MAYOR</t>
  </si>
  <si>
    <t>MV HONG KONG</t>
  </si>
  <si>
    <t>ESTIMADO POR COMEX</t>
  </si>
  <si>
    <t>INFORMADO POR EL PROVEEDOR</t>
  </si>
  <si>
    <t>RATIO DESCARGA ALM. REAL</t>
  </si>
  <si>
    <t>MF-054A/22</t>
  </si>
  <si>
    <t>MF-054B/22</t>
  </si>
  <si>
    <t>MF-054C/22</t>
  </si>
  <si>
    <t>TGOA22SA006-MAY</t>
  </si>
  <si>
    <t>EMMA A</t>
  </si>
  <si>
    <t>BGA0327765</t>
  </si>
  <si>
    <t>MF-061/22</t>
  </si>
  <si>
    <t>MF-063/22</t>
  </si>
  <si>
    <t>MF-064/22</t>
  </si>
  <si>
    <t>MF-065/22</t>
  </si>
  <si>
    <t>4600020105</t>
  </si>
  <si>
    <t>SEGÚN TRACKING DE LA LINEA</t>
  </si>
  <si>
    <t>BGA0327768</t>
  </si>
  <si>
    <t>21JEQ005-1/21JEQ005-2</t>
  </si>
  <si>
    <t>YARAVITA BUD BUILDER</t>
  </si>
  <si>
    <t>MF-057A/22</t>
  </si>
  <si>
    <t>MF-057B/22</t>
  </si>
  <si>
    <t>MF-057C/22</t>
  </si>
  <si>
    <t>TRANSMERIDIAN</t>
  </si>
  <si>
    <t>ANULACION DE OC  8000001902</t>
  </si>
  <si>
    <t xml:space="preserve">PRODUCTO VENCIDO </t>
  </si>
  <si>
    <t>CIUDAD BLOQUEADA POR COVID 19</t>
  </si>
  <si>
    <t>YA PASO INSPECCION</t>
  </si>
  <si>
    <t xml:space="preserve">	CMA CGM ARKANSAS</t>
  </si>
  <si>
    <t>JENS MAERSK</t>
  </si>
  <si>
    <t>HLCUBO2220461946</t>
  </si>
  <si>
    <t>Nº 198</t>
  </si>
  <si>
    <t>NORMAL</t>
  </si>
  <si>
    <t>FCHA. INSPECCION SUCAMEC / IQBF</t>
  </si>
  <si>
    <t>FCHA. RESOL. SUCAMEC / IQBF</t>
  </si>
  <si>
    <t>FCH. VCTO. ALM. ADUANERO</t>
  </si>
  <si>
    <t>FCH. APROB. OC</t>
  </si>
  <si>
    <t>FCH. EMISION FACT.</t>
  </si>
  <si>
    <t>FCH. VCTO FACT.</t>
  </si>
  <si>
    <t>AÑO EMBARQUE</t>
  </si>
  <si>
    <t>FCH. INICIO DESCARGA MN</t>
  </si>
  <si>
    <t>VCTO. DÍAS LIBRES SE</t>
  </si>
  <si>
    <t>HLCUBO2220455772</t>
  </si>
  <si>
    <t>HLCUBO2220462145</t>
  </si>
  <si>
    <t>TIPO DE CONFIRMACION</t>
  </si>
  <si>
    <t>50001013</t>
  </si>
  <si>
    <t>LIBERADO</t>
  </si>
  <si>
    <t xml:space="preserve">VIGENTE </t>
  </si>
  <si>
    <t>ANA YA CUENTA CON EL BL EN FÍSICO</t>
  </si>
  <si>
    <t>BL YA CUENTA CON EMISIÓN EN DESTINO</t>
  </si>
  <si>
    <t>BL CUENTA CON EMSIÓN EN DESTINO</t>
  </si>
  <si>
    <t>046-2022-10-001323-01-5-00</t>
  </si>
  <si>
    <t>046-2022-249</t>
  </si>
  <si>
    <t>046-2022-10-001320-01-6-00</t>
  </si>
  <si>
    <t>046-2022-10-001324-01-1-00</t>
  </si>
  <si>
    <t>046-2022-10-001322-01-9-00</t>
  </si>
  <si>
    <t>046-2022-10-001321-01-2-00</t>
  </si>
  <si>
    <t>SADA DT</t>
  </si>
  <si>
    <t>EQL-333-01</t>
  </si>
  <si>
    <t>MF-042A.1/22</t>
  </si>
  <si>
    <t>145-2022-10-000129-01-9-00</t>
  </si>
  <si>
    <t>30-2022</t>
  </si>
  <si>
    <t>85W026XGG093</t>
  </si>
  <si>
    <t>Daño de CNT por USD 591.92</t>
  </si>
  <si>
    <t>MF-066/22</t>
  </si>
  <si>
    <t>25 Kg</t>
  </si>
  <si>
    <t>JULIO - 2H AGOSTO</t>
  </si>
  <si>
    <t>145-2022-10-000404-01-1-00</t>
  </si>
  <si>
    <t>CDC0133512</t>
  </si>
  <si>
    <t>MF-067/22</t>
  </si>
  <si>
    <t>MF-068/22</t>
  </si>
  <si>
    <t>1W JUNIO '22</t>
  </si>
  <si>
    <t>2022-176</t>
  </si>
  <si>
    <t>MF-066.1/22</t>
  </si>
  <si>
    <t>2022-207</t>
  </si>
  <si>
    <t>2022-206</t>
  </si>
  <si>
    <t>MF-069/22</t>
  </si>
  <si>
    <t>2022-185</t>
  </si>
  <si>
    <t>AUTORIZACIÓN VIGENTE 10/08</t>
  </si>
  <si>
    <t>7C2000-2022-I-000891</t>
  </si>
  <si>
    <t>Nº 199</t>
  </si>
  <si>
    <t>BL emitido en origen, enviado a SEGU</t>
  </si>
  <si>
    <t>MF-029C.1/22</t>
  </si>
  <si>
    <t>MF-029C.2/22</t>
  </si>
  <si>
    <t>CG/013/2022-A</t>
  </si>
  <si>
    <t>STI</t>
  </si>
  <si>
    <t>JULIO - AGOSTO '22</t>
  </si>
  <si>
    <t>2022-179</t>
  </si>
  <si>
    <t>QUELATO MN EDTA 25KG SB</t>
  </si>
  <si>
    <t>ALTA</t>
  </si>
  <si>
    <t>OC ANULADA 8000001992</t>
  </si>
  <si>
    <t>OC ANULADA 8000001993</t>
  </si>
  <si>
    <t>MF-070A/22</t>
  </si>
  <si>
    <t>MF-070B/22</t>
  </si>
  <si>
    <t>2022-208</t>
  </si>
  <si>
    <t>2022-210</t>
  </si>
  <si>
    <t>F200-43304</t>
  </si>
  <si>
    <t>F200-43303</t>
  </si>
  <si>
    <t>145-2022-10-000413-01-9-00</t>
  </si>
  <si>
    <t>046-2022-10-001368-01-9-00</t>
  </si>
  <si>
    <t>046-2022-10-001370-01-3-00</t>
  </si>
  <si>
    <t>CDC0133663</t>
  </si>
  <si>
    <t>2022-173</t>
  </si>
  <si>
    <t>2022-174</t>
  </si>
  <si>
    <t>2022-175</t>
  </si>
  <si>
    <t>MF-071/22</t>
  </si>
  <si>
    <t>MF-072A/22</t>
  </si>
  <si>
    <t>MF-072B/22</t>
  </si>
  <si>
    <t>2022-183</t>
  </si>
  <si>
    <t>MF-073/22</t>
  </si>
  <si>
    <t>MF-036A.1/22</t>
  </si>
  <si>
    <t>MF-036B/22</t>
  </si>
  <si>
    <t>ANULAR OC 8000001842</t>
  </si>
  <si>
    <t>046-2022-10-001374-01-9-00</t>
  </si>
  <si>
    <t>LIBRE DE ALMACENAJE 22/05</t>
  </si>
  <si>
    <t>2021-907</t>
  </si>
  <si>
    <t>HHKDLCAL01</t>
  </si>
  <si>
    <t>SG-MSL-12329-50</t>
  </si>
  <si>
    <t>40362</t>
  </si>
  <si>
    <t>F200-43305</t>
  </si>
  <si>
    <t>EQL-334-02</t>
  </si>
  <si>
    <t>Nº 211</t>
  </si>
  <si>
    <t>118-2022-10-177561-01-3-00</t>
  </si>
  <si>
    <t>145-2022-10-000420-01-5-00</t>
  </si>
  <si>
    <t>A LA ESPERA DE LIBERACIÓN</t>
  </si>
  <si>
    <t>04903/BON/22</t>
  </si>
  <si>
    <t>04901/BON/22</t>
  </si>
  <si>
    <t>04902/BON/22</t>
  </si>
  <si>
    <t>04904/BON/22</t>
  </si>
  <si>
    <t>TAI SUMMIT</t>
  </si>
  <si>
    <t>118-2022-10-177660-01-1-00</t>
  </si>
  <si>
    <t>MAERSK</t>
  </si>
  <si>
    <t>ASHDOD PORT</t>
  </si>
  <si>
    <t>PAN GG</t>
  </si>
  <si>
    <t>EQL-346-03</t>
  </si>
  <si>
    <t>#192-3/2022</t>
  </si>
  <si>
    <t>CG/013/2022-B</t>
  </si>
  <si>
    <t>145-2022-10-000423-01-4-00</t>
  </si>
  <si>
    <t>FANGCHENG</t>
  </si>
  <si>
    <t>MV ROBERTA</t>
  </si>
  <si>
    <t>OC ANULADA 8000001994, 8000001998</t>
  </si>
  <si>
    <t>OC ANULADA 8000001995, 8000001999</t>
  </si>
  <si>
    <t>RATJCLL03</t>
  </si>
  <si>
    <t>F200-43059</t>
  </si>
  <si>
    <t>dias BL</t>
  </si>
  <si>
    <t>B7FE-22-3046-PUPE-01</t>
  </si>
  <si>
    <t>B7FE-22-3046-PUPE-02</t>
  </si>
  <si>
    <t>B7FE-22-3046-PUPE-03</t>
  </si>
  <si>
    <t>B7FE-22-3046-PUPE-04</t>
  </si>
  <si>
    <t>HLCUBO2220519470</t>
  </si>
  <si>
    <t>145-2022-10-000429-01-2-00</t>
  </si>
  <si>
    <t>145-2022-10-000431-01-7-00</t>
  </si>
  <si>
    <t>F200-43306</t>
  </si>
  <si>
    <t>F200-43307</t>
  </si>
  <si>
    <t>046-2022-10-001419-01-2-00</t>
  </si>
  <si>
    <t>XGGPS026</t>
  </si>
  <si>
    <t>ATLANTIC MONTERREY</t>
  </si>
  <si>
    <t>BGA0329553</t>
  </si>
  <si>
    <t>BGA0327900</t>
  </si>
  <si>
    <t>EXPLOSIÓN EN FÁBRICA</t>
  </si>
  <si>
    <t>APL ANTWERP</t>
  </si>
  <si>
    <t>MF-074/22</t>
  </si>
  <si>
    <t>2022-177</t>
  </si>
  <si>
    <t>PP-6422</t>
  </si>
  <si>
    <t>2022-163</t>
  </si>
  <si>
    <t>MF-075A/22</t>
  </si>
  <si>
    <t>MF-075B/22</t>
  </si>
  <si>
    <t>MF-075C/22</t>
  </si>
  <si>
    <t>SUDUN2FAN000148A</t>
  </si>
  <si>
    <t>MAERSK LIMA</t>
  </si>
  <si>
    <t xml:space="preserve">	JEPPESEN MAERSK</t>
  </si>
  <si>
    <t>#192-4/2022</t>
  </si>
  <si>
    <t>EQL-347-04</t>
  </si>
  <si>
    <t>S-02200559</t>
  </si>
  <si>
    <t>HAMMONIA BALTICA</t>
  </si>
  <si>
    <t>S-02201047</t>
  </si>
  <si>
    <t>S-02201045</t>
  </si>
  <si>
    <t>145-2022-10-000442-01-9-00</t>
  </si>
  <si>
    <t>2022-214</t>
  </si>
  <si>
    <t>MF-279A/21</t>
  </si>
  <si>
    <t>MF-279B/21</t>
  </si>
  <si>
    <t>Nº 225</t>
  </si>
  <si>
    <t>MF-029E.2/22</t>
  </si>
  <si>
    <t>MF-029E.1/22</t>
  </si>
  <si>
    <t>MF-076/22</t>
  </si>
  <si>
    <t>2022-181</t>
  </si>
  <si>
    <t>SULFATO DE AMONIO ESTÁNDAR (MITSUI)</t>
  </si>
  <si>
    <t xml:space="preserve">SULFATO DE AMONIO ESTÁNDAR </t>
  </si>
  <si>
    <t>FOSFATO DIAMÓNICO GRANULAR (MITSUI)</t>
  </si>
  <si>
    <t xml:space="preserve">FOSFATO MONOAMÓNICO GRANULAR </t>
  </si>
  <si>
    <t>NITRATO AMONIO ESTABILIZADO NP32-4 X 1.5 TM (MITSUI)</t>
  </si>
  <si>
    <t>HLCUANR220554951</t>
  </si>
  <si>
    <t>HLCUANR2203AQCZ4</t>
  </si>
  <si>
    <t>046-2022-10-001454-01-2-00</t>
  </si>
  <si>
    <t xml:space="preserve">BL ENVIADO VÍA AÉREA </t>
  </si>
  <si>
    <t>GSSW22SHA2489A</t>
  </si>
  <si>
    <t>046-2022-10-001463-01-1-00</t>
  </si>
  <si>
    <t>MF-077A/22</t>
  </si>
  <si>
    <t>MF-077B/22</t>
  </si>
  <si>
    <t>2022-215</t>
  </si>
  <si>
    <t>2022-216</t>
  </si>
  <si>
    <t>OC ANULADA 8000001679 por cambio de código de 209851 a 204913</t>
  </si>
  <si>
    <t>SULFATO MAGNESIO MONO. KIESERITA 1.25TM BB</t>
  </si>
  <si>
    <t>145-2022-10-000470-00</t>
  </si>
  <si>
    <t>6/2022</t>
  </si>
  <si>
    <t>EQ-MF-029/22</t>
  </si>
  <si>
    <t>ANULAR OC: 8000001922, 8000001924</t>
  </si>
  <si>
    <t>ANULACION OC:8000001923</t>
  </si>
  <si>
    <t>ANULACION OC: 8000001979</t>
  </si>
  <si>
    <t>F200-43309</t>
  </si>
  <si>
    <t>ACIDO FOSFORICO 42.5%P2O5 25KG BIDON</t>
  </si>
  <si>
    <t>F200-43311</t>
  </si>
  <si>
    <t>F200-43310</t>
  </si>
  <si>
    <t>PDTE DE RESPUESTA POR PARTE DE SUCAMEC</t>
  </si>
  <si>
    <t>PENDIENTE PROGRAMACION DE INSPECCIÓN</t>
  </si>
  <si>
    <t>MF-078/22</t>
  </si>
  <si>
    <t>MF-079/22</t>
  </si>
  <si>
    <t>25 KG</t>
  </si>
  <si>
    <t>BGA0331181</t>
  </si>
  <si>
    <t>MF-059A/22</t>
  </si>
  <si>
    <t>MF-059B/22</t>
  </si>
  <si>
    <t>MF-055A/22</t>
  </si>
  <si>
    <t>MF-055B/22</t>
  </si>
  <si>
    <t>BGA0331211</t>
  </si>
  <si>
    <t>IRENES REMEDY</t>
  </si>
  <si>
    <t>145-2022-10-000478-01-3-00</t>
  </si>
  <si>
    <t>046-2022-10-001487-01-8-00</t>
  </si>
  <si>
    <t>ANULACION DE OC:8000001968</t>
  </si>
  <si>
    <t>ANULACION DE OC:8000001922</t>
  </si>
  <si>
    <t>ANULACION DE OC:8000001969</t>
  </si>
  <si>
    <t>HLCUOSL220410685</t>
  </si>
  <si>
    <t>ANULACION DE OC: 8000001770</t>
  </si>
  <si>
    <t>2022-143</t>
  </si>
  <si>
    <t>5001036</t>
  </si>
  <si>
    <t>MV TOP ADVANCER</t>
  </si>
  <si>
    <t>202251114</t>
  </si>
  <si>
    <t>MF-029F.1/22</t>
  </si>
  <si>
    <t>MF-029F.2/22</t>
  </si>
  <si>
    <t>145-2022-10-000482-01-0-00</t>
  </si>
  <si>
    <t>(en blanco)</t>
  </si>
  <si>
    <t>Total general</t>
  </si>
  <si>
    <t xml:space="preserve">AGREGAR MES Y AÑO DE ETA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</si>
</sst>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3">
    <numFmt numFmtId="41" formatCode="_-* #,##0_-;\-* #,##0_-;_-* &quot;-&quot;_-;_-@_-"/>
    <numFmt numFmtId="43" formatCode="_-* #,##0.00_-;\-* #,##0.00_-;_-* &quot;-&quot;??_-;_-@_-"/>
    <numFmt numFmtId="164" formatCode="#,##0\ &quot;€&quot;;\-#,##0\ &quot;€&quot;"/>
    <numFmt numFmtId="165" formatCode="_-* #,##0\ &quot;€&quot;_-;\-* #,##0\ &quot;€&quot;_-;_-* &quot;-&quot;\ &quot;€&quot;_-;_-@_-"/>
    <numFmt numFmtId="166" formatCode="_-* #,##0.00\ _€_-;\-* #,##0.00\ _€_-;_-* &quot;-&quot;??\ _€_-;_-@_-"/>
    <numFmt numFmtId="167" formatCode="_ &quot;S/.&quot;\ * #,##0.00_ ;_ &quot;S/.&quot;\ * \-#,##0.00_ ;_ &quot;S/.&quot;\ * &quot;-&quot;??_ ;_ @_ "/>
    <numFmt numFmtId="168" formatCode="_ * #,##0.00_ ;_ * \-#,##0.00_ ;_ * &quot;-&quot;??_ ;_ @_ "/>
    <numFmt numFmtId="169" formatCode="#,##0.0"/>
    <numFmt numFmtId="170" formatCode="_ * #,##0.000_ ;_ * \-#,##0.000_ ;_ * &quot;-&quot;??_ ;_ @_ "/>
    <numFmt numFmtId="171" formatCode="_ * #,##0.0000_ ;_ * \-#,##0.0000_ ;_ * &quot;-&quot;??_ ;_ @_ "/>
    <numFmt numFmtId="172" formatCode="_ * #,##0_ ;_ * \-#,##0_ ;_ * &quot;-&quot;??_ ;_ @_ "/>
    <numFmt numFmtId="173" formatCode="0.0"/>
    <numFmt numFmtId="174" formatCode="_ * #,##0.00000_ ;_ * \-#,##0.00000_ ;_ * &quot;-&quot;??_ ;_ @_ "/>
    <numFmt numFmtId="175" formatCode="#,##0.0000"/>
    <numFmt numFmtId="176" formatCode="#,##0.00000000000"/>
    <numFmt numFmtId="177" formatCode="_ &quot;S/.&quot;\ * #,##0_ ;_ &quot;S/.&quot;\ * \-#,##0_ ;_ &quot;S/.&quot;\ * &quot;-&quot;_ ;_ @_ "/>
    <numFmt numFmtId="178" formatCode="_ * #,##0_ ;_ * \-#,##0_ ;_ * &quot;-&quot;_ ;_ @_ "/>
    <numFmt numFmtId="179" formatCode="_-&quot;¤&quot;* #,##0_-;\-&quot;¤&quot;* #,##0_-;_-&quot;¤&quot;* &quot;-&quot;_-;_-@_-"/>
    <numFmt numFmtId="180" formatCode="#,##0\ ;\ \(#,##0\)"/>
    <numFmt numFmtId="181" formatCode="&quot;$&quot;\ #,##0_);&quot;$&quot;\ \(#,##0\);&quot;$&quot;\ \ \ \-\ \ "/>
    <numFmt numFmtId="182" formatCode="#,##0;\(#,##0\)"/>
    <numFmt numFmtId="183" formatCode="_(* #,##0.00_);_(* \(#,##0.00\);_(* &quot;-&quot;??_);_(@_)"/>
    <numFmt numFmtId="184" formatCode="_-&quot;\&quot;* #,##0_-;\-&quot;\&quot;* #,##0_-;_-&quot;\&quot;* &quot;-&quot;_-;_-@_-"/>
    <numFmt numFmtId="185" formatCode="&quot;\&quot;#,##0.00;[Red]&quot;\&quot;\-#,##0.00"/>
    <numFmt numFmtId="186" formatCode="0.0_)\%;\(0.0\)\%;0.0_)\%;@_)_%"/>
    <numFmt numFmtId="187" formatCode="#,##0.0_)_%;\(#,##0.0\)_%;0.0_)_%;@_)_%"/>
    <numFmt numFmtId="188" formatCode="_([$$-409]* #,##0.00_);_([$$-409]* \(#,##0.00\);_([$$-409]* &quot;-&quot;??_);_(@_)"/>
    <numFmt numFmtId="189" formatCode="#,##0.0_);\(#,##0.0\);#,##0.0_);@_)"/>
    <numFmt numFmtId="190" formatCode="&quot;$&quot;_(#,##0.00_);&quot;$&quot;\(#,##0.00\);&quot;$&quot;_(0.00_);@_)"/>
    <numFmt numFmtId="191" formatCode="&quot;€&quot;_(#,##0.00_);&quot;€&quot;\(#,##0.00\);&quot;€&quot;_(0.00_);@_)"/>
    <numFmt numFmtId="192" formatCode="#,##0.0\x"/>
    <numFmt numFmtId="193" formatCode="#,##0.00_);\(#,##0.00\);0.00_);@_)"/>
    <numFmt numFmtId="194" formatCode="#,##0.00_ ;[Red]\-#,##0.00;\-"/>
    <numFmt numFmtId="195" formatCode="#,##0.0;[Red]\-#,##0.0"/>
    <numFmt numFmtId="196" formatCode="#,##0_ ;[Red]\-#,##0\ "/>
    <numFmt numFmtId="197" formatCode="0.000000"/>
    <numFmt numFmtId="198" formatCode="\€_(#,##0.00_);\€\(#,##0.00\);\€_(0.00_);@_)"/>
    <numFmt numFmtId="199" formatCode="#,##0.0_);[Red]\(#,##0.0\)"/>
    <numFmt numFmtId="200" formatCode="General_)"/>
    <numFmt numFmtId="201" formatCode="#,##0_)\x;\(#,##0\)\x;0_)\x;@_)_x"/>
    <numFmt numFmtId="202" formatCode="#,##0.00\x"/>
    <numFmt numFmtId="203" formatCode="#,##0_)_x;\(#,##0\)_x;0_)_x;@_)_x"/>
    <numFmt numFmtId="204" formatCode="#,##0.000000_);\(#,##0.000000\)"/>
    <numFmt numFmtId="205" formatCode="\£\ #,##0_);[Red]\(\£\ #,##0\)"/>
    <numFmt numFmtId="206" formatCode="_-#,##0&quot; £/GJ&quot;"/>
    <numFmt numFmtId="207" formatCode="_-#,##0&quot; £/t&quot;"/>
    <numFmt numFmtId="208" formatCode="\¥\ #,##0_);[Red]\(\¥\ #,##0\)"/>
    <numFmt numFmtId="209" formatCode="#,##0;\(#,##0\);&quot;-&quot;"/>
    <numFmt numFmtId="210" formatCode="_-#,##0&quot;°&quot;"/>
    <numFmt numFmtId="211" formatCode="_-#\,##0&quot;°&quot;"/>
    <numFmt numFmtId="212" formatCode="0.00;[Red]0.00"/>
    <numFmt numFmtId="213" formatCode="00000000"/>
    <numFmt numFmtId="214" formatCode="0_)"/>
    <numFmt numFmtId="215" formatCode="0.0%"/>
    <numFmt numFmtId="216" formatCode="#,##0\ ;[Red]\(#,##0\);\-"/>
    <numFmt numFmtId="217" formatCode="0.00%;[Red]\-0.00%;&quot;－&quot;"/>
    <numFmt numFmtId="218" formatCode="#,##0.000_);[Red]\(#,##0.000\)"/>
    <numFmt numFmtId="219" formatCode="#,##0.0\%_);\(#,##0.0\%\);#,##0.0\%_);@_)"/>
    <numFmt numFmtId="220" formatCode="#,##0_);\(#,##0\);\-\ \ "/>
    <numFmt numFmtId="221" formatCode="0.00\ ;\(0.00\)"/>
    <numFmt numFmtId="222" formatCode="_(* #,##0.0_);[Red]_(* \(#,##0.0\);_(* &quot;-&quot;??_);_(@_)"/>
    <numFmt numFmtId="223" formatCode="&quot;(&quot;0%&quot;)   &quot;;[Red]\-&quot;(&quot;0%&quot;)   &quot;;&quot;－    &quot;"/>
    <numFmt numFmtId="224" formatCode="_(&quot;$&quot;* #,##0.00_);_(&quot;$&quot;* \(#,##0.00\);_(&quot;$&quot;* &quot;-&quot;??_);_(@_)"/>
    <numFmt numFmtId="225" formatCode="#,##0.0_);\(#,##0.0\)"/>
    <numFmt numFmtId="226" formatCode="&quot;Yes&quot;;&quot;Error&quot;;&quot;No&quot;"/>
    <numFmt numFmtId="227" formatCode="_(&quot;$&quot;* #,##0_);_(&quot;$&quot;* \(#,##0\);_(&quot;$&quot;* &quot;-&quot;_);_(@_)"/>
    <numFmt numFmtId="228" formatCode="_(* #,##0_);_(* \(#,##0\);_(* &quot;--- &quot;_)"/>
    <numFmt numFmtId="229" formatCode="_(&quot;$&quot;* #,##0_);_(&quot;$&quot;* \(#,##0\);_(&quot;$&quot;* &quot;--- &quot;_)"/>
    <numFmt numFmtId="230" formatCode="_ * #,##0_)_£_ ;_ * \(#,##0\)_£_ ;_ * &quot;-&quot;_)_£_ ;_ @_ "/>
    <numFmt numFmtId="231" formatCode="&quot;$&quot;#,##0.00_);[Red]\(&quot;$&quot;#,##0.00\)"/>
    <numFmt numFmtId="232" formatCode="_(&quot;$&quot;* #,##0.00_);_(&quot;$&quot;* \(#,##0.00\);_(* &quot;-&quot;_);_(@_)"/>
    <numFmt numFmtId="233" formatCode="_-&quot;‏¤‏&quot;* #,##0_-;\-&quot;‏¤‏&quot;* #,##0_-;_-&quot;‏¤‏&quot;* &quot;-&quot;_-;_-@_-"/>
    <numFmt numFmtId="234" formatCode="#,##0_}&quot;bar&quot;;\(#,##0\)&quot;bar&quot;"/>
    <numFmt numFmtId="235" formatCode="0&quot;    &quot;"/>
    <numFmt numFmtId="236" formatCode="&quot;$&quot;&quot; &quot;#,##0_);\(&quot;$&quot;&quot; &quot;#,##0\);\-_)"/>
    <numFmt numFmtId="237" formatCode="0%_);\(0%\);\-_)"/>
    <numFmt numFmtId="238" formatCode="_(* #,##0\ &quot;pta&quot;_);_(* \(#,##0\ &quot;pta&quot;\);_(* &quot;-&quot;??\ &quot;pta&quot;_);_(@_)"/>
    <numFmt numFmtId="239" formatCode="mm/dd/yy"/>
    <numFmt numFmtId="240" formatCode="&quot;$&quot;&quot; &quot;#,##0.00_);\(&quot;$&quot;&quot; &quot;#,##0.00\);\-_)"/>
    <numFmt numFmtId="241" formatCode="###\ ###0"/>
    <numFmt numFmtId="242" formatCode="#,##0.00_);\(#,##0.00\);\-_)"/>
    <numFmt numFmtId="243" formatCode="[Blue]#,##0\ \ \ ;[Blue]\(#,##0\)\ \ "/>
    <numFmt numFmtId="244" formatCode="&quot;$&quot;#,##0_);\(&quot;$&quot;#,##0\)"/>
    <numFmt numFmtId="245" formatCode="#,##0.0\ ;\(#,##0.0\)"/>
    <numFmt numFmtId="246" formatCode="_(* #,##0.0_);_(* \(#,##0.0\);_(* &quot;-&quot;??_);_(@_)"/>
    <numFmt numFmtId="247" formatCode="\•\ \ @"/>
    <numFmt numFmtId="248" formatCode="#,##0.0;\-#,##0.0"/>
    <numFmt numFmtId="249" formatCode="&quot;$&quot;#,##0.00"/>
    <numFmt numFmtId="250" formatCode="&quot;$&quot;#,##0.0_);\(&quot;$&quot;#,##0.0\)"/>
    <numFmt numFmtId="251" formatCode="&quot;$&quot;#,##0.0000_);\(&quot;$&quot;#,##0.0000\)"/>
    <numFmt numFmtId="252" formatCode="#,##0.00;\-#,##0.00;&quot;-&quot;"/>
    <numFmt numFmtId="253" formatCode="#,##0%;\-#,##0%;&quot;- &quot;"/>
    <numFmt numFmtId="254" formatCode="#,##0.0%;\-#,##0.0%;&quot;- &quot;"/>
    <numFmt numFmtId="255" formatCode="#,##0.00%;\-#,##0.00%;&quot;- &quot;"/>
    <numFmt numFmtId="256" formatCode="#,##0;\-#,##0;&quot;-&quot;"/>
    <numFmt numFmtId="257" formatCode="#,##0.0;\-#,##0.0;&quot;-&quot;"/>
    <numFmt numFmtId="258" formatCode="_(* #,##0_);_(* \(#,##0\);_(* &quot;-&quot;??_);_(@_)"/>
    <numFmt numFmtId="259" formatCode="#,##0;[Red]\(#,##0\)"/>
    <numFmt numFmtId="260" formatCode="0.000_);\(0.000\)"/>
    <numFmt numFmtId="261" formatCode="_(* #,##0.0_);_(* \(#,##0.0\);_(* &quot;-&quot;?_);_(@_)"/>
    <numFmt numFmtId="262" formatCode="_(* #,##0_);_(* \(#,##0\);_(* &quot;-&quot;_);_(@_)"/>
    <numFmt numFmtId="263" formatCode="#,##0.0_);\(#,##0.0\);&quot;—&quot;_)"/>
    <numFmt numFmtId="264" formatCode="#,##0_%_);\(#,##0\)_%;#,##0_%_);@_%_)"/>
    <numFmt numFmtId="265" formatCode="#,##0.00_%_);\(#,##0.00\)_%;#,##0.00_%_);@_%_)"/>
    <numFmt numFmtId="266" formatCode="#,##0.00_%_);\(#,##0.00\)_%;**;@_%_)"/>
    <numFmt numFmtId="267" formatCode="#,##0.000_%_);\(#,##0.000\)_%;**;@_%_)"/>
    <numFmt numFmtId="268" formatCode="#,##0.0_%_);\(#,##0.0\)_%;**;@_%_)"/>
    <numFmt numFmtId="269" formatCode="#,##0.0_);\(#,##0.0\);&quot;  -  &quot;"/>
    <numFmt numFmtId="270" formatCode="#.##0,"/>
    <numFmt numFmtId="271" formatCode="&quot;$&quot;#,###.;\(&quot;$&quot;###0.00\);"/>
    <numFmt numFmtId="272" formatCode="&quot;$&quot;#,###._;\(&quot;$&quot;###0.0\ȩ;"/>
    <numFmt numFmtId="273" formatCode="&quot;S/&quot;#,##0.00;&quot;S/&quot;\-#,##0.00"/>
    <numFmt numFmtId="274" formatCode="#,##0%_);\(#,##0%\);#,##0%_);@_%_)"/>
    <numFmt numFmtId="275" formatCode="&quot;$&quot;#,##0.00_);\(&quot;$&quot;#,##0.00\)"/>
    <numFmt numFmtId="276" formatCode="\$#,##0.00;[Red]\-\$#,##0.00"/>
    <numFmt numFmtId="277" formatCode="&quot;$&quot;#,##0;[Red]\-&quot;$&quot;#,##0"/>
    <numFmt numFmtId="278" formatCode="&quot;S/.&quot;#,##0;[Red]\-&quot;S/.&quot;#,##0"/>
    <numFmt numFmtId="279" formatCode="&quot;$&quot;#,##0.00;[Red]\-&quot;$&quot;#,##0.00"/>
    <numFmt numFmtId="280" formatCode="&quot;S/.&quot;#,##0.00;[Red]\-&quot;S/.&quot;#,##0.00"/>
    <numFmt numFmtId="281" formatCode="_-&quot;£&quot;* #,##0_-;\-&quot;£&quot;* #,##0_-;_-&quot;£&quot;* &quot;-&quot;_-;_-@_-"/>
    <numFmt numFmtId="282" formatCode="_(&quot;S/.&quot;* #,##0_);_(&quot;S/.&quot;* \(#,##0\);_(&quot;S/.&quot;* &quot;-&quot;_);_(@_)"/>
    <numFmt numFmtId="283" formatCode="_ &quot;S/.&quot;* #,##0_ ;_ &quot;S/.&quot;* \-#,##0_ ;_ &quot;S/.&quot;* &quot;-&quot;_ ;_ @_ "/>
    <numFmt numFmtId="284" formatCode="&quot;$&quot;#,##0.0_);\(&quot;$&quot;#,##0.0\);&quot;—&quot;_)"/>
    <numFmt numFmtId="285" formatCode="&quot;$&quot;&quot; &quot;#,##0.000_);\(&quot;$&quot;&quot; &quot;#,##0.000\)"/>
    <numFmt numFmtId="286" formatCode="&quot;$&quot;#,##0_%_);\(&quot;$&quot;#,##0\)_%;&quot;$&quot;#,##0_%_);@_%_)"/>
    <numFmt numFmtId="287" formatCode="&quot;$&quot;#,##0.00_%_);\(&quot;$&quot;#,##0.00\)_%;**;@_%_)"/>
    <numFmt numFmtId="288" formatCode="&quot;$&quot;#,##0.000_%_);\(&quot;$&quot;#,##0.000\)_%;**;@_%_)"/>
    <numFmt numFmtId="289" formatCode="#,##0.00000000_);[Red]\(#,##0.00000000\)"/>
    <numFmt numFmtId="290" formatCode="\$#,##0_);[Red]\(\$#,##0\)"/>
    <numFmt numFmtId="291" formatCode="\$#,##0.00_);\(\$#,##0.00\)"/>
    <numFmt numFmtId="292" formatCode="&quot;$&quot;#,##0.0_%_);\(&quot;$&quot;#,##0.0\)_%;**;@_%_)"/>
    <numFmt numFmtId="293" formatCode="&quot;\&quot;#,##0;&quot;\&quot;\-#,##0"/>
    <numFmt numFmtId="294" formatCode="\$#,##0\ ;\(\$#,##0\)"/>
    <numFmt numFmtId="295" formatCode="\$#,"/>
    <numFmt numFmtId="296" formatCode="&quot;$&quot;0.00\ ;\(&quot;$&quot;0.00\)"/>
    <numFmt numFmtId="297" formatCode="\$\ #,##0;\-\$\ #,##0"/>
    <numFmt numFmtId="298" formatCode=";;;"/>
    <numFmt numFmtId="299" formatCode="\ \ _•\–\ \ \ \ @"/>
    <numFmt numFmtId="300" formatCode="_(* #,##0.000000_);_(* \(#,##0.000000\);_(* &quot;-&quot;??_);_(@_)"/>
    <numFmt numFmtId="301" formatCode="m/d/yy_)"/>
    <numFmt numFmtId="302" formatCode="m/yy_)"/>
    <numFmt numFmtId="303" formatCode="mmm\-d\-yyyy"/>
    <numFmt numFmtId="304" formatCode="mmm\-yyyy"/>
    <numFmt numFmtId="305" formatCode="m/d/yy_%_)"/>
    <numFmt numFmtId="306" formatCode="m/d/yy_%_);;**"/>
    <numFmt numFmtId="307" formatCode="dd\ mmmyy\ hh:mm"/>
    <numFmt numFmtId="308" formatCode="#,##0.0\ \ ;\(#,##0.0\)\ "/>
    <numFmt numFmtId="309" formatCode="0_%_);\(0\)_%;0_%_);@_%_)"/>
    <numFmt numFmtId="310" formatCode="&quot;£ &quot;#,##0;[Red]\-&quot;£ &quot;#,##0"/>
    <numFmt numFmtId="311" formatCode="_([$€-2]\ * #,##0.00_);_([$€-2]\ * \(#,##0.00\);_([$€-2]\ * &quot;-&quot;??_)"/>
    <numFmt numFmtId="312" formatCode="_ [$€]* #,##0.00_ ;_ [$€]* \-#,##0.00_ ;_ [$€]* &quot;-&quot;??_ ;_ @_ "/>
    <numFmt numFmtId="313" formatCode="_([$€-2]* #,##0.00_);_([$€-2]* \(#,##0.00\);_([$€-2]* &quot;-&quot;??_)"/>
    <numFmt numFmtId="314" formatCode="#,##0.000_);\(#,##0.000\)"/>
    <numFmt numFmtId="315" formatCode="#,#00"/>
    <numFmt numFmtId="316" formatCode="#.##000"/>
    <numFmt numFmtId="317" formatCode="0.0\%_);\(0.0\%\);0.0\%_);@_%_)"/>
    <numFmt numFmtId="318" formatCode="####"/>
    <numFmt numFmtId="319" formatCode="0.00000000"/>
    <numFmt numFmtId="320" formatCode="#,##0.00&quot;F&quot;_);\(#,##0.00&quot;F&quot;\)"/>
    <numFmt numFmtId="321" formatCode="0\ 000\ 000\ 000"/>
    <numFmt numFmtId="322" formatCode="&quot;S/.&quot;\ #,##0_);[Red]\(&quot;S/.&quot;\ #,##0\)"/>
    <numFmt numFmtId="323" formatCode="#,##0.0000;\(#,##0.0000\)"/>
    <numFmt numFmtId="324" formatCode="_(&quot;S/.&quot;\ * #,##0.00_);_(&quot;S/.&quot;\ * \(#,##0.00\);_(&quot;S/.&quot;\ * &quot;-&quot;??_);_(@_)"/>
    <numFmt numFmtId="325" formatCode="0.00_);\(0.00\)"/>
    <numFmt numFmtId="326" formatCode="_-* #,##0.00\ _P_t_s_-;\-* #,##0.00\ _P_t_s_-;_-* &quot;-&quot;??\ _P_t_s_-;_-@_-"/>
    <numFmt numFmtId="327" formatCode="0.0000"/>
    <numFmt numFmtId="328" formatCode="[$$-409]#,##0"/>
    <numFmt numFmtId="329" formatCode="_ &quot;S/.&quot;* #,##0.00_ ;_ &quot;S/.&quot;* \-#,##0.00_ ;_ &quot;S/.&quot;* &quot;-&quot;??_ ;_ @_ "/>
    <numFmt numFmtId="330" formatCode="&quot;S/.&quot;\ #,##0_);\(&quot;S/.&quot;\ #,##0\)"/>
    <numFmt numFmtId="331" formatCode="\$#,#00"/>
    <numFmt numFmtId="332" formatCode="\$#,##0_);\(\$#,##0\)"/>
    <numFmt numFmtId="333" formatCode="0.0\x_)_);&quot;NM&quot;_x_)_);0.0\x_)_);@_%_)"/>
    <numFmt numFmtId="334" formatCode="0.000000000E+00;\盌"/>
    <numFmt numFmtId="335" formatCode="#,##0.0;\(#,##0.0\)"/>
    <numFmt numFmtId="336" formatCode="#,##0.000"/>
    <numFmt numFmtId="337" formatCode="#,##0.0;[Red]#,##0.0"/>
    <numFmt numFmtId="338" formatCode="0%;\(0%\)"/>
    <numFmt numFmtId="339" formatCode="%#,#00"/>
    <numFmt numFmtId="340" formatCode="0.0%_);\(0.0%\);0.0%_);@_%_)"/>
    <numFmt numFmtId="341" formatCode="#,"/>
    <numFmt numFmtId="342" formatCode="\ \ @"/>
    <numFmt numFmtId="343" formatCode="\ \ \ \ @"/>
    <numFmt numFmtId="344" formatCode="0.00_)"/>
    <numFmt numFmtId="345" formatCode="&quot;Fr.&quot;\ #,##0;[Red]&quot;Fr.&quot;\ \-#,##0"/>
    <numFmt numFmtId="346" formatCode="&quot;SFr&quot;\ #,##0.00_);[Red]\(&quot;SFr&quot;\ #,##0.00\)"/>
    <numFmt numFmtId="347" formatCode="&quot;x&quot;;&quot;x&quot;;&quot;x&quot;;&quot;x&quot;"/>
    <numFmt numFmtId="348" formatCode="0.0000%"/>
    <numFmt numFmtId="349" formatCode="_ &quot;\&quot;* #,##0_ ;_ &quot;\&quot;* \-#,##0_ ;_ &quot;\&quot;* &quot;-&quot;_ ;_ @_ "/>
    <numFmt numFmtId="350" formatCode="_ &quot;\&quot;* #,##0.00_ ;_ &quot;\&quot;* \-#,##0.00_ ;_ &quot;\&quot;* &quot;-&quot;??_ ;_ @_ "/>
    <numFmt numFmtId="351" formatCode="_ &quot;$&quot;\ * #,##0.00_ ;_ &quot;$&quot;\ * \-#,##0.00_ ;_ &quot;$&quot;\ * &quot;-&quot;??_ ;_ @_ "/>
    <numFmt numFmtId="352" formatCode="0.000"/>
    <numFmt numFmtId="353" formatCode="_ * #,##0.0_ ;_ * \-#,##0.0_ ;_ * &quot;-&quot;??_ ;_ @_ "/>
    <numFmt numFmtId="354" formatCode="_-* #,##0.000_-;\-* #,##0.000_-;_-* &quot;-&quot;??_-;_-@_-"/>
  </numFmts>
  <fonts count="375">
    <font>
      <sz val="11"/>
      <color theme="1"/>
      <name val="Calibri"/>
      <family val="2"/>
      <scheme val="minor"/>
    </font>
    <font>
      <sz val="10"/>
      <color indexed="9"/>
      <name val="Arial"/>
      <family val="2"/>
    </font>
    <font>
      <b/>
      <sz val="9"/>
      <color indexed="9"/>
      <name val="Arial"/>
      <family val="2"/>
    </font>
    <font>
      <sz val="9"/>
      <name val="Arial"/>
      <family val="2"/>
    </font>
    <font>
      <sz val="8"/>
      <color indexed="10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  <font>
      <b/>
      <sz val="8"/>
      <color indexed="8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theme="0"/>
      <name val="Arial"/>
      <family val="2"/>
    </font>
    <font>
      <sz val="8"/>
      <color rgb="FF0070C0"/>
      <name val="Arial"/>
      <family val="2"/>
    </font>
    <font>
      <b/>
      <sz val="8"/>
      <color rgb="FF3366FF"/>
      <name val="Arial"/>
      <family val="2"/>
    </font>
    <font>
      <sz val="11"/>
      <name val="Calibri"/>
      <family val="2"/>
      <scheme val="minor"/>
    </font>
    <font>
      <sz val="8"/>
      <color rgb="FFFF0000"/>
      <name val="Arial"/>
      <family val="2"/>
    </font>
    <font>
      <sz val="8"/>
      <color theme="1"/>
      <name val="Arial"/>
      <family val="2"/>
    </font>
    <font>
      <sz val="8"/>
      <color theme="1"/>
      <name val="Calibri"/>
      <family val="2"/>
      <scheme val="minor"/>
    </font>
    <font>
      <sz val="8"/>
      <color rgb="FF000000"/>
      <name val="Arial"/>
      <family val="2"/>
    </font>
    <font>
      <b/>
      <sz val="8"/>
      <color theme="0"/>
      <name val="Arial"/>
      <family val="2"/>
    </font>
    <font>
      <b/>
      <sz val="8"/>
      <color rgb="FFD60093"/>
      <name val="Arial"/>
      <family val="2"/>
    </font>
    <font>
      <b/>
      <sz val="8"/>
      <color indexed="9"/>
      <name val="Arial"/>
      <family val="2"/>
    </font>
    <font>
      <sz val="6"/>
      <color indexed="8"/>
      <name val="Arial"/>
      <family val="2"/>
    </font>
    <font>
      <sz val="9"/>
      <color rgb="FFFF0000"/>
      <name val="Arial"/>
      <family val="2"/>
    </font>
    <font>
      <sz val="10"/>
      <name val="Verdana"/>
      <family val="2"/>
    </font>
    <font>
      <b/>
      <sz val="8"/>
      <name val="Arial"/>
      <family val="2"/>
    </font>
    <font>
      <b/>
      <sz val="8"/>
      <color rgb="FF000000"/>
      <name val="Arial"/>
      <family val="2"/>
    </font>
    <font>
      <sz val="11"/>
      <color rgb="FF000000"/>
      <name val="Calibri"/>
      <family val="2"/>
      <scheme val="minor"/>
    </font>
    <font>
      <b/>
      <sz val="18"/>
      <name val="Monotype Hadassah"/>
      <family val="2"/>
      <charset val="177"/>
    </font>
    <font>
      <sz val="10"/>
      <name val="Times New Roman"/>
      <family val="1"/>
    </font>
    <font>
      <sz val="10"/>
      <name val="Arial Narrow"/>
      <family val="2"/>
    </font>
    <font>
      <sz val="10"/>
      <name val="GillSans"/>
      <family val="2"/>
    </font>
    <font>
      <sz val="12"/>
      <name val="Times New Roman"/>
      <family val="1"/>
    </font>
    <font>
      <sz val="10"/>
      <name val="Tms Rmn"/>
    </font>
    <font>
      <sz val="10"/>
      <name val="Baskerville MT"/>
    </font>
    <font>
      <sz val="10"/>
      <name val="Century Schoolbook"/>
      <family val="1"/>
    </font>
    <font>
      <sz val="9"/>
      <color indexed="10"/>
      <name val="Geneva"/>
    </font>
    <font>
      <i/>
      <sz val="9"/>
      <name val="Helv"/>
      <family val="2"/>
    </font>
    <font>
      <i/>
      <sz val="9"/>
      <name val="Helvetica"/>
      <family val="2"/>
    </font>
    <font>
      <sz val="9"/>
      <color indexed="10"/>
      <name val="Geneva"/>
      <family val="2"/>
    </font>
    <font>
      <sz val="13"/>
      <name val="Arial"/>
      <family val="2"/>
    </font>
    <font>
      <sz val="10"/>
      <color indexed="8"/>
      <name val="Trebuchet MS"/>
      <family val="2"/>
    </font>
    <font>
      <sz val="11"/>
      <name val="MS P????"/>
      <family val="3"/>
    </font>
    <font>
      <sz val="12"/>
      <name val="???"/>
      <family val="1"/>
      <charset val="129"/>
    </font>
    <font>
      <sz val="10"/>
      <name val="Courier"/>
      <family val="3"/>
    </font>
    <font>
      <sz val="10"/>
      <name val="Helv"/>
      <charset val="204"/>
    </font>
    <font>
      <sz val="12"/>
      <name val="System"/>
      <family val="2"/>
    </font>
    <font>
      <sz val="11"/>
      <name val="￥i￠￢￠?o"/>
      <family val="3"/>
      <charset val="255"/>
    </font>
    <font>
      <sz val="10"/>
      <name val="MS Sans Serif"/>
      <family val="2"/>
    </font>
    <font>
      <sz val="10"/>
      <color indexed="8"/>
      <name val="Arial"/>
      <family val="2"/>
    </font>
    <font>
      <sz val="10"/>
      <name val="Helv"/>
      <family val="2"/>
    </font>
    <font>
      <sz val="10"/>
      <color indexed="8"/>
      <name val="MS Sans Serif"/>
      <family val="2"/>
    </font>
    <font>
      <b/>
      <sz val="10"/>
      <name val="Arial"/>
      <family val="2"/>
    </font>
    <font>
      <b/>
      <i/>
      <sz val="8"/>
      <name val="Arial"/>
      <family val="2"/>
    </font>
    <font>
      <i/>
      <sz val="10"/>
      <color indexed="13"/>
      <name val="Arial"/>
      <family val="2"/>
    </font>
    <font>
      <i/>
      <sz val="10"/>
      <name val="Arial"/>
      <family val="2"/>
    </font>
    <font>
      <i/>
      <sz val="8"/>
      <name val="Arial"/>
      <family val="2"/>
    </font>
    <font>
      <sz val="10"/>
      <color indexed="13"/>
      <name val="Arial"/>
      <family val="2"/>
    </font>
    <font>
      <b/>
      <i/>
      <sz val="10"/>
      <name val="Arial"/>
      <family val="2"/>
    </font>
    <font>
      <b/>
      <i/>
      <sz val="9"/>
      <name val="Arial"/>
      <family val="2"/>
    </font>
    <font>
      <b/>
      <sz val="9"/>
      <name val="Arial"/>
      <family val="2"/>
    </font>
    <font>
      <sz val="12"/>
      <name val="Helv"/>
    </font>
    <font>
      <sz val="10"/>
      <name val="Helv"/>
      <charset val="238"/>
    </font>
    <font>
      <b/>
      <sz val="22"/>
      <color indexed="18"/>
      <name val="Arial"/>
      <family val="2"/>
    </font>
    <font>
      <sz val="10"/>
      <name val="Helv"/>
    </font>
    <font>
      <sz val="12"/>
      <name val="ⓒoUAAA¨u"/>
      <family val="1"/>
      <charset val="255"/>
    </font>
    <font>
      <b/>
      <sz val="14"/>
      <color indexed="18"/>
      <name val="Arial"/>
      <family val="2"/>
    </font>
    <font>
      <sz val="9"/>
      <color indexed="8"/>
      <name val="Arial"/>
      <family val="2"/>
    </font>
    <font>
      <b/>
      <sz val="10"/>
      <color indexed="18"/>
      <name val="Arial"/>
      <family val="2"/>
    </font>
    <font>
      <b/>
      <u val="singleAccounting"/>
      <sz val="10"/>
      <color indexed="18"/>
      <name val="Arial"/>
      <family val="2"/>
    </font>
    <font>
      <sz val="8"/>
      <color indexed="8"/>
      <name val="Times New Roman"/>
      <family val="1"/>
    </font>
    <font>
      <sz val="8"/>
      <color indexed="14"/>
      <name val="Times New Roman"/>
      <family val="1"/>
    </font>
    <font>
      <i/>
      <sz val="10"/>
      <color indexed="32"/>
      <name val="Arial Narrow"/>
      <family val="2"/>
    </font>
    <font>
      <sz val="11"/>
      <color indexed="8"/>
      <name val="Calibri"/>
      <family val="2"/>
    </font>
    <font>
      <sz val="8"/>
      <color indexed="22"/>
      <name val="Arial"/>
      <family val="2"/>
    </font>
    <font>
      <sz val="8"/>
      <name val="Antique Olive"/>
      <family val="2"/>
    </font>
    <font>
      <sz val="8"/>
      <name val="Geneva"/>
      <family val="2"/>
    </font>
    <font>
      <sz val="6"/>
      <name val="Arial"/>
      <family val="2"/>
    </font>
    <font>
      <b/>
      <sz val="6"/>
      <name val="Arial"/>
      <family val="2"/>
    </font>
    <font>
      <sz val="7"/>
      <name val="Arial"/>
      <family val="2"/>
    </font>
    <font>
      <b/>
      <sz val="7"/>
      <name val="Arial"/>
      <family val="2"/>
    </font>
    <font>
      <b/>
      <sz val="9"/>
      <name val="Symbol"/>
      <family val="1"/>
      <charset val="2"/>
    </font>
    <font>
      <b/>
      <u/>
      <sz val="9"/>
      <name val="Arial"/>
      <family val="2"/>
    </font>
    <font>
      <b/>
      <u/>
      <sz val="9"/>
      <color indexed="10"/>
      <name val="Times New Roman"/>
      <family val="1"/>
    </font>
    <font>
      <b/>
      <sz val="9"/>
      <color indexed="18"/>
      <name val="Times New Roman"/>
      <family val="1"/>
    </font>
    <font>
      <b/>
      <u/>
      <sz val="10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i/>
      <sz val="11"/>
      <name val="Arial"/>
      <family val="2"/>
    </font>
    <font>
      <b/>
      <u/>
      <sz val="11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i/>
      <sz val="12"/>
      <name val="Arial"/>
      <family val="2"/>
    </font>
    <font>
      <b/>
      <u/>
      <sz val="12"/>
      <name val="Arial"/>
      <family val="2"/>
    </font>
    <font>
      <b/>
      <sz val="14"/>
      <name val="Arial"/>
      <family val="2"/>
    </font>
    <font>
      <b/>
      <i/>
      <sz val="14"/>
      <name val="Arial"/>
      <family val="2"/>
    </font>
    <font>
      <b/>
      <u/>
      <sz val="14"/>
      <name val="Arial"/>
      <family val="2"/>
    </font>
    <font>
      <b/>
      <sz val="16"/>
      <name val="Arial"/>
      <family val="2"/>
    </font>
    <font>
      <b/>
      <i/>
      <sz val="16"/>
      <name val="Arial"/>
      <family val="2"/>
    </font>
    <font>
      <b/>
      <u/>
      <sz val="16"/>
      <name val="Arial"/>
      <family val="2"/>
    </font>
    <font>
      <b/>
      <sz val="18"/>
      <name val="Arial"/>
      <family val="2"/>
    </font>
    <font>
      <b/>
      <i/>
      <sz val="18"/>
      <name val="Arial"/>
      <family val="2"/>
    </font>
    <font>
      <b/>
      <u/>
      <sz val="18"/>
      <name val="Arial"/>
      <family val="2"/>
    </font>
    <font>
      <sz val="14"/>
      <name val="Tms Rmn"/>
    </font>
    <font>
      <sz val="11"/>
      <color indexed="47"/>
      <name val="Calibri"/>
      <family val="2"/>
    </font>
    <font>
      <sz val="11"/>
      <color indexed="8"/>
      <name val="ＭＳ Ｐゴシック"/>
      <family val="3"/>
      <charset val="128"/>
    </font>
    <font>
      <b/>
      <sz val="24"/>
      <name val="Arial"/>
      <family val="2"/>
    </font>
    <font>
      <b/>
      <i/>
      <sz val="24"/>
      <name val="Arial"/>
      <family val="2"/>
    </font>
    <font>
      <b/>
      <u/>
      <sz val="24"/>
      <name val="Arial"/>
      <family val="2"/>
    </font>
    <font>
      <sz val="10"/>
      <color theme="1"/>
      <name val="Arial"/>
      <family val="2"/>
    </font>
    <font>
      <sz val="11"/>
      <color indexed="9"/>
      <name val="Calibri"/>
      <family val="2"/>
    </font>
    <font>
      <sz val="10"/>
      <color theme="0"/>
      <name val="Arial"/>
      <family val="2"/>
    </font>
    <font>
      <sz val="11"/>
      <color indexed="9"/>
      <name val="ＭＳ Ｐゴシック"/>
      <family val="3"/>
      <charset val="128"/>
    </font>
    <font>
      <sz val="10"/>
      <name val="Geneva"/>
      <charset val="177"/>
    </font>
    <font>
      <sz val="9"/>
      <name val="Times New Roman"/>
      <family val="1"/>
    </font>
    <font>
      <b/>
      <sz val="16"/>
      <color indexed="9"/>
      <name val="Arial"/>
      <family val="2"/>
    </font>
    <font>
      <sz val="11"/>
      <color indexed="12"/>
      <name val="Arial"/>
      <family val="2"/>
    </font>
    <font>
      <sz val="8"/>
      <color indexed="12"/>
      <name val="Arial"/>
      <family val="2"/>
    </font>
    <font>
      <b/>
      <u/>
      <sz val="12"/>
      <color indexed="10"/>
      <name val="Arial"/>
      <family val="2"/>
    </font>
    <font>
      <b/>
      <sz val="10"/>
      <color indexed="32"/>
      <name val="Arial"/>
      <family val="2"/>
    </font>
    <font>
      <i/>
      <sz val="11"/>
      <color indexed="16"/>
      <name val="Arial"/>
      <family val="2"/>
    </font>
    <font>
      <i/>
      <sz val="11"/>
      <color indexed="21"/>
      <name val="Arial"/>
      <family val="2"/>
    </font>
    <font>
      <i/>
      <sz val="8"/>
      <color indexed="54"/>
      <name val="Arial"/>
      <family val="2"/>
    </font>
    <font>
      <i/>
      <sz val="8"/>
      <color indexed="16"/>
      <name val="Arial"/>
      <family val="2"/>
    </font>
    <font>
      <i/>
      <sz val="9"/>
      <color indexed="16"/>
      <name val="Arial"/>
      <family val="2"/>
    </font>
    <font>
      <b/>
      <sz val="12"/>
      <name val="MS Sans Serif"/>
      <family val="2"/>
    </font>
    <font>
      <sz val="10"/>
      <color indexed="12"/>
      <name val="Times New Roman"/>
      <family val="1"/>
    </font>
    <font>
      <sz val="10"/>
      <name val="CG Times"/>
      <family val="1"/>
    </font>
    <font>
      <sz val="10"/>
      <color indexed="12"/>
      <name val="Arial"/>
      <family val="2"/>
    </font>
    <font>
      <sz val="8"/>
      <name val="Tahoma"/>
      <family val="2"/>
    </font>
    <font>
      <sz val="8"/>
      <name val="Times New Roman"/>
      <family val="1"/>
    </font>
    <font>
      <sz val="12"/>
      <color indexed="8"/>
      <name val="Arial"/>
      <family val="2"/>
    </font>
    <font>
      <sz val="14"/>
      <color indexed="8"/>
      <name val="Arial"/>
      <family val="2"/>
    </font>
    <font>
      <sz val="8"/>
      <color indexed="12"/>
      <name val="Helv"/>
    </font>
    <font>
      <sz val="10"/>
      <name val="Geneva"/>
      <family val="2"/>
    </font>
    <font>
      <sz val="7"/>
      <name val="MS Sans Serif"/>
      <family val="2"/>
    </font>
    <font>
      <sz val="8"/>
      <name val="MS Sans Serif"/>
      <family val="2"/>
    </font>
    <font>
      <sz val="10"/>
      <color indexed="9"/>
      <name val="Gill Sans MT"/>
      <family val="2"/>
    </font>
    <font>
      <b/>
      <sz val="10"/>
      <color indexed="9"/>
      <name val="Gill Sans MT"/>
      <family val="2"/>
    </font>
    <font>
      <b/>
      <sz val="24"/>
      <name val="Times New Roman"/>
      <family val="1"/>
    </font>
    <font>
      <sz val="9"/>
      <name val="Tahoma"/>
      <family val="2"/>
    </font>
    <font>
      <sz val="11"/>
      <color indexed="20"/>
      <name val="Calibri"/>
      <family val="2"/>
    </font>
    <font>
      <sz val="10"/>
      <color rgb="FF9C0006"/>
      <name val="Arial"/>
      <family val="2"/>
    </font>
    <font>
      <sz val="11"/>
      <color indexed="31"/>
      <name val="Calibri"/>
      <family val="2"/>
    </font>
    <font>
      <sz val="11"/>
      <color indexed="60"/>
      <name val="Calibri"/>
      <family val="2"/>
    </font>
    <font>
      <b/>
      <sz val="12"/>
      <color indexed="61"/>
      <name val="Tahoma"/>
      <family val="2"/>
    </font>
    <font>
      <b/>
      <sz val="14"/>
      <color indexed="26"/>
      <name val="Times New Roman"/>
      <family val="1"/>
    </font>
    <font>
      <b/>
      <sz val="11"/>
      <color indexed="8"/>
      <name val="Times New Roman"/>
      <family val="1"/>
    </font>
    <font>
      <sz val="10"/>
      <color indexed="18"/>
      <name val="MS Sans Serif"/>
      <family val="2"/>
    </font>
    <font>
      <strike/>
      <sz val="8"/>
      <name val="Arial"/>
      <family val="2"/>
    </font>
    <font>
      <sz val="8"/>
      <color indexed="12"/>
      <name val="Tms Rmn"/>
    </font>
    <font>
      <sz val="8"/>
      <name val="Helv"/>
    </font>
    <font>
      <sz val="12"/>
      <name val="Tms Rmn"/>
    </font>
    <font>
      <sz val="8"/>
      <name val="Verdana Ref"/>
      <family val="2"/>
    </font>
    <font>
      <b/>
      <sz val="12"/>
      <name val="Times New Roman"/>
      <family val="1"/>
    </font>
    <font>
      <sz val="7"/>
      <name val="SwitzerlandLight"/>
    </font>
    <font>
      <b/>
      <sz val="10"/>
      <name val="MS Sans Serif"/>
      <family val="2"/>
    </font>
    <font>
      <sz val="11"/>
      <color indexed="48"/>
      <name val="Arial"/>
      <family val="2"/>
    </font>
    <font>
      <b/>
      <i/>
      <sz val="12"/>
      <name val="Times New Roman"/>
      <family val="1"/>
    </font>
    <font>
      <i/>
      <sz val="8"/>
      <color indexed="12"/>
      <name val="Arial"/>
      <family val="2"/>
    </font>
    <font>
      <sz val="10"/>
      <color indexed="17"/>
      <name val="Arial"/>
      <family val="2"/>
    </font>
    <font>
      <sz val="11"/>
      <color indexed="17"/>
      <name val="Calibri"/>
      <family val="2"/>
    </font>
    <font>
      <sz val="12"/>
      <name val="¹UAAA¼"/>
      <family val="1"/>
      <charset val="255"/>
    </font>
    <font>
      <sz val="12"/>
      <color indexed="8"/>
      <name val="Times New Roman"/>
      <family val="1"/>
    </font>
    <font>
      <sz val="12"/>
      <color indexed="10"/>
      <name val="Times New Roman"/>
      <family val="1"/>
    </font>
    <font>
      <b/>
      <sz val="24"/>
      <name val="Arial Narrow"/>
      <family val="2"/>
    </font>
    <font>
      <i/>
      <sz val="12"/>
      <name val="Arial"/>
      <family val="2"/>
    </font>
    <font>
      <sz val="9"/>
      <color indexed="18"/>
      <name val="Arial"/>
      <family val="2"/>
    </font>
    <font>
      <i/>
      <sz val="10"/>
      <color indexed="18"/>
      <name val="Arial"/>
      <family val="2"/>
    </font>
    <font>
      <sz val="10"/>
      <color indexed="18"/>
      <name val="Arial"/>
      <family val="2"/>
    </font>
    <font>
      <sz val="8"/>
      <color indexed="18"/>
      <name val="Arial"/>
      <family val="2"/>
    </font>
    <font>
      <i/>
      <sz val="9"/>
      <color indexed="18"/>
      <name val="Arial"/>
      <family val="2"/>
    </font>
    <font>
      <b/>
      <sz val="12"/>
      <color indexed="8"/>
      <name val="Times New Roman"/>
      <family val="1"/>
    </font>
    <font>
      <b/>
      <sz val="18"/>
      <color indexed="22"/>
      <name val="Arial"/>
      <family val="2"/>
    </font>
    <font>
      <b/>
      <sz val="12"/>
      <color indexed="22"/>
      <name val="Arial"/>
      <family val="2"/>
    </font>
    <font>
      <sz val="8"/>
      <color indexed="43"/>
      <name val="Arial"/>
      <family val="2"/>
    </font>
    <font>
      <b/>
      <sz val="9"/>
      <color indexed="12"/>
      <name val="Tahoma"/>
      <family val="2"/>
    </font>
    <font>
      <sz val="10"/>
      <name val="ErieLight"/>
      <family val="2"/>
    </font>
    <font>
      <sz val="9"/>
      <name val="Helv"/>
    </font>
    <font>
      <b/>
      <sz val="11"/>
      <color indexed="52"/>
      <name val="Calibri"/>
      <family val="2"/>
    </font>
    <font>
      <b/>
      <sz val="10"/>
      <color rgb="FFFA7D00"/>
      <name val="Arial"/>
      <family val="2"/>
    </font>
    <font>
      <b/>
      <sz val="11"/>
      <color indexed="24"/>
      <name val="Calibri"/>
      <family val="2"/>
    </font>
    <font>
      <b/>
      <sz val="11"/>
      <color indexed="28"/>
      <name val="Calibri"/>
      <family val="2"/>
    </font>
    <font>
      <b/>
      <sz val="10"/>
      <color indexed="52"/>
      <name val="Arial"/>
      <family val="2"/>
    </font>
    <font>
      <b/>
      <sz val="11"/>
      <color indexed="10"/>
      <name val="Calibri"/>
      <family val="2"/>
    </font>
    <font>
      <b/>
      <sz val="11"/>
      <color indexed="17"/>
      <name val="Calibri"/>
      <family val="2"/>
    </font>
    <font>
      <b/>
      <sz val="11"/>
      <color indexed="53"/>
      <name val="Calibri"/>
      <family val="2"/>
    </font>
    <font>
      <b/>
      <sz val="12"/>
      <name val="Helvetica"/>
      <family val="2"/>
    </font>
    <font>
      <sz val="9"/>
      <name val="Book Antiqua"/>
      <family val="1"/>
    </font>
    <font>
      <b/>
      <sz val="10"/>
      <name val="Helv"/>
    </font>
    <font>
      <b/>
      <sz val="10"/>
      <color indexed="9"/>
      <name val="Arial"/>
      <family val="2"/>
    </font>
    <font>
      <b/>
      <sz val="11"/>
      <color indexed="9"/>
      <name val="Calibri"/>
      <family val="2"/>
    </font>
    <font>
      <sz val="10"/>
      <color indexed="52"/>
      <name val="Arial"/>
      <family val="2"/>
    </font>
    <font>
      <sz val="11"/>
      <color indexed="28"/>
      <name val="Calibri"/>
      <family val="2"/>
    </font>
    <font>
      <sz val="11"/>
      <color indexed="10"/>
      <name val="Calibri"/>
      <family val="2"/>
    </font>
    <font>
      <sz val="11"/>
      <color indexed="53"/>
      <name val="Calibri"/>
      <family val="2"/>
    </font>
    <font>
      <sz val="11"/>
      <color indexed="52"/>
      <name val="Calibri"/>
      <family val="2"/>
    </font>
    <font>
      <b/>
      <sz val="10"/>
      <color indexed="8"/>
      <name val="Times New Roman"/>
      <family val="1"/>
    </font>
    <font>
      <b/>
      <sz val="10"/>
      <color theme="0"/>
      <name val="Arial"/>
      <family val="2"/>
    </font>
    <font>
      <b/>
      <sz val="8"/>
      <color indexed="8"/>
      <name val="Verdana"/>
      <family val="2"/>
    </font>
    <font>
      <b/>
      <sz val="12"/>
      <color indexed="12"/>
      <name val="Bookman Old Style"/>
      <family val="1"/>
    </font>
    <font>
      <u/>
      <sz val="10"/>
      <color indexed="12"/>
      <name val="Arial"/>
      <family val="2"/>
    </font>
    <font>
      <u/>
      <sz val="10"/>
      <color indexed="36"/>
      <name val="Arial"/>
      <family val="2"/>
    </font>
    <font>
      <sz val="10"/>
      <color indexed="39"/>
      <name val="Helvetica"/>
      <family val="2"/>
    </font>
    <font>
      <i/>
      <sz val="9"/>
      <color indexed="8"/>
      <name val="Helvetica"/>
      <family val="2"/>
    </font>
    <font>
      <sz val="10"/>
      <name val="Arial CE"/>
      <charset val="238"/>
    </font>
    <font>
      <b/>
      <u val="singleAccounting"/>
      <sz val="8"/>
      <name val="Arial"/>
      <family val="2"/>
    </font>
    <font>
      <b/>
      <u val="singleAccounting"/>
      <sz val="8"/>
      <color indexed="8"/>
      <name val="Arial"/>
      <family val="2"/>
    </font>
    <font>
      <b/>
      <sz val="10"/>
      <name val="Verdana"/>
      <family val="2"/>
    </font>
    <font>
      <sz val="10"/>
      <color indexed="24"/>
      <name val="Arial"/>
      <family val="2"/>
    </font>
    <font>
      <sz val="11"/>
      <name val="Arial Narrow"/>
      <family val="2"/>
    </font>
    <font>
      <sz val="10"/>
      <color rgb="FF000000"/>
      <name val="Arial"/>
      <family val="2"/>
    </font>
    <font>
      <sz val="8"/>
      <color indexed="12"/>
      <name val="Times New Roman"/>
      <family val="1"/>
    </font>
    <font>
      <sz val="8"/>
      <name val="Palatino"/>
      <family val="1"/>
    </font>
    <font>
      <sz val="9"/>
      <color theme="1"/>
      <name val="Calibri"/>
      <family val="2"/>
      <scheme val="minor"/>
    </font>
    <font>
      <sz val="10"/>
      <name val="ＭＳ Ｐゴシック"/>
      <family val="3"/>
      <charset val="128"/>
    </font>
    <font>
      <sz val="10"/>
      <color indexed="22"/>
      <name val="MS Sans Serif"/>
      <family val="2"/>
    </font>
    <font>
      <sz val="10"/>
      <name val="BERNHARD"/>
    </font>
    <font>
      <sz val="1"/>
      <color indexed="8"/>
      <name val="Courier"/>
      <family val="3"/>
    </font>
    <font>
      <sz val="10"/>
      <color indexed="24"/>
      <name val="Times New Roman"/>
      <family val="1"/>
    </font>
    <font>
      <b/>
      <sz val="14"/>
      <name val="Book Antiqua"/>
      <family val="1"/>
    </font>
    <font>
      <sz val="10"/>
      <name val="MS Serif"/>
      <family val="1"/>
    </font>
    <font>
      <b/>
      <sz val="8"/>
      <name val="Helv"/>
    </font>
    <font>
      <sz val="10"/>
      <name val="Book Antiqua"/>
      <family val="1"/>
    </font>
    <font>
      <sz val="8"/>
      <color indexed="16"/>
      <name val="Palatino"/>
      <family val="1"/>
    </font>
    <font>
      <sz val="10"/>
      <name val="Palatino"/>
      <family val="1"/>
    </font>
    <font>
      <b/>
      <i/>
      <strike/>
      <sz val="12"/>
      <color indexed="48"/>
      <name val="Arial"/>
      <family val="2"/>
    </font>
    <font>
      <sz val="8"/>
      <color indexed="9"/>
      <name val="Arial"/>
      <family val="2"/>
    </font>
    <font>
      <b/>
      <sz val="11"/>
      <name val="Helvetica"/>
      <family val="2"/>
    </font>
    <font>
      <u/>
      <sz val="8"/>
      <color indexed="12"/>
      <name val="Times New Roman"/>
      <family val="1"/>
    </font>
    <font>
      <b/>
      <sz val="9"/>
      <name val="Tahoma"/>
      <family val="2"/>
    </font>
    <font>
      <u val="doubleAccounting"/>
      <sz val="10"/>
      <name val="Times New Roman"/>
      <family val="1"/>
    </font>
    <font>
      <sz val="10"/>
      <name val="Geneva"/>
    </font>
    <font>
      <b/>
      <sz val="11"/>
      <color indexed="8"/>
      <name val="Calibri"/>
      <family val="2"/>
    </font>
    <font>
      <b/>
      <sz val="1"/>
      <color indexed="8"/>
      <name val="Courier"/>
      <family val="3"/>
    </font>
    <font>
      <b/>
      <sz val="11"/>
      <color indexed="56"/>
      <name val="Arial"/>
      <family val="2"/>
    </font>
    <font>
      <b/>
      <sz val="11"/>
      <color indexed="54"/>
      <name val="Calibri"/>
      <family val="2"/>
    </font>
    <font>
      <b/>
      <sz val="11"/>
      <color indexed="62"/>
      <name val="Calibri"/>
      <family val="2"/>
    </font>
    <font>
      <b/>
      <sz val="11"/>
      <color indexed="56"/>
      <name val="Calibri"/>
      <family val="2"/>
    </font>
    <font>
      <sz val="11"/>
      <color indexed="59"/>
      <name val="Calibri"/>
      <family val="2"/>
    </font>
    <font>
      <sz val="10"/>
      <color indexed="16"/>
      <name val="MS Serif"/>
      <family val="1"/>
    </font>
    <font>
      <sz val="10"/>
      <color indexed="62"/>
      <name val="Arial"/>
      <family val="2"/>
    </font>
    <font>
      <sz val="11"/>
      <color indexed="54"/>
      <name val="Calibri"/>
      <family val="2"/>
    </font>
    <font>
      <sz val="11"/>
      <color indexed="48"/>
      <name val="Calibri"/>
      <family val="2"/>
    </font>
    <font>
      <sz val="11"/>
      <color indexed="62"/>
      <name val="Calibri"/>
      <family val="2"/>
    </font>
    <font>
      <i/>
      <sz val="11"/>
      <color indexed="55"/>
      <name val="Calibri"/>
      <family val="2"/>
    </font>
    <font>
      <b/>
      <sz val="14"/>
      <color indexed="32"/>
      <name val="Arial"/>
      <family val="2"/>
    </font>
    <font>
      <u/>
      <sz val="8"/>
      <color indexed="61"/>
      <name val="Verdana"/>
      <family val="2"/>
    </font>
    <font>
      <b/>
      <sz val="12"/>
      <color indexed="24"/>
      <name val="Arial"/>
      <family val="2"/>
    </font>
    <font>
      <b/>
      <sz val="14"/>
      <color indexed="24"/>
      <name val="Arial"/>
      <family val="2"/>
    </font>
    <font>
      <sz val="7"/>
      <name val="Palatino"/>
      <family val="1"/>
    </font>
    <font>
      <sz val="6"/>
      <color indexed="16"/>
      <name val="Palatino"/>
      <family val="1"/>
    </font>
    <font>
      <b/>
      <sz val="12"/>
      <name val="Helv"/>
    </font>
    <font>
      <b/>
      <sz val="15"/>
      <color indexed="54"/>
      <name val="Calibri"/>
      <family val="2"/>
    </font>
    <font>
      <b/>
      <sz val="13"/>
      <color indexed="54"/>
      <name val="Calibri"/>
      <family val="2"/>
    </font>
    <font>
      <b/>
      <sz val="18"/>
      <color indexed="24"/>
      <name val="Arial"/>
      <family val="2"/>
    </font>
    <font>
      <u/>
      <sz val="11"/>
      <color indexed="12"/>
      <name val="Calibri"/>
      <family val="2"/>
    </font>
    <font>
      <u/>
      <sz val="8"/>
      <color indexed="12"/>
      <name val="Verdana"/>
      <family val="2"/>
    </font>
    <font>
      <sz val="10"/>
      <color indexed="20"/>
      <name val="Arial"/>
      <family val="2"/>
    </font>
    <font>
      <sz val="11"/>
      <color indexed="37"/>
      <name val="Calibri"/>
      <family val="2"/>
    </font>
    <font>
      <sz val="11"/>
      <color indexed="16"/>
      <name val="Calibri"/>
      <family val="2"/>
    </font>
    <font>
      <sz val="8"/>
      <color indexed="56"/>
      <name val="Helvetica"/>
      <family val="2"/>
    </font>
    <font>
      <sz val="8"/>
      <color indexed="39"/>
      <name val="Helvetica"/>
      <family val="2"/>
    </font>
    <font>
      <sz val="8"/>
      <color indexed="39"/>
      <name val="Helv"/>
      <family val="2"/>
    </font>
    <font>
      <sz val="1"/>
      <color indexed="9"/>
      <name val="Symbol"/>
      <family val="1"/>
      <charset val="2"/>
    </font>
    <font>
      <b/>
      <sz val="9"/>
      <color indexed="63"/>
      <name val="Tahoma"/>
      <family val="2"/>
    </font>
    <font>
      <sz val="10"/>
      <color indexed="14"/>
      <name val="Arial"/>
      <family val="2"/>
    </font>
    <font>
      <sz val="12"/>
      <color indexed="9"/>
      <name val="Helv"/>
    </font>
    <font>
      <sz val="16"/>
      <name val="Arial"/>
      <family val="2"/>
    </font>
    <font>
      <sz val="8"/>
      <color indexed="8"/>
      <name val="Helv"/>
    </font>
    <font>
      <b/>
      <sz val="12"/>
      <color indexed="20"/>
      <name val="Tahoma"/>
      <family val="2"/>
    </font>
    <font>
      <sz val="10"/>
      <color indexed="20"/>
      <name val="Times New Roman"/>
      <family val="1"/>
    </font>
    <font>
      <sz val="11"/>
      <color indexed="8"/>
      <name val="Arial"/>
      <family val="2"/>
    </font>
    <font>
      <sz val="11"/>
      <color theme="1"/>
      <name val="Calibri"/>
      <family val="2"/>
      <charset val="1"/>
      <scheme val="minor"/>
    </font>
    <font>
      <sz val="10"/>
      <color indexed="60"/>
      <name val="Arial"/>
      <family val="2"/>
    </font>
    <font>
      <b/>
      <u val="singleAccounting"/>
      <sz val="8"/>
      <color indexed="8"/>
      <name val="Verdana"/>
      <family val="2"/>
    </font>
    <font>
      <b/>
      <sz val="12"/>
      <color indexed="8"/>
      <name val="Verdana"/>
      <family val="2"/>
    </font>
    <font>
      <sz val="7"/>
      <name val="Small Fonts"/>
      <family val="2"/>
    </font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sz val="10"/>
      <name val="Formata Regular"/>
      <family val="2"/>
    </font>
    <font>
      <sz val="12"/>
      <name val="Palatino"/>
      <family val="1"/>
    </font>
    <font>
      <sz val="11"/>
      <name val="‚l‚r –¾’©"/>
      <charset val="128"/>
    </font>
    <font>
      <b/>
      <sz val="11"/>
      <color indexed="63"/>
      <name val="Calibri"/>
      <family val="2"/>
    </font>
    <font>
      <sz val="10"/>
      <color indexed="8"/>
      <name val="Helvetica"/>
      <family val="2"/>
    </font>
    <font>
      <b/>
      <sz val="10"/>
      <color indexed="63"/>
      <name val="Arial"/>
      <family val="2"/>
    </font>
    <font>
      <sz val="10"/>
      <color indexed="16"/>
      <name val="Helvetica-Black"/>
    </font>
    <font>
      <b/>
      <sz val="12"/>
      <color indexed="9"/>
      <name val="Courier"/>
      <family val="3"/>
    </font>
    <font>
      <sz val="10"/>
      <color indexed="10"/>
      <name val="Arial"/>
      <family val="2"/>
    </font>
    <font>
      <b/>
      <sz val="8"/>
      <color indexed="32"/>
      <name val="Arial"/>
      <family val="2"/>
    </font>
    <font>
      <sz val="8"/>
      <color indexed="61"/>
      <name val="Arial"/>
      <family val="2"/>
    </font>
    <font>
      <b/>
      <i/>
      <sz val="10"/>
      <color indexed="32"/>
      <name val="Arial"/>
      <family val="2"/>
    </font>
    <font>
      <b/>
      <i/>
      <sz val="10"/>
      <color indexed="61"/>
      <name val="Arial"/>
      <family val="2"/>
    </font>
    <font>
      <b/>
      <i/>
      <sz val="10"/>
      <color indexed="28"/>
      <name val="Arial"/>
      <family val="2"/>
    </font>
    <font>
      <b/>
      <i/>
      <sz val="10"/>
      <color indexed="20"/>
      <name val="Arial"/>
      <family val="2"/>
    </font>
    <font>
      <sz val="10"/>
      <color indexed="10"/>
      <name val="MS Sans Serif"/>
      <family val="2"/>
    </font>
    <font>
      <b/>
      <sz val="10"/>
      <color indexed="8"/>
      <name val="Helv"/>
    </font>
    <font>
      <b/>
      <sz val="14"/>
      <color indexed="8"/>
      <name val="Helv"/>
    </font>
    <font>
      <sz val="10"/>
      <color indexed="8"/>
      <name val="Helv"/>
    </font>
    <font>
      <b/>
      <sz val="10"/>
      <color indexed="24"/>
      <name val="Arial"/>
      <family val="2"/>
    </font>
    <font>
      <b/>
      <sz val="10"/>
      <color indexed="8"/>
      <name val="Arial"/>
      <family val="2"/>
    </font>
    <font>
      <sz val="8"/>
      <color indexed="62"/>
      <name val="Arial"/>
      <family val="2"/>
    </font>
    <font>
      <b/>
      <sz val="10"/>
      <color indexed="39"/>
      <name val="Arial"/>
      <family val="2"/>
    </font>
    <font>
      <sz val="10"/>
      <color indexed="39"/>
      <name val="Arial"/>
      <family val="2"/>
    </font>
    <font>
      <b/>
      <sz val="12"/>
      <color indexed="8"/>
      <name val="Arial"/>
      <family val="2"/>
    </font>
    <font>
      <sz val="19"/>
      <name val="Arial"/>
      <family val="2"/>
    </font>
    <font>
      <b/>
      <sz val="16"/>
      <color indexed="23"/>
      <name val="Arial"/>
      <family val="2"/>
    </font>
    <font>
      <sz val="8"/>
      <color indexed="14"/>
      <name val="Arial"/>
      <family val="2"/>
    </font>
    <font>
      <b/>
      <sz val="8"/>
      <color indexed="9"/>
      <name val="Verdana"/>
      <family val="2"/>
    </font>
    <font>
      <sz val="1"/>
      <color indexed="72"/>
      <name val="Courier"/>
      <family val="3"/>
    </font>
    <font>
      <sz val="12"/>
      <name val="Verdana"/>
      <family val="2"/>
    </font>
    <font>
      <b/>
      <sz val="18"/>
      <color indexed="62"/>
      <name val="Cambria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9"/>
      <name val="Palatino"/>
      <family val="1"/>
    </font>
    <font>
      <sz val="9"/>
      <color indexed="21"/>
      <name val="Helvetica-Black"/>
    </font>
    <font>
      <sz val="9"/>
      <name val="Helvetica-Black"/>
    </font>
    <font>
      <sz val="12"/>
      <name val="Garamond"/>
      <family val="1"/>
    </font>
    <font>
      <i/>
      <sz val="8"/>
      <color indexed="8"/>
      <name val="Arial"/>
      <family val="2"/>
    </font>
    <font>
      <sz val="11"/>
      <color indexed="14"/>
      <name val="Calibri"/>
      <family val="2"/>
    </font>
    <font>
      <i/>
      <sz val="10"/>
      <color indexed="23"/>
      <name val="Arial"/>
      <family val="2"/>
    </font>
    <font>
      <i/>
      <sz val="11"/>
      <color indexed="23"/>
      <name val="Calibri"/>
      <family val="2"/>
    </font>
    <font>
      <b/>
      <u/>
      <sz val="10"/>
      <name val="Arial Narrow"/>
      <family val="2"/>
    </font>
    <font>
      <b/>
      <sz val="18"/>
      <color indexed="54"/>
      <name val="Cambria"/>
      <family val="2"/>
    </font>
    <font>
      <b/>
      <sz val="13"/>
      <color indexed="8"/>
      <name val="Verdana"/>
      <family val="2"/>
    </font>
    <font>
      <b/>
      <i/>
      <sz val="14"/>
      <name val="Helv"/>
      <family val="2"/>
    </font>
    <font>
      <b/>
      <sz val="15"/>
      <color indexed="56"/>
      <name val="Arial"/>
      <family val="2"/>
    </font>
    <font>
      <b/>
      <sz val="15"/>
      <color indexed="62"/>
      <name val="Calibri"/>
      <family val="2"/>
    </font>
    <font>
      <b/>
      <sz val="15"/>
      <color indexed="56"/>
      <name val="Calibri"/>
      <family val="2"/>
    </font>
    <font>
      <b/>
      <sz val="18"/>
      <color indexed="56"/>
      <name val="Cambria"/>
      <family val="2"/>
    </font>
    <font>
      <b/>
      <sz val="13"/>
      <color indexed="56"/>
      <name val="Arial"/>
      <family val="2"/>
    </font>
    <font>
      <b/>
      <sz val="13"/>
      <color indexed="62"/>
      <name val="Calibri"/>
      <family val="2"/>
    </font>
    <font>
      <b/>
      <sz val="13"/>
      <color indexed="56"/>
      <name val="Calibri"/>
      <family val="2"/>
    </font>
    <font>
      <sz val="10"/>
      <color indexed="32"/>
      <name val="Arial"/>
      <family val="2"/>
    </font>
    <font>
      <u val="double"/>
      <sz val="8"/>
      <color indexed="8"/>
      <name val="Arial"/>
      <family val="2"/>
    </font>
    <font>
      <sz val="10"/>
      <color indexed="8"/>
      <name val="Haettenschweiler"/>
      <family val="2"/>
    </font>
    <font>
      <b/>
      <sz val="9"/>
      <color indexed="10"/>
      <name val="Wingdings"/>
      <charset val="2"/>
    </font>
    <font>
      <sz val="12"/>
      <name val="바탕체"/>
      <family val="1"/>
      <charset val="129"/>
    </font>
    <font>
      <sz val="8"/>
      <color rgb="FF6D6D6D"/>
      <name val="Tahoma"/>
      <family val="2"/>
    </font>
    <font>
      <sz val="11"/>
      <color rgb="FF000000"/>
      <name val="Calibri"/>
      <family val="2"/>
      <charset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9"/>
      <color indexed="81"/>
      <name val="Tahoma"/>
      <family val="2"/>
    </font>
    <font>
      <b/>
      <i/>
      <sz val="9"/>
      <color indexed="81"/>
      <name val="Tahoma"/>
      <family val="2"/>
    </font>
    <font>
      <sz val="8"/>
      <color rgb="FFD60093"/>
      <name val="Arial"/>
      <family val="2"/>
    </font>
    <font>
      <sz val="8"/>
      <color theme="0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name val="Calibri"/>
      <family val="2"/>
      <scheme val="minor"/>
    </font>
    <font>
      <sz val="9"/>
      <name val="Calibri"/>
      <family val="2"/>
      <scheme val="minor"/>
    </font>
    <font>
      <sz val="8"/>
      <color theme="0"/>
      <name val="Arial"/>
      <family val="2"/>
    </font>
    <font>
      <b/>
      <sz val="9"/>
      <color rgb="FFFFFF00"/>
      <name val="Arial"/>
      <family val="2"/>
    </font>
    <font>
      <b/>
      <sz val="9"/>
      <color rgb="FFFFFFFF"/>
      <name val="Arial"/>
      <family val="2"/>
    </font>
    <font>
      <b/>
      <sz val="9"/>
      <color indexed="9"/>
      <name val="Arial"/>
      <family val="2"/>
    </font>
    <font>
      <sz val="8"/>
      <name val="Arial"/>
      <family val="2"/>
    </font>
    <font>
      <sz val="8"/>
      <color rgb="FFFF0000"/>
      <name val="Arial"/>
      <family val="2"/>
    </font>
    <font>
      <sz val="8"/>
      <color theme="1"/>
      <name val="Arial"/>
      <family val="2"/>
    </font>
    <font>
      <sz val="8"/>
      <color indexed="8"/>
      <name val="Arial"/>
      <family val="2"/>
    </font>
    <font>
      <sz val="9"/>
      <color rgb="FFFFFF00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189">
    <fill>
      <patternFill patternType="none"/>
    </fill>
    <fill>
      <patternFill patternType="gray125"/>
    </fill>
    <fill>
      <patternFill patternType="solid">
        <fgColor indexed="19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3"/>
      </patternFill>
    </fill>
    <fill>
      <patternFill patternType="lightGray">
        <fgColor indexed="22"/>
      </patternFill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14"/>
      </patternFill>
    </fill>
    <fill>
      <patternFill patternType="solid">
        <fgColor indexed="45"/>
      </patternFill>
    </fill>
    <fill>
      <patternFill patternType="solid">
        <fgColor indexed="51"/>
      </patternFill>
    </fill>
    <fill>
      <patternFill patternType="solid">
        <fgColor indexed="16"/>
      </patternFill>
    </fill>
    <fill>
      <patternFill patternType="solid">
        <fgColor indexed="42"/>
      </patternFill>
    </fill>
    <fill>
      <patternFill patternType="solid">
        <fgColor indexed="41"/>
      </patternFill>
    </fill>
    <fill>
      <patternFill patternType="solid">
        <fgColor indexed="39"/>
      </patternFill>
    </fill>
    <fill>
      <patternFill patternType="solid">
        <fgColor indexed="46"/>
      </patternFill>
    </fill>
    <fill>
      <patternFill patternType="solid">
        <fgColor indexed="63"/>
      </patternFill>
    </fill>
    <fill>
      <patternFill patternType="solid">
        <fgColor indexed="56"/>
      </patternFill>
    </fill>
    <fill>
      <patternFill patternType="solid">
        <fgColor indexed="27"/>
      </patternFill>
    </fill>
    <fill>
      <patternFill patternType="solid">
        <fgColor indexed="57"/>
      </patternFill>
    </fill>
    <fill>
      <patternFill patternType="solid">
        <fgColor indexed="47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11"/>
      </patternFill>
    </fill>
    <fill>
      <patternFill patternType="solid">
        <fgColor indexed="15"/>
      </patternFill>
    </fill>
    <fill>
      <patternFill patternType="solid">
        <fgColor indexed="22"/>
      </patternFill>
    </fill>
    <fill>
      <patternFill patternType="solid">
        <fgColor indexed="30"/>
      </patternFill>
    </fill>
    <fill>
      <patternFill patternType="solid">
        <fgColor indexed="40"/>
      </patternFill>
    </fill>
    <fill>
      <patternFill patternType="solid">
        <fgColor indexed="33"/>
      </patternFill>
    </fill>
    <fill>
      <patternFill patternType="solid">
        <fgColor indexed="52"/>
      </patternFill>
    </fill>
    <fill>
      <patternFill patternType="solid">
        <fgColor indexed="59"/>
      </patternFill>
    </fill>
    <fill>
      <patternFill patternType="solid">
        <fgColor indexed="36"/>
      </patternFill>
    </fill>
    <fill>
      <patternFill patternType="solid">
        <fgColor indexed="37"/>
      </patternFill>
    </fill>
    <fill>
      <patternFill patternType="solid">
        <fgColor indexed="23"/>
      </patternFill>
    </fill>
    <fill>
      <patternFill patternType="solid">
        <fgColor indexed="49"/>
      </patternFill>
    </fill>
    <fill>
      <patternFill patternType="solid">
        <fgColor indexed="19"/>
      </patternFill>
    </fill>
    <fill>
      <patternFill patternType="solid">
        <fgColor indexed="53"/>
      </patternFill>
    </fill>
    <fill>
      <patternFill patternType="solid">
        <fgColor indexed="18"/>
        <bgColor indexed="64"/>
      </patternFill>
    </fill>
    <fill>
      <patternFill patternType="solid">
        <fgColor indexed="16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61"/>
        <bgColor indexed="61"/>
      </patternFill>
    </fill>
    <fill>
      <patternFill patternType="solid">
        <fgColor indexed="44"/>
        <bgColor indexed="44"/>
      </patternFill>
    </fill>
    <fill>
      <patternFill patternType="solid">
        <fgColor indexed="22"/>
        <bgColor indexed="22"/>
      </patternFill>
    </fill>
    <fill>
      <patternFill patternType="solid">
        <fgColor indexed="54"/>
        <bgColor indexed="54"/>
      </patternFill>
    </fill>
    <fill>
      <patternFill patternType="solid">
        <fgColor indexed="58"/>
        <bgColor indexed="58"/>
      </patternFill>
    </fill>
    <fill>
      <patternFill patternType="solid">
        <fgColor indexed="24"/>
        <bgColor indexed="24"/>
      </patternFill>
    </fill>
    <fill>
      <patternFill patternType="solid">
        <fgColor indexed="62"/>
      </patternFill>
    </fill>
    <fill>
      <patternFill patternType="solid">
        <fgColor indexed="54"/>
      </patternFill>
    </fill>
    <fill>
      <patternFill patternType="solid">
        <fgColor indexed="31"/>
        <bgColor indexed="31"/>
      </patternFill>
    </fill>
    <fill>
      <patternFill patternType="solid">
        <fgColor indexed="15"/>
        <bgColor indexed="15"/>
      </patternFill>
    </fill>
    <fill>
      <patternFill patternType="solid">
        <fgColor indexed="40"/>
        <bgColor indexed="40"/>
      </patternFill>
    </fill>
    <fill>
      <patternFill patternType="solid">
        <fgColor indexed="45"/>
        <bgColor indexed="45"/>
      </patternFill>
    </fill>
    <fill>
      <patternFill patternType="solid">
        <fgColor indexed="55"/>
        <bgColor indexed="55"/>
      </patternFill>
    </fill>
    <fill>
      <patternFill patternType="solid">
        <fgColor indexed="10"/>
      </patternFill>
    </fill>
    <fill>
      <patternFill patternType="solid">
        <fgColor indexed="60"/>
        <bgColor indexed="60"/>
      </patternFill>
    </fill>
    <fill>
      <patternFill patternType="solid">
        <fgColor indexed="41"/>
        <bgColor indexed="41"/>
      </patternFill>
    </fill>
    <fill>
      <patternFill patternType="solid">
        <fgColor indexed="11"/>
        <bgColor indexed="11"/>
      </patternFill>
    </fill>
    <fill>
      <patternFill patternType="solid">
        <fgColor indexed="50"/>
        <bgColor indexed="50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1"/>
        <bgColor indexed="51"/>
      </patternFill>
    </fill>
    <fill>
      <patternFill patternType="solid">
        <fgColor indexed="41"/>
        <bgColor indexed="64"/>
      </patternFill>
    </fill>
    <fill>
      <patternFill patternType="solid">
        <fgColor indexed="9"/>
        <bgColor indexed="64"/>
      </patternFill>
    </fill>
    <fill>
      <patternFill patternType="darkVertical">
        <fgColor indexed="9"/>
        <bgColor indexed="10"/>
      </patternFill>
    </fill>
    <fill>
      <patternFill patternType="darkHorizontal">
        <fgColor indexed="9"/>
        <bgColor indexed="10"/>
      </patternFill>
    </fill>
    <fill>
      <patternFill patternType="solid">
        <fgColor indexed="8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2"/>
        <bgColor indexed="42"/>
      </patternFill>
    </fill>
    <fill>
      <patternFill patternType="solid">
        <fgColor indexed="8"/>
        <bgColor indexed="63"/>
      </patternFill>
    </fill>
    <fill>
      <patternFill patternType="solid">
        <fgColor indexed="14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9"/>
      </patternFill>
    </fill>
    <fill>
      <patternFill patternType="solid">
        <fgColor indexed="35"/>
        <bgColor indexed="64"/>
      </patternFill>
    </fill>
    <fill>
      <patternFill patternType="mediumGray">
        <fgColor indexed="31"/>
        <bgColor indexed="49"/>
      </patternFill>
    </fill>
    <fill>
      <patternFill patternType="solid">
        <fgColor indexed="35"/>
        <bgColor indexed="35"/>
      </patternFill>
    </fill>
    <fill>
      <patternFill patternType="solid">
        <fgColor indexed="9"/>
        <bgColor indexed="9"/>
      </patternFill>
    </fill>
    <fill>
      <patternFill patternType="lightGray">
        <fgColor indexed="15"/>
      </patternFill>
    </fill>
    <fill>
      <patternFill patternType="solid">
        <fgColor indexed="55"/>
      </patternFill>
    </fill>
    <fill>
      <patternFill patternType="solid">
        <fgColor indexed="18"/>
        <bgColor indexed="18"/>
      </patternFill>
    </fill>
    <fill>
      <patternFill patternType="mediumGray">
        <fgColor indexed="22"/>
      </patternFill>
    </fill>
    <fill>
      <patternFill patternType="solid">
        <fgColor indexed="60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5"/>
        <bgColor indexed="64"/>
      </patternFill>
    </fill>
    <fill>
      <patternFill patternType="gray0625"/>
    </fill>
    <fill>
      <patternFill patternType="lightUp">
        <fgColor indexed="9"/>
        <bgColor indexed="24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12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7"/>
      </patternFill>
    </fill>
    <fill>
      <patternFill patternType="lightUp">
        <fgColor indexed="59"/>
        <bgColor indexed="55"/>
      </patternFill>
    </fill>
    <fill>
      <patternFill patternType="lightUp">
        <fgColor indexed="59"/>
        <bgColor indexed="29"/>
      </patternFill>
    </fill>
    <fill>
      <patternFill patternType="lightUp">
        <fgColor indexed="59"/>
        <bgColor indexed="61"/>
      </patternFill>
    </fill>
    <fill>
      <patternFill patternType="solid">
        <fgColor indexed="48"/>
        <bgColor indexed="48"/>
      </patternFill>
    </fill>
    <fill>
      <patternFill patternType="solid">
        <fgColor indexed="62"/>
        <bgColor indexed="62"/>
      </patternFill>
    </fill>
    <fill>
      <patternFill patternType="solid">
        <fgColor indexed="25"/>
        <bgColor indexed="25"/>
      </patternFill>
    </fill>
    <fill>
      <patternFill patternType="solid">
        <fgColor indexed="57"/>
        <bgColor indexed="57"/>
      </patternFill>
    </fill>
    <fill>
      <patternFill patternType="solid">
        <fgColor indexed="49"/>
        <bgColor indexed="49"/>
      </patternFill>
    </fill>
    <fill>
      <patternFill patternType="solid">
        <fgColor indexed="53"/>
        <bgColor indexed="53"/>
      </patternFill>
    </fill>
    <fill>
      <patternFill patternType="solid">
        <fgColor indexed="52"/>
        <bgColor indexed="52"/>
      </patternFill>
    </fill>
    <fill>
      <patternFill patternType="solid">
        <fgColor indexed="43"/>
        <bgColor indexed="43"/>
      </patternFill>
    </fill>
    <fill>
      <patternFill patternType="solid">
        <fgColor indexed="43"/>
        <bgColor indexed="9"/>
      </patternFill>
    </fill>
    <fill>
      <patternFill patternType="gray125">
        <fgColor indexed="8"/>
      </patternFill>
    </fill>
    <fill>
      <patternFill patternType="gray0625">
        <fgColor indexed="11"/>
      </patternFill>
    </fill>
    <fill>
      <patternFill patternType="solid">
        <fgColor indexed="12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19"/>
      </patternFill>
    </fill>
    <fill>
      <patternFill patternType="solid">
        <fgColor indexed="63"/>
        <bgColor indexed="64"/>
      </patternFill>
    </fill>
    <fill>
      <patternFill patternType="solid">
        <fgColor indexed="60"/>
      </patternFill>
    </fill>
    <fill>
      <patternFill patternType="solid">
        <fgColor indexed="20"/>
        <bgColor indexed="24"/>
      </patternFill>
    </fill>
    <fill>
      <patternFill patternType="solid">
        <fgColor indexed="26"/>
        <bgColor indexed="41"/>
      </patternFill>
    </fill>
    <fill>
      <patternFill patternType="solid">
        <fgColor indexed="26"/>
        <bgColor indexed="31"/>
      </patternFill>
    </fill>
    <fill>
      <patternFill patternType="solid">
        <fgColor indexed="22"/>
        <bgColor indexed="26"/>
      </patternFill>
    </fill>
    <fill>
      <patternFill patternType="solid">
        <fgColor indexed="22"/>
        <bgColor indexed="29"/>
      </patternFill>
    </fill>
    <fill>
      <patternFill patternType="solid">
        <fgColor indexed="4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48"/>
        <bgColor indexed="41"/>
      </patternFill>
    </fill>
    <fill>
      <patternFill patternType="lightUp">
        <fgColor indexed="22"/>
        <bgColor indexed="35"/>
      </patternFill>
    </fill>
    <fill>
      <patternFill patternType="solid">
        <fgColor indexed="20"/>
      </patternFill>
    </fill>
    <fill>
      <patternFill patternType="solid">
        <fgColor indexed="9"/>
        <bgColor indexed="19"/>
      </patternFill>
    </fill>
    <fill>
      <patternFill patternType="solid">
        <fgColor rgb="FFFFFFFF"/>
        <bgColor indexed="8"/>
      </patternFill>
    </fill>
    <fill>
      <patternFill patternType="solid">
        <fgColor rgb="FF00206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rgb="FF305496"/>
        <bgColor indexed="64"/>
      </patternFill>
    </fill>
  </fills>
  <borders count="1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hair">
        <color indexed="22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/>
      <right/>
      <top/>
      <bottom style="medium">
        <color indexed="18"/>
      </bottom>
      <diagonal/>
    </border>
    <border>
      <left/>
      <right/>
      <top style="thin">
        <color indexed="32"/>
      </top>
      <bottom style="thin">
        <color indexed="32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/>
      <right/>
      <top style="thin">
        <color indexed="8"/>
      </top>
      <bottom style="thin">
        <color indexed="9"/>
      </bottom>
      <diagonal/>
    </border>
    <border>
      <left/>
      <right/>
      <top/>
      <bottom style="thin">
        <color indexed="8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ck">
        <color indexed="37"/>
      </bottom>
      <diagonal/>
    </border>
    <border>
      <left style="medium">
        <color indexed="64"/>
      </left>
      <right style="medium">
        <color indexed="64"/>
      </right>
      <top/>
      <bottom style="thick">
        <color indexed="37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/>
      <top/>
      <bottom style="thick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/>
      <top style="thin">
        <color indexed="26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9"/>
      </left>
      <right style="thick">
        <color indexed="9"/>
      </right>
      <top style="thin">
        <color indexed="64"/>
      </top>
      <bottom/>
      <diagonal/>
    </border>
    <border>
      <left/>
      <right style="hair">
        <color indexed="64"/>
      </right>
      <top/>
      <bottom/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/>
      <bottom style="thin">
        <color indexed="22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thin">
        <color indexed="8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8"/>
      </top>
      <bottom style="thin">
        <color indexed="64"/>
      </bottom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45"/>
      </left>
      <right style="thin">
        <color indexed="45"/>
      </right>
      <top style="thin">
        <color indexed="45"/>
      </top>
      <bottom style="thin">
        <color indexed="45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28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double">
        <color indexed="17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/>
      <bottom style="dotted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40"/>
      </bottom>
      <diagonal/>
    </border>
    <border>
      <left/>
      <right/>
      <top/>
      <bottom style="medium">
        <color indexed="40"/>
      </bottom>
      <diagonal/>
    </border>
    <border>
      <left/>
      <right/>
      <top style="medium">
        <color indexed="64"/>
      </top>
      <bottom/>
      <diagonal/>
    </border>
    <border>
      <left style="thin">
        <color indexed="20"/>
      </left>
      <right style="thin">
        <color indexed="20"/>
      </right>
      <top style="thin">
        <color indexed="20"/>
      </top>
      <bottom style="thin">
        <color indexed="2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58"/>
      </left>
      <right style="medium">
        <color indexed="58"/>
      </right>
      <top style="medium">
        <color indexed="58"/>
      </top>
      <bottom style="thin">
        <color indexed="58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8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58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58"/>
      </bottom>
      <diagonal/>
    </border>
    <border>
      <left/>
      <right/>
      <top/>
      <bottom style="medium">
        <color indexed="4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/>
      <bottom style="thin">
        <color theme="0" tint="-0.14996795556505021"/>
      </bottom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theme="0" tint="-0.14996795556505021"/>
      </top>
      <bottom/>
      <diagonal/>
    </border>
    <border>
      <left/>
      <right style="thin">
        <color theme="0" tint="-0.14996795556505021"/>
      </right>
      <top/>
      <bottom/>
      <diagonal/>
    </border>
    <border>
      <left style="thin">
        <color theme="0" tint="-0.14996795556505021"/>
      </left>
      <right style="thin">
        <color theme="0" tint="-0.14996795556505021"/>
      </right>
      <top/>
      <bottom/>
      <diagonal/>
    </border>
    <border>
      <left style="thin">
        <color theme="0" tint="-0.14996795556505021"/>
      </left>
      <right/>
      <top/>
      <bottom/>
      <diagonal/>
    </border>
  </borders>
  <cellStyleXfs count="36362">
    <xf numFmtId="0" fontId="0" fillId="0" borderId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25" fillId="13" borderId="0" applyNumberFormat="0" applyBorder="0" applyAlignment="0" applyProtection="0"/>
    <xf numFmtId="0" fontId="25" fillId="17" borderId="0" applyNumberFormat="0" applyBorder="0" applyAlignment="0" applyProtection="0"/>
    <xf numFmtId="0" fontId="25" fillId="21" borderId="0" applyNumberFormat="0" applyBorder="0" applyAlignment="0" applyProtection="0"/>
    <xf numFmtId="0" fontId="25" fillId="25" borderId="0" applyNumberFormat="0" applyBorder="0" applyAlignment="0" applyProtection="0"/>
    <xf numFmtId="0" fontId="25" fillId="29" borderId="0" applyNumberFormat="0" applyBorder="0" applyAlignment="0" applyProtection="0"/>
    <xf numFmtId="0" fontId="25" fillId="33" borderId="0" applyNumberFormat="0" applyBorder="0" applyAlignment="0" applyProtection="0"/>
    <xf numFmtId="0" fontId="14" fillId="3" borderId="0" applyNumberFormat="0" applyBorder="0" applyAlignment="0" applyProtection="0"/>
    <xf numFmtId="0" fontId="19" fillId="7" borderId="18" applyNumberFormat="0" applyAlignment="0" applyProtection="0"/>
    <xf numFmtId="0" fontId="21" fillId="8" borderId="21" applyNumberFormat="0" applyAlignment="0" applyProtection="0"/>
    <xf numFmtId="0" fontId="20" fillId="0" borderId="20" applyNumberFormat="0" applyFill="0" applyAlignment="0" applyProtection="0"/>
    <xf numFmtId="0" fontId="13" fillId="0" borderId="0" applyNumberFormat="0" applyFill="0" applyBorder="0" applyAlignment="0" applyProtection="0"/>
    <xf numFmtId="0" fontId="25" fillId="10" borderId="0" applyNumberFormat="0" applyBorder="0" applyAlignment="0" applyProtection="0"/>
    <xf numFmtId="0" fontId="25" fillId="14" borderId="0" applyNumberFormat="0" applyBorder="0" applyAlignment="0" applyProtection="0"/>
    <xf numFmtId="0" fontId="25" fillId="18" borderId="0" applyNumberFormat="0" applyBorder="0" applyAlignment="0" applyProtection="0"/>
    <xf numFmtId="0" fontId="25" fillId="22" borderId="0" applyNumberFormat="0" applyBorder="0" applyAlignment="0" applyProtection="0"/>
    <xf numFmtId="0" fontId="25" fillId="26" borderId="0" applyNumberFormat="0" applyBorder="0" applyAlignment="0" applyProtection="0"/>
    <xf numFmtId="0" fontId="25" fillId="30" borderId="0" applyNumberFormat="0" applyBorder="0" applyAlignment="0" applyProtection="0"/>
    <xf numFmtId="0" fontId="17" fillId="6" borderId="18" applyNumberFormat="0" applyAlignment="0" applyProtection="0"/>
    <xf numFmtId="0" fontId="15" fillId="4" borderId="0" applyNumberFormat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16" fillId="5" borderId="0" applyNumberFormat="0" applyBorder="0" applyAlignment="0" applyProtection="0"/>
    <xf numFmtId="0" fontId="9" fillId="0" borderId="0"/>
    <xf numFmtId="0" fontId="8" fillId="0" borderId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18" fillId="7" borderId="19" applyNumberFormat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15" applyNumberFormat="0" applyFill="0" applyAlignment="0" applyProtection="0"/>
    <xf numFmtId="0" fontId="12" fillId="0" borderId="16" applyNumberFormat="0" applyFill="0" applyAlignment="0" applyProtection="0"/>
    <xf numFmtId="0" fontId="13" fillId="0" borderId="17" applyNumberFormat="0" applyFill="0" applyAlignment="0" applyProtection="0"/>
    <xf numFmtId="0" fontId="24" fillId="0" borderId="23" applyNumberFormat="0" applyFill="0" applyAlignment="0" applyProtection="0"/>
    <xf numFmtId="168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0" fontId="43" fillId="0" borderId="0" applyNumberFormat="0">
      <alignment horizontal="right"/>
    </xf>
    <xf numFmtId="0" fontId="8" fillId="0" borderId="0"/>
    <xf numFmtId="0" fontId="43" fillId="0" borderId="0" applyNumberFormat="0">
      <alignment horizontal="right"/>
    </xf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179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5" fillId="0" borderId="0" applyFont="0" applyFill="0" applyBorder="0" applyAlignment="0" applyProtection="0"/>
    <xf numFmtId="0" fontId="45" fillId="0" borderId="0" applyFont="0" applyFill="0" applyBorder="0" applyAlignment="0" applyProtection="0"/>
    <xf numFmtId="180" fontId="8" fillId="0" borderId="0"/>
    <xf numFmtId="180" fontId="8" fillId="0" borderId="0"/>
    <xf numFmtId="0" fontId="46" fillId="0" borderId="0"/>
    <xf numFmtId="0" fontId="45" fillId="0" borderId="0" applyFont="0" applyFill="0" applyBorder="0" applyAlignment="0" applyProtection="0"/>
    <xf numFmtId="0" fontId="8" fillId="0" borderId="0" applyFont="0" applyFill="0" applyBorder="0" applyProtection="0">
      <alignment horizontal="right"/>
    </xf>
    <xf numFmtId="0" fontId="8" fillId="0" borderId="0" applyFont="0" applyFill="0" applyBorder="0" applyProtection="0">
      <alignment horizontal="right"/>
    </xf>
    <xf numFmtId="0" fontId="46" fillId="0" borderId="0"/>
    <xf numFmtId="0" fontId="45" fillId="0" borderId="0" applyFont="0" applyFill="0" applyBorder="0" applyAlignment="0" applyProtection="0"/>
    <xf numFmtId="0" fontId="47" fillId="0" borderId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181" fontId="48" fillId="0" borderId="0">
      <alignment horizontal="right"/>
      <protection locked="0"/>
    </xf>
    <xf numFmtId="0" fontId="49" fillId="0" borderId="0">
      <alignment horizontal="right"/>
    </xf>
    <xf numFmtId="0" fontId="49" fillId="44" borderId="0"/>
    <xf numFmtId="0" fontId="50" fillId="44" borderId="0"/>
    <xf numFmtId="0" fontId="50" fillId="44" borderId="0"/>
    <xf numFmtId="0" fontId="50" fillId="44" borderId="0"/>
    <xf numFmtId="0" fontId="50" fillId="44" borderId="0">
      <alignment horizontal="right"/>
    </xf>
    <xf numFmtId="0" fontId="8" fillId="0" borderId="0"/>
    <xf numFmtId="0" fontId="45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1" fillId="0" borderId="0"/>
    <xf numFmtId="0" fontId="51" fillId="0" borderId="0"/>
    <xf numFmtId="0" fontId="5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82" fontId="52" fillId="0" borderId="0" applyBorder="0">
      <alignment vertical="center"/>
      <protection locked="0"/>
    </xf>
    <xf numFmtId="182" fontId="52" fillId="0" borderId="0" applyBorder="0">
      <alignment vertical="center"/>
      <protection locked="0"/>
    </xf>
    <xf numFmtId="182" fontId="8" fillId="0" borderId="0" applyBorder="0">
      <alignment vertical="center"/>
      <protection locked="0"/>
    </xf>
    <xf numFmtId="182" fontId="8" fillId="0" borderId="0" applyBorder="0">
      <alignment vertical="center"/>
      <protection locked="0"/>
    </xf>
    <xf numFmtId="182" fontId="8" fillId="0" borderId="0" applyBorder="0">
      <alignment vertical="center"/>
      <protection locked="0"/>
    </xf>
    <xf numFmtId="182" fontId="52" fillId="0" borderId="0" applyBorder="0">
      <alignment vertical="center"/>
      <protection locked="0"/>
    </xf>
    <xf numFmtId="182" fontId="8" fillId="0" borderId="0" applyBorder="0">
      <alignment vertical="center"/>
      <protection locked="0"/>
    </xf>
    <xf numFmtId="182" fontId="8" fillId="0" borderId="0" applyBorder="0">
      <alignment vertical="center"/>
      <protection locked="0"/>
    </xf>
    <xf numFmtId="182" fontId="8" fillId="0" borderId="0" applyBorder="0">
      <alignment vertical="center"/>
      <protection locked="0"/>
    </xf>
    <xf numFmtId="182" fontId="8" fillId="0" borderId="0" applyBorder="0">
      <alignment vertical="center"/>
      <protection locked="0"/>
    </xf>
    <xf numFmtId="182" fontId="53" fillId="0" borderId="0" applyBorder="0">
      <alignment vertical="center"/>
      <protection locked="0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1" fillId="0" borderId="0"/>
    <xf numFmtId="0" fontId="51" fillId="0" borderId="0"/>
    <xf numFmtId="0" fontId="8" fillId="0" borderId="0"/>
    <xf numFmtId="0" fontId="8" fillId="0" borderId="0"/>
    <xf numFmtId="0" fontId="8" fillId="0" borderId="0"/>
    <xf numFmtId="182" fontId="53" fillId="0" borderId="0" applyBorder="0">
      <alignment vertical="center"/>
      <protection locked="0"/>
    </xf>
    <xf numFmtId="182" fontId="53" fillId="0" borderId="0" applyBorder="0">
      <alignment vertical="center"/>
      <protection locked="0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8" fillId="0" borderId="0"/>
    <xf numFmtId="0" fontId="51" fillId="0" borderId="0"/>
    <xf numFmtId="0" fontId="51" fillId="0" borderId="0"/>
    <xf numFmtId="0" fontId="5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82" fontId="52" fillId="0" borderId="0" applyBorder="0">
      <alignment vertical="center"/>
      <protection locked="0"/>
    </xf>
    <xf numFmtId="182" fontId="52" fillId="0" borderId="0" applyBorder="0">
      <alignment vertical="center"/>
      <protection locked="0"/>
    </xf>
    <xf numFmtId="182" fontId="8" fillId="0" borderId="0" applyBorder="0">
      <alignment vertical="center"/>
      <protection locked="0"/>
    </xf>
    <xf numFmtId="182" fontId="52" fillId="0" borderId="0" applyBorder="0">
      <alignment vertical="center"/>
      <protection locked="0"/>
    </xf>
    <xf numFmtId="182" fontId="8" fillId="0" borderId="0" applyBorder="0">
      <alignment vertical="center"/>
      <protection locked="0"/>
    </xf>
    <xf numFmtId="182" fontId="8" fillId="0" borderId="0" applyBorder="0">
      <alignment vertical="center"/>
      <protection locked="0"/>
    </xf>
    <xf numFmtId="182" fontId="8" fillId="0" borderId="0" applyBorder="0">
      <alignment vertical="center"/>
      <protection locked="0"/>
    </xf>
    <xf numFmtId="182" fontId="8" fillId="0" borderId="0" applyBorder="0">
      <alignment vertical="center"/>
      <protection locked="0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1" fillId="0" borderId="0"/>
    <xf numFmtId="0" fontId="5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1" fillId="0" borderId="0"/>
    <xf numFmtId="0" fontId="5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1" fillId="0" borderId="0"/>
    <xf numFmtId="0" fontId="51" fillId="0" borderId="0"/>
    <xf numFmtId="0" fontId="5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4" fillId="0" borderId="0"/>
    <xf numFmtId="0" fontId="54" fillId="0" borderId="0"/>
    <xf numFmtId="0" fontId="54" fillId="0" borderId="0"/>
    <xf numFmtId="0" fontId="51" fillId="0" borderId="0"/>
    <xf numFmtId="0" fontId="51" fillId="0" borderId="0"/>
    <xf numFmtId="0" fontId="54" fillId="0" borderId="0"/>
    <xf numFmtId="0" fontId="54" fillId="0" borderId="0"/>
    <xf numFmtId="0" fontId="54" fillId="0" borderId="0"/>
    <xf numFmtId="0" fontId="51" fillId="0" borderId="0"/>
    <xf numFmtId="0" fontId="51" fillId="0" borderId="0"/>
    <xf numFmtId="0" fontId="5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1" fillId="0" borderId="0"/>
    <xf numFmtId="0" fontId="5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8" fillId="0" borderId="0"/>
    <xf numFmtId="0" fontId="8" fillId="0" borderId="0"/>
    <xf numFmtId="182" fontId="53" fillId="0" borderId="0" applyBorder="0">
      <alignment vertical="center"/>
      <protection locked="0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8" fillId="0" borderId="0"/>
    <xf numFmtId="0" fontId="8" fillId="0" borderId="0"/>
    <xf numFmtId="0" fontId="8" fillId="0" borderId="0"/>
    <xf numFmtId="0" fontId="8" fillId="0" borderId="0"/>
    <xf numFmtId="182" fontId="52" fillId="0" borderId="0" applyBorder="0">
      <alignment vertical="center"/>
      <protection locked="0"/>
    </xf>
    <xf numFmtId="182" fontId="52" fillId="0" borderId="0" applyBorder="0">
      <alignment vertical="center"/>
      <protection locked="0"/>
    </xf>
    <xf numFmtId="182" fontId="8" fillId="0" borderId="0" applyBorder="0">
      <alignment vertical="center"/>
      <protection locked="0"/>
    </xf>
    <xf numFmtId="182" fontId="52" fillId="0" borderId="0" applyBorder="0">
      <alignment vertical="center"/>
      <protection locked="0"/>
    </xf>
    <xf numFmtId="182" fontId="8" fillId="0" borderId="0" applyBorder="0">
      <alignment vertical="center"/>
      <protection locked="0"/>
    </xf>
    <xf numFmtId="182" fontId="8" fillId="0" borderId="0" applyBorder="0">
      <alignment vertical="center"/>
      <protection locked="0"/>
    </xf>
    <xf numFmtId="182" fontId="8" fillId="0" borderId="0" applyBorder="0">
      <alignment vertical="center"/>
      <protection locked="0"/>
    </xf>
    <xf numFmtId="182" fontId="8" fillId="0" borderId="0" applyBorder="0">
      <alignment vertical="center"/>
      <protection locked="0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1" fillId="0" borderId="0"/>
    <xf numFmtId="0" fontId="51" fillId="0" borderId="0"/>
    <xf numFmtId="0" fontId="5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1" fillId="0" borderId="0"/>
    <xf numFmtId="0" fontId="51" fillId="0" borderId="0"/>
    <xf numFmtId="0" fontId="8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82" fontId="53" fillId="0" borderId="0" applyBorder="0">
      <alignment vertical="center"/>
      <protection locked="0"/>
    </xf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55" fillId="0" borderId="0"/>
    <xf numFmtId="0" fontId="8" fillId="0" borderId="0"/>
    <xf numFmtId="0" fontId="8" fillId="45" borderId="31" applyNumberFormat="0">
      <alignment horizontal="left" vertical="center"/>
    </xf>
    <xf numFmtId="179" fontId="8" fillId="0" borderId="0" applyFont="0" applyFill="0" applyBorder="0" applyAlignment="0" applyProtection="0"/>
    <xf numFmtId="179" fontId="8" fillId="0" borderId="0" applyFont="0" applyFill="0" applyBorder="0" applyAlignment="0" applyProtection="0"/>
    <xf numFmtId="0" fontId="56" fillId="0" borderId="0" applyNumberFormat="0" applyFill="0" applyBorder="0" applyAlignment="0" applyProtection="0"/>
    <xf numFmtId="0" fontId="8" fillId="0" borderId="0"/>
    <xf numFmtId="0" fontId="8" fillId="0" borderId="0"/>
    <xf numFmtId="0" fontId="44" fillId="0" borderId="0" applyFont="0" applyFill="0" applyBorder="0" applyAlignment="0"/>
    <xf numFmtId="183" fontId="8" fillId="46" borderId="0"/>
    <xf numFmtId="184" fontId="8" fillId="0" borderId="0" applyFont="0" applyFill="0" applyBorder="0" applyAlignment="0" applyProtection="0"/>
    <xf numFmtId="185" fontId="57" fillId="0" borderId="0" applyFont="0" applyFill="0" applyBorder="0" applyAlignment="0" applyProtection="0"/>
    <xf numFmtId="175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40" fontId="57" fillId="0" borderId="0" applyFont="0" applyFill="0" applyBorder="0" applyAlignment="0" applyProtection="0"/>
    <xf numFmtId="38" fontId="57" fillId="0" borderId="0" applyFont="0" applyFill="0" applyBorder="0" applyAlignment="0" applyProtection="0"/>
    <xf numFmtId="0" fontId="58" fillId="0" borderId="0"/>
    <xf numFmtId="186" fontId="8" fillId="0" borderId="0" applyFont="0" applyFill="0" applyBorder="0" applyAlignment="0" applyProtection="0"/>
    <xf numFmtId="187" fontId="8" fillId="0" borderId="0" applyFont="0" applyFill="0" applyBorder="0" applyAlignment="0" applyProtection="0"/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60" fillId="0" borderId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43" fillId="0" borderId="0" applyNumberFormat="0">
      <alignment horizontal="right"/>
    </xf>
    <xf numFmtId="0" fontId="8" fillId="0" borderId="0"/>
    <xf numFmtId="0" fontId="8" fillId="0" borderId="0"/>
    <xf numFmtId="0" fontId="61" fillId="0" borderId="0"/>
    <xf numFmtId="43" fontId="62" fillId="0" borderId="0" applyFont="0" applyFill="0" applyBorder="0" applyAlignment="0" applyProtection="0"/>
    <xf numFmtId="0" fontId="60" fillId="0" borderId="0"/>
    <xf numFmtId="0" fontId="51" fillId="0" borderId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59" fillId="0" borderId="0">
      <alignment vertical="center"/>
    </xf>
    <xf numFmtId="38" fontId="63" fillId="0" borderId="0" applyFont="0" applyFill="0" applyBorder="0" applyAlignment="0" applyProtection="0"/>
    <xf numFmtId="38" fontId="63" fillId="0" borderId="0" applyFont="0" applyFill="0" applyBorder="0" applyAlignment="0" applyProtection="0"/>
    <xf numFmtId="0" fontId="59" fillId="0" borderId="0">
      <alignment vertical="center"/>
    </xf>
    <xf numFmtId="188" fontId="64" fillId="0" borderId="0">
      <alignment vertical="top"/>
    </xf>
    <xf numFmtId="188" fontId="64" fillId="0" borderId="0">
      <alignment vertical="top"/>
    </xf>
    <xf numFmtId="188" fontId="64" fillId="0" borderId="0">
      <alignment vertical="top"/>
    </xf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4" fontId="8" fillId="0" borderId="0"/>
    <xf numFmtId="4" fontId="8" fillId="0" borderId="0"/>
    <xf numFmtId="4" fontId="8" fillId="0" borderId="0"/>
    <xf numFmtId="4" fontId="8" fillId="0" borderId="0"/>
    <xf numFmtId="4" fontId="8" fillId="0" borderId="0"/>
    <xf numFmtId="4" fontId="8" fillId="0" borderId="0"/>
    <xf numFmtId="4" fontId="8" fillId="0" borderId="0"/>
    <xf numFmtId="0" fontId="65" fillId="0" borderId="0"/>
    <xf numFmtId="0" fontId="64" fillId="0" borderId="0">
      <alignment vertical="top"/>
    </xf>
    <xf numFmtId="0" fontId="60" fillId="0" borderId="0"/>
    <xf numFmtId="0" fontId="8" fillId="0" borderId="0"/>
    <xf numFmtId="0" fontId="60" fillId="0" borderId="0"/>
    <xf numFmtId="0" fontId="66" fillId="0" borderId="0" applyNumberFormat="0" applyFill="0" applyBorder="0" applyAlignment="0" applyProtection="0"/>
    <xf numFmtId="0" fontId="8" fillId="0" borderId="0"/>
    <xf numFmtId="0" fontId="8" fillId="0" borderId="0"/>
    <xf numFmtId="188" fontId="64" fillId="0" borderId="0">
      <alignment vertical="top"/>
    </xf>
    <xf numFmtId="188" fontId="64" fillId="0" borderId="0">
      <alignment vertical="top"/>
    </xf>
    <xf numFmtId="188" fontId="64" fillId="0" borderId="0">
      <alignment vertical="top"/>
    </xf>
    <xf numFmtId="188" fontId="64" fillId="0" borderId="0">
      <alignment vertical="top"/>
    </xf>
    <xf numFmtId="188" fontId="64" fillId="0" borderId="0">
      <alignment vertical="top"/>
    </xf>
    <xf numFmtId="188" fontId="64" fillId="0" borderId="0">
      <alignment vertical="top"/>
    </xf>
    <xf numFmtId="188" fontId="8" fillId="0" borderId="0"/>
    <xf numFmtId="188" fontId="8" fillId="0" borderId="0"/>
    <xf numFmtId="188" fontId="8" fillId="0" borderId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49" fontId="8" fillId="0" borderId="0">
      <alignment horizontal="center"/>
    </xf>
    <xf numFmtId="49" fontId="8" fillId="0" borderId="0">
      <alignment horizontal="center"/>
    </xf>
    <xf numFmtId="49" fontId="8" fillId="0" borderId="0">
      <alignment horizontal="center"/>
    </xf>
    <xf numFmtId="49" fontId="8" fillId="0" borderId="0">
      <alignment horizontal="center"/>
    </xf>
    <xf numFmtId="49" fontId="8" fillId="0" borderId="0">
      <alignment horizontal="center"/>
    </xf>
    <xf numFmtId="49" fontId="8" fillId="0" borderId="0">
      <alignment horizontal="center"/>
    </xf>
    <xf numFmtId="49" fontId="8" fillId="0" borderId="0">
      <alignment horizontal="center"/>
    </xf>
    <xf numFmtId="0" fontId="8" fillId="44" borderId="0"/>
    <xf numFmtId="0" fontId="8" fillId="44" borderId="0"/>
    <xf numFmtId="0" fontId="8" fillId="44" borderId="0"/>
    <xf numFmtId="0" fontId="8" fillId="44" borderId="0"/>
    <xf numFmtId="0" fontId="40" fillId="44" borderId="0"/>
    <xf numFmtId="0" fontId="40" fillId="44" borderId="0"/>
    <xf numFmtId="0" fontId="8" fillId="44" borderId="0"/>
    <xf numFmtId="0" fontId="8" fillId="44" borderId="0"/>
    <xf numFmtId="0" fontId="40" fillId="44" borderId="0"/>
    <xf numFmtId="0" fontId="1" fillId="47" borderId="0"/>
    <xf numFmtId="0" fontId="67" fillId="44" borderId="0"/>
    <xf numFmtId="0" fontId="68" fillId="44" borderId="0"/>
    <xf numFmtId="0" fontId="68" fillId="44" borderId="0"/>
    <xf numFmtId="0" fontId="67" fillId="44" borderId="0"/>
    <xf numFmtId="0" fontId="68" fillId="44" borderId="0"/>
    <xf numFmtId="0" fontId="69" fillId="45" borderId="0"/>
    <xf numFmtId="0" fontId="70" fillId="44" borderId="0"/>
    <xf numFmtId="0" fontId="71" fillId="44" borderId="0"/>
    <xf numFmtId="0" fontId="71" fillId="44" borderId="0"/>
    <xf numFmtId="0" fontId="70" fillId="44" borderId="0"/>
    <xf numFmtId="0" fontId="71" fillId="44" borderId="0"/>
    <xf numFmtId="0" fontId="72" fillId="48" borderId="0"/>
    <xf numFmtId="0" fontId="73" fillId="44" borderId="0"/>
    <xf numFmtId="0" fontId="6" fillId="44" borderId="0"/>
    <xf numFmtId="0" fontId="6" fillId="44" borderId="0"/>
    <xf numFmtId="0" fontId="73" fillId="44" borderId="0"/>
    <xf numFmtId="0" fontId="6" fillId="44" borderId="0"/>
    <xf numFmtId="0" fontId="74" fillId="0" borderId="0"/>
    <xf numFmtId="0" fontId="74" fillId="44" borderId="0"/>
    <xf numFmtId="0" fontId="68" fillId="44" borderId="0"/>
    <xf numFmtId="0" fontId="68" fillId="44" borderId="0"/>
    <xf numFmtId="0" fontId="74" fillId="44" borderId="0"/>
    <xf numFmtId="0" fontId="68" fillId="44" borderId="0"/>
    <xf numFmtId="0" fontId="75" fillId="0" borderId="0"/>
    <xf numFmtId="0" fontId="75" fillId="44" borderId="0"/>
    <xf numFmtId="0" fontId="40" fillId="44" borderId="0"/>
    <xf numFmtId="0" fontId="40" fillId="44" borderId="0"/>
    <xf numFmtId="0" fontId="75" fillId="44" borderId="0"/>
    <xf numFmtId="0" fontId="40" fillId="44" borderId="0"/>
    <xf numFmtId="0" fontId="6" fillId="0" borderId="0"/>
    <xf numFmtId="0" fontId="6" fillId="44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4" borderId="0"/>
    <xf numFmtId="0" fontId="6" fillId="0" borderId="0"/>
    <xf numFmtId="189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0" fillId="0" borderId="0"/>
    <xf numFmtId="0" fontId="64" fillId="0" borderId="0">
      <alignment vertical="top"/>
    </xf>
    <xf numFmtId="0" fontId="64" fillId="0" borderId="0">
      <alignment vertical="top"/>
    </xf>
    <xf numFmtId="0" fontId="60" fillId="0" borderId="0"/>
    <xf numFmtId="188" fontId="8" fillId="0" borderId="0"/>
    <xf numFmtId="188" fontId="8" fillId="0" borderId="0"/>
    <xf numFmtId="188" fontId="8" fillId="0" borderId="0"/>
    <xf numFmtId="0" fontId="8" fillId="0" borderId="0"/>
    <xf numFmtId="188" fontId="8" fillId="0" borderId="0"/>
    <xf numFmtId="188" fontId="8" fillId="0" borderId="0"/>
    <xf numFmtId="188" fontId="8" fillId="0" borderId="0"/>
    <xf numFmtId="190" fontId="8" fillId="0" borderId="0" applyFont="0" applyFill="0" applyBorder="0" applyAlignment="0" applyProtection="0"/>
    <xf numFmtId="191" fontId="8" fillId="0" borderId="0" applyFont="0" applyFill="0" applyBorder="0" applyAlignment="0" applyProtection="0"/>
    <xf numFmtId="192" fontId="8" fillId="0" borderId="0" applyFont="0" applyFill="0" applyBorder="0" applyAlignment="0" applyProtection="0"/>
    <xf numFmtId="192" fontId="8" fillId="0" borderId="0" applyFont="0" applyFill="0" applyBorder="0" applyAlignment="0" applyProtection="0"/>
    <xf numFmtId="193" fontId="8" fillId="0" borderId="0" applyFont="0" applyFill="0" applyBorder="0" applyAlignment="0" applyProtection="0"/>
    <xf numFmtId="193" fontId="8" fillId="0" borderId="0" applyFont="0" applyFill="0" applyBorder="0" applyAlignment="0" applyProtection="0"/>
    <xf numFmtId="0" fontId="64" fillId="0" borderId="0">
      <alignment vertical="top"/>
    </xf>
    <xf numFmtId="4" fontId="8" fillId="49" borderId="0"/>
    <xf numFmtId="4" fontId="8" fillId="49" borderId="0"/>
    <xf numFmtId="194" fontId="8" fillId="49" borderId="32"/>
    <xf numFmtId="194" fontId="8" fillId="49" borderId="32"/>
    <xf numFmtId="195" fontId="8" fillId="49" borderId="32"/>
    <xf numFmtId="195" fontId="8" fillId="49" borderId="32"/>
    <xf numFmtId="4" fontId="8" fillId="49" borderId="0"/>
    <xf numFmtId="39" fontId="8" fillId="49" borderId="32"/>
    <xf numFmtId="39" fontId="8" fillId="49" borderId="32"/>
    <xf numFmtId="2" fontId="8" fillId="49" borderId="32"/>
    <xf numFmtId="2" fontId="8" fillId="49" borderId="32"/>
    <xf numFmtId="2" fontId="8" fillId="49" borderId="32"/>
    <xf numFmtId="2" fontId="8" fillId="49" borderId="32"/>
    <xf numFmtId="196" fontId="6" fillId="50" borderId="32"/>
    <xf numFmtId="194" fontId="8" fillId="49" borderId="32"/>
    <xf numFmtId="194" fontId="8" fillId="49" borderId="32"/>
    <xf numFmtId="2" fontId="8" fillId="49" borderId="32"/>
    <xf numFmtId="2" fontId="8" fillId="49" borderId="32"/>
    <xf numFmtId="4" fontId="8" fillId="49" borderId="0"/>
    <xf numFmtId="40" fontId="8" fillId="49" borderId="32"/>
    <xf numFmtId="40" fontId="8" fillId="49" borderId="32"/>
    <xf numFmtId="0" fontId="8" fillId="0" borderId="0"/>
    <xf numFmtId="0" fontId="8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88" fontId="8" fillId="0" borderId="0"/>
    <xf numFmtId="188" fontId="8" fillId="0" borderId="0"/>
    <xf numFmtId="188" fontId="8" fillId="0" borderId="0"/>
    <xf numFmtId="49" fontId="8" fillId="0" borderId="0"/>
    <xf numFmtId="49" fontId="8" fillId="0" borderId="0"/>
    <xf numFmtId="49" fontId="8" fillId="0" borderId="0"/>
    <xf numFmtId="49" fontId="8" fillId="0" borderId="0"/>
    <xf numFmtId="49" fontId="8" fillId="0" borderId="0"/>
    <xf numFmtId="49" fontId="8" fillId="0" borderId="0"/>
    <xf numFmtId="49" fontId="8" fillId="0" borderId="0"/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6" fillId="0" borderId="0" applyNumberFormat="0" applyFill="0" applyBorder="0" applyAlignment="0" applyProtection="0"/>
    <xf numFmtId="0" fontId="60" fillId="0" borderId="0"/>
    <xf numFmtId="37" fontId="76" fillId="0" borderId="0"/>
    <xf numFmtId="0" fontId="60" fillId="0" borderId="0"/>
    <xf numFmtId="197" fontId="8" fillId="0" borderId="0">
      <alignment horizontal="left" wrapText="1"/>
    </xf>
    <xf numFmtId="197" fontId="8" fillId="0" borderId="0">
      <alignment horizontal="left" wrapText="1"/>
    </xf>
    <xf numFmtId="0" fontId="64" fillId="0" borderId="0">
      <alignment vertical="top"/>
    </xf>
    <xf numFmtId="188" fontId="8" fillId="0" borderId="0"/>
    <xf numFmtId="188" fontId="8" fillId="0" borderId="0"/>
    <xf numFmtId="188" fontId="8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198" fontId="8" fillId="0" borderId="0" applyFont="0" applyFill="0" applyBorder="0" applyAlignment="0" applyProtection="0"/>
    <xf numFmtId="0" fontId="60" fillId="0" borderId="0"/>
    <xf numFmtId="0" fontId="8" fillId="0" borderId="0" applyFill="0" applyBorder="0"/>
    <xf numFmtId="0" fontId="64" fillId="0" borderId="0">
      <alignment vertical="top"/>
    </xf>
    <xf numFmtId="0" fontId="66" fillId="0" borderId="0" applyNumberFormat="0" applyFill="0" applyBorder="0" applyAlignment="0" applyProtection="0"/>
    <xf numFmtId="0" fontId="47" fillId="0" borderId="0"/>
    <xf numFmtId="0" fontId="77" fillId="0" borderId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8" fillId="0" borderId="0"/>
    <xf numFmtId="0" fontId="66" fillId="0" borderId="0" applyNumberFormat="0" applyFill="0" applyBorder="0" applyAlignment="0" applyProtection="0"/>
    <xf numFmtId="0" fontId="64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/>
    <xf numFmtId="179" fontId="8" fillId="0" borderId="0" applyFont="0" applyFill="0" applyBorder="0" applyAlignment="0" applyProtection="0"/>
    <xf numFmtId="179" fontId="8" fillId="0" borderId="0" applyFont="0" applyFill="0" applyBorder="0" applyAlignment="0" applyProtection="0"/>
    <xf numFmtId="0" fontId="51" fillId="0" borderId="0"/>
    <xf numFmtId="0" fontId="64" fillId="0" borderId="0">
      <alignment vertical="top"/>
    </xf>
    <xf numFmtId="0" fontId="64" fillId="0" borderId="0">
      <alignment vertical="top"/>
    </xf>
    <xf numFmtId="0" fontId="8" fillId="0" borderId="0" applyFill="0" applyBorder="0"/>
    <xf numFmtId="0" fontId="8" fillId="0" borderId="0" applyFill="0" applyBorder="0"/>
    <xf numFmtId="0" fontId="8" fillId="0" borderId="0">
      <alignment horizontal="left" wrapText="1"/>
    </xf>
    <xf numFmtId="0" fontId="8" fillId="0" borderId="0">
      <alignment horizontal="left" wrapText="1"/>
    </xf>
    <xf numFmtId="0" fontId="8" fillId="0" borderId="0">
      <alignment horizontal="left" wrapText="1"/>
    </xf>
    <xf numFmtId="0" fontId="8" fillId="0" borderId="0">
      <alignment horizontal="left" wrapText="1"/>
    </xf>
    <xf numFmtId="0" fontId="8" fillId="0" borderId="0">
      <alignment horizontal="left" wrapText="1"/>
    </xf>
    <xf numFmtId="0" fontId="8" fillId="0" borderId="0">
      <alignment horizontal="left" wrapText="1"/>
    </xf>
    <xf numFmtId="0" fontId="8" fillId="0" borderId="0">
      <alignment horizontal="left" wrapText="1"/>
    </xf>
    <xf numFmtId="0" fontId="8" fillId="0" borderId="0">
      <alignment horizontal="left" wrapText="1"/>
    </xf>
    <xf numFmtId="0" fontId="8" fillId="0" borderId="0">
      <alignment horizontal="left" wrapText="1"/>
    </xf>
    <xf numFmtId="0" fontId="8" fillId="0" borderId="0">
      <alignment horizontal="left" wrapText="1"/>
    </xf>
    <xf numFmtId="0" fontId="8" fillId="0" borderId="0">
      <alignment horizontal="left" wrapText="1"/>
    </xf>
    <xf numFmtId="0" fontId="8" fillId="0" borderId="0">
      <alignment horizontal="left" wrapText="1"/>
    </xf>
    <xf numFmtId="0" fontId="8" fillId="0" borderId="0">
      <alignment horizontal="left" wrapText="1"/>
    </xf>
    <xf numFmtId="0" fontId="8" fillId="0" borderId="0">
      <alignment horizontal="left" wrapText="1"/>
    </xf>
    <xf numFmtId="0" fontId="8" fillId="0" borderId="0">
      <alignment horizontal="left" wrapText="1"/>
    </xf>
    <xf numFmtId="0" fontId="8" fillId="0" borderId="0">
      <alignment horizontal="left" wrapText="1"/>
    </xf>
    <xf numFmtId="0" fontId="8" fillId="0" borderId="0">
      <alignment horizontal="left" wrapText="1"/>
    </xf>
    <xf numFmtId="0" fontId="8" fillId="0" borderId="0">
      <alignment horizontal="left" wrapText="1"/>
    </xf>
    <xf numFmtId="0" fontId="70" fillId="51" borderId="0"/>
    <xf numFmtId="0" fontId="70" fillId="0" borderId="0" applyBorder="0"/>
    <xf numFmtId="0" fontId="70" fillId="0" borderId="0" applyBorder="0"/>
    <xf numFmtId="0" fontId="70" fillId="49" borderId="0"/>
    <xf numFmtId="0" fontId="70" fillId="0" borderId="0" applyBorder="0"/>
    <xf numFmtId="0" fontId="78" fillId="0" borderId="0" applyNumberFormat="0" applyFill="0" applyBorder="0" applyAlignment="0" applyProtection="0"/>
    <xf numFmtId="0" fontId="8" fillId="52" borderId="0" applyNumberFormat="0" applyFont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4" fillId="0" borderId="0">
      <alignment vertical="top"/>
    </xf>
    <xf numFmtId="0" fontId="64" fillId="0" borderId="0">
      <alignment vertical="top"/>
    </xf>
    <xf numFmtId="0" fontId="8" fillId="0" borderId="0"/>
    <xf numFmtId="0" fontId="64" fillId="0" borderId="0">
      <alignment vertical="top"/>
    </xf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>
      <alignment horizontal="left" wrapText="1"/>
    </xf>
    <xf numFmtId="0" fontId="8" fillId="0" borderId="0">
      <alignment horizontal="left" wrapText="1"/>
    </xf>
    <xf numFmtId="0" fontId="66" fillId="0" borderId="0" applyNumberFormat="0" applyFont="0" applyFill="0" applyBorder="0" applyAlignment="0" applyProtection="0"/>
    <xf numFmtId="0" fontId="66" fillId="0" borderId="0" applyNumberFormat="0" applyFont="0" applyFill="0" applyBorder="0" applyAlignment="0" applyProtection="0"/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188" fontId="8" fillId="0" borderId="0"/>
    <xf numFmtId="188" fontId="8" fillId="0" borderId="0"/>
    <xf numFmtId="188" fontId="8" fillId="0" borderId="0"/>
    <xf numFmtId="0" fontId="64" fillId="0" borderId="0">
      <alignment vertical="top"/>
    </xf>
    <xf numFmtId="0" fontId="66" fillId="0" borderId="0" applyNumberFormat="0" applyFill="0" applyBorder="0" applyAlignment="0" applyProtection="0"/>
    <xf numFmtId="0" fontId="64" fillId="0" borderId="0">
      <alignment vertical="top"/>
    </xf>
    <xf numFmtId="0" fontId="64" fillId="0" borderId="0">
      <alignment vertical="top"/>
    </xf>
    <xf numFmtId="0" fontId="66" fillId="0" borderId="0" applyNumberFormat="0" applyFill="0" applyBorder="0" applyAlignment="0" applyProtection="0"/>
    <xf numFmtId="0" fontId="64" fillId="0" borderId="0">
      <alignment vertical="top"/>
    </xf>
    <xf numFmtId="0" fontId="66" fillId="0" borderId="0" applyNumberFormat="0" applyFill="0" applyBorder="0" applyAlignment="0" applyProtection="0"/>
    <xf numFmtId="0" fontId="64" fillId="0" borderId="0">
      <alignment vertical="top"/>
    </xf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66" fillId="0" borderId="0" applyNumberFormat="0" applyFill="0" applyBorder="0" applyAlignment="0" applyProtection="0"/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199" fontId="6" fillId="0" borderId="0"/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37" fontId="76" fillId="0" borderId="0"/>
    <xf numFmtId="0" fontId="8" fillId="0" borderId="0">
      <alignment horizontal="left" wrapText="1"/>
    </xf>
    <xf numFmtId="0" fontId="8" fillId="0" borderId="0">
      <alignment horizontal="left" wrapText="1"/>
    </xf>
    <xf numFmtId="37" fontId="76" fillId="0" borderId="0"/>
    <xf numFmtId="0" fontId="66" fillId="0" borderId="0" applyNumberFormat="0" applyFill="0" applyBorder="0" applyAlignment="0" applyProtection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37" fontId="76" fillId="0" borderId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66" fillId="0" borderId="0" applyNumberFormat="0" applyFill="0" applyBorder="0" applyAlignment="0" applyProtection="0"/>
    <xf numFmtId="200" fontId="59" fillId="0" borderId="0"/>
    <xf numFmtId="201" fontId="8" fillId="0" borderId="0" applyFont="0" applyFill="0" applyBorder="0" applyAlignment="0" applyProtection="0"/>
    <xf numFmtId="202" fontId="8" fillId="0" borderId="0" applyFont="0" applyFill="0" applyBorder="0" applyAlignment="0" applyProtection="0"/>
    <xf numFmtId="203" fontId="8" fillId="0" borderId="0" applyFont="0" applyFill="0" applyBorder="0" applyProtection="0">
      <alignment horizontal="right"/>
    </xf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79" fillId="0" borderId="0"/>
    <xf numFmtId="188" fontId="8" fillId="0" borderId="0"/>
    <xf numFmtId="188" fontId="8" fillId="0" borderId="0"/>
    <xf numFmtId="188" fontId="8" fillId="0" borderId="0"/>
    <xf numFmtId="0" fontId="60" fillId="0" borderId="0"/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6" fillId="0" borderId="0" applyNumberFormat="0" applyFill="0" applyBorder="0" applyAlignment="0" applyProtection="0"/>
    <xf numFmtId="0" fontId="64" fillId="0" borderId="0">
      <alignment vertical="top"/>
    </xf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Fill="0" applyBorder="0"/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1" fillId="0" borderId="0"/>
    <xf numFmtId="0" fontId="51" fillId="0" borderId="0"/>
    <xf numFmtId="188" fontId="8" fillId="0" borderId="0"/>
    <xf numFmtId="188" fontId="8" fillId="0" borderId="0"/>
    <xf numFmtId="188" fontId="8" fillId="0" borderId="0"/>
    <xf numFmtId="204" fontId="8" fillId="0" borderId="0" applyFont="0" applyFill="0" applyBorder="0" applyAlignment="0" applyProtection="0"/>
    <xf numFmtId="204" fontId="8" fillId="0" borderId="0" applyFont="0" applyFill="0" applyBorder="0" applyAlignment="0" applyProtection="0"/>
    <xf numFmtId="0" fontId="77" fillId="0" borderId="0"/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51" fillId="0" borderId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77" fillId="0" borderId="0"/>
    <xf numFmtId="0" fontId="77" fillId="0" borderId="0"/>
    <xf numFmtId="0" fontId="80" fillId="0" borderId="0"/>
    <xf numFmtId="0" fontId="47" fillId="0" borderId="0"/>
    <xf numFmtId="0" fontId="79" fillId="0" borderId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60" fillId="0" borderId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0" fontId="8" fillId="0" borderId="0" applyFill="0" applyBorder="0"/>
    <xf numFmtId="188" fontId="8" fillId="0" borderId="0"/>
    <xf numFmtId="188" fontId="8" fillId="0" borderId="0"/>
    <xf numFmtId="188" fontId="8" fillId="0" borderId="0"/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0" fontId="64" fillId="0" borderId="0">
      <alignment vertical="top"/>
    </xf>
    <xf numFmtId="197" fontId="8" fillId="0" borderId="0">
      <alignment horizontal="left" wrapText="1"/>
    </xf>
    <xf numFmtId="0" fontId="66" fillId="0" borderId="0" applyNumberFormat="0" applyFill="0" applyBorder="0" applyAlignment="0" applyProtection="0"/>
    <xf numFmtId="4" fontId="6" fillId="0" borderId="1"/>
    <xf numFmtId="4" fontId="6" fillId="0" borderId="1"/>
    <xf numFmtId="4" fontId="6" fillId="0" borderId="1"/>
    <xf numFmtId="4" fontId="6" fillId="0" borderId="1"/>
    <xf numFmtId="4" fontId="6" fillId="0" borderId="1"/>
    <xf numFmtId="4" fontId="6" fillId="0" borderId="1"/>
    <xf numFmtId="4" fontId="6" fillId="0" borderId="1"/>
    <xf numFmtId="4" fontId="6" fillId="0" borderId="1"/>
    <xf numFmtId="0" fontId="64" fillId="0" borderId="0">
      <alignment vertical="top"/>
    </xf>
    <xf numFmtId="0" fontId="64" fillId="0" borderId="0">
      <alignment vertical="top"/>
    </xf>
    <xf numFmtId="0" fontId="66" fillId="0" borderId="0" applyNumberFormat="0" applyFill="0" applyBorder="0" applyAlignment="0" applyProtection="0"/>
    <xf numFmtId="0" fontId="64" fillId="0" borderId="0">
      <alignment vertical="top"/>
    </xf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8" fillId="44" borderId="0"/>
    <xf numFmtId="0" fontId="8" fillId="44" borderId="0"/>
    <xf numFmtId="0" fontId="40" fillId="44" borderId="0"/>
    <xf numFmtId="0" fontId="8" fillId="44" borderId="0"/>
    <xf numFmtId="0" fontId="40" fillId="44" borderId="0"/>
    <xf numFmtId="0" fontId="8" fillId="44" borderId="0"/>
    <xf numFmtId="0" fontId="8" fillId="44" borderId="0"/>
    <xf numFmtId="0" fontId="40" fillId="44" borderId="0"/>
    <xf numFmtId="0" fontId="40" fillId="44" borderId="0"/>
    <xf numFmtId="0" fontId="8" fillId="44" borderId="0"/>
    <xf numFmtId="0" fontId="1" fillId="47" borderId="0"/>
    <xf numFmtId="0" fontId="68" fillId="44" borderId="0"/>
    <xf numFmtId="0" fontId="68" fillId="44" borderId="0"/>
    <xf numFmtId="0" fontId="67" fillId="44" borderId="0"/>
    <xf numFmtId="0" fontId="68" fillId="44" borderId="0"/>
    <xf numFmtId="0" fontId="69" fillId="45" borderId="0"/>
    <xf numFmtId="0" fontId="71" fillId="44" borderId="0"/>
    <xf numFmtId="0" fontId="71" fillId="44" borderId="0"/>
    <xf numFmtId="0" fontId="70" fillId="44" borderId="0"/>
    <xf numFmtId="0" fontId="71" fillId="44" borderId="0"/>
    <xf numFmtId="0" fontId="72" fillId="48" borderId="0"/>
    <xf numFmtId="0" fontId="6" fillId="44" borderId="0"/>
    <xf numFmtId="0" fontId="6" fillId="44" borderId="0"/>
    <xf numFmtId="0" fontId="8" fillId="44" borderId="0"/>
    <xf numFmtId="0" fontId="8" fillId="44" borderId="0"/>
    <xf numFmtId="0" fontId="6" fillId="44" borderId="0"/>
    <xf numFmtId="0" fontId="74" fillId="0" borderId="0"/>
    <xf numFmtId="0" fontId="68" fillId="44" borderId="0"/>
    <xf numFmtId="0" fontId="68" fillId="44" borderId="0"/>
    <xf numFmtId="0" fontId="74" fillId="44" borderId="0"/>
    <xf numFmtId="0" fontId="68" fillId="44" borderId="0"/>
    <xf numFmtId="0" fontId="75" fillId="0" borderId="0"/>
    <xf numFmtId="0" fontId="40" fillId="44" borderId="0"/>
    <xf numFmtId="0" fontId="40" fillId="44" borderId="0"/>
    <xf numFmtId="0" fontId="75" fillId="44" borderId="0"/>
    <xf numFmtId="0" fontId="40" fillId="44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4" borderId="0"/>
    <xf numFmtId="0" fontId="6" fillId="0" borderId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200" fontId="59" fillId="0" borderId="0"/>
    <xf numFmtId="200" fontId="59" fillId="0" borderId="0"/>
    <xf numFmtId="0" fontId="64" fillId="0" borderId="0">
      <alignment vertical="top"/>
    </xf>
    <xf numFmtId="0" fontId="64" fillId="0" borderId="0">
      <alignment vertical="top"/>
    </xf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81" fillId="0" borderId="0" applyNumberFormat="0" applyFill="0" applyBorder="0" applyProtection="0">
      <alignment vertical="top"/>
    </xf>
    <xf numFmtId="0" fontId="64" fillId="0" borderId="0">
      <alignment vertical="top"/>
    </xf>
    <xf numFmtId="0" fontId="64" fillId="0" borderId="0">
      <alignment vertical="top"/>
    </xf>
    <xf numFmtId="188" fontId="8" fillId="0" borderId="0"/>
    <xf numFmtId="188" fontId="8" fillId="0" borderId="0"/>
    <xf numFmtId="188" fontId="8" fillId="0" borderId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2" fillId="0" borderId="33" applyNumberFormat="0" applyFill="0" applyAlignment="0" applyProtection="0"/>
    <xf numFmtId="0" fontId="83" fillId="0" borderId="34" applyNumberFormat="0" applyFill="0" applyProtection="0">
      <alignment horizontal="center"/>
    </xf>
    <xf numFmtId="0" fontId="83" fillId="0" borderId="34" applyNumberFormat="0" applyFill="0" applyProtection="0">
      <alignment horizontal="center"/>
    </xf>
    <xf numFmtId="0" fontId="83" fillId="0" borderId="0" applyNumberFormat="0" applyFill="0" applyBorder="0" applyProtection="0">
      <alignment horizontal="left"/>
    </xf>
    <xf numFmtId="0" fontId="84" fillId="0" borderId="0" applyNumberFormat="0" applyFill="0" applyBorder="0" applyProtection="0">
      <alignment horizontal="centerContinuous"/>
    </xf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197" fontId="8" fillId="0" borderId="0">
      <alignment horizontal="left" wrapText="1"/>
    </xf>
    <xf numFmtId="0" fontId="8" fillId="0" borderId="0">
      <alignment horizontal="left" wrapText="1"/>
    </xf>
    <xf numFmtId="0" fontId="8" fillId="0" borderId="0">
      <alignment horizontal="left" wrapText="1"/>
    </xf>
    <xf numFmtId="0" fontId="8" fillId="0" borderId="0"/>
    <xf numFmtId="0" fontId="8" fillId="0" borderId="0"/>
    <xf numFmtId="0" fontId="8" fillId="0" borderId="0"/>
    <xf numFmtId="0" fontId="8" fillId="0" borderId="0"/>
    <xf numFmtId="0" fontId="64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 applyNumberFormat="0">
      <alignment horizontal="right"/>
    </xf>
    <xf numFmtId="179" fontId="8" fillId="0" borderId="0" applyFont="0" applyFill="0" applyBorder="0" applyAlignment="0" applyProtection="0"/>
    <xf numFmtId="179" fontId="8" fillId="0" borderId="0" applyFont="0" applyFill="0" applyBorder="0" applyAlignment="0" applyProtection="0"/>
    <xf numFmtId="205" fontId="47" fillId="0" borderId="0" applyFont="0" applyFill="0" applyBorder="0" applyAlignment="0" applyProtection="0"/>
    <xf numFmtId="206" fontId="8" fillId="0" borderId="0"/>
    <xf numFmtId="207" fontId="8" fillId="0" borderId="0"/>
    <xf numFmtId="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" fillId="0" borderId="0"/>
    <xf numFmtId="0" fontId="8" fillId="0" borderId="0"/>
    <xf numFmtId="208" fontId="47" fillId="0" borderId="0" applyFont="0" applyFill="0" applyBorder="0" applyAlignment="0" applyProtection="0"/>
    <xf numFmtId="209" fontId="87" fillId="0" borderId="35">
      <alignment horizontal="left" vertical="center"/>
    </xf>
    <xf numFmtId="0" fontId="8" fillId="0" borderId="0"/>
    <xf numFmtId="0" fontId="8" fillId="0" borderId="0"/>
    <xf numFmtId="0" fontId="88" fillId="0" borderId="0" applyNumberFormat="0" applyFill="0" applyBorder="0" applyAlignment="0" applyProtection="0"/>
    <xf numFmtId="0" fontId="8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" fontId="79" fillId="0" borderId="0" applyFont="0" applyFill="0" applyBorder="0" applyAlignment="0" applyProtection="0"/>
    <xf numFmtId="210" fontId="8" fillId="0" borderId="0"/>
    <xf numFmtId="210" fontId="8" fillId="0" borderId="0"/>
    <xf numFmtId="210" fontId="8" fillId="0" borderId="0"/>
    <xf numFmtId="210" fontId="8" fillId="0" borderId="0"/>
    <xf numFmtId="210" fontId="8" fillId="0" borderId="0"/>
    <xf numFmtId="210" fontId="8" fillId="0" borderId="0"/>
    <xf numFmtId="210" fontId="8" fillId="0" borderId="0"/>
    <xf numFmtId="211" fontId="8" fillId="0" borderId="0"/>
    <xf numFmtId="211" fontId="8" fillId="0" borderId="0"/>
    <xf numFmtId="211" fontId="8" fillId="0" borderId="0"/>
    <xf numFmtId="210" fontId="8" fillId="0" borderId="0"/>
    <xf numFmtId="210" fontId="8" fillId="0" borderId="0"/>
    <xf numFmtId="210" fontId="8" fillId="0" borderId="0"/>
    <xf numFmtId="211" fontId="8" fillId="0" borderId="0"/>
    <xf numFmtId="211" fontId="8" fillId="0" borderId="0"/>
    <xf numFmtId="211" fontId="8" fillId="0" borderId="0"/>
    <xf numFmtId="210" fontId="8" fillId="0" borderId="0"/>
    <xf numFmtId="210" fontId="8" fillId="0" borderId="0"/>
    <xf numFmtId="210" fontId="8" fillId="0" borderId="0"/>
    <xf numFmtId="210" fontId="8" fillId="0" borderId="0"/>
    <xf numFmtId="210" fontId="8" fillId="0" borderId="0"/>
    <xf numFmtId="210" fontId="8" fillId="0" borderId="0"/>
    <xf numFmtId="210" fontId="8" fillId="0" borderId="0"/>
    <xf numFmtId="210" fontId="8" fillId="0" borderId="0"/>
    <xf numFmtId="210" fontId="8" fillId="0" borderId="0"/>
    <xf numFmtId="210" fontId="8" fillId="0" borderId="0"/>
    <xf numFmtId="210" fontId="8" fillId="0" borderId="0"/>
    <xf numFmtId="0" fontId="43" fillId="0" borderId="0" applyNumberFormat="0">
      <alignment horizontal="right"/>
    </xf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40" fontId="8" fillId="0" borderId="0" applyFont="0" applyFill="0" applyBorder="0" applyAlignment="0" applyProtection="0"/>
    <xf numFmtId="4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212" fontId="90" fillId="0" borderId="0">
      <alignment horizontal="left"/>
    </xf>
    <xf numFmtId="213" fontId="91" fillId="0" borderId="0">
      <alignment horizontal="left"/>
    </xf>
    <xf numFmtId="214" fontId="47" fillId="0" borderId="36" applyBorder="0">
      <alignment horizontal="right"/>
    </xf>
    <xf numFmtId="3" fontId="92" fillId="0" borderId="2" applyNumberFormat="0" applyFill="0" applyBorder="0" applyAlignment="0" applyProtection="0"/>
    <xf numFmtId="3" fontId="93" fillId="0" borderId="2" applyNumberFormat="0" applyFill="0" applyBorder="0" applyAlignment="0" applyProtection="0"/>
    <xf numFmtId="3" fontId="94" fillId="0" borderId="2" applyNumberFormat="0" applyFill="0" applyBorder="0" applyAlignment="0" applyProtection="0"/>
    <xf numFmtId="3" fontId="95" fillId="0" borderId="2" applyNumberFormat="0" applyFill="0" applyBorder="0" applyAlignment="0" applyProtection="0"/>
    <xf numFmtId="3" fontId="6" fillId="0" borderId="37" applyNumberFormat="0" applyFill="0" applyBorder="0" applyProtection="0"/>
    <xf numFmtId="3" fontId="40" fillId="0" borderId="2" applyNumberFormat="0" applyFill="0" applyBorder="0" applyAlignment="0" applyProtection="0"/>
    <xf numFmtId="3" fontId="68" fillId="0" borderId="2" applyNumberFormat="0" applyFill="0" applyBorder="0" applyAlignment="0" applyProtection="0"/>
    <xf numFmtId="0" fontId="71" fillId="0" borderId="0" applyNumberFormat="0" applyFill="0" applyBorder="0" applyAlignment="0" applyProtection="0"/>
    <xf numFmtId="3" fontId="3" fillId="0" borderId="2" applyNumberFormat="0" applyFill="0" applyBorder="0" applyAlignment="0" applyProtection="0"/>
    <xf numFmtId="3" fontId="75" fillId="0" borderId="2" applyNumberFormat="0" applyFill="0" applyBorder="0" applyAlignment="0" applyProtection="0"/>
    <xf numFmtId="3" fontId="74" fillId="0" borderId="2" applyNumberFormat="0" applyFill="0" applyBorder="0" applyAlignment="0" applyProtection="0"/>
    <xf numFmtId="215" fontId="96" fillId="0" borderId="7" applyNumberFormat="0" applyFill="0" applyBorder="0" applyProtection="0">
      <alignment horizontal="center"/>
    </xf>
    <xf numFmtId="3" fontId="97" fillId="0" borderId="2" applyNumberFormat="0" applyFill="0" applyBorder="0" applyAlignment="0" applyProtection="0"/>
    <xf numFmtId="216" fontId="44" fillId="0" borderId="0" applyFont="0" applyFill="0" applyBorder="0" applyAlignment="0" applyProtection="0">
      <alignment vertical="top"/>
    </xf>
    <xf numFmtId="217" fontId="8" fillId="0" borderId="0">
      <alignment horizontal="right"/>
    </xf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7" fontId="8" fillId="0" borderId="0">
      <alignment horizontal="right"/>
    </xf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7" fontId="8" fillId="0" borderId="0">
      <alignment horizontal="right"/>
    </xf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7" fontId="8" fillId="0" borderId="0">
      <alignment horizontal="right"/>
    </xf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7" fontId="8" fillId="0" borderId="0">
      <alignment horizontal="right"/>
    </xf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7" fontId="8" fillId="0" borderId="0">
      <alignment horizontal="right"/>
    </xf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4" fontId="47" fillId="45" borderId="38"/>
    <xf numFmtId="218" fontId="8" fillId="0" borderId="0"/>
    <xf numFmtId="218" fontId="8" fillId="0" borderId="0"/>
    <xf numFmtId="218" fontId="8" fillId="0" borderId="0"/>
    <xf numFmtId="2" fontId="98" fillId="0" borderId="0" applyNumberFormat="0" applyFill="0" applyBorder="0" applyAlignment="0" applyProtection="0"/>
    <xf numFmtId="209" fontId="8" fillId="0" borderId="0" applyFont="0" applyFill="0" applyBorder="0" applyAlignment="0" applyProtection="0"/>
    <xf numFmtId="209" fontId="8" fillId="0" borderId="0" applyFont="0" applyFill="0" applyBorder="0" applyAlignment="0" applyProtection="0"/>
    <xf numFmtId="2" fontId="99" fillId="0" borderId="0" applyNumberFormat="0" applyFill="0" applyBorder="0" applyAlignment="0" applyProtection="0"/>
    <xf numFmtId="217" fontId="8" fillId="0" borderId="0">
      <alignment horizontal="right"/>
    </xf>
    <xf numFmtId="217" fontId="8" fillId="0" borderId="0">
      <alignment horizontal="right"/>
    </xf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3" fontId="73" fillId="0" borderId="2" applyNumberFormat="0" applyFill="0" applyBorder="0" applyAlignment="0" applyProtection="0"/>
    <xf numFmtId="0" fontId="100" fillId="0" borderId="0" applyNumberFormat="0" applyFill="0" applyBorder="0" applyAlignment="0" applyProtection="0"/>
    <xf numFmtId="219" fontId="8" fillId="0" borderId="36" applyFont="0" applyFill="0" applyBorder="0" applyAlignment="0" applyProtection="0"/>
    <xf numFmtId="219" fontId="8" fillId="0" borderId="36" applyFont="0" applyFill="0" applyBorder="0" applyAlignment="0" applyProtection="0"/>
    <xf numFmtId="220" fontId="48" fillId="0" borderId="0">
      <alignment horizontal="right"/>
      <protection locked="0"/>
    </xf>
    <xf numFmtId="0" fontId="67" fillId="0" borderId="0" applyNumberFormat="0" applyFill="0" applyBorder="0" applyAlignment="0" applyProtection="0"/>
    <xf numFmtId="3" fontId="101" fillId="0" borderId="2" applyNumberFormat="0" applyFill="0" applyBorder="0" applyAlignment="0" applyProtection="0"/>
    <xf numFmtId="3" fontId="102" fillId="0" borderId="2" applyNumberFormat="0" applyFill="0" applyBorder="0" applyAlignment="0" applyProtection="0"/>
    <xf numFmtId="3" fontId="103" fillId="0" borderId="2" applyNumberFormat="0" applyFill="0" applyBorder="0" applyAlignment="0" applyProtection="0"/>
    <xf numFmtId="3" fontId="104" fillId="0" borderId="2" applyNumberFormat="0" applyFill="0" applyBorder="0" applyAlignment="0" applyProtection="0"/>
    <xf numFmtId="3" fontId="105" fillId="0" borderId="2" applyNumberFormat="0" applyFill="0" applyBorder="0" applyAlignment="0" applyProtection="0"/>
    <xf numFmtId="0" fontId="106" fillId="0" borderId="0" applyNumberFormat="0" applyFill="0" applyBorder="0" applyAlignment="0" applyProtection="0"/>
    <xf numFmtId="3" fontId="107" fillId="0" borderId="2" applyNumberFormat="0" applyFill="0" applyBorder="0" applyAlignment="0" applyProtection="0"/>
    <xf numFmtId="0" fontId="108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3" fontId="110" fillId="0" borderId="2" applyNumberFormat="0" applyFill="0" applyBorder="0" applyAlignment="0" applyProtection="0"/>
    <xf numFmtId="0" fontId="111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3" fontId="113" fillId="0" borderId="2" applyNumberFormat="0" applyFill="0" applyBorder="0" applyAlignment="0" applyProtection="0"/>
    <xf numFmtId="0" fontId="114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3" fontId="116" fillId="0" borderId="2" applyNumberFormat="0" applyFill="0" applyBorder="0" applyAlignment="0" applyProtection="0"/>
    <xf numFmtId="0" fontId="117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63" fillId="53" borderId="0"/>
    <xf numFmtId="37" fontId="47" fillId="0" borderId="0"/>
    <xf numFmtId="221" fontId="118" fillId="0" borderId="0"/>
    <xf numFmtId="0" fontId="9" fillId="11" borderId="0" applyNumberFormat="0" applyBorder="0" applyAlignment="0" applyProtection="0"/>
    <xf numFmtId="0" fontId="88" fillId="54" borderId="0" applyNumberFormat="0" applyBorder="0" applyAlignment="0" applyProtection="0"/>
    <xf numFmtId="0" fontId="88" fillId="54" borderId="0" applyNumberFormat="0" applyBorder="0" applyAlignment="0" applyProtection="0"/>
    <xf numFmtId="0" fontId="88" fillId="54" borderId="0" applyNumberFormat="0" applyBorder="0" applyAlignment="0" applyProtection="0"/>
    <xf numFmtId="0" fontId="88" fillId="54" borderId="0" applyNumberFormat="0" applyBorder="0" applyAlignment="0" applyProtection="0"/>
    <xf numFmtId="0" fontId="88" fillId="54" borderId="0" applyNumberFormat="0" applyBorder="0" applyAlignment="0" applyProtection="0"/>
    <xf numFmtId="0" fontId="88" fillId="55" borderId="0" applyNumberFormat="0" applyBorder="0" applyAlignment="0" applyProtection="0"/>
    <xf numFmtId="0" fontId="88" fillId="54" borderId="0" applyNumberFormat="0" applyBorder="0" applyAlignment="0" applyProtection="0"/>
    <xf numFmtId="0" fontId="88" fillId="55" borderId="0" applyNumberFormat="0" applyBorder="0" applyAlignment="0" applyProtection="0"/>
    <xf numFmtId="0" fontId="119" fillId="56" borderId="0" applyNumberFormat="0" applyBorder="0" applyAlignment="0" applyProtection="0"/>
    <xf numFmtId="0" fontId="88" fillId="54" borderId="0" applyNumberFormat="0" applyBorder="0" applyAlignment="0" applyProtection="0"/>
    <xf numFmtId="0" fontId="88" fillId="54" borderId="0" applyNumberFormat="0" applyBorder="0" applyAlignment="0" applyProtection="0"/>
    <xf numFmtId="0" fontId="88" fillId="54" borderId="0" applyNumberFormat="0" applyBorder="0" applyAlignment="0" applyProtection="0"/>
    <xf numFmtId="0" fontId="88" fillId="54" borderId="0" applyNumberFormat="0" applyBorder="0" applyAlignment="0" applyProtection="0"/>
    <xf numFmtId="0" fontId="88" fillId="54" borderId="0" applyNumberFormat="0" applyBorder="0" applyAlignment="0" applyProtection="0"/>
    <xf numFmtId="0" fontId="9" fillId="15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8" borderId="0" applyNumberFormat="0" applyBorder="0" applyAlignment="0" applyProtection="0"/>
    <xf numFmtId="0" fontId="88" fillId="57" borderId="0" applyNumberFormat="0" applyBorder="0" applyAlignment="0" applyProtection="0"/>
    <xf numFmtId="0" fontId="88" fillId="58" borderId="0" applyNumberFormat="0" applyBorder="0" applyAlignment="0" applyProtection="0"/>
    <xf numFmtId="0" fontId="119" fillId="59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9" fillId="19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1" borderId="0" applyNumberFormat="0" applyBorder="0" applyAlignment="0" applyProtection="0"/>
    <xf numFmtId="0" fontId="88" fillId="60" borderId="0" applyNumberFormat="0" applyBorder="0" applyAlignment="0" applyProtection="0"/>
    <xf numFmtId="0" fontId="88" fillId="61" borderId="0" applyNumberFormat="0" applyBorder="0" applyAlignment="0" applyProtection="0"/>
    <xf numFmtId="0" fontId="119" fillId="62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9" fillId="2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4" borderId="0" applyNumberFormat="0" applyBorder="0" applyAlignment="0" applyProtection="0"/>
    <xf numFmtId="0" fontId="88" fillId="63" borderId="0" applyNumberFormat="0" applyBorder="0" applyAlignment="0" applyProtection="0"/>
    <xf numFmtId="0" fontId="88" fillId="64" borderId="0" applyNumberFormat="0" applyBorder="0" applyAlignment="0" applyProtection="0"/>
    <xf numFmtId="0" fontId="119" fillId="65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9" fillId="27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55" borderId="0" applyNumberFormat="0" applyBorder="0" applyAlignment="0" applyProtection="0"/>
    <xf numFmtId="0" fontId="88" fillId="66" borderId="0" applyNumberFormat="0" applyBorder="0" applyAlignment="0" applyProtection="0"/>
    <xf numFmtId="0" fontId="88" fillId="55" borderId="0" applyNumberFormat="0" applyBorder="0" applyAlignment="0" applyProtection="0"/>
    <xf numFmtId="0" fontId="119" fillId="67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9" fillId="31" borderId="0" applyNumberFormat="0" applyBorder="0" applyAlignment="0" applyProtection="0"/>
    <xf numFmtId="0" fontId="88" fillId="68" borderId="0" applyNumberFormat="0" applyBorder="0" applyAlignment="0" applyProtection="0"/>
    <xf numFmtId="0" fontId="88" fillId="68" borderId="0" applyNumberFormat="0" applyBorder="0" applyAlignment="0" applyProtection="0"/>
    <xf numFmtId="0" fontId="88" fillId="68" borderId="0" applyNumberFormat="0" applyBorder="0" applyAlignment="0" applyProtection="0"/>
    <xf numFmtId="0" fontId="88" fillId="68" borderId="0" applyNumberFormat="0" applyBorder="0" applyAlignment="0" applyProtection="0"/>
    <xf numFmtId="0" fontId="88" fillId="68" borderId="0" applyNumberFormat="0" applyBorder="0" applyAlignment="0" applyProtection="0"/>
    <xf numFmtId="0" fontId="88" fillId="57" borderId="0" applyNumberFormat="0" applyBorder="0" applyAlignment="0" applyProtection="0"/>
    <xf numFmtId="0" fontId="88" fillId="68" borderId="0" applyNumberFormat="0" applyBorder="0" applyAlignment="0" applyProtection="0"/>
    <xf numFmtId="0" fontId="88" fillId="57" borderId="0" applyNumberFormat="0" applyBorder="0" applyAlignment="0" applyProtection="0"/>
    <xf numFmtId="0" fontId="119" fillId="59" borderId="0" applyNumberFormat="0" applyBorder="0" applyAlignment="0" applyProtection="0"/>
    <xf numFmtId="0" fontId="88" fillId="68" borderId="0" applyNumberFormat="0" applyBorder="0" applyAlignment="0" applyProtection="0"/>
    <xf numFmtId="0" fontId="88" fillId="68" borderId="0" applyNumberFormat="0" applyBorder="0" applyAlignment="0" applyProtection="0"/>
    <xf numFmtId="0" fontId="88" fillId="68" borderId="0" applyNumberFormat="0" applyBorder="0" applyAlignment="0" applyProtection="0"/>
    <xf numFmtId="0" fontId="88" fillId="68" borderId="0" applyNumberFormat="0" applyBorder="0" applyAlignment="0" applyProtection="0"/>
    <xf numFmtId="0" fontId="88" fillId="68" borderId="0" applyNumberFormat="0" applyBorder="0" applyAlignment="0" applyProtection="0"/>
    <xf numFmtId="0" fontId="64" fillId="54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64" fillId="54" borderId="0" applyNumberFormat="0" applyBorder="0" applyAlignment="0" applyProtection="0"/>
    <xf numFmtId="0" fontId="9" fillId="11" borderId="0" applyNumberFormat="0" applyBorder="0" applyAlignment="0" applyProtection="0"/>
    <xf numFmtId="0" fontId="88" fillId="55" borderId="0" applyNumberFormat="0" applyBorder="0" applyAlignment="0" applyProtection="0"/>
    <xf numFmtId="0" fontId="9" fillId="11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64" fillId="54" borderId="0" applyNumberFormat="0" applyBorder="0" applyAlignment="0" applyProtection="0"/>
    <xf numFmtId="0" fontId="88" fillId="54" borderId="0" applyNumberFormat="0" applyBorder="0" applyAlignment="0" applyProtection="0"/>
    <xf numFmtId="0" fontId="88" fillId="54" borderId="0" applyNumberFormat="0" applyBorder="0" applyAlignment="0" applyProtection="0"/>
    <xf numFmtId="0" fontId="88" fillId="54" borderId="0" applyNumberFormat="0" applyBorder="0" applyAlignment="0" applyProtection="0"/>
    <xf numFmtId="0" fontId="88" fillId="54" borderId="0" applyNumberFormat="0" applyBorder="0" applyAlignment="0" applyProtection="0"/>
    <xf numFmtId="0" fontId="88" fillId="54" borderId="0" applyNumberFormat="0" applyBorder="0" applyAlignment="0" applyProtection="0"/>
    <xf numFmtId="0" fontId="88" fillId="54" borderId="0" applyNumberFormat="0" applyBorder="0" applyAlignment="0" applyProtection="0"/>
    <xf numFmtId="0" fontId="88" fillId="54" borderId="0" applyNumberFormat="0" applyBorder="0" applyAlignment="0" applyProtection="0"/>
    <xf numFmtId="0" fontId="88" fillId="54" borderId="0" applyNumberFormat="0" applyBorder="0" applyAlignment="0" applyProtection="0"/>
    <xf numFmtId="0" fontId="88" fillId="54" borderId="0" applyNumberFormat="0" applyBorder="0" applyAlignment="0" applyProtection="0"/>
    <xf numFmtId="0" fontId="64" fillId="54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88" fillId="54" borderId="0" applyNumberFormat="0" applyBorder="0" applyAlignment="0" applyProtection="0"/>
    <xf numFmtId="0" fontId="88" fillId="54" borderId="0" applyNumberFormat="0" applyBorder="0" applyAlignment="0" applyProtection="0"/>
    <xf numFmtId="0" fontId="88" fillId="54" borderId="0" applyNumberFormat="0" applyBorder="0" applyAlignment="0" applyProtection="0"/>
    <xf numFmtId="0" fontId="88" fillId="54" borderId="0" applyNumberFormat="0" applyBorder="0" applyAlignment="0" applyProtection="0"/>
    <xf numFmtId="0" fontId="88" fillId="54" borderId="0" applyNumberFormat="0" applyBorder="0" applyAlignment="0" applyProtection="0"/>
    <xf numFmtId="0" fontId="88" fillId="54" borderId="0" applyNumberFormat="0" applyBorder="0" applyAlignment="0" applyProtection="0"/>
    <xf numFmtId="0" fontId="88" fillId="54" borderId="0" applyNumberFormat="0" applyBorder="0" applyAlignment="0" applyProtection="0"/>
    <xf numFmtId="0" fontId="88" fillId="54" borderId="0" applyNumberFormat="0" applyBorder="0" applyAlignment="0" applyProtection="0"/>
    <xf numFmtId="0" fontId="88" fillId="54" borderId="0" applyNumberFormat="0" applyBorder="0" applyAlignment="0" applyProtection="0"/>
    <xf numFmtId="0" fontId="88" fillId="54" borderId="0" applyNumberFormat="0" applyBorder="0" applyAlignment="0" applyProtection="0"/>
    <xf numFmtId="0" fontId="64" fillId="54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88" fillId="54" borderId="0" applyNumberFormat="0" applyBorder="0" applyAlignment="0" applyProtection="0"/>
    <xf numFmtId="0" fontId="88" fillId="54" borderId="0" applyNumberFormat="0" applyBorder="0" applyAlignment="0" applyProtection="0"/>
    <xf numFmtId="0" fontId="88" fillId="54" borderId="0" applyNumberFormat="0" applyBorder="0" applyAlignment="0" applyProtection="0"/>
    <xf numFmtId="0" fontId="88" fillId="54" borderId="0" applyNumberFormat="0" applyBorder="0" applyAlignment="0" applyProtection="0"/>
    <xf numFmtId="0" fontId="88" fillId="54" borderId="0" applyNumberFormat="0" applyBorder="0" applyAlignment="0" applyProtection="0"/>
    <xf numFmtId="0" fontId="88" fillId="54" borderId="0" applyNumberFormat="0" applyBorder="0" applyAlignment="0" applyProtection="0"/>
    <xf numFmtId="0" fontId="88" fillId="54" borderId="0" applyNumberFormat="0" applyBorder="0" applyAlignment="0" applyProtection="0"/>
    <xf numFmtId="0" fontId="88" fillId="54" borderId="0" applyNumberFormat="0" applyBorder="0" applyAlignment="0" applyProtection="0"/>
    <xf numFmtId="0" fontId="64" fillId="54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64" fillId="54" borderId="0" applyNumberFormat="0" applyBorder="0" applyAlignment="0" applyProtection="0"/>
    <xf numFmtId="0" fontId="9" fillId="11" borderId="0" applyNumberFormat="0" applyBorder="0" applyAlignment="0" applyProtection="0"/>
    <xf numFmtId="0" fontId="64" fillId="54" borderId="0" applyNumberFormat="0" applyBorder="0" applyAlignment="0" applyProtection="0"/>
    <xf numFmtId="0" fontId="9" fillId="11" borderId="0" applyNumberFormat="0" applyBorder="0" applyAlignment="0" applyProtection="0"/>
    <xf numFmtId="0" fontId="64" fillId="54" borderId="0" applyNumberFormat="0" applyBorder="0" applyAlignment="0" applyProtection="0"/>
    <xf numFmtId="0" fontId="64" fillId="54" borderId="0" applyNumberFormat="0" applyBorder="0" applyAlignment="0" applyProtection="0"/>
    <xf numFmtId="0" fontId="64" fillId="54" borderId="0" applyNumberFormat="0" applyBorder="0" applyAlignment="0" applyProtection="0"/>
    <xf numFmtId="0" fontId="9" fillId="11" borderId="0" applyNumberFormat="0" applyBorder="0" applyAlignment="0" applyProtection="0"/>
    <xf numFmtId="0" fontId="88" fillId="54" borderId="0" applyNumberFormat="0" applyBorder="0" applyAlignment="0" applyProtection="0"/>
    <xf numFmtId="0" fontId="88" fillId="54" borderId="0" applyNumberFormat="0" applyBorder="0" applyAlignment="0" applyProtection="0"/>
    <xf numFmtId="0" fontId="88" fillId="54" borderId="0" applyNumberFormat="0" applyBorder="0" applyAlignment="0" applyProtection="0"/>
    <xf numFmtId="0" fontId="88" fillId="54" borderId="0" applyNumberFormat="0" applyBorder="0" applyAlignment="0" applyProtection="0"/>
    <xf numFmtId="0" fontId="88" fillId="54" borderId="0" applyNumberFormat="0" applyBorder="0" applyAlignment="0" applyProtection="0"/>
    <xf numFmtId="0" fontId="88" fillId="54" borderId="0" applyNumberFormat="0" applyBorder="0" applyAlignment="0" applyProtection="0"/>
    <xf numFmtId="0" fontId="88" fillId="54" borderId="0" applyNumberFormat="0" applyBorder="0" applyAlignment="0" applyProtection="0"/>
    <xf numFmtId="0" fontId="88" fillId="54" borderId="0" applyNumberFormat="0" applyBorder="0" applyAlignment="0" applyProtection="0"/>
    <xf numFmtId="0" fontId="88" fillId="54" borderId="0" applyNumberFormat="0" applyBorder="0" applyAlignment="0" applyProtection="0"/>
    <xf numFmtId="0" fontId="88" fillId="54" borderId="0" applyNumberFormat="0" applyBorder="0" applyAlignment="0" applyProtection="0"/>
    <xf numFmtId="0" fontId="64" fillId="54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88" fillId="54" borderId="0" applyNumberFormat="0" applyBorder="0" applyAlignment="0" applyProtection="0"/>
    <xf numFmtId="0" fontId="88" fillId="54" borderId="0" applyNumberFormat="0" applyBorder="0" applyAlignment="0" applyProtection="0"/>
    <xf numFmtId="0" fontId="88" fillId="54" borderId="0" applyNumberFormat="0" applyBorder="0" applyAlignment="0" applyProtection="0"/>
    <xf numFmtId="0" fontId="88" fillId="54" borderId="0" applyNumberFormat="0" applyBorder="0" applyAlignment="0" applyProtection="0"/>
    <xf numFmtId="0" fontId="88" fillId="54" borderId="0" applyNumberFormat="0" applyBorder="0" applyAlignment="0" applyProtection="0"/>
    <xf numFmtId="0" fontId="88" fillId="54" borderId="0" applyNumberFormat="0" applyBorder="0" applyAlignment="0" applyProtection="0"/>
    <xf numFmtId="0" fontId="88" fillId="54" borderId="0" applyNumberFormat="0" applyBorder="0" applyAlignment="0" applyProtection="0"/>
    <xf numFmtId="0" fontId="88" fillId="54" borderId="0" applyNumberFormat="0" applyBorder="0" applyAlignment="0" applyProtection="0"/>
    <xf numFmtId="0" fontId="88" fillId="54" borderId="0" applyNumberFormat="0" applyBorder="0" applyAlignment="0" applyProtection="0"/>
    <xf numFmtId="0" fontId="88" fillId="54" borderId="0" applyNumberFormat="0" applyBorder="0" applyAlignment="0" applyProtection="0"/>
    <xf numFmtId="0" fontId="64" fillId="54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88" fillId="54" borderId="0" applyNumberFormat="0" applyBorder="0" applyAlignment="0" applyProtection="0"/>
    <xf numFmtId="0" fontId="88" fillId="54" borderId="0" applyNumberFormat="0" applyBorder="0" applyAlignment="0" applyProtection="0"/>
    <xf numFmtId="0" fontId="88" fillId="54" borderId="0" applyNumberFormat="0" applyBorder="0" applyAlignment="0" applyProtection="0"/>
    <xf numFmtId="0" fontId="88" fillId="54" borderId="0" applyNumberFormat="0" applyBorder="0" applyAlignment="0" applyProtection="0"/>
    <xf numFmtId="0" fontId="64" fillId="54" borderId="0" applyNumberFormat="0" applyBorder="0" applyAlignment="0" applyProtection="0"/>
    <xf numFmtId="0" fontId="64" fillId="54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64" fillId="54" borderId="0" applyNumberFormat="0" applyBorder="0" applyAlignment="0" applyProtection="0"/>
    <xf numFmtId="0" fontId="9" fillId="11" borderId="0" applyNumberFormat="0" applyBorder="0" applyAlignment="0" applyProtection="0"/>
    <xf numFmtId="0" fontId="64" fillId="54" borderId="0" applyNumberFormat="0" applyBorder="0" applyAlignment="0" applyProtection="0"/>
    <xf numFmtId="0" fontId="9" fillId="11" borderId="0" applyNumberFormat="0" applyBorder="0" applyAlignment="0" applyProtection="0"/>
    <xf numFmtId="0" fontId="88" fillId="54" borderId="0" applyNumberFormat="0" applyBorder="0" applyAlignment="0" applyProtection="0"/>
    <xf numFmtId="0" fontId="88" fillId="54" borderId="0" applyNumberFormat="0" applyBorder="0" applyAlignment="0" applyProtection="0"/>
    <xf numFmtId="0" fontId="88" fillId="54" borderId="0" applyNumberFormat="0" applyBorder="0" applyAlignment="0" applyProtection="0"/>
    <xf numFmtId="0" fontId="9" fillId="11" borderId="0" applyNumberFormat="0" applyBorder="0" applyAlignment="0" applyProtection="0"/>
    <xf numFmtId="0" fontId="64" fillId="54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64" fillId="54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64" fillId="54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64" fillId="54" borderId="0" applyNumberFormat="0" applyBorder="0" applyAlignment="0" applyProtection="0"/>
    <xf numFmtId="0" fontId="64" fillId="54" borderId="0" applyNumberFormat="0" applyBorder="0" applyAlignment="0" applyProtection="0"/>
    <xf numFmtId="0" fontId="64" fillId="54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64" fillId="54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64" fillId="54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64" fillId="54" borderId="0" applyNumberFormat="0" applyBorder="0" applyAlignment="0" applyProtection="0"/>
    <xf numFmtId="0" fontId="64" fillId="54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64" fillId="54" borderId="0" applyNumberFormat="0" applyBorder="0" applyAlignment="0" applyProtection="0"/>
    <xf numFmtId="0" fontId="64" fillId="54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64" fillId="54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64" fillId="54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64" fillId="57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64" fillId="57" borderId="0" applyNumberFormat="0" applyBorder="0" applyAlignment="0" applyProtection="0"/>
    <xf numFmtId="0" fontId="9" fillId="15" borderId="0" applyNumberFormat="0" applyBorder="0" applyAlignment="0" applyProtection="0"/>
    <xf numFmtId="0" fontId="88" fillId="58" borderId="0" applyNumberFormat="0" applyBorder="0" applyAlignment="0" applyProtection="0"/>
    <xf numFmtId="0" fontId="9" fillId="15" borderId="0" applyNumberFormat="0" applyBorder="0" applyAlignment="0" applyProtection="0"/>
    <xf numFmtId="0" fontId="88" fillId="69" borderId="0" applyNumberFormat="0" applyBorder="0" applyAlignment="0" applyProtection="0"/>
    <xf numFmtId="0" fontId="88" fillId="69" borderId="0" applyNumberFormat="0" applyBorder="0" applyAlignment="0" applyProtection="0"/>
    <xf numFmtId="0" fontId="88" fillId="69" borderId="0" applyNumberFormat="0" applyBorder="0" applyAlignment="0" applyProtection="0"/>
    <xf numFmtId="0" fontId="88" fillId="69" borderId="0" applyNumberFormat="0" applyBorder="0" applyAlignment="0" applyProtection="0"/>
    <xf numFmtId="0" fontId="64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64" fillId="57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64" fillId="57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64" fillId="57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64" fillId="57" borderId="0" applyNumberFormat="0" applyBorder="0" applyAlignment="0" applyProtection="0"/>
    <xf numFmtId="0" fontId="9" fillId="15" borderId="0" applyNumberFormat="0" applyBorder="0" applyAlignment="0" applyProtection="0"/>
    <xf numFmtId="0" fontId="64" fillId="57" borderId="0" applyNumberFormat="0" applyBorder="0" applyAlignment="0" applyProtection="0"/>
    <xf numFmtId="0" fontId="9" fillId="15" borderId="0" applyNumberFormat="0" applyBorder="0" applyAlignment="0" applyProtection="0"/>
    <xf numFmtId="0" fontId="64" fillId="57" borderId="0" applyNumberFormat="0" applyBorder="0" applyAlignment="0" applyProtection="0"/>
    <xf numFmtId="0" fontId="64" fillId="57" borderId="0" applyNumberFormat="0" applyBorder="0" applyAlignment="0" applyProtection="0"/>
    <xf numFmtId="0" fontId="64" fillId="57" borderId="0" applyNumberFormat="0" applyBorder="0" applyAlignment="0" applyProtection="0"/>
    <xf numFmtId="0" fontId="9" fillId="15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64" fillId="57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64" fillId="57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64" fillId="57" borderId="0" applyNumberFormat="0" applyBorder="0" applyAlignment="0" applyProtection="0"/>
    <xf numFmtId="0" fontId="64" fillId="57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64" fillId="57" borderId="0" applyNumberFormat="0" applyBorder="0" applyAlignment="0" applyProtection="0"/>
    <xf numFmtId="0" fontId="9" fillId="15" borderId="0" applyNumberFormat="0" applyBorder="0" applyAlignment="0" applyProtection="0"/>
    <xf numFmtId="0" fontId="64" fillId="57" borderId="0" applyNumberFormat="0" applyBorder="0" applyAlignment="0" applyProtection="0"/>
    <xf numFmtId="0" fontId="9" fillId="15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9" fillId="15" borderId="0" applyNumberFormat="0" applyBorder="0" applyAlignment="0" applyProtection="0"/>
    <xf numFmtId="0" fontId="64" fillId="57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64" fillId="57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64" fillId="57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64" fillId="57" borderId="0" applyNumberFormat="0" applyBorder="0" applyAlignment="0" applyProtection="0"/>
    <xf numFmtId="0" fontId="64" fillId="57" borderId="0" applyNumberFormat="0" applyBorder="0" applyAlignment="0" applyProtection="0"/>
    <xf numFmtId="0" fontId="64" fillId="57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64" fillId="57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64" fillId="57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64" fillId="57" borderId="0" applyNumberFormat="0" applyBorder="0" applyAlignment="0" applyProtection="0"/>
    <xf numFmtId="0" fontId="64" fillId="57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64" fillId="57" borderId="0" applyNumberFormat="0" applyBorder="0" applyAlignment="0" applyProtection="0"/>
    <xf numFmtId="0" fontId="64" fillId="57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64" fillId="57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64" fillId="57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64" fillId="60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64" fillId="60" borderId="0" applyNumberFormat="0" applyBorder="0" applyAlignment="0" applyProtection="0"/>
    <xf numFmtId="0" fontId="9" fillId="19" borderId="0" applyNumberFormat="0" applyBorder="0" applyAlignment="0" applyProtection="0"/>
    <xf numFmtId="0" fontId="88" fillId="61" borderId="0" applyNumberFormat="0" applyBorder="0" applyAlignment="0" applyProtection="0"/>
    <xf numFmtId="0" fontId="9" fillId="19" borderId="0" applyNumberFormat="0" applyBorder="0" applyAlignment="0" applyProtection="0"/>
    <xf numFmtId="0" fontId="88" fillId="70" borderId="0" applyNumberFormat="0" applyBorder="0" applyAlignment="0" applyProtection="0"/>
    <xf numFmtId="0" fontId="88" fillId="70" borderId="0" applyNumberFormat="0" applyBorder="0" applyAlignment="0" applyProtection="0"/>
    <xf numFmtId="0" fontId="88" fillId="70" borderId="0" applyNumberFormat="0" applyBorder="0" applyAlignment="0" applyProtection="0"/>
    <xf numFmtId="0" fontId="88" fillId="70" borderId="0" applyNumberFormat="0" applyBorder="0" applyAlignment="0" applyProtection="0"/>
    <xf numFmtId="0" fontId="64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64" fillId="60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64" fillId="60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64" fillId="60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64" fillId="60" borderId="0" applyNumberFormat="0" applyBorder="0" applyAlignment="0" applyProtection="0"/>
    <xf numFmtId="0" fontId="9" fillId="19" borderId="0" applyNumberFormat="0" applyBorder="0" applyAlignment="0" applyProtection="0"/>
    <xf numFmtId="0" fontId="64" fillId="60" borderId="0" applyNumberFormat="0" applyBorder="0" applyAlignment="0" applyProtection="0"/>
    <xf numFmtId="0" fontId="9" fillId="19" borderId="0" applyNumberFormat="0" applyBorder="0" applyAlignment="0" applyProtection="0"/>
    <xf numFmtId="0" fontId="64" fillId="60" borderId="0" applyNumberFormat="0" applyBorder="0" applyAlignment="0" applyProtection="0"/>
    <xf numFmtId="0" fontId="64" fillId="60" borderId="0" applyNumberFormat="0" applyBorder="0" applyAlignment="0" applyProtection="0"/>
    <xf numFmtId="0" fontId="64" fillId="60" borderId="0" applyNumberFormat="0" applyBorder="0" applyAlignment="0" applyProtection="0"/>
    <xf numFmtId="0" fontId="9" fillId="19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64" fillId="60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64" fillId="60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64" fillId="60" borderId="0" applyNumberFormat="0" applyBorder="0" applyAlignment="0" applyProtection="0"/>
    <xf numFmtId="0" fontId="64" fillId="60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64" fillId="60" borderId="0" applyNumberFormat="0" applyBorder="0" applyAlignment="0" applyProtection="0"/>
    <xf numFmtId="0" fontId="9" fillId="19" borderId="0" applyNumberFormat="0" applyBorder="0" applyAlignment="0" applyProtection="0"/>
    <xf numFmtId="0" fontId="64" fillId="60" borderId="0" applyNumberFormat="0" applyBorder="0" applyAlignment="0" applyProtection="0"/>
    <xf numFmtId="0" fontId="9" fillId="19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88" fillId="60" borderId="0" applyNumberFormat="0" applyBorder="0" applyAlignment="0" applyProtection="0"/>
    <xf numFmtId="0" fontId="9" fillId="19" borderId="0" applyNumberFormat="0" applyBorder="0" applyAlignment="0" applyProtection="0"/>
    <xf numFmtId="0" fontId="64" fillId="60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64" fillId="60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64" fillId="60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64" fillId="60" borderId="0" applyNumberFormat="0" applyBorder="0" applyAlignment="0" applyProtection="0"/>
    <xf numFmtId="0" fontId="64" fillId="60" borderId="0" applyNumberFormat="0" applyBorder="0" applyAlignment="0" applyProtection="0"/>
    <xf numFmtId="0" fontId="64" fillId="60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64" fillId="60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64" fillId="60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64" fillId="60" borderId="0" applyNumberFormat="0" applyBorder="0" applyAlignment="0" applyProtection="0"/>
    <xf numFmtId="0" fontId="64" fillId="60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64" fillId="60" borderId="0" applyNumberFormat="0" applyBorder="0" applyAlignment="0" applyProtection="0"/>
    <xf numFmtId="0" fontId="64" fillId="60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64" fillId="60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64" fillId="60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64" fillId="6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64" fillId="63" borderId="0" applyNumberFormat="0" applyBorder="0" applyAlignment="0" applyProtection="0"/>
    <xf numFmtId="0" fontId="9" fillId="23" borderId="0" applyNumberFormat="0" applyBorder="0" applyAlignment="0" applyProtection="0"/>
    <xf numFmtId="0" fontId="88" fillId="64" borderId="0" applyNumberFormat="0" applyBorder="0" applyAlignment="0" applyProtection="0"/>
    <xf numFmtId="0" fontId="9" fillId="23" borderId="0" applyNumberFormat="0" applyBorder="0" applyAlignment="0" applyProtection="0"/>
    <xf numFmtId="0" fontId="88" fillId="68" borderId="0" applyNumberFormat="0" applyBorder="0" applyAlignment="0" applyProtection="0"/>
    <xf numFmtId="0" fontId="88" fillId="68" borderId="0" applyNumberFormat="0" applyBorder="0" applyAlignment="0" applyProtection="0"/>
    <xf numFmtId="0" fontId="88" fillId="68" borderId="0" applyNumberFormat="0" applyBorder="0" applyAlignment="0" applyProtection="0"/>
    <xf numFmtId="0" fontId="88" fillId="68" borderId="0" applyNumberFormat="0" applyBorder="0" applyAlignment="0" applyProtection="0"/>
    <xf numFmtId="0" fontId="64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64" fillId="6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64" fillId="6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64" fillId="6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64" fillId="63" borderId="0" applyNumberFormat="0" applyBorder="0" applyAlignment="0" applyProtection="0"/>
    <xf numFmtId="0" fontId="9" fillId="23" borderId="0" applyNumberFormat="0" applyBorder="0" applyAlignment="0" applyProtection="0"/>
    <xf numFmtId="0" fontId="64" fillId="63" borderId="0" applyNumberFormat="0" applyBorder="0" applyAlignment="0" applyProtection="0"/>
    <xf numFmtId="0" fontId="9" fillId="23" borderId="0" applyNumberFormat="0" applyBorder="0" applyAlignment="0" applyProtection="0"/>
    <xf numFmtId="0" fontId="64" fillId="63" borderId="0" applyNumberFormat="0" applyBorder="0" applyAlignment="0" applyProtection="0"/>
    <xf numFmtId="0" fontId="64" fillId="63" borderId="0" applyNumberFormat="0" applyBorder="0" applyAlignment="0" applyProtection="0"/>
    <xf numFmtId="0" fontId="64" fillId="63" borderId="0" applyNumberFormat="0" applyBorder="0" applyAlignment="0" applyProtection="0"/>
    <xf numFmtId="0" fontId="9" fillId="2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64" fillId="6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64" fillId="6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64" fillId="63" borderId="0" applyNumberFormat="0" applyBorder="0" applyAlignment="0" applyProtection="0"/>
    <xf numFmtId="0" fontId="64" fillId="6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64" fillId="63" borderId="0" applyNumberFormat="0" applyBorder="0" applyAlignment="0" applyProtection="0"/>
    <xf numFmtId="0" fontId="9" fillId="23" borderId="0" applyNumberFormat="0" applyBorder="0" applyAlignment="0" applyProtection="0"/>
    <xf numFmtId="0" fontId="64" fillId="63" borderId="0" applyNumberFormat="0" applyBorder="0" applyAlignment="0" applyProtection="0"/>
    <xf numFmtId="0" fontId="9" fillId="2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9" fillId="23" borderId="0" applyNumberFormat="0" applyBorder="0" applyAlignment="0" applyProtection="0"/>
    <xf numFmtId="0" fontId="64" fillId="6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64" fillId="6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64" fillId="6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64" fillId="63" borderId="0" applyNumberFormat="0" applyBorder="0" applyAlignment="0" applyProtection="0"/>
    <xf numFmtId="0" fontId="64" fillId="63" borderId="0" applyNumberFormat="0" applyBorder="0" applyAlignment="0" applyProtection="0"/>
    <xf numFmtId="0" fontId="64" fillId="6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64" fillId="6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64" fillId="6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64" fillId="63" borderId="0" applyNumberFormat="0" applyBorder="0" applyAlignment="0" applyProtection="0"/>
    <xf numFmtId="0" fontId="64" fillId="6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64" fillId="63" borderId="0" applyNumberFormat="0" applyBorder="0" applyAlignment="0" applyProtection="0"/>
    <xf numFmtId="0" fontId="64" fillId="6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64" fillId="6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64" fillId="6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64" fillId="66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64" fillId="66" borderId="0" applyNumberFormat="0" applyBorder="0" applyAlignment="0" applyProtection="0"/>
    <xf numFmtId="0" fontId="9" fillId="27" borderId="0" applyNumberFormat="0" applyBorder="0" applyAlignment="0" applyProtection="0"/>
    <xf numFmtId="0" fontId="88" fillId="55" borderId="0" applyNumberFormat="0" applyBorder="0" applyAlignment="0" applyProtection="0"/>
    <xf numFmtId="0" fontId="9" fillId="27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64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64" fillId="66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64" fillId="66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64" fillId="66" borderId="0" applyNumberFormat="0" applyBorder="0" applyAlignment="0" applyProtection="0"/>
    <xf numFmtId="0" fontId="64" fillId="66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64" fillId="66" borderId="0" applyNumberFormat="0" applyBorder="0" applyAlignment="0" applyProtection="0"/>
    <xf numFmtId="0" fontId="9" fillId="27" borderId="0" applyNumberFormat="0" applyBorder="0" applyAlignment="0" applyProtection="0"/>
    <xf numFmtId="0" fontId="64" fillId="66" borderId="0" applyNumberFormat="0" applyBorder="0" applyAlignment="0" applyProtection="0"/>
    <xf numFmtId="0" fontId="9" fillId="27" borderId="0" applyNumberFormat="0" applyBorder="0" applyAlignment="0" applyProtection="0"/>
    <xf numFmtId="0" fontId="64" fillId="66" borderId="0" applyNumberFormat="0" applyBorder="0" applyAlignment="0" applyProtection="0"/>
    <xf numFmtId="0" fontId="64" fillId="66" borderId="0" applyNumberFormat="0" applyBorder="0" applyAlignment="0" applyProtection="0"/>
    <xf numFmtId="0" fontId="64" fillId="66" borderId="0" applyNumberFormat="0" applyBorder="0" applyAlignment="0" applyProtection="0"/>
    <xf numFmtId="0" fontId="9" fillId="27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64" fillId="66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64" fillId="66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64" fillId="66" borderId="0" applyNumberFormat="0" applyBorder="0" applyAlignment="0" applyProtection="0"/>
    <xf numFmtId="0" fontId="64" fillId="66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64" fillId="66" borderId="0" applyNumberFormat="0" applyBorder="0" applyAlignment="0" applyProtection="0"/>
    <xf numFmtId="0" fontId="9" fillId="27" borderId="0" applyNumberFormat="0" applyBorder="0" applyAlignment="0" applyProtection="0"/>
    <xf numFmtId="0" fontId="64" fillId="66" borderId="0" applyNumberFormat="0" applyBorder="0" applyAlignment="0" applyProtection="0"/>
    <xf numFmtId="0" fontId="9" fillId="27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9" fillId="27" borderId="0" applyNumberFormat="0" applyBorder="0" applyAlignment="0" applyProtection="0"/>
    <xf numFmtId="0" fontId="64" fillId="66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64" fillId="66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64" fillId="66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64" fillId="66" borderId="0" applyNumberFormat="0" applyBorder="0" applyAlignment="0" applyProtection="0"/>
    <xf numFmtId="0" fontId="64" fillId="66" borderId="0" applyNumberFormat="0" applyBorder="0" applyAlignment="0" applyProtection="0"/>
    <xf numFmtId="0" fontId="64" fillId="66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64" fillId="66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64" fillId="66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64" fillId="66" borderId="0" applyNumberFormat="0" applyBorder="0" applyAlignment="0" applyProtection="0"/>
    <xf numFmtId="0" fontId="64" fillId="66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64" fillId="66" borderId="0" applyNumberFormat="0" applyBorder="0" applyAlignment="0" applyProtection="0"/>
    <xf numFmtId="0" fontId="64" fillId="66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64" fillId="66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64" fillId="66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9" fillId="27" borderId="0" applyNumberFormat="0" applyBorder="0" applyAlignment="0" applyProtection="0"/>
    <xf numFmtId="0" fontId="64" fillId="68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64" fillId="68" borderId="0" applyNumberFormat="0" applyBorder="0" applyAlignment="0" applyProtection="0"/>
    <xf numFmtId="0" fontId="9" fillId="31" borderId="0" applyNumberFormat="0" applyBorder="0" applyAlignment="0" applyProtection="0"/>
    <xf numFmtId="0" fontId="88" fillId="57" borderId="0" applyNumberFormat="0" applyBorder="0" applyAlignment="0" applyProtection="0"/>
    <xf numFmtId="0" fontId="9" fillId="31" borderId="0" applyNumberFormat="0" applyBorder="0" applyAlignment="0" applyProtection="0"/>
    <xf numFmtId="0" fontId="88" fillId="70" borderId="0" applyNumberFormat="0" applyBorder="0" applyAlignment="0" applyProtection="0"/>
    <xf numFmtId="0" fontId="88" fillId="70" borderId="0" applyNumberFormat="0" applyBorder="0" applyAlignment="0" applyProtection="0"/>
    <xf numFmtId="0" fontId="88" fillId="70" borderId="0" applyNumberFormat="0" applyBorder="0" applyAlignment="0" applyProtection="0"/>
    <xf numFmtId="0" fontId="88" fillId="70" borderId="0" applyNumberFormat="0" applyBorder="0" applyAlignment="0" applyProtection="0"/>
    <xf numFmtId="0" fontId="64" fillId="68" borderId="0" applyNumberFormat="0" applyBorder="0" applyAlignment="0" applyProtection="0"/>
    <xf numFmtId="0" fontId="88" fillId="68" borderId="0" applyNumberFormat="0" applyBorder="0" applyAlignment="0" applyProtection="0"/>
    <xf numFmtId="0" fontId="88" fillId="68" borderId="0" applyNumberFormat="0" applyBorder="0" applyAlignment="0" applyProtection="0"/>
    <xf numFmtId="0" fontId="88" fillId="68" borderId="0" applyNumberFormat="0" applyBorder="0" applyAlignment="0" applyProtection="0"/>
    <xf numFmtId="0" fontId="88" fillId="68" borderId="0" applyNumberFormat="0" applyBorder="0" applyAlignment="0" applyProtection="0"/>
    <xf numFmtId="0" fontId="88" fillId="68" borderId="0" applyNumberFormat="0" applyBorder="0" applyAlignment="0" applyProtection="0"/>
    <xf numFmtId="0" fontId="88" fillId="68" borderId="0" applyNumberFormat="0" applyBorder="0" applyAlignment="0" applyProtection="0"/>
    <xf numFmtId="0" fontId="88" fillId="68" borderId="0" applyNumberFormat="0" applyBorder="0" applyAlignment="0" applyProtection="0"/>
    <xf numFmtId="0" fontId="88" fillId="68" borderId="0" applyNumberFormat="0" applyBorder="0" applyAlignment="0" applyProtection="0"/>
    <xf numFmtId="0" fontId="88" fillId="68" borderId="0" applyNumberFormat="0" applyBorder="0" applyAlignment="0" applyProtection="0"/>
    <xf numFmtId="0" fontId="64" fillId="68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88" fillId="68" borderId="0" applyNumberFormat="0" applyBorder="0" applyAlignment="0" applyProtection="0"/>
    <xf numFmtId="0" fontId="88" fillId="68" borderId="0" applyNumberFormat="0" applyBorder="0" applyAlignment="0" applyProtection="0"/>
    <xf numFmtId="0" fontId="88" fillId="68" borderId="0" applyNumberFormat="0" applyBorder="0" applyAlignment="0" applyProtection="0"/>
    <xf numFmtId="0" fontId="88" fillId="68" borderId="0" applyNumberFormat="0" applyBorder="0" applyAlignment="0" applyProtection="0"/>
    <xf numFmtId="0" fontId="88" fillId="68" borderId="0" applyNumberFormat="0" applyBorder="0" applyAlignment="0" applyProtection="0"/>
    <xf numFmtId="0" fontId="88" fillId="68" borderId="0" applyNumberFormat="0" applyBorder="0" applyAlignment="0" applyProtection="0"/>
    <xf numFmtId="0" fontId="88" fillId="68" borderId="0" applyNumberFormat="0" applyBorder="0" applyAlignment="0" applyProtection="0"/>
    <xf numFmtId="0" fontId="88" fillId="68" borderId="0" applyNumberFormat="0" applyBorder="0" applyAlignment="0" applyProtection="0"/>
    <xf numFmtId="0" fontId="88" fillId="68" borderId="0" applyNumberFormat="0" applyBorder="0" applyAlignment="0" applyProtection="0"/>
    <xf numFmtId="0" fontId="88" fillId="68" borderId="0" applyNumberFormat="0" applyBorder="0" applyAlignment="0" applyProtection="0"/>
    <xf numFmtId="0" fontId="64" fillId="68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88" fillId="68" borderId="0" applyNumberFormat="0" applyBorder="0" applyAlignment="0" applyProtection="0"/>
    <xf numFmtId="0" fontId="88" fillId="68" borderId="0" applyNumberFormat="0" applyBorder="0" applyAlignment="0" applyProtection="0"/>
    <xf numFmtId="0" fontId="88" fillId="68" borderId="0" applyNumberFormat="0" applyBorder="0" applyAlignment="0" applyProtection="0"/>
    <xf numFmtId="0" fontId="88" fillId="68" borderId="0" applyNumberFormat="0" applyBorder="0" applyAlignment="0" applyProtection="0"/>
    <xf numFmtId="0" fontId="88" fillId="68" borderId="0" applyNumberFormat="0" applyBorder="0" applyAlignment="0" applyProtection="0"/>
    <xf numFmtId="0" fontId="88" fillId="68" borderId="0" applyNumberFormat="0" applyBorder="0" applyAlignment="0" applyProtection="0"/>
    <xf numFmtId="0" fontId="88" fillId="68" borderId="0" applyNumberFormat="0" applyBorder="0" applyAlignment="0" applyProtection="0"/>
    <xf numFmtId="0" fontId="88" fillId="68" borderId="0" applyNumberFormat="0" applyBorder="0" applyAlignment="0" applyProtection="0"/>
    <xf numFmtId="0" fontId="64" fillId="68" borderId="0" applyNumberFormat="0" applyBorder="0" applyAlignment="0" applyProtection="0"/>
    <xf numFmtId="0" fontId="64" fillId="68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64" fillId="68" borderId="0" applyNumberFormat="0" applyBorder="0" applyAlignment="0" applyProtection="0"/>
    <xf numFmtId="0" fontId="9" fillId="31" borderId="0" applyNumberFormat="0" applyBorder="0" applyAlignment="0" applyProtection="0"/>
    <xf numFmtId="0" fontId="64" fillId="68" borderId="0" applyNumberFormat="0" applyBorder="0" applyAlignment="0" applyProtection="0"/>
    <xf numFmtId="0" fontId="9" fillId="31" borderId="0" applyNumberFormat="0" applyBorder="0" applyAlignment="0" applyProtection="0"/>
    <xf numFmtId="0" fontId="64" fillId="68" borderId="0" applyNumberFormat="0" applyBorder="0" applyAlignment="0" applyProtection="0"/>
    <xf numFmtId="0" fontId="64" fillId="68" borderId="0" applyNumberFormat="0" applyBorder="0" applyAlignment="0" applyProtection="0"/>
    <xf numFmtId="0" fontId="64" fillId="68" borderId="0" applyNumberFormat="0" applyBorder="0" applyAlignment="0" applyProtection="0"/>
    <xf numFmtId="0" fontId="9" fillId="31" borderId="0" applyNumberFormat="0" applyBorder="0" applyAlignment="0" applyProtection="0"/>
    <xf numFmtId="0" fontId="88" fillId="68" borderId="0" applyNumberFormat="0" applyBorder="0" applyAlignment="0" applyProtection="0"/>
    <xf numFmtId="0" fontId="88" fillId="68" borderId="0" applyNumberFormat="0" applyBorder="0" applyAlignment="0" applyProtection="0"/>
    <xf numFmtId="0" fontId="88" fillId="68" borderId="0" applyNumberFormat="0" applyBorder="0" applyAlignment="0" applyProtection="0"/>
    <xf numFmtId="0" fontId="88" fillId="68" borderId="0" applyNumberFormat="0" applyBorder="0" applyAlignment="0" applyProtection="0"/>
    <xf numFmtId="0" fontId="88" fillId="68" borderId="0" applyNumberFormat="0" applyBorder="0" applyAlignment="0" applyProtection="0"/>
    <xf numFmtId="0" fontId="88" fillId="68" borderId="0" applyNumberFormat="0" applyBorder="0" applyAlignment="0" applyProtection="0"/>
    <xf numFmtId="0" fontId="88" fillId="68" borderId="0" applyNumberFormat="0" applyBorder="0" applyAlignment="0" applyProtection="0"/>
    <xf numFmtId="0" fontId="88" fillId="68" borderId="0" applyNumberFormat="0" applyBorder="0" applyAlignment="0" applyProtection="0"/>
    <xf numFmtId="0" fontId="88" fillId="68" borderId="0" applyNumberFormat="0" applyBorder="0" applyAlignment="0" applyProtection="0"/>
    <xf numFmtId="0" fontId="88" fillId="68" borderId="0" applyNumberFormat="0" applyBorder="0" applyAlignment="0" applyProtection="0"/>
    <xf numFmtId="0" fontId="64" fillId="68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88" fillId="68" borderId="0" applyNumberFormat="0" applyBorder="0" applyAlignment="0" applyProtection="0"/>
    <xf numFmtId="0" fontId="88" fillId="68" borderId="0" applyNumberFormat="0" applyBorder="0" applyAlignment="0" applyProtection="0"/>
    <xf numFmtId="0" fontId="88" fillId="68" borderId="0" applyNumberFormat="0" applyBorder="0" applyAlignment="0" applyProtection="0"/>
    <xf numFmtId="0" fontId="88" fillId="68" borderId="0" applyNumberFormat="0" applyBorder="0" applyAlignment="0" applyProtection="0"/>
    <xf numFmtId="0" fontId="88" fillId="68" borderId="0" applyNumberFormat="0" applyBorder="0" applyAlignment="0" applyProtection="0"/>
    <xf numFmtId="0" fontId="88" fillId="68" borderId="0" applyNumberFormat="0" applyBorder="0" applyAlignment="0" applyProtection="0"/>
    <xf numFmtId="0" fontId="88" fillId="68" borderId="0" applyNumberFormat="0" applyBorder="0" applyAlignment="0" applyProtection="0"/>
    <xf numFmtId="0" fontId="88" fillId="68" borderId="0" applyNumberFormat="0" applyBorder="0" applyAlignment="0" applyProtection="0"/>
    <xf numFmtId="0" fontId="88" fillId="68" borderId="0" applyNumberFormat="0" applyBorder="0" applyAlignment="0" applyProtection="0"/>
    <xf numFmtId="0" fontId="88" fillId="68" borderId="0" applyNumberFormat="0" applyBorder="0" applyAlignment="0" applyProtection="0"/>
    <xf numFmtId="0" fontId="64" fillId="68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88" fillId="68" borderId="0" applyNumberFormat="0" applyBorder="0" applyAlignment="0" applyProtection="0"/>
    <xf numFmtId="0" fontId="88" fillId="68" borderId="0" applyNumberFormat="0" applyBorder="0" applyAlignment="0" applyProtection="0"/>
    <xf numFmtId="0" fontId="88" fillId="68" borderId="0" applyNumberFormat="0" applyBorder="0" applyAlignment="0" applyProtection="0"/>
    <xf numFmtId="0" fontId="88" fillId="68" borderId="0" applyNumberFormat="0" applyBorder="0" applyAlignment="0" applyProtection="0"/>
    <xf numFmtId="0" fontId="64" fillId="68" borderId="0" applyNumberFormat="0" applyBorder="0" applyAlignment="0" applyProtection="0"/>
    <xf numFmtId="0" fontId="64" fillId="68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64" fillId="68" borderId="0" applyNumberFormat="0" applyBorder="0" applyAlignment="0" applyProtection="0"/>
    <xf numFmtId="0" fontId="9" fillId="31" borderId="0" applyNumberFormat="0" applyBorder="0" applyAlignment="0" applyProtection="0"/>
    <xf numFmtId="0" fontId="64" fillId="68" borderId="0" applyNumberFormat="0" applyBorder="0" applyAlignment="0" applyProtection="0"/>
    <xf numFmtId="0" fontId="9" fillId="31" borderId="0" applyNumberFormat="0" applyBorder="0" applyAlignment="0" applyProtection="0"/>
    <xf numFmtId="0" fontId="88" fillId="68" borderId="0" applyNumberFormat="0" applyBorder="0" applyAlignment="0" applyProtection="0"/>
    <xf numFmtId="0" fontId="88" fillId="68" borderId="0" applyNumberFormat="0" applyBorder="0" applyAlignment="0" applyProtection="0"/>
    <xf numFmtId="0" fontId="88" fillId="68" borderId="0" applyNumberFormat="0" applyBorder="0" applyAlignment="0" applyProtection="0"/>
    <xf numFmtId="0" fontId="9" fillId="31" borderId="0" applyNumberFormat="0" applyBorder="0" applyAlignment="0" applyProtection="0"/>
    <xf numFmtId="0" fontId="64" fillId="68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64" fillId="68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64" fillId="68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64" fillId="68" borderId="0" applyNumberFormat="0" applyBorder="0" applyAlignment="0" applyProtection="0"/>
    <xf numFmtId="0" fontId="64" fillId="68" borderId="0" applyNumberFormat="0" applyBorder="0" applyAlignment="0" applyProtection="0"/>
    <xf numFmtId="0" fontId="64" fillId="68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64" fillId="68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64" fillId="68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64" fillId="68" borderId="0" applyNumberFormat="0" applyBorder="0" applyAlignment="0" applyProtection="0"/>
    <xf numFmtId="0" fontId="64" fillId="68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64" fillId="68" borderId="0" applyNumberFormat="0" applyBorder="0" applyAlignment="0" applyProtection="0"/>
    <xf numFmtId="0" fontId="64" fillId="68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64" fillId="68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64" fillId="68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9" fillId="31" borderId="0" applyNumberFormat="0" applyBorder="0" applyAlignment="0" applyProtection="0"/>
    <xf numFmtId="0" fontId="120" fillId="54" borderId="0" applyNumberFormat="0" applyBorder="0" applyAlignment="0" applyProtection="0">
      <alignment vertical="center"/>
    </xf>
    <xf numFmtId="0" fontId="120" fillId="57" borderId="0" applyNumberFormat="0" applyBorder="0" applyAlignment="0" applyProtection="0">
      <alignment vertical="center"/>
    </xf>
    <xf numFmtId="0" fontId="120" fillId="60" borderId="0" applyNumberFormat="0" applyBorder="0" applyAlignment="0" applyProtection="0">
      <alignment vertical="center"/>
    </xf>
    <xf numFmtId="0" fontId="120" fillId="63" borderId="0" applyNumberFormat="0" applyBorder="0" applyAlignment="0" applyProtection="0">
      <alignment vertical="center"/>
    </xf>
    <xf numFmtId="0" fontId="120" fillId="66" borderId="0" applyNumberFormat="0" applyBorder="0" applyAlignment="0" applyProtection="0">
      <alignment vertical="center"/>
    </xf>
    <xf numFmtId="0" fontId="120" fillId="68" borderId="0" applyNumberFormat="0" applyBorder="0" applyAlignment="0" applyProtection="0">
      <alignment vertical="center"/>
    </xf>
    <xf numFmtId="222" fontId="44" fillId="0" borderId="0" applyFont="0" applyFill="0" applyBorder="0" applyAlignment="0" applyProtection="0"/>
    <xf numFmtId="0" fontId="121" fillId="0" borderId="0" applyNumberFormat="0" applyFill="0" applyBorder="0" applyAlignment="0" applyProtection="0"/>
    <xf numFmtId="3" fontId="122" fillId="0" borderId="2" applyNumberFormat="0" applyFill="0" applyBorder="0" applyAlignment="0" applyProtection="0"/>
    <xf numFmtId="0" fontId="123" fillId="0" borderId="0" applyNumberFormat="0" applyFill="0" applyBorder="0" applyAlignment="0" applyProtection="0"/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23" fontId="8" fillId="0" borderId="39" applyBorder="0">
      <alignment horizontal="right"/>
    </xf>
    <xf numFmtId="209" fontId="87" fillId="0" borderId="35">
      <alignment horizontal="left" vertical="center"/>
    </xf>
    <xf numFmtId="0" fontId="47" fillId="44" borderId="40"/>
    <xf numFmtId="0" fontId="47" fillId="44" borderId="41"/>
    <xf numFmtId="0" fontId="9" fillId="12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124" fillId="12" borderId="0" applyNumberFormat="0" applyBorder="0" applyAlignment="0" applyProtection="0"/>
    <xf numFmtId="0" fontId="119" fillId="56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9" fillId="16" borderId="0" applyNumberFormat="0" applyBorder="0" applyAlignment="0" applyProtection="0"/>
    <xf numFmtId="0" fontId="88" fillId="69" borderId="0" applyNumberFormat="0" applyBorder="0" applyAlignment="0" applyProtection="0"/>
    <xf numFmtId="0" fontId="88" fillId="69" borderId="0" applyNumberFormat="0" applyBorder="0" applyAlignment="0" applyProtection="0"/>
    <xf numFmtId="0" fontId="88" fillId="69" borderId="0" applyNumberFormat="0" applyBorder="0" applyAlignment="0" applyProtection="0"/>
    <xf numFmtId="0" fontId="88" fillId="69" borderId="0" applyNumberFormat="0" applyBorder="0" applyAlignment="0" applyProtection="0"/>
    <xf numFmtId="0" fontId="88" fillId="69" borderId="0" applyNumberFormat="0" applyBorder="0" applyAlignment="0" applyProtection="0"/>
    <xf numFmtId="0" fontId="88" fillId="58" borderId="0" applyNumberFormat="0" applyBorder="0" applyAlignment="0" applyProtection="0"/>
    <xf numFmtId="0" fontId="88" fillId="69" borderId="0" applyNumberFormat="0" applyBorder="0" applyAlignment="0" applyProtection="0"/>
    <xf numFmtId="0" fontId="88" fillId="58" borderId="0" applyNumberFormat="0" applyBorder="0" applyAlignment="0" applyProtection="0"/>
    <xf numFmtId="0" fontId="119" fillId="59" borderId="0" applyNumberFormat="0" applyBorder="0" applyAlignment="0" applyProtection="0"/>
    <xf numFmtId="0" fontId="88" fillId="69" borderId="0" applyNumberFormat="0" applyBorder="0" applyAlignment="0" applyProtection="0"/>
    <xf numFmtId="0" fontId="88" fillId="69" borderId="0" applyNumberFormat="0" applyBorder="0" applyAlignment="0" applyProtection="0"/>
    <xf numFmtId="0" fontId="88" fillId="69" borderId="0" applyNumberFormat="0" applyBorder="0" applyAlignment="0" applyProtection="0"/>
    <xf numFmtId="0" fontId="88" fillId="69" borderId="0" applyNumberFormat="0" applyBorder="0" applyAlignment="0" applyProtection="0"/>
    <xf numFmtId="0" fontId="88" fillId="69" borderId="0" applyNumberFormat="0" applyBorder="0" applyAlignment="0" applyProtection="0"/>
    <xf numFmtId="0" fontId="9" fillId="20" borderId="0" applyNumberFormat="0" applyBorder="0" applyAlignment="0" applyProtection="0"/>
    <xf numFmtId="0" fontId="88" fillId="71" borderId="0" applyNumberFormat="0" applyBorder="0" applyAlignment="0" applyProtection="0"/>
    <xf numFmtId="0" fontId="88" fillId="71" borderId="0" applyNumberFormat="0" applyBorder="0" applyAlignment="0" applyProtection="0"/>
    <xf numFmtId="0" fontId="88" fillId="71" borderId="0" applyNumberFormat="0" applyBorder="0" applyAlignment="0" applyProtection="0"/>
    <xf numFmtId="0" fontId="88" fillId="71" borderId="0" applyNumberFormat="0" applyBorder="0" applyAlignment="0" applyProtection="0"/>
    <xf numFmtId="0" fontId="88" fillId="71" borderId="0" applyNumberFormat="0" applyBorder="0" applyAlignment="0" applyProtection="0"/>
    <xf numFmtId="0" fontId="88" fillId="72" borderId="0" applyNumberFormat="0" applyBorder="0" applyAlignment="0" applyProtection="0"/>
    <xf numFmtId="0" fontId="88" fillId="71" borderId="0" applyNumberFormat="0" applyBorder="0" applyAlignment="0" applyProtection="0"/>
    <xf numFmtId="0" fontId="88" fillId="72" borderId="0" applyNumberFormat="0" applyBorder="0" applyAlignment="0" applyProtection="0"/>
    <xf numFmtId="0" fontId="119" fillId="62" borderId="0" applyNumberFormat="0" applyBorder="0" applyAlignment="0" applyProtection="0"/>
    <xf numFmtId="0" fontId="88" fillId="71" borderId="0" applyNumberFormat="0" applyBorder="0" applyAlignment="0" applyProtection="0"/>
    <xf numFmtId="0" fontId="88" fillId="71" borderId="0" applyNumberFormat="0" applyBorder="0" applyAlignment="0" applyProtection="0"/>
    <xf numFmtId="0" fontId="88" fillId="71" borderId="0" applyNumberFormat="0" applyBorder="0" applyAlignment="0" applyProtection="0"/>
    <xf numFmtId="0" fontId="88" fillId="71" borderId="0" applyNumberFormat="0" applyBorder="0" applyAlignment="0" applyProtection="0"/>
    <xf numFmtId="0" fontId="88" fillId="71" borderId="0" applyNumberFormat="0" applyBorder="0" applyAlignment="0" applyProtection="0"/>
    <xf numFmtId="0" fontId="9" fillId="24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73" borderId="0" applyNumberFormat="0" applyBorder="0" applyAlignment="0" applyProtection="0"/>
    <xf numFmtId="0" fontId="88" fillId="63" borderId="0" applyNumberFormat="0" applyBorder="0" applyAlignment="0" applyProtection="0"/>
    <xf numFmtId="0" fontId="88" fillId="73" borderId="0" applyNumberFormat="0" applyBorder="0" applyAlignment="0" applyProtection="0"/>
    <xf numFmtId="0" fontId="119" fillId="65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9" fillId="28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124" fillId="28" borderId="0" applyNumberFormat="0" applyBorder="0" applyAlignment="0" applyProtection="0"/>
    <xf numFmtId="0" fontId="119" fillId="67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9" fillId="32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7" borderId="0" applyNumberFormat="0" applyBorder="0" applyAlignment="0" applyProtection="0"/>
    <xf numFmtId="0" fontId="88" fillId="58" borderId="0" applyNumberFormat="0" applyBorder="0" applyAlignment="0" applyProtection="0"/>
    <xf numFmtId="0" fontId="88" fillId="57" borderId="0" applyNumberFormat="0" applyBorder="0" applyAlignment="0" applyProtection="0"/>
    <xf numFmtId="0" fontId="119" fillId="59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64" fillId="55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64" fillId="55" borderId="0" applyNumberFormat="0" applyBorder="0" applyAlignment="0" applyProtection="0"/>
    <xf numFmtId="0" fontId="9" fillId="12" borderId="0" applyNumberFormat="0" applyBorder="0" applyAlignment="0" applyProtection="0"/>
    <xf numFmtId="0" fontId="88" fillId="66" borderId="0" applyNumberFormat="0" applyBorder="0" applyAlignment="0" applyProtection="0"/>
    <xf numFmtId="0" fontId="9" fillId="12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64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64" fillId="55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64" fillId="55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64" fillId="55" borderId="0" applyNumberFormat="0" applyBorder="0" applyAlignment="0" applyProtection="0"/>
    <xf numFmtId="0" fontId="64" fillId="55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64" fillId="55" borderId="0" applyNumberFormat="0" applyBorder="0" applyAlignment="0" applyProtection="0"/>
    <xf numFmtId="0" fontId="9" fillId="12" borderId="0" applyNumberFormat="0" applyBorder="0" applyAlignment="0" applyProtection="0"/>
    <xf numFmtId="0" fontId="64" fillId="55" borderId="0" applyNumberFormat="0" applyBorder="0" applyAlignment="0" applyProtection="0"/>
    <xf numFmtId="0" fontId="9" fillId="12" borderId="0" applyNumberFormat="0" applyBorder="0" applyAlignment="0" applyProtection="0"/>
    <xf numFmtId="0" fontId="64" fillId="55" borderId="0" applyNumberFormat="0" applyBorder="0" applyAlignment="0" applyProtection="0"/>
    <xf numFmtId="0" fontId="64" fillId="55" borderId="0" applyNumberFormat="0" applyBorder="0" applyAlignment="0" applyProtection="0"/>
    <xf numFmtId="0" fontId="64" fillId="55" borderId="0" applyNumberFormat="0" applyBorder="0" applyAlignment="0" applyProtection="0"/>
    <xf numFmtId="0" fontId="9" fillId="12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64" fillId="55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64" fillId="55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64" fillId="55" borderId="0" applyNumberFormat="0" applyBorder="0" applyAlignment="0" applyProtection="0"/>
    <xf numFmtId="0" fontId="64" fillId="55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64" fillId="55" borderId="0" applyNumberFormat="0" applyBorder="0" applyAlignment="0" applyProtection="0"/>
    <xf numFmtId="0" fontId="9" fillId="12" borderId="0" applyNumberFormat="0" applyBorder="0" applyAlignment="0" applyProtection="0"/>
    <xf numFmtId="0" fontId="64" fillId="55" borderId="0" applyNumberFormat="0" applyBorder="0" applyAlignment="0" applyProtection="0"/>
    <xf numFmtId="0" fontId="9" fillId="12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9" fillId="12" borderId="0" applyNumberFormat="0" applyBorder="0" applyAlignment="0" applyProtection="0"/>
    <xf numFmtId="0" fontId="64" fillId="55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64" fillId="55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64" fillId="55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64" fillId="55" borderId="0" applyNumberFormat="0" applyBorder="0" applyAlignment="0" applyProtection="0"/>
    <xf numFmtId="0" fontId="64" fillId="55" borderId="0" applyNumberFormat="0" applyBorder="0" applyAlignment="0" applyProtection="0"/>
    <xf numFmtId="0" fontId="64" fillId="55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64" fillId="55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64" fillId="55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64" fillId="55" borderId="0" applyNumberFormat="0" applyBorder="0" applyAlignment="0" applyProtection="0"/>
    <xf numFmtId="0" fontId="64" fillId="55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64" fillId="55" borderId="0" applyNumberFormat="0" applyBorder="0" applyAlignment="0" applyProtection="0"/>
    <xf numFmtId="0" fontId="64" fillId="55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64" fillId="55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64" fillId="55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64" fillId="69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64" fillId="69" borderId="0" applyNumberFormat="0" applyBorder="0" applyAlignment="0" applyProtection="0"/>
    <xf numFmtId="0" fontId="9" fillId="16" borderId="0" applyNumberFormat="0" applyBorder="0" applyAlignment="0" applyProtection="0"/>
    <xf numFmtId="0" fontId="88" fillId="58" borderId="0" applyNumberFormat="0" applyBorder="0" applyAlignment="0" applyProtection="0"/>
    <xf numFmtId="0" fontId="9" fillId="16" borderId="0" applyNumberFormat="0" applyBorder="0" applyAlignment="0" applyProtection="0"/>
    <xf numFmtId="0" fontId="88" fillId="69" borderId="0" applyNumberFormat="0" applyBorder="0" applyAlignment="0" applyProtection="0"/>
    <xf numFmtId="0" fontId="88" fillId="69" borderId="0" applyNumberFormat="0" applyBorder="0" applyAlignment="0" applyProtection="0"/>
    <xf numFmtId="0" fontId="88" fillId="69" borderId="0" applyNumberFormat="0" applyBorder="0" applyAlignment="0" applyProtection="0"/>
    <xf numFmtId="0" fontId="88" fillId="69" borderId="0" applyNumberFormat="0" applyBorder="0" applyAlignment="0" applyProtection="0"/>
    <xf numFmtId="0" fontId="64" fillId="69" borderId="0" applyNumberFormat="0" applyBorder="0" applyAlignment="0" applyProtection="0"/>
    <xf numFmtId="0" fontId="88" fillId="69" borderId="0" applyNumberFormat="0" applyBorder="0" applyAlignment="0" applyProtection="0"/>
    <xf numFmtId="0" fontId="88" fillId="69" borderId="0" applyNumberFormat="0" applyBorder="0" applyAlignment="0" applyProtection="0"/>
    <xf numFmtId="0" fontId="88" fillId="69" borderId="0" applyNumberFormat="0" applyBorder="0" applyAlignment="0" applyProtection="0"/>
    <xf numFmtId="0" fontId="88" fillId="69" borderId="0" applyNumberFormat="0" applyBorder="0" applyAlignment="0" applyProtection="0"/>
    <xf numFmtId="0" fontId="88" fillId="69" borderId="0" applyNumberFormat="0" applyBorder="0" applyAlignment="0" applyProtection="0"/>
    <xf numFmtId="0" fontId="88" fillId="69" borderId="0" applyNumberFormat="0" applyBorder="0" applyAlignment="0" applyProtection="0"/>
    <xf numFmtId="0" fontId="88" fillId="69" borderId="0" applyNumberFormat="0" applyBorder="0" applyAlignment="0" applyProtection="0"/>
    <xf numFmtId="0" fontId="88" fillId="69" borderId="0" applyNumberFormat="0" applyBorder="0" applyAlignment="0" applyProtection="0"/>
    <xf numFmtId="0" fontId="88" fillId="69" borderId="0" applyNumberFormat="0" applyBorder="0" applyAlignment="0" applyProtection="0"/>
    <xf numFmtId="0" fontId="64" fillId="69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88" fillId="69" borderId="0" applyNumberFormat="0" applyBorder="0" applyAlignment="0" applyProtection="0"/>
    <xf numFmtId="0" fontId="88" fillId="69" borderId="0" applyNumberFormat="0" applyBorder="0" applyAlignment="0" applyProtection="0"/>
    <xf numFmtId="0" fontId="88" fillId="69" borderId="0" applyNumberFormat="0" applyBorder="0" applyAlignment="0" applyProtection="0"/>
    <xf numFmtId="0" fontId="88" fillId="69" borderId="0" applyNumberFormat="0" applyBorder="0" applyAlignment="0" applyProtection="0"/>
    <xf numFmtId="0" fontId="88" fillId="69" borderId="0" applyNumberFormat="0" applyBorder="0" applyAlignment="0" applyProtection="0"/>
    <xf numFmtId="0" fontId="88" fillId="69" borderId="0" applyNumberFormat="0" applyBorder="0" applyAlignment="0" applyProtection="0"/>
    <xf numFmtId="0" fontId="88" fillId="69" borderId="0" applyNumberFormat="0" applyBorder="0" applyAlignment="0" applyProtection="0"/>
    <xf numFmtId="0" fontId="88" fillId="69" borderId="0" applyNumberFormat="0" applyBorder="0" applyAlignment="0" applyProtection="0"/>
    <xf numFmtId="0" fontId="88" fillId="69" borderId="0" applyNumberFormat="0" applyBorder="0" applyAlignment="0" applyProtection="0"/>
    <xf numFmtId="0" fontId="88" fillId="69" borderId="0" applyNumberFormat="0" applyBorder="0" applyAlignment="0" applyProtection="0"/>
    <xf numFmtId="0" fontId="64" fillId="69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88" fillId="69" borderId="0" applyNumberFormat="0" applyBorder="0" applyAlignment="0" applyProtection="0"/>
    <xf numFmtId="0" fontId="88" fillId="69" borderId="0" applyNumberFormat="0" applyBorder="0" applyAlignment="0" applyProtection="0"/>
    <xf numFmtId="0" fontId="88" fillId="69" borderId="0" applyNumberFormat="0" applyBorder="0" applyAlignment="0" applyProtection="0"/>
    <xf numFmtId="0" fontId="88" fillId="69" borderId="0" applyNumberFormat="0" applyBorder="0" applyAlignment="0" applyProtection="0"/>
    <xf numFmtId="0" fontId="88" fillId="69" borderId="0" applyNumberFormat="0" applyBorder="0" applyAlignment="0" applyProtection="0"/>
    <xf numFmtId="0" fontId="88" fillId="69" borderId="0" applyNumberFormat="0" applyBorder="0" applyAlignment="0" applyProtection="0"/>
    <xf numFmtId="0" fontId="88" fillId="69" borderId="0" applyNumberFormat="0" applyBorder="0" applyAlignment="0" applyProtection="0"/>
    <xf numFmtId="0" fontId="88" fillId="69" borderId="0" applyNumberFormat="0" applyBorder="0" applyAlignment="0" applyProtection="0"/>
    <xf numFmtId="0" fontId="64" fillId="69" borderId="0" applyNumberFormat="0" applyBorder="0" applyAlignment="0" applyProtection="0"/>
    <xf numFmtId="0" fontId="64" fillId="69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64" fillId="69" borderId="0" applyNumberFormat="0" applyBorder="0" applyAlignment="0" applyProtection="0"/>
    <xf numFmtId="0" fontId="9" fillId="16" borderId="0" applyNumberFormat="0" applyBorder="0" applyAlignment="0" applyProtection="0"/>
    <xf numFmtId="0" fontId="64" fillId="69" borderId="0" applyNumberFormat="0" applyBorder="0" applyAlignment="0" applyProtection="0"/>
    <xf numFmtId="0" fontId="9" fillId="16" borderId="0" applyNumberFormat="0" applyBorder="0" applyAlignment="0" applyProtection="0"/>
    <xf numFmtId="0" fontId="64" fillId="69" borderId="0" applyNumberFormat="0" applyBorder="0" applyAlignment="0" applyProtection="0"/>
    <xf numFmtId="0" fontId="64" fillId="69" borderId="0" applyNumberFormat="0" applyBorder="0" applyAlignment="0" applyProtection="0"/>
    <xf numFmtId="0" fontId="64" fillId="69" borderId="0" applyNumberFormat="0" applyBorder="0" applyAlignment="0" applyProtection="0"/>
    <xf numFmtId="0" fontId="9" fillId="16" borderId="0" applyNumberFormat="0" applyBorder="0" applyAlignment="0" applyProtection="0"/>
    <xf numFmtId="0" fontId="88" fillId="69" borderId="0" applyNumberFormat="0" applyBorder="0" applyAlignment="0" applyProtection="0"/>
    <xf numFmtId="0" fontId="88" fillId="69" borderId="0" applyNumberFormat="0" applyBorder="0" applyAlignment="0" applyProtection="0"/>
    <xf numFmtId="0" fontId="88" fillId="69" borderId="0" applyNumberFormat="0" applyBorder="0" applyAlignment="0" applyProtection="0"/>
    <xf numFmtId="0" fontId="88" fillId="69" borderId="0" applyNumberFormat="0" applyBorder="0" applyAlignment="0" applyProtection="0"/>
    <xf numFmtId="0" fontId="88" fillId="69" borderId="0" applyNumberFormat="0" applyBorder="0" applyAlignment="0" applyProtection="0"/>
    <xf numFmtId="0" fontId="88" fillId="69" borderId="0" applyNumberFormat="0" applyBorder="0" applyAlignment="0" applyProtection="0"/>
    <xf numFmtId="0" fontId="88" fillId="69" borderId="0" applyNumberFormat="0" applyBorder="0" applyAlignment="0" applyProtection="0"/>
    <xf numFmtId="0" fontId="88" fillId="69" borderId="0" applyNumberFormat="0" applyBorder="0" applyAlignment="0" applyProtection="0"/>
    <xf numFmtId="0" fontId="88" fillId="69" borderId="0" applyNumberFormat="0" applyBorder="0" applyAlignment="0" applyProtection="0"/>
    <xf numFmtId="0" fontId="88" fillId="69" borderId="0" applyNumberFormat="0" applyBorder="0" applyAlignment="0" applyProtection="0"/>
    <xf numFmtId="0" fontId="64" fillId="69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88" fillId="69" borderId="0" applyNumberFormat="0" applyBorder="0" applyAlignment="0" applyProtection="0"/>
    <xf numFmtId="0" fontId="88" fillId="69" borderId="0" applyNumberFormat="0" applyBorder="0" applyAlignment="0" applyProtection="0"/>
    <xf numFmtId="0" fontId="88" fillId="69" borderId="0" applyNumberFormat="0" applyBorder="0" applyAlignment="0" applyProtection="0"/>
    <xf numFmtId="0" fontId="88" fillId="69" borderId="0" applyNumberFormat="0" applyBorder="0" applyAlignment="0" applyProtection="0"/>
    <xf numFmtId="0" fontId="88" fillId="69" borderId="0" applyNumberFormat="0" applyBorder="0" applyAlignment="0" applyProtection="0"/>
    <xf numFmtId="0" fontId="88" fillId="69" borderId="0" applyNumberFormat="0" applyBorder="0" applyAlignment="0" applyProtection="0"/>
    <xf numFmtId="0" fontId="88" fillId="69" borderId="0" applyNumberFormat="0" applyBorder="0" applyAlignment="0" applyProtection="0"/>
    <xf numFmtId="0" fontId="88" fillId="69" borderId="0" applyNumberFormat="0" applyBorder="0" applyAlignment="0" applyProtection="0"/>
    <xf numFmtId="0" fontId="88" fillId="69" borderId="0" applyNumberFormat="0" applyBorder="0" applyAlignment="0" applyProtection="0"/>
    <xf numFmtId="0" fontId="88" fillId="69" borderId="0" applyNumberFormat="0" applyBorder="0" applyAlignment="0" applyProtection="0"/>
    <xf numFmtId="0" fontId="64" fillId="69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88" fillId="69" borderId="0" applyNumberFormat="0" applyBorder="0" applyAlignment="0" applyProtection="0"/>
    <xf numFmtId="0" fontId="88" fillId="69" borderId="0" applyNumberFormat="0" applyBorder="0" applyAlignment="0" applyProtection="0"/>
    <xf numFmtId="0" fontId="88" fillId="69" borderId="0" applyNumberFormat="0" applyBorder="0" applyAlignment="0" applyProtection="0"/>
    <xf numFmtId="0" fontId="88" fillId="69" borderId="0" applyNumberFormat="0" applyBorder="0" applyAlignment="0" applyProtection="0"/>
    <xf numFmtId="0" fontId="64" fillId="69" borderId="0" applyNumberFormat="0" applyBorder="0" applyAlignment="0" applyProtection="0"/>
    <xf numFmtId="0" fontId="64" fillId="69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64" fillId="69" borderId="0" applyNumberFormat="0" applyBorder="0" applyAlignment="0" applyProtection="0"/>
    <xf numFmtId="0" fontId="9" fillId="16" borderId="0" applyNumberFormat="0" applyBorder="0" applyAlignment="0" applyProtection="0"/>
    <xf numFmtId="0" fontId="64" fillId="69" borderId="0" applyNumberFormat="0" applyBorder="0" applyAlignment="0" applyProtection="0"/>
    <xf numFmtId="0" fontId="9" fillId="16" borderId="0" applyNumberFormat="0" applyBorder="0" applyAlignment="0" applyProtection="0"/>
    <xf numFmtId="0" fontId="88" fillId="69" borderId="0" applyNumberFormat="0" applyBorder="0" applyAlignment="0" applyProtection="0"/>
    <xf numFmtId="0" fontId="88" fillId="69" borderId="0" applyNumberFormat="0" applyBorder="0" applyAlignment="0" applyProtection="0"/>
    <xf numFmtId="0" fontId="88" fillId="69" borderId="0" applyNumberFormat="0" applyBorder="0" applyAlignment="0" applyProtection="0"/>
    <xf numFmtId="0" fontId="9" fillId="16" borderId="0" applyNumberFormat="0" applyBorder="0" applyAlignment="0" applyProtection="0"/>
    <xf numFmtId="0" fontId="64" fillId="69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64" fillId="69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64" fillId="69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64" fillId="69" borderId="0" applyNumberFormat="0" applyBorder="0" applyAlignment="0" applyProtection="0"/>
    <xf numFmtId="0" fontId="64" fillId="69" borderId="0" applyNumberFormat="0" applyBorder="0" applyAlignment="0" applyProtection="0"/>
    <xf numFmtId="0" fontId="64" fillId="69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64" fillId="69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64" fillId="69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64" fillId="69" borderId="0" applyNumberFormat="0" applyBorder="0" applyAlignment="0" applyProtection="0"/>
    <xf numFmtId="0" fontId="64" fillId="69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64" fillId="69" borderId="0" applyNumberFormat="0" applyBorder="0" applyAlignment="0" applyProtection="0"/>
    <xf numFmtId="0" fontId="64" fillId="69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64" fillId="69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64" fillId="69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64" fillId="71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64" fillId="71" borderId="0" applyNumberFormat="0" applyBorder="0" applyAlignment="0" applyProtection="0"/>
    <xf numFmtId="0" fontId="9" fillId="20" borderId="0" applyNumberFormat="0" applyBorder="0" applyAlignment="0" applyProtection="0"/>
    <xf numFmtId="0" fontId="88" fillId="72" borderId="0" applyNumberFormat="0" applyBorder="0" applyAlignment="0" applyProtection="0"/>
    <xf numFmtId="0" fontId="9" fillId="20" borderId="0" applyNumberFormat="0" applyBorder="0" applyAlignment="0" applyProtection="0"/>
    <xf numFmtId="0" fontId="88" fillId="52" borderId="0" applyNumberFormat="0" applyBorder="0" applyAlignment="0" applyProtection="0"/>
    <xf numFmtId="0" fontId="88" fillId="52" borderId="0" applyNumberFormat="0" applyBorder="0" applyAlignment="0" applyProtection="0"/>
    <xf numFmtId="0" fontId="88" fillId="52" borderId="0" applyNumberFormat="0" applyBorder="0" applyAlignment="0" applyProtection="0"/>
    <xf numFmtId="0" fontId="88" fillId="52" borderId="0" applyNumberFormat="0" applyBorder="0" applyAlignment="0" applyProtection="0"/>
    <xf numFmtId="0" fontId="64" fillId="71" borderId="0" applyNumberFormat="0" applyBorder="0" applyAlignment="0" applyProtection="0"/>
    <xf numFmtId="0" fontId="88" fillId="71" borderId="0" applyNumberFormat="0" applyBorder="0" applyAlignment="0" applyProtection="0"/>
    <xf numFmtId="0" fontId="88" fillId="71" borderId="0" applyNumberFormat="0" applyBorder="0" applyAlignment="0" applyProtection="0"/>
    <xf numFmtId="0" fontId="88" fillId="71" borderId="0" applyNumberFormat="0" applyBorder="0" applyAlignment="0" applyProtection="0"/>
    <xf numFmtId="0" fontId="88" fillId="71" borderId="0" applyNumberFormat="0" applyBorder="0" applyAlignment="0" applyProtection="0"/>
    <xf numFmtId="0" fontId="88" fillId="71" borderId="0" applyNumberFormat="0" applyBorder="0" applyAlignment="0" applyProtection="0"/>
    <xf numFmtId="0" fontId="88" fillId="71" borderId="0" applyNumberFormat="0" applyBorder="0" applyAlignment="0" applyProtection="0"/>
    <xf numFmtId="0" fontId="88" fillId="71" borderId="0" applyNumberFormat="0" applyBorder="0" applyAlignment="0" applyProtection="0"/>
    <xf numFmtId="0" fontId="88" fillId="71" borderId="0" applyNumberFormat="0" applyBorder="0" applyAlignment="0" applyProtection="0"/>
    <xf numFmtId="0" fontId="88" fillId="71" borderId="0" applyNumberFormat="0" applyBorder="0" applyAlignment="0" applyProtection="0"/>
    <xf numFmtId="0" fontId="64" fillId="71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88" fillId="71" borderId="0" applyNumberFormat="0" applyBorder="0" applyAlignment="0" applyProtection="0"/>
    <xf numFmtId="0" fontId="88" fillId="71" borderId="0" applyNumberFormat="0" applyBorder="0" applyAlignment="0" applyProtection="0"/>
    <xf numFmtId="0" fontId="88" fillId="71" borderId="0" applyNumberFormat="0" applyBorder="0" applyAlignment="0" applyProtection="0"/>
    <xf numFmtId="0" fontId="88" fillId="71" borderId="0" applyNumberFormat="0" applyBorder="0" applyAlignment="0" applyProtection="0"/>
    <xf numFmtId="0" fontId="88" fillId="71" borderId="0" applyNumberFormat="0" applyBorder="0" applyAlignment="0" applyProtection="0"/>
    <xf numFmtId="0" fontId="88" fillId="71" borderId="0" applyNumberFormat="0" applyBorder="0" applyAlignment="0" applyProtection="0"/>
    <xf numFmtId="0" fontId="88" fillId="71" borderId="0" applyNumberFormat="0" applyBorder="0" applyAlignment="0" applyProtection="0"/>
    <xf numFmtId="0" fontId="88" fillId="71" borderId="0" applyNumberFormat="0" applyBorder="0" applyAlignment="0" applyProtection="0"/>
    <xf numFmtId="0" fontId="88" fillId="71" borderId="0" applyNumberFormat="0" applyBorder="0" applyAlignment="0" applyProtection="0"/>
    <xf numFmtId="0" fontId="88" fillId="71" borderId="0" applyNumberFormat="0" applyBorder="0" applyAlignment="0" applyProtection="0"/>
    <xf numFmtId="0" fontId="64" fillId="71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88" fillId="71" borderId="0" applyNumberFormat="0" applyBorder="0" applyAlignment="0" applyProtection="0"/>
    <xf numFmtId="0" fontId="88" fillId="71" borderId="0" applyNumberFormat="0" applyBorder="0" applyAlignment="0" applyProtection="0"/>
    <xf numFmtId="0" fontId="88" fillId="71" borderId="0" applyNumberFormat="0" applyBorder="0" applyAlignment="0" applyProtection="0"/>
    <xf numFmtId="0" fontId="88" fillId="71" borderId="0" applyNumberFormat="0" applyBorder="0" applyAlignment="0" applyProtection="0"/>
    <xf numFmtId="0" fontId="88" fillId="71" borderId="0" applyNumberFormat="0" applyBorder="0" applyAlignment="0" applyProtection="0"/>
    <xf numFmtId="0" fontId="88" fillId="71" borderId="0" applyNumberFormat="0" applyBorder="0" applyAlignment="0" applyProtection="0"/>
    <xf numFmtId="0" fontId="88" fillId="71" borderId="0" applyNumberFormat="0" applyBorder="0" applyAlignment="0" applyProtection="0"/>
    <xf numFmtId="0" fontId="88" fillId="71" borderId="0" applyNumberFormat="0" applyBorder="0" applyAlignment="0" applyProtection="0"/>
    <xf numFmtId="0" fontId="64" fillId="71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64" fillId="71" borderId="0" applyNumberFormat="0" applyBorder="0" applyAlignment="0" applyProtection="0"/>
    <xf numFmtId="0" fontId="9" fillId="20" borderId="0" applyNumberFormat="0" applyBorder="0" applyAlignment="0" applyProtection="0"/>
    <xf numFmtId="0" fontId="64" fillId="71" borderId="0" applyNumberFormat="0" applyBorder="0" applyAlignment="0" applyProtection="0"/>
    <xf numFmtId="0" fontId="9" fillId="20" borderId="0" applyNumberFormat="0" applyBorder="0" applyAlignment="0" applyProtection="0"/>
    <xf numFmtId="0" fontId="64" fillId="71" borderId="0" applyNumberFormat="0" applyBorder="0" applyAlignment="0" applyProtection="0"/>
    <xf numFmtId="0" fontId="64" fillId="71" borderId="0" applyNumberFormat="0" applyBorder="0" applyAlignment="0" applyProtection="0"/>
    <xf numFmtId="0" fontId="64" fillId="71" borderId="0" applyNumberFormat="0" applyBorder="0" applyAlignment="0" applyProtection="0"/>
    <xf numFmtId="0" fontId="9" fillId="20" borderId="0" applyNumberFormat="0" applyBorder="0" applyAlignment="0" applyProtection="0"/>
    <xf numFmtId="0" fontId="88" fillId="71" borderId="0" applyNumberFormat="0" applyBorder="0" applyAlignment="0" applyProtection="0"/>
    <xf numFmtId="0" fontId="88" fillId="71" borderId="0" applyNumberFormat="0" applyBorder="0" applyAlignment="0" applyProtection="0"/>
    <xf numFmtId="0" fontId="88" fillId="71" borderId="0" applyNumberFormat="0" applyBorder="0" applyAlignment="0" applyProtection="0"/>
    <xf numFmtId="0" fontId="88" fillId="71" borderId="0" applyNumberFormat="0" applyBorder="0" applyAlignment="0" applyProtection="0"/>
    <xf numFmtId="0" fontId="88" fillId="71" borderId="0" applyNumberFormat="0" applyBorder="0" applyAlignment="0" applyProtection="0"/>
    <xf numFmtId="0" fontId="88" fillId="71" borderId="0" applyNumberFormat="0" applyBorder="0" applyAlignment="0" applyProtection="0"/>
    <xf numFmtId="0" fontId="88" fillId="71" borderId="0" applyNumberFormat="0" applyBorder="0" applyAlignment="0" applyProtection="0"/>
    <xf numFmtId="0" fontId="88" fillId="71" borderId="0" applyNumberFormat="0" applyBorder="0" applyAlignment="0" applyProtection="0"/>
    <xf numFmtId="0" fontId="88" fillId="71" borderId="0" applyNumberFormat="0" applyBorder="0" applyAlignment="0" applyProtection="0"/>
    <xf numFmtId="0" fontId="88" fillId="71" borderId="0" applyNumberFormat="0" applyBorder="0" applyAlignment="0" applyProtection="0"/>
    <xf numFmtId="0" fontId="64" fillId="71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88" fillId="71" borderId="0" applyNumberFormat="0" applyBorder="0" applyAlignment="0" applyProtection="0"/>
    <xf numFmtId="0" fontId="88" fillId="71" borderId="0" applyNumberFormat="0" applyBorder="0" applyAlignment="0" applyProtection="0"/>
    <xf numFmtId="0" fontId="88" fillId="71" borderId="0" applyNumberFormat="0" applyBorder="0" applyAlignment="0" applyProtection="0"/>
    <xf numFmtId="0" fontId="88" fillId="71" borderId="0" applyNumberFormat="0" applyBorder="0" applyAlignment="0" applyProtection="0"/>
    <xf numFmtId="0" fontId="88" fillId="71" borderId="0" applyNumberFormat="0" applyBorder="0" applyAlignment="0" applyProtection="0"/>
    <xf numFmtId="0" fontId="88" fillId="71" borderId="0" applyNumberFormat="0" applyBorder="0" applyAlignment="0" applyProtection="0"/>
    <xf numFmtId="0" fontId="88" fillId="71" borderId="0" applyNumberFormat="0" applyBorder="0" applyAlignment="0" applyProtection="0"/>
    <xf numFmtId="0" fontId="88" fillId="71" borderId="0" applyNumberFormat="0" applyBorder="0" applyAlignment="0" applyProtection="0"/>
    <xf numFmtId="0" fontId="88" fillId="71" borderId="0" applyNumberFormat="0" applyBorder="0" applyAlignment="0" applyProtection="0"/>
    <xf numFmtId="0" fontId="88" fillId="71" borderId="0" applyNumberFormat="0" applyBorder="0" applyAlignment="0" applyProtection="0"/>
    <xf numFmtId="0" fontId="64" fillId="71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88" fillId="71" borderId="0" applyNumberFormat="0" applyBorder="0" applyAlignment="0" applyProtection="0"/>
    <xf numFmtId="0" fontId="88" fillId="71" borderId="0" applyNumberFormat="0" applyBorder="0" applyAlignment="0" applyProtection="0"/>
    <xf numFmtId="0" fontId="88" fillId="71" borderId="0" applyNumberFormat="0" applyBorder="0" applyAlignment="0" applyProtection="0"/>
    <xf numFmtId="0" fontId="88" fillId="71" borderId="0" applyNumberFormat="0" applyBorder="0" applyAlignment="0" applyProtection="0"/>
    <xf numFmtId="0" fontId="64" fillId="71" borderId="0" applyNumberFormat="0" applyBorder="0" applyAlignment="0" applyProtection="0"/>
    <xf numFmtId="0" fontId="64" fillId="71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64" fillId="71" borderId="0" applyNumberFormat="0" applyBorder="0" applyAlignment="0" applyProtection="0"/>
    <xf numFmtId="0" fontId="9" fillId="20" borderId="0" applyNumberFormat="0" applyBorder="0" applyAlignment="0" applyProtection="0"/>
    <xf numFmtId="0" fontId="64" fillId="71" borderId="0" applyNumberFormat="0" applyBorder="0" applyAlignment="0" applyProtection="0"/>
    <xf numFmtId="0" fontId="9" fillId="20" borderId="0" applyNumberFormat="0" applyBorder="0" applyAlignment="0" applyProtection="0"/>
    <xf numFmtId="0" fontId="88" fillId="71" borderId="0" applyNumberFormat="0" applyBorder="0" applyAlignment="0" applyProtection="0"/>
    <xf numFmtId="0" fontId="88" fillId="71" borderId="0" applyNumberFormat="0" applyBorder="0" applyAlignment="0" applyProtection="0"/>
    <xf numFmtId="0" fontId="88" fillId="71" borderId="0" applyNumberFormat="0" applyBorder="0" applyAlignment="0" applyProtection="0"/>
    <xf numFmtId="0" fontId="9" fillId="20" borderId="0" applyNumberFormat="0" applyBorder="0" applyAlignment="0" applyProtection="0"/>
    <xf numFmtId="0" fontId="64" fillId="71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64" fillId="71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64" fillId="71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64" fillId="71" borderId="0" applyNumberFormat="0" applyBorder="0" applyAlignment="0" applyProtection="0"/>
    <xf numFmtId="0" fontId="64" fillId="71" borderId="0" applyNumberFormat="0" applyBorder="0" applyAlignment="0" applyProtection="0"/>
    <xf numFmtId="0" fontId="64" fillId="71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64" fillId="71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64" fillId="71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64" fillId="71" borderId="0" applyNumberFormat="0" applyBorder="0" applyAlignment="0" applyProtection="0"/>
    <xf numFmtId="0" fontId="64" fillId="71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64" fillId="71" borderId="0" applyNumberFormat="0" applyBorder="0" applyAlignment="0" applyProtection="0"/>
    <xf numFmtId="0" fontId="64" fillId="71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64" fillId="71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64" fillId="71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9" fillId="20" borderId="0" applyNumberFormat="0" applyBorder="0" applyAlignment="0" applyProtection="0"/>
    <xf numFmtId="0" fontId="64" fillId="63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64" fillId="63" borderId="0" applyNumberFormat="0" applyBorder="0" applyAlignment="0" applyProtection="0"/>
    <xf numFmtId="0" fontId="9" fillId="24" borderId="0" applyNumberFormat="0" applyBorder="0" applyAlignment="0" applyProtection="0"/>
    <xf numFmtId="0" fontId="88" fillId="73" borderId="0" applyNumberFormat="0" applyBorder="0" applyAlignment="0" applyProtection="0"/>
    <xf numFmtId="0" fontId="9" fillId="24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88" fillId="57" borderId="0" applyNumberFormat="0" applyBorder="0" applyAlignment="0" applyProtection="0"/>
    <xf numFmtId="0" fontId="64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64" fillId="63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64" fillId="63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64" fillId="63" borderId="0" applyNumberFormat="0" applyBorder="0" applyAlignment="0" applyProtection="0"/>
    <xf numFmtId="0" fontId="64" fillId="63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64" fillId="63" borderId="0" applyNumberFormat="0" applyBorder="0" applyAlignment="0" applyProtection="0"/>
    <xf numFmtId="0" fontId="9" fillId="24" borderId="0" applyNumberFormat="0" applyBorder="0" applyAlignment="0" applyProtection="0"/>
    <xf numFmtId="0" fontId="64" fillId="63" borderId="0" applyNumberFormat="0" applyBorder="0" applyAlignment="0" applyProtection="0"/>
    <xf numFmtId="0" fontId="9" fillId="24" borderId="0" applyNumberFormat="0" applyBorder="0" applyAlignment="0" applyProtection="0"/>
    <xf numFmtId="0" fontId="64" fillId="63" borderId="0" applyNumberFormat="0" applyBorder="0" applyAlignment="0" applyProtection="0"/>
    <xf numFmtId="0" fontId="64" fillId="63" borderId="0" applyNumberFormat="0" applyBorder="0" applyAlignment="0" applyProtection="0"/>
    <xf numFmtId="0" fontId="64" fillId="63" borderId="0" applyNumberFormat="0" applyBorder="0" applyAlignment="0" applyProtection="0"/>
    <xf numFmtId="0" fontId="9" fillId="24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64" fillId="63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64" fillId="63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64" fillId="63" borderId="0" applyNumberFormat="0" applyBorder="0" applyAlignment="0" applyProtection="0"/>
    <xf numFmtId="0" fontId="64" fillId="63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64" fillId="63" borderId="0" applyNumberFormat="0" applyBorder="0" applyAlignment="0" applyProtection="0"/>
    <xf numFmtId="0" fontId="9" fillId="24" borderId="0" applyNumberFormat="0" applyBorder="0" applyAlignment="0" applyProtection="0"/>
    <xf numFmtId="0" fontId="64" fillId="63" borderId="0" applyNumberFormat="0" applyBorder="0" applyAlignment="0" applyProtection="0"/>
    <xf numFmtId="0" fontId="9" fillId="24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88" fillId="63" borderId="0" applyNumberFormat="0" applyBorder="0" applyAlignment="0" applyProtection="0"/>
    <xf numFmtId="0" fontId="9" fillId="24" borderId="0" applyNumberFormat="0" applyBorder="0" applyAlignment="0" applyProtection="0"/>
    <xf numFmtId="0" fontId="64" fillId="63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64" fillId="63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64" fillId="63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64" fillId="63" borderId="0" applyNumberFormat="0" applyBorder="0" applyAlignment="0" applyProtection="0"/>
    <xf numFmtId="0" fontId="64" fillId="63" borderId="0" applyNumberFormat="0" applyBorder="0" applyAlignment="0" applyProtection="0"/>
    <xf numFmtId="0" fontId="64" fillId="63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64" fillId="63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64" fillId="63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64" fillId="63" borderId="0" applyNumberFormat="0" applyBorder="0" applyAlignment="0" applyProtection="0"/>
    <xf numFmtId="0" fontId="64" fillId="63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64" fillId="63" borderId="0" applyNumberFormat="0" applyBorder="0" applyAlignment="0" applyProtection="0"/>
    <xf numFmtId="0" fontId="64" fillId="63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64" fillId="63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64" fillId="63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9" fillId="24" borderId="0" applyNumberFormat="0" applyBorder="0" applyAlignment="0" applyProtection="0"/>
    <xf numFmtId="0" fontId="64" fillId="55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64" fillId="55" borderId="0" applyNumberFormat="0" applyBorder="0" applyAlignment="0" applyProtection="0"/>
    <xf numFmtId="0" fontId="9" fillId="28" borderId="0" applyNumberFormat="0" applyBorder="0" applyAlignment="0" applyProtection="0"/>
    <xf numFmtId="0" fontId="88" fillId="66" borderId="0" applyNumberFormat="0" applyBorder="0" applyAlignment="0" applyProtection="0"/>
    <xf numFmtId="0" fontId="9" fillId="28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88" fillId="66" borderId="0" applyNumberFormat="0" applyBorder="0" applyAlignment="0" applyProtection="0"/>
    <xf numFmtId="0" fontId="64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64" fillId="55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64" fillId="55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64" fillId="55" borderId="0" applyNumberFormat="0" applyBorder="0" applyAlignment="0" applyProtection="0"/>
    <xf numFmtId="0" fontId="64" fillId="55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64" fillId="55" borderId="0" applyNumberFormat="0" applyBorder="0" applyAlignment="0" applyProtection="0"/>
    <xf numFmtId="0" fontId="9" fillId="28" borderId="0" applyNumberFormat="0" applyBorder="0" applyAlignment="0" applyProtection="0"/>
    <xf numFmtId="0" fontId="64" fillId="55" borderId="0" applyNumberFormat="0" applyBorder="0" applyAlignment="0" applyProtection="0"/>
    <xf numFmtId="0" fontId="9" fillId="28" borderId="0" applyNumberFormat="0" applyBorder="0" applyAlignment="0" applyProtection="0"/>
    <xf numFmtId="0" fontId="64" fillId="55" borderId="0" applyNumberFormat="0" applyBorder="0" applyAlignment="0" applyProtection="0"/>
    <xf numFmtId="0" fontId="64" fillId="55" borderId="0" applyNumberFormat="0" applyBorder="0" applyAlignment="0" applyProtection="0"/>
    <xf numFmtId="0" fontId="64" fillId="55" borderId="0" applyNumberFormat="0" applyBorder="0" applyAlignment="0" applyProtection="0"/>
    <xf numFmtId="0" fontId="9" fillId="28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64" fillId="55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64" fillId="55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64" fillId="55" borderId="0" applyNumberFormat="0" applyBorder="0" applyAlignment="0" applyProtection="0"/>
    <xf numFmtId="0" fontId="64" fillId="55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64" fillId="55" borderId="0" applyNumberFormat="0" applyBorder="0" applyAlignment="0" applyProtection="0"/>
    <xf numFmtId="0" fontId="9" fillId="28" borderId="0" applyNumberFormat="0" applyBorder="0" applyAlignment="0" applyProtection="0"/>
    <xf numFmtId="0" fontId="64" fillId="55" borderId="0" applyNumberFormat="0" applyBorder="0" applyAlignment="0" applyProtection="0"/>
    <xf numFmtId="0" fontId="9" fillId="28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88" fillId="55" borderId="0" applyNumberFormat="0" applyBorder="0" applyAlignment="0" applyProtection="0"/>
    <xf numFmtId="0" fontId="9" fillId="28" borderId="0" applyNumberFormat="0" applyBorder="0" applyAlignment="0" applyProtection="0"/>
    <xf numFmtId="0" fontId="64" fillId="55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64" fillId="55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64" fillId="55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64" fillId="55" borderId="0" applyNumberFormat="0" applyBorder="0" applyAlignment="0" applyProtection="0"/>
    <xf numFmtId="0" fontId="64" fillId="55" borderId="0" applyNumberFormat="0" applyBorder="0" applyAlignment="0" applyProtection="0"/>
    <xf numFmtId="0" fontId="64" fillId="55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64" fillId="55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64" fillId="55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64" fillId="55" borderId="0" applyNumberFormat="0" applyBorder="0" applyAlignment="0" applyProtection="0"/>
    <xf numFmtId="0" fontId="64" fillId="55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64" fillId="55" borderId="0" applyNumberFormat="0" applyBorder="0" applyAlignment="0" applyProtection="0"/>
    <xf numFmtId="0" fontId="64" fillId="55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64" fillId="55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64" fillId="55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9" fillId="28" borderId="0" applyNumberFormat="0" applyBorder="0" applyAlignment="0" applyProtection="0"/>
    <xf numFmtId="0" fontId="64" fillId="58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64" fillId="58" borderId="0" applyNumberFormat="0" applyBorder="0" applyAlignment="0" applyProtection="0"/>
    <xf numFmtId="0" fontId="9" fillId="32" borderId="0" applyNumberFormat="0" applyBorder="0" applyAlignment="0" applyProtection="0"/>
    <xf numFmtId="0" fontId="88" fillId="57" borderId="0" applyNumberFormat="0" applyBorder="0" applyAlignment="0" applyProtection="0"/>
    <xf numFmtId="0" fontId="9" fillId="32" borderId="0" applyNumberFormat="0" applyBorder="0" applyAlignment="0" applyProtection="0"/>
    <xf numFmtId="0" fontId="88" fillId="70" borderId="0" applyNumberFormat="0" applyBorder="0" applyAlignment="0" applyProtection="0"/>
    <xf numFmtId="0" fontId="88" fillId="70" borderId="0" applyNumberFormat="0" applyBorder="0" applyAlignment="0" applyProtection="0"/>
    <xf numFmtId="0" fontId="88" fillId="70" borderId="0" applyNumberFormat="0" applyBorder="0" applyAlignment="0" applyProtection="0"/>
    <xf numFmtId="0" fontId="88" fillId="70" borderId="0" applyNumberFormat="0" applyBorder="0" applyAlignment="0" applyProtection="0"/>
    <xf numFmtId="0" fontId="64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64" fillId="58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64" fillId="58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64" fillId="58" borderId="0" applyNumberFormat="0" applyBorder="0" applyAlignment="0" applyProtection="0"/>
    <xf numFmtId="0" fontId="64" fillId="58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64" fillId="58" borderId="0" applyNumberFormat="0" applyBorder="0" applyAlignment="0" applyProtection="0"/>
    <xf numFmtId="0" fontId="9" fillId="32" borderId="0" applyNumberFormat="0" applyBorder="0" applyAlignment="0" applyProtection="0"/>
    <xf numFmtId="0" fontId="64" fillId="58" borderId="0" applyNumberFormat="0" applyBorder="0" applyAlignment="0" applyProtection="0"/>
    <xf numFmtId="0" fontId="9" fillId="32" borderId="0" applyNumberFormat="0" applyBorder="0" applyAlignment="0" applyProtection="0"/>
    <xf numFmtId="0" fontId="64" fillId="58" borderId="0" applyNumberFormat="0" applyBorder="0" applyAlignment="0" applyProtection="0"/>
    <xf numFmtId="0" fontId="64" fillId="58" borderId="0" applyNumberFormat="0" applyBorder="0" applyAlignment="0" applyProtection="0"/>
    <xf numFmtId="0" fontId="64" fillId="58" borderId="0" applyNumberFormat="0" applyBorder="0" applyAlignment="0" applyProtection="0"/>
    <xf numFmtId="0" fontId="9" fillId="32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64" fillId="58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64" fillId="58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64" fillId="58" borderId="0" applyNumberFormat="0" applyBorder="0" applyAlignment="0" applyProtection="0"/>
    <xf numFmtId="0" fontId="64" fillId="58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64" fillId="58" borderId="0" applyNumberFormat="0" applyBorder="0" applyAlignment="0" applyProtection="0"/>
    <xf numFmtId="0" fontId="9" fillId="32" borderId="0" applyNumberFormat="0" applyBorder="0" applyAlignment="0" applyProtection="0"/>
    <xf numFmtId="0" fontId="64" fillId="58" borderId="0" applyNumberFormat="0" applyBorder="0" applyAlignment="0" applyProtection="0"/>
    <xf numFmtId="0" fontId="9" fillId="32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88" fillId="58" borderId="0" applyNumberFormat="0" applyBorder="0" applyAlignment="0" applyProtection="0"/>
    <xf numFmtId="0" fontId="9" fillId="32" borderId="0" applyNumberFormat="0" applyBorder="0" applyAlignment="0" applyProtection="0"/>
    <xf numFmtId="0" fontId="64" fillId="58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64" fillId="58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64" fillId="58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64" fillId="58" borderId="0" applyNumberFormat="0" applyBorder="0" applyAlignment="0" applyProtection="0"/>
    <xf numFmtId="0" fontId="64" fillId="58" borderId="0" applyNumberFormat="0" applyBorder="0" applyAlignment="0" applyProtection="0"/>
    <xf numFmtId="0" fontId="64" fillId="58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64" fillId="58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64" fillId="58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64" fillId="58" borderId="0" applyNumberFormat="0" applyBorder="0" applyAlignment="0" applyProtection="0"/>
    <xf numFmtId="0" fontId="64" fillId="58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64" fillId="58" borderId="0" applyNumberFormat="0" applyBorder="0" applyAlignment="0" applyProtection="0"/>
    <xf numFmtId="0" fontId="64" fillId="58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64" fillId="58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64" fillId="58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9" fillId="32" borderId="0" applyNumberFormat="0" applyBorder="0" applyAlignment="0" applyProtection="0"/>
    <xf numFmtId="0" fontId="120" fillId="55" borderId="0" applyNumberFormat="0" applyBorder="0" applyAlignment="0" applyProtection="0">
      <alignment vertical="center"/>
    </xf>
    <xf numFmtId="0" fontId="120" fillId="69" borderId="0" applyNumberFormat="0" applyBorder="0" applyAlignment="0" applyProtection="0">
      <alignment vertical="center"/>
    </xf>
    <xf numFmtId="0" fontId="120" fillId="71" borderId="0" applyNumberFormat="0" applyBorder="0" applyAlignment="0" applyProtection="0">
      <alignment vertical="center"/>
    </xf>
    <xf numFmtId="0" fontId="120" fillId="63" borderId="0" applyNumberFormat="0" applyBorder="0" applyAlignment="0" applyProtection="0">
      <alignment vertical="center"/>
    </xf>
    <xf numFmtId="0" fontId="120" fillId="55" borderId="0" applyNumberFormat="0" applyBorder="0" applyAlignment="0" applyProtection="0">
      <alignment vertical="center"/>
    </xf>
    <xf numFmtId="0" fontId="120" fillId="58" borderId="0" applyNumberFormat="0" applyBorder="0" applyAlignment="0" applyProtection="0">
      <alignment vertical="center"/>
    </xf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0" fontId="25" fillId="13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5" borderId="0" applyNumberFormat="0" applyBorder="0" applyAlignment="0" applyProtection="0"/>
    <xf numFmtId="0" fontId="125" fillId="74" borderId="0" applyNumberFormat="0" applyBorder="0" applyAlignment="0" applyProtection="0"/>
    <xf numFmtId="0" fontId="126" fillId="13" borderId="0" applyNumberFormat="0" applyBorder="0" applyAlignment="0" applyProtection="0"/>
    <xf numFmtId="0" fontId="125" fillId="76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25" fillId="17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77" borderId="0" applyNumberFormat="0" applyBorder="0" applyAlignment="0" applyProtection="0"/>
    <xf numFmtId="0" fontId="125" fillId="69" borderId="0" applyNumberFormat="0" applyBorder="0" applyAlignment="0" applyProtection="0"/>
    <xf numFmtId="0" fontId="126" fillId="17" borderId="0" applyNumberFormat="0" applyBorder="0" applyAlignment="0" applyProtection="0"/>
    <xf numFmtId="0" fontId="125" fillId="78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25" fillId="21" borderId="0" applyNumberFormat="0" applyBorder="0" applyAlignment="0" applyProtection="0"/>
    <xf numFmtId="0" fontId="125" fillId="71" borderId="0" applyNumberFormat="0" applyBorder="0" applyAlignment="0" applyProtection="0"/>
    <xf numFmtId="0" fontId="125" fillId="71" borderId="0" applyNumberFormat="0" applyBorder="0" applyAlignment="0" applyProtection="0"/>
    <xf numFmtId="0" fontId="125" fillId="71" borderId="0" applyNumberFormat="0" applyBorder="0" applyAlignment="0" applyProtection="0"/>
    <xf numFmtId="0" fontId="125" fillId="71" borderId="0" applyNumberFormat="0" applyBorder="0" applyAlignment="0" applyProtection="0"/>
    <xf numFmtId="0" fontId="125" fillId="71" borderId="0" applyNumberFormat="0" applyBorder="0" applyAlignment="0" applyProtection="0"/>
    <xf numFmtId="0" fontId="125" fillId="72" borderId="0" applyNumberFormat="0" applyBorder="0" applyAlignment="0" applyProtection="0"/>
    <xf numFmtId="0" fontId="125" fillId="71" borderId="0" applyNumberFormat="0" applyBorder="0" applyAlignment="0" applyProtection="0"/>
    <xf numFmtId="0" fontId="126" fillId="21" borderId="0" applyNumberFormat="0" applyBorder="0" applyAlignment="0" applyProtection="0"/>
    <xf numFmtId="0" fontId="125" fillId="78" borderId="0" applyNumberFormat="0" applyBorder="0" applyAlignment="0" applyProtection="0"/>
    <xf numFmtId="0" fontId="125" fillId="71" borderId="0" applyNumberFormat="0" applyBorder="0" applyAlignment="0" applyProtection="0"/>
    <xf numFmtId="0" fontId="125" fillId="71" borderId="0" applyNumberFormat="0" applyBorder="0" applyAlignment="0" applyProtection="0"/>
    <xf numFmtId="0" fontId="125" fillId="71" borderId="0" applyNumberFormat="0" applyBorder="0" applyAlignment="0" applyProtection="0"/>
    <xf numFmtId="0" fontId="125" fillId="71" borderId="0" applyNumberFormat="0" applyBorder="0" applyAlignment="0" applyProtection="0"/>
    <xf numFmtId="0" fontId="125" fillId="71" borderId="0" applyNumberFormat="0" applyBorder="0" applyAlignment="0" applyProtection="0"/>
    <xf numFmtId="0" fontId="25" fillId="25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80" borderId="0" applyNumberFormat="0" applyBorder="0" applyAlignment="0" applyProtection="0"/>
    <xf numFmtId="0" fontId="125" fillId="79" borderId="0" applyNumberFormat="0" applyBorder="0" applyAlignment="0" applyProtection="0"/>
    <xf numFmtId="0" fontId="126" fillId="25" borderId="0" applyNumberFormat="0" applyBorder="0" applyAlignment="0" applyProtection="0"/>
    <xf numFmtId="0" fontId="125" fillId="81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25" fillId="29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75" borderId="0" applyNumberFormat="0" applyBorder="0" applyAlignment="0" applyProtection="0"/>
    <xf numFmtId="0" fontId="125" fillId="82" borderId="0" applyNumberFormat="0" applyBorder="0" applyAlignment="0" applyProtection="0"/>
    <xf numFmtId="0" fontId="126" fillId="29" borderId="0" applyNumberFormat="0" applyBorder="0" applyAlignment="0" applyProtection="0"/>
    <xf numFmtId="0" fontId="125" fillId="76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25" fillId="33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83" borderId="0" applyNumberFormat="0" applyBorder="0" applyAlignment="0" applyProtection="0"/>
    <xf numFmtId="0" fontId="125" fillId="77" borderId="0" applyNumberFormat="0" applyBorder="0" applyAlignment="0" applyProtection="0"/>
    <xf numFmtId="0" fontId="126" fillId="33" borderId="0" applyNumberFormat="0" applyBorder="0" applyAlignment="0" applyProtection="0"/>
    <xf numFmtId="0" fontId="125" fillId="52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25" fillId="75" borderId="0" applyNumberFormat="0" applyBorder="0" applyAlignment="0" applyProtection="0"/>
    <xf numFmtId="0" fontId="125" fillId="66" borderId="0" applyNumberFormat="0" applyBorder="0" applyAlignment="0" applyProtection="0"/>
    <xf numFmtId="0" fontId="125" fillId="66" borderId="0" applyNumberFormat="0" applyBorder="0" applyAlignment="0" applyProtection="0"/>
    <xf numFmtId="0" fontId="125" fillId="66" borderId="0" applyNumberFormat="0" applyBorder="0" applyAlignment="0" applyProtection="0"/>
    <xf numFmtId="0" fontId="125" fillId="66" borderId="0" applyNumberFormat="0" applyBorder="0" applyAlignment="0" applyProtection="0"/>
    <xf numFmtId="0" fontId="25" fillId="13" borderId="0" applyNumberFormat="0" applyBorder="0" applyAlignment="0" applyProtection="0"/>
    <xf numFmtId="0" fontId="1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25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25" fillId="77" borderId="0" applyNumberFormat="0" applyBorder="0" applyAlignment="0" applyProtection="0"/>
    <xf numFmtId="0" fontId="125" fillId="84" borderId="0" applyNumberFormat="0" applyBorder="0" applyAlignment="0" applyProtection="0"/>
    <xf numFmtId="0" fontId="125" fillId="84" borderId="0" applyNumberFormat="0" applyBorder="0" applyAlignment="0" applyProtection="0"/>
    <xf numFmtId="0" fontId="125" fillId="84" borderId="0" applyNumberFormat="0" applyBorder="0" applyAlignment="0" applyProtection="0"/>
    <xf numFmtId="0" fontId="125" fillId="84" borderId="0" applyNumberFormat="0" applyBorder="0" applyAlignment="0" applyProtection="0"/>
    <xf numFmtId="0" fontId="25" fillId="17" borderId="0" applyNumberFormat="0" applyBorder="0" applyAlignment="0" applyProtection="0"/>
    <xf numFmtId="0" fontId="1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69" borderId="0" applyNumberFormat="0" applyBorder="0" applyAlignment="0" applyProtection="0"/>
    <xf numFmtId="0" fontId="1" fillId="71" borderId="0" applyNumberFormat="0" applyBorder="0" applyAlignment="0" applyProtection="0"/>
    <xf numFmtId="0" fontId="1" fillId="71" borderId="0" applyNumberFormat="0" applyBorder="0" applyAlignment="0" applyProtection="0"/>
    <xf numFmtId="0" fontId="125" fillId="72" borderId="0" applyNumberFormat="0" applyBorder="0" applyAlignment="0" applyProtection="0"/>
    <xf numFmtId="0" fontId="125" fillId="58" borderId="0" applyNumberFormat="0" applyBorder="0" applyAlignment="0" applyProtection="0"/>
    <xf numFmtId="0" fontId="125" fillId="58" borderId="0" applyNumberFormat="0" applyBorder="0" applyAlignment="0" applyProtection="0"/>
    <xf numFmtId="0" fontId="125" fillId="58" borderId="0" applyNumberFormat="0" applyBorder="0" applyAlignment="0" applyProtection="0"/>
    <xf numFmtId="0" fontId="125" fillId="58" borderId="0" applyNumberFormat="0" applyBorder="0" applyAlignment="0" applyProtection="0"/>
    <xf numFmtId="0" fontId="25" fillId="21" borderId="0" applyNumberFormat="0" applyBorder="0" applyAlignment="0" applyProtection="0"/>
    <xf numFmtId="0" fontId="1" fillId="71" borderId="0" applyNumberFormat="0" applyBorder="0" applyAlignment="0" applyProtection="0"/>
    <xf numFmtId="0" fontId="125" fillId="71" borderId="0" applyNumberFormat="0" applyBorder="0" applyAlignment="0" applyProtection="0"/>
    <xf numFmtId="0" fontId="125" fillId="71" borderId="0" applyNumberFormat="0" applyBorder="0" applyAlignment="0" applyProtection="0"/>
    <xf numFmtId="0" fontId="125" fillId="71" borderId="0" applyNumberFormat="0" applyBorder="0" applyAlignment="0" applyProtection="0"/>
    <xf numFmtId="0" fontId="125" fillId="71" borderId="0" applyNumberFormat="0" applyBorder="0" applyAlignment="0" applyProtection="0"/>
    <xf numFmtId="0" fontId="125" fillId="71" borderId="0" applyNumberFormat="0" applyBorder="0" applyAlignment="0" applyProtection="0"/>
    <xf numFmtId="0" fontId="125" fillId="71" borderId="0" applyNumberFormat="0" applyBorder="0" applyAlignment="0" applyProtection="0"/>
    <xf numFmtId="0" fontId="125" fillId="71" borderId="0" applyNumberFormat="0" applyBorder="0" applyAlignment="0" applyProtection="0"/>
    <xf numFmtId="0" fontId="125" fillId="71" borderId="0" applyNumberFormat="0" applyBorder="0" applyAlignment="0" applyProtection="0"/>
    <xf numFmtId="0" fontId="125" fillId="71" borderId="0" applyNumberFormat="0" applyBorder="0" applyAlignment="0" applyProtection="0"/>
    <xf numFmtId="0" fontId="1" fillId="71" borderId="0" applyNumberFormat="0" applyBorder="0" applyAlignment="0" applyProtection="0"/>
    <xf numFmtId="0" fontId="125" fillId="71" borderId="0" applyNumberFormat="0" applyBorder="0" applyAlignment="0" applyProtection="0"/>
    <xf numFmtId="0" fontId="125" fillId="71" borderId="0" applyNumberFormat="0" applyBorder="0" applyAlignment="0" applyProtection="0"/>
    <xf numFmtId="0" fontId="125" fillId="71" borderId="0" applyNumberFormat="0" applyBorder="0" applyAlignment="0" applyProtection="0"/>
    <xf numFmtId="0" fontId="125" fillId="71" borderId="0" applyNumberFormat="0" applyBorder="0" applyAlignment="0" applyProtection="0"/>
    <xf numFmtId="0" fontId="125" fillId="71" borderId="0" applyNumberFormat="0" applyBorder="0" applyAlignment="0" applyProtection="0"/>
    <xf numFmtId="0" fontId="125" fillId="71" borderId="0" applyNumberFormat="0" applyBorder="0" applyAlignment="0" applyProtection="0"/>
    <xf numFmtId="0" fontId="125" fillId="71" borderId="0" applyNumberFormat="0" applyBorder="0" applyAlignment="0" applyProtection="0"/>
    <xf numFmtId="0" fontId="125" fillId="71" borderId="0" applyNumberFormat="0" applyBorder="0" applyAlignment="0" applyProtection="0"/>
    <xf numFmtId="0" fontId="125" fillId="71" borderId="0" applyNumberFormat="0" applyBorder="0" applyAlignment="0" applyProtection="0"/>
    <xf numFmtId="0" fontId="125" fillId="71" borderId="0" applyNumberFormat="0" applyBorder="0" applyAlignment="0" applyProtection="0"/>
    <xf numFmtId="0" fontId="1" fillId="71" borderId="0" applyNumberFormat="0" applyBorder="0" applyAlignment="0" applyProtection="0"/>
    <xf numFmtId="0" fontId="125" fillId="71" borderId="0" applyNumberFormat="0" applyBorder="0" applyAlignment="0" applyProtection="0"/>
    <xf numFmtId="0" fontId="125" fillId="71" borderId="0" applyNumberFormat="0" applyBorder="0" applyAlignment="0" applyProtection="0"/>
    <xf numFmtId="0" fontId="125" fillId="71" borderId="0" applyNumberFormat="0" applyBorder="0" applyAlignment="0" applyProtection="0"/>
    <xf numFmtId="0" fontId="125" fillId="71" borderId="0" applyNumberFormat="0" applyBorder="0" applyAlignment="0" applyProtection="0"/>
    <xf numFmtId="0" fontId="125" fillId="71" borderId="0" applyNumberFormat="0" applyBorder="0" applyAlignment="0" applyProtection="0"/>
    <xf numFmtId="0" fontId="125" fillId="71" borderId="0" applyNumberFormat="0" applyBorder="0" applyAlignment="0" applyProtection="0"/>
    <xf numFmtId="0" fontId="125" fillId="71" borderId="0" applyNumberFormat="0" applyBorder="0" applyAlignment="0" applyProtection="0"/>
    <xf numFmtId="0" fontId="125" fillId="71" borderId="0" applyNumberFormat="0" applyBorder="0" applyAlignment="0" applyProtection="0"/>
    <xf numFmtId="0" fontId="1" fillId="71" borderId="0" applyNumberFormat="0" applyBorder="0" applyAlignment="0" applyProtection="0"/>
    <xf numFmtId="0" fontId="1" fillId="71" borderId="0" applyNumberFormat="0" applyBorder="0" applyAlignment="0" applyProtection="0"/>
    <xf numFmtId="0" fontId="1" fillId="71" borderId="0" applyNumberFormat="0" applyBorder="0" applyAlignment="0" applyProtection="0"/>
    <xf numFmtId="0" fontId="1" fillId="71" borderId="0" applyNumberFormat="0" applyBorder="0" applyAlignment="0" applyProtection="0"/>
    <xf numFmtId="0" fontId="1" fillId="71" borderId="0" applyNumberFormat="0" applyBorder="0" applyAlignment="0" applyProtection="0"/>
    <xf numFmtId="0" fontId="1" fillId="71" borderId="0" applyNumberFormat="0" applyBorder="0" applyAlignment="0" applyProtection="0"/>
    <xf numFmtId="0" fontId="1" fillId="71" borderId="0" applyNumberFormat="0" applyBorder="0" applyAlignment="0" applyProtection="0"/>
    <xf numFmtId="0" fontId="125" fillId="71" borderId="0" applyNumberFormat="0" applyBorder="0" applyAlignment="0" applyProtection="0"/>
    <xf numFmtId="0" fontId="125" fillId="71" borderId="0" applyNumberFormat="0" applyBorder="0" applyAlignment="0" applyProtection="0"/>
    <xf numFmtId="0" fontId="125" fillId="71" borderId="0" applyNumberFormat="0" applyBorder="0" applyAlignment="0" applyProtection="0"/>
    <xf numFmtId="0" fontId="125" fillId="71" borderId="0" applyNumberFormat="0" applyBorder="0" applyAlignment="0" applyProtection="0"/>
    <xf numFmtId="0" fontId="125" fillId="71" borderId="0" applyNumberFormat="0" applyBorder="0" applyAlignment="0" applyProtection="0"/>
    <xf numFmtId="0" fontId="125" fillId="71" borderId="0" applyNumberFormat="0" applyBorder="0" applyAlignment="0" applyProtection="0"/>
    <xf numFmtId="0" fontId="125" fillId="71" borderId="0" applyNumberFormat="0" applyBorder="0" applyAlignment="0" applyProtection="0"/>
    <xf numFmtId="0" fontId="125" fillId="71" borderId="0" applyNumberFormat="0" applyBorder="0" applyAlignment="0" applyProtection="0"/>
    <xf numFmtId="0" fontId="125" fillId="71" borderId="0" applyNumberFormat="0" applyBorder="0" applyAlignment="0" applyProtection="0"/>
    <xf numFmtId="0" fontId="125" fillId="71" borderId="0" applyNumberFormat="0" applyBorder="0" applyAlignment="0" applyProtection="0"/>
    <xf numFmtId="0" fontId="1" fillId="71" borderId="0" applyNumberFormat="0" applyBorder="0" applyAlignment="0" applyProtection="0"/>
    <xf numFmtId="0" fontId="125" fillId="71" borderId="0" applyNumberFormat="0" applyBorder="0" applyAlignment="0" applyProtection="0"/>
    <xf numFmtId="0" fontId="125" fillId="71" borderId="0" applyNumberFormat="0" applyBorder="0" applyAlignment="0" applyProtection="0"/>
    <xf numFmtId="0" fontId="125" fillId="71" borderId="0" applyNumberFormat="0" applyBorder="0" applyAlignment="0" applyProtection="0"/>
    <xf numFmtId="0" fontId="125" fillId="71" borderId="0" applyNumberFormat="0" applyBorder="0" applyAlignment="0" applyProtection="0"/>
    <xf numFmtId="0" fontId="125" fillId="71" borderId="0" applyNumberFormat="0" applyBorder="0" applyAlignment="0" applyProtection="0"/>
    <xf numFmtId="0" fontId="125" fillId="71" borderId="0" applyNumberFormat="0" applyBorder="0" applyAlignment="0" applyProtection="0"/>
    <xf numFmtId="0" fontId="125" fillId="71" borderId="0" applyNumberFormat="0" applyBorder="0" applyAlignment="0" applyProtection="0"/>
    <xf numFmtId="0" fontId="125" fillId="71" borderId="0" applyNumberFormat="0" applyBorder="0" applyAlignment="0" applyProtection="0"/>
    <xf numFmtId="0" fontId="125" fillId="71" borderId="0" applyNumberFormat="0" applyBorder="0" applyAlignment="0" applyProtection="0"/>
    <xf numFmtId="0" fontId="125" fillId="71" borderId="0" applyNumberFormat="0" applyBorder="0" applyAlignment="0" applyProtection="0"/>
    <xf numFmtId="0" fontId="1" fillId="71" borderId="0" applyNumberFormat="0" applyBorder="0" applyAlignment="0" applyProtection="0"/>
    <xf numFmtId="0" fontId="125" fillId="71" borderId="0" applyNumberFormat="0" applyBorder="0" applyAlignment="0" applyProtection="0"/>
    <xf numFmtId="0" fontId="125" fillId="71" borderId="0" applyNumberFormat="0" applyBorder="0" applyAlignment="0" applyProtection="0"/>
    <xf numFmtId="0" fontId="125" fillId="71" borderId="0" applyNumberFormat="0" applyBorder="0" applyAlignment="0" applyProtection="0"/>
    <xf numFmtId="0" fontId="125" fillId="71" borderId="0" applyNumberFormat="0" applyBorder="0" applyAlignment="0" applyProtection="0"/>
    <xf numFmtId="0" fontId="1" fillId="71" borderId="0" applyNumberFormat="0" applyBorder="0" applyAlignment="0" applyProtection="0"/>
    <xf numFmtId="0" fontId="1" fillId="71" borderId="0" applyNumberFormat="0" applyBorder="0" applyAlignment="0" applyProtection="0"/>
    <xf numFmtId="0" fontId="1" fillId="71" borderId="0" applyNumberFormat="0" applyBorder="0" applyAlignment="0" applyProtection="0"/>
    <xf numFmtId="0" fontId="125" fillId="71" borderId="0" applyNumberFormat="0" applyBorder="0" applyAlignment="0" applyProtection="0"/>
    <xf numFmtId="0" fontId="125" fillId="71" borderId="0" applyNumberFormat="0" applyBorder="0" applyAlignment="0" applyProtection="0"/>
    <xf numFmtId="0" fontId="125" fillId="71" borderId="0" applyNumberFormat="0" applyBorder="0" applyAlignment="0" applyProtection="0"/>
    <xf numFmtId="0" fontId="1" fillId="71" borderId="0" applyNumberFormat="0" applyBorder="0" applyAlignment="0" applyProtection="0"/>
    <xf numFmtId="0" fontId="1" fillId="71" borderId="0" applyNumberFormat="0" applyBorder="0" applyAlignment="0" applyProtection="0"/>
    <xf numFmtId="0" fontId="1" fillId="71" borderId="0" applyNumberFormat="0" applyBorder="0" applyAlignment="0" applyProtection="0"/>
    <xf numFmtId="0" fontId="1" fillId="71" borderId="0" applyNumberFormat="0" applyBorder="0" applyAlignment="0" applyProtection="0"/>
    <xf numFmtId="0" fontId="1" fillId="71" borderId="0" applyNumberFormat="0" applyBorder="0" applyAlignment="0" applyProtection="0"/>
    <xf numFmtId="0" fontId="1" fillId="71" borderId="0" applyNumberFormat="0" applyBorder="0" applyAlignment="0" applyProtection="0"/>
    <xf numFmtId="0" fontId="1" fillId="71" borderId="0" applyNumberFormat="0" applyBorder="0" applyAlignment="0" applyProtection="0"/>
    <xf numFmtId="0" fontId="1" fillId="71" borderId="0" applyNumberFormat="0" applyBorder="0" applyAlignment="0" applyProtection="0"/>
    <xf numFmtId="0" fontId="1" fillId="71" borderId="0" applyNumberFormat="0" applyBorder="0" applyAlignment="0" applyProtection="0"/>
    <xf numFmtId="0" fontId="1" fillId="71" borderId="0" applyNumberFormat="0" applyBorder="0" applyAlignment="0" applyProtection="0"/>
    <xf numFmtId="0" fontId="1" fillId="71" borderId="0" applyNumberFormat="0" applyBorder="0" applyAlignment="0" applyProtection="0"/>
    <xf numFmtId="0" fontId="1" fillId="71" borderId="0" applyNumberFormat="0" applyBorder="0" applyAlignment="0" applyProtection="0"/>
    <xf numFmtId="0" fontId="1" fillId="71" borderId="0" applyNumberFormat="0" applyBorder="0" applyAlignment="0" applyProtection="0"/>
    <xf numFmtId="0" fontId="1" fillId="71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25" fillId="80" borderId="0" applyNumberFormat="0" applyBorder="0" applyAlignment="0" applyProtection="0"/>
    <xf numFmtId="0" fontId="125" fillId="57" borderId="0" applyNumberFormat="0" applyBorder="0" applyAlignment="0" applyProtection="0"/>
    <xf numFmtId="0" fontId="125" fillId="57" borderId="0" applyNumberFormat="0" applyBorder="0" applyAlignment="0" applyProtection="0"/>
    <xf numFmtId="0" fontId="125" fillId="57" borderId="0" applyNumberFormat="0" applyBorder="0" applyAlignment="0" applyProtection="0"/>
    <xf numFmtId="0" fontId="125" fillId="57" borderId="0" applyNumberFormat="0" applyBorder="0" applyAlignment="0" applyProtection="0"/>
    <xf numFmtId="0" fontId="25" fillId="25" borderId="0" applyNumberFormat="0" applyBorder="0" applyAlignment="0" applyProtection="0"/>
    <xf numFmtId="0" fontId="1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82" borderId="0" applyNumberFormat="0" applyBorder="0" applyAlignment="0" applyProtection="0"/>
    <xf numFmtId="0" fontId="1" fillId="82" borderId="0" applyNumberFormat="0" applyBorder="0" applyAlignment="0" applyProtection="0"/>
    <xf numFmtId="0" fontId="125" fillId="75" borderId="0" applyNumberFormat="0" applyBorder="0" applyAlignment="0" applyProtection="0"/>
    <xf numFmtId="0" fontId="125" fillId="66" borderId="0" applyNumberFormat="0" applyBorder="0" applyAlignment="0" applyProtection="0"/>
    <xf numFmtId="0" fontId="125" fillId="66" borderId="0" applyNumberFormat="0" applyBorder="0" applyAlignment="0" applyProtection="0"/>
    <xf numFmtId="0" fontId="125" fillId="66" borderId="0" applyNumberFormat="0" applyBorder="0" applyAlignment="0" applyProtection="0"/>
    <xf numFmtId="0" fontId="125" fillId="66" borderId="0" applyNumberFormat="0" applyBorder="0" applyAlignment="0" applyProtection="0"/>
    <xf numFmtId="0" fontId="25" fillId="29" borderId="0" applyNumberFormat="0" applyBorder="0" applyAlignment="0" applyProtection="0"/>
    <xf numFmtId="0" fontId="1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" fillId="82" borderId="0" applyNumberFormat="0" applyBorder="0" applyAlignment="0" applyProtection="0"/>
    <xf numFmtId="0" fontId="1" fillId="82" borderId="0" applyNumberFormat="0" applyBorder="0" applyAlignment="0" applyProtection="0"/>
    <xf numFmtId="0" fontId="1" fillId="82" borderId="0" applyNumberFormat="0" applyBorder="0" applyAlignment="0" applyProtection="0"/>
    <xf numFmtId="0" fontId="1" fillId="82" borderId="0" applyNumberFormat="0" applyBorder="0" applyAlignment="0" applyProtection="0"/>
    <xf numFmtId="0" fontId="1" fillId="82" borderId="0" applyNumberFormat="0" applyBorder="0" applyAlignment="0" applyProtection="0"/>
    <xf numFmtId="0" fontId="1" fillId="82" borderId="0" applyNumberFormat="0" applyBorder="0" applyAlignment="0" applyProtection="0"/>
    <xf numFmtId="0" fontId="1" fillId="82" borderId="0" applyNumberFormat="0" applyBorder="0" applyAlignment="0" applyProtection="0"/>
    <xf numFmtId="0" fontId="1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" fillId="82" borderId="0" applyNumberFormat="0" applyBorder="0" applyAlignment="0" applyProtection="0"/>
    <xf numFmtId="0" fontId="1" fillId="82" borderId="0" applyNumberFormat="0" applyBorder="0" applyAlignment="0" applyProtection="0"/>
    <xf numFmtId="0" fontId="1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" fillId="82" borderId="0" applyNumberFormat="0" applyBorder="0" applyAlignment="0" applyProtection="0"/>
    <xf numFmtId="0" fontId="1" fillId="82" borderId="0" applyNumberFormat="0" applyBorder="0" applyAlignment="0" applyProtection="0"/>
    <xf numFmtId="0" fontId="1" fillId="82" borderId="0" applyNumberFormat="0" applyBorder="0" applyAlignment="0" applyProtection="0"/>
    <xf numFmtId="0" fontId="1" fillId="82" borderId="0" applyNumberFormat="0" applyBorder="0" applyAlignment="0" applyProtection="0"/>
    <xf numFmtId="0" fontId="1" fillId="82" borderId="0" applyNumberFormat="0" applyBorder="0" applyAlignment="0" applyProtection="0"/>
    <xf numFmtId="0" fontId="1" fillId="82" borderId="0" applyNumberFormat="0" applyBorder="0" applyAlignment="0" applyProtection="0"/>
    <xf numFmtId="0" fontId="1" fillId="82" borderId="0" applyNumberFormat="0" applyBorder="0" applyAlignment="0" applyProtection="0"/>
    <xf numFmtId="0" fontId="1" fillId="82" borderId="0" applyNumberFormat="0" applyBorder="0" applyAlignment="0" applyProtection="0"/>
    <xf numFmtId="0" fontId="1" fillId="82" borderId="0" applyNumberFormat="0" applyBorder="0" applyAlignment="0" applyProtection="0"/>
    <xf numFmtId="0" fontId="1" fillId="82" borderId="0" applyNumberFormat="0" applyBorder="0" applyAlignment="0" applyProtection="0"/>
    <xf numFmtId="0" fontId="1" fillId="82" borderId="0" applyNumberFormat="0" applyBorder="0" applyAlignment="0" applyProtection="0"/>
    <xf numFmtId="0" fontId="1" fillId="82" borderId="0" applyNumberFormat="0" applyBorder="0" applyAlignment="0" applyProtection="0"/>
    <xf numFmtId="0" fontId="1" fillId="82" borderId="0" applyNumberFormat="0" applyBorder="0" applyAlignment="0" applyProtection="0"/>
    <xf numFmtId="0" fontId="1" fillId="82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25" fillId="83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125" fillId="69" borderId="0" applyNumberFormat="0" applyBorder="0" applyAlignment="0" applyProtection="0"/>
    <xf numFmtId="0" fontId="25" fillId="33" borderId="0" applyNumberFormat="0" applyBorder="0" applyAlignment="0" applyProtection="0"/>
    <xf numFmtId="0" fontId="1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25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" fillId="77" borderId="0" applyNumberFormat="0" applyBorder="0" applyAlignment="0" applyProtection="0"/>
    <xf numFmtId="0" fontId="127" fillId="74" borderId="0" applyNumberFormat="0" applyBorder="0" applyAlignment="0" applyProtection="0">
      <alignment vertical="center"/>
    </xf>
    <xf numFmtId="0" fontId="127" fillId="69" borderId="0" applyNumberFormat="0" applyBorder="0" applyAlignment="0" applyProtection="0">
      <alignment vertical="center"/>
    </xf>
    <xf numFmtId="0" fontId="127" fillId="71" borderId="0" applyNumberFormat="0" applyBorder="0" applyAlignment="0" applyProtection="0">
      <alignment vertical="center"/>
    </xf>
    <xf numFmtId="0" fontId="127" fillId="79" borderId="0" applyNumberFormat="0" applyBorder="0" applyAlignment="0" applyProtection="0">
      <alignment vertical="center"/>
    </xf>
    <xf numFmtId="0" fontId="127" fillId="82" borderId="0" applyNumberFormat="0" applyBorder="0" applyAlignment="0" applyProtection="0">
      <alignment vertical="center"/>
    </xf>
    <xf numFmtId="0" fontId="127" fillId="77" borderId="0" applyNumberFormat="0" applyBorder="0" applyAlignment="0" applyProtection="0">
      <alignment vertical="center"/>
    </xf>
    <xf numFmtId="0" fontId="43" fillId="0" borderId="0" applyNumberFormat="0">
      <alignment horizontal="right"/>
    </xf>
    <xf numFmtId="224" fontId="128" fillId="0" borderId="0" applyFont="0" applyFill="0" applyBorder="0" applyAlignment="0" applyProtection="0"/>
    <xf numFmtId="0" fontId="6" fillId="0" borderId="30" applyNumberFormat="0" applyBorder="0"/>
    <xf numFmtId="0" fontId="55" fillId="0" borderId="0"/>
    <xf numFmtId="179" fontId="8" fillId="0" borderId="0" applyFont="0" applyFill="0" applyBorder="0" applyAlignment="0" applyProtection="0"/>
    <xf numFmtId="179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225" fontId="101" fillId="44" borderId="0" applyBorder="0"/>
    <xf numFmtId="225" fontId="101" fillId="44" borderId="0" applyBorder="0"/>
    <xf numFmtId="225" fontId="101" fillId="44" borderId="0" applyBorder="0"/>
    <xf numFmtId="225" fontId="101" fillId="44" borderId="0" applyBorder="0"/>
    <xf numFmtId="225" fontId="101" fillId="44" borderId="0" applyFont="0" applyBorder="0"/>
    <xf numFmtId="225" fontId="101" fillId="44" borderId="0" applyBorder="0"/>
    <xf numFmtId="225" fontId="101" fillId="44" borderId="0" applyBorder="0"/>
    <xf numFmtId="225" fontId="101" fillId="44" borderId="0" applyBorder="0"/>
    <xf numFmtId="0" fontId="129" fillId="85" borderId="0"/>
    <xf numFmtId="0" fontId="129" fillId="85" borderId="0"/>
    <xf numFmtId="0" fontId="129" fillId="85" borderId="0"/>
    <xf numFmtId="0" fontId="129" fillId="85" borderId="0"/>
    <xf numFmtId="0" fontId="129" fillId="85" borderId="0"/>
    <xf numFmtId="0" fontId="129" fillId="85" borderId="0"/>
    <xf numFmtId="0" fontId="129" fillId="85" borderId="0"/>
    <xf numFmtId="0" fontId="130" fillId="86" borderId="42">
      <alignment horizontal="center"/>
    </xf>
    <xf numFmtId="0" fontId="130" fillId="86" borderId="42">
      <alignment horizontal="center"/>
    </xf>
    <xf numFmtId="0" fontId="130" fillId="86" borderId="42">
      <alignment horizontal="center"/>
    </xf>
    <xf numFmtId="225" fontId="101" fillId="87" borderId="0" applyNumberFormat="0" applyBorder="0" applyAlignment="0" applyProtection="0"/>
    <xf numFmtId="225" fontId="101" fillId="87" borderId="0" applyNumberFormat="0" applyBorder="0" applyAlignment="0" applyProtection="0"/>
    <xf numFmtId="225" fontId="101" fillId="87" borderId="0" applyNumberFormat="0" applyBorder="0" applyAlignment="0" applyProtection="0"/>
    <xf numFmtId="225" fontId="101" fillId="87" borderId="0" applyNumberFormat="0" applyBorder="0" applyAlignment="0" applyProtection="0"/>
    <xf numFmtId="225" fontId="101" fillId="87" borderId="0" applyNumberFormat="0" applyFont="0" applyBorder="0" applyAlignment="0" applyProtection="0"/>
    <xf numFmtId="225" fontId="101" fillId="87" borderId="0" applyNumberFormat="0" applyBorder="0" applyAlignment="0" applyProtection="0"/>
    <xf numFmtId="225" fontId="101" fillId="87" borderId="0" applyNumberFormat="0" applyBorder="0" applyAlignment="0" applyProtection="0"/>
    <xf numFmtId="225" fontId="101" fillId="87" borderId="0" applyNumberFormat="0" applyBorder="0" applyAlignment="0" applyProtection="0"/>
    <xf numFmtId="225" fontId="59" fillId="50" borderId="0" applyNumberFormat="0" applyFont="0" applyBorder="0" applyAlignment="0" applyProtection="0"/>
    <xf numFmtId="225" fontId="67" fillId="88" borderId="0" applyFont="0" applyBorder="0"/>
    <xf numFmtId="225" fontId="6" fillId="89" borderId="0" applyBorder="0"/>
    <xf numFmtId="0" fontId="64" fillId="44" borderId="0"/>
    <xf numFmtId="225" fontId="131" fillId="0" borderId="0" applyBorder="0">
      <alignment horizontal="right"/>
    </xf>
    <xf numFmtId="169" fontId="132" fillId="0" borderId="0" applyBorder="0">
      <alignment horizontal="right"/>
    </xf>
    <xf numFmtId="225" fontId="101" fillId="0" borderId="14" applyBorder="0">
      <alignment horizontal="right"/>
    </xf>
    <xf numFmtId="225" fontId="101" fillId="0" borderId="14" applyBorder="0">
      <alignment horizontal="right"/>
    </xf>
    <xf numFmtId="225" fontId="101" fillId="0" borderId="14" applyBorder="0">
      <alignment horizontal="right"/>
    </xf>
    <xf numFmtId="225" fontId="101" fillId="0" borderId="14" applyBorder="0">
      <alignment horizontal="right"/>
    </xf>
    <xf numFmtId="169" fontId="6" fillId="0" borderId="14" applyBorder="0">
      <alignment horizontal="right"/>
    </xf>
    <xf numFmtId="225" fontId="101" fillId="0" borderId="14" applyBorder="0">
      <alignment horizontal="right"/>
    </xf>
    <xf numFmtId="225" fontId="101" fillId="0" borderId="14" applyBorder="0">
      <alignment horizontal="right"/>
    </xf>
    <xf numFmtId="225" fontId="101" fillId="0" borderId="14" applyBorder="0">
      <alignment horizontal="right"/>
    </xf>
    <xf numFmtId="225" fontId="101" fillId="0" borderId="14" applyBorder="0"/>
    <xf numFmtId="225" fontId="101" fillId="0" borderId="14" applyBorder="0"/>
    <xf numFmtId="0" fontId="64" fillId="44" borderId="0"/>
    <xf numFmtId="225" fontId="101" fillId="0" borderId="14" applyBorder="0"/>
    <xf numFmtId="225" fontId="8" fillId="0" borderId="14" applyNumberFormat="0" applyBorder="0" applyAlignment="0" applyProtection="0"/>
    <xf numFmtId="225" fontId="8" fillId="0" borderId="14" applyNumberFormat="0" applyBorder="0" applyAlignment="0" applyProtection="0"/>
    <xf numFmtId="225" fontId="8" fillId="0" borderId="14" applyNumberFormat="0" applyBorder="0" applyAlignment="0" applyProtection="0"/>
    <xf numFmtId="225" fontId="8" fillId="0" borderId="14" applyNumberFormat="0" applyBorder="0" applyAlignment="0" applyProtection="0"/>
    <xf numFmtId="225" fontId="8" fillId="0" borderId="14" applyNumberFormat="0" applyBorder="0" applyAlignment="0" applyProtection="0"/>
    <xf numFmtId="225" fontId="8" fillId="0" borderId="14" applyNumberFormat="0" applyBorder="0" applyAlignment="0" applyProtection="0"/>
    <xf numFmtId="225" fontId="8" fillId="0" borderId="14" applyNumberFormat="0" applyBorder="0" applyAlignment="0" applyProtection="0"/>
    <xf numFmtId="225" fontId="101" fillId="0" borderId="14" applyBorder="0"/>
    <xf numFmtId="225" fontId="101" fillId="0" borderId="14" applyBorder="0"/>
    <xf numFmtId="225" fontId="101" fillId="0" borderId="14" applyBorder="0"/>
    <xf numFmtId="0" fontId="133" fillId="44" borderId="0">
      <alignment horizontal="center"/>
    </xf>
    <xf numFmtId="0" fontId="134" fillId="44" borderId="0">
      <alignment horizontal="left"/>
    </xf>
    <xf numFmtId="225" fontId="135" fillId="0" borderId="0" applyBorder="0">
      <alignment horizontal="right"/>
    </xf>
    <xf numFmtId="225" fontId="136" fillId="0" borderId="14" applyBorder="0">
      <alignment horizontal="right"/>
    </xf>
    <xf numFmtId="215" fontId="137" fillId="0" borderId="14" applyBorder="0">
      <alignment horizontal="right"/>
    </xf>
    <xf numFmtId="215" fontId="138" fillId="0" borderId="0" applyBorder="0">
      <alignment horizontal="right"/>
    </xf>
    <xf numFmtId="225" fontId="135" fillId="0" borderId="0">
      <alignment horizontal="left"/>
    </xf>
    <xf numFmtId="225" fontId="139" fillId="0" borderId="0">
      <alignment horizontal="left"/>
    </xf>
    <xf numFmtId="225" fontId="102" fillId="0" borderId="43" applyBorder="0"/>
    <xf numFmtId="225" fontId="101" fillId="90" borderId="14" applyNumberFormat="0" applyFont="0" applyBorder="0" applyAlignment="0" applyProtection="0"/>
    <xf numFmtId="225" fontId="106" fillId="44" borderId="43" applyBorder="0">
      <alignment horizontal="right"/>
    </xf>
    <xf numFmtId="169" fontId="75" fillId="91" borderId="43" applyBorder="0">
      <alignment horizontal="right"/>
    </xf>
    <xf numFmtId="225" fontId="102" fillId="0" borderId="43">
      <alignment horizontal="right"/>
    </xf>
    <xf numFmtId="225" fontId="102" fillId="0" borderId="43">
      <alignment horizontal="right"/>
    </xf>
    <xf numFmtId="169" fontId="75" fillId="0" borderId="43" applyBorder="0">
      <alignment horizontal="right"/>
    </xf>
    <xf numFmtId="0" fontId="106" fillId="44" borderId="44">
      <alignment horizontal="center"/>
    </xf>
    <xf numFmtId="0" fontId="106" fillId="44" borderId="44">
      <alignment horizontal="center"/>
    </xf>
    <xf numFmtId="225" fontId="3" fillId="0" borderId="14" applyNumberFormat="0" applyBorder="0" applyAlignment="0" applyProtection="0"/>
    <xf numFmtId="0" fontId="75" fillId="44" borderId="45" applyBorder="0">
      <alignment horizontal="center"/>
    </xf>
    <xf numFmtId="0" fontId="80" fillId="0" borderId="0" applyFont="0" applyFill="0" applyBorder="0" applyAlignment="0" applyProtection="0"/>
    <xf numFmtId="0" fontId="62" fillId="0" borderId="0" applyFont="0" applyFill="0" applyBorder="0" applyAlignment="0" applyProtection="0"/>
    <xf numFmtId="226" fontId="8" fillId="0" borderId="0" applyFont="0" applyFill="0" applyBorder="0" applyAlignment="0" applyProtection="0"/>
    <xf numFmtId="0" fontId="5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37" fontId="76" fillId="0" borderId="0"/>
    <xf numFmtId="0" fontId="8" fillId="0" borderId="0"/>
    <xf numFmtId="37" fontId="76" fillId="0" borderId="0"/>
    <xf numFmtId="37" fontId="76" fillId="0" borderId="0"/>
    <xf numFmtId="37" fontId="76" fillId="0" borderId="0"/>
    <xf numFmtId="37" fontId="76" fillId="0" borderId="0"/>
    <xf numFmtId="37" fontId="76" fillId="0" borderId="0"/>
    <xf numFmtId="37" fontId="76" fillId="0" borderId="0"/>
    <xf numFmtId="37" fontId="76" fillId="0" borderId="0"/>
    <xf numFmtId="37" fontId="76" fillId="0" borderId="0"/>
    <xf numFmtId="37" fontId="7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46" applyNumberFormat="0">
      <alignment horizontal="center" vertical="top" wrapText="1"/>
    </xf>
    <xf numFmtId="0" fontId="8" fillId="0" borderId="46" applyNumberFormat="0">
      <alignment horizontal="center" vertical="top" wrapText="1"/>
    </xf>
    <xf numFmtId="0" fontId="8" fillId="0" borderId="28">
      <alignment vertical="top"/>
    </xf>
    <xf numFmtId="0" fontId="8" fillId="0" borderId="28">
      <alignment vertical="top"/>
    </xf>
    <xf numFmtId="0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0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188" fontId="76" fillId="0" borderId="6" applyBorder="0"/>
    <xf numFmtId="0" fontId="25" fillId="10" borderId="0" applyNumberFormat="0" applyBorder="0" applyAlignment="0" applyProtection="0"/>
    <xf numFmtId="0" fontId="88" fillId="92" borderId="0" applyNumberFormat="0" applyBorder="0" applyAlignment="0" applyProtection="0"/>
    <xf numFmtId="0" fontId="88" fillId="93" borderId="0" applyNumberFormat="0" applyBorder="0" applyAlignment="0" applyProtection="0"/>
    <xf numFmtId="0" fontId="88" fillId="94" borderId="0" applyNumberFormat="0" applyBorder="0" applyAlignment="0" applyProtection="0"/>
    <xf numFmtId="0" fontId="88" fillId="95" borderId="0" applyNumberFormat="0" applyBorder="0" applyAlignment="0" applyProtection="0"/>
    <xf numFmtId="0" fontId="125" fillId="96" borderId="0" applyNumberFormat="0" applyBorder="0" applyAlignment="0" applyProtection="0"/>
    <xf numFmtId="0" fontId="125" fillId="97" borderId="0" applyNumberFormat="0" applyBorder="0" applyAlignment="0" applyProtection="0"/>
    <xf numFmtId="0" fontId="125" fillId="98" borderId="0" applyNumberFormat="0" applyBorder="0" applyAlignment="0" applyProtection="0"/>
    <xf numFmtId="0" fontId="125" fillId="98" borderId="0" applyNumberFormat="0" applyBorder="0" applyAlignment="0" applyProtection="0"/>
    <xf numFmtId="0" fontId="125" fillId="98" borderId="0" applyNumberFormat="0" applyBorder="0" applyAlignment="0" applyProtection="0"/>
    <xf numFmtId="0" fontId="125" fillId="98" borderId="0" applyNumberFormat="0" applyBorder="0" applyAlignment="0" applyProtection="0"/>
    <xf numFmtId="0" fontId="125" fillId="98" borderId="0" applyNumberFormat="0" applyBorder="0" applyAlignment="0" applyProtection="0"/>
    <xf numFmtId="0" fontId="125" fillId="99" borderId="0" applyNumberFormat="0" applyBorder="0" applyAlignment="0" applyProtection="0"/>
    <xf numFmtId="0" fontId="125" fillId="98" borderId="0" applyNumberFormat="0" applyBorder="0" applyAlignment="0" applyProtection="0"/>
    <xf numFmtId="0" fontId="126" fillId="10" borderId="0" applyNumberFormat="0" applyBorder="0" applyAlignment="0" applyProtection="0"/>
    <xf numFmtId="0" fontId="125" fillId="98" borderId="0" applyNumberFormat="0" applyBorder="0" applyAlignment="0" applyProtection="0"/>
    <xf numFmtId="0" fontId="125" fillId="98" borderId="0" applyNumberFormat="0" applyBorder="0" applyAlignment="0" applyProtection="0"/>
    <xf numFmtId="0" fontId="125" fillId="98" borderId="0" applyNumberFormat="0" applyBorder="0" applyAlignment="0" applyProtection="0"/>
    <xf numFmtId="0" fontId="125" fillId="98" borderId="0" applyNumberFormat="0" applyBorder="0" applyAlignment="0" applyProtection="0"/>
    <xf numFmtId="0" fontId="125" fillId="98" borderId="0" applyNumberFormat="0" applyBorder="0" applyAlignment="0" applyProtection="0"/>
    <xf numFmtId="0" fontId="125" fillId="98" borderId="0" applyNumberFormat="0" applyBorder="0" applyAlignment="0" applyProtection="0"/>
    <xf numFmtId="0" fontId="25" fillId="14" borderId="0" applyNumberFormat="0" applyBorder="0" applyAlignment="0" applyProtection="0"/>
    <xf numFmtId="0" fontId="88" fillId="100" borderId="0" applyNumberFormat="0" applyBorder="0" applyAlignment="0" applyProtection="0"/>
    <xf numFmtId="0" fontId="88" fillId="101" borderId="0" applyNumberFormat="0" applyBorder="0" applyAlignment="0" applyProtection="0"/>
    <xf numFmtId="0" fontId="88" fillId="102" borderId="0" applyNumberFormat="0" applyBorder="0" applyAlignment="0" applyProtection="0"/>
    <xf numFmtId="0" fontId="88" fillId="103" borderId="0" applyNumberFormat="0" applyBorder="0" applyAlignment="0" applyProtection="0"/>
    <xf numFmtId="0" fontId="125" fillId="103" borderId="0" applyNumberFormat="0" applyBorder="0" applyAlignment="0" applyProtection="0"/>
    <xf numFmtId="0" fontId="125" fillId="104" borderId="0" applyNumberFormat="0" applyBorder="0" applyAlignment="0" applyProtection="0"/>
    <xf numFmtId="0" fontId="125" fillId="105" borderId="0" applyNumberFormat="0" applyBorder="0" applyAlignment="0" applyProtection="0"/>
    <xf numFmtId="0" fontId="125" fillId="105" borderId="0" applyNumberFormat="0" applyBorder="0" applyAlignment="0" applyProtection="0"/>
    <xf numFmtId="0" fontId="125" fillId="105" borderId="0" applyNumberFormat="0" applyBorder="0" applyAlignment="0" applyProtection="0"/>
    <xf numFmtId="0" fontId="125" fillId="105" borderId="0" applyNumberFormat="0" applyBorder="0" applyAlignment="0" applyProtection="0"/>
    <xf numFmtId="0" fontId="125" fillId="105" borderId="0" applyNumberFormat="0" applyBorder="0" applyAlignment="0" applyProtection="0"/>
    <xf numFmtId="0" fontId="125" fillId="84" borderId="0" applyNumberFormat="0" applyBorder="0" applyAlignment="0" applyProtection="0"/>
    <xf numFmtId="0" fontId="125" fillId="105" borderId="0" applyNumberFormat="0" applyBorder="0" applyAlignment="0" applyProtection="0"/>
    <xf numFmtId="0" fontId="126" fillId="14" borderId="0" applyNumberFormat="0" applyBorder="0" applyAlignment="0" applyProtection="0"/>
    <xf numFmtId="0" fontId="125" fillId="78" borderId="0" applyNumberFormat="0" applyBorder="0" applyAlignment="0" applyProtection="0"/>
    <xf numFmtId="0" fontId="125" fillId="105" borderId="0" applyNumberFormat="0" applyBorder="0" applyAlignment="0" applyProtection="0"/>
    <xf numFmtId="0" fontId="125" fillId="105" borderId="0" applyNumberFormat="0" applyBorder="0" applyAlignment="0" applyProtection="0"/>
    <xf numFmtId="0" fontId="125" fillId="105" borderId="0" applyNumberFormat="0" applyBorder="0" applyAlignment="0" applyProtection="0"/>
    <xf numFmtId="0" fontId="125" fillId="105" borderId="0" applyNumberFormat="0" applyBorder="0" applyAlignment="0" applyProtection="0"/>
    <xf numFmtId="0" fontId="125" fillId="105" borderId="0" applyNumberFormat="0" applyBorder="0" applyAlignment="0" applyProtection="0"/>
    <xf numFmtId="0" fontId="25" fillId="18" borderId="0" applyNumberFormat="0" applyBorder="0" applyAlignment="0" applyProtection="0"/>
    <xf numFmtId="0" fontId="88" fillId="106" borderId="0" applyNumberFormat="0" applyBorder="0" applyAlignment="0" applyProtection="0"/>
    <xf numFmtId="0" fontId="88" fillId="107" borderId="0" applyNumberFormat="0" applyBorder="0" applyAlignment="0" applyProtection="0"/>
    <xf numFmtId="0" fontId="88" fillId="108" borderId="0" applyNumberFormat="0" applyBorder="0" applyAlignment="0" applyProtection="0"/>
    <xf numFmtId="0" fontId="88" fillId="102" borderId="0" applyNumberFormat="0" applyBorder="0" applyAlignment="0" applyProtection="0"/>
    <xf numFmtId="0" fontId="125" fillId="109" borderId="0" applyNumberFormat="0" applyBorder="0" applyAlignment="0" applyProtection="0"/>
    <xf numFmtId="0" fontId="125" fillId="94" borderId="0" applyNumberFormat="0" applyBorder="0" applyAlignment="0" applyProtection="0"/>
    <xf numFmtId="0" fontId="125" fillId="67" borderId="0" applyNumberFormat="0" applyBorder="0" applyAlignment="0" applyProtection="0"/>
    <xf numFmtId="0" fontId="125" fillId="67" borderId="0" applyNumberFormat="0" applyBorder="0" applyAlignment="0" applyProtection="0"/>
    <xf numFmtId="0" fontId="125" fillId="67" borderId="0" applyNumberFormat="0" applyBorder="0" applyAlignment="0" applyProtection="0"/>
    <xf numFmtId="0" fontId="125" fillId="67" borderId="0" applyNumberFormat="0" applyBorder="0" applyAlignment="0" applyProtection="0"/>
    <xf numFmtId="0" fontId="125" fillId="67" borderId="0" applyNumberFormat="0" applyBorder="0" applyAlignment="0" applyProtection="0"/>
    <xf numFmtId="0" fontId="125" fillId="84" borderId="0" applyNumberFormat="0" applyBorder="0" applyAlignment="0" applyProtection="0"/>
    <xf numFmtId="0" fontId="125" fillId="67" borderId="0" applyNumberFormat="0" applyBorder="0" applyAlignment="0" applyProtection="0"/>
    <xf numFmtId="0" fontId="126" fillId="18" borderId="0" applyNumberFormat="0" applyBorder="0" applyAlignment="0" applyProtection="0"/>
    <xf numFmtId="0" fontId="125" fillId="78" borderId="0" applyNumberFormat="0" applyBorder="0" applyAlignment="0" applyProtection="0"/>
    <xf numFmtId="0" fontId="125" fillId="67" borderId="0" applyNumberFormat="0" applyBorder="0" applyAlignment="0" applyProtection="0"/>
    <xf numFmtId="0" fontId="125" fillId="67" borderId="0" applyNumberFormat="0" applyBorder="0" applyAlignment="0" applyProtection="0"/>
    <xf numFmtId="0" fontId="125" fillId="67" borderId="0" applyNumberFormat="0" applyBorder="0" applyAlignment="0" applyProtection="0"/>
    <xf numFmtId="0" fontId="125" fillId="67" borderId="0" applyNumberFormat="0" applyBorder="0" applyAlignment="0" applyProtection="0"/>
    <xf numFmtId="0" fontId="125" fillId="67" borderId="0" applyNumberFormat="0" applyBorder="0" applyAlignment="0" applyProtection="0"/>
    <xf numFmtId="0" fontId="25" fillId="22" borderId="0" applyNumberFormat="0" applyBorder="0" applyAlignment="0" applyProtection="0"/>
    <xf numFmtId="0" fontId="88" fillId="100" borderId="0" applyNumberFormat="0" applyBorder="0" applyAlignment="0" applyProtection="0"/>
    <xf numFmtId="0" fontId="88" fillId="102" borderId="0" applyNumberFormat="0" applyBorder="0" applyAlignment="0" applyProtection="0"/>
    <xf numFmtId="0" fontId="88" fillId="104" borderId="0" applyNumberFormat="0" applyBorder="0" applyAlignment="0" applyProtection="0"/>
    <xf numFmtId="0" fontId="88" fillId="94" borderId="0" applyNumberFormat="0" applyBorder="0" applyAlignment="0" applyProtection="0"/>
    <xf numFmtId="0" fontId="125" fillId="102" borderId="0" applyNumberFormat="0" applyBorder="0" applyAlignment="0" applyProtection="0"/>
    <xf numFmtId="0" fontId="125" fillId="94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80" borderId="0" applyNumberFormat="0" applyBorder="0" applyAlignment="0" applyProtection="0"/>
    <xf numFmtId="0" fontId="125" fillId="79" borderId="0" applyNumberFormat="0" applyBorder="0" applyAlignment="0" applyProtection="0"/>
    <xf numFmtId="0" fontId="126" fillId="22" borderId="0" applyNumberFormat="0" applyBorder="0" applyAlignment="0" applyProtection="0"/>
    <xf numFmtId="0" fontId="125" fillId="57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25" fillId="26" borderId="0" applyNumberFormat="0" applyBorder="0" applyAlignment="0" applyProtection="0"/>
    <xf numFmtId="0" fontId="88" fillId="107" borderId="0" applyNumberFormat="0" applyBorder="0" applyAlignment="0" applyProtection="0"/>
    <xf numFmtId="0" fontId="88" fillId="93" borderId="0" applyNumberFormat="0" applyBorder="0" applyAlignment="0" applyProtection="0"/>
    <xf numFmtId="0" fontId="88" fillId="95" borderId="0" applyNumberFormat="0" applyBorder="0" applyAlignment="0" applyProtection="0"/>
    <xf numFmtId="0" fontId="125" fillId="96" borderId="0" applyNumberFormat="0" applyBorder="0" applyAlignment="0" applyProtection="0"/>
    <xf numFmtId="0" fontId="125" fillId="95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99" borderId="0" applyNumberFormat="0" applyBorder="0" applyAlignment="0" applyProtection="0"/>
    <xf numFmtId="0" fontId="125" fillId="82" borderId="0" applyNumberFormat="0" applyBorder="0" applyAlignment="0" applyProtection="0"/>
    <xf numFmtId="0" fontId="126" fillId="26" borderId="0" applyNumberFormat="0" applyBorder="0" applyAlignment="0" applyProtection="0"/>
    <xf numFmtId="0" fontId="125" fillId="70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25" fillId="30" borderId="0" applyNumberFormat="0" applyBorder="0" applyAlignment="0" applyProtection="0"/>
    <xf numFmtId="0" fontId="88" fillId="110" borderId="0" applyNumberFormat="0" applyBorder="0" applyAlignment="0" applyProtection="0"/>
    <xf numFmtId="0" fontId="88" fillId="111" borderId="0" applyNumberFormat="0" applyBorder="0" applyAlignment="0" applyProtection="0"/>
    <xf numFmtId="0" fontId="88" fillId="103" borderId="0" applyNumberFormat="0" applyBorder="0" applyAlignment="0" applyProtection="0"/>
    <xf numFmtId="0" fontId="125" fillId="112" borderId="0" applyNumberFormat="0" applyBorder="0" applyAlignment="0" applyProtection="0"/>
    <xf numFmtId="0" fontId="125" fillId="111" borderId="0" applyNumberFormat="0" applyBorder="0" applyAlignment="0" applyProtection="0"/>
    <xf numFmtId="0" fontId="125" fillId="84" borderId="0" applyNumberFormat="0" applyBorder="0" applyAlignment="0" applyProtection="0"/>
    <xf numFmtId="0" fontId="125" fillId="84" borderId="0" applyNumberFormat="0" applyBorder="0" applyAlignment="0" applyProtection="0"/>
    <xf numFmtId="0" fontId="125" fillId="84" borderId="0" applyNumberFormat="0" applyBorder="0" applyAlignment="0" applyProtection="0"/>
    <xf numFmtId="0" fontId="125" fillId="84" borderId="0" applyNumberFormat="0" applyBorder="0" applyAlignment="0" applyProtection="0"/>
    <xf numFmtId="0" fontId="125" fillId="84" borderId="0" applyNumberFormat="0" applyBorder="0" applyAlignment="0" applyProtection="0"/>
    <xf numFmtId="0" fontId="125" fillId="83" borderId="0" applyNumberFormat="0" applyBorder="0" applyAlignment="0" applyProtection="0"/>
    <xf numFmtId="0" fontId="125" fillId="84" borderId="0" applyNumberFormat="0" applyBorder="0" applyAlignment="0" applyProtection="0"/>
    <xf numFmtId="0" fontId="126" fillId="30" borderId="0" applyNumberFormat="0" applyBorder="0" applyAlignment="0" applyProtection="0"/>
    <xf numFmtId="0" fontId="125" fillId="66" borderId="0" applyNumberFormat="0" applyBorder="0" applyAlignment="0" applyProtection="0"/>
    <xf numFmtId="0" fontId="125" fillId="84" borderId="0" applyNumberFormat="0" applyBorder="0" applyAlignment="0" applyProtection="0"/>
    <xf numFmtId="0" fontId="125" fillId="84" borderId="0" applyNumberFormat="0" applyBorder="0" applyAlignment="0" applyProtection="0"/>
    <xf numFmtId="0" fontId="125" fillId="84" borderId="0" applyNumberFormat="0" applyBorder="0" applyAlignment="0" applyProtection="0"/>
    <xf numFmtId="0" fontId="125" fillId="84" borderId="0" applyNumberFormat="0" applyBorder="0" applyAlignment="0" applyProtection="0"/>
    <xf numFmtId="0" fontId="125" fillId="84" borderId="0" applyNumberFormat="0" applyBorder="0" applyAlignment="0" applyProtection="0"/>
    <xf numFmtId="0" fontId="140" fillId="0" borderId="0" applyFont="0" applyFill="0" applyBorder="0" applyAlignment="0" applyProtection="0"/>
    <xf numFmtId="227" fontId="8" fillId="0" borderId="0" applyFont="0" applyFill="0" applyBorder="0" applyAlignment="0" applyProtection="0"/>
    <xf numFmtId="227" fontId="8" fillId="0" borderId="0" applyFont="0" applyFill="0" applyBorder="0" applyAlignment="0" applyProtection="0"/>
    <xf numFmtId="228" fontId="141" fillId="0" borderId="0" applyFont="0" applyFill="0" applyBorder="0" applyAlignment="0" applyProtection="0"/>
    <xf numFmtId="229" fontId="141" fillId="0" borderId="0" applyFont="0" applyFill="0" applyBorder="0" applyAlignment="0" applyProtection="0"/>
    <xf numFmtId="0" fontId="6" fillId="0" borderId="0" applyNumberFormat="0" applyAlignment="0"/>
    <xf numFmtId="188" fontId="6" fillId="0" borderId="0" applyNumberFormat="0" applyAlignment="0"/>
    <xf numFmtId="188" fontId="6" fillId="0" borderId="0" applyNumberFormat="0" applyAlignment="0"/>
    <xf numFmtId="37" fontId="142" fillId="113" borderId="0" applyNumberFormat="0" applyFont="0" applyBorder="0" applyAlignment="0"/>
    <xf numFmtId="230" fontId="8" fillId="88" borderId="47">
      <alignment horizontal="center" vertical="center"/>
    </xf>
    <xf numFmtId="230" fontId="8" fillId="88" borderId="47">
      <alignment horizontal="center" vertical="center"/>
    </xf>
    <xf numFmtId="0" fontId="143" fillId="0" borderId="0" applyNumberFormat="0" applyFill="0" applyBorder="0" applyAlignment="0">
      <protection locked="0"/>
    </xf>
    <xf numFmtId="0" fontId="8" fillId="0" borderId="0"/>
    <xf numFmtId="0" fontId="8" fillId="0" borderId="0"/>
    <xf numFmtId="231" fontId="128" fillId="0" borderId="0" applyFont="0" applyFill="0" applyBorder="0" applyAlignment="0" applyProtection="0"/>
    <xf numFmtId="37" fontId="144" fillId="114" borderId="3" applyBorder="0" applyProtection="0">
      <alignment vertical="center"/>
    </xf>
    <xf numFmtId="0" fontId="89" fillId="0" borderId="0" applyNumberFormat="0" applyFill="0" applyBorder="0" applyAlignment="0" applyProtection="0"/>
    <xf numFmtId="0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0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0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188" fontId="145" fillId="0" borderId="0">
      <alignment horizontal="center" wrapText="1"/>
      <protection locked="0"/>
    </xf>
    <xf numFmtId="3" fontId="146" fillId="0" borderId="0" applyNumberFormat="0" applyFill="0" applyBorder="0" applyAlignment="0" applyProtection="0"/>
    <xf numFmtId="3" fontId="147" fillId="0" borderId="0" applyNumberFormat="0" applyFill="0" applyBorder="0" applyAlignment="0" applyProtection="0"/>
    <xf numFmtId="0" fontId="148" fillId="0" borderId="2">
      <protection hidden="1"/>
    </xf>
    <xf numFmtId="0" fontId="149" fillId="73" borderId="2" applyNumberFormat="0" applyFont="0" applyBorder="0" applyAlignment="0" applyProtection="0">
      <protection hidden="1"/>
    </xf>
    <xf numFmtId="0" fontId="148" fillId="0" borderId="2">
      <protection hidden="1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188" fontId="150" fillId="0" borderId="9">
      <alignment horizontal="center"/>
    </xf>
    <xf numFmtId="232" fontId="8" fillId="0" borderId="0" applyFont="0" applyFill="0" applyBorder="0" applyAlignment="0" applyProtection="0"/>
    <xf numFmtId="2" fontId="151" fillId="115" borderId="0" applyNumberFormat="0" applyFont="0" applyBorder="0" applyAlignment="0" applyProtection="0"/>
    <xf numFmtId="2" fontId="151" fillId="116" borderId="0" applyNumberFormat="0" applyFont="0" applyBorder="0" applyAlignment="0" applyProtection="0"/>
    <xf numFmtId="233" fontId="8" fillId="0" borderId="0" applyFont="0" applyFill="0" applyBorder="0" applyAlignment="0" applyProtection="0"/>
    <xf numFmtId="233" fontId="8" fillId="0" borderId="0" applyFont="0" applyFill="0" applyBorder="0" applyAlignment="0" applyProtection="0"/>
    <xf numFmtId="2" fontId="152" fillId="117" borderId="0">
      <alignment vertical="center"/>
    </xf>
    <xf numFmtId="2" fontId="153" fillId="117" borderId="0">
      <alignment vertical="center"/>
    </xf>
    <xf numFmtId="9" fontId="8" fillId="0" borderId="48" applyNumberFormat="0" applyFont="0" applyFill="0" applyAlignment="0" applyProtection="0"/>
    <xf numFmtId="9" fontId="8" fillId="0" borderId="48" applyNumberFormat="0" applyFont="0" applyFill="0" applyAlignment="0" applyProtection="0"/>
    <xf numFmtId="9" fontId="8" fillId="0" borderId="6" applyNumberFormat="0" applyFont="0" applyFill="0" applyAlignment="0" applyProtection="0"/>
    <xf numFmtId="9" fontId="8" fillId="0" borderId="6" applyNumberFormat="0" applyFont="0" applyFill="0" applyAlignment="0" applyProtection="0"/>
    <xf numFmtId="37" fontId="154" fillId="0" borderId="49" applyNumberFormat="0" applyFont="0" applyFill="0" applyAlignment="0" applyProtection="0">
      <alignment horizontal="centerContinuous"/>
    </xf>
    <xf numFmtId="9" fontId="8" fillId="0" borderId="50" applyNumberFormat="0" applyFont="0" applyFill="0" applyAlignment="0" applyProtection="0"/>
    <xf numFmtId="9" fontId="8" fillId="0" borderId="50" applyNumberFormat="0" applyFont="0" applyFill="0" applyAlignment="0" applyProtection="0"/>
    <xf numFmtId="9" fontId="8" fillId="0" borderId="51" applyNumberFormat="0" applyFont="0" applyFill="0" applyAlignment="0" applyProtection="0"/>
    <xf numFmtId="9" fontId="8" fillId="0" borderId="51" applyNumberFormat="0" applyFont="0" applyFill="0" applyAlignment="0" applyProtection="0"/>
    <xf numFmtId="0" fontId="155" fillId="44" borderId="0"/>
    <xf numFmtId="0" fontId="15" fillId="4" borderId="0" applyNumberFormat="0" applyBorder="0" applyAlignment="0" applyProtection="0"/>
    <xf numFmtId="0" fontId="156" fillId="57" borderId="0" applyNumberFormat="0" applyBorder="0" applyAlignment="0" applyProtection="0"/>
    <xf numFmtId="0" fontId="157" fillId="4" borderId="0" applyNumberFormat="0" applyBorder="0" applyAlignment="0" applyProtection="0"/>
    <xf numFmtId="0" fontId="158" fillId="74" borderId="0" applyNumberFormat="0" applyBorder="0" applyAlignment="0" applyProtection="0"/>
    <xf numFmtId="0" fontId="159" fillId="69" borderId="0" applyNumberFormat="0" applyBorder="0" applyAlignment="0" applyProtection="0"/>
    <xf numFmtId="0" fontId="160" fillId="118" borderId="0">
      <alignment vertical="center"/>
    </xf>
    <xf numFmtId="234" fontId="8" fillId="0" borderId="0"/>
    <xf numFmtId="0" fontId="161" fillId="119" borderId="52"/>
    <xf numFmtId="1" fontId="162" fillId="119" borderId="53">
      <alignment horizontal="center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0" fontId="40" fillId="2" borderId="38" applyNumberFormat="0" applyBorder="0" applyAlignment="0">
      <alignment horizontal="center" vertical="center"/>
      <protection locked="0"/>
    </xf>
    <xf numFmtId="169" fontId="8" fillId="0" borderId="46">
      <alignment vertical="top"/>
      <protection locked="0"/>
    </xf>
    <xf numFmtId="169" fontId="8" fillId="0" borderId="46">
      <alignment vertical="top"/>
      <protection locked="0"/>
    </xf>
    <xf numFmtId="169" fontId="70" fillId="0" borderId="46">
      <alignment vertical="top"/>
    </xf>
    <xf numFmtId="169" fontId="4" fillId="0" borderId="7" applyFont="0" applyFill="0" applyBorder="0" applyAlignment="0">
      <alignment vertical="top"/>
      <protection hidden="1"/>
    </xf>
    <xf numFmtId="0" fontId="66" fillId="0" borderId="0" applyBorder="0">
      <alignment horizontal="left" vertical="top" wrapText="1"/>
      <protection locked="0"/>
    </xf>
    <xf numFmtId="0" fontId="8" fillId="0" borderId="6" applyFill="0" applyBorder="0">
      <alignment horizontal="center"/>
    </xf>
    <xf numFmtId="0" fontId="66" fillId="0" borderId="0" applyBorder="0">
      <alignment vertical="top"/>
      <protection locked="0"/>
    </xf>
    <xf numFmtId="235" fontId="163" fillId="0" borderId="0" applyBorder="0">
      <alignment vertical="top"/>
      <protection locked="0"/>
    </xf>
    <xf numFmtId="1" fontId="66" fillId="73" borderId="0" applyBorder="0">
      <alignment vertical="top"/>
    </xf>
    <xf numFmtId="0" fontId="8" fillId="0" borderId="46" applyNumberFormat="0">
      <alignment horizontal="left" vertical="top" wrapText="1"/>
    </xf>
    <xf numFmtId="0" fontId="8" fillId="0" borderId="46" applyNumberFormat="0">
      <alignment horizontal="left" vertical="top" wrapText="1"/>
    </xf>
    <xf numFmtId="0" fontId="164" fillId="0" borderId="0" applyNumberFormat="0" applyFill="0" applyBorder="0" applyAlignment="0" applyProtection="0"/>
    <xf numFmtId="0" fontId="5" fillId="114" borderId="0" applyNumberFormat="0" applyFill="0" applyBorder="0" applyAlignment="0" applyProtection="0">
      <protection locked="0"/>
    </xf>
    <xf numFmtId="0" fontId="91" fillId="0" borderId="0" applyFont="0" applyFill="0" applyBorder="0" applyAlignment="0" applyProtection="0">
      <alignment horizontal="right"/>
    </xf>
    <xf numFmtId="236" fontId="44" fillId="0" borderId="0" applyFont="0" applyFill="0" applyBorder="0" applyAlignment="0" applyProtection="0"/>
    <xf numFmtId="237" fontId="44" fillId="0" borderId="0" applyFont="0" applyFill="0" applyBorder="0" applyAlignment="0" applyProtection="0"/>
    <xf numFmtId="214" fontId="44" fillId="0" borderId="0" applyFont="0" applyFill="0" applyBorder="0" applyAlignment="0" applyProtection="0"/>
    <xf numFmtId="238" fontId="8" fillId="0" borderId="0" applyFont="0" applyFill="0" applyBorder="0" applyAlignment="0" applyProtection="0"/>
    <xf numFmtId="238" fontId="8" fillId="0" borderId="0" applyFont="0" applyFill="0" applyBorder="0" applyAlignment="0" applyProtection="0"/>
    <xf numFmtId="214" fontId="44" fillId="0" borderId="0" applyFont="0" applyFill="0" applyBorder="0" applyAlignment="0" applyProtection="0"/>
    <xf numFmtId="239" fontId="8" fillId="0" borderId="0" applyFont="0" applyFill="0" applyBorder="0" applyAlignment="0" applyProtection="0"/>
    <xf numFmtId="239" fontId="8" fillId="0" borderId="0" applyFont="0" applyFill="0" applyBorder="0" applyAlignment="0" applyProtection="0"/>
    <xf numFmtId="240" fontId="44" fillId="0" borderId="0" applyFont="0" applyFill="0" applyBorder="0" applyAlignment="0" applyProtection="0"/>
    <xf numFmtId="241" fontId="8" fillId="0" borderId="0" applyFont="0" applyFill="0" applyBorder="0" applyAlignment="0" applyProtection="0"/>
    <xf numFmtId="241" fontId="8" fillId="0" borderId="0" applyFont="0" applyFill="0" applyBorder="0" applyAlignment="0" applyProtection="0"/>
    <xf numFmtId="242" fontId="44" fillId="0" borderId="0" applyFont="0" applyFill="0" applyBorder="0" applyAlignment="0" applyProtection="0"/>
    <xf numFmtId="0" fontId="165" fillId="0" borderId="0" applyNumberFormat="0" applyFill="0" applyBorder="0" applyAlignment="0" applyProtection="0"/>
    <xf numFmtId="243" fontId="166" fillId="0" borderId="0" applyBorder="0" applyProtection="0"/>
    <xf numFmtId="0" fontId="44" fillId="0" borderId="0"/>
    <xf numFmtId="0" fontId="167" fillId="0" borderId="0" applyNumberFormat="0" applyFill="0" applyBorder="0" applyAlignment="0" applyProtection="0"/>
    <xf numFmtId="0" fontId="168" fillId="47" borderId="0" applyBorder="0">
      <alignment horizontal="left" vertical="center" indent="1"/>
    </xf>
    <xf numFmtId="0" fontId="44" fillId="0" borderId="0"/>
    <xf numFmtId="199" fontId="102" fillId="0" borderId="0" applyNumberFormat="0" applyFill="0" applyBorder="0" applyAlignment="0"/>
    <xf numFmtId="37" fontId="40" fillId="0" borderId="54"/>
    <xf numFmtId="0" fontId="169" fillId="0" borderId="6" applyNumberFormat="0" applyFill="0" applyAlignment="0" applyProtection="0"/>
    <xf numFmtId="0" fontId="7" fillId="114" borderId="28" applyNumberFormat="0" applyFill="0" applyBorder="0" applyAlignment="0" applyProtection="0">
      <protection locked="0"/>
    </xf>
    <xf numFmtId="0" fontId="170" fillId="0" borderId="55"/>
    <xf numFmtId="0" fontId="8" fillId="0" borderId="0" applyFont="0" applyFill="0" applyBorder="0" applyProtection="0">
      <alignment horizontal="right"/>
    </xf>
    <xf numFmtId="0" fontId="8" fillId="0" borderId="0" applyFont="0" applyFill="0" applyBorder="0" applyProtection="0">
      <alignment horizontal="right"/>
    </xf>
    <xf numFmtId="0" fontId="47" fillId="114" borderId="56"/>
    <xf numFmtId="0" fontId="47" fillId="44" borderId="56"/>
    <xf numFmtId="1" fontId="64" fillId="0" borderId="0"/>
    <xf numFmtId="1" fontId="64" fillId="0" borderId="0"/>
    <xf numFmtId="1" fontId="64" fillId="0" borderId="0"/>
    <xf numFmtId="1" fontId="64" fillId="0" borderId="0"/>
    <xf numFmtId="1" fontId="64" fillId="0" borderId="0"/>
    <xf numFmtId="0" fontId="145" fillId="0" borderId="27" applyNumberFormat="0" applyFont="0" applyFill="0" applyAlignment="0" applyProtection="0"/>
    <xf numFmtId="0" fontId="145" fillId="0" borderId="57" applyNumberFormat="0" applyFont="0" applyFill="0" applyAlignment="0" applyProtection="0"/>
    <xf numFmtId="244" fontId="171" fillId="0" borderId="43" applyAlignment="0" applyProtection="0"/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245" fontId="172" fillId="0" borderId="58" applyNumberFormat="0" applyFont="0" applyFill="0" applyAlignment="0" applyProtection="0">
      <alignment vertical="center"/>
    </xf>
    <xf numFmtId="0" fontId="173" fillId="0" borderId="59" applyFill="0" applyProtection="0">
      <alignment horizontal="right"/>
    </xf>
    <xf numFmtId="0" fontId="8" fillId="0" borderId="57" applyNumberFormat="0" applyFont="0" applyFill="0" applyAlignment="0" applyProtection="0"/>
    <xf numFmtId="0" fontId="8" fillId="0" borderId="1" applyNumberFormat="0" applyFill="0" applyAlignment="0" applyProtection="0"/>
    <xf numFmtId="0" fontId="174" fillId="90" borderId="0" applyFont="0" applyFill="0" applyBorder="0" applyAlignment="0" applyProtection="0"/>
    <xf numFmtId="246" fontId="44" fillId="0" borderId="0" applyFill="0" applyBorder="0" applyProtection="0"/>
    <xf numFmtId="0" fontId="175" fillId="60" borderId="0" applyNumberFormat="0" applyBorder="0" applyAlignment="0" applyProtection="0"/>
    <xf numFmtId="0" fontId="175" fillId="60" borderId="0" applyNumberFormat="0" applyBorder="0" applyAlignment="0" applyProtection="0"/>
    <xf numFmtId="0" fontId="176" fillId="72" borderId="0" applyNumberFormat="0" applyBorder="0" applyAlignment="0" applyProtection="0"/>
    <xf numFmtId="0" fontId="176" fillId="66" borderId="0" applyNumberFormat="0" applyBorder="0" applyAlignment="0" applyProtection="0"/>
    <xf numFmtId="0" fontId="176" fillId="66" borderId="0" applyNumberFormat="0" applyBorder="0" applyAlignment="0" applyProtection="0"/>
    <xf numFmtId="0" fontId="176" fillId="66" borderId="0" applyNumberFormat="0" applyBorder="0" applyAlignment="0" applyProtection="0"/>
    <xf numFmtId="0" fontId="176" fillId="66" borderId="0" applyNumberFormat="0" applyBorder="0" applyAlignment="0" applyProtection="0"/>
    <xf numFmtId="0" fontId="88" fillId="108" borderId="0" applyNumberFormat="0" applyBorder="0" applyAlignment="0" applyProtection="0"/>
    <xf numFmtId="0" fontId="175" fillId="60" borderId="0" applyNumberFormat="0" applyBorder="0" applyAlignment="0" applyProtection="0"/>
    <xf numFmtId="0" fontId="176" fillId="120" borderId="0" applyNumberFormat="0" applyBorder="0" applyAlignment="0" applyProtection="0"/>
    <xf numFmtId="0" fontId="176" fillId="120" borderId="0" applyNumberFormat="0" applyBorder="0" applyAlignment="0" applyProtection="0"/>
    <xf numFmtId="0" fontId="176" fillId="60" borderId="0" applyNumberFormat="0" applyBorder="0" applyAlignment="0" applyProtection="0"/>
    <xf numFmtId="0" fontId="176" fillId="60" borderId="0" applyNumberFormat="0" applyBorder="0" applyAlignment="0" applyProtection="0"/>
    <xf numFmtId="0" fontId="176" fillId="60" borderId="0" applyNumberFormat="0" applyBorder="0" applyAlignment="0" applyProtection="0"/>
    <xf numFmtId="0" fontId="176" fillId="60" borderId="0" applyNumberFormat="0" applyBorder="0" applyAlignment="0" applyProtection="0"/>
    <xf numFmtId="0" fontId="176" fillId="60" borderId="0" applyNumberFormat="0" applyBorder="0" applyAlignment="0" applyProtection="0"/>
    <xf numFmtId="0" fontId="176" fillId="60" borderId="0" applyNumberFormat="0" applyBorder="0" applyAlignment="0" applyProtection="0"/>
    <xf numFmtId="0" fontId="176" fillId="60" borderId="0" applyNumberFormat="0" applyBorder="0" applyAlignment="0" applyProtection="0"/>
    <xf numFmtId="0" fontId="175" fillId="60" borderId="0" applyNumberFormat="0" applyBorder="0" applyAlignment="0" applyProtection="0"/>
    <xf numFmtId="0" fontId="176" fillId="60" borderId="0" applyNumberFormat="0" applyBorder="0" applyAlignment="0" applyProtection="0"/>
    <xf numFmtId="0" fontId="176" fillId="60" borderId="0" applyNumberFormat="0" applyBorder="0" applyAlignment="0" applyProtection="0"/>
    <xf numFmtId="0" fontId="176" fillId="60" borderId="0" applyNumberFormat="0" applyBorder="0" applyAlignment="0" applyProtection="0"/>
    <xf numFmtId="0" fontId="176" fillId="60" borderId="0" applyNumberFormat="0" applyBorder="0" applyAlignment="0" applyProtection="0"/>
    <xf numFmtId="0" fontId="176" fillId="60" borderId="0" applyNumberFormat="0" applyBorder="0" applyAlignment="0" applyProtection="0"/>
    <xf numFmtId="0" fontId="176" fillId="60" borderId="0" applyNumberFormat="0" applyBorder="0" applyAlignment="0" applyProtection="0"/>
    <xf numFmtId="0" fontId="176" fillId="60" borderId="0" applyNumberFormat="0" applyBorder="0" applyAlignment="0" applyProtection="0"/>
    <xf numFmtId="0" fontId="176" fillId="60" borderId="0" applyNumberFormat="0" applyBorder="0" applyAlignment="0" applyProtection="0"/>
    <xf numFmtId="0" fontId="176" fillId="60" borderId="0" applyNumberFormat="0" applyBorder="0" applyAlignment="0" applyProtection="0"/>
    <xf numFmtId="0" fontId="176" fillId="60" borderId="0" applyNumberFormat="0" applyBorder="0" applyAlignment="0" applyProtection="0"/>
    <xf numFmtId="0" fontId="175" fillId="60" borderId="0" applyNumberFormat="0" applyBorder="0" applyAlignment="0" applyProtection="0"/>
    <xf numFmtId="0" fontId="176" fillId="60" borderId="0" applyNumberFormat="0" applyBorder="0" applyAlignment="0" applyProtection="0"/>
    <xf numFmtId="0" fontId="176" fillId="60" borderId="0" applyNumberFormat="0" applyBorder="0" applyAlignment="0" applyProtection="0"/>
    <xf numFmtId="0" fontId="176" fillId="60" borderId="0" applyNumberFormat="0" applyBorder="0" applyAlignment="0" applyProtection="0"/>
    <xf numFmtId="0" fontId="176" fillId="60" borderId="0" applyNumberFormat="0" applyBorder="0" applyAlignment="0" applyProtection="0"/>
    <xf numFmtId="0" fontId="176" fillId="60" borderId="0" applyNumberFormat="0" applyBorder="0" applyAlignment="0" applyProtection="0"/>
    <xf numFmtId="0" fontId="176" fillId="60" borderId="0" applyNumberFormat="0" applyBorder="0" applyAlignment="0" applyProtection="0"/>
    <xf numFmtId="0" fontId="176" fillId="120" borderId="0" applyNumberFormat="0" applyBorder="0" applyAlignment="0" applyProtection="0"/>
    <xf numFmtId="0" fontId="176" fillId="120" borderId="0" applyNumberFormat="0" applyBorder="0" applyAlignment="0" applyProtection="0"/>
    <xf numFmtId="0" fontId="175" fillId="60" borderId="0" applyNumberFormat="0" applyBorder="0" applyAlignment="0" applyProtection="0"/>
    <xf numFmtId="0" fontId="175" fillId="60" borderId="0" applyNumberFormat="0" applyBorder="0" applyAlignment="0" applyProtection="0"/>
    <xf numFmtId="0" fontId="175" fillId="60" borderId="0" applyNumberFormat="0" applyBorder="0" applyAlignment="0" applyProtection="0"/>
    <xf numFmtId="0" fontId="175" fillId="60" borderId="0" applyNumberFormat="0" applyBorder="0" applyAlignment="0" applyProtection="0"/>
    <xf numFmtId="0" fontId="175" fillId="60" borderId="0" applyNumberFormat="0" applyBorder="0" applyAlignment="0" applyProtection="0"/>
    <xf numFmtId="0" fontId="175" fillId="60" borderId="0" applyNumberFormat="0" applyBorder="0" applyAlignment="0" applyProtection="0"/>
    <xf numFmtId="0" fontId="175" fillId="60" borderId="0" applyNumberFormat="0" applyBorder="0" applyAlignment="0" applyProtection="0"/>
    <xf numFmtId="0" fontId="14" fillId="3" borderId="0" applyNumberFormat="0" applyBorder="0" applyAlignment="0" applyProtection="0"/>
    <xf numFmtId="0" fontId="176" fillId="60" borderId="0" applyNumberFormat="0" applyBorder="0" applyAlignment="0" applyProtection="0"/>
    <xf numFmtId="0" fontId="176" fillId="60" borderId="0" applyNumberFormat="0" applyBorder="0" applyAlignment="0" applyProtection="0"/>
    <xf numFmtId="0" fontId="176" fillId="60" borderId="0" applyNumberFormat="0" applyBorder="0" applyAlignment="0" applyProtection="0"/>
    <xf numFmtId="0" fontId="176" fillId="60" borderId="0" applyNumberFormat="0" applyBorder="0" applyAlignment="0" applyProtection="0"/>
    <xf numFmtId="0" fontId="176" fillId="60" borderId="0" applyNumberFormat="0" applyBorder="0" applyAlignment="0" applyProtection="0"/>
    <xf numFmtId="0" fontId="176" fillId="60" borderId="0" applyNumberFormat="0" applyBorder="0" applyAlignment="0" applyProtection="0"/>
    <xf numFmtId="0" fontId="176" fillId="60" borderId="0" applyNumberFormat="0" applyBorder="0" applyAlignment="0" applyProtection="0"/>
    <xf numFmtId="0" fontId="176" fillId="60" borderId="0" applyNumberFormat="0" applyBorder="0" applyAlignment="0" applyProtection="0"/>
    <xf numFmtId="0" fontId="176" fillId="60" borderId="0" applyNumberFormat="0" applyBorder="0" applyAlignment="0" applyProtection="0"/>
    <xf numFmtId="0" fontId="176" fillId="60" borderId="0" applyNumberFormat="0" applyBorder="0" applyAlignment="0" applyProtection="0"/>
    <xf numFmtId="0" fontId="175" fillId="60" borderId="0" applyNumberFormat="0" applyBorder="0" applyAlignment="0" applyProtection="0"/>
    <xf numFmtId="0" fontId="176" fillId="60" borderId="0" applyNumberFormat="0" applyBorder="0" applyAlignment="0" applyProtection="0"/>
    <xf numFmtId="0" fontId="176" fillId="60" borderId="0" applyNumberFormat="0" applyBorder="0" applyAlignment="0" applyProtection="0"/>
    <xf numFmtId="0" fontId="176" fillId="60" borderId="0" applyNumberFormat="0" applyBorder="0" applyAlignment="0" applyProtection="0"/>
    <xf numFmtId="0" fontId="176" fillId="60" borderId="0" applyNumberFormat="0" applyBorder="0" applyAlignment="0" applyProtection="0"/>
    <xf numFmtId="0" fontId="176" fillId="60" borderId="0" applyNumberFormat="0" applyBorder="0" applyAlignment="0" applyProtection="0"/>
    <xf numFmtId="0" fontId="176" fillId="60" borderId="0" applyNumberFormat="0" applyBorder="0" applyAlignment="0" applyProtection="0"/>
    <xf numFmtId="0" fontId="176" fillId="60" borderId="0" applyNumberFormat="0" applyBorder="0" applyAlignment="0" applyProtection="0"/>
    <xf numFmtId="0" fontId="176" fillId="60" borderId="0" applyNumberFormat="0" applyBorder="0" applyAlignment="0" applyProtection="0"/>
    <xf numFmtId="0" fontId="176" fillId="60" borderId="0" applyNumberFormat="0" applyBorder="0" applyAlignment="0" applyProtection="0"/>
    <xf numFmtId="0" fontId="176" fillId="60" borderId="0" applyNumberFormat="0" applyBorder="0" applyAlignment="0" applyProtection="0"/>
    <xf numFmtId="0" fontId="175" fillId="60" borderId="0" applyNumberFormat="0" applyBorder="0" applyAlignment="0" applyProtection="0"/>
    <xf numFmtId="0" fontId="176" fillId="60" borderId="0" applyNumberFormat="0" applyBorder="0" applyAlignment="0" applyProtection="0"/>
    <xf numFmtId="0" fontId="176" fillId="60" borderId="0" applyNumberFormat="0" applyBorder="0" applyAlignment="0" applyProtection="0"/>
    <xf numFmtId="0" fontId="176" fillId="120" borderId="0" applyNumberFormat="0" applyBorder="0" applyAlignment="0" applyProtection="0"/>
    <xf numFmtId="0" fontId="176" fillId="120" borderId="0" applyNumberFormat="0" applyBorder="0" applyAlignment="0" applyProtection="0"/>
    <xf numFmtId="0" fontId="175" fillId="60" borderId="0" applyNumberFormat="0" applyBorder="0" applyAlignment="0" applyProtection="0"/>
    <xf numFmtId="0" fontId="175" fillId="60" borderId="0" applyNumberFormat="0" applyBorder="0" applyAlignment="0" applyProtection="0"/>
    <xf numFmtId="0" fontId="175" fillId="60" borderId="0" applyNumberFormat="0" applyBorder="0" applyAlignment="0" applyProtection="0"/>
    <xf numFmtId="0" fontId="175" fillId="60" borderId="0" applyNumberFormat="0" applyBorder="0" applyAlignment="0" applyProtection="0"/>
    <xf numFmtId="0" fontId="176" fillId="120" borderId="0" applyNumberFormat="0" applyBorder="0" applyAlignment="0" applyProtection="0"/>
    <xf numFmtId="0" fontId="176" fillId="120" borderId="0" applyNumberFormat="0" applyBorder="0" applyAlignment="0" applyProtection="0"/>
    <xf numFmtId="0" fontId="176" fillId="60" borderId="0" applyNumberFormat="0" applyBorder="0" applyAlignment="0" applyProtection="0"/>
    <xf numFmtId="0" fontId="175" fillId="60" borderId="0" applyNumberFormat="0" applyBorder="0" applyAlignment="0" applyProtection="0"/>
    <xf numFmtId="0" fontId="175" fillId="60" borderId="0" applyNumberFormat="0" applyBorder="0" applyAlignment="0" applyProtection="0"/>
    <xf numFmtId="0" fontId="175" fillId="60" borderId="0" applyNumberFormat="0" applyBorder="0" applyAlignment="0" applyProtection="0"/>
    <xf numFmtId="0" fontId="175" fillId="60" borderId="0" applyNumberFormat="0" applyBorder="0" applyAlignment="0" applyProtection="0"/>
    <xf numFmtId="0" fontId="175" fillId="60" borderId="0" applyNumberFormat="0" applyBorder="0" applyAlignment="0" applyProtection="0"/>
    <xf numFmtId="0" fontId="175" fillId="60" borderId="0" applyNumberFormat="0" applyBorder="0" applyAlignment="0" applyProtection="0"/>
    <xf numFmtId="0" fontId="175" fillId="60" borderId="0" applyNumberFormat="0" applyBorder="0" applyAlignment="0" applyProtection="0"/>
    <xf numFmtId="0" fontId="175" fillId="60" borderId="0" applyNumberFormat="0" applyBorder="0" applyAlignment="0" applyProtection="0"/>
    <xf numFmtId="0" fontId="175" fillId="60" borderId="0" applyNumberFormat="0" applyBorder="0" applyAlignment="0" applyProtection="0"/>
    <xf numFmtId="0" fontId="175" fillId="60" borderId="0" applyNumberFormat="0" applyBorder="0" applyAlignment="0" applyProtection="0"/>
    <xf numFmtId="0" fontId="175" fillId="60" borderId="0" applyNumberFormat="0" applyBorder="0" applyAlignment="0" applyProtection="0"/>
    <xf numFmtId="0" fontId="175" fillId="60" borderId="0" applyNumberFormat="0" applyBorder="0" applyAlignment="0" applyProtection="0"/>
    <xf numFmtId="0" fontId="175" fillId="60" borderId="0" applyNumberFormat="0" applyBorder="0" applyAlignment="0" applyProtection="0"/>
    <xf numFmtId="0" fontId="175" fillId="60" borderId="0" applyNumberFormat="0" applyBorder="0" applyAlignment="0" applyProtection="0"/>
    <xf numFmtId="247" fontId="47" fillId="0" borderId="0" applyFont="0" applyFill="0" applyBorder="0" applyAlignment="0" applyProtection="0"/>
    <xf numFmtId="214" fontId="47" fillId="45" borderId="0"/>
    <xf numFmtId="0" fontId="8" fillId="121" borderId="0"/>
    <xf numFmtId="0" fontId="8" fillId="121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77" fillId="0" borderId="0"/>
    <xf numFmtId="236" fontId="178" fillId="0" borderId="0" applyFont="0" applyFill="0" applyBorder="0" applyAlignment="0" applyProtection="0">
      <alignment horizontal="right"/>
    </xf>
    <xf numFmtId="214" fontId="47" fillId="0" borderId="0"/>
    <xf numFmtId="248" fontId="8" fillId="0" borderId="0" applyNumberFormat="0"/>
    <xf numFmtId="248" fontId="8" fillId="0" borderId="0" applyNumberFormat="0"/>
    <xf numFmtId="214" fontId="179" fillId="0" borderId="0"/>
    <xf numFmtId="248" fontId="8" fillId="0" borderId="0" applyNumberFormat="0"/>
    <xf numFmtId="249" fontId="6" fillId="0" borderId="0" applyFill="0"/>
    <xf numFmtId="249" fontId="6" fillId="0" borderId="0">
      <alignment horizontal="center"/>
    </xf>
    <xf numFmtId="0" fontId="6" fillId="0" borderId="0" applyFill="0">
      <alignment horizontal="center"/>
    </xf>
    <xf numFmtId="249" fontId="109" fillId="0" borderId="60" applyFill="0"/>
    <xf numFmtId="0" fontId="8" fillId="0" borderId="0" applyFont="0" applyAlignment="0"/>
    <xf numFmtId="0" fontId="110" fillId="0" borderId="0" applyFill="0">
      <alignment vertical="top"/>
    </xf>
    <xf numFmtId="0" fontId="109" fillId="0" borderId="0" applyFill="0">
      <alignment horizontal="left" vertical="top"/>
    </xf>
    <xf numFmtId="249" fontId="106" fillId="0" borderId="43" applyFill="0"/>
    <xf numFmtId="0" fontId="8" fillId="0" borderId="0" applyNumberFormat="0" applyFont="0" applyAlignment="0"/>
    <xf numFmtId="0" fontId="110" fillId="0" borderId="0" applyFill="0">
      <alignment wrapText="1"/>
    </xf>
    <xf numFmtId="0" fontId="109" fillId="0" borderId="0" applyFill="0">
      <alignment horizontal="left" vertical="top" wrapText="1"/>
    </xf>
    <xf numFmtId="249" fontId="102" fillId="0" borderId="0" applyFill="0"/>
    <xf numFmtId="0" fontId="180" fillId="0" borderId="0" applyNumberFormat="0" applyFont="0" applyAlignment="0">
      <alignment horizontal="center"/>
    </xf>
    <xf numFmtId="0" fontId="107" fillId="0" borderId="0" applyFill="0">
      <alignment vertical="top" wrapText="1"/>
    </xf>
    <xf numFmtId="0" fontId="106" fillId="0" borderId="0" applyFill="0">
      <alignment horizontal="left" vertical="top" wrapText="1"/>
    </xf>
    <xf numFmtId="249" fontId="8" fillId="0" borderId="0" applyFill="0"/>
    <xf numFmtId="0" fontId="180" fillId="0" borderId="0" applyNumberFormat="0" applyFont="0" applyAlignment="0">
      <alignment horizontal="center"/>
    </xf>
    <xf numFmtId="0" fontId="181" fillId="0" borderId="0" applyFill="0">
      <alignment vertical="center" wrapText="1"/>
    </xf>
    <xf numFmtId="0" fontId="105" fillId="0" borderId="0">
      <alignment horizontal="left" vertical="center" wrapText="1"/>
    </xf>
    <xf numFmtId="249" fontId="3" fillId="0" borderId="0" applyFill="0"/>
    <xf numFmtId="0" fontId="180" fillId="0" borderId="0" applyNumberFormat="0" applyFont="0" applyAlignment="0">
      <alignment horizontal="center"/>
    </xf>
    <xf numFmtId="0" fontId="70" fillId="0" borderId="0" applyFill="0">
      <alignment horizontal="center" vertical="center" wrapText="1"/>
    </xf>
    <xf numFmtId="0" fontId="8" fillId="0" borderId="0" applyFill="0">
      <alignment horizontal="center" vertical="center" wrapText="1"/>
    </xf>
    <xf numFmtId="249" fontId="182" fillId="0" borderId="0" applyFill="0"/>
    <xf numFmtId="0" fontId="180" fillId="0" borderId="0" applyNumberFormat="0" applyFont="0" applyAlignment="0">
      <alignment horizontal="center"/>
    </xf>
    <xf numFmtId="0" fontId="183" fillId="0" borderId="0" applyFill="0">
      <alignment horizontal="center" vertical="center" wrapText="1"/>
    </xf>
    <xf numFmtId="0" fontId="184" fillId="0" borderId="0" applyFill="0">
      <alignment horizontal="center" vertical="center" wrapText="1"/>
    </xf>
    <xf numFmtId="249" fontId="185" fillId="0" borderId="0" applyFill="0"/>
    <xf numFmtId="0" fontId="180" fillId="0" borderId="0" applyNumberFormat="0" applyFont="0" applyAlignment="0">
      <alignment horizontal="center"/>
    </xf>
    <xf numFmtId="0" fontId="186" fillId="0" borderId="0">
      <alignment horizontal="center" wrapText="1"/>
    </xf>
    <xf numFmtId="0" fontId="182" fillId="0" borderId="0" applyFill="0">
      <alignment horizontal="center" wrapText="1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6" fontId="187" fillId="44" borderId="61" applyNumberFormat="0" applyFont="0" applyBorder="0">
      <alignment horizontal="right"/>
    </xf>
    <xf numFmtId="238" fontId="8" fillId="0" borderId="0" applyFont="0" applyFill="0" applyBorder="0" applyAlignment="0" applyProtection="0"/>
    <xf numFmtId="238" fontId="8" fillId="0" borderId="0" applyFont="0" applyFill="0" applyBorder="0" applyAlignment="0" applyProtection="0"/>
    <xf numFmtId="240" fontId="8" fillId="0" borderId="0" applyFont="0" applyFill="0" applyBorder="0" applyAlignment="0" applyProtection="0"/>
    <xf numFmtId="240" fontId="8" fillId="0" borderId="0" applyFont="0" applyFill="0" applyBorder="0" applyAlignment="0" applyProtection="0"/>
    <xf numFmtId="214" fontId="47" fillId="45" borderId="0"/>
    <xf numFmtId="37" fontId="47" fillId="0" borderId="0"/>
    <xf numFmtId="250" fontId="8" fillId="0" borderId="0" applyFont="0" applyFill="0" applyBorder="0" applyAlignment="0" applyProtection="0"/>
    <xf numFmtId="250" fontId="8" fillId="0" borderId="0" applyFont="0" applyFill="0" applyBorder="0" applyAlignment="0" applyProtection="0"/>
    <xf numFmtId="0" fontId="115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189" fillId="0" borderId="0" applyNumberFormat="0" applyFill="0" applyBorder="0" applyAlignment="0" applyProtection="0"/>
    <xf numFmtId="0" fontId="189" fillId="0" borderId="0" applyNumberFormat="0" applyFill="0" applyBorder="0" applyAlignment="0" applyProtection="0"/>
    <xf numFmtId="0" fontId="189" fillId="0" borderId="0" applyNumberFormat="0" applyFill="0" applyBorder="0" applyAlignment="0" applyProtection="0"/>
    <xf numFmtId="37" fontId="190" fillId="50" borderId="0" applyNumberFormat="0" applyFont="0" applyBorder="0" applyAlignment="0"/>
    <xf numFmtId="37" fontId="8" fillId="122" borderId="0" applyNumberFormat="0" applyFont="0" applyBorder="0" applyAlignment="0"/>
    <xf numFmtId="37" fontId="8" fillId="122" borderId="0" applyNumberFormat="0" applyFon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37" fontId="6" fillId="50" borderId="62" applyNumberFormat="0" applyBorder="0" applyAlignment="0"/>
    <xf numFmtId="164" fontId="6" fillId="0" borderId="8" applyNumberFormat="0" applyFont="0" applyFill="0" applyBorder="0" applyAlignment="0" applyProtection="0"/>
    <xf numFmtId="37" fontId="94" fillId="114" borderId="6" applyFill="0" applyBorder="0"/>
    <xf numFmtId="0" fontId="191" fillId="123" borderId="0"/>
    <xf numFmtId="40" fontId="192" fillId="49" borderId="63">
      <alignment horizontal="right" vertical="center"/>
    </xf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1" fontId="8" fillId="0" borderId="0" applyFill="0" applyBorder="0" applyAlignment="0"/>
    <xf numFmtId="252" fontId="64" fillId="0" borderId="0" applyFill="0" applyBorder="0" applyAlignment="0"/>
    <xf numFmtId="188" fontId="193" fillId="0" borderId="0" applyFill="0" applyBorder="0" applyAlignment="0"/>
    <xf numFmtId="188" fontId="193" fillId="0" borderId="0" applyFill="0" applyBorder="0" applyAlignment="0"/>
    <xf numFmtId="188" fontId="193" fillId="0" borderId="0" applyFill="0" applyBorder="0" applyAlignment="0"/>
    <xf numFmtId="188" fontId="193" fillId="0" borderId="0" applyFill="0" applyBorder="0" applyAlignment="0"/>
    <xf numFmtId="188" fontId="193" fillId="0" borderId="0" applyFill="0" applyBorder="0" applyAlignment="0"/>
    <xf numFmtId="188" fontId="193" fillId="0" borderId="0" applyFill="0" applyBorder="0" applyAlignment="0"/>
    <xf numFmtId="188" fontId="193" fillId="0" borderId="0" applyFill="0" applyBorder="0" applyAlignment="0"/>
    <xf numFmtId="188" fontId="193" fillId="0" borderId="0" applyFill="0" applyBorder="0" applyAlignment="0"/>
    <xf numFmtId="188" fontId="193" fillId="0" borderId="0" applyFill="0" applyBorder="0" applyAlignment="0"/>
    <xf numFmtId="188" fontId="193" fillId="0" borderId="0" applyFill="0" applyBorder="0" applyAlignment="0"/>
    <xf numFmtId="188" fontId="193" fillId="0" borderId="0" applyFill="0" applyBorder="0" applyAlignment="0"/>
    <xf numFmtId="253" fontId="64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254" fontId="64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255" fontId="64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256" fontId="64" fillId="0" borderId="0" applyFill="0" applyBorder="0" applyAlignment="0"/>
    <xf numFmtId="188" fontId="193" fillId="0" borderId="0" applyFill="0" applyBorder="0" applyAlignment="0"/>
    <xf numFmtId="188" fontId="193" fillId="0" borderId="0" applyFill="0" applyBorder="0" applyAlignment="0"/>
    <xf numFmtId="188" fontId="193" fillId="0" borderId="0" applyFill="0" applyBorder="0" applyAlignment="0"/>
    <xf numFmtId="188" fontId="193" fillId="0" borderId="0" applyFill="0" applyBorder="0" applyAlignment="0"/>
    <xf numFmtId="188" fontId="193" fillId="0" borderId="0" applyFill="0" applyBorder="0" applyAlignment="0"/>
    <xf numFmtId="188" fontId="193" fillId="0" borderId="0" applyFill="0" applyBorder="0" applyAlignment="0"/>
    <xf numFmtId="188" fontId="193" fillId="0" borderId="0" applyFill="0" applyBorder="0" applyAlignment="0"/>
    <xf numFmtId="188" fontId="193" fillId="0" borderId="0" applyFill="0" applyBorder="0" applyAlignment="0"/>
    <xf numFmtId="188" fontId="193" fillId="0" borderId="0" applyFill="0" applyBorder="0" applyAlignment="0"/>
    <xf numFmtId="188" fontId="193" fillId="0" borderId="0" applyFill="0" applyBorder="0" applyAlignment="0"/>
    <xf numFmtId="188" fontId="193" fillId="0" borderId="0" applyFill="0" applyBorder="0" applyAlignment="0"/>
    <xf numFmtId="257" fontId="64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188" fontId="8" fillId="0" borderId="0" applyFill="0" applyBorder="0" applyAlignment="0"/>
    <xf numFmtId="252" fontId="64" fillId="0" borderId="0" applyFill="0" applyBorder="0" applyAlignment="0"/>
    <xf numFmtId="188" fontId="193" fillId="0" borderId="0" applyFill="0" applyBorder="0" applyAlignment="0"/>
    <xf numFmtId="188" fontId="193" fillId="0" borderId="0" applyFill="0" applyBorder="0" applyAlignment="0"/>
    <xf numFmtId="188" fontId="193" fillId="0" borderId="0" applyFill="0" applyBorder="0" applyAlignment="0"/>
    <xf numFmtId="188" fontId="193" fillId="0" borderId="0" applyFill="0" applyBorder="0" applyAlignment="0"/>
    <xf numFmtId="188" fontId="193" fillId="0" borderId="0" applyFill="0" applyBorder="0" applyAlignment="0"/>
    <xf numFmtId="188" fontId="193" fillId="0" borderId="0" applyFill="0" applyBorder="0" applyAlignment="0"/>
    <xf numFmtId="188" fontId="193" fillId="0" borderId="0" applyFill="0" applyBorder="0" applyAlignment="0"/>
    <xf numFmtId="188" fontId="193" fillId="0" borderId="0" applyFill="0" applyBorder="0" applyAlignment="0"/>
    <xf numFmtId="188" fontId="193" fillId="0" borderId="0" applyFill="0" applyBorder="0" applyAlignment="0"/>
    <xf numFmtId="188" fontId="193" fillId="0" borderId="0" applyFill="0" applyBorder="0" applyAlignment="0"/>
    <xf numFmtId="188" fontId="193" fillId="0" borderId="0" applyFill="0" applyBorder="0" applyAlignment="0"/>
    <xf numFmtId="37" fontId="8" fillId="0" borderId="0">
      <alignment horizontal="center"/>
    </xf>
    <xf numFmtId="2" fontId="8" fillId="113" borderId="0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38" fontId="8" fillId="113" borderId="64"/>
    <xf numFmtId="0" fontId="191" fillId="123" borderId="0"/>
    <xf numFmtId="0" fontId="19" fillId="7" borderId="18" applyNumberFormat="0" applyAlignment="0" applyProtection="0"/>
    <xf numFmtId="0" fontId="194" fillId="73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0" fontId="195" fillId="7" borderId="18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0" fontId="196" fillId="124" borderId="65" applyNumberFormat="0" applyAlignment="0" applyProtection="0"/>
    <xf numFmtId="0" fontId="197" fillId="64" borderId="66" applyNumberFormat="0" applyAlignment="0" applyProtection="0"/>
    <xf numFmtId="173" fontId="8" fillId="125" borderId="0" applyNumberFormat="0" applyFont="0" applyBorder="0" applyAlignment="0"/>
    <xf numFmtId="0" fontId="6" fillId="126" borderId="1">
      <alignment horizontal="center"/>
    </xf>
    <xf numFmtId="0" fontId="198" fillId="73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0" fontId="198" fillId="73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0" fontId="197" fillId="64" borderId="66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0" fontId="199" fillId="124" borderId="31" applyNumberFormat="0" applyAlignment="0" applyProtection="0"/>
    <xf numFmtId="0" fontId="199" fillId="124" borderId="31" applyNumberFormat="0" applyAlignment="0" applyProtection="0"/>
    <xf numFmtId="0" fontId="199" fillId="124" borderId="31" applyNumberFormat="0" applyAlignment="0" applyProtection="0"/>
    <xf numFmtId="0" fontId="199" fillId="124" borderId="31" applyNumberFormat="0" applyAlignment="0" applyProtection="0"/>
    <xf numFmtId="0" fontId="200" fillId="127" borderId="67" applyNumberFormat="0" applyAlignment="0" applyProtection="0"/>
    <xf numFmtId="0" fontId="198" fillId="73" borderId="31" applyNumberFormat="0" applyAlignment="0" applyProtection="0"/>
    <xf numFmtId="0" fontId="201" fillId="128" borderId="31" applyNumberFormat="0" applyAlignment="0" applyProtection="0"/>
    <xf numFmtId="0" fontId="201" fillId="128" borderId="31" applyNumberFormat="0" applyAlignment="0" applyProtection="0"/>
    <xf numFmtId="0" fontId="194" fillId="73" borderId="31" applyNumberFormat="0" applyAlignment="0" applyProtection="0"/>
    <xf numFmtId="0" fontId="194" fillId="73" borderId="31" applyNumberFormat="0" applyAlignment="0" applyProtection="0"/>
    <xf numFmtId="0" fontId="194" fillId="73" borderId="31" applyNumberFormat="0" applyAlignment="0" applyProtection="0"/>
    <xf numFmtId="0" fontId="194" fillId="73" borderId="31" applyNumberFormat="0" applyAlignment="0" applyProtection="0"/>
    <xf numFmtId="0" fontId="194" fillId="73" borderId="31" applyNumberFormat="0" applyAlignment="0" applyProtection="0"/>
    <xf numFmtId="0" fontId="194" fillId="73" borderId="31" applyNumberFormat="0" applyAlignment="0" applyProtection="0"/>
    <xf numFmtId="0" fontId="194" fillId="73" borderId="31" applyNumberFormat="0" applyAlignment="0" applyProtection="0"/>
    <xf numFmtId="0" fontId="198" fillId="73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0" fontId="194" fillId="73" borderId="31" applyNumberFormat="0" applyAlignment="0" applyProtection="0"/>
    <xf numFmtId="0" fontId="194" fillId="73" borderId="31" applyNumberFormat="0" applyAlignment="0" applyProtection="0"/>
    <xf numFmtId="0" fontId="194" fillId="73" borderId="31" applyNumberFormat="0" applyAlignment="0" applyProtection="0"/>
    <xf numFmtId="0" fontId="194" fillId="73" borderId="31" applyNumberFormat="0" applyAlignment="0" applyProtection="0"/>
    <xf numFmtId="0" fontId="194" fillId="73" borderId="31" applyNumberFormat="0" applyAlignment="0" applyProtection="0"/>
    <xf numFmtId="0" fontId="194" fillId="73" borderId="31" applyNumberFormat="0" applyAlignment="0" applyProtection="0"/>
    <xf numFmtId="0" fontId="194" fillId="73" borderId="31" applyNumberFormat="0" applyAlignment="0" applyProtection="0"/>
    <xf numFmtId="0" fontId="194" fillId="73" borderId="31" applyNumberFormat="0" applyAlignment="0" applyProtection="0"/>
    <xf numFmtId="0" fontId="194" fillId="73" borderId="31" applyNumberFormat="0" applyAlignment="0" applyProtection="0"/>
    <xf numFmtId="0" fontId="194" fillId="73" borderId="31" applyNumberFormat="0" applyAlignment="0" applyProtection="0"/>
    <xf numFmtId="0" fontId="198" fillId="73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0" fontId="194" fillId="73" borderId="31" applyNumberFormat="0" applyAlignment="0" applyProtection="0"/>
    <xf numFmtId="0" fontId="194" fillId="73" borderId="31" applyNumberFormat="0" applyAlignment="0" applyProtection="0"/>
    <xf numFmtId="0" fontId="194" fillId="73" borderId="31" applyNumberFormat="0" applyAlignment="0" applyProtection="0"/>
    <xf numFmtId="0" fontId="194" fillId="73" borderId="31" applyNumberFormat="0" applyAlignment="0" applyProtection="0"/>
    <xf numFmtId="0" fontId="194" fillId="73" borderId="31" applyNumberFormat="0" applyAlignment="0" applyProtection="0"/>
    <xf numFmtId="0" fontId="194" fillId="73" borderId="31" applyNumberFormat="0" applyAlignment="0" applyProtection="0"/>
    <xf numFmtId="0" fontId="201" fillId="128" borderId="31" applyNumberFormat="0" applyAlignment="0" applyProtection="0"/>
    <xf numFmtId="0" fontId="201" fillId="128" borderId="31" applyNumberFormat="0" applyAlignment="0" applyProtection="0"/>
    <xf numFmtId="0" fontId="198" fillId="73" borderId="31" applyNumberFormat="0" applyAlignment="0" applyProtection="0"/>
    <xf numFmtId="0" fontId="198" fillId="73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0" fontId="198" fillId="73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0" fontId="198" fillId="73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0" fontId="198" fillId="73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0" fontId="198" fillId="73" borderId="31" applyNumberFormat="0" applyAlignment="0" applyProtection="0"/>
    <xf numFmtId="0" fontId="198" fillId="73" borderId="31" applyNumberFormat="0" applyAlignment="0" applyProtection="0"/>
    <xf numFmtId="0" fontId="19" fillId="7" borderId="18" applyNumberFormat="0" applyAlignment="0" applyProtection="0"/>
    <xf numFmtId="0" fontId="194" fillId="73" borderId="31" applyNumberFormat="0" applyAlignment="0" applyProtection="0"/>
    <xf numFmtId="0" fontId="194" fillId="73" borderId="31" applyNumberFormat="0" applyAlignment="0" applyProtection="0"/>
    <xf numFmtId="0" fontId="194" fillId="73" borderId="31" applyNumberFormat="0" applyAlignment="0" applyProtection="0"/>
    <xf numFmtId="0" fontId="194" fillId="73" borderId="31" applyNumberFormat="0" applyAlignment="0" applyProtection="0"/>
    <xf numFmtId="0" fontId="194" fillId="73" borderId="31" applyNumberFormat="0" applyAlignment="0" applyProtection="0"/>
    <xf numFmtId="0" fontId="194" fillId="73" borderId="31" applyNumberFormat="0" applyAlignment="0" applyProtection="0"/>
    <xf numFmtId="0" fontId="194" fillId="73" borderId="31" applyNumberFormat="0" applyAlignment="0" applyProtection="0"/>
    <xf numFmtId="0" fontId="194" fillId="73" borderId="31" applyNumberFormat="0" applyAlignment="0" applyProtection="0"/>
    <xf numFmtId="0" fontId="194" fillId="73" borderId="31" applyNumberFormat="0" applyAlignment="0" applyProtection="0"/>
    <xf numFmtId="0" fontId="194" fillId="73" borderId="31" applyNumberFormat="0" applyAlignment="0" applyProtection="0"/>
    <xf numFmtId="0" fontId="198" fillId="73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0" fontId="194" fillId="73" borderId="31" applyNumberFormat="0" applyAlignment="0" applyProtection="0"/>
    <xf numFmtId="0" fontId="194" fillId="73" borderId="31" applyNumberFormat="0" applyAlignment="0" applyProtection="0"/>
    <xf numFmtId="0" fontId="194" fillId="73" borderId="31" applyNumberFormat="0" applyAlignment="0" applyProtection="0"/>
    <xf numFmtId="0" fontId="194" fillId="73" borderId="31" applyNumberFormat="0" applyAlignment="0" applyProtection="0"/>
    <xf numFmtId="0" fontId="194" fillId="73" borderId="31" applyNumberFormat="0" applyAlignment="0" applyProtection="0"/>
    <xf numFmtId="0" fontId="194" fillId="73" borderId="31" applyNumberFormat="0" applyAlignment="0" applyProtection="0"/>
    <xf numFmtId="0" fontId="194" fillId="73" borderId="31" applyNumberFormat="0" applyAlignment="0" applyProtection="0"/>
    <xf numFmtId="0" fontId="194" fillId="73" borderId="31" applyNumberFormat="0" applyAlignment="0" applyProtection="0"/>
    <xf numFmtId="0" fontId="194" fillId="73" borderId="31" applyNumberFormat="0" applyAlignment="0" applyProtection="0"/>
    <xf numFmtId="0" fontId="194" fillId="73" borderId="31" applyNumberFormat="0" applyAlignment="0" applyProtection="0"/>
    <xf numFmtId="0" fontId="198" fillId="73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0" fontId="194" fillId="73" borderId="31" applyNumberFormat="0" applyAlignment="0" applyProtection="0"/>
    <xf numFmtId="0" fontId="194" fillId="73" borderId="31" applyNumberFormat="0" applyAlignment="0" applyProtection="0"/>
    <xf numFmtId="0" fontId="201" fillId="128" borderId="31" applyNumberFormat="0" applyAlignment="0" applyProtection="0"/>
    <xf numFmtId="0" fontId="201" fillId="128" borderId="31" applyNumberFormat="0" applyAlignment="0" applyProtection="0"/>
    <xf numFmtId="0" fontId="198" fillId="73" borderId="31" applyNumberFormat="0" applyAlignment="0" applyProtection="0"/>
    <xf numFmtId="0" fontId="198" fillId="73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0" fontId="198" fillId="73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0" fontId="198" fillId="73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0" fontId="201" fillId="128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0" fontId="201" fillId="128" borderId="31" applyNumberFormat="0" applyAlignment="0" applyProtection="0"/>
    <xf numFmtId="0" fontId="194" fillId="73" borderId="31" applyNumberFormat="0" applyAlignment="0" applyProtection="0"/>
    <xf numFmtId="0" fontId="198" fillId="73" borderId="31" applyNumberFormat="0" applyAlignment="0" applyProtection="0"/>
    <xf numFmtId="0" fontId="198" fillId="73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0" fontId="198" fillId="73" borderId="31" applyNumberFormat="0" applyAlignment="0" applyProtection="0"/>
    <xf numFmtId="0" fontId="198" fillId="73" borderId="31" applyNumberFormat="0" applyAlignment="0" applyProtection="0"/>
    <xf numFmtId="188" fontId="194" fillId="124" borderId="31" applyNumberFormat="0" applyAlignment="0" applyProtection="0"/>
    <xf numFmtId="0" fontId="198" fillId="73" borderId="31" applyNumberFormat="0" applyAlignment="0" applyProtection="0"/>
    <xf numFmtId="0" fontId="198" fillId="73" borderId="31" applyNumberFormat="0" applyAlignment="0" applyProtection="0"/>
    <xf numFmtId="188" fontId="194" fillId="73" borderId="31" applyNumberFormat="0" applyAlignment="0" applyProtection="0"/>
    <xf numFmtId="188" fontId="194" fillId="73" borderId="31" applyNumberFormat="0" applyAlignment="0" applyProtection="0"/>
    <xf numFmtId="188" fontId="194" fillId="73" borderId="31" applyNumberFormat="0" applyAlignment="0" applyProtection="0"/>
    <xf numFmtId="0" fontId="198" fillId="73" borderId="31" applyNumberFormat="0" applyAlignment="0" applyProtection="0"/>
    <xf numFmtId="0" fontId="198" fillId="73" borderId="31" applyNumberFormat="0" applyAlignment="0" applyProtection="0"/>
    <xf numFmtId="188" fontId="194" fillId="73" borderId="31" applyNumberFormat="0" applyAlignment="0" applyProtection="0"/>
    <xf numFmtId="0" fontId="198" fillId="73" borderId="31" applyNumberFormat="0" applyAlignment="0" applyProtection="0"/>
    <xf numFmtId="0" fontId="198" fillId="73" borderId="31" applyNumberFormat="0" applyAlignment="0" applyProtection="0"/>
    <xf numFmtId="188" fontId="194" fillId="73" borderId="31" applyNumberFormat="0" applyAlignment="0" applyProtection="0"/>
    <xf numFmtId="188" fontId="194" fillId="73" borderId="31" applyNumberFormat="0" applyAlignment="0" applyProtection="0"/>
    <xf numFmtId="188" fontId="194" fillId="73" borderId="31" applyNumberFormat="0" applyAlignment="0" applyProtection="0"/>
    <xf numFmtId="188" fontId="194" fillId="73" borderId="31" applyNumberFormat="0" applyAlignment="0" applyProtection="0"/>
    <xf numFmtId="188" fontId="194" fillId="73" borderId="31" applyNumberFormat="0" applyAlignment="0" applyProtection="0"/>
    <xf numFmtId="188" fontId="194" fillId="73" borderId="31" applyNumberFormat="0" applyAlignment="0" applyProtection="0"/>
    <xf numFmtId="0" fontId="198" fillId="73" borderId="31" applyNumberFormat="0" applyAlignment="0" applyProtection="0"/>
    <xf numFmtId="0" fontId="198" fillId="73" borderId="31" applyNumberFormat="0" applyAlignment="0" applyProtection="0"/>
    <xf numFmtId="188" fontId="194" fillId="73" borderId="31" applyNumberFormat="0" applyAlignment="0" applyProtection="0"/>
    <xf numFmtId="188" fontId="194" fillId="73" borderId="31" applyNumberFormat="0" applyAlignment="0" applyProtection="0"/>
    <xf numFmtId="188" fontId="194" fillId="73" borderId="31" applyNumberFormat="0" applyAlignment="0" applyProtection="0"/>
    <xf numFmtId="188" fontId="194" fillId="73" borderId="31" applyNumberFormat="0" applyAlignment="0" applyProtection="0"/>
    <xf numFmtId="188" fontId="194" fillId="73" borderId="31" applyNumberFormat="0" applyAlignment="0" applyProtection="0"/>
    <xf numFmtId="188" fontId="194" fillId="73" borderId="31" applyNumberFormat="0" applyAlignment="0" applyProtection="0"/>
    <xf numFmtId="0" fontId="198" fillId="73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0" fontId="198" fillId="73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188" fontId="194" fillId="124" borderId="31" applyNumberFormat="0" applyAlignment="0" applyProtection="0"/>
    <xf numFmtId="0" fontId="202" fillId="113" borderId="3" applyBorder="0"/>
    <xf numFmtId="0" fontId="63" fillId="0" borderId="0"/>
    <xf numFmtId="0" fontId="63" fillId="0" borderId="0"/>
    <xf numFmtId="0" fontId="203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54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8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51" fillId="0" borderId="0"/>
    <xf numFmtId="40" fontId="63" fillId="0" borderId="0" applyFont="0" applyFill="0" applyBorder="0" applyAlignment="0" applyProtection="0"/>
    <xf numFmtId="200" fontId="145" fillId="129" borderId="0" applyNumberFormat="0" applyFont="0" applyBorder="0" applyAlignment="0"/>
    <xf numFmtId="0" fontId="204" fillId="0" borderId="0"/>
    <xf numFmtId="258" fontId="6" fillId="0" borderId="0" applyFont="0"/>
    <xf numFmtId="0" fontId="205" fillId="130" borderId="68" applyNumberFormat="0" applyAlignment="0" applyProtection="0"/>
    <xf numFmtId="0" fontId="205" fillId="130" borderId="68" applyNumberFormat="0" applyAlignment="0" applyProtection="0"/>
    <xf numFmtId="0" fontId="206" fillId="130" borderId="69" applyNumberFormat="0" applyAlignment="0" applyProtection="0"/>
    <xf numFmtId="0" fontId="206" fillId="130" borderId="68" applyNumberFormat="0" applyAlignment="0" applyProtection="0"/>
    <xf numFmtId="0" fontId="206" fillId="130" borderId="68" applyNumberFormat="0" applyAlignment="0" applyProtection="0"/>
    <xf numFmtId="0" fontId="206" fillId="130" borderId="68" applyNumberFormat="0" applyAlignment="0" applyProtection="0"/>
    <xf numFmtId="0" fontId="206" fillId="130" borderId="68" applyNumberFormat="0" applyAlignment="0" applyProtection="0"/>
    <xf numFmtId="0" fontId="206" fillId="131" borderId="68" applyNumberFormat="0" applyAlignment="0" applyProtection="0"/>
    <xf numFmtId="0" fontId="205" fillId="130" borderId="68" applyNumberFormat="0" applyAlignment="0" applyProtection="0"/>
    <xf numFmtId="0" fontId="206" fillId="104" borderId="68" applyNumberFormat="0" applyAlignment="0" applyProtection="0"/>
    <xf numFmtId="0" fontId="206" fillId="104" borderId="68" applyNumberFormat="0" applyAlignment="0" applyProtection="0"/>
    <xf numFmtId="0" fontId="206" fillId="130" borderId="68" applyNumberFormat="0" applyAlignment="0" applyProtection="0"/>
    <xf numFmtId="0" fontId="206" fillId="130" borderId="68" applyNumberFormat="0" applyAlignment="0" applyProtection="0"/>
    <xf numFmtId="0" fontId="206" fillId="130" borderId="68" applyNumberFormat="0" applyAlignment="0" applyProtection="0"/>
    <xf numFmtId="0" fontId="206" fillId="130" borderId="68" applyNumberFormat="0" applyAlignment="0" applyProtection="0"/>
    <xf numFmtId="0" fontId="206" fillId="130" borderId="68" applyNumberFormat="0" applyAlignment="0" applyProtection="0"/>
    <xf numFmtId="0" fontId="206" fillId="130" borderId="68" applyNumberFormat="0" applyAlignment="0" applyProtection="0"/>
    <xf numFmtId="0" fontId="206" fillId="130" borderId="68" applyNumberFormat="0" applyAlignment="0" applyProtection="0"/>
    <xf numFmtId="0" fontId="205" fillId="130" borderId="68" applyNumberFormat="0" applyAlignment="0" applyProtection="0"/>
    <xf numFmtId="0" fontId="206" fillId="130" borderId="68" applyNumberFormat="0" applyAlignment="0" applyProtection="0"/>
    <xf numFmtId="0" fontId="206" fillId="130" borderId="68" applyNumberFormat="0" applyAlignment="0" applyProtection="0"/>
    <xf numFmtId="0" fontId="206" fillId="130" borderId="68" applyNumberFormat="0" applyAlignment="0" applyProtection="0"/>
    <xf numFmtId="0" fontId="206" fillId="130" borderId="68" applyNumberFormat="0" applyAlignment="0" applyProtection="0"/>
    <xf numFmtId="0" fontId="206" fillId="130" borderId="68" applyNumberFormat="0" applyAlignment="0" applyProtection="0"/>
    <xf numFmtId="0" fontId="206" fillId="130" borderId="68" applyNumberFormat="0" applyAlignment="0" applyProtection="0"/>
    <xf numFmtId="0" fontId="206" fillId="130" borderId="68" applyNumberFormat="0" applyAlignment="0" applyProtection="0"/>
    <xf numFmtId="0" fontId="206" fillId="130" borderId="68" applyNumberFormat="0" applyAlignment="0" applyProtection="0"/>
    <xf numFmtId="0" fontId="206" fillId="130" borderId="68" applyNumberFormat="0" applyAlignment="0" applyProtection="0"/>
    <xf numFmtId="0" fontId="206" fillId="130" borderId="68" applyNumberFormat="0" applyAlignment="0" applyProtection="0"/>
    <xf numFmtId="0" fontId="205" fillId="130" borderId="68" applyNumberFormat="0" applyAlignment="0" applyProtection="0"/>
    <xf numFmtId="0" fontId="206" fillId="130" borderId="68" applyNumberFormat="0" applyAlignment="0" applyProtection="0"/>
    <xf numFmtId="0" fontId="206" fillId="130" borderId="68" applyNumberFormat="0" applyAlignment="0" applyProtection="0"/>
    <xf numFmtId="0" fontId="206" fillId="130" borderId="68" applyNumberFormat="0" applyAlignment="0" applyProtection="0"/>
    <xf numFmtId="0" fontId="206" fillId="130" borderId="68" applyNumberFormat="0" applyAlignment="0" applyProtection="0"/>
    <xf numFmtId="0" fontId="206" fillId="130" borderId="68" applyNumberFormat="0" applyAlignment="0" applyProtection="0"/>
    <xf numFmtId="0" fontId="206" fillId="130" borderId="68" applyNumberFormat="0" applyAlignment="0" applyProtection="0"/>
    <xf numFmtId="0" fontId="206" fillId="104" borderId="68" applyNumberFormat="0" applyAlignment="0" applyProtection="0"/>
    <xf numFmtId="0" fontId="206" fillId="104" borderId="68" applyNumberFormat="0" applyAlignment="0" applyProtection="0"/>
    <xf numFmtId="0" fontId="205" fillId="130" borderId="68" applyNumberFormat="0" applyAlignment="0" applyProtection="0"/>
    <xf numFmtId="0" fontId="205" fillId="130" borderId="68" applyNumberFormat="0" applyAlignment="0" applyProtection="0"/>
    <xf numFmtId="0" fontId="205" fillId="130" borderId="68" applyNumberFormat="0" applyAlignment="0" applyProtection="0"/>
    <xf numFmtId="0" fontId="205" fillId="130" borderId="68" applyNumberFormat="0" applyAlignment="0" applyProtection="0"/>
    <xf numFmtId="0" fontId="205" fillId="130" borderId="68" applyNumberFormat="0" applyAlignment="0" applyProtection="0"/>
    <xf numFmtId="0" fontId="205" fillId="130" borderId="68" applyNumberFormat="0" applyAlignment="0" applyProtection="0"/>
    <xf numFmtId="0" fontId="205" fillId="130" borderId="68" applyNumberFormat="0" applyAlignment="0" applyProtection="0"/>
    <xf numFmtId="0" fontId="21" fillId="8" borderId="21" applyNumberFormat="0" applyAlignment="0" applyProtection="0"/>
    <xf numFmtId="0" fontId="206" fillId="130" borderId="68" applyNumberFormat="0" applyAlignment="0" applyProtection="0"/>
    <xf numFmtId="0" fontId="206" fillId="130" borderId="68" applyNumberFormat="0" applyAlignment="0" applyProtection="0"/>
    <xf numFmtId="0" fontId="206" fillId="130" borderId="68" applyNumberFormat="0" applyAlignment="0" applyProtection="0"/>
    <xf numFmtId="0" fontId="206" fillId="130" borderId="68" applyNumberFormat="0" applyAlignment="0" applyProtection="0"/>
    <xf numFmtId="0" fontId="206" fillId="130" borderId="68" applyNumberFormat="0" applyAlignment="0" applyProtection="0"/>
    <xf numFmtId="0" fontId="206" fillId="130" borderId="68" applyNumberFormat="0" applyAlignment="0" applyProtection="0"/>
    <xf numFmtId="0" fontId="206" fillId="130" borderId="68" applyNumberFormat="0" applyAlignment="0" applyProtection="0"/>
    <xf numFmtId="0" fontId="206" fillId="130" borderId="68" applyNumberFormat="0" applyAlignment="0" applyProtection="0"/>
    <xf numFmtId="0" fontId="206" fillId="130" borderId="68" applyNumberFormat="0" applyAlignment="0" applyProtection="0"/>
    <xf numFmtId="0" fontId="206" fillId="130" borderId="68" applyNumberFormat="0" applyAlignment="0" applyProtection="0"/>
    <xf numFmtId="0" fontId="205" fillId="130" borderId="68" applyNumberFormat="0" applyAlignment="0" applyProtection="0"/>
    <xf numFmtId="0" fontId="206" fillId="130" borderId="68" applyNumberFormat="0" applyAlignment="0" applyProtection="0"/>
    <xf numFmtId="0" fontId="206" fillId="130" borderId="68" applyNumberFormat="0" applyAlignment="0" applyProtection="0"/>
    <xf numFmtId="0" fontId="206" fillId="130" borderId="68" applyNumberFormat="0" applyAlignment="0" applyProtection="0"/>
    <xf numFmtId="0" fontId="206" fillId="130" borderId="68" applyNumberFormat="0" applyAlignment="0" applyProtection="0"/>
    <xf numFmtId="0" fontId="206" fillId="130" borderId="68" applyNumberFormat="0" applyAlignment="0" applyProtection="0"/>
    <xf numFmtId="0" fontId="206" fillId="130" borderId="68" applyNumberFormat="0" applyAlignment="0" applyProtection="0"/>
    <xf numFmtId="0" fontId="206" fillId="130" borderId="68" applyNumberFormat="0" applyAlignment="0" applyProtection="0"/>
    <xf numFmtId="0" fontId="206" fillId="130" borderId="68" applyNumberFormat="0" applyAlignment="0" applyProtection="0"/>
    <xf numFmtId="0" fontId="206" fillId="130" borderId="68" applyNumberFormat="0" applyAlignment="0" applyProtection="0"/>
    <xf numFmtId="0" fontId="206" fillId="130" borderId="68" applyNumberFormat="0" applyAlignment="0" applyProtection="0"/>
    <xf numFmtId="0" fontId="205" fillId="130" borderId="68" applyNumberFormat="0" applyAlignment="0" applyProtection="0"/>
    <xf numFmtId="0" fontId="206" fillId="130" borderId="68" applyNumberFormat="0" applyAlignment="0" applyProtection="0"/>
    <xf numFmtId="0" fontId="206" fillId="130" borderId="68" applyNumberFormat="0" applyAlignment="0" applyProtection="0"/>
    <xf numFmtId="0" fontId="206" fillId="104" borderId="68" applyNumberFormat="0" applyAlignment="0" applyProtection="0"/>
    <xf numFmtId="0" fontId="206" fillId="104" borderId="68" applyNumberFormat="0" applyAlignment="0" applyProtection="0"/>
    <xf numFmtId="0" fontId="205" fillId="130" borderId="68" applyNumberFormat="0" applyAlignment="0" applyProtection="0"/>
    <xf numFmtId="0" fontId="205" fillId="130" borderId="68" applyNumberFormat="0" applyAlignment="0" applyProtection="0"/>
    <xf numFmtId="0" fontId="205" fillId="130" borderId="68" applyNumberFormat="0" applyAlignment="0" applyProtection="0"/>
    <xf numFmtId="0" fontId="205" fillId="130" borderId="68" applyNumberFormat="0" applyAlignment="0" applyProtection="0"/>
    <xf numFmtId="0" fontId="206" fillId="104" borderId="68" applyNumberFormat="0" applyAlignment="0" applyProtection="0"/>
    <xf numFmtId="0" fontId="206" fillId="104" borderId="68" applyNumberFormat="0" applyAlignment="0" applyProtection="0"/>
    <xf numFmtId="0" fontId="206" fillId="130" borderId="68" applyNumberFormat="0" applyAlignment="0" applyProtection="0"/>
    <xf numFmtId="0" fontId="205" fillId="130" borderId="68" applyNumberFormat="0" applyAlignment="0" applyProtection="0"/>
    <xf numFmtId="0" fontId="205" fillId="130" borderId="68" applyNumberFormat="0" applyAlignment="0" applyProtection="0"/>
    <xf numFmtId="0" fontId="205" fillId="130" borderId="68" applyNumberFormat="0" applyAlignment="0" applyProtection="0"/>
    <xf numFmtId="0" fontId="205" fillId="130" borderId="68" applyNumberFormat="0" applyAlignment="0" applyProtection="0"/>
    <xf numFmtId="0" fontId="205" fillId="130" borderId="68" applyNumberFormat="0" applyAlignment="0" applyProtection="0"/>
    <xf numFmtId="0" fontId="205" fillId="130" borderId="68" applyNumberFormat="0" applyAlignment="0" applyProtection="0"/>
    <xf numFmtId="0" fontId="205" fillId="130" borderId="68" applyNumberFormat="0" applyAlignment="0" applyProtection="0"/>
    <xf numFmtId="0" fontId="205" fillId="130" borderId="68" applyNumberFormat="0" applyAlignment="0" applyProtection="0"/>
    <xf numFmtId="0" fontId="205" fillId="130" borderId="68" applyNumberFormat="0" applyAlignment="0" applyProtection="0"/>
    <xf numFmtId="0" fontId="205" fillId="130" borderId="68" applyNumberFormat="0" applyAlignment="0" applyProtection="0"/>
    <xf numFmtId="0" fontId="205" fillId="130" borderId="68" applyNumberFormat="0" applyAlignment="0" applyProtection="0"/>
    <xf numFmtId="0" fontId="205" fillId="130" borderId="68" applyNumberFormat="0" applyAlignment="0" applyProtection="0"/>
    <xf numFmtId="0" fontId="205" fillId="130" borderId="68" applyNumberFormat="0" applyAlignment="0" applyProtection="0"/>
    <xf numFmtId="0" fontId="205" fillId="130" borderId="68" applyNumberFormat="0" applyAlignment="0" applyProtection="0"/>
    <xf numFmtId="0" fontId="207" fillId="0" borderId="70" applyNumberFormat="0" applyFill="0" applyAlignment="0" applyProtection="0"/>
    <xf numFmtId="0" fontId="207" fillId="0" borderId="70" applyNumberFormat="0" applyFill="0" applyAlignment="0" applyProtection="0"/>
    <xf numFmtId="0" fontId="208" fillId="0" borderId="71" applyNumberFormat="0" applyFill="0" applyAlignment="0" applyProtection="0"/>
    <xf numFmtId="0" fontId="209" fillId="0" borderId="72" applyNumberFormat="0" applyFill="0" applyAlignment="0" applyProtection="0"/>
    <xf numFmtId="0" fontId="209" fillId="0" borderId="72" applyNumberFormat="0" applyFill="0" applyAlignment="0" applyProtection="0"/>
    <xf numFmtId="0" fontId="209" fillId="0" borderId="72" applyNumberFormat="0" applyFill="0" applyAlignment="0" applyProtection="0"/>
    <xf numFmtId="0" fontId="209" fillId="0" borderId="72" applyNumberFormat="0" applyFill="0" applyAlignment="0" applyProtection="0"/>
    <xf numFmtId="0" fontId="176" fillId="0" borderId="73" applyNumberFormat="0" applyFill="0" applyAlignment="0" applyProtection="0"/>
    <xf numFmtId="0" fontId="207" fillId="0" borderId="70" applyNumberFormat="0" applyFill="0" applyAlignment="0" applyProtection="0"/>
    <xf numFmtId="0" fontId="210" fillId="0" borderId="70" applyNumberFormat="0" applyFill="0" applyAlignment="0" applyProtection="0"/>
    <xf numFmtId="0" fontId="210" fillId="0" borderId="70" applyNumberFormat="0" applyFill="0" applyAlignment="0" applyProtection="0"/>
    <xf numFmtId="0" fontId="211" fillId="0" borderId="70" applyNumberFormat="0" applyFill="0" applyAlignment="0" applyProtection="0"/>
    <xf numFmtId="0" fontId="211" fillId="0" borderId="70" applyNumberFormat="0" applyFill="0" applyAlignment="0" applyProtection="0"/>
    <xf numFmtId="0" fontId="211" fillId="0" borderId="70" applyNumberFormat="0" applyFill="0" applyAlignment="0" applyProtection="0"/>
    <xf numFmtId="0" fontId="211" fillId="0" borderId="70" applyNumberFormat="0" applyFill="0" applyAlignment="0" applyProtection="0"/>
    <xf numFmtId="0" fontId="211" fillId="0" borderId="70" applyNumberFormat="0" applyFill="0" applyAlignment="0" applyProtection="0"/>
    <xf numFmtId="0" fontId="211" fillId="0" borderId="70" applyNumberFormat="0" applyFill="0" applyAlignment="0" applyProtection="0"/>
    <xf numFmtId="0" fontId="211" fillId="0" borderId="70" applyNumberFormat="0" applyFill="0" applyAlignment="0" applyProtection="0"/>
    <xf numFmtId="0" fontId="207" fillId="0" borderId="70" applyNumberFormat="0" applyFill="0" applyAlignment="0" applyProtection="0"/>
    <xf numFmtId="0" fontId="211" fillId="0" borderId="70" applyNumberFormat="0" applyFill="0" applyAlignment="0" applyProtection="0"/>
    <xf numFmtId="0" fontId="211" fillId="0" borderId="70" applyNumberFormat="0" applyFill="0" applyAlignment="0" applyProtection="0"/>
    <xf numFmtId="0" fontId="211" fillId="0" borderId="70" applyNumberFormat="0" applyFill="0" applyAlignment="0" applyProtection="0"/>
    <xf numFmtId="0" fontId="211" fillId="0" borderId="70" applyNumberFormat="0" applyFill="0" applyAlignment="0" applyProtection="0"/>
    <xf numFmtId="0" fontId="211" fillId="0" borderId="70" applyNumberFormat="0" applyFill="0" applyAlignment="0" applyProtection="0"/>
    <xf numFmtId="0" fontId="211" fillId="0" borderId="70" applyNumberFormat="0" applyFill="0" applyAlignment="0" applyProtection="0"/>
    <xf numFmtId="0" fontId="211" fillId="0" borderId="70" applyNumberFormat="0" applyFill="0" applyAlignment="0" applyProtection="0"/>
    <xf numFmtId="0" fontId="211" fillId="0" borderId="70" applyNumberFormat="0" applyFill="0" applyAlignment="0" applyProtection="0"/>
    <xf numFmtId="0" fontId="211" fillId="0" borderId="70" applyNumberFormat="0" applyFill="0" applyAlignment="0" applyProtection="0"/>
    <xf numFmtId="0" fontId="211" fillId="0" borderId="70" applyNumberFormat="0" applyFill="0" applyAlignment="0" applyProtection="0"/>
    <xf numFmtId="0" fontId="207" fillId="0" borderId="70" applyNumberFormat="0" applyFill="0" applyAlignment="0" applyProtection="0"/>
    <xf numFmtId="0" fontId="211" fillId="0" borderId="70" applyNumberFormat="0" applyFill="0" applyAlignment="0" applyProtection="0"/>
    <xf numFmtId="0" fontId="211" fillId="0" borderId="70" applyNumberFormat="0" applyFill="0" applyAlignment="0" applyProtection="0"/>
    <xf numFmtId="0" fontId="211" fillId="0" borderId="70" applyNumberFormat="0" applyFill="0" applyAlignment="0" applyProtection="0"/>
    <xf numFmtId="0" fontId="211" fillId="0" borderId="70" applyNumberFormat="0" applyFill="0" applyAlignment="0" applyProtection="0"/>
    <xf numFmtId="0" fontId="211" fillId="0" borderId="70" applyNumberFormat="0" applyFill="0" applyAlignment="0" applyProtection="0"/>
    <xf numFmtId="0" fontId="211" fillId="0" borderId="70" applyNumberFormat="0" applyFill="0" applyAlignment="0" applyProtection="0"/>
    <xf numFmtId="0" fontId="210" fillId="0" borderId="70" applyNumberFormat="0" applyFill="0" applyAlignment="0" applyProtection="0"/>
    <xf numFmtId="0" fontId="210" fillId="0" borderId="70" applyNumberFormat="0" applyFill="0" applyAlignment="0" applyProtection="0"/>
    <xf numFmtId="0" fontId="207" fillId="0" borderId="70" applyNumberFormat="0" applyFill="0" applyAlignment="0" applyProtection="0"/>
    <xf numFmtId="0" fontId="207" fillId="0" borderId="70" applyNumberFormat="0" applyFill="0" applyAlignment="0" applyProtection="0"/>
    <xf numFmtId="0" fontId="207" fillId="0" borderId="70" applyNumberFormat="0" applyFill="0" applyAlignment="0" applyProtection="0"/>
    <xf numFmtId="0" fontId="207" fillId="0" borderId="70" applyNumberFormat="0" applyFill="0" applyAlignment="0" applyProtection="0"/>
    <xf numFmtId="0" fontId="207" fillId="0" borderId="70" applyNumberFormat="0" applyFill="0" applyAlignment="0" applyProtection="0"/>
    <xf numFmtId="0" fontId="207" fillId="0" borderId="70" applyNumberFormat="0" applyFill="0" applyAlignment="0" applyProtection="0"/>
    <xf numFmtId="0" fontId="207" fillId="0" borderId="70" applyNumberFormat="0" applyFill="0" applyAlignment="0" applyProtection="0"/>
    <xf numFmtId="0" fontId="20" fillId="0" borderId="20" applyNumberFormat="0" applyFill="0" applyAlignment="0" applyProtection="0"/>
    <xf numFmtId="0" fontId="211" fillId="0" borderId="70" applyNumberFormat="0" applyFill="0" applyAlignment="0" applyProtection="0"/>
    <xf numFmtId="0" fontId="211" fillId="0" borderId="70" applyNumberFormat="0" applyFill="0" applyAlignment="0" applyProtection="0"/>
    <xf numFmtId="0" fontId="211" fillId="0" borderId="70" applyNumberFormat="0" applyFill="0" applyAlignment="0" applyProtection="0"/>
    <xf numFmtId="0" fontId="211" fillId="0" borderId="70" applyNumberFormat="0" applyFill="0" applyAlignment="0" applyProtection="0"/>
    <xf numFmtId="0" fontId="211" fillId="0" borderId="70" applyNumberFormat="0" applyFill="0" applyAlignment="0" applyProtection="0"/>
    <xf numFmtId="0" fontId="211" fillId="0" borderId="70" applyNumberFormat="0" applyFill="0" applyAlignment="0" applyProtection="0"/>
    <xf numFmtId="0" fontId="211" fillId="0" borderId="70" applyNumberFormat="0" applyFill="0" applyAlignment="0" applyProtection="0"/>
    <xf numFmtId="0" fontId="211" fillId="0" borderId="70" applyNumberFormat="0" applyFill="0" applyAlignment="0" applyProtection="0"/>
    <xf numFmtId="0" fontId="211" fillId="0" borderId="70" applyNumberFormat="0" applyFill="0" applyAlignment="0" applyProtection="0"/>
    <xf numFmtId="0" fontId="211" fillId="0" borderId="70" applyNumberFormat="0" applyFill="0" applyAlignment="0" applyProtection="0"/>
    <xf numFmtId="0" fontId="207" fillId="0" borderId="70" applyNumberFormat="0" applyFill="0" applyAlignment="0" applyProtection="0"/>
    <xf numFmtId="0" fontId="211" fillId="0" borderId="70" applyNumberFormat="0" applyFill="0" applyAlignment="0" applyProtection="0"/>
    <xf numFmtId="0" fontId="211" fillId="0" borderId="70" applyNumberFormat="0" applyFill="0" applyAlignment="0" applyProtection="0"/>
    <xf numFmtId="0" fontId="211" fillId="0" borderId="70" applyNumberFormat="0" applyFill="0" applyAlignment="0" applyProtection="0"/>
    <xf numFmtId="0" fontId="211" fillId="0" borderId="70" applyNumberFormat="0" applyFill="0" applyAlignment="0" applyProtection="0"/>
    <xf numFmtId="0" fontId="211" fillId="0" borderId="70" applyNumberFormat="0" applyFill="0" applyAlignment="0" applyProtection="0"/>
    <xf numFmtId="0" fontId="211" fillId="0" borderId="70" applyNumberFormat="0" applyFill="0" applyAlignment="0" applyProtection="0"/>
    <xf numFmtId="0" fontId="211" fillId="0" borderId="70" applyNumberFormat="0" applyFill="0" applyAlignment="0" applyProtection="0"/>
    <xf numFmtId="0" fontId="211" fillId="0" borderId="70" applyNumberFormat="0" applyFill="0" applyAlignment="0" applyProtection="0"/>
    <xf numFmtId="0" fontId="211" fillId="0" borderId="70" applyNumberFormat="0" applyFill="0" applyAlignment="0" applyProtection="0"/>
    <xf numFmtId="0" fontId="211" fillId="0" borderId="70" applyNumberFormat="0" applyFill="0" applyAlignment="0" applyProtection="0"/>
    <xf numFmtId="0" fontId="207" fillId="0" borderId="70" applyNumberFormat="0" applyFill="0" applyAlignment="0" applyProtection="0"/>
    <xf numFmtId="0" fontId="211" fillId="0" borderId="70" applyNumberFormat="0" applyFill="0" applyAlignment="0" applyProtection="0"/>
    <xf numFmtId="0" fontId="211" fillId="0" borderId="70" applyNumberFormat="0" applyFill="0" applyAlignment="0" applyProtection="0"/>
    <xf numFmtId="0" fontId="210" fillId="0" borderId="70" applyNumberFormat="0" applyFill="0" applyAlignment="0" applyProtection="0"/>
    <xf numFmtId="0" fontId="210" fillId="0" borderId="70" applyNumberFormat="0" applyFill="0" applyAlignment="0" applyProtection="0"/>
    <xf numFmtId="0" fontId="207" fillId="0" borderId="70" applyNumberFormat="0" applyFill="0" applyAlignment="0" applyProtection="0"/>
    <xf numFmtId="0" fontId="207" fillId="0" borderId="70" applyNumberFormat="0" applyFill="0" applyAlignment="0" applyProtection="0"/>
    <xf numFmtId="0" fontId="207" fillId="0" borderId="70" applyNumberFormat="0" applyFill="0" applyAlignment="0" applyProtection="0"/>
    <xf numFmtId="0" fontId="207" fillId="0" borderId="70" applyNumberFormat="0" applyFill="0" applyAlignment="0" applyProtection="0"/>
    <xf numFmtId="0" fontId="210" fillId="0" borderId="70" applyNumberFormat="0" applyFill="0" applyAlignment="0" applyProtection="0"/>
    <xf numFmtId="0" fontId="210" fillId="0" borderId="70" applyNumberFormat="0" applyFill="0" applyAlignment="0" applyProtection="0"/>
    <xf numFmtId="0" fontId="211" fillId="0" borderId="70" applyNumberFormat="0" applyFill="0" applyAlignment="0" applyProtection="0"/>
    <xf numFmtId="0" fontId="207" fillId="0" borderId="70" applyNumberFormat="0" applyFill="0" applyAlignment="0" applyProtection="0"/>
    <xf numFmtId="0" fontId="207" fillId="0" borderId="70" applyNumberFormat="0" applyFill="0" applyAlignment="0" applyProtection="0"/>
    <xf numFmtId="0" fontId="207" fillId="0" borderId="70" applyNumberFormat="0" applyFill="0" applyAlignment="0" applyProtection="0"/>
    <xf numFmtId="0" fontId="207" fillId="0" borderId="70" applyNumberFormat="0" applyFill="0" applyAlignment="0" applyProtection="0"/>
    <xf numFmtId="0" fontId="207" fillId="0" borderId="70" applyNumberFormat="0" applyFill="0" applyAlignment="0" applyProtection="0"/>
    <xf numFmtId="0" fontId="207" fillId="0" borderId="70" applyNumberFormat="0" applyFill="0" applyAlignment="0" applyProtection="0"/>
    <xf numFmtId="0" fontId="207" fillId="0" borderId="70" applyNumberFormat="0" applyFill="0" applyAlignment="0" applyProtection="0"/>
    <xf numFmtId="0" fontId="207" fillId="0" borderId="70" applyNumberFormat="0" applyFill="0" applyAlignment="0" applyProtection="0"/>
    <xf numFmtId="0" fontId="207" fillId="0" borderId="70" applyNumberFormat="0" applyFill="0" applyAlignment="0" applyProtection="0"/>
    <xf numFmtId="0" fontId="207" fillId="0" borderId="70" applyNumberFormat="0" applyFill="0" applyAlignment="0" applyProtection="0"/>
    <xf numFmtId="0" fontId="207" fillId="0" borderId="70" applyNumberFormat="0" applyFill="0" applyAlignment="0" applyProtection="0"/>
    <xf numFmtId="0" fontId="207" fillId="0" borderId="70" applyNumberFormat="0" applyFill="0" applyAlignment="0" applyProtection="0"/>
    <xf numFmtId="0" fontId="207" fillId="0" borderId="70" applyNumberFormat="0" applyFill="0" applyAlignment="0" applyProtection="0"/>
    <xf numFmtId="0" fontId="207" fillId="0" borderId="70" applyNumberFormat="0" applyFill="0" applyAlignment="0" applyProtection="0"/>
    <xf numFmtId="1" fontId="212" fillId="119" borderId="26">
      <alignment horizontal="center"/>
    </xf>
    <xf numFmtId="231" fontId="8" fillId="0" borderId="41" applyFont="0" applyFill="0" applyBorder="0" applyProtection="0">
      <alignment horizontal="right"/>
    </xf>
    <xf numFmtId="231" fontId="8" fillId="0" borderId="41" applyFont="0" applyFill="0" applyBorder="0" applyProtection="0">
      <alignment horizontal="right"/>
    </xf>
    <xf numFmtId="0" fontId="64" fillId="0" borderId="0" applyAlignment="0"/>
    <xf numFmtId="0" fontId="64" fillId="0" borderId="0"/>
    <xf numFmtId="0" fontId="64" fillId="0" borderId="0" applyAlignment="0"/>
    <xf numFmtId="0" fontId="64" fillId="0" borderId="0" applyAlignment="0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38" fontId="8" fillId="0" borderId="74"/>
    <xf numFmtId="0" fontId="21" fillId="8" borderId="21" applyNumberFormat="0" applyAlignment="0" applyProtection="0"/>
    <xf numFmtId="0" fontId="206" fillId="130" borderId="68" applyNumberFormat="0" applyAlignment="0" applyProtection="0"/>
    <xf numFmtId="0" fontId="213" fillId="8" borderId="21" applyNumberFormat="0" applyAlignment="0" applyProtection="0"/>
    <xf numFmtId="0" fontId="206" fillId="81" borderId="68" applyNumberFormat="0" applyAlignment="0" applyProtection="0"/>
    <xf numFmtId="0" fontId="206" fillId="130" borderId="69" applyNumberFormat="0" applyAlignment="0" applyProtection="0"/>
    <xf numFmtId="0" fontId="214" fillId="0" borderId="0" applyAlignment="0"/>
    <xf numFmtId="0" fontId="214" fillId="0" borderId="0" applyAlignment="0"/>
    <xf numFmtId="0" fontId="214" fillId="0" borderId="0" applyAlignment="0"/>
    <xf numFmtId="0" fontId="214" fillId="0" borderId="0" applyAlignment="0"/>
    <xf numFmtId="0" fontId="214" fillId="0" borderId="0" applyAlignment="0"/>
    <xf numFmtId="0" fontId="214" fillId="0" borderId="0" applyAlignment="0"/>
    <xf numFmtId="0" fontId="214" fillId="0" borderId="0" applyAlignment="0"/>
    <xf numFmtId="0" fontId="214" fillId="0" borderId="0" applyAlignment="0"/>
    <xf numFmtId="0" fontId="214" fillId="0" borderId="0" applyAlignment="0"/>
    <xf numFmtId="0" fontId="214" fillId="0" borderId="0" applyAlignment="0"/>
    <xf numFmtId="0" fontId="214" fillId="0" borderId="0" applyAlignment="0"/>
    <xf numFmtId="0" fontId="214" fillId="0" borderId="0" applyAlignment="0"/>
    <xf numFmtId="37" fontId="105" fillId="0" borderId="0">
      <alignment horizontal="right"/>
    </xf>
    <xf numFmtId="217" fontId="8" fillId="45" borderId="0"/>
    <xf numFmtId="217" fontId="8" fillId="45" borderId="0"/>
    <xf numFmtId="0" fontId="40" fillId="132" borderId="75" applyFont="0" applyFill="0" applyBorder="0"/>
    <xf numFmtId="0" fontId="6" fillId="0" borderId="2"/>
    <xf numFmtId="0" fontId="6" fillId="0" borderId="2"/>
    <xf numFmtId="0" fontId="6" fillId="0" borderId="2"/>
    <xf numFmtId="0" fontId="6" fillId="0" borderId="2"/>
    <xf numFmtId="0" fontId="6" fillId="0" borderId="2"/>
    <xf numFmtId="0" fontId="215" fillId="0" borderId="0">
      <alignment horizontal="right"/>
    </xf>
    <xf numFmtId="0" fontId="216" fillId="0" borderId="0" applyNumberFormat="0" applyFill="0" applyBorder="0" applyAlignment="0" applyProtection="0">
      <alignment vertical="top"/>
      <protection locked="0"/>
    </xf>
    <xf numFmtId="0" fontId="217" fillId="0" borderId="0" applyNumberFormat="0" applyFill="0" applyBorder="0" applyAlignment="0" applyProtection="0">
      <alignment vertical="top"/>
      <protection locked="0"/>
    </xf>
    <xf numFmtId="182" fontId="218" fillId="46" borderId="0">
      <protection locked="0"/>
    </xf>
    <xf numFmtId="182" fontId="219" fillId="0" borderId="24" applyBorder="0">
      <protection locked="0"/>
    </xf>
    <xf numFmtId="259" fontId="220" fillId="88" borderId="0" applyNumberFormat="0" applyFont="0" applyBorder="0" applyAlignment="0" applyProtection="0"/>
    <xf numFmtId="49" fontId="205" fillId="118" borderId="0"/>
    <xf numFmtId="0" fontId="40" fillId="0" borderId="0" applyNumberFormat="0" applyFill="0" applyBorder="0" applyProtection="0">
      <alignment wrapText="1"/>
    </xf>
    <xf numFmtId="0" fontId="106" fillId="0" borderId="0" applyNumberFormat="0" applyFill="0" applyBorder="0" applyProtection="0">
      <alignment wrapText="1"/>
    </xf>
    <xf numFmtId="0" fontId="221" fillId="0" borderId="0" applyNumberFormat="0" applyFill="0" applyBorder="0" applyProtection="0">
      <alignment horizontal="center" wrapText="1"/>
    </xf>
    <xf numFmtId="0" fontId="222" fillId="133" borderId="0"/>
    <xf numFmtId="0" fontId="222" fillId="133" borderId="0" applyAlignment="0"/>
    <xf numFmtId="0" fontId="222" fillId="133" borderId="0" applyAlignment="0"/>
    <xf numFmtId="0" fontId="222" fillId="133" borderId="0" applyAlignment="0"/>
    <xf numFmtId="0" fontId="67" fillId="0" borderId="1">
      <alignment horizontal="left" wrapText="1"/>
    </xf>
    <xf numFmtId="0" fontId="223" fillId="134" borderId="1">
      <alignment horizontal="center"/>
    </xf>
    <xf numFmtId="3" fontId="224" fillId="0" borderId="0" applyFont="0" applyFill="0" applyBorder="0" applyAlignment="0" applyProtection="0"/>
    <xf numFmtId="169" fontId="224" fillId="0" borderId="0" applyFont="0" applyFill="0" applyBorder="0" applyAlignment="0" applyProtection="0"/>
    <xf numFmtId="4" fontId="8" fillId="0" borderId="0" applyFont="0" applyFill="0" applyBorder="0" applyAlignment="0" applyProtection="0"/>
    <xf numFmtId="260" fontId="8" fillId="0" borderId="0"/>
    <xf numFmtId="260" fontId="8" fillId="0" borderId="0"/>
    <xf numFmtId="260" fontId="8" fillId="0" borderId="0"/>
    <xf numFmtId="260" fontId="8" fillId="0" borderId="0"/>
    <xf numFmtId="260" fontId="8" fillId="0" borderId="0"/>
    <xf numFmtId="260" fontId="8" fillId="0" borderId="0"/>
    <xf numFmtId="260" fontId="8" fillId="0" borderId="0"/>
    <xf numFmtId="260" fontId="8" fillId="0" borderId="0"/>
    <xf numFmtId="0" fontId="75" fillId="0" borderId="0" applyFont="0" applyFill="0" applyBorder="0" applyAlignment="0" applyProtection="0">
      <alignment horizontal="centerContinuous"/>
    </xf>
    <xf numFmtId="0" fontId="75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75" fillId="0" borderId="0" applyFont="0" applyFill="0" applyBorder="0" applyAlignment="0" applyProtection="0">
      <alignment horizontal="centerContinuous"/>
    </xf>
    <xf numFmtId="0" fontId="75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75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75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261" fontId="225" fillId="0" borderId="0"/>
    <xf numFmtId="40" fontId="8" fillId="0" borderId="0" applyFont="0" applyFill="0" applyBorder="0" applyAlignment="0" applyProtection="0"/>
    <xf numFmtId="40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0" fontId="75" fillId="0" borderId="0" applyFont="0" applyFill="0" applyBorder="0" applyAlignment="0" applyProtection="0">
      <alignment horizontal="centerContinuous"/>
    </xf>
    <xf numFmtId="0" fontId="226" fillId="0" borderId="0" applyNumberFormat="0" applyFont="0" applyFill="0" applyBorder="0" applyAlignment="0" applyProtection="0"/>
    <xf numFmtId="262" fontId="8" fillId="0" borderId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262" fontId="8" fillId="0" borderId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262" fontId="8" fillId="0" borderId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262" fontId="8" fillId="0" borderId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263" fontId="8" fillId="0" borderId="0"/>
    <xf numFmtId="263" fontId="8" fillId="0" borderId="0"/>
    <xf numFmtId="0" fontId="8" fillId="0" borderId="0" applyFont="0" applyFill="0" applyBorder="0" applyAlignment="0" applyProtection="0"/>
    <xf numFmtId="256" fontId="8" fillId="0" borderId="0" applyFont="0" applyFill="0" applyBorder="0" applyAlignment="0" applyProtection="0"/>
    <xf numFmtId="188" fontId="193" fillId="0" borderId="0" applyFont="0" applyFill="0" applyBorder="0" applyAlignment="0" applyProtection="0"/>
    <xf numFmtId="188" fontId="193" fillId="0" borderId="0" applyFont="0" applyFill="0" applyBorder="0" applyAlignment="0" applyProtection="0"/>
    <xf numFmtId="188" fontId="193" fillId="0" borderId="0" applyFont="0" applyFill="0" applyBorder="0" applyAlignment="0" applyProtection="0"/>
    <xf numFmtId="188" fontId="193" fillId="0" borderId="0" applyFont="0" applyFill="0" applyBorder="0" applyAlignment="0" applyProtection="0"/>
    <xf numFmtId="188" fontId="193" fillId="0" borderId="0" applyFont="0" applyFill="0" applyBorder="0" applyAlignment="0" applyProtection="0"/>
    <xf numFmtId="188" fontId="193" fillId="0" borderId="0" applyFont="0" applyFill="0" applyBorder="0" applyAlignment="0" applyProtection="0"/>
    <xf numFmtId="188" fontId="193" fillId="0" borderId="0" applyFont="0" applyFill="0" applyBorder="0" applyAlignment="0" applyProtection="0"/>
    <xf numFmtId="188" fontId="193" fillId="0" borderId="0" applyFont="0" applyFill="0" applyBorder="0" applyAlignment="0" applyProtection="0"/>
    <xf numFmtId="188" fontId="193" fillId="0" borderId="0" applyFont="0" applyFill="0" applyBorder="0" applyAlignment="0" applyProtection="0"/>
    <xf numFmtId="188" fontId="193" fillId="0" borderId="0" applyFont="0" applyFill="0" applyBorder="0" applyAlignment="0" applyProtection="0"/>
    <xf numFmtId="188" fontId="193" fillId="0" borderId="0" applyFont="0" applyFill="0" applyBorder="0" applyAlignment="0" applyProtection="0"/>
    <xf numFmtId="0" fontId="227" fillId="0" borderId="0" applyFont="0" applyFill="0" applyBorder="0" applyAlignment="0" applyProtection="0"/>
    <xf numFmtId="39" fontId="8" fillId="0" borderId="0"/>
    <xf numFmtId="39" fontId="8" fillId="0" borderId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264" fontId="228" fillId="0" borderId="0" applyFont="0" applyFill="0" applyBorder="0" applyAlignment="0" applyProtection="0">
      <alignment horizontal="right"/>
    </xf>
    <xf numFmtId="0" fontId="44" fillId="0" borderId="0" applyFont="0" applyFill="0" applyBorder="0" applyAlignment="0" applyProtection="0"/>
    <xf numFmtId="0" fontId="44" fillId="0" borderId="0" applyFont="0" applyFill="0" applyBorder="0" applyAlignment="0" applyProtection="0">
      <alignment horizontal="right"/>
    </xf>
    <xf numFmtId="183" fontId="88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8" fillId="0" borderId="0" applyFont="0" applyFill="0" applyBorder="0" applyAlignment="0" applyProtection="0"/>
    <xf numFmtId="183" fontId="88" fillId="0" borderId="0" applyFont="0" applyFill="0" applyBorder="0" applyAlignment="0" applyProtection="0"/>
    <xf numFmtId="183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83" fontId="88" fillId="0" borderId="0" applyFont="0" applyFill="0" applyBorder="0" applyAlignment="0" applyProtection="0"/>
    <xf numFmtId="183" fontId="88" fillId="0" borderId="0" applyFont="0" applyFill="0" applyBorder="0" applyAlignment="0" applyProtection="0"/>
    <xf numFmtId="183" fontId="88" fillId="0" borderId="0" applyFont="0" applyFill="0" applyBorder="0" applyAlignment="0" applyProtection="0"/>
    <xf numFmtId="183" fontId="88" fillId="0" borderId="0" applyFont="0" applyFill="0" applyBorder="0" applyAlignment="0" applyProtection="0"/>
    <xf numFmtId="183" fontId="88" fillId="0" borderId="0" applyFont="0" applyFill="0" applyBorder="0" applyAlignment="0" applyProtection="0"/>
    <xf numFmtId="183" fontId="88" fillId="0" borderId="0" applyFont="0" applyFill="0" applyBorder="0" applyAlignment="0" applyProtection="0"/>
    <xf numFmtId="265" fontId="228" fillId="0" borderId="0" applyFont="0" applyFill="0" applyBorder="0" applyAlignment="0" applyProtection="0">
      <alignment horizontal="right"/>
    </xf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4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64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83" fontId="64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8" fillId="0" borderId="0" applyFont="0" applyFill="0" applyBorder="0" applyAlignment="0" applyProtection="0"/>
    <xf numFmtId="266" fontId="228" fillId="0" borderId="0" applyFont="0" applyFill="0" applyBorder="0" applyAlignment="0" applyProtection="0"/>
    <xf numFmtId="0" fontId="228" fillId="0" borderId="0" applyFont="0" applyFill="0" applyBorder="0" applyAlignment="0" applyProtection="0">
      <alignment horizontal="right"/>
    </xf>
    <xf numFmtId="183" fontId="88" fillId="0" borderId="0" applyFont="0" applyFill="0" applyBorder="0" applyAlignment="0" applyProtection="0"/>
    <xf numFmtId="183" fontId="88" fillId="0" borderId="0" applyFont="0" applyFill="0" applyBorder="0" applyAlignment="0" applyProtection="0"/>
    <xf numFmtId="183" fontId="88" fillId="0" borderId="0" applyFont="0" applyFill="0" applyBorder="0" applyAlignment="0" applyProtection="0"/>
    <xf numFmtId="183" fontId="88" fillId="0" borderId="0" applyFont="0" applyFill="0" applyBorder="0" applyAlignment="0" applyProtection="0"/>
    <xf numFmtId="183" fontId="88" fillId="0" borderId="0" applyFont="0" applyFill="0" applyBorder="0" applyAlignment="0" applyProtection="0"/>
    <xf numFmtId="183" fontId="88" fillId="0" borderId="0" applyFont="0" applyFill="0" applyBorder="0" applyAlignment="0" applyProtection="0"/>
    <xf numFmtId="183" fontId="88" fillId="0" borderId="0" applyFont="0" applyFill="0" applyBorder="0" applyAlignment="0" applyProtection="0"/>
    <xf numFmtId="183" fontId="88" fillId="0" borderId="0" applyFont="0" applyFill="0" applyBorder="0" applyAlignment="0" applyProtection="0"/>
    <xf numFmtId="183" fontId="88" fillId="0" borderId="0" applyFont="0" applyFill="0" applyBorder="0" applyAlignment="0" applyProtection="0"/>
    <xf numFmtId="183" fontId="124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9" fillId="0" borderId="0" applyFont="0" applyFill="0" applyBorder="0" applyAlignment="0" applyProtection="0"/>
    <xf numFmtId="183" fontId="9" fillId="0" borderId="0" applyFont="0" applyFill="0" applyBorder="0" applyAlignment="0" applyProtection="0"/>
    <xf numFmtId="183" fontId="9" fillId="0" borderId="0" applyFont="0" applyFill="0" applyBorder="0" applyAlignment="0" applyProtection="0"/>
    <xf numFmtId="4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4" fontId="8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267" fontId="228" fillId="0" borderId="0" applyFont="0" applyFill="0" applyBorder="0" applyAlignment="0" applyProtection="0"/>
    <xf numFmtId="183" fontId="9" fillId="0" borderId="0" applyFont="0" applyFill="0" applyBorder="0" applyAlignment="0" applyProtection="0"/>
    <xf numFmtId="183" fontId="9" fillId="0" borderId="0" applyFont="0" applyFill="0" applyBorder="0" applyAlignment="0" applyProtection="0"/>
    <xf numFmtId="183" fontId="9" fillId="0" borderId="0" applyFont="0" applyFill="0" applyBorder="0" applyAlignment="0" applyProtection="0"/>
    <xf numFmtId="183" fontId="9" fillId="0" borderId="0" applyFont="0" applyFill="0" applyBorder="0" applyAlignment="0" applyProtection="0"/>
    <xf numFmtId="183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43" fontId="8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88" fillId="0" borderId="0" applyFont="0" applyFill="0" applyBorder="0" applyAlignment="0" applyProtection="0"/>
    <xf numFmtId="183" fontId="88" fillId="0" borderId="0" applyFont="0" applyFill="0" applyBorder="0" applyAlignment="0" applyProtection="0"/>
    <xf numFmtId="183" fontId="88" fillId="0" borderId="0" applyFont="0" applyFill="0" applyBorder="0" applyAlignment="0" applyProtection="0"/>
    <xf numFmtId="183" fontId="88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88" fillId="0" borderId="0" applyFont="0" applyFill="0" applyBorder="0" applyAlignment="0" applyProtection="0"/>
    <xf numFmtId="183" fontId="88" fillId="0" borderId="0" applyFont="0" applyFill="0" applyBorder="0" applyAlignment="0" applyProtection="0"/>
    <xf numFmtId="183" fontId="88" fillId="0" borderId="0" applyFont="0" applyFill="0" applyBorder="0" applyAlignment="0" applyProtection="0"/>
    <xf numFmtId="183" fontId="8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229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64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83" fontId="64" fillId="0" borderId="0" applyFont="0" applyFill="0" applyBorder="0" applyAlignment="0" applyProtection="0"/>
    <xf numFmtId="168" fontId="8" fillId="0" borderId="0" applyFont="0" applyFill="0" applyBorder="0" applyAlignment="0" applyProtection="0"/>
    <xf numFmtId="183" fontId="39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64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40" fontId="8" fillId="0" borderId="0" applyFont="0" applyFill="0" applyBorder="0" applyProtection="0">
      <alignment horizontal="right"/>
    </xf>
    <xf numFmtId="40" fontId="8" fillId="0" borderId="0" applyFont="0" applyFill="0" applyBorder="0" applyProtection="0">
      <alignment horizontal="right"/>
    </xf>
    <xf numFmtId="268" fontId="228" fillId="0" borderId="0" applyFont="0" applyFill="0" applyBorder="0" applyAlignment="0" applyProtection="0"/>
    <xf numFmtId="269" fontId="227" fillId="0" borderId="0" applyFont="0" applyFill="0" applyBorder="0" applyAlignment="0" applyProtection="0"/>
    <xf numFmtId="37" fontId="230" fillId="0" borderId="0" applyFont="0" applyFill="0" applyBorder="0" applyAlignment="0" applyProtection="0"/>
    <xf numFmtId="39" fontId="230" fillId="0" borderId="0" applyFont="0" applyFill="0" applyBorder="0" applyAlignment="0" applyProtection="0"/>
    <xf numFmtId="0" fontId="8" fillId="0" borderId="0" applyFont="0" applyFill="0" applyBorder="0" applyAlignment="0" applyProtection="0"/>
    <xf numFmtId="3" fontId="231" fillId="0" borderId="0" applyFont="0" applyFill="0" applyBorder="0" applyAlignment="0" applyProtection="0"/>
    <xf numFmtId="0" fontId="76" fillId="0" borderId="0"/>
    <xf numFmtId="0" fontId="232" fillId="0" borderId="0"/>
    <xf numFmtId="188" fontId="232" fillId="0" borderId="0"/>
    <xf numFmtId="188" fontId="232" fillId="0" borderId="0"/>
    <xf numFmtId="188" fontId="232" fillId="0" borderId="0"/>
    <xf numFmtId="188" fontId="232" fillId="0" borderId="0"/>
    <xf numFmtId="188" fontId="232" fillId="0" borderId="0"/>
    <xf numFmtId="188" fontId="232" fillId="0" borderId="0"/>
    <xf numFmtId="188" fontId="232" fillId="0" borderId="0"/>
    <xf numFmtId="188" fontId="232" fillId="0" borderId="0"/>
    <xf numFmtId="188" fontId="232" fillId="0" borderId="0"/>
    <xf numFmtId="188" fontId="232" fillId="0" borderId="0"/>
    <xf numFmtId="188" fontId="232" fillId="0" borderId="0"/>
    <xf numFmtId="0" fontId="79" fillId="0" borderId="0"/>
    <xf numFmtId="188" fontId="79" fillId="0" borderId="0"/>
    <xf numFmtId="188" fontId="79" fillId="0" borderId="0"/>
    <xf numFmtId="188" fontId="79" fillId="0" borderId="0"/>
    <xf numFmtId="0" fontId="79" fillId="0" borderId="0"/>
    <xf numFmtId="188" fontId="79" fillId="0" borderId="0"/>
    <xf numFmtId="188" fontId="79" fillId="0" borderId="0"/>
    <xf numFmtId="188" fontId="79" fillId="0" borderId="0"/>
    <xf numFmtId="188" fontId="79" fillId="0" borderId="0"/>
    <xf numFmtId="188" fontId="79" fillId="0" borderId="0"/>
    <xf numFmtId="188" fontId="79" fillId="0" borderId="0"/>
    <xf numFmtId="188" fontId="79" fillId="0" borderId="0"/>
    <xf numFmtId="0" fontId="232" fillId="0" borderId="0"/>
    <xf numFmtId="0" fontId="65" fillId="0" borderId="0"/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3" fontId="231" fillId="0" borderId="0" applyFont="0" applyFill="0" applyBorder="0" applyAlignment="0" applyProtection="0"/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270" fontId="233" fillId="0" borderId="0">
      <protection locked="0"/>
    </xf>
    <xf numFmtId="0" fontId="234" fillId="0" borderId="0" applyNumberFormat="0" applyFont="0" applyFill="0" applyBorder="0" applyAlignment="0" applyProtection="0"/>
    <xf numFmtId="0" fontId="76" fillId="0" borderId="0"/>
    <xf numFmtId="0" fontId="232" fillId="0" borderId="0"/>
    <xf numFmtId="188" fontId="232" fillId="0" borderId="0"/>
    <xf numFmtId="188" fontId="232" fillId="0" borderId="0"/>
    <xf numFmtId="188" fontId="232" fillId="0" borderId="0"/>
    <xf numFmtId="188" fontId="232" fillId="0" borderId="0"/>
    <xf numFmtId="188" fontId="232" fillId="0" borderId="0"/>
    <xf numFmtId="188" fontId="232" fillId="0" borderId="0"/>
    <xf numFmtId="188" fontId="232" fillId="0" borderId="0"/>
    <xf numFmtId="188" fontId="232" fillId="0" borderId="0"/>
    <xf numFmtId="188" fontId="232" fillId="0" borderId="0"/>
    <xf numFmtId="188" fontId="232" fillId="0" borderId="0"/>
    <xf numFmtId="188" fontId="232" fillId="0" borderId="0"/>
    <xf numFmtId="0" fontId="232" fillId="0" borderId="0"/>
    <xf numFmtId="0" fontId="79" fillId="0" borderId="0"/>
    <xf numFmtId="188" fontId="79" fillId="0" borderId="0"/>
    <xf numFmtId="188" fontId="79" fillId="0" borderId="0"/>
    <xf numFmtId="188" fontId="79" fillId="0" borderId="0"/>
    <xf numFmtId="0" fontId="79" fillId="0" borderId="0"/>
    <xf numFmtId="188" fontId="79" fillId="0" borderId="0"/>
    <xf numFmtId="188" fontId="79" fillId="0" borderId="0"/>
    <xf numFmtId="188" fontId="79" fillId="0" borderId="0"/>
    <xf numFmtId="188" fontId="79" fillId="0" borderId="0"/>
    <xf numFmtId="188" fontId="79" fillId="0" borderId="0"/>
    <xf numFmtId="188" fontId="79" fillId="0" borderId="0"/>
    <xf numFmtId="188" fontId="79" fillId="0" borderId="0"/>
    <xf numFmtId="0" fontId="6" fillId="0" borderId="0" applyBorder="0"/>
    <xf numFmtId="38" fontId="235" fillId="0" borderId="0" applyNumberFormat="0" applyFill="0" applyBorder="0">
      <alignment vertical="center"/>
    </xf>
    <xf numFmtId="271" fontId="8" fillId="0" borderId="0" applyFont="0" applyFill="0" applyBorder="0" applyAlignment="0" applyProtection="0"/>
    <xf numFmtId="271" fontId="8" fillId="0" borderId="0" applyFont="0" applyFill="0" applyBorder="0" applyAlignment="0" applyProtection="0"/>
    <xf numFmtId="272" fontId="8" fillId="0" borderId="0" applyFont="0" applyFill="0" applyBorder="0" applyAlignment="0" applyProtection="0"/>
    <xf numFmtId="272" fontId="8" fillId="0" borderId="0" applyFont="0" applyFill="0" applyBorder="0" applyAlignment="0" applyProtection="0"/>
    <xf numFmtId="0" fontId="3" fillId="0" borderId="7" applyNumberFormat="0" applyFont="0" applyAlignment="0">
      <alignment horizontal="justify"/>
    </xf>
    <xf numFmtId="0" fontId="3" fillId="0" borderId="7" applyNumberFormat="0" applyFont="0" applyAlignment="0">
      <alignment horizontal="justify"/>
    </xf>
    <xf numFmtId="0" fontId="3" fillId="0" borderId="7" applyNumberFormat="0" applyFont="0" applyAlignment="0">
      <alignment horizontal="justify"/>
    </xf>
    <xf numFmtId="0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0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0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188" fontId="236" fillId="0" borderId="0" applyNumberFormat="0" applyAlignment="0">
      <alignment horizontal="left"/>
    </xf>
    <xf numFmtId="0" fontId="67" fillId="114" borderId="0"/>
    <xf numFmtId="0" fontId="59" fillId="0" borderId="0" applyNumberFormat="0" applyAlignment="0"/>
    <xf numFmtId="188" fontId="59" fillId="0" borderId="0" applyNumberFormat="0" applyAlignment="0"/>
    <xf numFmtId="188" fontId="59" fillId="0" borderId="0" applyNumberFormat="0" applyAlignment="0"/>
    <xf numFmtId="188" fontId="59" fillId="0" borderId="0" applyNumberFormat="0" applyAlignment="0"/>
    <xf numFmtId="188" fontId="59" fillId="0" borderId="0" applyNumberFormat="0" applyAlignment="0"/>
    <xf numFmtId="188" fontId="59" fillId="0" borderId="0" applyNumberFormat="0" applyAlignment="0"/>
    <xf numFmtId="188" fontId="59" fillId="0" borderId="0" applyNumberFormat="0" applyAlignment="0"/>
    <xf numFmtId="188" fontId="59" fillId="0" borderId="0" applyNumberFormat="0" applyAlignment="0"/>
    <xf numFmtId="188" fontId="59" fillId="0" borderId="0" applyNumberFormat="0" applyAlignment="0"/>
    <xf numFmtId="188" fontId="59" fillId="0" borderId="0" applyNumberFormat="0" applyAlignment="0"/>
    <xf numFmtId="188" fontId="59" fillId="0" borderId="0" applyNumberFormat="0" applyAlignment="0"/>
    <xf numFmtId="0" fontId="59" fillId="0" borderId="0" applyNumberFormat="0" applyAlignment="0"/>
    <xf numFmtId="188" fontId="59" fillId="0" borderId="0" applyNumberFormat="0" applyAlignment="0"/>
    <xf numFmtId="188" fontId="59" fillId="0" borderId="0" applyNumberFormat="0" applyAlignment="0"/>
    <xf numFmtId="188" fontId="59" fillId="0" borderId="0" applyNumberFormat="0" applyAlignment="0"/>
    <xf numFmtId="188" fontId="59" fillId="0" borderId="0" applyNumberFormat="0" applyAlignment="0"/>
    <xf numFmtId="188" fontId="59" fillId="0" borderId="0" applyNumberFormat="0" applyAlignment="0"/>
    <xf numFmtId="188" fontId="59" fillId="0" borderId="0" applyNumberFormat="0" applyAlignment="0"/>
    <xf numFmtId="188" fontId="59" fillId="0" borderId="0" applyNumberFormat="0" applyAlignment="0"/>
    <xf numFmtId="188" fontId="59" fillId="0" borderId="0" applyNumberFormat="0" applyAlignment="0"/>
    <xf numFmtId="188" fontId="59" fillId="0" borderId="0" applyNumberFormat="0" applyAlignment="0"/>
    <xf numFmtId="188" fontId="59" fillId="0" borderId="0" applyNumberFormat="0" applyAlignment="0"/>
    <xf numFmtId="0" fontId="59" fillId="0" borderId="0" applyNumberFormat="0" applyAlignment="0"/>
    <xf numFmtId="188" fontId="59" fillId="0" borderId="0" applyNumberFormat="0" applyAlignment="0"/>
    <xf numFmtId="188" fontId="59" fillId="0" borderId="0" applyNumberFormat="0" applyAlignment="0"/>
    <xf numFmtId="188" fontId="59" fillId="0" borderId="0" applyNumberFormat="0" applyAlignment="0"/>
    <xf numFmtId="188" fontId="59" fillId="0" borderId="0" applyNumberFormat="0" applyAlignment="0"/>
    <xf numFmtId="188" fontId="59" fillId="0" borderId="0" applyNumberFormat="0" applyAlignment="0"/>
    <xf numFmtId="188" fontId="59" fillId="0" borderId="0" applyNumberFormat="0" applyAlignment="0"/>
    <xf numFmtId="188" fontId="59" fillId="0" borderId="0" applyNumberFormat="0" applyAlignment="0"/>
    <xf numFmtId="188" fontId="59" fillId="0" borderId="0" applyNumberFormat="0" applyAlignment="0"/>
    <xf numFmtId="188" fontId="59" fillId="0" borderId="0" applyNumberFormat="0" applyAlignment="0"/>
    <xf numFmtId="0" fontId="59" fillId="0" borderId="0" applyNumberFormat="0" applyAlignment="0"/>
    <xf numFmtId="188" fontId="59" fillId="0" borderId="0" applyNumberFormat="0" applyAlignment="0"/>
    <xf numFmtId="188" fontId="59" fillId="0" borderId="0" applyNumberFormat="0" applyAlignment="0"/>
    <xf numFmtId="188" fontId="59" fillId="0" borderId="0" applyNumberFormat="0" applyAlignment="0"/>
    <xf numFmtId="188" fontId="59" fillId="0" borderId="0" applyNumberFormat="0" applyAlignment="0"/>
    <xf numFmtId="188" fontId="59" fillId="0" borderId="0" applyNumberFormat="0" applyAlignment="0"/>
    <xf numFmtId="188" fontId="59" fillId="0" borderId="0" applyNumberFormat="0" applyAlignment="0"/>
    <xf numFmtId="225" fontId="237" fillId="0" borderId="0" applyFill="0" applyBorder="0" applyAlignment="0" applyProtection="0">
      <alignment horizontal="left"/>
    </xf>
    <xf numFmtId="225" fontId="166" fillId="0" borderId="0" applyFill="0" applyBorder="0" applyAlignment="0" applyProtection="0">
      <alignment horizontal="left"/>
    </xf>
    <xf numFmtId="0" fontId="79" fillId="0" borderId="76"/>
    <xf numFmtId="0" fontId="65" fillId="0" borderId="0"/>
    <xf numFmtId="273" fontId="8" fillId="0" borderId="0" applyFill="0" applyBorder="0" applyAlignment="0" applyProtection="0"/>
    <xf numFmtId="274" fontId="8" fillId="0" borderId="0" applyFont="0" applyFill="0" applyBorder="0" applyAlignment="0" applyProtection="0"/>
    <xf numFmtId="274" fontId="8" fillId="0" borderId="0" applyFont="0" applyFill="0" applyBorder="0" applyAlignment="0" applyProtection="0"/>
    <xf numFmtId="275" fontId="8" fillId="0" borderId="0" applyFont="0" applyFill="0" applyBorder="0" applyAlignment="0" applyProtection="0"/>
    <xf numFmtId="276" fontId="44" fillId="0" borderId="0">
      <alignment horizontal="center"/>
    </xf>
    <xf numFmtId="0" fontId="75" fillId="0" borderId="0" applyFont="0" applyFill="0" applyBorder="0" applyAlignment="0" applyProtection="0">
      <alignment horizontal="centerContinuous"/>
    </xf>
    <xf numFmtId="0" fontId="75" fillId="0" borderId="0" applyFont="0" applyFill="0" applyBorder="0" applyAlignment="0" applyProtection="0">
      <alignment horizontal="centerContinuous"/>
    </xf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8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277" fontId="63" fillId="0" borderId="0" applyFont="0" applyFill="0" applyBorder="0" applyAlignment="0" applyProtection="0"/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75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80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279" fontId="63" fillId="0" borderId="0" applyFont="0" applyFill="0" applyBorder="0" applyAlignment="0" applyProtection="0"/>
    <xf numFmtId="0" fontId="75" fillId="0" borderId="0" applyFont="0" applyFill="0" applyBorder="0" applyAlignment="0" applyProtection="0">
      <alignment horizontal="centerContinuous"/>
    </xf>
    <xf numFmtId="0" fontId="75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75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0" fontId="8" fillId="0" borderId="0" applyFont="0" applyFill="0" applyBorder="0" applyAlignment="0" applyProtection="0">
      <alignment horizontal="centerContinuous"/>
    </xf>
    <xf numFmtId="281" fontId="8" fillId="0" borderId="0" applyFont="0" applyFill="0" applyBorder="0" applyAlignment="0" applyProtection="0"/>
    <xf numFmtId="227" fontId="128" fillId="0" borderId="0" applyFont="0" applyFill="0" applyBorder="0" applyAlignment="0" applyProtection="0"/>
    <xf numFmtId="0" fontId="226" fillId="0" borderId="0" applyNumberFormat="0" applyFont="0" applyFill="0" applyBorder="0" applyAlignment="0" applyProtection="0"/>
    <xf numFmtId="282" fontId="8" fillId="0" borderId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177" fontId="8" fillId="0" borderId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283" fontId="8" fillId="0" borderId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283" fontId="8" fillId="0" borderId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283" fontId="8" fillId="0" borderId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283" fontId="8" fillId="0" borderId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233" fontId="8" fillId="0" borderId="0" applyFont="0" applyFill="0" applyBorder="0" applyAlignment="0" applyProtection="0"/>
    <xf numFmtId="233" fontId="8" fillId="0" borderId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0" fontId="226" fillId="0" borderId="0" applyNumberFormat="0" applyFont="0" applyFill="0" applyBorder="0" applyAlignment="0" applyProtection="0"/>
    <xf numFmtId="284" fontId="8" fillId="0" borderId="0"/>
    <xf numFmtId="284" fontId="8" fillId="0" borderId="0"/>
    <xf numFmtId="0" fontId="8" fillId="0" borderId="0" applyFont="0" applyFill="0" applyBorder="0" applyAlignment="0" applyProtection="0"/>
    <xf numFmtId="252" fontId="8" fillId="0" borderId="0" applyFont="0" applyFill="0" applyBorder="0" applyAlignment="0" applyProtection="0"/>
    <xf numFmtId="188" fontId="193" fillId="0" borderId="0" applyFont="0" applyFill="0" applyBorder="0" applyAlignment="0" applyProtection="0"/>
    <xf numFmtId="188" fontId="193" fillId="0" borderId="0" applyFont="0" applyFill="0" applyBorder="0" applyAlignment="0" applyProtection="0"/>
    <xf numFmtId="188" fontId="193" fillId="0" borderId="0" applyFont="0" applyFill="0" applyBorder="0" applyAlignment="0" applyProtection="0"/>
    <xf numFmtId="188" fontId="193" fillId="0" borderId="0" applyFont="0" applyFill="0" applyBorder="0" applyAlignment="0" applyProtection="0"/>
    <xf numFmtId="188" fontId="193" fillId="0" borderId="0" applyFont="0" applyFill="0" applyBorder="0" applyAlignment="0" applyProtection="0"/>
    <xf numFmtId="188" fontId="193" fillId="0" borderId="0" applyFont="0" applyFill="0" applyBorder="0" applyAlignment="0" applyProtection="0"/>
    <xf numFmtId="188" fontId="193" fillId="0" borderId="0" applyFont="0" applyFill="0" applyBorder="0" applyAlignment="0" applyProtection="0"/>
    <xf numFmtId="188" fontId="193" fillId="0" borderId="0" applyFont="0" applyFill="0" applyBorder="0" applyAlignment="0" applyProtection="0"/>
    <xf numFmtId="188" fontId="193" fillId="0" borderId="0" applyFont="0" applyFill="0" applyBorder="0" applyAlignment="0" applyProtection="0"/>
    <xf numFmtId="188" fontId="193" fillId="0" borderId="0" applyFont="0" applyFill="0" applyBorder="0" applyAlignment="0" applyProtection="0"/>
    <xf numFmtId="188" fontId="193" fillId="0" borderId="0" applyFont="0" applyFill="0" applyBorder="0" applyAlignment="0" applyProtection="0"/>
    <xf numFmtId="0" fontId="44" fillId="0" borderId="0" applyFont="0" applyFill="0" applyBorder="0" applyAlignment="0" applyProtection="0"/>
    <xf numFmtId="231" fontId="238" fillId="0" borderId="0" applyBorder="0"/>
    <xf numFmtId="285" fontId="44" fillId="0" borderId="0" applyFont="0" applyFill="0" applyBorder="0" applyAlignment="0" applyProtection="0"/>
    <xf numFmtId="286" fontId="228" fillId="0" borderId="0" applyFont="0" applyFill="0" applyBorder="0" applyAlignment="0" applyProtection="0">
      <alignment horizontal="right"/>
    </xf>
    <xf numFmtId="273" fontId="8" fillId="0" borderId="0" applyFill="0" applyBorder="0" applyAlignment="0" applyProtection="0"/>
    <xf numFmtId="273" fontId="8" fillId="0" borderId="0" applyFill="0" applyBorder="0" applyAlignment="0" applyProtection="0"/>
    <xf numFmtId="273" fontId="8" fillId="0" borderId="0" applyFill="0" applyBorder="0" applyAlignment="0" applyProtection="0"/>
    <xf numFmtId="273" fontId="8" fillId="0" borderId="0" applyFill="0" applyBorder="0" applyAlignment="0" applyProtection="0"/>
    <xf numFmtId="273" fontId="8" fillId="0" borderId="0" applyFill="0" applyBorder="0" applyAlignment="0" applyProtection="0"/>
    <xf numFmtId="273" fontId="8" fillId="0" borderId="0" applyFill="0" applyBorder="0" applyAlignment="0" applyProtection="0"/>
    <xf numFmtId="273" fontId="8" fillId="0" borderId="0" applyFill="0" applyBorder="0" applyAlignment="0" applyProtection="0"/>
    <xf numFmtId="273" fontId="8" fillId="0" borderId="0" applyFill="0" applyBorder="0" applyAlignment="0" applyProtection="0"/>
    <xf numFmtId="273" fontId="8" fillId="0" borderId="0" applyFill="0" applyBorder="0" applyAlignment="0" applyProtection="0"/>
    <xf numFmtId="273" fontId="8" fillId="0" borderId="0" applyFill="0" applyBorder="0" applyAlignment="0" applyProtection="0"/>
    <xf numFmtId="273" fontId="8" fillId="0" borderId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287" fontId="239" fillId="0" borderId="0" applyFont="0" applyFill="0" applyBorder="0" applyAlignment="0" applyProtection="0"/>
    <xf numFmtId="0" fontId="228" fillId="0" borderId="0" applyFont="0" applyFill="0" applyBorder="0" applyAlignment="0" applyProtection="0">
      <alignment horizontal="right"/>
    </xf>
    <xf numFmtId="273" fontId="8" fillId="0" borderId="0" applyFill="0" applyBorder="0" applyAlignment="0" applyProtection="0"/>
    <xf numFmtId="224" fontId="8" fillId="0" borderId="0" applyFont="0" applyFill="0" applyBorder="0" applyAlignment="0" applyProtection="0"/>
    <xf numFmtId="288" fontId="239" fillId="0" borderId="0" applyFont="0" applyFill="0" applyBorder="0" applyAlignment="0" applyProtection="0"/>
    <xf numFmtId="273" fontId="8" fillId="0" borderId="0" applyFill="0" applyBorder="0" applyAlignment="0" applyProtection="0"/>
    <xf numFmtId="273" fontId="8" fillId="0" borderId="0" applyFill="0" applyBorder="0" applyAlignment="0" applyProtection="0"/>
    <xf numFmtId="167" fontId="124" fillId="0" borderId="0" applyFont="0" applyFill="0" applyBorder="0" applyAlignment="0" applyProtection="0"/>
    <xf numFmtId="273" fontId="8" fillId="0" borderId="0" applyFill="0" applyBorder="0" applyAlignment="0" applyProtection="0"/>
    <xf numFmtId="273" fontId="8" fillId="0" borderId="0" applyFill="0" applyBorder="0" applyAlignment="0" applyProtection="0"/>
    <xf numFmtId="273" fontId="8" fillId="0" borderId="0" applyFill="0" applyBorder="0" applyAlignment="0" applyProtection="0"/>
    <xf numFmtId="273" fontId="8" fillId="0" borderId="0" applyFill="0" applyBorder="0" applyAlignment="0" applyProtection="0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89" fontId="8" fillId="44" borderId="64"/>
    <xf numFmtId="290" fontId="230" fillId="0" borderId="0" applyFont="0" applyFill="0" applyBorder="0" applyAlignment="0" applyProtection="0"/>
    <xf numFmtId="291" fontId="230" fillId="0" borderId="0" applyFont="0" applyFill="0" applyBorder="0" applyAlignment="0" applyProtection="0"/>
    <xf numFmtId="292" fontId="228" fillId="0" borderId="0" applyFont="0" applyFill="0" applyBorder="0" applyAlignment="0" applyProtection="0"/>
    <xf numFmtId="293" fontId="230" fillId="0" borderId="0" applyFont="0" applyFill="0" applyBorder="0" applyAlignment="0" applyProtection="0"/>
    <xf numFmtId="0" fontId="8" fillId="0" borderId="0" applyFont="0" applyFill="0" applyBorder="0" applyAlignment="0" applyProtection="0"/>
    <xf numFmtId="294" fontId="231" fillId="0" borderId="0" applyFont="0" applyFill="0" applyBorder="0" applyAlignment="0" applyProtection="0"/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4" fontId="231" fillId="0" borderId="0" applyFont="0" applyFill="0" applyBorder="0" applyAlignment="0" applyProtection="0"/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5" fontId="233" fillId="0" borderId="0">
      <protection locked="0"/>
    </xf>
    <xf numFmtId="296" fontId="118" fillId="0" borderId="0" applyFill="0" applyBorder="0" applyProtection="0">
      <alignment horizontal="right"/>
    </xf>
    <xf numFmtId="297" fontId="8" fillId="44" borderId="0" applyFont="0" applyBorder="0"/>
    <xf numFmtId="297" fontId="8" fillId="44" borderId="0" applyFont="0" applyBorder="0"/>
    <xf numFmtId="0" fontId="50" fillId="44" borderId="28">
      <alignment horizontal="right"/>
    </xf>
    <xf numFmtId="0" fontId="50" fillId="44" borderId="28">
      <alignment horizontal="right"/>
    </xf>
    <xf numFmtId="0" fontId="50" fillId="44" borderId="28">
      <alignment horizontal="right"/>
    </xf>
    <xf numFmtId="0" fontId="50" fillId="44" borderId="28">
      <alignment horizontal="right"/>
    </xf>
    <xf numFmtId="0" fontId="240" fillId="44" borderId="28">
      <alignment horizontal="right"/>
    </xf>
    <xf numFmtId="298" fontId="240" fillId="44" borderId="28">
      <alignment horizontal="right"/>
    </xf>
    <xf numFmtId="0" fontId="240" fillId="44" borderId="28">
      <alignment horizontal="right"/>
    </xf>
    <xf numFmtId="0" fontId="50" fillId="44" borderId="28">
      <alignment horizontal="right"/>
    </xf>
    <xf numFmtId="0" fontId="50" fillId="44" borderId="28">
      <alignment horizontal="right"/>
    </xf>
    <xf numFmtId="0" fontId="50" fillId="44" borderId="28">
      <alignment horizontal="right"/>
    </xf>
    <xf numFmtId="0" fontId="240" fillId="44" borderId="28">
      <alignment horizontal="right"/>
    </xf>
    <xf numFmtId="298" fontId="240" fillId="44" borderId="28">
      <alignment horizontal="right"/>
    </xf>
    <xf numFmtId="0" fontId="240" fillId="44" borderId="28">
      <alignment horizontal="right"/>
    </xf>
    <xf numFmtId="0" fontId="240" fillId="44" borderId="28">
      <alignment horizontal="right"/>
    </xf>
    <xf numFmtId="298" fontId="240" fillId="44" borderId="28">
      <alignment horizontal="right"/>
    </xf>
    <xf numFmtId="0" fontId="240" fillId="44" borderId="28">
      <alignment horizontal="right"/>
    </xf>
    <xf numFmtId="0" fontId="240" fillId="44" borderId="28">
      <alignment horizontal="right"/>
    </xf>
    <xf numFmtId="298" fontId="240" fillId="44" borderId="28">
      <alignment horizontal="right"/>
    </xf>
    <xf numFmtId="0" fontId="240" fillId="44" borderId="28">
      <alignment horizontal="right"/>
    </xf>
    <xf numFmtId="0" fontId="50" fillId="44" borderId="28">
      <alignment horizontal="right"/>
    </xf>
    <xf numFmtId="0" fontId="50" fillId="44" borderId="28">
      <alignment horizontal="right"/>
    </xf>
    <xf numFmtId="0" fontId="50" fillId="44" borderId="28">
      <alignment horizontal="right"/>
    </xf>
    <xf numFmtId="0" fontId="240" fillId="44" borderId="28">
      <alignment horizontal="right"/>
    </xf>
    <xf numFmtId="298" fontId="240" fillId="44" borderId="28">
      <alignment horizontal="right"/>
    </xf>
    <xf numFmtId="0" fontId="240" fillId="44" borderId="28">
      <alignment horizontal="right"/>
    </xf>
    <xf numFmtId="0" fontId="240" fillId="44" borderId="28">
      <alignment horizontal="right"/>
    </xf>
    <xf numFmtId="298" fontId="240" fillId="44" borderId="28">
      <alignment horizontal="right"/>
    </xf>
    <xf numFmtId="0" fontId="240" fillId="44" borderId="28">
      <alignment horizontal="right"/>
    </xf>
    <xf numFmtId="0" fontId="50" fillId="44" borderId="28">
      <alignment horizontal="right"/>
    </xf>
    <xf numFmtId="0" fontId="50" fillId="44" borderId="28">
      <alignment horizontal="right"/>
    </xf>
    <xf numFmtId="0" fontId="50" fillId="44" borderId="28">
      <alignment horizontal="right"/>
    </xf>
    <xf numFmtId="0" fontId="50" fillId="44" borderId="28">
      <alignment horizontal="right"/>
    </xf>
    <xf numFmtId="0" fontId="240" fillId="44" borderId="28">
      <alignment horizontal="right"/>
    </xf>
    <xf numFmtId="298" fontId="240" fillId="44" borderId="28">
      <alignment horizontal="right"/>
    </xf>
    <xf numFmtId="0" fontId="240" fillId="44" borderId="28">
      <alignment horizontal="right"/>
    </xf>
    <xf numFmtId="0" fontId="50" fillId="44" borderId="28">
      <alignment horizontal="right"/>
    </xf>
    <xf numFmtId="0" fontId="50" fillId="44" borderId="28">
      <alignment horizontal="right"/>
    </xf>
    <xf numFmtId="0" fontId="50" fillId="44" borderId="28">
      <alignment horizontal="right"/>
    </xf>
    <xf numFmtId="0" fontId="240" fillId="44" borderId="28">
      <alignment horizontal="right"/>
    </xf>
    <xf numFmtId="298" fontId="240" fillId="44" borderId="28">
      <alignment horizontal="right"/>
    </xf>
    <xf numFmtId="0" fontId="240" fillId="44" borderId="28">
      <alignment horizontal="right"/>
    </xf>
    <xf numFmtId="0" fontId="240" fillId="44" borderId="28">
      <alignment horizontal="right"/>
    </xf>
    <xf numFmtId="298" fontId="240" fillId="44" borderId="28">
      <alignment horizontal="right"/>
    </xf>
    <xf numFmtId="0" fontId="240" fillId="44" borderId="28">
      <alignment horizontal="right"/>
    </xf>
    <xf numFmtId="0" fontId="240" fillId="44" borderId="28">
      <alignment horizontal="right"/>
    </xf>
    <xf numFmtId="298" fontId="240" fillId="44" borderId="28">
      <alignment horizontal="right"/>
    </xf>
    <xf numFmtId="0" fontId="240" fillId="44" borderId="28">
      <alignment horizontal="right"/>
    </xf>
    <xf numFmtId="0" fontId="50" fillId="44" borderId="28">
      <alignment horizontal="right"/>
    </xf>
    <xf numFmtId="0" fontId="50" fillId="44" borderId="28">
      <alignment horizontal="right"/>
    </xf>
    <xf numFmtId="0" fontId="50" fillId="44" borderId="28">
      <alignment horizontal="right"/>
    </xf>
    <xf numFmtId="0" fontId="240" fillId="44" borderId="28">
      <alignment horizontal="right"/>
    </xf>
    <xf numFmtId="298" fontId="240" fillId="44" borderId="28">
      <alignment horizontal="right"/>
    </xf>
    <xf numFmtId="0" fontId="240" fillId="44" borderId="28">
      <alignment horizontal="right"/>
    </xf>
    <xf numFmtId="0" fontId="240" fillId="44" borderId="28">
      <alignment horizontal="right"/>
    </xf>
    <xf numFmtId="298" fontId="240" fillId="44" borderId="28">
      <alignment horizontal="right"/>
    </xf>
    <xf numFmtId="0" fontId="240" fillId="44" borderId="28">
      <alignment horizontal="right"/>
    </xf>
    <xf numFmtId="0" fontId="50" fillId="44" borderId="28">
      <alignment horizontal="right"/>
    </xf>
    <xf numFmtId="0" fontId="50" fillId="44" borderId="28">
      <alignment horizontal="right"/>
    </xf>
    <xf numFmtId="0" fontId="50" fillId="44" borderId="28">
      <alignment horizontal="right"/>
    </xf>
    <xf numFmtId="0" fontId="50" fillId="44" borderId="28">
      <alignment horizontal="right"/>
    </xf>
    <xf numFmtId="0" fontId="50" fillId="44" borderId="28">
      <alignment horizontal="right"/>
    </xf>
    <xf numFmtId="0" fontId="50" fillId="44" borderId="28">
      <alignment horizontal="right"/>
    </xf>
    <xf numFmtId="0" fontId="240" fillId="44" borderId="28">
      <alignment horizontal="right"/>
    </xf>
    <xf numFmtId="298" fontId="240" fillId="44" borderId="28">
      <alignment horizontal="right"/>
    </xf>
    <xf numFmtId="0" fontId="240" fillId="44" borderId="28">
      <alignment horizontal="right"/>
    </xf>
    <xf numFmtId="0" fontId="240" fillId="44" borderId="28">
      <alignment horizontal="right"/>
    </xf>
    <xf numFmtId="298" fontId="240" fillId="44" borderId="28">
      <alignment horizontal="right"/>
    </xf>
    <xf numFmtId="0" fontId="240" fillId="44" borderId="28">
      <alignment horizontal="right"/>
    </xf>
    <xf numFmtId="0" fontId="240" fillId="44" borderId="28">
      <alignment horizontal="right"/>
    </xf>
    <xf numFmtId="249" fontId="240" fillId="44" borderId="28">
      <alignment horizontal="right"/>
    </xf>
    <xf numFmtId="0" fontId="240" fillId="44" borderId="28">
      <alignment horizontal="right"/>
    </xf>
    <xf numFmtId="0" fontId="240" fillId="44" borderId="28">
      <alignment horizontal="right"/>
    </xf>
    <xf numFmtId="249" fontId="240" fillId="44" borderId="28">
      <alignment horizontal="right"/>
    </xf>
    <xf numFmtId="0" fontId="240" fillId="44" borderId="28">
      <alignment horizontal="right"/>
    </xf>
    <xf numFmtId="0" fontId="240" fillId="44" borderId="28">
      <alignment horizontal="right"/>
    </xf>
    <xf numFmtId="298" fontId="240" fillId="44" borderId="28">
      <alignment horizontal="right"/>
    </xf>
    <xf numFmtId="0" fontId="240" fillId="44" borderId="28">
      <alignment horizontal="right"/>
    </xf>
    <xf numFmtId="0" fontId="240" fillId="44" borderId="28">
      <alignment horizontal="right"/>
    </xf>
    <xf numFmtId="298" fontId="240" fillId="44" borderId="28">
      <alignment horizontal="right"/>
    </xf>
    <xf numFmtId="0" fontId="240" fillId="44" borderId="28">
      <alignment horizontal="right"/>
    </xf>
    <xf numFmtId="0" fontId="50" fillId="44" borderId="28">
      <alignment horizontal="right"/>
    </xf>
    <xf numFmtId="0" fontId="50" fillId="44" borderId="28">
      <alignment horizontal="right"/>
    </xf>
    <xf numFmtId="0" fontId="50" fillId="44" borderId="28">
      <alignment horizontal="right"/>
    </xf>
    <xf numFmtId="0" fontId="50" fillId="44" borderId="28">
      <alignment horizontal="right"/>
    </xf>
    <xf numFmtId="0" fontId="50" fillId="44" borderId="28">
      <alignment horizontal="right"/>
    </xf>
    <xf numFmtId="0" fontId="50" fillId="44" borderId="28">
      <alignment horizontal="right"/>
    </xf>
    <xf numFmtId="0" fontId="240" fillId="44" borderId="28">
      <alignment horizontal="right"/>
    </xf>
    <xf numFmtId="298" fontId="240" fillId="44" borderId="28">
      <alignment horizontal="right"/>
    </xf>
    <xf numFmtId="0" fontId="240" fillId="44" borderId="28">
      <alignment horizontal="right"/>
    </xf>
    <xf numFmtId="0" fontId="240" fillId="44" borderId="28">
      <alignment horizontal="right"/>
    </xf>
    <xf numFmtId="298" fontId="240" fillId="44" borderId="28">
      <alignment horizontal="right"/>
    </xf>
    <xf numFmtId="0" fontId="240" fillId="44" borderId="28">
      <alignment horizontal="right"/>
    </xf>
    <xf numFmtId="0" fontId="240" fillId="44" borderId="28">
      <alignment horizontal="right"/>
    </xf>
    <xf numFmtId="249" fontId="240" fillId="44" borderId="28">
      <alignment horizontal="right"/>
    </xf>
    <xf numFmtId="0" fontId="240" fillId="44" borderId="28">
      <alignment horizontal="right"/>
    </xf>
    <xf numFmtId="0" fontId="240" fillId="44" borderId="28">
      <alignment horizontal="right"/>
    </xf>
    <xf numFmtId="249" fontId="240" fillId="44" borderId="28">
      <alignment horizontal="right"/>
    </xf>
    <xf numFmtId="0" fontId="240" fillId="44" borderId="28">
      <alignment horizontal="right"/>
    </xf>
    <xf numFmtId="0" fontId="240" fillId="44" borderId="28">
      <alignment horizontal="right"/>
    </xf>
    <xf numFmtId="298" fontId="240" fillId="44" borderId="28">
      <alignment horizontal="right"/>
    </xf>
    <xf numFmtId="0" fontId="240" fillId="44" borderId="28">
      <alignment horizontal="right"/>
    </xf>
    <xf numFmtId="0" fontId="240" fillId="44" borderId="28">
      <alignment horizontal="right"/>
    </xf>
    <xf numFmtId="298" fontId="240" fillId="44" borderId="28">
      <alignment horizontal="right"/>
    </xf>
    <xf numFmtId="0" fontId="240" fillId="44" borderId="28">
      <alignment horizontal="right"/>
    </xf>
    <xf numFmtId="299" fontId="47" fillId="0" borderId="0" applyFont="0" applyFill="0" applyBorder="0" applyAlignment="0" applyProtection="0"/>
    <xf numFmtId="37" fontId="8" fillId="44" borderId="0" applyNumberFormat="0" applyFont="0" applyBorder="0" applyAlignment="0"/>
    <xf numFmtId="37" fontId="8" fillId="44" borderId="0" applyNumberFormat="0" applyFont="0" applyBorder="0" applyAlignment="0"/>
    <xf numFmtId="37" fontId="8" fillId="135" borderId="0" applyNumberFormat="0" applyFont="0" applyBorder="0" applyAlignment="0"/>
    <xf numFmtId="37" fontId="8" fillId="135" borderId="0" applyNumberFormat="0" applyFont="0" applyBorder="0" applyAlignment="0"/>
    <xf numFmtId="164" fontId="8" fillId="44" borderId="0" applyFont="0" applyAlignment="0"/>
    <xf numFmtId="164" fontId="8" fillId="44" borderId="0" applyFont="0" applyAlignment="0"/>
    <xf numFmtId="164" fontId="8" fillId="135" borderId="0" applyFont="0" applyBorder="0" applyAlignment="0"/>
    <xf numFmtId="164" fontId="8" fillId="135" borderId="0" applyFont="0" applyBorder="0" applyAlignment="0"/>
    <xf numFmtId="298" fontId="233" fillId="0" borderId="0">
      <protection locked="0"/>
    </xf>
    <xf numFmtId="0" fontId="233" fillId="0" borderId="0">
      <protection locked="0"/>
    </xf>
    <xf numFmtId="0" fontId="241" fillId="0" borderId="0"/>
    <xf numFmtId="0" fontId="242" fillId="0" borderId="0" applyNumberFormat="0" applyAlignment="0"/>
    <xf numFmtId="0" fontId="8" fillId="0" borderId="0" applyFont="0" applyFill="0" applyBorder="0" applyAlignment="0" applyProtection="0">
      <alignment vertical="top"/>
    </xf>
    <xf numFmtId="300" fontId="8" fillId="0" borderId="0" applyFont="0" applyFill="0" applyBorder="0" applyAlignment="0" applyProtection="0"/>
    <xf numFmtId="300" fontId="8" fillId="0" borderId="0" applyFont="0" applyFill="0" applyBorder="0" applyAlignment="0" applyProtection="0"/>
    <xf numFmtId="301" fontId="44" fillId="0" borderId="0" applyFont="0" applyFill="0" applyBorder="0" applyAlignment="0" applyProtection="0"/>
    <xf numFmtId="302" fontId="44" fillId="0" borderId="0" applyFont="0" applyFill="0" applyBorder="0" applyAlignment="0" applyProtection="0"/>
    <xf numFmtId="303" fontId="6" fillId="49" borderId="0" applyFont="0" applyFill="0" applyBorder="0" applyAlignment="0" applyProtection="0"/>
    <xf numFmtId="184" fontId="8" fillId="0" borderId="0" applyFont="0" applyFill="0" applyBorder="0" applyAlignment="0" applyProtection="0"/>
    <xf numFmtId="184" fontId="8" fillId="0" borderId="0" applyFont="0" applyFill="0" applyBorder="0" applyAlignment="0" applyProtection="0"/>
    <xf numFmtId="304" fontId="40" fillId="0" borderId="6"/>
    <xf numFmtId="288" fontId="8" fillId="0" borderId="6" applyFont="0" applyFill="0" applyBorder="0" applyAlignment="0" applyProtection="0">
      <alignment horizontal="right"/>
    </xf>
    <xf numFmtId="288" fontId="8" fillId="0" borderId="6" applyFont="0" applyFill="0" applyBorder="0" applyAlignment="0" applyProtection="0">
      <alignment horizontal="right"/>
    </xf>
    <xf numFmtId="15" fontId="63" fillId="0" borderId="0"/>
    <xf numFmtId="15" fontId="63" fillId="0" borderId="0"/>
    <xf numFmtId="188" fontId="233" fillId="0" borderId="0">
      <protection locked="0"/>
    </xf>
    <xf numFmtId="188" fontId="233" fillId="0" borderId="0">
      <protection locked="0"/>
    </xf>
    <xf numFmtId="188" fontId="233" fillId="0" borderId="0">
      <protection locked="0"/>
    </xf>
    <xf numFmtId="188" fontId="233" fillId="0" borderId="0">
      <protection locked="0"/>
    </xf>
    <xf numFmtId="188" fontId="233" fillId="0" borderId="0">
      <protection locked="0"/>
    </xf>
    <xf numFmtId="188" fontId="233" fillId="0" borderId="0">
      <protection locked="0"/>
    </xf>
    <xf numFmtId="188" fontId="233" fillId="0" borderId="0">
      <protection locked="0"/>
    </xf>
    <xf numFmtId="188" fontId="233" fillId="0" borderId="0">
      <protection locked="0"/>
    </xf>
    <xf numFmtId="0" fontId="8" fillId="0" borderId="0" applyFont="0" applyFill="0" applyBorder="0" applyAlignment="0" applyProtection="0">
      <alignment vertical="top"/>
    </xf>
    <xf numFmtId="188" fontId="233" fillId="0" borderId="0">
      <protection locked="0"/>
    </xf>
    <xf numFmtId="188" fontId="233" fillId="0" borderId="0">
      <protection locked="0"/>
    </xf>
    <xf numFmtId="188" fontId="233" fillId="0" borderId="0">
      <protection locked="0"/>
    </xf>
    <xf numFmtId="188" fontId="233" fillId="0" borderId="0">
      <protection locked="0"/>
    </xf>
    <xf numFmtId="188" fontId="233" fillId="0" borderId="0">
      <protection locked="0"/>
    </xf>
    <xf numFmtId="188" fontId="233" fillId="0" borderId="0">
      <protection locked="0"/>
    </xf>
    <xf numFmtId="188" fontId="233" fillId="0" borderId="0">
      <protection locked="0"/>
    </xf>
    <xf numFmtId="188" fontId="233" fillId="0" borderId="0">
      <protection locked="0"/>
    </xf>
    <xf numFmtId="188" fontId="233" fillId="0" borderId="0">
      <protection locked="0"/>
    </xf>
    <xf numFmtId="188" fontId="233" fillId="0" borderId="0">
      <protection locked="0"/>
    </xf>
    <xf numFmtId="0" fontId="8" fillId="0" borderId="0" applyFont="0" applyFill="0" applyBorder="0" applyAlignment="0" applyProtection="0">
      <alignment vertical="top"/>
    </xf>
    <xf numFmtId="188" fontId="233" fillId="0" borderId="0">
      <protection locked="0"/>
    </xf>
    <xf numFmtId="188" fontId="233" fillId="0" borderId="0">
      <protection locked="0"/>
    </xf>
    <xf numFmtId="188" fontId="233" fillId="0" borderId="0">
      <protection locked="0"/>
    </xf>
    <xf numFmtId="188" fontId="233" fillId="0" borderId="0">
      <protection locked="0"/>
    </xf>
    <xf numFmtId="188" fontId="233" fillId="0" borderId="0">
      <protection locked="0"/>
    </xf>
    <xf numFmtId="188" fontId="233" fillId="0" borderId="0">
      <protection locked="0"/>
    </xf>
    <xf numFmtId="188" fontId="233" fillId="0" borderId="0">
      <protection locked="0"/>
    </xf>
    <xf numFmtId="188" fontId="233" fillId="0" borderId="0">
      <protection locked="0"/>
    </xf>
    <xf numFmtId="188" fontId="233" fillId="0" borderId="0">
      <protection locked="0"/>
    </xf>
    <xf numFmtId="15" fontId="63" fillId="0" borderId="0" applyFont="0" applyFill="0" applyBorder="0" applyAlignment="0" applyProtection="0">
      <alignment horizontal="left"/>
    </xf>
    <xf numFmtId="0" fontId="8" fillId="0" borderId="0" applyFont="0" applyFill="0" applyBorder="0" applyAlignment="0" applyProtection="0">
      <alignment vertical="top"/>
    </xf>
    <xf numFmtId="15" fontId="63" fillId="0" borderId="0"/>
    <xf numFmtId="15" fontId="63" fillId="0" borderId="0"/>
    <xf numFmtId="15" fontId="63" fillId="0" borderId="0"/>
    <xf numFmtId="15" fontId="63" fillId="0" borderId="0"/>
    <xf numFmtId="15" fontId="63" fillId="0" borderId="0"/>
    <xf numFmtId="305" fontId="228" fillId="0" borderId="0" applyFont="0" applyFill="0" applyBorder="0" applyAlignment="0" applyProtection="0"/>
    <xf numFmtId="306" fontId="228" fillId="0" borderId="0" applyFont="0" applyFill="0" applyBorder="0" applyAlignment="0" applyProtection="0"/>
    <xf numFmtId="305" fontId="228" fillId="0" borderId="0" applyFont="0" applyFill="0" applyBorder="0" applyAlignment="0" applyProtection="0"/>
    <xf numFmtId="0" fontId="243" fillId="0" borderId="6"/>
    <xf numFmtId="14" fontId="64" fillId="0" borderId="0" applyFill="0" applyBorder="0" applyAlignment="0"/>
    <xf numFmtId="14" fontId="64" fillId="0" borderId="0" applyFill="0" applyBorder="0" applyAlignment="0"/>
    <xf numFmtId="188" fontId="233" fillId="0" borderId="0">
      <protection locked="0"/>
    </xf>
    <xf numFmtId="14" fontId="244" fillId="0" borderId="0">
      <alignment horizontal="right"/>
      <protection locked="0"/>
    </xf>
    <xf numFmtId="199" fontId="6" fillId="0" borderId="0" applyFill="0" applyBorder="0">
      <alignment horizontal="right"/>
    </xf>
    <xf numFmtId="307" fontId="245" fillId="123" borderId="0" applyFont="0" applyFill="0" applyBorder="0" applyAlignment="0" applyProtection="0">
      <alignment vertical="center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0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188" fontId="8" fillId="0" borderId="0" applyFont="0" applyFill="0" applyBorder="0" applyProtection="0">
      <alignment horizontal="left"/>
    </xf>
    <xf numFmtId="0" fontId="143" fillId="0" borderId="77" applyNumberFormat="0">
      <protection locked="0"/>
    </xf>
    <xf numFmtId="165" fontId="246" fillId="0" borderId="0"/>
    <xf numFmtId="308" fontId="8" fillId="0" borderId="0" applyFont="0" applyFill="0" applyBorder="0" applyAlignment="0" applyProtection="0"/>
    <xf numFmtId="37" fontId="169" fillId="136" borderId="56" applyNumberFormat="0" applyAlignment="0">
      <alignment horizontal="left"/>
    </xf>
    <xf numFmtId="4" fontId="247" fillId="0" borderId="0" applyFont="0" applyFill="0" applyBorder="0" applyAlignment="0" applyProtection="0"/>
    <xf numFmtId="0" fontId="233" fillId="0" borderId="0">
      <protection locked="0"/>
    </xf>
    <xf numFmtId="0" fontId="8" fillId="0" borderId="0" applyFill="0" applyBorder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 applyFill="0" applyBorder="0"/>
    <xf numFmtId="0" fontId="67" fillId="0" borderId="0"/>
    <xf numFmtId="309" fontId="228" fillId="0" borderId="78" applyNumberFormat="0" applyFont="0" applyFill="0" applyAlignment="0" applyProtection="0"/>
    <xf numFmtId="0" fontId="248" fillId="137" borderId="0" applyNumberFormat="0" applyBorder="0" applyAlignment="0" applyProtection="0"/>
    <xf numFmtId="0" fontId="248" fillId="138" borderId="0" applyNumberFormat="0" applyBorder="0" applyAlignment="0" applyProtection="0"/>
    <xf numFmtId="0" fontId="248" fillId="139" borderId="0" applyNumberFormat="0" applyBorder="0" applyAlignment="0" applyProtection="0"/>
    <xf numFmtId="0" fontId="248" fillId="140" borderId="0" applyNumberFormat="0" applyBorder="0" applyAlignment="0" applyProtection="0"/>
    <xf numFmtId="0" fontId="248" fillId="141" borderId="0" applyNumberFormat="0" applyBorder="0" applyAlignment="0" applyProtection="0"/>
    <xf numFmtId="0" fontId="249" fillId="0" borderId="0">
      <protection locked="0"/>
    </xf>
    <xf numFmtId="0" fontId="249" fillId="0" borderId="0">
      <protection locked="0"/>
    </xf>
    <xf numFmtId="0" fontId="250" fillId="0" borderId="0" applyNumberFormat="0" applyFill="0" applyBorder="0" applyAlignment="0" applyProtection="0"/>
    <xf numFmtId="0" fontId="250" fillId="0" borderId="0" applyNumberFormat="0" applyFill="0" applyBorder="0" applyAlignment="0" applyProtection="0"/>
    <xf numFmtId="0" fontId="251" fillId="0" borderId="0" applyNumberFormat="0" applyFill="0" applyBorder="0" applyAlignment="0" applyProtection="0"/>
    <xf numFmtId="0" fontId="252" fillId="0" borderId="0" applyNumberFormat="0" applyFill="0" applyBorder="0" applyAlignment="0" applyProtection="0"/>
    <xf numFmtId="0" fontId="250" fillId="0" borderId="0" applyNumberFormat="0" applyFill="0" applyBorder="0" applyAlignment="0" applyProtection="0"/>
    <xf numFmtId="0" fontId="252" fillId="0" borderId="0" applyNumberFormat="0" applyFill="0" applyBorder="0" applyAlignment="0" applyProtection="0"/>
    <xf numFmtId="0" fontId="252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0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0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2" fillId="0" borderId="0" applyNumberFormat="0" applyFill="0" applyBorder="0" applyAlignment="0" applyProtection="0"/>
    <xf numFmtId="0" fontId="252" fillId="0" borderId="0" applyNumberFormat="0" applyFill="0" applyBorder="0" applyAlignment="0" applyProtection="0"/>
    <xf numFmtId="0" fontId="250" fillId="0" borderId="0" applyNumberFormat="0" applyFill="0" applyBorder="0" applyAlignment="0" applyProtection="0"/>
    <xf numFmtId="0" fontId="250" fillId="0" borderId="0" applyNumberFormat="0" applyFill="0" applyBorder="0" applyAlignment="0" applyProtection="0"/>
    <xf numFmtId="0" fontId="250" fillId="0" borderId="0" applyNumberFormat="0" applyFill="0" applyBorder="0" applyAlignment="0" applyProtection="0"/>
    <xf numFmtId="0" fontId="250" fillId="0" borderId="0" applyNumberFormat="0" applyFill="0" applyBorder="0" applyAlignment="0" applyProtection="0"/>
    <xf numFmtId="0" fontId="250" fillId="0" borderId="0" applyNumberFormat="0" applyFill="0" applyBorder="0" applyAlignment="0" applyProtection="0"/>
    <xf numFmtId="0" fontId="250" fillId="0" borderId="0" applyNumberFormat="0" applyFill="0" applyBorder="0" applyAlignment="0" applyProtection="0"/>
    <xf numFmtId="0" fontId="250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0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0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2" fillId="0" borderId="0" applyNumberFormat="0" applyFill="0" applyBorder="0" applyAlignment="0" applyProtection="0"/>
    <xf numFmtId="0" fontId="252" fillId="0" borderId="0" applyNumberFormat="0" applyFill="0" applyBorder="0" applyAlignment="0" applyProtection="0"/>
    <xf numFmtId="0" fontId="250" fillId="0" borderId="0" applyNumberFormat="0" applyFill="0" applyBorder="0" applyAlignment="0" applyProtection="0"/>
    <xf numFmtId="0" fontId="250" fillId="0" borderId="0" applyNumberFormat="0" applyFill="0" applyBorder="0" applyAlignment="0" applyProtection="0"/>
    <xf numFmtId="0" fontId="250" fillId="0" borderId="0" applyNumberFormat="0" applyFill="0" applyBorder="0" applyAlignment="0" applyProtection="0"/>
    <xf numFmtId="0" fontId="250" fillId="0" borderId="0" applyNumberFormat="0" applyFill="0" applyBorder="0" applyAlignment="0" applyProtection="0"/>
    <xf numFmtId="0" fontId="252" fillId="0" borderId="0" applyNumberFormat="0" applyFill="0" applyBorder="0" applyAlignment="0" applyProtection="0"/>
    <xf numFmtId="0" fontId="252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0" fillId="0" borderId="0" applyNumberFormat="0" applyFill="0" applyBorder="0" applyAlignment="0" applyProtection="0"/>
    <xf numFmtId="0" fontId="250" fillId="0" borderId="0" applyNumberFormat="0" applyFill="0" applyBorder="0" applyAlignment="0" applyProtection="0"/>
    <xf numFmtId="0" fontId="250" fillId="0" borderId="0" applyNumberFormat="0" applyFill="0" applyBorder="0" applyAlignment="0" applyProtection="0"/>
    <xf numFmtId="0" fontId="250" fillId="0" borderId="0" applyNumberFormat="0" applyFill="0" applyBorder="0" applyAlignment="0" applyProtection="0"/>
    <xf numFmtId="0" fontId="250" fillId="0" borderId="0" applyNumberFormat="0" applyFill="0" applyBorder="0" applyAlignment="0" applyProtection="0"/>
    <xf numFmtId="0" fontId="250" fillId="0" borderId="0" applyNumberFormat="0" applyFill="0" applyBorder="0" applyAlignment="0" applyProtection="0"/>
    <xf numFmtId="0" fontId="250" fillId="0" borderId="0" applyNumberFormat="0" applyFill="0" applyBorder="0" applyAlignment="0" applyProtection="0"/>
    <xf numFmtId="0" fontId="250" fillId="0" borderId="0" applyNumberFormat="0" applyFill="0" applyBorder="0" applyAlignment="0" applyProtection="0"/>
    <xf numFmtId="0" fontId="250" fillId="0" borderId="0" applyNumberFormat="0" applyFill="0" applyBorder="0" applyAlignment="0" applyProtection="0"/>
    <xf numFmtId="0" fontId="250" fillId="0" borderId="0" applyNumberFormat="0" applyFill="0" applyBorder="0" applyAlignment="0" applyProtection="0"/>
    <xf numFmtId="0" fontId="250" fillId="0" borderId="0" applyNumberFormat="0" applyFill="0" applyBorder="0" applyAlignment="0" applyProtection="0"/>
    <xf numFmtId="0" fontId="250" fillId="0" borderId="0" applyNumberFormat="0" applyFill="0" applyBorder="0" applyAlignment="0" applyProtection="0"/>
    <xf numFmtId="0" fontId="250" fillId="0" borderId="0" applyNumberFormat="0" applyFill="0" applyBorder="0" applyAlignment="0" applyProtection="0"/>
    <xf numFmtId="0" fontId="250" fillId="0" borderId="0" applyNumberFormat="0" applyFill="0" applyBorder="0" applyAlignment="0" applyProtection="0"/>
    <xf numFmtId="0" fontId="248" fillId="142" borderId="0" applyNumberFormat="0" applyBorder="0" applyAlignment="0" applyProtection="0"/>
    <xf numFmtId="0" fontId="248" fillId="142" borderId="0" applyNumberFormat="0" applyBorder="0" applyAlignment="0" applyProtection="0"/>
    <xf numFmtId="0" fontId="248" fillId="143" borderId="0" applyNumberFormat="0" applyBorder="0" applyAlignment="0" applyProtection="0"/>
    <xf numFmtId="0" fontId="248" fillId="143" borderId="0" applyNumberFormat="0" applyBorder="0" applyAlignment="0" applyProtection="0"/>
    <xf numFmtId="0" fontId="248" fillId="144" borderId="0" applyNumberFormat="0" applyBorder="0" applyAlignment="0" applyProtection="0"/>
    <xf numFmtId="0" fontId="248" fillId="144" borderId="0" applyNumberFormat="0" applyBorder="0" applyAlignment="0" applyProtection="0"/>
    <xf numFmtId="0" fontId="88" fillId="106" borderId="0" applyNumberFormat="0" applyBorder="0" applyAlignment="0" applyProtection="0"/>
    <xf numFmtId="0" fontId="88" fillId="106" borderId="0" applyNumberFormat="0" applyBorder="0" applyAlignment="0" applyProtection="0"/>
    <xf numFmtId="0" fontId="88" fillId="100" borderId="0" applyNumberFormat="0" applyBorder="0" applyAlignment="0" applyProtection="0"/>
    <xf numFmtId="0" fontId="254" fillId="93" borderId="0" applyNumberFormat="0" applyBorder="0" applyAlignment="0" applyProtection="0"/>
    <xf numFmtId="0" fontId="254" fillId="93" borderId="0" applyNumberFormat="0" applyBorder="0" applyAlignment="0" applyProtection="0"/>
    <xf numFmtId="0" fontId="1" fillId="98" borderId="0" applyNumberFormat="0" applyBorder="0" applyAlignment="0" applyProtection="0"/>
    <xf numFmtId="0" fontId="1" fillId="98" borderId="0" applyNumberFormat="0" applyBorder="0" applyAlignment="0" applyProtection="0"/>
    <xf numFmtId="0" fontId="1" fillId="98" borderId="0" applyNumberFormat="0" applyBorder="0" applyAlignment="0" applyProtection="0"/>
    <xf numFmtId="0" fontId="125" fillId="99" borderId="0" applyNumberFormat="0" applyBorder="0" applyAlignment="0" applyProtection="0"/>
    <xf numFmtId="0" fontId="125" fillId="145" borderId="0" applyNumberFormat="0" applyBorder="0" applyAlignment="0" applyProtection="0"/>
    <xf numFmtId="0" fontId="125" fillId="145" borderId="0" applyNumberFormat="0" applyBorder="0" applyAlignment="0" applyProtection="0"/>
    <xf numFmtId="0" fontId="125" fillId="145" borderId="0" applyNumberFormat="0" applyBorder="0" applyAlignment="0" applyProtection="0"/>
    <xf numFmtId="0" fontId="125" fillId="145" borderId="0" applyNumberFormat="0" applyBorder="0" applyAlignment="0" applyProtection="0"/>
    <xf numFmtId="0" fontId="125" fillId="145" borderId="0" applyNumberFormat="0" applyBorder="0" applyAlignment="0" applyProtection="0"/>
    <xf numFmtId="0" fontId="125" fillId="145" borderId="0" applyNumberFormat="0" applyBorder="0" applyAlignment="0" applyProtection="0"/>
    <xf numFmtId="0" fontId="125" fillId="145" borderId="0" applyNumberFormat="0" applyBorder="0" applyAlignment="0" applyProtection="0"/>
    <xf numFmtId="0" fontId="1" fillId="98" borderId="0" applyNumberFormat="0" applyBorder="0" applyAlignment="0" applyProtection="0"/>
    <xf numFmtId="0" fontId="125" fillId="95" borderId="0" applyNumberFormat="0" applyBorder="0" applyAlignment="0" applyProtection="0"/>
    <xf numFmtId="0" fontId="125" fillId="95" borderId="0" applyNumberFormat="0" applyBorder="0" applyAlignment="0" applyProtection="0"/>
    <xf numFmtId="0" fontId="125" fillId="98" borderId="0" applyNumberFormat="0" applyBorder="0" applyAlignment="0" applyProtection="0"/>
    <xf numFmtId="0" fontId="125" fillId="98" borderId="0" applyNumberFormat="0" applyBorder="0" applyAlignment="0" applyProtection="0"/>
    <xf numFmtId="0" fontId="125" fillId="98" borderId="0" applyNumberFormat="0" applyBorder="0" applyAlignment="0" applyProtection="0"/>
    <xf numFmtId="0" fontId="125" fillId="98" borderId="0" applyNumberFormat="0" applyBorder="0" applyAlignment="0" applyProtection="0"/>
    <xf numFmtId="0" fontId="125" fillId="98" borderId="0" applyNumberFormat="0" applyBorder="0" applyAlignment="0" applyProtection="0"/>
    <xf numFmtId="0" fontId="125" fillId="98" borderId="0" applyNumberFormat="0" applyBorder="0" applyAlignment="0" applyProtection="0"/>
    <xf numFmtId="0" fontId="125" fillId="98" borderId="0" applyNumberFormat="0" applyBorder="0" applyAlignment="0" applyProtection="0"/>
    <xf numFmtId="0" fontId="1" fillId="98" borderId="0" applyNumberFormat="0" applyBorder="0" applyAlignment="0" applyProtection="0"/>
    <xf numFmtId="0" fontId="125" fillId="98" borderId="0" applyNumberFormat="0" applyBorder="0" applyAlignment="0" applyProtection="0"/>
    <xf numFmtId="0" fontId="125" fillId="98" borderId="0" applyNumberFormat="0" applyBorder="0" applyAlignment="0" applyProtection="0"/>
    <xf numFmtId="0" fontId="125" fillId="98" borderId="0" applyNumberFormat="0" applyBorder="0" applyAlignment="0" applyProtection="0"/>
    <xf numFmtId="0" fontId="125" fillId="98" borderId="0" applyNumberFormat="0" applyBorder="0" applyAlignment="0" applyProtection="0"/>
    <xf numFmtId="0" fontId="125" fillId="98" borderId="0" applyNumberFormat="0" applyBorder="0" applyAlignment="0" applyProtection="0"/>
    <xf numFmtId="0" fontId="125" fillId="98" borderId="0" applyNumberFormat="0" applyBorder="0" applyAlignment="0" applyProtection="0"/>
    <xf numFmtId="0" fontId="125" fillId="98" borderId="0" applyNumberFormat="0" applyBorder="0" applyAlignment="0" applyProtection="0"/>
    <xf numFmtId="0" fontId="125" fillId="98" borderId="0" applyNumberFormat="0" applyBorder="0" applyAlignment="0" applyProtection="0"/>
    <xf numFmtId="0" fontId="125" fillId="98" borderId="0" applyNumberFormat="0" applyBorder="0" applyAlignment="0" applyProtection="0"/>
    <xf numFmtId="0" fontId="125" fillId="98" borderId="0" applyNumberFormat="0" applyBorder="0" applyAlignment="0" applyProtection="0"/>
    <xf numFmtId="0" fontId="1" fillId="98" borderId="0" applyNumberFormat="0" applyBorder="0" applyAlignment="0" applyProtection="0"/>
    <xf numFmtId="0" fontId="125" fillId="98" borderId="0" applyNumberFormat="0" applyBorder="0" applyAlignment="0" applyProtection="0"/>
    <xf numFmtId="0" fontId="125" fillId="98" borderId="0" applyNumberFormat="0" applyBorder="0" applyAlignment="0" applyProtection="0"/>
    <xf numFmtId="0" fontId="125" fillId="98" borderId="0" applyNumberFormat="0" applyBorder="0" applyAlignment="0" applyProtection="0"/>
    <xf numFmtId="0" fontId="125" fillId="98" borderId="0" applyNumberFormat="0" applyBorder="0" applyAlignment="0" applyProtection="0"/>
    <xf numFmtId="0" fontId="125" fillId="98" borderId="0" applyNumberFormat="0" applyBorder="0" applyAlignment="0" applyProtection="0"/>
    <xf numFmtId="0" fontId="125" fillId="98" borderId="0" applyNumberFormat="0" applyBorder="0" applyAlignment="0" applyProtection="0"/>
    <xf numFmtId="0" fontId="125" fillId="95" borderId="0" applyNumberFormat="0" applyBorder="0" applyAlignment="0" applyProtection="0"/>
    <xf numFmtId="0" fontId="125" fillId="95" borderId="0" applyNumberFormat="0" applyBorder="0" applyAlignment="0" applyProtection="0"/>
    <xf numFmtId="0" fontId="1" fillId="98" borderId="0" applyNumberFormat="0" applyBorder="0" applyAlignment="0" applyProtection="0"/>
    <xf numFmtId="0" fontId="1" fillId="98" borderId="0" applyNumberFormat="0" applyBorder="0" applyAlignment="0" applyProtection="0"/>
    <xf numFmtId="0" fontId="1" fillId="98" borderId="0" applyNumberFormat="0" applyBorder="0" applyAlignment="0" applyProtection="0"/>
    <xf numFmtId="0" fontId="1" fillId="98" borderId="0" applyNumberFormat="0" applyBorder="0" applyAlignment="0" applyProtection="0"/>
    <xf numFmtId="0" fontId="1" fillId="98" borderId="0" applyNumberFormat="0" applyBorder="0" applyAlignment="0" applyProtection="0"/>
    <xf numFmtId="0" fontId="1" fillId="98" borderId="0" applyNumberFormat="0" applyBorder="0" applyAlignment="0" applyProtection="0"/>
    <xf numFmtId="0" fontId="1" fillId="98" borderId="0" applyNumberFormat="0" applyBorder="0" applyAlignment="0" applyProtection="0"/>
    <xf numFmtId="0" fontId="125" fillId="145" borderId="0" applyNumberFormat="0" applyBorder="0" applyAlignment="0" applyProtection="0"/>
    <xf numFmtId="0" fontId="125" fillId="145" borderId="0" applyNumberFormat="0" applyBorder="0" applyAlignment="0" applyProtection="0"/>
    <xf numFmtId="0" fontId="125" fillId="145" borderId="0" applyNumberFormat="0" applyBorder="0" applyAlignment="0" applyProtection="0"/>
    <xf numFmtId="0" fontId="125" fillId="145" borderId="0" applyNumberFormat="0" applyBorder="0" applyAlignment="0" applyProtection="0"/>
    <xf numFmtId="0" fontId="125" fillId="145" borderId="0" applyNumberFormat="0" applyBorder="0" applyAlignment="0" applyProtection="0"/>
    <xf numFmtId="0" fontId="25" fillId="10" borderId="0" applyNumberFormat="0" applyBorder="0" applyAlignment="0" applyProtection="0"/>
    <xf numFmtId="0" fontId="125" fillId="98" borderId="0" applyNumberFormat="0" applyBorder="0" applyAlignment="0" applyProtection="0"/>
    <xf numFmtId="0" fontId="125" fillId="98" borderId="0" applyNumberFormat="0" applyBorder="0" applyAlignment="0" applyProtection="0"/>
    <xf numFmtId="0" fontId="125" fillId="98" borderId="0" applyNumberFormat="0" applyBorder="0" applyAlignment="0" applyProtection="0"/>
    <xf numFmtId="0" fontId="125" fillId="98" borderId="0" applyNumberFormat="0" applyBorder="0" applyAlignment="0" applyProtection="0"/>
    <xf numFmtId="0" fontId="125" fillId="98" borderId="0" applyNumberFormat="0" applyBorder="0" applyAlignment="0" applyProtection="0"/>
    <xf numFmtId="0" fontId="125" fillId="98" borderId="0" applyNumberFormat="0" applyBorder="0" applyAlignment="0" applyProtection="0"/>
    <xf numFmtId="0" fontId="125" fillId="98" borderId="0" applyNumberFormat="0" applyBorder="0" applyAlignment="0" applyProtection="0"/>
    <xf numFmtId="0" fontId="125" fillId="98" borderId="0" applyNumberFormat="0" applyBorder="0" applyAlignment="0" applyProtection="0"/>
    <xf numFmtId="0" fontId="125" fillId="98" borderId="0" applyNumberFormat="0" applyBorder="0" applyAlignment="0" applyProtection="0"/>
    <xf numFmtId="0" fontId="125" fillId="98" borderId="0" applyNumberFormat="0" applyBorder="0" applyAlignment="0" applyProtection="0"/>
    <xf numFmtId="0" fontId="1" fillId="98" borderId="0" applyNumberFormat="0" applyBorder="0" applyAlignment="0" applyProtection="0"/>
    <xf numFmtId="0" fontId="125" fillId="98" borderId="0" applyNumberFormat="0" applyBorder="0" applyAlignment="0" applyProtection="0"/>
    <xf numFmtId="0" fontId="125" fillId="98" borderId="0" applyNumberFormat="0" applyBorder="0" applyAlignment="0" applyProtection="0"/>
    <xf numFmtId="0" fontId="125" fillId="98" borderId="0" applyNumberFormat="0" applyBorder="0" applyAlignment="0" applyProtection="0"/>
    <xf numFmtId="0" fontId="125" fillId="98" borderId="0" applyNumberFormat="0" applyBorder="0" applyAlignment="0" applyProtection="0"/>
    <xf numFmtId="0" fontId="125" fillId="98" borderId="0" applyNumberFormat="0" applyBorder="0" applyAlignment="0" applyProtection="0"/>
    <xf numFmtId="0" fontId="125" fillId="98" borderId="0" applyNumberFormat="0" applyBorder="0" applyAlignment="0" applyProtection="0"/>
    <xf numFmtId="0" fontId="125" fillId="98" borderId="0" applyNumberFormat="0" applyBorder="0" applyAlignment="0" applyProtection="0"/>
    <xf numFmtId="0" fontId="125" fillId="98" borderId="0" applyNumberFormat="0" applyBorder="0" applyAlignment="0" applyProtection="0"/>
    <xf numFmtId="0" fontId="125" fillId="98" borderId="0" applyNumberFormat="0" applyBorder="0" applyAlignment="0" applyProtection="0"/>
    <xf numFmtId="0" fontId="125" fillId="98" borderId="0" applyNumberFormat="0" applyBorder="0" applyAlignment="0" applyProtection="0"/>
    <xf numFmtId="0" fontId="1" fillId="98" borderId="0" applyNumberFormat="0" applyBorder="0" applyAlignment="0" applyProtection="0"/>
    <xf numFmtId="0" fontId="125" fillId="98" borderId="0" applyNumberFormat="0" applyBorder="0" applyAlignment="0" applyProtection="0"/>
    <xf numFmtId="0" fontId="125" fillId="98" borderId="0" applyNumberFormat="0" applyBorder="0" applyAlignment="0" applyProtection="0"/>
    <xf numFmtId="0" fontId="125" fillId="95" borderId="0" applyNumberFormat="0" applyBorder="0" applyAlignment="0" applyProtection="0"/>
    <xf numFmtId="0" fontId="125" fillId="95" borderId="0" applyNumberFormat="0" applyBorder="0" applyAlignment="0" applyProtection="0"/>
    <xf numFmtId="0" fontId="1" fillId="98" borderId="0" applyNumberFormat="0" applyBorder="0" applyAlignment="0" applyProtection="0"/>
    <xf numFmtId="0" fontId="1" fillId="98" borderId="0" applyNumberFormat="0" applyBorder="0" applyAlignment="0" applyProtection="0"/>
    <xf numFmtId="0" fontId="1" fillId="98" borderId="0" applyNumberFormat="0" applyBorder="0" applyAlignment="0" applyProtection="0"/>
    <xf numFmtId="0" fontId="1" fillId="98" borderId="0" applyNumberFormat="0" applyBorder="0" applyAlignment="0" applyProtection="0"/>
    <xf numFmtId="0" fontId="125" fillId="95" borderId="0" applyNumberFormat="0" applyBorder="0" applyAlignment="0" applyProtection="0"/>
    <xf numFmtId="0" fontId="125" fillId="95" borderId="0" applyNumberFormat="0" applyBorder="0" applyAlignment="0" applyProtection="0"/>
    <xf numFmtId="0" fontId="125" fillId="98" borderId="0" applyNumberFormat="0" applyBorder="0" applyAlignment="0" applyProtection="0"/>
    <xf numFmtId="0" fontId="1" fillId="98" borderId="0" applyNumberFormat="0" applyBorder="0" applyAlignment="0" applyProtection="0"/>
    <xf numFmtId="0" fontId="1" fillId="98" borderId="0" applyNumberFormat="0" applyBorder="0" applyAlignment="0" applyProtection="0"/>
    <xf numFmtId="0" fontId="1" fillId="98" borderId="0" applyNumberFormat="0" applyBorder="0" applyAlignment="0" applyProtection="0"/>
    <xf numFmtId="0" fontId="1" fillId="98" borderId="0" applyNumberFormat="0" applyBorder="0" applyAlignment="0" applyProtection="0"/>
    <xf numFmtId="0" fontId="1" fillId="98" borderId="0" applyNumberFormat="0" applyBorder="0" applyAlignment="0" applyProtection="0"/>
    <xf numFmtId="0" fontId="1" fillId="98" borderId="0" applyNumberFormat="0" applyBorder="0" applyAlignment="0" applyProtection="0"/>
    <xf numFmtId="0" fontId="1" fillId="98" borderId="0" applyNumberFormat="0" applyBorder="0" applyAlignment="0" applyProtection="0"/>
    <xf numFmtId="0" fontId="1" fillId="98" borderId="0" applyNumberFormat="0" applyBorder="0" applyAlignment="0" applyProtection="0"/>
    <xf numFmtId="0" fontId="1" fillId="98" borderId="0" applyNumberFormat="0" applyBorder="0" applyAlignment="0" applyProtection="0"/>
    <xf numFmtId="0" fontId="1" fillId="98" borderId="0" applyNumberFormat="0" applyBorder="0" applyAlignment="0" applyProtection="0"/>
    <xf numFmtId="0" fontId="1" fillId="98" borderId="0" applyNumberFormat="0" applyBorder="0" applyAlignment="0" applyProtection="0"/>
    <xf numFmtId="0" fontId="1" fillId="98" borderId="0" applyNumberFormat="0" applyBorder="0" applyAlignment="0" applyProtection="0"/>
    <xf numFmtId="0" fontId="1" fillId="98" borderId="0" applyNumberFormat="0" applyBorder="0" applyAlignment="0" applyProtection="0"/>
    <xf numFmtId="0" fontId="1" fillId="98" borderId="0" applyNumberFormat="0" applyBorder="0" applyAlignment="0" applyProtection="0"/>
    <xf numFmtId="0" fontId="88" fillId="146" borderId="0" applyNumberFormat="0" applyBorder="0" applyAlignment="0" applyProtection="0"/>
    <xf numFmtId="0" fontId="88" fillId="146" borderId="0" applyNumberFormat="0" applyBorder="0" applyAlignment="0" applyProtection="0"/>
    <xf numFmtId="0" fontId="88" fillId="92" borderId="0" applyNumberFormat="0" applyBorder="0" applyAlignment="0" applyProtection="0"/>
    <xf numFmtId="0" fontId="88" fillId="92" borderId="0" applyNumberFormat="0" applyBorder="0" applyAlignment="0" applyProtection="0"/>
    <xf numFmtId="0" fontId="254" fillId="104" borderId="0" applyNumberFormat="0" applyBorder="0" applyAlignment="0" applyProtection="0"/>
    <xf numFmtId="0" fontId="254" fillId="104" borderId="0" applyNumberFormat="0" applyBorder="0" applyAlignment="0" applyProtection="0"/>
    <xf numFmtId="0" fontId="1" fillId="105" borderId="0" applyNumberFormat="0" applyBorder="0" applyAlignment="0" applyProtection="0"/>
    <xf numFmtId="0" fontId="1" fillId="105" borderId="0" applyNumberFormat="0" applyBorder="0" applyAlignment="0" applyProtection="0"/>
    <xf numFmtId="0" fontId="1" fillId="105" borderId="0" applyNumberFormat="0" applyBorder="0" applyAlignment="0" applyProtection="0"/>
    <xf numFmtId="0" fontId="125" fillId="84" borderId="0" applyNumberFormat="0" applyBorder="0" applyAlignment="0" applyProtection="0"/>
    <xf numFmtId="0" fontId="125" fillId="147" borderId="0" applyNumberFormat="0" applyBorder="0" applyAlignment="0" applyProtection="0"/>
    <xf numFmtId="0" fontId="125" fillId="147" borderId="0" applyNumberFormat="0" applyBorder="0" applyAlignment="0" applyProtection="0"/>
    <xf numFmtId="0" fontId="125" fillId="147" borderId="0" applyNumberFormat="0" applyBorder="0" applyAlignment="0" applyProtection="0"/>
    <xf numFmtId="0" fontId="125" fillId="147" borderId="0" applyNumberFormat="0" applyBorder="0" applyAlignment="0" applyProtection="0"/>
    <xf numFmtId="0" fontId="125" fillId="147" borderId="0" applyNumberFormat="0" applyBorder="0" applyAlignment="0" applyProtection="0"/>
    <xf numFmtId="0" fontId="125" fillId="147" borderId="0" applyNumberFormat="0" applyBorder="0" applyAlignment="0" applyProtection="0"/>
    <xf numFmtId="0" fontId="125" fillId="147" borderId="0" applyNumberFormat="0" applyBorder="0" applyAlignment="0" applyProtection="0"/>
    <xf numFmtId="0" fontId="1" fillId="105" borderId="0" applyNumberFormat="0" applyBorder="0" applyAlignment="0" applyProtection="0"/>
    <xf numFmtId="0" fontId="125" fillId="147" borderId="0" applyNumberFormat="0" applyBorder="0" applyAlignment="0" applyProtection="0"/>
    <xf numFmtId="0" fontId="125" fillId="147" borderId="0" applyNumberFormat="0" applyBorder="0" applyAlignment="0" applyProtection="0"/>
    <xf numFmtId="0" fontId="125" fillId="105" borderId="0" applyNumberFormat="0" applyBorder="0" applyAlignment="0" applyProtection="0"/>
    <xf numFmtId="0" fontId="125" fillId="105" borderId="0" applyNumberFormat="0" applyBorder="0" applyAlignment="0" applyProtection="0"/>
    <xf numFmtId="0" fontId="125" fillId="105" borderId="0" applyNumberFormat="0" applyBorder="0" applyAlignment="0" applyProtection="0"/>
    <xf numFmtId="0" fontId="125" fillId="105" borderId="0" applyNumberFormat="0" applyBorder="0" applyAlignment="0" applyProtection="0"/>
    <xf numFmtId="0" fontId="125" fillId="105" borderId="0" applyNumberFormat="0" applyBorder="0" applyAlignment="0" applyProtection="0"/>
    <xf numFmtId="0" fontId="125" fillId="105" borderId="0" applyNumberFormat="0" applyBorder="0" applyAlignment="0" applyProtection="0"/>
    <xf numFmtId="0" fontId="125" fillId="105" borderId="0" applyNumberFormat="0" applyBorder="0" applyAlignment="0" applyProtection="0"/>
    <xf numFmtId="0" fontId="1" fillId="105" borderId="0" applyNumberFormat="0" applyBorder="0" applyAlignment="0" applyProtection="0"/>
    <xf numFmtId="0" fontId="125" fillId="105" borderId="0" applyNumberFormat="0" applyBorder="0" applyAlignment="0" applyProtection="0"/>
    <xf numFmtId="0" fontId="125" fillId="105" borderId="0" applyNumberFormat="0" applyBorder="0" applyAlignment="0" applyProtection="0"/>
    <xf numFmtId="0" fontId="125" fillId="105" borderId="0" applyNumberFormat="0" applyBorder="0" applyAlignment="0" applyProtection="0"/>
    <xf numFmtId="0" fontId="125" fillId="105" borderId="0" applyNumberFormat="0" applyBorder="0" applyAlignment="0" applyProtection="0"/>
    <xf numFmtId="0" fontId="125" fillId="105" borderId="0" applyNumberFormat="0" applyBorder="0" applyAlignment="0" applyProtection="0"/>
    <xf numFmtId="0" fontId="125" fillId="105" borderId="0" applyNumberFormat="0" applyBorder="0" applyAlignment="0" applyProtection="0"/>
    <xf numFmtId="0" fontId="125" fillId="105" borderId="0" applyNumberFormat="0" applyBorder="0" applyAlignment="0" applyProtection="0"/>
    <xf numFmtId="0" fontId="125" fillId="105" borderId="0" applyNumberFormat="0" applyBorder="0" applyAlignment="0" applyProtection="0"/>
    <xf numFmtId="0" fontId="125" fillId="105" borderId="0" applyNumberFormat="0" applyBorder="0" applyAlignment="0" applyProtection="0"/>
    <xf numFmtId="0" fontId="125" fillId="105" borderId="0" applyNumberFormat="0" applyBorder="0" applyAlignment="0" applyProtection="0"/>
    <xf numFmtId="0" fontId="1" fillId="105" borderId="0" applyNumberFormat="0" applyBorder="0" applyAlignment="0" applyProtection="0"/>
    <xf numFmtId="0" fontId="125" fillId="105" borderId="0" applyNumberFormat="0" applyBorder="0" applyAlignment="0" applyProtection="0"/>
    <xf numFmtId="0" fontId="125" fillId="105" borderId="0" applyNumberFormat="0" applyBorder="0" applyAlignment="0" applyProtection="0"/>
    <xf numFmtId="0" fontId="125" fillId="105" borderId="0" applyNumberFormat="0" applyBorder="0" applyAlignment="0" applyProtection="0"/>
    <xf numFmtId="0" fontId="125" fillId="105" borderId="0" applyNumberFormat="0" applyBorder="0" applyAlignment="0" applyProtection="0"/>
    <xf numFmtId="0" fontId="125" fillId="105" borderId="0" applyNumberFormat="0" applyBorder="0" applyAlignment="0" applyProtection="0"/>
    <xf numFmtId="0" fontId="125" fillId="105" borderId="0" applyNumberFormat="0" applyBorder="0" applyAlignment="0" applyProtection="0"/>
    <xf numFmtId="0" fontId="125" fillId="147" borderId="0" applyNumberFormat="0" applyBorder="0" applyAlignment="0" applyProtection="0"/>
    <xf numFmtId="0" fontId="125" fillId="147" borderId="0" applyNumberFormat="0" applyBorder="0" applyAlignment="0" applyProtection="0"/>
    <xf numFmtId="0" fontId="1" fillId="105" borderId="0" applyNumberFormat="0" applyBorder="0" applyAlignment="0" applyProtection="0"/>
    <xf numFmtId="0" fontId="1" fillId="105" borderId="0" applyNumberFormat="0" applyBorder="0" applyAlignment="0" applyProtection="0"/>
    <xf numFmtId="0" fontId="1" fillId="105" borderId="0" applyNumberFormat="0" applyBorder="0" applyAlignment="0" applyProtection="0"/>
    <xf numFmtId="0" fontId="1" fillId="105" borderId="0" applyNumberFormat="0" applyBorder="0" applyAlignment="0" applyProtection="0"/>
    <xf numFmtId="0" fontId="1" fillId="105" borderId="0" applyNumberFormat="0" applyBorder="0" applyAlignment="0" applyProtection="0"/>
    <xf numFmtId="0" fontId="1" fillId="105" borderId="0" applyNumberFormat="0" applyBorder="0" applyAlignment="0" applyProtection="0"/>
    <xf numFmtId="0" fontId="1" fillId="105" borderId="0" applyNumberFormat="0" applyBorder="0" applyAlignment="0" applyProtection="0"/>
    <xf numFmtId="0" fontId="125" fillId="147" borderId="0" applyNumberFormat="0" applyBorder="0" applyAlignment="0" applyProtection="0"/>
    <xf numFmtId="0" fontId="125" fillId="147" borderId="0" applyNumberFormat="0" applyBorder="0" applyAlignment="0" applyProtection="0"/>
    <xf numFmtId="0" fontId="125" fillId="147" borderId="0" applyNumberFormat="0" applyBorder="0" applyAlignment="0" applyProtection="0"/>
    <xf numFmtId="0" fontId="125" fillId="147" borderId="0" applyNumberFormat="0" applyBorder="0" applyAlignment="0" applyProtection="0"/>
    <xf numFmtId="0" fontId="125" fillId="147" borderId="0" applyNumberFormat="0" applyBorder="0" applyAlignment="0" applyProtection="0"/>
    <xf numFmtId="0" fontId="25" fillId="14" borderId="0" applyNumberFormat="0" applyBorder="0" applyAlignment="0" applyProtection="0"/>
    <xf numFmtId="0" fontId="125" fillId="105" borderId="0" applyNumberFormat="0" applyBorder="0" applyAlignment="0" applyProtection="0"/>
    <xf numFmtId="0" fontId="125" fillId="105" borderId="0" applyNumberFormat="0" applyBorder="0" applyAlignment="0" applyProtection="0"/>
    <xf numFmtId="0" fontId="125" fillId="105" borderId="0" applyNumberFormat="0" applyBorder="0" applyAlignment="0" applyProtection="0"/>
    <xf numFmtId="0" fontId="125" fillId="105" borderId="0" applyNumberFormat="0" applyBorder="0" applyAlignment="0" applyProtection="0"/>
    <xf numFmtId="0" fontId="125" fillId="105" borderId="0" applyNumberFormat="0" applyBorder="0" applyAlignment="0" applyProtection="0"/>
    <xf numFmtId="0" fontId="125" fillId="105" borderId="0" applyNumberFormat="0" applyBorder="0" applyAlignment="0" applyProtection="0"/>
    <xf numFmtId="0" fontId="125" fillId="105" borderId="0" applyNumberFormat="0" applyBorder="0" applyAlignment="0" applyProtection="0"/>
    <xf numFmtId="0" fontId="125" fillId="105" borderId="0" applyNumberFormat="0" applyBorder="0" applyAlignment="0" applyProtection="0"/>
    <xf numFmtId="0" fontId="125" fillId="105" borderId="0" applyNumberFormat="0" applyBorder="0" applyAlignment="0" applyProtection="0"/>
    <xf numFmtId="0" fontId="125" fillId="105" borderId="0" applyNumberFormat="0" applyBorder="0" applyAlignment="0" applyProtection="0"/>
    <xf numFmtId="0" fontId="1" fillId="105" borderId="0" applyNumberFormat="0" applyBorder="0" applyAlignment="0" applyProtection="0"/>
    <xf numFmtId="0" fontId="125" fillId="105" borderId="0" applyNumberFormat="0" applyBorder="0" applyAlignment="0" applyProtection="0"/>
    <xf numFmtId="0" fontId="125" fillId="105" borderId="0" applyNumberFormat="0" applyBorder="0" applyAlignment="0" applyProtection="0"/>
    <xf numFmtId="0" fontId="125" fillId="105" borderId="0" applyNumberFormat="0" applyBorder="0" applyAlignment="0" applyProtection="0"/>
    <xf numFmtId="0" fontId="125" fillId="105" borderId="0" applyNumberFormat="0" applyBorder="0" applyAlignment="0" applyProtection="0"/>
    <xf numFmtId="0" fontId="125" fillId="105" borderId="0" applyNumberFormat="0" applyBorder="0" applyAlignment="0" applyProtection="0"/>
    <xf numFmtId="0" fontId="125" fillId="105" borderId="0" applyNumberFormat="0" applyBorder="0" applyAlignment="0" applyProtection="0"/>
    <xf numFmtId="0" fontId="125" fillId="105" borderId="0" applyNumberFormat="0" applyBorder="0" applyAlignment="0" applyProtection="0"/>
    <xf numFmtId="0" fontId="125" fillId="105" borderId="0" applyNumberFormat="0" applyBorder="0" applyAlignment="0" applyProtection="0"/>
    <xf numFmtId="0" fontId="125" fillId="105" borderId="0" applyNumberFormat="0" applyBorder="0" applyAlignment="0" applyProtection="0"/>
    <xf numFmtId="0" fontId="125" fillId="105" borderId="0" applyNumberFormat="0" applyBorder="0" applyAlignment="0" applyProtection="0"/>
    <xf numFmtId="0" fontId="1" fillId="105" borderId="0" applyNumberFormat="0" applyBorder="0" applyAlignment="0" applyProtection="0"/>
    <xf numFmtId="0" fontId="125" fillId="105" borderId="0" applyNumberFormat="0" applyBorder="0" applyAlignment="0" applyProtection="0"/>
    <xf numFmtId="0" fontId="125" fillId="105" borderId="0" applyNumberFormat="0" applyBorder="0" applyAlignment="0" applyProtection="0"/>
    <xf numFmtId="0" fontId="125" fillId="147" borderId="0" applyNumberFormat="0" applyBorder="0" applyAlignment="0" applyProtection="0"/>
    <xf numFmtId="0" fontId="125" fillId="147" borderId="0" applyNumberFormat="0" applyBorder="0" applyAlignment="0" applyProtection="0"/>
    <xf numFmtId="0" fontId="1" fillId="105" borderId="0" applyNumberFormat="0" applyBorder="0" applyAlignment="0" applyProtection="0"/>
    <xf numFmtId="0" fontId="1" fillId="105" borderId="0" applyNumberFormat="0" applyBorder="0" applyAlignment="0" applyProtection="0"/>
    <xf numFmtId="0" fontId="1" fillId="105" borderId="0" applyNumberFormat="0" applyBorder="0" applyAlignment="0" applyProtection="0"/>
    <xf numFmtId="0" fontId="1" fillId="105" borderId="0" applyNumberFormat="0" applyBorder="0" applyAlignment="0" applyProtection="0"/>
    <xf numFmtId="0" fontId="125" fillId="147" borderId="0" applyNumberFormat="0" applyBorder="0" applyAlignment="0" applyProtection="0"/>
    <xf numFmtId="0" fontId="125" fillId="147" borderId="0" applyNumberFormat="0" applyBorder="0" applyAlignment="0" applyProtection="0"/>
    <xf numFmtId="0" fontId="125" fillId="105" borderId="0" applyNumberFormat="0" applyBorder="0" applyAlignment="0" applyProtection="0"/>
    <xf numFmtId="0" fontId="1" fillId="105" borderId="0" applyNumberFormat="0" applyBorder="0" applyAlignment="0" applyProtection="0"/>
    <xf numFmtId="0" fontId="1" fillId="105" borderId="0" applyNumberFormat="0" applyBorder="0" applyAlignment="0" applyProtection="0"/>
    <xf numFmtId="0" fontId="1" fillId="105" borderId="0" applyNumberFormat="0" applyBorder="0" applyAlignment="0" applyProtection="0"/>
    <xf numFmtId="0" fontId="1" fillId="105" borderId="0" applyNumberFormat="0" applyBorder="0" applyAlignment="0" applyProtection="0"/>
    <xf numFmtId="0" fontId="1" fillId="105" borderId="0" applyNumberFormat="0" applyBorder="0" applyAlignment="0" applyProtection="0"/>
    <xf numFmtId="0" fontId="1" fillId="105" borderId="0" applyNumberFormat="0" applyBorder="0" applyAlignment="0" applyProtection="0"/>
    <xf numFmtId="0" fontId="1" fillId="105" borderId="0" applyNumberFormat="0" applyBorder="0" applyAlignment="0" applyProtection="0"/>
    <xf numFmtId="0" fontId="1" fillId="105" borderId="0" applyNumberFormat="0" applyBorder="0" applyAlignment="0" applyProtection="0"/>
    <xf numFmtId="0" fontId="1" fillId="105" borderId="0" applyNumberFormat="0" applyBorder="0" applyAlignment="0" applyProtection="0"/>
    <xf numFmtId="0" fontId="1" fillId="105" borderId="0" applyNumberFormat="0" applyBorder="0" applyAlignment="0" applyProtection="0"/>
    <xf numFmtId="0" fontId="1" fillId="105" borderId="0" applyNumberFormat="0" applyBorder="0" applyAlignment="0" applyProtection="0"/>
    <xf numFmtId="0" fontId="1" fillId="105" borderId="0" applyNumberFormat="0" applyBorder="0" applyAlignment="0" applyProtection="0"/>
    <xf numFmtId="0" fontId="1" fillId="105" borderId="0" applyNumberFormat="0" applyBorder="0" applyAlignment="0" applyProtection="0"/>
    <xf numFmtId="0" fontId="1" fillId="105" borderId="0" applyNumberFormat="0" applyBorder="0" applyAlignment="0" applyProtection="0"/>
    <xf numFmtId="0" fontId="88" fillId="146" borderId="0" applyNumberFormat="0" applyBorder="0" applyAlignment="0" applyProtection="0"/>
    <xf numFmtId="0" fontId="88" fillId="146" borderId="0" applyNumberFormat="0" applyBorder="0" applyAlignment="0" applyProtection="0"/>
    <xf numFmtId="0" fontId="88" fillId="120" borderId="0" applyNumberFormat="0" applyBorder="0" applyAlignment="0" applyProtection="0"/>
    <xf numFmtId="0" fontId="88" fillId="120" borderId="0" applyNumberFormat="0" applyBorder="0" applyAlignment="0" applyProtection="0"/>
    <xf numFmtId="0" fontId="254" fillId="92" borderId="0" applyNumberFormat="0" applyBorder="0" applyAlignment="0" applyProtection="0"/>
    <xf numFmtId="0" fontId="254" fillId="92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25" fillId="84" borderId="0" applyNumberFormat="0" applyBorder="0" applyAlignment="0" applyProtection="0"/>
    <xf numFmtId="0" fontId="125" fillId="148" borderId="0" applyNumberFormat="0" applyBorder="0" applyAlignment="0" applyProtection="0"/>
    <xf numFmtId="0" fontId="125" fillId="148" borderId="0" applyNumberFormat="0" applyBorder="0" applyAlignment="0" applyProtection="0"/>
    <xf numFmtId="0" fontId="125" fillId="148" borderId="0" applyNumberFormat="0" applyBorder="0" applyAlignment="0" applyProtection="0"/>
    <xf numFmtId="0" fontId="125" fillId="148" borderId="0" applyNumberFormat="0" applyBorder="0" applyAlignment="0" applyProtection="0"/>
    <xf numFmtId="0" fontId="125" fillId="148" borderId="0" applyNumberFormat="0" applyBorder="0" applyAlignment="0" applyProtection="0"/>
    <xf numFmtId="0" fontId="125" fillId="148" borderId="0" applyNumberFormat="0" applyBorder="0" applyAlignment="0" applyProtection="0"/>
    <xf numFmtId="0" fontId="125" fillId="148" borderId="0" applyNumberFormat="0" applyBorder="0" applyAlignment="0" applyProtection="0"/>
    <xf numFmtId="0" fontId="1" fillId="67" borderId="0" applyNumberFormat="0" applyBorder="0" applyAlignment="0" applyProtection="0"/>
    <xf numFmtId="0" fontId="125" fillId="104" borderId="0" applyNumberFormat="0" applyBorder="0" applyAlignment="0" applyProtection="0"/>
    <xf numFmtId="0" fontId="125" fillId="104" borderId="0" applyNumberFormat="0" applyBorder="0" applyAlignment="0" applyProtection="0"/>
    <xf numFmtId="0" fontId="125" fillId="67" borderId="0" applyNumberFormat="0" applyBorder="0" applyAlignment="0" applyProtection="0"/>
    <xf numFmtId="0" fontId="125" fillId="67" borderId="0" applyNumberFormat="0" applyBorder="0" applyAlignment="0" applyProtection="0"/>
    <xf numFmtId="0" fontId="125" fillId="67" borderId="0" applyNumberFormat="0" applyBorder="0" applyAlignment="0" applyProtection="0"/>
    <xf numFmtId="0" fontId="125" fillId="67" borderId="0" applyNumberFormat="0" applyBorder="0" applyAlignment="0" applyProtection="0"/>
    <xf numFmtId="0" fontId="125" fillId="67" borderId="0" applyNumberFormat="0" applyBorder="0" applyAlignment="0" applyProtection="0"/>
    <xf numFmtId="0" fontId="125" fillId="67" borderId="0" applyNumberFormat="0" applyBorder="0" applyAlignment="0" applyProtection="0"/>
    <xf numFmtId="0" fontId="125" fillId="67" borderId="0" applyNumberFormat="0" applyBorder="0" applyAlignment="0" applyProtection="0"/>
    <xf numFmtId="0" fontId="1" fillId="67" borderId="0" applyNumberFormat="0" applyBorder="0" applyAlignment="0" applyProtection="0"/>
    <xf numFmtId="0" fontId="125" fillId="67" borderId="0" applyNumberFormat="0" applyBorder="0" applyAlignment="0" applyProtection="0"/>
    <xf numFmtId="0" fontId="125" fillId="67" borderId="0" applyNumberFormat="0" applyBorder="0" applyAlignment="0" applyProtection="0"/>
    <xf numFmtId="0" fontId="125" fillId="67" borderId="0" applyNumberFormat="0" applyBorder="0" applyAlignment="0" applyProtection="0"/>
    <xf numFmtId="0" fontId="125" fillId="67" borderId="0" applyNumberFormat="0" applyBorder="0" applyAlignment="0" applyProtection="0"/>
    <xf numFmtId="0" fontId="125" fillId="67" borderId="0" applyNumberFormat="0" applyBorder="0" applyAlignment="0" applyProtection="0"/>
    <xf numFmtId="0" fontId="125" fillId="67" borderId="0" applyNumberFormat="0" applyBorder="0" applyAlignment="0" applyProtection="0"/>
    <xf numFmtId="0" fontId="125" fillId="67" borderId="0" applyNumberFormat="0" applyBorder="0" applyAlignment="0" applyProtection="0"/>
    <xf numFmtId="0" fontId="125" fillId="67" borderId="0" applyNumberFormat="0" applyBorder="0" applyAlignment="0" applyProtection="0"/>
    <xf numFmtId="0" fontId="125" fillId="67" borderId="0" applyNumberFormat="0" applyBorder="0" applyAlignment="0" applyProtection="0"/>
    <xf numFmtId="0" fontId="125" fillId="67" borderId="0" applyNumberFormat="0" applyBorder="0" applyAlignment="0" applyProtection="0"/>
    <xf numFmtId="0" fontId="1" fillId="67" borderId="0" applyNumberFormat="0" applyBorder="0" applyAlignment="0" applyProtection="0"/>
    <xf numFmtId="0" fontId="125" fillId="67" borderId="0" applyNumberFormat="0" applyBorder="0" applyAlignment="0" applyProtection="0"/>
    <xf numFmtId="0" fontId="125" fillId="67" borderId="0" applyNumberFormat="0" applyBorder="0" applyAlignment="0" applyProtection="0"/>
    <xf numFmtId="0" fontId="125" fillId="67" borderId="0" applyNumberFormat="0" applyBorder="0" applyAlignment="0" applyProtection="0"/>
    <xf numFmtId="0" fontId="125" fillId="67" borderId="0" applyNumberFormat="0" applyBorder="0" applyAlignment="0" applyProtection="0"/>
    <xf numFmtId="0" fontId="125" fillId="67" borderId="0" applyNumberFormat="0" applyBorder="0" applyAlignment="0" applyProtection="0"/>
    <xf numFmtId="0" fontId="125" fillId="67" borderId="0" applyNumberFormat="0" applyBorder="0" applyAlignment="0" applyProtection="0"/>
    <xf numFmtId="0" fontId="125" fillId="104" borderId="0" applyNumberFormat="0" applyBorder="0" applyAlignment="0" applyProtection="0"/>
    <xf numFmtId="0" fontId="125" fillId="104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25" fillId="148" borderId="0" applyNumberFormat="0" applyBorder="0" applyAlignment="0" applyProtection="0"/>
    <xf numFmtId="0" fontId="125" fillId="148" borderId="0" applyNumberFormat="0" applyBorder="0" applyAlignment="0" applyProtection="0"/>
    <xf numFmtId="0" fontId="125" fillId="148" borderId="0" applyNumberFormat="0" applyBorder="0" applyAlignment="0" applyProtection="0"/>
    <xf numFmtId="0" fontId="125" fillId="148" borderId="0" applyNumberFormat="0" applyBorder="0" applyAlignment="0" applyProtection="0"/>
    <xf numFmtId="0" fontId="125" fillId="148" borderId="0" applyNumberFormat="0" applyBorder="0" applyAlignment="0" applyProtection="0"/>
    <xf numFmtId="0" fontId="25" fillId="18" borderId="0" applyNumberFormat="0" applyBorder="0" applyAlignment="0" applyProtection="0"/>
    <xf numFmtId="0" fontId="125" fillId="67" borderId="0" applyNumberFormat="0" applyBorder="0" applyAlignment="0" applyProtection="0"/>
    <xf numFmtId="0" fontId="125" fillId="67" borderId="0" applyNumberFormat="0" applyBorder="0" applyAlignment="0" applyProtection="0"/>
    <xf numFmtId="0" fontId="125" fillId="67" borderId="0" applyNumberFormat="0" applyBorder="0" applyAlignment="0" applyProtection="0"/>
    <xf numFmtId="0" fontId="125" fillId="67" borderId="0" applyNumberFormat="0" applyBorder="0" applyAlignment="0" applyProtection="0"/>
    <xf numFmtId="0" fontId="125" fillId="67" borderId="0" applyNumberFormat="0" applyBorder="0" applyAlignment="0" applyProtection="0"/>
    <xf numFmtId="0" fontId="125" fillId="67" borderId="0" applyNumberFormat="0" applyBorder="0" applyAlignment="0" applyProtection="0"/>
    <xf numFmtId="0" fontId="125" fillId="67" borderId="0" applyNumberFormat="0" applyBorder="0" applyAlignment="0" applyProtection="0"/>
    <xf numFmtId="0" fontId="125" fillId="67" borderId="0" applyNumberFormat="0" applyBorder="0" applyAlignment="0" applyProtection="0"/>
    <xf numFmtId="0" fontId="125" fillId="67" borderId="0" applyNumberFormat="0" applyBorder="0" applyAlignment="0" applyProtection="0"/>
    <xf numFmtId="0" fontId="125" fillId="67" borderId="0" applyNumberFormat="0" applyBorder="0" applyAlignment="0" applyProtection="0"/>
    <xf numFmtId="0" fontId="1" fillId="67" borderId="0" applyNumberFormat="0" applyBorder="0" applyAlignment="0" applyProtection="0"/>
    <xf numFmtId="0" fontId="125" fillId="67" borderId="0" applyNumberFormat="0" applyBorder="0" applyAlignment="0" applyProtection="0"/>
    <xf numFmtId="0" fontId="125" fillId="67" borderId="0" applyNumberFormat="0" applyBorder="0" applyAlignment="0" applyProtection="0"/>
    <xf numFmtId="0" fontId="125" fillId="67" borderId="0" applyNumberFormat="0" applyBorder="0" applyAlignment="0" applyProtection="0"/>
    <xf numFmtId="0" fontId="125" fillId="67" borderId="0" applyNumberFormat="0" applyBorder="0" applyAlignment="0" applyProtection="0"/>
    <xf numFmtId="0" fontId="125" fillId="67" borderId="0" applyNumberFormat="0" applyBorder="0" applyAlignment="0" applyProtection="0"/>
    <xf numFmtId="0" fontId="125" fillId="67" borderId="0" applyNumberFormat="0" applyBorder="0" applyAlignment="0" applyProtection="0"/>
    <xf numFmtId="0" fontId="125" fillId="67" borderId="0" applyNumberFormat="0" applyBorder="0" applyAlignment="0" applyProtection="0"/>
    <xf numFmtId="0" fontId="125" fillId="67" borderId="0" applyNumberFormat="0" applyBorder="0" applyAlignment="0" applyProtection="0"/>
    <xf numFmtId="0" fontId="125" fillId="67" borderId="0" applyNumberFormat="0" applyBorder="0" applyAlignment="0" applyProtection="0"/>
    <xf numFmtId="0" fontId="125" fillId="67" borderId="0" applyNumberFormat="0" applyBorder="0" applyAlignment="0" applyProtection="0"/>
    <xf numFmtId="0" fontId="1" fillId="67" borderId="0" applyNumberFormat="0" applyBorder="0" applyAlignment="0" applyProtection="0"/>
    <xf numFmtId="0" fontId="125" fillId="67" borderId="0" applyNumberFormat="0" applyBorder="0" applyAlignment="0" applyProtection="0"/>
    <xf numFmtId="0" fontId="125" fillId="67" borderId="0" applyNumberFormat="0" applyBorder="0" applyAlignment="0" applyProtection="0"/>
    <xf numFmtId="0" fontId="125" fillId="104" borderId="0" applyNumberFormat="0" applyBorder="0" applyAlignment="0" applyProtection="0"/>
    <xf numFmtId="0" fontId="125" fillId="104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25" fillId="104" borderId="0" applyNumberFormat="0" applyBorder="0" applyAlignment="0" applyProtection="0"/>
    <xf numFmtId="0" fontId="125" fillId="104" borderId="0" applyNumberFormat="0" applyBorder="0" applyAlignment="0" applyProtection="0"/>
    <xf numFmtId="0" fontId="125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88" fillId="106" borderId="0" applyNumberFormat="0" applyBorder="0" applyAlignment="0" applyProtection="0"/>
    <xf numFmtId="0" fontId="88" fillId="106" borderId="0" applyNumberFormat="0" applyBorder="0" applyAlignment="0" applyProtection="0"/>
    <xf numFmtId="0" fontId="88" fillId="92" borderId="0" applyNumberFormat="0" applyBorder="0" applyAlignment="0" applyProtection="0"/>
    <xf numFmtId="0" fontId="88" fillId="92" borderId="0" applyNumberFormat="0" applyBorder="0" applyAlignment="0" applyProtection="0"/>
    <xf numFmtId="0" fontId="254" fillId="92" borderId="0" applyNumberFormat="0" applyBorder="0" applyAlignment="0" applyProtection="0"/>
    <xf numFmtId="0" fontId="254" fillId="92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25" fillId="80" borderId="0" applyNumberFormat="0" applyBorder="0" applyAlignment="0" applyProtection="0"/>
    <xf numFmtId="0" fontId="125" fillId="131" borderId="0" applyNumberFormat="0" applyBorder="0" applyAlignment="0" applyProtection="0"/>
    <xf numFmtId="0" fontId="125" fillId="131" borderId="0" applyNumberFormat="0" applyBorder="0" applyAlignment="0" applyProtection="0"/>
    <xf numFmtId="0" fontId="125" fillId="131" borderId="0" applyNumberFormat="0" applyBorder="0" applyAlignment="0" applyProtection="0"/>
    <xf numFmtId="0" fontId="125" fillId="131" borderId="0" applyNumberFormat="0" applyBorder="0" applyAlignment="0" applyProtection="0"/>
    <xf numFmtId="0" fontId="125" fillId="131" borderId="0" applyNumberFormat="0" applyBorder="0" applyAlignment="0" applyProtection="0"/>
    <xf numFmtId="0" fontId="125" fillId="131" borderId="0" applyNumberFormat="0" applyBorder="0" applyAlignment="0" applyProtection="0"/>
    <xf numFmtId="0" fontId="125" fillId="131" borderId="0" applyNumberFormat="0" applyBorder="0" applyAlignment="0" applyProtection="0"/>
    <xf numFmtId="0" fontId="1" fillId="79" borderId="0" applyNumberFormat="0" applyBorder="0" applyAlignment="0" applyProtection="0"/>
    <xf numFmtId="0" fontId="125" fillId="95" borderId="0" applyNumberFormat="0" applyBorder="0" applyAlignment="0" applyProtection="0"/>
    <xf numFmtId="0" fontId="125" fillId="95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95" borderId="0" applyNumberFormat="0" applyBorder="0" applyAlignment="0" applyProtection="0"/>
    <xf numFmtId="0" fontId="125" fillId="95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25" fillId="131" borderId="0" applyNumberFormat="0" applyBorder="0" applyAlignment="0" applyProtection="0"/>
    <xf numFmtId="0" fontId="125" fillId="131" borderId="0" applyNumberFormat="0" applyBorder="0" applyAlignment="0" applyProtection="0"/>
    <xf numFmtId="0" fontId="125" fillId="131" borderId="0" applyNumberFormat="0" applyBorder="0" applyAlignment="0" applyProtection="0"/>
    <xf numFmtId="0" fontId="125" fillId="131" borderId="0" applyNumberFormat="0" applyBorder="0" applyAlignment="0" applyProtection="0"/>
    <xf numFmtId="0" fontId="125" fillId="131" borderId="0" applyNumberFormat="0" applyBorder="0" applyAlignment="0" applyProtection="0"/>
    <xf numFmtId="0" fontId="25" fillId="22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79" borderId="0" applyNumberFormat="0" applyBorder="0" applyAlignment="0" applyProtection="0"/>
    <xf numFmtId="0" fontId="125" fillId="95" borderId="0" applyNumberFormat="0" applyBorder="0" applyAlignment="0" applyProtection="0"/>
    <xf numFmtId="0" fontId="125" fillId="95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25" fillId="95" borderId="0" applyNumberFormat="0" applyBorder="0" applyAlignment="0" applyProtection="0"/>
    <xf numFmtId="0" fontId="125" fillId="95" borderId="0" applyNumberFormat="0" applyBorder="0" applyAlignment="0" applyProtection="0"/>
    <xf numFmtId="0" fontId="125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88" fillId="106" borderId="0" applyNumberFormat="0" applyBorder="0" applyAlignment="0" applyProtection="0"/>
    <xf numFmtId="0" fontId="88" fillId="106" borderId="0" applyNumberFormat="0" applyBorder="0" applyAlignment="0" applyProtection="0"/>
    <xf numFmtId="0" fontId="88" fillId="100" borderId="0" applyNumberFormat="0" applyBorder="0" applyAlignment="0" applyProtection="0"/>
    <xf numFmtId="0" fontId="88" fillId="100" borderId="0" applyNumberFormat="0" applyBorder="0" applyAlignment="0" applyProtection="0"/>
    <xf numFmtId="0" fontId="254" fillId="93" borderId="0" applyNumberFormat="0" applyBorder="0" applyAlignment="0" applyProtection="0"/>
    <xf numFmtId="0" fontId="254" fillId="93" borderId="0" applyNumberFormat="0" applyBorder="0" applyAlignment="0" applyProtection="0"/>
    <xf numFmtId="0" fontId="1" fillId="82" borderId="0" applyNumberFormat="0" applyBorder="0" applyAlignment="0" applyProtection="0"/>
    <xf numFmtId="0" fontId="1" fillId="82" borderId="0" applyNumberFormat="0" applyBorder="0" applyAlignment="0" applyProtection="0"/>
    <xf numFmtId="0" fontId="1" fillId="82" borderId="0" applyNumberFormat="0" applyBorder="0" applyAlignment="0" applyProtection="0"/>
    <xf numFmtId="0" fontId="125" fillId="99" borderId="0" applyNumberFormat="0" applyBorder="0" applyAlignment="0" applyProtection="0"/>
    <xf numFmtId="0" fontId="125" fillId="96" borderId="0" applyNumberFormat="0" applyBorder="0" applyAlignment="0" applyProtection="0"/>
    <xf numFmtId="0" fontId="125" fillId="96" borderId="0" applyNumberFormat="0" applyBorder="0" applyAlignment="0" applyProtection="0"/>
    <xf numFmtId="0" fontId="125" fillId="96" borderId="0" applyNumberFormat="0" applyBorder="0" applyAlignment="0" applyProtection="0"/>
    <xf numFmtId="0" fontId="125" fillId="96" borderId="0" applyNumberFormat="0" applyBorder="0" applyAlignment="0" applyProtection="0"/>
    <xf numFmtId="0" fontId="125" fillId="96" borderId="0" applyNumberFormat="0" applyBorder="0" applyAlignment="0" applyProtection="0"/>
    <xf numFmtId="0" fontId="125" fillId="96" borderId="0" applyNumberFormat="0" applyBorder="0" applyAlignment="0" applyProtection="0"/>
    <xf numFmtId="0" fontId="125" fillId="96" borderId="0" applyNumberFormat="0" applyBorder="0" applyAlignment="0" applyProtection="0"/>
    <xf numFmtId="0" fontId="1" fillId="82" borderId="0" applyNumberFormat="0" applyBorder="0" applyAlignment="0" applyProtection="0"/>
    <xf numFmtId="0" fontId="125" fillId="149" borderId="0" applyNumberFormat="0" applyBorder="0" applyAlignment="0" applyProtection="0"/>
    <xf numFmtId="0" fontId="125" fillId="149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149" borderId="0" applyNumberFormat="0" applyBorder="0" applyAlignment="0" applyProtection="0"/>
    <xf numFmtId="0" fontId="125" fillId="149" borderId="0" applyNumberFormat="0" applyBorder="0" applyAlignment="0" applyProtection="0"/>
    <xf numFmtId="0" fontId="1" fillId="82" borderId="0" applyNumberFormat="0" applyBorder="0" applyAlignment="0" applyProtection="0"/>
    <xf numFmtId="0" fontId="1" fillId="82" borderId="0" applyNumberFormat="0" applyBorder="0" applyAlignment="0" applyProtection="0"/>
    <xf numFmtId="0" fontId="1" fillId="82" borderId="0" applyNumberFormat="0" applyBorder="0" applyAlignment="0" applyProtection="0"/>
    <xf numFmtId="0" fontId="1" fillId="82" borderId="0" applyNumberFormat="0" applyBorder="0" applyAlignment="0" applyProtection="0"/>
    <xf numFmtId="0" fontId="1" fillId="82" borderId="0" applyNumberFormat="0" applyBorder="0" applyAlignment="0" applyProtection="0"/>
    <xf numFmtId="0" fontId="1" fillId="82" borderId="0" applyNumberFormat="0" applyBorder="0" applyAlignment="0" applyProtection="0"/>
    <xf numFmtId="0" fontId="1" fillId="82" borderId="0" applyNumberFormat="0" applyBorder="0" applyAlignment="0" applyProtection="0"/>
    <xf numFmtId="0" fontId="125" fillId="96" borderId="0" applyNumberFormat="0" applyBorder="0" applyAlignment="0" applyProtection="0"/>
    <xf numFmtId="0" fontId="125" fillId="96" borderId="0" applyNumberFormat="0" applyBorder="0" applyAlignment="0" applyProtection="0"/>
    <xf numFmtId="0" fontId="125" fillId="96" borderId="0" applyNumberFormat="0" applyBorder="0" applyAlignment="0" applyProtection="0"/>
    <xf numFmtId="0" fontId="125" fillId="96" borderId="0" applyNumberFormat="0" applyBorder="0" applyAlignment="0" applyProtection="0"/>
    <xf numFmtId="0" fontId="125" fillId="96" borderId="0" applyNumberFormat="0" applyBorder="0" applyAlignment="0" applyProtection="0"/>
    <xf numFmtId="0" fontId="25" fillId="26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82" borderId="0" applyNumberFormat="0" applyBorder="0" applyAlignment="0" applyProtection="0"/>
    <xf numFmtId="0" fontId="125" fillId="149" borderId="0" applyNumberFormat="0" applyBorder="0" applyAlignment="0" applyProtection="0"/>
    <xf numFmtId="0" fontId="125" fillId="149" borderId="0" applyNumberFormat="0" applyBorder="0" applyAlignment="0" applyProtection="0"/>
    <xf numFmtId="0" fontId="1" fillId="82" borderId="0" applyNumberFormat="0" applyBorder="0" applyAlignment="0" applyProtection="0"/>
    <xf numFmtId="0" fontId="1" fillId="82" borderId="0" applyNumberFormat="0" applyBorder="0" applyAlignment="0" applyProtection="0"/>
    <xf numFmtId="0" fontId="1" fillId="82" borderId="0" applyNumberFormat="0" applyBorder="0" applyAlignment="0" applyProtection="0"/>
    <xf numFmtId="0" fontId="1" fillId="82" borderId="0" applyNumberFormat="0" applyBorder="0" applyAlignment="0" applyProtection="0"/>
    <xf numFmtId="0" fontId="125" fillId="149" borderId="0" applyNumberFormat="0" applyBorder="0" applyAlignment="0" applyProtection="0"/>
    <xf numFmtId="0" fontId="125" fillId="149" borderId="0" applyNumberFormat="0" applyBorder="0" applyAlignment="0" applyProtection="0"/>
    <xf numFmtId="0" fontId="125" fillId="82" borderId="0" applyNumberFormat="0" applyBorder="0" applyAlignment="0" applyProtection="0"/>
    <xf numFmtId="0" fontId="1" fillId="82" borderId="0" applyNumberFormat="0" applyBorder="0" applyAlignment="0" applyProtection="0"/>
    <xf numFmtId="0" fontId="1" fillId="82" borderId="0" applyNumberFormat="0" applyBorder="0" applyAlignment="0" applyProtection="0"/>
    <xf numFmtId="0" fontId="1" fillId="82" borderId="0" applyNumberFormat="0" applyBorder="0" applyAlignment="0" applyProtection="0"/>
    <xf numFmtId="0" fontId="1" fillId="82" borderId="0" applyNumberFormat="0" applyBorder="0" applyAlignment="0" applyProtection="0"/>
    <xf numFmtId="0" fontId="1" fillId="82" borderId="0" applyNumberFormat="0" applyBorder="0" applyAlignment="0" applyProtection="0"/>
    <xf numFmtId="0" fontId="1" fillId="82" borderId="0" applyNumberFormat="0" applyBorder="0" applyAlignment="0" applyProtection="0"/>
    <xf numFmtId="0" fontId="1" fillId="82" borderId="0" applyNumberFormat="0" applyBorder="0" applyAlignment="0" applyProtection="0"/>
    <xf numFmtId="0" fontId="1" fillId="82" borderId="0" applyNumberFormat="0" applyBorder="0" applyAlignment="0" applyProtection="0"/>
    <xf numFmtId="0" fontId="1" fillId="82" borderId="0" applyNumberFormat="0" applyBorder="0" applyAlignment="0" applyProtection="0"/>
    <xf numFmtId="0" fontId="1" fillId="82" borderId="0" applyNumberFormat="0" applyBorder="0" applyAlignment="0" applyProtection="0"/>
    <xf numFmtId="0" fontId="1" fillId="82" borderId="0" applyNumberFormat="0" applyBorder="0" applyAlignment="0" applyProtection="0"/>
    <xf numFmtId="0" fontId="1" fillId="82" borderId="0" applyNumberFormat="0" applyBorder="0" applyAlignment="0" applyProtection="0"/>
    <xf numFmtId="0" fontId="1" fillId="82" borderId="0" applyNumberFormat="0" applyBorder="0" applyAlignment="0" applyProtection="0"/>
    <xf numFmtId="0" fontId="1" fillId="82" borderId="0" applyNumberFormat="0" applyBorder="0" applyAlignment="0" applyProtection="0"/>
    <xf numFmtId="0" fontId="88" fillId="146" borderId="0" applyNumberFormat="0" applyBorder="0" applyAlignment="0" applyProtection="0"/>
    <xf numFmtId="0" fontId="88" fillId="146" borderId="0" applyNumberFormat="0" applyBorder="0" applyAlignment="0" applyProtection="0"/>
    <xf numFmtId="0" fontId="88" fillId="111" borderId="0" applyNumberFormat="0" applyBorder="0" applyAlignment="0" applyProtection="0"/>
    <xf numFmtId="0" fontId="88" fillId="111" borderId="0" applyNumberFormat="0" applyBorder="0" applyAlignment="0" applyProtection="0"/>
    <xf numFmtId="0" fontId="254" fillId="111" borderId="0" applyNumberFormat="0" applyBorder="0" applyAlignment="0" applyProtection="0"/>
    <xf numFmtId="0" fontId="254" fillId="111" borderId="0" applyNumberFormat="0" applyBorder="0" applyAlignment="0" applyProtection="0"/>
    <xf numFmtId="0" fontId="1" fillId="84" borderId="0" applyNumberFormat="0" applyBorder="0" applyAlignment="0" applyProtection="0"/>
    <xf numFmtId="0" fontId="1" fillId="84" borderId="0" applyNumberFormat="0" applyBorder="0" applyAlignment="0" applyProtection="0"/>
    <xf numFmtId="0" fontId="1" fillId="84" borderId="0" applyNumberFormat="0" applyBorder="0" applyAlignment="0" applyProtection="0"/>
    <xf numFmtId="0" fontId="125" fillId="83" borderId="0" applyNumberFormat="0" applyBorder="0" applyAlignment="0" applyProtection="0"/>
    <xf numFmtId="0" fontId="125" fillId="150" borderId="0" applyNumberFormat="0" applyBorder="0" applyAlignment="0" applyProtection="0"/>
    <xf numFmtId="0" fontId="125" fillId="150" borderId="0" applyNumberFormat="0" applyBorder="0" applyAlignment="0" applyProtection="0"/>
    <xf numFmtId="0" fontId="125" fillId="150" borderId="0" applyNumberFormat="0" applyBorder="0" applyAlignment="0" applyProtection="0"/>
    <xf numFmtId="0" fontId="125" fillId="150" borderId="0" applyNumberFormat="0" applyBorder="0" applyAlignment="0" applyProtection="0"/>
    <xf numFmtId="0" fontId="125" fillId="150" borderId="0" applyNumberFormat="0" applyBorder="0" applyAlignment="0" applyProtection="0"/>
    <xf numFmtId="0" fontId="125" fillId="150" borderId="0" applyNumberFormat="0" applyBorder="0" applyAlignment="0" applyProtection="0"/>
    <xf numFmtId="0" fontId="125" fillId="150" borderId="0" applyNumberFormat="0" applyBorder="0" applyAlignment="0" applyProtection="0"/>
    <xf numFmtId="0" fontId="1" fillId="84" borderId="0" applyNumberFormat="0" applyBorder="0" applyAlignment="0" applyProtection="0"/>
    <xf numFmtId="0" fontId="125" fillId="151" borderId="0" applyNumberFormat="0" applyBorder="0" applyAlignment="0" applyProtection="0"/>
    <xf numFmtId="0" fontId="125" fillId="151" borderId="0" applyNumberFormat="0" applyBorder="0" applyAlignment="0" applyProtection="0"/>
    <xf numFmtId="0" fontId="125" fillId="84" borderId="0" applyNumberFormat="0" applyBorder="0" applyAlignment="0" applyProtection="0"/>
    <xf numFmtId="0" fontId="125" fillId="84" borderId="0" applyNumberFormat="0" applyBorder="0" applyAlignment="0" applyProtection="0"/>
    <xf numFmtId="0" fontId="125" fillId="84" borderId="0" applyNumberFormat="0" applyBorder="0" applyAlignment="0" applyProtection="0"/>
    <xf numFmtId="0" fontId="125" fillId="84" borderId="0" applyNumberFormat="0" applyBorder="0" applyAlignment="0" applyProtection="0"/>
    <xf numFmtId="0" fontId="125" fillId="84" borderId="0" applyNumberFormat="0" applyBorder="0" applyAlignment="0" applyProtection="0"/>
    <xf numFmtId="0" fontId="125" fillId="84" borderId="0" applyNumberFormat="0" applyBorder="0" applyAlignment="0" applyProtection="0"/>
    <xf numFmtId="0" fontId="125" fillId="84" borderId="0" applyNumberFormat="0" applyBorder="0" applyAlignment="0" applyProtection="0"/>
    <xf numFmtId="0" fontId="1" fillId="84" borderId="0" applyNumberFormat="0" applyBorder="0" applyAlignment="0" applyProtection="0"/>
    <xf numFmtId="0" fontId="125" fillId="84" borderId="0" applyNumberFormat="0" applyBorder="0" applyAlignment="0" applyProtection="0"/>
    <xf numFmtId="0" fontId="125" fillId="84" borderId="0" applyNumberFormat="0" applyBorder="0" applyAlignment="0" applyProtection="0"/>
    <xf numFmtId="0" fontId="125" fillId="84" borderId="0" applyNumberFormat="0" applyBorder="0" applyAlignment="0" applyProtection="0"/>
    <xf numFmtId="0" fontId="125" fillId="84" borderId="0" applyNumberFormat="0" applyBorder="0" applyAlignment="0" applyProtection="0"/>
    <xf numFmtId="0" fontId="125" fillId="84" borderId="0" applyNumberFormat="0" applyBorder="0" applyAlignment="0" applyProtection="0"/>
    <xf numFmtId="0" fontId="125" fillId="84" borderId="0" applyNumberFormat="0" applyBorder="0" applyAlignment="0" applyProtection="0"/>
    <xf numFmtId="0" fontId="125" fillId="84" borderId="0" applyNumberFormat="0" applyBorder="0" applyAlignment="0" applyProtection="0"/>
    <xf numFmtId="0" fontId="125" fillId="84" borderId="0" applyNumberFormat="0" applyBorder="0" applyAlignment="0" applyProtection="0"/>
    <xf numFmtId="0" fontId="125" fillId="84" borderId="0" applyNumberFormat="0" applyBorder="0" applyAlignment="0" applyProtection="0"/>
    <xf numFmtId="0" fontId="125" fillId="84" borderId="0" applyNumberFormat="0" applyBorder="0" applyAlignment="0" applyProtection="0"/>
    <xf numFmtId="0" fontId="1" fillId="84" borderId="0" applyNumberFormat="0" applyBorder="0" applyAlignment="0" applyProtection="0"/>
    <xf numFmtId="0" fontId="125" fillId="84" borderId="0" applyNumberFormat="0" applyBorder="0" applyAlignment="0" applyProtection="0"/>
    <xf numFmtId="0" fontId="125" fillId="84" borderId="0" applyNumberFormat="0" applyBorder="0" applyAlignment="0" applyProtection="0"/>
    <xf numFmtId="0" fontId="125" fillId="84" borderId="0" applyNumberFormat="0" applyBorder="0" applyAlignment="0" applyProtection="0"/>
    <xf numFmtId="0" fontId="125" fillId="84" borderId="0" applyNumberFormat="0" applyBorder="0" applyAlignment="0" applyProtection="0"/>
    <xf numFmtId="0" fontId="125" fillId="84" borderId="0" applyNumberFormat="0" applyBorder="0" applyAlignment="0" applyProtection="0"/>
    <xf numFmtId="0" fontId="125" fillId="84" borderId="0" applyNumberFormat="0" applyBorder="0" applyAlignment="0" applyProtection="0"/>
    <xf numFmtId="0" fontId="125" fillId="151" borderId="0" applyNumberFormat="0" applyBorder="0" applyAlignment="0" applyProtection="0"/>
    <xf numFmtId="0" fontId="125" fillId="151" borderId="0" applyNumberFormat="0" applyBorder="0" applyAlignment="0" applyProtection="0"/>
    <xf numFmtId="0" fontId="1" fillId="84" borderId="0" applyNumberFormat="0" applyBorder="0" applyAlignment="0" applyProtection="0"/>
    <xf numFmtId="0" fontId="1" fillId="84" borderId="0" applyNumberFormat="0" applyBorder="0" applyAlignment="0" applyProtection="0"/>
    <xf numFmtId="0" fontId="1" fillId="84" borderId="0" applyNumberFormat="0" applyBorder="0" applyAlignment="0" applyProtection="0"/>
    <xf numFmtId="0" fontId="1" fillId="84" borderId="0" applyNumberFormat="0" applyBorder="0" applyAlignment="0" applyProtection="0"/>
    <xf numFmtId="0" fontId="1" fillId="84" borderId="0" applyNumberFormat="0" applyBorder="0" applyAlignment="0" applyProtection="0"/>
    <xf numFmtId="0" fontId="1" fillId="84" borderId="0" applyNumberFormat="0" applyBorder="0" applyAlignment="0" applyProtection="0"/>
    <xf numFmtId="0" fontId="1" fillId="84" borderId="0" applyNumberFormat="0" applyBorder="0" applyAlignment="0" applyProtection="0"/>
    <xf numFmtId="0" fontId="125" fillId="150" borderId="0" applyNumberFormat="0" applyBorder="0" applyAlignment="0" applyProtection="0"/>
    <xf numFmtId="0" fontId="125" fillId="150" borderId="0" applyNumberFormat="0" applyBorder="0" applyAlignment="0" applyProtection="0"/>
    <xf numFmtId="0" fontId="125" fillId="150" borderId="0" applyNumberFormat="0" applyBorder="0" applyAlignment="0" applyProtection="0"/>
    <xf numFmtId="0" fontId="125" fillId="150" borderId="0" applyNumberFormat="0" applyBorder="0" applyAlignment="0" applyProtection="0"/>
    <xf numFmtId="0" fontId="125" fillId="150" borderId="0" applyNumberFormat="0" applyBorder="0" applyAlignment="0" applyProtection="0"/>
    <xf numFmtId="0" fontId="25" fillId="30" borderId="0" applyNumberFormat="0" applyBorder="0" applyAlignment="0" applyProtection="0"/>
    <xf numFmtId="0" fontId="125" fillId="84" borderId="0" applyNumberFormat="0" applyBorder="0" applyAlignment="0" applyProtection="0"/>
    <xf numFmtId="0" fontId="125" fillId="84" borderId="0" applyNumberFormat="0" applyBorder="0" applyAlignment="0" applyProtection="0"/>
    <xf numFmtId="0" fontId="125" fillId="84" borderId="0" applyNumberFormat="0" applyBorder="0" applyAlignment="0" applyProtection="0"/>
    <xf numFmtId="0" fontId="125" fillId="84" borderId="0" applyNumberFormat="0" applyBorder="0" applyAlignment="0" applyProtection="0"/>
    <xf numFmtId="0" fontId="125" fillId="84" borderId="0" applyNumberFormat="0" applyBorder="0" applyAlignment="0" applyProtection="0"/>
    <xf numFmtId="0" fontId="125" fillId="84" borderId="0" applyNumberFormat="0" applyBorder="0" applyAlignment="0" applyProtection="0"/>
    <xf numFmtId="0" fontId="125" fillId="84" borderId="0" applyNumberFormat="0" applyBorder="0" applyAlignment="0" applyProtection="0"/>
    <xf numFmtId="0" fontId="125" fillId="84" borderId="0" applyNumberFormat="0" applyBorder="0" applyAlignment="0" applyProtection="0"/>
    <xf numFmtId="0" fontId="125" fillId="84" borderId="0" applyNumberFormat="0" applyBorder="0" applyAlignment="0" applyProtection="0"/>
    <xf numFmtId="0" fontId="125" fillId="84" borderId="0" applyNumberFormat="0" applyBorder="0" applyAlignment="0" applyProtection="0"/>
    <xf numFmtId="0" fontId="1" fillId="84" borderId="0" applyNumberFormat="0" applyBorder="0" applyAlignment="0" applyProtection="0"/>
    <xf numFmtId="0" fontId="125" fillId="84" borderId="0" applyNumberFormat="0" applyBorder="0" applyAlignment="0" applyProtection="0"/>
    <xf numFmtId="0" fontId="125" fillId="84" borderId="0" applyNumberFormat="0" applyBorder="0" applyAlignment="0" applyProtection="0"/>
    <xf numFmtId="0" fontId="125" fillId="84" borderId="0" applyNumberFormat="0" applyBorder="0" applyAlignment="0" applyProtection="0"/>
    <xf numFmtId="0" fontId="125" fillId="84" borderId="0" applyNumberFormat="0" applyBorder="0" applyAlignment="0" applyProtection="0"/>
    <xf numFmtId="0" fontId="125" fillId="84" borderId="0" applyNumberFormat="0" applyBorder="0" applyAlignment="0" applyProtection="0"/>
    <xf numFmtId="0" fontId="125" fillId="84" borderId="0" applyNumberFormat="0" applyBorder="0" applyAlignment="0" applyProtection="0"/>
    <xf numFmtId="0" fontId="125" fillId="84" borderId="0" applyNumberFormat="0" applyBorder="0" applyAlignment="0" applyProtection="0"/>
    <xf numFmtId="0" fontId="125" fillId="84" borderId="0" applyNumberFormat="0" applyBorder="0" applyAlignment="0" applyProtection="0"/>
    <xf numFmtId="0" fontId="125" fillId="84" borderId="0" applyNumberFormat="0" applyBorder="0" applyAlignment="0" applyProtection="0"/>
    <xf numFmtId="0" fontId="125" fillId="84" borderId="0" applyNumberFormat="0" applyBorder="0" applyAlignment="0" applyProtection="0"/>
    <xf numFmtId="0" fontId="1" fillId="84" borderId="0" applyNumberFormat="0" applyBorder="0" applyAlignment="0" applyProtection="0"/>
    <xf numFmtId="0" fontId="125" fillId="84" borderId="0" applyNumberFormat="0" applyBorder="0" applyAlignment="0" applyProtection="0"/>
    <xf numFmtId="0" fontId="125" fillId="84" borderId="0" applyNumberFormat="0" applyBorder="0" applyAlignment="0" applyProtection="0"/>
    <xf numFmtId="0" fontId="125" fillId="151" borderId="0" applyNumberFormat="0" applyBorder="0" applyAlignment="0" applyProtection="0"/>
    <xf numFmtId="0" fontId="125" fillId="151" borderId="0" applyNumberFormat="0" applyBorder="0" applyAlignment="0" applyProtection="0"/>
    <xf numFmtId="0" fontId="1" fillId="84" borderId="0" applyNumberFormat="0" applyBorder="0" applyAlignment="0" applyProtection="0"/>
    <xf numFmtId="0" fontId="1" fillId="84" borderId="0" applyNumberFormat="0" applyBorder="0" applyAlignment="0" applyProtection="0"/>
    <xf numFmtId="0" fontId="1" fillId="84" borderId="0" applyNumberFormat="0" applyBorder="0" applyAlignment="0" applyProtection="0"/>
    <xf numFmtId="0" fontId="1" fillId="84" borderId="0" applyNumberFormat="0" applyBorder="0" applyAlignment="0" applyProtection="0"/>
    <xf numFmtId="0" fontId="125" fillId="151" borderId="0" applyNumberFormat="0" applyBorder="0" applyAlignment="0" applyProtection="0"/>
    <xf numFmtId="0" fontId="125" fillId="151" borderId="0" applyNumberFormat="0" applyBorder="0" applyAlignment="0" applyProtection="0"/>
    <xf numFmtId="0" fontId="125" fillId="84" borderId="0" applyNumberFormat="0" applyBorder="0" applyAlignment="0" applyProtection="0"/>
    <xf numFmtId="0" fontId="1" fillId="84" borderId="0" applyNumberFormat="0" applyBorder="0" applyAlignment="0" applyProtection="0"/>
    <xf numFmtId="0" fontId="1" fillId="84" borderId="0" applyNumberFormat="0" applyBorder="0" applyAlignment="0" applyProtection="0"/>
    <xf numFmtId="0" fontId="1" fillId="84" borderId="0" applyNumberFormat="0" applyBorder="0" applyAlignment="0" applyProtection="0"/>
    <xf numFmtId="0" fontId="1" fillId="84" borderId="0" applyNumberFormat="0" applyBorder="0" applyAlignment="0" applyProtection="0"/>
    <xf numFmtId="0" fontId="1" fillId="84" borderId="0" applyNumberFormat="0" applyBorder="0" applyAlignment="0" applyProtection="0"/>
    <xf numFmtId="0" fontId="1" fillId="84" borderId="0" applyNumberFormat="0" applyBorder="0" applyAlignment="0" applyProtection="0"/>
    <xf numFmtId="0" fontId="1" fillId="84" borderId="0" applyNumberFormat="0" applyBorder="0" applyAlignment="0" applyProtection="0"/>
    <xf numFmtId="0" fontId="1" fillId="84" borderId="0" applyNumberFormat="0" applyBorder="0" applyAlignment="0" applyProtection="0"/>
    <xf numFmtId="0" fontId="1" fillId="84" borderId="0" applyNumberFormat="0" applyBorder="0" applyAlignment="0" applyProtection="0"/>
    <xf numFmtId="0" fontId="1" fillId="84" borderId="0" applyNumberFormat="0" applyBorder="0" applyAlignment="0" applyProtection="0"/>
    <xf numFmtId="0" fontId="1" fillId="84" borderId="0" applyNumberFormat="0" applyBorder="0" applyAlignment="0" applyProtection="0"/>
    <xf numFmtId="0" fontId="1" fillId="84" borderId="0" applyNumberFormat="0" applyBorder="0" applyAlignment="0" applyProtection="0"/>
    <xf numFmtId="0" fontId="1" fillId="84" borderId="0" applyNumberFormat="0" applyBorder="0" applyAlignment="0" applyProtection="0"/>
    <xf numFmtId="0" fontId="1" fillId="84" borderId="0" applyNumberFormat="0" applyBorder="0" applyAlignment="0" applyProtection="0"/>
    <xf numFmtId="256" fontId="143" fillId="0" borderId="0" applyFill="0" applyBorder="0" applyAlignment="0"/>
    <xf numFmtId="252" fontId="143" fillId="0" borderId="0" applyFill="0" applyBorder="0" applyAlignment="0"/>
    <xf numFmtId="256" fontId="143" fillId="0" borderId="0" applyFill="0" applyBorder="0" applyAlignment="0"/>
    <xf numFmtId="257" fontId="143" fillId="0" borderId="0" applyFill="0" applyBorder="0" applyAlignment="0"/>
    <xf numFmtId="252" fontId="143" fillId="0" borderId="0" applyFill="0" applyBorder="0" applyAlignment="0"/>
    <xf numFmtId="0" fontId="255" fillId="0" borderId="0" applyNumberFormat="0" applyAlignment="0">
      <alignment horizontal="left"/>
    </xf>
    <xf numFmtId="0" fontId="256" fillId="68" borderId="31" applyNumberFormat="0" applyAlignment="0" applyProtection="0"/>
    <xf numFmtId="0" fontId="256" fillId="68" borderId="31" applyNumberFormat="0" applyAlignment="0" applyProtection="0"/>
    <xf numFmtId="0" fontId="257" fillId="83" borderId="66" applyNumberFormat="0" applyAlignment="0" applyProtection="0"/>
    <xf numFmtId="0" fontId="258" fillId="111" borderId="67" applyNumberFormat="0" applyAlignment="0" applyProtection="0"/>
    <xf numFmtId="0" fontId="256" fillId="68" borderId="31" applyNumberFormat="0" applyAlignment="0" applyProtection="0"/>
    <xf numFmtId="0" fontId="259" fillId="152" borderId="31" applyNumberFormat="0" applyAlignment="0" applyProtection="0"/>
    <xf numFmtId="0" fontId="259" fillId="152" borderId="31" applyNumberFormat="0" applyAlignment="0" applyProtection="0"/>
    <xf numFmtId="0" fontId="259" fillId="68" borderId="31" applyNumberFormat="0" applyAlignment="0" applyProtection="0"/>
    <xf numFmtId="0" fontId="259" fillId="68" borderId="31" applyNumberFormat="0" applyAlignment="0" applyProtection="0"/>
    <xf numFmtId="0" fontId="259" fillId="68" borderId="31" applyNumberFormat="0" applyAlignment="0" applyProtection="0"/>
    <xf numFmtId="0" fontId="259" fillId="68" borderId="31" applyNumberFormat="0" applyAlignment="0" applyProtection="0"/>
    <xf numFmtId="0" fontId="259" fillId="68" borderId="31" applyNumberFormat="0" applyAlignment="0" applyProtection="0"/>
    <xf numFmtId="0" fontId="259" fillId="68" borderId="31" applyNumberFormat="0" applyAlignment="0" applyProtection="0"/>
    <xf numFmtId="0" fontId="259" fillId="68" borderId="31" applyNumberFormat="0" applyAlignment="0" applyProtection="0"/>
    <xf numFmtId="0" fontId="256" fillId="68" borderId="31" applyNumberFormat="0" applyAlignment="0" applyProtection="0"/>
    <xf numFmtId="0" fontId="259" fillId="68" borderId="31" applyNumberFormat="0" applyAlignment="0" applyProtection="0"/>
    <xf numFmtId="0" fontId="259" fillId="68" borderId="31" applyNumberFormat="0" applyAlignment="0" applyProtection="0"/>
    <xf numFmtId="0" fontId="259" fillId="68" borderId="31" applyNumberFormat="0" applyAlignment="0" applyProtection="0"/>
    <xf numFmtId="0" fontId="259" fillId="68" borderId="31" applyNumberFormat="0" applyAlignment="0" applyProtection="0"/>
    <xf numFmtId="0" fontId="259" fillId="68" borderId="31" applyNumberFormat="0" applyAlignment="0" applyProtection="0"/>
    <xf numFmtId="0" fontId="259" fillId="68" borderId="31" applyNumberFormat="0" applyAlignment="0" applyProtection="0"/>
    <xf numFmtId="0" fontId="259" fillId="68" borderId="31" applyNumberFormat="0" applyAlignment="0" applyProtection="0"/>
    <xf numFmtId="0" fontId="259" fillId="68" borderId="31" applyNumberFormat="0" applyAlignment="0" applyProtection="0"/>
    <xf numFmtId="0" fontId="259" fillId="68" borderId="31" applyNumberFormat="0" applyAlignment="0" applyProtection="0"/>
    <xf numFmtId="0" fontId="259" fillId="68" borderId="31" applyNumberFormat="0" applyAlignment="0" applyProtection="0"/>
    <xf numFmtId="0" fontId="256" fillId="68" borderId="31" applyNumberFormat="0" applyAlignment="0" applyProtection="0"/>
    <xf numFmtId="0" fontId="259" fillId="68" borderId="31" applyNumberFormat="0" applyAlignment="0" applyProtection="0"/>
    <xf numFmtId="0" fontId="259" fillId="68" borderId="31" applyNumberFormat="0" applyAlignment="0" applyProtection="0"/>
    <xf numFmtId="0" fontId="259" fillId="68" borderId="31" applyNumberFormat="0" applyAlignment="0" applyProtection="0"/>
    <xf numFmtId="0" fontId="259" fillId="68" borderId="31" applyNumberFormat="0" applyAlignment="0" applyProtection="0"/>
    <xf numFmtId="0" fontId="259" fillId="68" borderId="31" applyNumberFormat="0" applyAlignment="0" applyProtection="0"/>
    <xf numFmtId="0" fontId="259" fillId="68" borderId="31" applyNumberFormat="0" applyAlignment="0" applyProtection="0"/>
    <xf numFmtId="0" fontId="259" fillId="152" borderId="31" applyNumberFormat="0" applyAlignment="0" applyProtection="0"/>
    <xf numFmtId="0" fontId="259" fillId="152" borderId="31" applyNumberFormat="0" applyAlignment="0" applyProtection="0"/>
    <xf numFmtId="0" fontId="256" fillId="68" borderId="31" applyNumberFormat="0" applyAlignment="0" applyProtection="0"/>
    <xf numFmtId="0" fontId="256" fillId="68" borderId="31" applyNumberFormat="0" applyAlignment="0" applyProtection="0"/>
    <xf numFmtId="0" fontId="256" fillId="68" borderId="31" applyNumberFormat="0" applyAlignment="0" applyProtection="0"/>
    <xf numFmtId="0" fontId="256" fillId="68" borderId="31" applyNumberFormat="0" applyAlignment="0" applyProtection="0"/>
    <xf numFmtId="0" fontId="256" fillId="68" borderId="31" applyNumberFormat="0" applyAlignment="0" applyProtection="0"/>
    <xf numFmtId="0" fontId="256" fillId="68" borderId="31" applyNumberFormat="0" applyAlignment="0" applyProtection="0"/>
    <xf numFmtId="0" fontId="256" fillId="68" borderId="31" applyNumberFormat="0" applyAlignment="0" applyProtection="0"/>
    <xf numFmtId="0" fontId="17" fillId="6" borderId="18" applyNumberFormat="0" applyAlignment="0" applyProtection="0"/>
    <xf numFmtId="0" fontId="259" fillId="68" borderId="31" applyNumberFormat="0" applyAlignment="0" applyProtection="0"/>
    <xf numFmtId="0" fontId="259" fillId="68" borderId="31" applyNumberFormat="0" applyAlignment="0" applyProtection="0"/>
    <xf numFmtId="0" fontId="259" fillId="68" borderId="31" applyNumberFormat="0" applyAlignment="0" applyProtection="0"/>
    <xf numFmtId="0" fontId="259" fillId="68" borderId="31" applyNumberFormat="0" applyAlignment="0" applyProtection="0"/>
    <xf numFmtId="0" fontId="259" fillId="68" borderId="31" applyNumberFormat="0" applyAlignment="0" applyProtection="0"/>
    <xf numFmtId="0" fontId="259" fillId="68" borderId="31" applyNumberFormat="0" applyAlignment="0" applyProtection="0"/>
    <xf numFmtId="0" fontId="259" fillId="68" borderId="31" applyNumberFormat="0" applyAlignment="0" applyProtection="0"/>
    <xf numFmtId="0" fontId="259" fillId="68" borderId="31" applyNumberFormat="0" applyAlignment="0" applyProtection="0"/>
    <xf numFmtId="0" fontId="259" fillId="68" borderId="31" applyNumberFormat="0" applyAlignment="0" applyProtection="0"/>
    <xf numFmtId="0" fontId="259" fillId="68" borderId="31" applyNumberFormat="0" applyAlignment="0" applyProtection="0"/>
    <xf numFmtId="0" fontId="256" fillId="68" borderId="31" applyNumberFormat="0" applyAlignment="0" applyProtection="0"/>
    <xf numFmtId="0" fontId="259" fillId="68" borderId="31" applyNumberFormat="0" applyAlignment="0" applyProtection="0"/>
    <xf numFmtId="0" fontId="259" fillId="68" borderId="31" applyNumberFormat="0" applyAlignment="0" applyProtection="0"/>
    <xf numFmtId="0" fontId="259" fillId="68" borderId="31" applyNumberFormat="0" applyAlignment="0" applyProtection="0"/>
    <xf numFmtId="0" fontId="259" fillId="68" borderId="31" applyNumberFormat="0" applyAlignment="0" applyProtection="0"/>
    <xf numFmtId="0" fontId="259" fillId="68" borderId="31" applyNumberFormat="0" applyAlignment="0" applyProtection="0"/>
    <xf numFmtId="0" fontId="259" fillId="68" borderId="31" applyNumberFormat="0" applyAlignment="0" applyProtection="0"/>
    <xf numFmtId="0" fontId="259" fillId="68" borderId="31" applyNumberFormat="0" applyAlignment="0" applyProtection="0"/>
    <xf numFmtId="0" fontId="259" fillId="68" borderId="31" applyNumberFormat="0" applyAlignment="0" applyProtection="0"/>
    <xf numFmtId="0" fontId="259" fillId="68" borderId="31" applyNumberFormat="0" applyAlignment="0" applyProtection="0"/>
    <xf numFmtId="0" fontId="259" fillId="68" borderId="31" applyNumberFormat="0" applyAlignment="0" applyProtection="0"/>
    <xf numFmtId="0" fontId="256" fillId="68" borderId="31" applyNumberFormat="0" applyAlignment="0" applyProtection="0"/>
    <xf numFmtId="0" fontId="259" fillId="68" borderId="31" applyNumberFormat="0" applyAlignment="0" applyProtection="0"/>
    <xf numFmtId="0" fontId="259" fillId="68" borderId="31" applyNumberFormat="0" applyAlignment="0" applyProtection="0"/>
    <xf numFmtId="0" fontId="259" fillId="152" borderId="31" applyNumberFormat="0" applyAlignment="0" applyProtection="0"/>
    <xf numFmtId="0" fontId="259" fillId="152" borderId="31" applyNumberFormat="0" applyAlignment="0" applyProtection="0"/>
    <xf numFmtId="0" fontId="256" fillId="68" borderId="31" applyNumberFormat="0" applyAlignment="0" applyProtection="0"/>
    <xf numFmtId="0" fontId="256" fillId="68" borderId="31" applyNumberFormat="0" applyAlignment="0" applyProtection="0"/>
    <xf numFmtId="0" fontId="256" fillId="68" borderId="31" applyNumberFormat="0" applyAlignment="0" applyProtection="0"/>
    <xf numFmtId="0" fontId="256" fillId="68" borderId="31" applyNumberFormat="0" applyAlignment="0" applyProtection="0"/>
    <xf numFmtId="0" fontId="259" fillId="152" borderId="31" applyNumberFormat="0" applyAlignment="0" applyProtection="0"/>
    <xf numFmtId="0" fontId="259" fillId="152" borderId="31" applyNumberFormat="0" applyAlignment="0" applyProtection="0"/>
    <xf numFmtId="0" fontId="259" fillId="68" borderId="31" applyNumberFormat="0" applyAlignment="0" applyProtection="0"/>
    <xf numFmtId="0" fontId="256" fillId="68" borderId="31" applyNumberFormat="0" applyAlignment="0" applyProtection="0"/>
    <xf numFmtId="0" fontId="256" fillId="68" borderId="31" applyNumberFormat="0" applyAlignment="0" applyProtection="0"/>
    <xf numFmtId="0" fontId="256" fillId="68" borderId="31" applyNumberFormat="0" applyAlignment="0" applyProtection="0"/>
    <xf numFmtId="0" fontId="256" fillId="68" borderId="31" applyNumberFormat="0" applyAlignment="0" applyProtection="0"/>
    <xf numFmtId="0" fontId="256" fillId="68" borderId="31" applyNumberFormat="0" applyAlignment="0" applyProtection="0"/>
    <xf numFmtId="0" fontId="256" fillId="68" borderId="31" applyNumberFormat="0" applyAlignment="0" applyProtection="0"/>
    <xf numFmtId="0" fontId="256" fillId="68" borderId="31" applyNumberFormat="0" applyAlignment="0" applyProtection="0"/>
    <xf numFmtId="0" fontId="256" fillId="68" borderId="31" applyNumberFormat="0" applyAlignment="0" applyProtection="0"/>
    <xf numFmtId="0" fontId="256" fillId="68" borderId="31" applyNumberFormat="0" applyAlignment="0" applyProtection="0"/>
    <xf numFmtId="0" fontId="256" fillId="68" borderId="31" applyNumberFormat="0" applyAlignment="0" applyProtection="0"/>
    <xf numFmtId="0" fontId="256" fillId="68" borderId="31" applyNumberFormat="0" applyAlignment="0" applyProtection="0"/>
    <xf numFmtId="0" fontId="256" fillId="68" borderId="31" applyNumberFormat="0" applyAlignment="0" applyProtection="0"/>
    <xf numFmtId="0" fontId="256" fillId="68" borderId="31" applyNumberFormat="0" applyAlignment="0" applyProtection="0"/>
    <xf numFmtId="0" fontId="256" fillId="68" borderId="31" applyNumberFormat="0" applyAlignment="0" applyProtection="0"/>
    <xf numFmtId="37" fontId="44" fillId="153" borderId="0" applyNumberFormat="0" applyFont="0" applyBorder="0" applyAlignment="0">
      <protection locked="0"/>
    </xf>
    <xf numFmtId="0" fontId="8" fillId="0" borderId="0"/>
    <xf numFmtId="0" fontId="8" fillId="0" borderId="0"/>
    <xf numFmtId="0" fontId="8" fillId="0" borderId="0"/>
    <xf numFmtId="310" fontId="8" fillId="0" borderId="0" applyFont="0" applyFill="0" applyBorder="0" applyAlignment="0" applyProtection="0"/>
    <xf numFmtId="178" fontId="8" fillId="0" borderId="0" applyFont="0" applyFill="0" applyBorder="0" applyAlignment="0" applyProtection="0"/>
    <xf numFmtId="311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1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1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3" fontId="8" fillId="0" borderId="0" applyFont="0" applyFill="0" applyBorder="0" applyAlignment="0" applyProtection="0"/>
    <xf numFmtId="313" fontId="8" fillId="0" borderId="0" applyFont="0" applyFill="0" applyBorder="0" applyAlignment="0" applyProtection="0"/>
    <xf numFmtId="311" fontId="8" fillId="0" borderId="0" applyFont="0" applyFill="0" applyBorder="0" applyAlignment="0" applyProtection="0"/>
    <xf numFmtId="311" fontId="8" fillId="0" borderId="0" applyFont="0" applyFill="0" applyBorder="0" applyAlignment="0" applyProtection="0"/>
    <xf numFmtId="311" fontId="8" fillId="0" borderId="0" applyFont="0" applyFill="0" applyBorder="0" applyAlignment="0" applyProtection="0"/>
    <xf numFmtId="311" fontId="8" fillId="0" borderId="0" applyFont="0" applyFill="0" applyBorder="0" applyAlignment="0" applyProtection="0"/>
    <xf numFmtId="311" fontId="8" fillId="0" borderId="0" applyFont="0" applyFill="0" applyBorder="0" applyAlignment="0" applyProtection="0"/>
    <xf numFmtId="311" fontId="8" fillId="0" borderId="0" applyFont="0" applyFill="0" applyBorder="0" applyAlignment="0" applyProtection="0"/>
    <xf numFmtId="312" fontId="8" fillId="0" borderId="0" applyFont="0" applyFill="0" applyBorder="0" applyAlignment="0" applyProtection="0"/>
    <xf numFmtId="314" fontId="8" fillId="0" borderId="0"/>
    <xf numFmtId="314" fontId="8" fillId="0" borderId="0"/>
    <xf numFmtId="0" fontId="23" fillId="0" borderId="0" applyNumberFormat="0" applyFill="0" applyBorder="0" applyAlignment="0" applyProtection="0"/>
    <xf numFmtId="0" fontId="260" fillId="0" borderId="0" applyNumberFormat="0" applyFill="0" applyBorder="0" applyAlignment="0" applyProtection="0"/>
    <xf numFmtId="209" fontId="261" fillId="0" borderId="0"/>
    <xf numFmtId="0" fontId="45" fillId="0" borderId="0" applyFill="0" applyBorder="0">
      <alignment horizontal="left" vertical="top" wrapText="1"/>
    </xf>
    <xf numFmtId="0" fontId="233" fillId="0" borderId="0">
      <protection locked="0"/>
    </xf>
    <xf numFmtId="0" fontId="233" fillId="0" borderId="0">
      <protection locked="0"/>
    </xf>
    <xf numFmtId="0" fontId="233" fillId="0" borderId="0">
      <protection locked="0"/>
    </xf>
    <xf numFmtId="0" fontId="233" fillId="0" borderId="0">
      <protection locked="0"/>
    </xf>
    <xf numFmtId="0" fontId="233" fillId="0" borderId="0">
      <protection locked="0"/>
    </xf>
    <xf numFmtId="0" fontId="233" fillId="0" borderId="0">
      <protection locked="0"/>
    </xf>
    <xf numFmtId="0" fontId="233" fillId="0" borderId="0">
      <protection locked="0"/>
    </xf>
    <xf numFmtId="0" fontId="233" fillId="0" borderId="0">
      <protection locked="0"/>
    </xf>
    <xf numFmtId="0" fontId="233" fillId="0" borderId="0">
      <protection locked="0"/>
    </xf>
    <xf numFmtId="15" fontId="8" fillId="0" borderId="0" applyFont="0" applyFill="0" applyBorder="0" applyAlignment="0" applyProtection="0"/>
    <xf numFmtId="315" fontId="233" fillId="0" borderId="0">
      <protection locked="0"/>
    </xf>
    <xf numFmtId="316" fontId="233" fillId="0" borderId="0">
      <protection locked="0"/>
    </xf>
    <xf numFmtId="2" fontId="8" fillId="0" borderId="0" applyFont="0" applyFill="0" applyBorder="0" applyAlignment="0" applyProtection="0">
      <alignment vertical="top"/>
    </xf>
    <xf numFmtId="2" fontId="8" fillId="0" borderId="0" applyFont="0" applyFill="0" applyBorder="0" applyAlignment="0" applyProtection="0">
      <alignment vertical="top"/>
    </xf>
    <xf numFmtId="315" fontId="233" fillId="0" borderId="0"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3" fillId="0" borderId="0" applyFill="0" applyBorder="0" applyAlignment="0" applyProtection="0"/>
    <xf numFmtId="0" fontId="264" fillId="0" borderId="0" applyNumberFormat="0" applyFill="0" applyBorder="0" applyAlignment="0" applyProtection="0"/>
    <xf numFmtId="0" fontId="265" fillId="0" borderId="0" applyFill="0" applyBorder="0" applyProtection="0">
      <alignment horizontal="left"/>
    </xf>
    <xf numFmtId="0" fontId="14" fillId="3" borderId="0" applyNumberFormat="0" applyBorder="0" applyAlignment="0" applyProtection="0"/>
    <xf numFmtId="0" fontId="176" fillId="72" borderId="0" applyNumberFormat="0" applyBorder="0" applyAlignment="0" applyProtection="0"/>
    <xf numFmtId="38" fontId="6" fillId="44" borderId="0" applyNumberFormat="0" applyBorder="0" applyAlignment="0" applyProtection="0"/>
    <xf numFmtId="38" fontId="6" fillId="73" borderId="0" applyNumberFormat="0" applyBorder="0" applyAlignment="0" applyProtection="0"/>
    <xf numFmtId="38" fontId="6" fillId="44" borderId="0" applyNumberFormat="0" applyBorder="0" applyAlignment="0" applyProtection="0"/>
    <xf numFmtId="317" fontId="228" fillId="0" borderId="0" applyFont="0" applyFill="0" applyBorder="0" applyAlignment="0" applyProtection="0">
      <alignment horizontal="right"/>
    </xf>
    <xf numFmtId="0" fontId="266" fillId="0" borderId="0" applyProtection="0">
      <alignment horizontal="right"/>
    </xf>
    <xf numFmtId="0" fontId="267" fillId="154" borderId="79"/>
    <xf numFmtId="318" fontId="102" fillId="0" borderId="0" applyNumberFormat="0" applyFill="0" applyBorder="0" applyProtection="0">
      <alignment horizontal="right"/>
    </xf>
    <xf numFmtId="0" fontId="106" fillId="0" borderId="12" applyNumberFormat="0" applyAlignment="0" applyProtection="0">
      <alignment horizontal="left" vertical="center"/>
    </xf>
    <xf numFmtId="0" fontId="106" fillId="0" borderId="5">
      <alignment horizontal="left" vertical="center"/>
    </xf>
    <xf numFmtId="0" fontId="67" fillId="90" borderId="53">
      <alignment vertical="center" wrapText="1"/>
    </xf>
    <xf numFmtId="0" fontId="11" fillId="0" borderId="15" applyNumberFormat="0" applyFill="0" applyAlignment="0" applyProtection="0"/>
    <xf numFmtId="0" fontId="268" fillId="0" borderId="80" applyNumberFormat="0" applyFill="0" applyAlignment="0" applyProtection="0"/>
    <xf numFmtId="0" fontId="268" fillId="0" borderId="80" applyNumberFormat="0" applyFill="0" applyAlignment="0" applyProtection="0"/>
    <xf numFmtId="0" fontId="12" fillId="0" borderId="16" applyNumberFormat="0" applyFill="0" applyAlignment="0" applyProtection="0"/>
    <xf numFmtId="0" fontId="269" fillId="0" borderId="81" applyNumberFormat="0" applyFill="0" applyAlignment="0" applyProtection="0"/>
    <xf numFmtId="0" fontId="269" fillId="0" borderId="81" applyNumberFormat="0" applyFill="0" applyAlignment="0" applyProtection="0"/>
    <xf numFmtId="0" fontId="13" fillId="0" borderId="17" applyNumberFormat="0" applyFill="0" applyAlignment="0" applyProtection="0"/>
    <xf numFmtId="0" fontId="251" fillId="0" borderId="82" applyNumberFormat="0" applyFill="0" applyAlignment="0" applyProtection="0"/>
    <xf numFmtId="0" fontId="13" fillId="0" borderId="0" applyNumberFormat="0" applyFill="0" applyBorder="0" applyAlignment="0" applyProtection="0"/>
    <xf numFmtId="0" fontId="251" fillId="0" borderId="0" applyNumberFormat="0" applyFill="0" applyBorder="0" applyAlignment="0" applyProtection="0"/>
    <xf numFmtId="0" fontId="67" fillId="90" borderId="53">
      <alignment vertical="center" wrapText="1"/>
    </xf>
    <xf numFmtId="0" fontId="270" fillId="0" borderId="0" applyNumberFormat="0" applyFill="0" applyBorder="0" applyAlignment="0" applyProtection="0"/>
    <xf numFmtId="0" fontId="263" fillId="0" borderId="0" applyNumberFormat="0" applyFill="0" applyBorder="0" applyAlignment="0" applyProtection="0"/>
    <xf numFmtId="0" fontId="216" fillId="0" borderId="0" applyNumberFormat="0" applyFill="0" applyBorder="0" applyAlignment="0" applyProtection="0">
      <alignment vertical="top"/>
      <protection locked="0"/>
    </xf>
    <xf numFmtId="0" fontId="271" fillId="0" borderId="0" applyNumberFormat="0" applyFill="0" applyBorder="0" applyAlignment="0" applyProtection="0">
      <alignment vertical="top"/>
      <protection locked="0"/>
    </xf>
    <xf numFmtId="0" fontId="271" fillId="0" borderId="0" applyNumberFormat="0" applyFill="0" applyBorder="0" applyAlignment="0" applyProtection="0">
      <alignment vertical="top"/>
      <protection locked="0"/>
    </xf>
    <xf numFmtId="0" fontId="271" fillId="0" borderId="0" applyNumberFormat="0" applyFill="0" applyBorder="0" applyAlignment="0" applyProtection="0">
      <alignment vertical="top"/>
      <protection locked="0"/>
    </xf>
    <xf numFmtId="0" fontId="271" fillId="0" borderId="0" applyNumberFormat="0" applyFill="0" applyBorder="0" applyAlignment="0" applyProtection="0">
      <alignment vertical="top"/>
      <protection locked="0"/>
    </xf>
    <xf numFmtId="0" fontId="271" fillId="0" borderId="0" applyNumberFormat="0" applyFill="0" applyBorder="0" applyAlignment="0" applyProtection="0">
      <alignment vertical="top"/>
      <protection locked="0"/>
    </xf>
    <xf numFmtId="0" fontId="271" fillId="0" borderId="0" applyNumberFormat="0" applyFill="0" applyBorder="0" applyAlignment="0" applyProtection="0">
      <alignment vertical="top"/>
      <protection locked="0"/>
    </xf>
    <xf numFmtId="0" fontId="271" fillId="0" borderId="0" applyNumberFormat="0" applyFill="0" applyBorder="0" applyAlignment="0" applyProtection="0">
      <alignment vertical="top"/>
      <protection locked="0"/>
    </xf>
    <xf numFmtId="0" fontId="271" fillId="0" borderId="0" applyNumberFormat="0" applyFill="0" applyBorder="0" applyAlignment="0" applyProtection="0">
      <alignment vertical="top"/>
      <protection locked="0"/>
    </xf>
    <xf numFmtId="0" fontId="271" fillId="0" borderId="0" applyNumberFormat="0" applyFill="0" applyBorder="0" applyAlignment="0" applyProtection="0">
      <alignment vertical="top"/>
      <protection locked="0"/>
    </xf>
    <xf numFmtId="0" fontId="271" fillId="0" borderId="0" applyNumberFormat="0" applyFill="0" applyBorder="0" applyAlignment="0" applyProtection="0">
      <alignment vertical="top"/>
      <protection locked="0"/>
    </xf>
    <xf numFmtId="0" fontId="271" fillId="0" borderId="0" applyNumberFormat="0" applyFill="0" applyBorder="0" applyAlignment="0" applyProtection="0">
      <alignment vertical="top"/>
      <protection locked="0"/>
    </xf>
    <xf numFmtId="0" fontId="271" fillId="0" borderId="0" applyNumberFormat="0" applyFill="0" applyBorder="0" applyAlignment="0" applyProtection="0">
      <alignment vertical="top"/>
      <protection locked="0"/>
    </xf>
    <xf numFmtId="0" fontId="271" fillId="0" borderId="0" applyNumberFormat="0" applyFill="0" applyBorder="0" applyAlignment="0" applyProtection="0">
      <alignment vertical="top"/>
      <protection locked="0"/>
    </xf>
    <xf numFmtId="0" fontId="271" fillId="0" borderId="0" applyNumberFormat="0" applyFill="0" applyBorder="0" applyAlignment="0" applyProtection="0">
      <alignment vertical="top"/>
      <protection locked="0"/>
    </xf>
    <xf numFmtId="0" fontId="271" fillId="0" borderId="0" applyNumberFormat="0" applyFill="0" applyBorder="0" applyAlignment="0" applyProtection="0">
      <alignment vertical="top"/>
      <protection locked="0"/>
    </xf>
    <xf numFmtId="0" fontId="271" fillId="0" borderId="0" applyNumberFormat="0" applyFill="0" applyBorder="0" applyAlignment="0" applyProtection="0">
      <alignment vertical="top"/>
      <protection locked="0"/>
    </xf>
    <xf numFmtId="0" fontId="271" fillId="0" borderId="0" applyNumberFormat="0" applyFill="0" applyBorder="0" applyAlignment="0" applyProtection="0">
      <alignment vertical="top"/>
      <protection locked="0"/>
    </xf>
    <xf numFmtId="0" fontId="271" fillId="0" borderId="0" applyNumberFormat="0" applyFill="0" applyBorder="0" applyAlignment="0" applyProtection="0">
      <alignment vertical="top"/>
      <protection locked="0"/>
    </xf>
    <xf numFmtId="0" fontId="271" fillId="0" borderId="0" applyNumberFormat="0" applyFill="0" applyBorder="0" applyAlignment="0" applyProtection="0">
      <alignment vertical="top"/>
      <protection locked="0"/>
    </xf>
    <xf numFmtId="0" fontId="271" fillId="0" borderId="0" applyNumberFormat="0" applyFill="0" applyBorder="0" applyAlignment="0" applyProtection="0">
      <alignment vertical="top"/>
      <protection locked="0"/>
    </xf>
    <xf numFmtId="0" fontId="271" fillId="0" borderId="0" applyNumberFormat="0" applyFill="0" applyBorder="0" applyAlignment="0" applyProtection="0">
      <alignment vertical="top"/>
      <protection locked="0"/>
    </xf>
    <xf numFmtId="0" fontId="271" fillId="0" borderId="0" applyNumberFormat="0" applyFill="0" applyBorder="0" applyAlignment="0" applyProtection="0">
      <alignment vertical="top"/>
      <protection locked="0"/>
    </xf>
    <xf numFmtId="0" fontId="271" fillId="0" borderId="0" applyNumberFormat="0" applyFill="0" applyBorder="0" applyAlignment="0" applyProtection="0">
      <alignment vertical="top"/>
      <protection locked="0"/>
    </xf>
    <xf numFmtId="0" fontId="217" fillId="0" borderId="0" applyNumberFormat="0" applyFill="0" applyBorder="0" applyAlignment="0" applyProtection="0">
      <alignment vertical="top"/>
      <protection locked="0"/>
    </xf>
    <xf numFmtId="0" fontId="272" fillId="0" borderId="0" applyNumberFormat="0" applyFill="0" applyBorder="0" applyAlignment="0" applyProtection="0">
      <alignment vertical="top"/>
      <protection locked="0"/>
    </xf>
    <xf numFmtId="0" fontId="273" fillId="57" borderId="0" applyNumberFormat="0" applyBorder="0" applyAlignment="0" applyProtection="0"/>
    <xf numFmtId="0" fontId="273" fillId="57" borderId="0" applyNumberFormat="0" applyBorder="0" applyAlignment="0" applyProtection="0"/>
    <xf numFmtId="0" fontId="159" fillId="69" borderId="0" applyNumberFormat="0" applyBorder="0" applyAlignment="0" applyProtection="0"/>
    <xf numFmtId="0" fontId="274" fillId="110" borderId="0" applyNumberFormat="0" applyBorder="0" applyAlignment="0" applyProtection="0"/>
    <xf numFmtId="0" fontId="273" fillId="57" borderId="0" applyNumberFormat="0" applyBorder="0" applyAlignment="0" applyProtection="0"/>
    <xf numFmtId="0" fontId="275" fillId="103" borderId="0" applyNumberFormat="0" applyBorder="0" applyAlignment="0" applyProtection="0"/>
    <xf numFmtId="0" fontId="275" fillId="103" borderId="0" applyNumberFormat="0" applyBorder="0" applyAlignment="0" applyProtection="0"/>
    <xf numFmtId="0" fontId="156" fillId="57" borderId="0" applyNumberFormat="0" applyBorder="0" applyAlignment="0" applyProtection="0"/>
    <xf numFmtId="0" fontId="156" fillId="57" borderId="0" applyNumberFormat="0" applyBorder="0" applyAlignment="0" applyProtection="0"/>
    <xf numFmtId="0" fontId="156" fillId="57" borderId="0" applyNumberFormat="0" applyBorder="0" applyAlignment="0" applyProtection="0"/>
    <xf numFmtId="0" fontId="156" fillId="57" borderId="0" applyNumberFormat="0" applyBorder="0" applyAlignment="0" applyProtection="0"/>
    <xf numFmtId="0" fontId="156" fillId="57" borderId="0" applyNumberFormat="0" applyBorder="0" applyAlignment="0" applyProtection="0"/>
    <xf numFmtId="0" fontId="156" fillId="57" borderId="0" applyNumberFormat="0" applyBorder="0" applyAlignment="0" applyProtection="0"/>
    <xf numFmtId="0" fontId="156" fillId="57" borderId="0" applyNumberFormat="0" applyBorder="0" applyAlignment="0" applyProtection="0"/>
    <xf numFmtId="0" fontId="273" fillId="57" borderId="0" applyNumberFormat="0" applyBorder="0" applyAlignment="0" applyProtection="0"/>
    <xf numFmtId="0" fontId="156" fillId="57" borderId="0" applyNumberFormat="0" applyBorder="0" applyAlignment="0" applyProtection="0"/>
    <xf numFmtId="0" fontId="156" fillId="57" borderId="0" applyNumberFormat="0" applyBorder="0" applyAlignment="0" applyProtection="0"/>
    <xf numFmtId="0" fontId="156" fillId="57" borderId="0" applyNumberFormat="0" applyBorder="0" applyAlignment="0" applyProtection="0"/>
    <xf numFmtId="0" fontId="156" fillId="57" borderId="0" applyNumberFormat="0" applyBorder="0" applyAlignment="0" applyProtection="0"/>
    <xf numFmtId="0" fontId="156" fillId="57" borderId="0" applyNumberFormat="0" applyBorder="0" applyAlignment="0" applyProtection="0"/>
    <xf numFmtId="0" fontId="156" fillId="57" borderId="0" applyNumberFormat="0" applyBorder="0" applyAlignment="0" applyProtection="0"/>
    <xf numFmtId="0" fontId="156" fillId="57" borderId="0" applyNumberFormat="0" applyBorder="0" applyAlignment="0" applyProtection="0"/>
    <xf numFmtId="0" fontId="156" fillId="57" borderId="0" applyNumberFormat="0" applyBorder="0" applyAlignment="0" applyProtection="0"/>
    <xf numFmtId="0" fontId="156" fillId="57" borderId="0" applyNumberFormat="0" applyBorder="0" applyAlignment="0" applyProtection="0"/>
    <xf numFmtId="0" fontId="156" fillId="57" borderId="0" applyNumberFormat="0" applyBorder="0" applyAlignment="0" applyProtection="0"/>
    <xf numFmtId="0" fontId="273" fillId="57" borderId="0" applyNumberFormat="0" applyBorder="0" applyAlignment="0" applyProtection="0"/>
    <xf numFmtId="0" fontId="156" fillId="57" borderId="0" applyNumberFormat="0" applyBorder="0" applyAlignment="0" applyProtection="0"/>
    <xf numFmtId="0" fontId="156" fillId="57" borderId="0" applyNumberFormat="0" applyBorder="0" applyAlignment="0" applyProtection="0"/>
    <xf numFmtId="0" fontId="156" fillId="57" borderId="0" applyNumberFormat="0" applyBorder="0" applyAlignment="0" applyProtection="0"/>
    <xf numFmtId="0" fontId="156" fillId="57" borderId="0" applyNumberFormat="0" applyBorder="0" applyAlignment="0" applyProtection="0"/>
    <xf numFmtId="0" fontId="156" fillId="57" borderId="0" applyNumberFormat="0" applyBorder="0" applyAlignment="0" applyProtection="0"/>
    <xf numFmtId="0" fontId="156" fillId="57" borderId="0" applyNumberFormat="0" applyBorder="0" applyAlignment="0" applyProtection="0"/>
    <xf numFmtId="0" fontId="275" fillId="103" borderId="0" applyNumberFormat="0" applyBorder="0" applyAlignment="0" applyProtection="0"/>
    <xf numFmtId="0" fontId="275" fillId="103" borderId="0" applyNumberFormat="0" applyBorder="0" applyAlignment="0" applyProtection="0"/>
    <xf numFmtId="0" fontId="273" fillId="57" borderId="0" applyNumberFormat="0" applyBorder="0" applyAlignment="0" applyProtection="0"/>
    <xf numFmtId="0" fontId="273" fillId="57" borderId="0" applyNumberFormat="0" applyBorder="0" applyAlignment="0" applyProtection="0"/>
    <xf numFmtId="0" fontId="273" fillId="57" borderId="0" applyNumberFormat="0" applyBorder="0" applyAlignment="0" applyProtection="0"/>
    <xf numFmtId="0" fontId="273" fillId="57" borderId="0" applyNumberFormat="0" applyBorder="0" applyAlignment="0" applyProtection="0"/>
    <xf numFmtId="0" fontId="273" fillId="57" borderId="0" applyNumberFormat="0" applyBorder="0" applyAlignment="0" applyProtection="0"/>
    <xf numFmtId="0" fontId="273" fillId="57" borderId="0" applyNumberFormat="0" applyBorder="0" applyAlignment="0" applyProtection="0"/>
    <xf numFmtId="0" fontId="273" fillId="57" borderId="0" applyNumberFormat="0" applyBorder="0" applyAlignment="0" applyProtection="0"/>
    <xf numFmtId="0" fontId="15" fillId="4" borderId="0" applyNumberFormat="0" applyBorder="0" applyAlignment="0" applyProtection="0"/>
    <xf numFmtId="0" fontId="156" fillId="57" borderId="0" applyNumberFormat="0" applyBorder="0" applyAlignment="0" applyProtection="0"/>
    <xf numFmtId="0" fontId="156" fillId="57" borderId="0" applyNumberFormat="0" applyBorder="0" applyAlignment="0" applyProtection="0"/>
    <xf numFmtId="0" fontId="156" fillId="57" borderId="0" applyNumberFormat="0" applyBorder="0" applyAlignment="0" applyProtection="0"/>
    <xf numFmtId="0" fontId="156" fillId="57" borderId="0" applyNumberFormat="0" applyBorder="0" applyAlignment="0" applyProtection="0"/>
    <xf numFmtId="0" fontId="156" fillId="57" borderId="0" applyNumberFormat="0" applyBorder="0" applyAlignment="0" applyProtection="0"/>
    <xf numFmtId="0" fontId="156" fillId="57" borderId="0" applyNumberFormat="0" applyBorder="0" applyAlignment="0" applyProtection="0"/>
    <xf numFmtId="0" fontId="156" fillId="57" borderId="0" applyNumberFormat="0" applyBorder="0" applyAlignment="0" applyProtection="0"/>
    <xf numFmtId="0" fontId="156" fillId="57" borderId="0" applyNumberFormat="0" applyBorder="0" applyAlignment="0" applyProtection="0"/>
    <xf numFmtId="0" fontId="156" fillId="57" borderId="0" applyNumberFormat="0" applyBorder="0" applyAlignment="0" applyProtection="0"/>
    <xf numFmtId="0" fontId="156" fillId="57" borderId="0" applyNumberFormat="0" applyBorder="0" applyAlignment="0" applyProtection="0"/>
    <xf numFmtId="0" fontId="273" fillId="57" borderId="0" applyNumberFormat="0" applyBorder="0" applyAlignment="0" applyProtection="0"/>
    <xf numFmtId="0" fontId="156" fillId="57" borderId="0" applyNumberFormat="0" applyBorder="0" applyAlignment="0" applyProtection="0"/>
    <xf numFmtId="0" fontId="156" fillId="57" borderId="0" applyNumberFormat="0" applyBorder="0" applyAlignment="0" applyProtection="0"/>
    <xf numFmtId="0" fontId="156" fillId="57" borderId="0" applyNumberFormat="0" applyBorder="0" applyAlignment="0" applyProtection="0"/>
    <xf numFmtId="0" fontId="156" fillId="57" borderId="0" applyNumberFormat="0" applyBorder="0" applyAlignment="0" applyProtection="0"/>
    <xf numFmtId="0" fontId="156" fillId="57" borderId="0" applyNumberFormat="0" applyBorder="0" applyAlignment="0" applyProtection="0"/>
    <xf numFmtId="0" fontId="156" fillId="57" borderId="0" applyNumberFormat="0" applyBorder="0" applyAlignment="0" applyProtection="0"/>
    <xf numFmtId="0" fontId="156" fillId="57" borderId="0" applyNumberFormat="0" applyBorder="0" applyAlignment="0" applyProtection="0"/>
    <xf numFmtId="0" fontId="156" fillId="57" borderId="0" applyNumberFormat="0" applyBorder="0" applyAlignment="0" applyProtection="0"/>
    <xf numFmtId="0" fontId="156" fillId="57" borderId="0" applyNumberFormat="0" applyBorder="0" applyAlignment="0" applyProtection="0"/>
    <xf numFmtId="0" fontId="156" fillId="57" borderId="0" applyNumberFormat="0" applyBorder="0" applyAlignment="0" applyProtection="0"/>
    <xf numFmtId="0" fontId="273" fillId="57" borderId="0" applyNumberFormat="0" applyBorder="0" applyAlignment="0" applyProtection="0"/>
    <xf numFmtId="0" fontId="156" fillId="57" borderId="0" applyNumberFormat="0" applyBorder="0" applyAlignment="0" applyProtection="0"/>
    <xf numFmtId="0" fontId="156" fillId="57" borderId="0" applyNumberFormat="0" applyBorder="0" applyAlignment="0" applyProtection="0"/>
    <xf numFmtId="0" fontId="275" fillId="103" borderId="0" applyNumberFormat="0" applyBorder="0" applyAlignment="0" applyProtection="0"/>
    <xf numFmtId="0" fontId="275" fillId="103" borderId="0" applyNumberFormat="0" applyBorder="0" applyAlignment="0" applyProtection="0"/>
    <xf numFmtId="0" fontId="273" fillId="57" borderId="0" applyNumberFormat="0" applyBorder="0" applyAlignment="0" applyProtection="0"/>
    <xf numFmtId="0" fontId="273" fillId="57" borderId="0" applyNumberFormat="0" applyBorder="0" applyAlignment="0" applyProtection="0"/>
    <xf numFmtId="0" fontId="273" fillId="57" borderId="0" applyNumberFormat="0" applyBorder="0" applyAlignment="0" applyProtection="0"/>
    <xf numFmtId="0" fontId="273" fillId="57" borderId="0" applyNumberFormat="0" applyBorder="0" applyAlignment="0" applyProtection="0"/>
    <xf numFmtId="0" fontId="275" fillId="103" borderId="0" applyNumberFormat="0" applyBorder="0" applyAlignment="0" applyProtection="0"/>
    <xf numFmtId="0" fontId="275" fillId="103" borderId="0" applyNumberFormat="0" applyBorder="0" applyAlignment="0" applyProtection="0"/>
    <xf numFmtId="0" fontId="156" fillId="57" borderId="0" applyNumberFormat="0" applyBorder="0" applyAlignment="0" applyProtection="0"/>
    <xf numFmtId="0" fontId="273" fillId="57" borderId="0" applyNumberFormat="0" applyBorder="0" applyAlignment="0" applyProtection="0"/>
    <xf numFmtId="0" fontId="273" fillId="57" borderId="0" applyNumberFormat="0" applyBorder="0" applyAlignment="0" applyProtection="0"/>
    <xf numFmtId="0" fontId="273" fillId="57" borderId="0" applyNumberFormat="0" applyBorder="0" applyAlignment="0" applyProtection="0"/>
    <xf numFmtId="0" fontId="273" fillId="57" borderId="0" applyNumberFormat="0" applyBorder="0" applyAlignment="0" applyProtection="0"/>
    <xf numFmtId="0" fontId="273" fillId="57" borderId="0" applyNumberFormat="0" applyBorder="0" applyAlignment="0" applyProtection="0"/>
    <xf numFmtId="0" fontId="273" fillId="57" borderId="0" applyNumberFormat="0" applyBorder="0" applyAlignment="0" applyProtection="0"/>
    <xf numFmtId="0" fontId="273" fillId="57" borderId="0" applyNumberFormat="0" applyBorder="0" applyAlignment="0" applyProtection="0"/>
    <xf numFmtId="0" fontId="273" fillId="57" borderId="0" applyNumberFormat="0" applyBorder="0" applyAlignment="0" applyProtection="0"/>
    <xf numFmtId="0" fontId="273" fillId="57" borderId="0" applyNumberFormat="0" applyBorder="0" applyAlignment="0" applyProtection="0"/>
    <xf numFmtId="0" fontId="273" fillId="57" borderId="0" applyNumberFormat="0" applyBorder="0" applyAlignment="0" applyProtection="0"/>
    <xf numFmtId="0" fontId="273" fillId="57" borderId="0" applyNumberFormat="0" applyBorder="0" applyAlignment="0" applyProtection="0"/>
    <xf numFmtId="0" fontId="273" fillId="57" borderId="0" applyNumberFormat="0" applyBorder="0" applyAlignment="0" applyProtection="0"/>
    <xf numFmtId="0" fontId="273" fillId="57" borderId="0" applyNumberFormat="0" applyBorder="0" applyAlignment="0" applyProtection="0"/>
    <xf numFmtId="0" fontId="273" fillId="57" borderId="0" applyNumberFormat="0" applyBorder="0" applyAlignment="0" applyProtection="0"/>
    <xf numFmtId="0" fontId="59" fillId="0" borderId="0"/>
    <xf numFmtId="0" fontId="17" fillId="6" borderId="18" applyNumberFormat="0" applyAlignment="0" applyProtection="0"/>
    <xf numFmtId="319" fontId="47" fillId="0" borderId="0"/>
    <xf numFmtId="320" fontId="47" fillId="0" borderId="0"/>
    <xf numFmtId="321" fontId="47" fillId="0" borderId="0"/>
    <xf numFmtId="10" fontId="6" fillId="49" borderId="1" applyNumberFormat="0" applyBorder="0" applyAlignment="0" applyProtection="0"/>
    <xf numFmtId="10" fontId="6" fillId="70" borderId="1" applyNumberFormat="0" applyBorder="0" applyAlignment="0" applyProtection="0"/>
    <xf numFmtId="10" fontId="6" fillId="49" borderId="1" applyNumberFormat="0" applyBorder="0" applyAlignment="0" applyProtection="0"/>
    <xf numFmtId="0" fontId="258" fillId="111" borderId="31" applyNumberFormat="0" applyAlignment="0" applyProtection="0"/>
    <xf numFmtId="0" fontId="257" fillId="83" borderId="66" applyNumberFormat="0" applyAlignment="0" applyProtection="0"/>
    <xf numFmtId="182" fontId="276" fillId="0" borderId="2">
      <alignment vertical="center"/>
    </xf>
    <xf numFmtId="225" fontId="76" fillId="72" borderId="0"/>
    <xf numFmtId="182" fontId="277" fillId="49" borderId="2" applyBorder="0"/>
    <xf numFmtId="182" fontId="53" fillId="0" borderId="30">
      <protection locked="0"/>
    </xf>
    <xf numFmtId="182" fontId="278" fillId="49" borderId="2" applyBorder="0"/>
    <xf numFmtId="0" fontId="259" fillId="68" borderId="31" applyNumberFormat="0" applyAlignment="0" applyProtection="0"/>
    <xf numFmtId="215" fontId="6" fillId="49" borderId="6" applyNumberFormat="0" applyFont="0" applyAlignment="0" applyProtection="0">
      <alignment horizontal="center"/>
      <protection locked="0"/>
    </xf>
    <xf numFmtId="3" fontId="189" fillId="155" borderId="1">
      <protection locked="0"/>
    </xf>
    <xf numFmtId="0" fontId="279" fillId="0" borderId="0" applyAlignment="0"/>
    <xf numFmtId="0" fontId="47" fillId="114" borderId="0" applyNumberFormat="0" applyFont="0" applyFill="0" applyBorder="0" applyAlignment="0"/>
    <xf numFmtId="0" fontId="8" fillId="0" borderId="0" applyNumberFormat="0" applyFont="0" applyBorder="0" applyAlignment="0"/>
    <xf numFmtId="0" fontId="280" fillId="44" borderId="0"/>
    <xf numFmtId="256" fontId="281" fillId="0" borderId="0" applyFill="0" applyBorder="0" applyAlignment="0"/>
    <xf numFmtId="252" fontId="281" fillId="0" borderId="0" applyFill="0" applyBorder="0" applyAlignment="0"/>
    <xf numFmtId="256" fontId="281" fillId="0" borderId="0" applyFill="0" applyBorder="0" applyAlignment="0"/>
    <xf numFmtId="257" fontId="281" fillId="0" borderId="0" applyFill="0" applyBorder="0" applyAlignment="0"/>
    <xf numFmtId="252" fontId="281" fillId="0" borderId="0" applyFill="0" applyBorder="0" applyAlignment="0"/>
    <xf numFmtId="0" fontId="20" fillId="0" borderId="20" applyNumberFormat="0" applyFill="0" applyAlignment="0" applyProtection="0"/>
    <xf numFmtId="0" fontId="208" fillId="0" borderId="71" applyNumberFormat="0" applyFill="0" applyAlignment="0" applyProtection="0"/>
    <xf numFmtId="225" fontId="282" fillId="156" borderId="0"/>
    <xf numFmtId="0" fontId="283" fillId="0" borderId="83" applyNumberFormat="0" applyBorder="0" applyAlignment="0">
      <alignment horizontal="left"/>
    </xf>
    <xf numFmtId="0" fontId="284" fillId="0" borderId="2">
      <alignment horizontal="left"/>
      <protection locked="0"/>
    </xf>
    <xf numFmtId="0" fontId="285" fillId="157" borderId="84">
      <protection locked="0"/>
    </xf>
    <xf numFmtId="262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0" fontId="63" fillId="0" borderId="0" applyFont="0" applyFill="0" applyBorder="0" applyAlignment="0" applyProtection="0"/>
    <xf numFmtId="0" fontId="286" fillId="0" borderId="0" applyBorder="0"/>
    <xf numFmtId="245" fontId="101" fillId="0" borderId="0" applyFont="0" applyFill="0" applyBorder="0" applyAlignment="0" applyProtection="0"/>
    <xf numFmtId="38" fontId="44" fillId="0" borderId="9">
      <alignment vertical="center"/>
    </xf>
    <xf numFmtId="38" fontId="44" fillId="0" borderId="9">
      <alignment vertical="center"/>
    </xf>
    <xf numFmtId="40" fontId="44" fillId="0" borderId="9">
      <alignment vertical="center"/>
    </xf>
    <xf numFmtId="40" fontId="44" fillId="0" borderId="9">
      <alignment vertical="center"/>
    </xf>
    <xf numFmtId="38" fontId="44" fillId="0" borderId="9">
      <alignment vertical="center"/>
    </xf>
    <xf numFmtId="38" fontId="44" fillId="0" borderId="9">
      <alignment vertical="center"/>
    </xf>
    <xf numFmtId="322" fontId="8" fillId="0" borderId="0" applyFont="0" applyFill="0" applyBorder="0" applyAlignment="0" applyProtection="0"/>
    <xf numFmtId="322" fontId="8" fillId="0" borderId="0" applyFont="0" applyFill="0" applyBorder="0" applyAlignment="0" applyProtection="0"/>
    <xf numFmtId="322" fontId="8" fillId="0" borderId="0" applyFont="0" applyFill="0" applyBorder="0" applyAlignment="0" applyProtection="0"/>
    <xf numFmtId="322" fontId="8" fillId="0" borderId="0" applyFont="0" applyFill="0" applyBorder="0" applyAlignment="0" applyProtection="0"/>
    <xf numFmtId="322" fontId="8" fillId="0" borderId="0" applyFont="0" applyFill="0" applyBorder="0" applyAlignment="0" applyProtection="0"/>
    <xf numFmtId="322" fontId="8" fillId="0" borderId="0" applyFont="0" applyFill="0" applyBorder="0" applyAlignment="0" applyProtection="0"/>
    <xf numFmtId="322" fontId="8" fillId="0" borderId="0" applyFont="0" applyFill="0" applyBorder="0" applyAlignment="0" applyProtection="0"/>
    <xf numFmtId="322" fontId="8" fillId="0" borderId="0" applyFont="0" applyFill="0" applyBorder="0" applyAlignment="0" applyProtection="0"/>
    <xf numFmtId="322" fontId="8" fillId="0" borderId="0" applyFont="0" applyFill="0" applyBorder="0" applyAlignment="0" applyProtection="0"/>
    <xf numFmtId="322" fontId="8" fillId="0" borderId="0" applyFont="0" applyFill="0" applyBorder="0" applyAlignment="0" applyProtection="0"/>
    <xf numFmtId="322" fontId="8" fillId="0" borderId="0" applyFont="0" applyFill="0" applyBorder="0" applyAlignment="0" applyProtection="0"/>
    <xf numFmtId="322" fontId="8" fillId="0" borderId="0" applyFont="0" applyFill="0" applyBorder="0" applyAlignment="0" applyProtection="0"/>
    <xf numFmtId="322" fontId="8" fillId="0" borderId="0" applyFont="0" applyFill="0" applyBorder="0" applyAlignment="0" applyProtection="0"/>
    <xf numFmtId="322" fontId="8" fillId="0" borderId="0" applyFont="0" applyFill="0" applyBorder="0" applyAlignment="0" applyProtection="0"/>
    <xf numFmtId="322" fontId="8" fillId="0" borderId="0" applyFont="0" applyFill="0" applyBorder="0" applyAlignment="0" applyProtection="0"/>
    <xf numFmtId="322" fontId="8" fillId="0" borderId="0" applyFont="0" applyFill="0" applyBorder="0" applyAlignment="0" applyProtection="0"/>
    <xf numFmtId="322" fontId="8" fillId="0" borderId="0" applyFont="0" applyFill="0" applyBorder="0" applyAlignment="0" applyProtection="0"/>
    <xf numFmtId="322" fontId="8" fillId="0" borderId="0" applyFont="0" applyFill="0" applyBorder="0" applyAlignment="0" applyProtection="0"/>
    <xf numFmtId="322" fontId="8" fillId="0" borderId="0" applyFont="0" applyFill="0" applyBorder="0" applyAlignment="0" applyProtection="0"/>
    <xf numFmtId="322" fontId="8" fillId="0" borderId="0" applyFont="0" applyFill="0" applyBorder="0" applyAlignment="0" applyProtection="0"/>
    <xf numFmtId="322" fontId="8" fillId="0" borderId="0" applyFont="0" applyFill="0" applyBorder="0" applyAlignment="0" applyProtection="0"/>
    <xf numFmtId="322" fontId="8" fillId="0" borderId="0" applyFont="0" applyFill="0" applyBorder="0" applyAlignment="0" applyProtection="0"/>
    <xf numFmtId="322" fontId="8" fillId="0" borderId="0" applyFont="0" applyFill="0" applyBorder="0" applyAlignment="0" applyProtection="0"/>
    <xf numFmtId="322" fontId="8" fillId="0" borderId="0" applyFont="0" applyFill="0" applyBorder="0" applyAlignment="0" applyProtection="0"/>
    <xf numFmtId="262" fontId="8" fillId="0" borderId="0" applyFont="0" applyFill="0" applyBorder="0" applyAlignment="0" applyProtection="0"/>
    <xf numFmtId="262" fontId="8" fillId="0" borderId="0" applyFont="0" applyFill="0" applyBorder="0" applyAlignment="0" applyProtection="0"/>
    <xf numFmtId="262" fontId="8" fillId="0" borderId="0" applyFont="0" applyFill="0" applyBorder="0" applyAlignment="0" applyProtection="0"/>
    <xf numFmtId="262" fontId="8" fillId="0" borderId="0" applyFont="0" applyFill="0" applyBorder="0" applyAlignment="0" applyProtection="0"/>
    <xf numFmtId="262" fontId="8" fillId="0" borderId="0" applyFont="0" applyFill="0" applyBorder="0" applyAlignment="0" applyProtection="0"/>
    <xf numFmtId="262" fontId="8" fillId="0" borderId="0" applyFont="0" applyFill="0" applyBorder="0" applyAlignment="0" applyProtection="0"/>
    <xf numFmtId="262" fontId="8" fillId="0" borderId="0" applyFont="0" applyFill="0" applyBorder="0" applyAlignment="0" applyProtection="0"/>
    <xf numFmtId="262" fontId="8" fillId="0" borderId="0" applyFont="0" applyFill="0" applyBorder="0" applyAlignment="0" applyProtection="0"/>
    <xf numFmtId="262" fontId="8" fillId="0" borderId="0" applyFont="0" applyFill="0" applyBorder="0" applyAlignment="0" applyProtection="0"/>
    <xf numFmtId="262" fontId="8" fillId="0" borderId="0" applyFont="0" applyFill="0" applyBorder="0" applyAlignment="0" applyProtection="0"/>
    <xf numFmtId="262" fontId="8" fillId="0" borderId="0" applyFont="0" applyFill="0" applyBorder="0" applyAlignment="0" applyProtection="0"/>
    <xf numFmtId="262" fontId="8" fillId="0" borderId="0" applyFont="0" applyFill="0" applyBorder="0" applyAlignment="0" applyProtection="0"/>
    <xf numFmtId="262" fontId="8" fillId="0" borderId="0" applyFont="0" applyFill="0" applyBorder="0" applyAlignment="0" applyProtection="0"/>
    <xf numFmtId="262" fontId="8" fillId="0" borderId="0" applyFont="0" applyFill="0" applyBorder="0" applyAlignment="0" applyProtection="0"/>
    <xf numFmtId="262" fontId="8" fillId="0" borderId="0" applyFont="0" applyFill="0" applyBorder="0" applyAlignment="0" applyProtection="0"/>
    <xf numFmtId="262" fontId="8" fillId="0" borderId="0" applyFont="0" applyFill="0" applyBorder="0" applyAlignment="0" applyProtection="0"/>
    <xf numFmtId="262" fontId="8" fillId="0" borderId="0" applyFont="0" applyFill="0" applyBorder="0" applyAlignment="0" applyProtection="0"/>
    <xf numFmtId="262" fontId="8" fillId="0" borderId="0" applyFont="0" applyFill="0" applyBorder="0" applyAlignment="0" applyProtection="0"/>
    <xf numFmtId="262" fontId="8" fillId="0" borderId="0" applyFont="0" applyFill="0" applyBorder="0" applyAlignment="0" applyProtection="0"/>
    <xf numFmtId="262" fontId="8" fillId="0" borderId="0" applyFont="0" applyFill="0" applyBorder="0" applyAlignment="0" applyProtection="0"/>
    <xf numFmtId="262" fontId="8" fillId="0" borderId="0" applyFont="0" applyFill="0" applyBorder="0" applyAlignment="0" applyProtection="0"/>
    <xf numFmtId="262" fontId="8" fillId="0" borderId="0" applyFont="0" applyFill="0" applyBorder="0" applyAlignment="0" applyProtection="0"/>
    <xf numFmtId="262" fontId="8" fillId="0" borderId="0" applyFont="0" applyFill="0" applyBorder="0" applyAlignment="0" applyProtection="0"/>
    <xf numFmtId="262" fontId="8" fillId="0" borderId="0" applyFont="0" applyFill="0" applyBorder="0" applyAlignment="0" applyProtection="0"/>
    <xf numFmtId="262" fontId="8" fillId="0" borderId="0" applyFont="0" applyFill="0" applyBorder="0" applyAlignment="0" applyProtection="0"/>
    <xf numFmtId="262" fontId="8" fillId="0" borderId="0" applyFont="0" applyFill="0" applyBorder="0" applyAlignment="0" applyProtection="0"/>
    <xf numFmtId="262" fontId="8" fillId="0" borderId="0" applyFont="0" applyFill="0" applyBorder="0" applyAlignment="0" applyProtection="0"/>
    <xf numFmtId="40" fontId="44" fillId="0" borderId="11" applyBorder="0">
      <alignment vertical="center"/>
    </xf>
    <xf numFmtId="40" fontId="44" fillId="0" borderId="11" applyBorder="0">
      <alignment vertical="center"/>
    </xf>
    <xf numFmtId="40" fontId="44" fillId="0" borderId="9">
      <alignment vertical="center"/>
    </xf>
    <xf numFmtId="40" fontId="44" fillId="0" borderId="9">
      <alignment vertical="center"/>
    </xf>
    <xf numFmtId="40" fontId="44" fillId="0" borderId="9">
      <alignment vertical="center"/>
    </xf>
    <xf numFmtId="40" fontId="44" fillId="0" borderId="9">
      <alignment vertical="center"/>
    </xf>
    <xf numFmtId="323" fontId="8" fillId="0" borderId="0" applyFont="0" applyFill="0" applyBorder="0" applyAlignment="0" applyProtection="0"/>
    <xf numFmtId="324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5" fontId="8" fillId="0" borderId="0" applyFont="0" applyFill="0" applyBorder="0" applyAlignment="0" applyProtection="0"/>
    <xf numFmtId="325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325" fontId="8" fillId="0" borderId="0" applyFont="0" applyFill="0" applyBorder="0" applyAlignment="0" applyProtection="0"/>
    <xf numFmtId="325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9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5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5" fontId="8" fillId="0" borderId="0" applyFont="0" applyFill="0" applyBorder="0" applyAlignment="0" applyProtection="0"/>
    <xf numFmtId="325" fontId="8" fillId="0" borderId="0" applyFont="0" applyFill="0" applyBorder="0" applyAlignment="0" applyProtection="0"/>
    <xf numFmtId="325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32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32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32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32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32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32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326" fontId="8" fillId="0" borderId="0" applyFont="0" applyFill="0" applyBorder="0" applyAlignment="0" applyProtection="0"/>
    <xf numFmtId="326" fontId="8" fillId="0" borderId="0" applyFont="0" applyFill="0" applyBorder="0" applyAlignment="0" applyProtection="0"/>
    <xf numFmtId="326" fontId="8" fillId="0" borderId="0" applyFont="0" applyFill="0" applyBorder="0" applyAlignment="0" applyProtection="0"/>
    <xf numFmtId="326" fontId="8" fillId="0" borderId="0" applyFont="0" applyFill="0" applyBorder="0" applyAlignment="0" applyProtection="0"/>
    <xf numFmtId="326" fontId="8" fillId="0" borderId="0" applyFont="0" applyFill="0" applyBorder="0" applyAlignment="0" applyProtection="0"/>
    <xf numFmtId="326" fontId="8" fillId="0" borderId="0" applyFont="0" applyFill="0" applyBorder="0" applyAlignment="0" applyProtection="0"/>
    <xf numFmtId="326" fontId="8" fillId="0" borderId="0" applyFont="0" applyFill="0" applyBorder="0" applyAlignment="0" applyProtection="0"/>
    <xf numFmtId="326" fontId="8" fillId="0" borderId="0" applyFont="0" applyFill="0" applyBorder="0" applyAlignment="0" applyProtection="0"/>
    <xf numFmtId="326" fontId="8" fillId="0" borderId="0" applyFont="0" applyFill="0" applyBorder="0" applyAlignment="0" applyProtection="0"/>
    <xf numFmtId="326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326" fontId="8" fillId="0" borderId="0" applyFont="0" applyFill="0" applyBorder="0" applyAlignment="0" applyProtection="0"/>
    <xf numFmtId="326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326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326" fontId="8" fillId="0" borderId="0" applyFont="0" applyFill="0" applyBorder="0" applyAlignment="0" applyProtection="0"/>
    <xf numFmtId="326" fontId="8" fillId="0" borderId="0" applyFont="0" applyFill="0" applyBorder="0" applyAlignment="0" applyProtection="0"/>
    <xf numFmtId="326" fontId="8" fillId="0" borderId="0" applyFont="0" applyFill="0" applyBorder="0" applyAlignment="0" applyProtection="0"/>
    <xf numFmtId="326" fontId="8" fillId="0" borderId="0" applyFont="0" applyFill="0" applyBorder="0" applyAlignment="0" applyProtection="0"/>
    <xf numFmtId="326" fontId="8" fillId="0" borderId="0" applyFont="0" applyFill="0" applyBorder="0" applyAlignment="0" applyProtection="0"/>
    <xf numFmtId="326" fontId="8" fillId="0" borderId="0" applyFont="0" applyFill="0" applyBorder="0" applyAlignment="0" applyProtection="0"/>
    <xf numFmtId="326" fontId="8" fillId="0" borderId="0" applyFont="0" applyFill="0" applyBorder="0" applyAlignment="0" applyProtection="0"/>
    <xf numFmtId="326" fontId="8" fillId="0" borderId="0" applyFont="0" applyFill="0" applyBorder="0" applyAlignment="0" applyProtection="0"/>
    <xf numFmtId="326" fontId="8" fillId="0" borderId="0" applyFont="0" applyFill="0" applyBorder="0" applyAlignment="0" applyProtection="0"/>
    <xf numFmtId="326" fontId="8" fillId="0" borderId="0" applyFont="0" applyFill="0" applyBorder="0" applyAlignment="0" applyProtection="0"/>
    <xf numFmtId="326" fontId="8" fillId="0" borderId="0" applyFont="0" applyFill="0" applyBorder="0" applyAlignment="0" applyProtection="0"/>
    <xf numFmtId="326" fontId="8" fillId="0" borderId="0" applyFont="0" applyFill="0" applyBorder="0" applyAlignment="0" applyProtection="0"/>
    <xf numFmtId="326" fontId="8" fillId="0" borderId="0" applyFont="0" applyFill="0" applyBorder="0" applyAlignment="0" applyProtection="0"/>
    <xf numFmtId="326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327" fontId="8" fillId="0" borderId="0" applyFont="0" applyFill="0" applyBorder="0" applyAlignment="0" applyProtection="0"/>
    <xf numFmtId="327" fontId="8" fillId="0" borderId="0" applyFont="0" applyFill="0" applyBorder="0" applyAlignment="0" applyProtection="0"/>
    <xf numFmtId="327" fontId="8" fillId="0" borderId="0" applyFont="0" applyFill="0" applyBorder="0" applyAlignment="0" applyProtection="0"/>
    <xf numFmtId="327" fontId="8" fillId="0" borderId="0" applyFont="0" applyFill="0" applyBorder="0" applyAlignment="0" applyProtection="0"/>
    <xf numFmtId="327" fontId="8" fillId="0" borderId="0" applyFont="0" applyFill="0" applyBorder="0" applyAlignment="0" applyProtection="0"/>
    <xf numFmtId="327" fontId="8" fillId="0" borderId="0" applyFont="0" applyFill="0" applyBorder="0" applyAlignment="0" applyProtection="0"/>
    <xf numFmtId="327" fontId="8" fillId="0" borderId="0" applyFont="0" applyFill="0" applyBorder="0" applyAlignment="0" applyProtection="0"/>
    <xf numFmtId="327" fontId="8" fillId="0" borderId="0" applyFont="0" applyFill="0" applyBorder="0" applyAlignment="0" applyProtection="0"/>
    <xf numFmtId="327" fontId="8" fillId="0" borderId="0" applyFont="0" applyFill="0" applyBorder="0" applyAlignment="0" applyProtection="0"/>
    <xf numFmtId="327" fontId="8" fillId="0" borderId="0" applyFont="0" applyFill="0" applyBorder="0" applyAlignment="0" applyProtection="0"/>
    <xf numFmtId="327" fontId="8" fillId="0" borderId="0" applyFont="0" applyFill="0" applyBorder="0" applyAlignment="0" applyProtection="0"/>
    <xf numFmtId="327" fontId="8" fillId="0" borderId="0" applyFont="0" applyFill="0" applyBorder="0" applyAlignment="0" applyProtection="0"/>
    <xf numFmtId="327" fontId="8" fillId="0" borderId="0" applyFont="0" applyFill="0" applyBorder="0" applyAlignment="0" applyProtection="0"/>
    <xf numFmtId="327" fontId="8" fillId="0" borderId="0" applyFont="0" applyFill="0" applyBorder="0" applyAlignment="0" applyProtection="0"/>
    <xf numFmtId="327" fontId="8" fillId="0" borderId="0" applyFont="0" applyFill="0" applyBorder="0" applyAlignment="0" applyProtection="0"/>
    <xf numFmtId="327" fontId="8" fillId="0" borderId="0" applyFont="0" applyFill="0" applyBorder="0" applyAlignment="0" applyProtection="0"/>
    <xf numFmtId="327" fontId="8" fillId="0" borderId="0" applyFont="0" applyFill="0" applyBorder="0" applyAlignment="0" applyProtection="0"/>
    <xf numFmtId="327" fontId="8" fillId="0" borderId="0" applyFont="0" applyFill="0" applyBorder="0" applyAlignment="0" applyProtection="0"/>
    <xf numFmtId="327" fontId="8" fillId="0" borderId="0" applyFont="0" applyFill="0" applyBorder="0" applyAlignment="0" applyProtection="0"/>
    <xf numFmtId="327" fontId="8" fillId="0" borderId="0" applyFont="0" applyFill="0" applyBorder="0" applyAlignment="0" applyProtection="0"/>
    <xf numFmtId="327" fontId="8" fillId="0" borderId="0" applyFont="0" applyFill="0" applyBorder="0" applyAlignment="0" applyProtection="0"/>
    <xf numFmtId="327" fontId="8" fillId="0" borderId="0" applyFont="0" applyFill="0" applyBorder="0" applyAlignment="0" applyProtection="0"/>
    <xf numFmtId="327" fontId="8" fillId="0" borderId="0" applyFont="0" applyFill="0" applyBorder="0" applyAlignment="0" applyProtection="0"/>
    <xf numFmtId="327" fontId="8" fillId="0" borderId="0" applyFont="0" applyFill="0" applyBorder="0" applyAlignment="0" applyProtection="0"/>
    <xf numFmtId="327" fontId="8" fillId="0" borderId="0" applyFont="0" applyFill="0" applyBorder="0" applyAlignment="0" applyProtection="0"/>
    <xf numFmtId="327" fontId="8" fillId="0" borderId="0" applyFont="0" applyFill="0" applyBorder="0" applyAlignment="0" applyProtection="0"/>
    <xf numFmtId="327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32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32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287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287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9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262" fontId="8" fillId="0" borderId="0" applyFont="0" applyFill="0" applyBorder="0" applyAlignment="0" applyProtection="0"/>
    <xf numFmtId="40" fontId="149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328" fontId="8" fillId="0" borderId="0" applyFont="0" applyFill="0" applyBorder="0" applyAlignment="0" applyProtection="0"/>
    <xf numFmtId="328" fontId="8" fillId="0" borderId="0" applyFont="0" applyFill="0" applyBorder="0" applyAlignment="0" applyProtection="0"/>
    <xf numFmtId="328" fontId="8" fillId="0" borderId="0" applyFont="0" applyFill="0" applyBorder="0" applyAlignment="0" applyProtection="0"/>
    <xf numFmtId="328" fontId="8" fillId="0" borderId="0" applyFont="0" applyFill="0" applyBorder="0" applyAlignment="0" applyProtection="0"/>
    <xf numFmtId="328" fontId="8" fillId="0" borderId="0" applyFont="0" applyFill="0" applyBorder="0" applyAlignment="0" applyProtection="0"/>
    <xf numFmtId="328" fontId="8" fillId="0" borderId="0" applyFont="0" applyFill="0" applyBorder="0" applyAlignment="0" applyProtection="0"/>
    <xf numFmtId="328" fontId="8" fillId="0" borderId="0" applyFont="0" applyFill="0" applyBorder="0" applyAlignment="0" applyProtection="0"/>
    <xf numFmtId="328" fontId="8" fillId="0" borderId="0" applyFont="0" applyFill="0" applyBorder="0" applyAlignment="0" applyProtection="0"/>
    <xf numFmtId="328" fontId="8" fillId="0" borderId="0" applyFont="0" applyFill="0" applyBorder="0" applyAlignment="0" applyProtection="0"/>
    <xf numFmtId="328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328" fontId="8" fillId="0" borderId="0" applyFont="0" applyFill="0" applyBorder="0" applyAlignment="0" applyProtection="0"/>
    <xf numFmtId="328" fontId="8" fillId="0" borderId="0" applyFont="0" applyFill="0" applyBorder="0" applyAlignment="0" applyProtection="0"/>
    <xf numFmtId="328" fontId="8" fillId="0" borderId="0" applyFont="0" applyFill="0" applyBorder="0" applyAlignment="0" applyProtection="0"/>
    <xf numFmtId="328" fontId="8" fillId="0" borderId="0" applyFont="0" applyFill="0" applyBorder="0" applyAlignment="0" applyProtection="0"/>
    <xf numFmtId="328" fontId="8" fillId="0" borderId="0" applyFont="0" applyFill="0" applyBorder="0" applyAlignment="0" applyProtection="0"/>
    <xf numFmtId="328" fontId="8" fillId="0" borderId="0" applyFont="0" applyFill="0" applyBorder="0" applyAlignment="0" applyProtection="0"/>
    <xf numFmtId="328" fontId="8" fillId="0" borderId="0" applyFont="0" applyFill="0" applyBorder="0" applyAlignment="0" applyProtection="0"/>
    <xf numFmtId="328" fontId="8" fillId="0" borderId="0" applyFont="0" applyFill="0" applyBorder="0" applyAlignment="0" applyProtection="0"/>
    <xf numFmtId="328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328" fontId="8" fillId="0" borderId="0" applyFont="0" applyFill="0" applyBorder="0" applyAlignment="0" applyProtection="0"/>
    <xf numFmtId="328" fontId="8" fillId="0" borderId="0" applyFont="0" applyFill="0" applyBorder="0" applyAlignment="0" applyProtection="0"/>
    <xf numFmtId="328" fontId="8" fillId="0" borderId="0" applyFont="0" applyFill="0" applyBorder="0" applyAlignment="0" applyProtection="0"/>
    <xf numFmtId="328" fontId="8" fillId="0" borderId="0" applyFont="0" applyFill="0" applyBorder="0" applyAlignment="0" applyProtection="0"/>
    <xf numFmtId="328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9" fillId="0" borderId="0" applyFont="0" applyFill="0" applyBorder="0" applyAlignment="0" applyProtection="0"/>
    <xf numFmtId="183" fontId="9" fillId="0" borderId="0" applyFont="0" applyFill="0" applyBorder="0" applyAlignment="0" applyProtection="0"/>
    <xf numFmtId="183" fontId="9" fillId="0" borderId="0" applyFont="0" applyFill="0" applyBorder="0" applyAlignment="0" applyProtection="0"/>
    <xf numFmtId="183" fontId="9" fillId="0" borderId="0" applyFont="0" applyFill="0" applyBorder="0" applyAlignment="0" applyProtection="0"/>
    <xf numFmtId="183" fontId="9" fillId="0" borderId="0" applyFont="0" applyFill="0" applyBorder="0" applyAlignment="0" applyProtection="0"/>
    <xf numFmtId="183" fontId="9" fillId="0" borderId="0" applyFont="0" applyFill="0" applyBorder="0" applyAlignment="0" applyProtection="0"/>
    <xf numFmtId="183" fontId="9" fillId="0" borderId="0" applyFont="0" applyFill="0" applyBorder="0" applyAlignment="0" applyProtection="0"/>
    <xf numFmtId="183" fontId="9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83" fontId="9" fillId="0" borderId="0" applyFont="0" applyFill="0" applyBorder="0" applyAlignment="0" applyProtection="0"/>
    <xf numFmtId="183" fontId="9" fillId="0" borderId="0" applyFont="0" applyFill="0" applyBorder="0" applyAlignment="0" applyProtection="0"/>
    <xf numFmtId="43" fontId="288" fillId="0" borderId="0" applyFont="0" applyFill="0" applyBorder="0" applyAlignment="0" applyProtection="0"/>
    <xf numFmtId="183" fontId="9" fillId="0" borderId="0" applyFont="0" applyFill="0" applyBorder="0" applyAlignment="0" applyProtection="0"/>
    <xf numFmtId="183" fontId="9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5" fontId="8" fillId="0" borderId="0" applyFont="0" applyFill="0" applyBorder="0" applyAlignment="0" applyProtection="0"/>
    <xf numFmtId="325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325" fontId="8" fillId="0" borderId="0" applyFont="0" applyFill="0" applyBorder="0" applyAlignment="0" applyProtection="0"/>
    <xf numFmtId="325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5" fontId="8" fillId="0" borderId="0" applyFont="0" applyFill="0" applyBorder="0" applyAlignment="0" applyProtection="0"/>
    <xf numFmtId="325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325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325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32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32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5" fontId="8" fillId="0" borderId="0" applyFont="0" applyFill="0" applyBorder="0" applyAlignment="0" applyProtection="0"/>
    <xf numFmtId="325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325" fontId="8" fillId="0" borderId="0" applyFont="0" applyFill="0" applyBorder="0" applyAlignment="0" applyProtection="0"/>
    <xf numFmtId="325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5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3" fontId="8" fillId="0" borderId="0" applyFont="0" applyFill="0" applyBorder="0" applyAlignment="0" applyProtection="0"/>
    <xf numFmtId="325" fontId="8" fillId="0" borderId="0" applyFont="0" applyFill="0" applyBorder="0" applyAlignment="0" applyProtection="0"/>
    <xf numFmtId="325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325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325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323" fontId="8" fillId="0" borderId="0" applyFont="0" applyFill="0" applyBorder="0" applyAlignment="0" applyProtection="0"/>
    <xf numFmtId="168" fontId="9" fillId="0" borderId="0" applyFont="0" applyFill="0" applyBorder="0" applyAlignment="0" applyProtection="0"/>
    <xf numFmtId="323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40" fontId="44" fillId="0" borderId="11" applyBorder="0">
      <alignment vertical="center"/>
    </xf>
    <xf numFmtId="40" fontId="44" fillId="0" borderId="11" applyBorder="0">
      <alignment vertical="center"/>
    </xf>
    <xf numFmtId="40" fontId="44" fillId="0" borderId="11" applyBorder="0">
      <alignment vertical="center"/>
    </xf>
    <xf numFmtId="40" fontId="44" fillId="0" borderId="11" applyBorder="0">
      <alignment vertical="center"/>
    </xf>
    <xf numFmtId="40" fontId="44" fillId="0" borderId="11" applyBorder="0">
      <alignment vertical="center"/>
    </xf>
    <xf numFmtId="40" fontId="44" fillId="0" borderId="11" applyBorder="0">
      <alignment vertical="center"/>
    </xf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183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227" fontId="8" fillId="0" borderId="0" applyFont="0" applyFill="0" applyBorder="0" applyAlignment="0" applyProtection="0"/>
    <xf numFmtId="224" fontId="8" fillId="0" borderId="0" applyFont="0" applyFill="0" applyBorder="0" applyAlignment="0" applyProtection="0"/>
    <xf numFmtId="324" fontId="8" fillId="0" borderId="0" applyFill="0" applyBorder="0" applyAlignment="0" applyProtection="0"/>
    <xf numFmtId="324" fontId="8" fillId="0" borderId="0" applyFill="0" applyBorder="0" applyAlignment="0" applyProtection="0"/>
    <xf numFmtId="167" fontId="8" fillId="0" borderId="0" applyFont="0" applyFill="0" applyBorder="0" applyAlignment="0" applyProtection="0"/>
    <xf numFmtId="329" fontId="9" fillId="0" borderId="0" applyFont="0" applyFill="0" applyBorder="0" applyAlignment="0" applyProtection="0"/>
    <xf numFmtId="329" fontId="8" fillId="0" borderId="0" applyFont="0" applyFill="0" applyBorder="0" applyAlignment="0" applyProtection="0"/>
    <xf numFmtId="324" fontId="8" fillId="0" borderId="0" applyFont="0" applyFill="0" applyBorder="0" applyAlignment="0" applyProtection="0"/>
    <xf numFmtId="324" fontId="8" fillId="0" borderId="0" applyFont="0" applyFill="0" applyBorder="0" applyAlignment="0" applyProtection="0"/>
    <xf numFmtId="330" fontId="8" fillId="0" borderId="0" applyFont="0" applyFill="0" applyBorder="0" applyAlignment="0" applyProtection="0"/>
    <xf numFmtId="329" fontId="6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331" fontId="233" fillId="0" borderId="0">
      <protection locked="0"/>
    </xf>
    <xf numFmtId="332" fontId="8" fillId="0" borderId="0" applyFill="0" applyBorder="0" applyAlignment="0" applyProtection="0"/>
    <xf numFmtId="3" fontId="187" fillId="158" borderId="6">
      <alignment horizontal="center"/>
    </xf>
    <xf numFmtId="333" fontId="228" fillId="0" borderId="0" applyFont="0" applyFill="0" applyBorder="0" applyAlignment="0" applyProtection="0">
      <alignment horizontal="right"/>
    </xf>
    <xf numFmtId="0" fontId="289" fillId="52" borderId="0" applyNumberFormat="0" applyBorder="0" applyAlignment="0" applyProtection="0"/>
    <xf numFmtId="0" fontId="289" fillId="52" borderId="0" applyNumberFormat="0" applyBorder="0" applyAlignment="0" applyProtection="0"/>
    <xf numFmtId="0" fontId="176" fillId="111" borderId="0" applyNumberFormat="0" applyBorder="0" applyAlignment="0" applyProtection="0"/>
    <xf numFmtId="0" fontId="289" fillId="52" borderId="0" applyNumberFormat="0" applyBorder="0" applyAlignment="0" applyProtection="0"/>
    <xf numFmtId="0" fontId="159" fillId="152" borderId="0" applyNumberFormat="0" applyBorder="0" applyAlignment="0" applyProtection="0"/>
    <xf numFmtId="0" fontId="159" fillId="152" borderId="0" applyNumberFormat="0" applyBorder="0" applyAlignment="0" applyProtection="0"/>
    <xf numFmtId="0" fontId="159" fillId="52" borderId="0" applyNumberFormat="0" applyBorder="0" applyAlignment="0" applyProtection="0"/>
    <xf numFmtId="0" fontId="159" fillId="52" borderId="0" applyNumberFormat="0" applyBorder="0" applyAlignment="0" applyProtection="0"/>
    <xf numFmtId="0" fontId="159" fillId="52" borderId="0" applyNumberFormat="0" applyBorder="0" applyAlignment="0" applyProtection="0"/>
    <xf numFmtId="0" fontId="159" fillId="52" borderId="0" applyNumberFormat="0" applyBorder="0" applyAlignment="0" applyProtection="0"/>
    <xf numFmtId="0" fontId="159" fillId="52" borderId="0" applyNumberFormat="0" applyBorder="0" applyAlignment="0" applyProtection="0"/>
    <xf numFmtId="0" fontId="159" fillId="52" borderId="0" applyNumberFormat="0" applyBorder="0" applyAlignment="0" applyProtection="0"/>
    <xf numFmtId="0" fontId="159" fillId="52" borderId="0" applyNumberFormat="0" applyBorder="0" applyAlignment="0" applyProtection="0"/>
    <xf numFmtId="0" fontId="289" fillId="52" borderId="0" applyNumberFormat="0" applyBorder="0" applyAlignment="0" applyProtection="0"/>
    <xf numFmtId="0" fontId="159" fillId="52" borderId="0" applyNumberFormat="0" applyBorder="0" applyAlignment="0" applyProtection="0"/>
    <xf numFmtId="0" fontId="159" fillId="52" borderId="0" applyNumberFormat="0" applyBorder="0" applyAlignment="0" applyProtection="0"/>
    <xf numFmtId="0" fontId="159" fillId="52" borderId="0" applyNumberFormat="0" applyBorder="0" applyAlignment="0" applyProtection="0"/>
    <xf numFmtId="0" fontId="159" fillId="52" borderId="0" applyNumberFormat="0" applyBorder="0" applyAlignment="0" applyProtection="0"/>
    <xf numFmtId="0" fontId="159" fillId="52" borderId="0" applyNumberFormat="0" applyBorder="0" applyAlignment="0" applyProtection="0"/>
    <xf numFmtId="0" fontId="159" fillId="52" borderId="0" applyNumberFormat="0" applyBorder="0" applyAlignment="0" applyProtection="0"/>
    <xf numFmtId="0" fontId="159" fillId="52" borderId="0" applyNumberFormat="0" applyBorder="0" applyAlignment="0" applyProtection="0"/>
    <xf numFmtId="0" fontId="159" fillId="52" borderId="0" applyNumberFormat="0" applyBorder="0" applyAlignment="0" applyProtection="0"/>
    <xf numFmtId="0" fontId="159" fillId="52" borderId="0" applyNumberFormat="0" applyBorder="0" applyAlignment="0" applyProtection="0"/>
    <xf numFmtId="0" fontId="159" fillId="52" borderId="0" applyNumberFormat="0" applyBorder="0" applyAlignment="0" applyProtection="0"/>
    <xf numFmtId="0" fontId="289" fillId="52" borderId="0" applyNumberFormat="0" applyBorder="0" applyAlignment="0" applyProtection="0"/>
    <xf numFmtId="0" fontId="159" fillId="52" borderId="0" applyNumberFormat="0" applyBorder="0" applyAlignment="0" applyProtection="0"/>
    <xf numFmtId="0" fontId="159" fillId="52" borderId="0" applyNumberFormat="0" applyBorder="0" applyAlignment="0" applyProtection="0"/>
    <xf numFmtId="0" fontId="159" fillId="52" borderId="0" applyNumberFormat="0" applyBorder="0" applyAlignment="0" applyProtection="0"/>
    <xf numFmtId="0" fontId="159" fillId="52" borderId="0" applyNumberFormat="0" applyBorder="0" applyAlignment="0" applyProtection="0"/>
    <xf numFmtId="0" fontId="159" fillId="52" borderId="0" applyNumberFormat="0" applyBorder="0" applyAlignment="0" applyProtection="0"/>
    <xf numFmtId="0" fontId="159" fillId="52" borderId="0" applyNumberFormat="0" applyBorder="0" applyAlignment="0" applyProtection="0"/>
    <xf numFmtId="0" fontId="159" fillId="152" borderId="0" applyNumberFormat="0" applyBorder="0" applyAlignment="0" applyProtection="0"/>
    <xf numFmtId="0" fontId="159" fillId="152" borderId="0" applyNumberFormat="0" applyBorder="0" applyAlignment="0" applyProtection="0"/>
    <xf numFmtId="0" fontId="289" fillId="52" borderId="0" applyNumberFormat="0" applyBorder="0" applyAlignment="0" applyProtection="0"/>
    <xf numFmtId="0" fontId="289" fillId="52" borderId="0" applyNumberFormat="0" applyBorder="0" applyAlignment="0" applyProtection="0"/>
    <xf numFmtId="0" fontId="289" fillId="52" borderId="0" applyNumberFormat="0" applyBorder="0" applyAlignment="0" applyProtection="0"/>
    <xf numFmtId="0" fontId="289" fillId="52" borderId="0" applyNumberFormat="0" applyBorder="0" applyAlignment="0" applyProtection="0"/>
    <xf numFmtId="0" fontId="289" fillId="52" borderId="0" applyNumberFormat="0" applyBorder="0" applyAlignment="0" applyProtection="0"/>
    <xf numFmtId="0" fontId="289" fillId="52" borderId="0" applyNumberFormat="0" applyBorder="0" applyAlignment="0" applyProtection="0"/>
    <xf numFmtId="0" fontId="289" fillId="52" borderId="0" applyNumberFormat="0" applyBorder="0" applyAlignment="0" applyProtection="0"/>
    <xf numFmtId="0" fontId="16" fillId="5" borderId="0" applyNumberFormat="0" applyBorder="0" applyAlignment="0" applyProtection="0"/>
    <xf numFmtId="0" fontId="159" fillId="52" borderId="0" applyNumberFormat="0" applyBorder="0" applyAlignment="0" applyProtection="0"/>
    <xf numFmtId="0" fontId="159" fillId="52" borderId="0" applyNumberFormat="0" applyBorder="0" applyAlignment="0" applyProtection="0"/>
    <xf numFmtId="0" fontId="159" fillId="52" borderId="0" applyNumberFormat="0" applyBorder="0" applyAlignment="0" applyProtection="0"/>
    <xf numFmtId="0" fontId="159" fillId="52" borderId="0" applyNumberFormat="0" applyBorder="0" applyAlignment="0" applyProtection="0"/>
    <xf numFmtId="0" fontId="159" fillId="52" borderId="0" applyNumberFormat="0" applyBorder="0" applyAlignment="0" applyProtection="0"/>
    <xf numFmtId="0" fontId="159" fillId="52" borderId="0" applyNumberFormat="0" applyBorder="0" applyAlignment="0" applyProtection="0"/>
    <xf numFmtId="0" fontId="159" fillId="52" borderId="0" applyNumberFormat="0" applyBorder="0" applyAlignment="0" applyProtection="0"/>
    <xf numFmtId="0" fontId="159" fillId="52" borderId="0" applyNumberFormat="0" applyBorder="0" applyAlignment="0" applyProtection="0"/>
    <xf numFmtId="0" fontId="159" fillId="52" borderId="0" applyNumberFormat="0" applyBorder="0" applyAlignment="0" applyProtection="0"/>
    <xf numFmtId="0" fontId="159" fillId="52" borderId="0" applyNumberFormat="0" applyBorder="0" applyAlignment="0" applyProtection="0"/>
    <xf numFmtId="0" fontId="289" fillId="52" borderId="0" applyNumberFormat="0" applyBorder="0" applyAlignment="0" applyProtection="0"/>
    <xf numFmtId="0" fontId="159" fillId="52" borderId="0" applyNumberFormat="0" applyBorder="0" applyAlignment="0" applyProtection="0"/>
    <xf numFmtId="0" fontId="159" fillId="52" borderId="0" applyNumberFormat="0" applyBorder="0" applyAlignment="0" applyProtection="0"/>
    <xf numFmtId="0" fontId="159" fillId="52" borderId="0" applyNumberFormat="0" applyBorder="0" applyAlignment="0" applyProtection="0"/>
    <xf numFmtId="0" fontId="159" fillId="52" borderId="0" applyNumberFormat="0" applyBorder="0" applyAlignment="0" applyProtection="0"/>
    <xf numFmtId="0" fontId="159" fillId="52" borderId="0" applyNumberFormat="0" applyBorder="0" applyAlignment="0" applyProtection="0"/>
    <xf numFmtId="0" fontId="159" fillId="52" borderId="0" applyNumberFormat="0" applyBorder="0" applyAlignment="0" applyProtection="0"/>
    <xf numFmtId="0" fontId="159" fillId="52" borderId="0" applyNumberFormat="0" applyBorder="0" applyAlignment="0" applyProtection="0"/>
    <xf numFmtId="0" fontId="159" fillId="52" borderId="0" applyNumberFormat="0" applyBorder="0" applyAlignment="0" applyProtection="0"/>
    <xf numFmtId="0" fontId="159" fillId="52" borderId="0" applyNumberFormat="0" applyBorder="0" applyAlignment="0" applyProtection="0"/>
    <xf numFmtId="0" fontId="159" fillId="52" borderId="0" applyNumberFormat="0" applyBorder="0" applyAlignment="0" applyProtection="0"/>
    <xf numFmtId="0" fontId="289" fillId="52" borderId="0" applyNumberFormat="0" applyBorder="0" applyAlignment="0" applyProtection="0"/>
    <xf numFmtId="0" fontId="159" fillId="52" borderId="0" applyNumberFormat="0" applyBorder="0" applyAlignment="0" applyProtection="0"/>
    <xf numFmtId="0" fontId="159" fillId="52" borderId="0" applyNumberFormat="0" applyBorder="0" applyAlignment="0" applyProtection="0"/>
    <xf numFmtId="0" fontId="159" fillId="152" borderId="0" applyNumberFormat="0" applyBorder="0" applyAlignment="0" applyProtection="0"/>
    <xf numFmtId="0" fontId="159" fillId="152" borderId="0" applyNumberFormat="0" applyBorder="0" applyAlignment="0" applyProtection="0"/>
    <xf numFmtId="0" fontId="289" fillId="52" borderId="0" applyNumberFormat="0" applyBorder="0" applyAlignment="0" applyProtection="0"/>
    <xf numFmtId="0" fontId="289" fillId="52" borderId="0" applyNumberFormat="0" applyBorder="0" applyAlignment="0" applyProtection="0"/>
    <xf numFmtId="0" fontId="289" fillId="52" borderId="0" applyNumberFormat="0" applyBorder="0" applyAlignment="0" applyProtection="0"/>
    <xf numFmtId="0" fontId="289" fillId="52" borderId="0" applyNumberFormat="0" applyBorder="0" applyAlignment="0" applyProtection="0"/>
    <xf numFmtId="0" fontId="159" fillId="152" borderId="0" applyNumberFormat="0" applyBorder="0" applyAlignment="0" applyProtection="0"/>
    <xf numFmtId="0" fontId="159" fillId="152" borderId="0" applyNumberFormat="0" applyBorder="0" applyAlignment="0" applyProtection="0"/>
    <xf numFmtId="0" fontId="159" fillId="52" borderId="0" applyNumberFormat="0" applyBorder="0" applyAlignment="0" applyProtection="0"/>
    <xf numFmtId="0" fontId="289" fillId="52" borderId="0" applyNumberFormat="0" applyBorder="0" applyAlignment="0" applyProtection="0"/>
    <xf numFmtId="0" fontId="289" fillId="52" borderId="0" applyNumberFormat="0" applyBorder="0" applyAlignment="0" applyProtection="0"/>
    <xf numFmtId="0" fontId="289" fillId="52" borderId="0" applyNumberFormat="0" applyBorder="0" applyAlignment="0" applyProtection="0"/>
    <xf numFmtId="0" fontId="289" fillId="52" borderId="0" applyNumberFormat="0" applyBorder="0" applyAlignment="0" applyProtection="0"/>
    <xf numFmtId="0" fontId="289" fillId="52" borderId="0" applyNumberFormat="0" applyBorder="0" applyAlignment="0" applyProtection="0"/>
    <xf numFmtId="0" fontId="289" fillId="52" borderId="0" applyNumberFormat="0" applyBorder="0" applyAlignment="0" applyProtection="0"/>
    <xf numFmtId="0" fontId="289" fillId="52" borderId="0" applyNumberFormat="0" applyBorder="0" applyAlignment="0" applyProtection="0"/>
    <xf numFmtId="0" fontId="289" fillId="52" borderId="0" applyNumberFormat="0" applyBorder="0" applyAlignment="0" applyProtection="0"/>
    <xf numFmtId="0" fontId="289" fillId="52" borderId="0" applyNumberFormat="0" applyBorder="0" applyAlignment="0" applyProtection="0"/>
    <xf numFmtId="0" fontId="289" fillId="52" borderId="0" applyNumberFormat="0" applyBorder="0" applyAlignment="0" applyProtection="0"/>
    <xf numFmtId="0" fontId="289" fillId="52" borderId="0" applyNumberFormat="0" applyBorder="0" applyAlignment="0" applyProtection="0"/>
    <xf numFmtId="0" fontId="289" fillId="52" borderId="0" applyNumberFormat="0" applyBorder="0" applyAlignment="0" applyProtection="0"/>
    <xf numFmtId="0" fontId="289" fillId="52" borderId="0" applyNumberFormat="0" applyBorder="0" applyAlignment="0" applyProtection="0"/>
    <xf numFmtId="0" fontId="289" fillId="52" borderId="0" applyNumberFormat="0" applyBorder="0" applyAlignment="0" applyProtection="0"/>
    <xf numFmtId="0" fontId="290" fillId="118" borderId="0" applyAlignment="0"/>
    <xf numFmtId="0" fontId="205" fillId="159" borderId="0" applyAlignment="0"/>
    <xf numFmtId="0" fontId="291" fillId="0" borderId="0" applyAlignment="0"/>
    <xf numFmtId="0" fontId="280" fillId="44" borderId="0"/>
    <xf numFmtId="37" fontId="292" fillId="0" borderId="0"/>
    <xf numFmtId="0" fontId="59" fillId="0" borderId="0"/>
    <xf numFmtId="0" fontId="59" fillId="0" borderId="0"/>
    <xf numFmtId="327" fontId="8" fillId="0" borderId="0"/>
    <xf numFmtId="327" fontId="8" fillId="0" borderId="0"/>
    <xf numFmtId="327" fontId="8" fillId="0" borderId="0"/>
    <xf numFmtId="334" fontId="8" fillId="0" borderId="0"/>
    <xf numFmtId="334" fontId="8" fillId="0" borderId="0"/>
    <xf numFmtId="334" fontId="8" fillId="0" borderId="0"/>
    <xf numFmtId="335" fontId="240" fillId="0" borderId="0"/>
    <xf numFmtId="321" fontId="47" fillId="0" borderId="0"/>
    <xf numFmtId="336" fontId="8" fillId="0" borderId="0">
      <alignment horizontal="right"/>
    </xf>
    <xf numFmtId="336" fontId="8" fillId="0" borderId="0">
      <alignment horizontal="right"/>
    </xf>
    <xf numFmtId="336" fontId="8" fillId="0" borderId="0">
      <alignment horizontal="right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8" fillId="0" borderId="0"/>
    <xf numFmtId="0" fontId="9" fillId="0" borderId="0"/>
    <xf numFmtId="0" fontId="88" fillId="0" borderId="0"/>
    <xf numFmtId="0" fontId="9" fillId="0" borderId="0"/>
    <xf numFmtId="0" fontId="88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8" fillId="0" borderId="0"/>
    <xf numFmtId="0" fontId="9" fillId="0" borderId="0"/>
    <xf numFmtId="0" fontId="88" fillId="0" borderId="0"/>
    <xf numFmtId="0" fontId="9" fillId="0" borderId="0"/>
    <xf numFmtId="0" fontId="88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9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9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9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9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160" borderId="0"/>
    <xf numFmtId="0" fontId="8" fillId="0" borderId="0"/>
    <xf numFmtId="0" fontId="9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03" fillId="0" borderId="0"/>
    <xf numFmtId="0" fontId="293" fillId="0" borderId="0"/>
    <xf numFmtId="0" fontId="6" fillId="160" borderId="0"/>
    <xf numFmtId="0" fontId="6" fillId="16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16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24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6" fillId="16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03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8" fillId="0" borderId="0"/>
    <xf numFmtId="0" fontId="9" fillId="0" borderId="0"/>
    <xf numFmtId="0" fontId="88" fillId="0" borderId="0"/>
    <xf numFmtId="0" fontId="9" fillId="0" borderId="0"/>
    <xf numFmtId="0" fontId="88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160" borderId="0"/>
    <xf numFmtId="0" fontId="288" fillId="0" borderId="0"/>
    <xf numFmtId="0" fontId="6" fillId="160" borderId="0"/>
    <xf numFmtId="0" fontId="6" fillId="160" borderId="0"/>
    <xf numFmtId="0" fontId="6" fillId="160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8" fillId="0" borderId="0"/>
    <xf numFmtId="0" fontId="9" fillId="0" borderId="0"/>
    <xf numFmtId="0" fontId="88" fillId="0" borderId="0"/>
    <xf numFmtId="0" fontId="9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6" fillId="160" borderId="0"/>
    <xf numFmtId="0" fontId="6" fillId="160" borderId="0"/>
    <xf numFmtId="0" fontId="6" fillId="160" borderId="0"/>
    <xf numFmtId="0" fontId="6" fillId="160" borderId="0"/>
    <xf numFmtId="0" fontId="6" fillId="160" borderId="0"/>
    <xf numFmtId="0" fontId="6" fillId="160" borderId="0"/>
    <xf numFmtId="0" fontId="6" fillId="160" borderId="0"/>
    <xf numFmtId="0" fontId="6" fillId="160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9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9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6" fillId="16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8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8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94" fillId="0" borderId="0"/>
    <xf numFmtId="0" fontId="294" fillId="0" borderId="0"/>
    <xf numFmtId="0" fontId="8" fillId="0" borderId="0"/>
    <xf numFmtId="0" fontId="8" fillId="0" borderId="0"/>
    <xf numFmtId="0" fontId="8" fillId="0" borderId="0"/>
    <xf numFmtId="0" fontId="294" fillId="0" borderId="0"/>
    <xf numFmtId="0" fontId="294" fillId="0" borderId="0"/>
    <xf numFmtId="0" fontId="287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203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203" fillId="0" borderId="0"/>
    <xf numFmtId="0" fontId="203" fillId="0" borderId="0"/>
    <xf numFmtId="0" fontId="203" fillId="0" borderId="0"/>
    <xf numFmtId="0" fontId="29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" fillId="16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9" fillId="0" borderId="0"/>
    <xf numFmtId="0" fontId="88" fillId="0" borderId="0"/>
    <xf numFmtId="0" fontId="9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8" fillId="0" borderId="0"/>
    <xf numFmtId="0" fontId="9" fillId="0" borderId="0"/>
    <xf numFmtId="0" fontId="88" fillId="0" borderId="0"/>
    <xf numFmtId="0" fontId="9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8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8" fillId="0" borderId="0"/>
    <xf numFmtId="0" fontId="9" fillId="0" borderId="0"/>
    <xf numFmtId="0" fontId="88" fillId="0" borderId="0"/>
    <xf numFmtId="0" fontId="9" fillId="0" borderId="0"/>
    <xf numFmtId="0" fontId="88" fillId="0" borderId="0"/>
    <xf numFmtId="0" fontId="8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9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9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8" fillId="0" borderId="0"/>
    <xf numFmtId="0" fontId="9" fillId="0" borderId="0"/>
    <xf numFmtId="0" fontId="88" fillId="0" borderId="0"/>
    <xf numFmtId="0" fontId="9" fillId="0" borderId="0"/>
    <xf numFmtId="0" fontId="88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335" fontId="218" fillId="0" borderId="0" applyNumberFormat="0" applyFill="0" applyBorder="0" applyAlignment="0">
      <alignment vertical="center"/>
      <protection locked="0"/>
    </xf>
    <xf numFmtId="0" fontId="44" fillId="0" borderId="0"/>
    <xf numFmtId="0" fontId="8" fillId="70" borderId="85" applyNumberFormat="0" applyFont="0" applyAlignment="0" applyProtection="0"/>
    <xf numFmtId="0" fontId="9" fillId="9" borderId="22" applyNumberFormat="0" applyFont="0" applyAlignment="0" applyProtection="0"/>
    <xf numFmtId="0" fontId="8" fillId="70" borderId="85" applyNumberFormat="0" applyFont="0" applyAlignment="0" applyProtection="0"/>
    <xf numFmtId="0" fontId="9" fillId="9" borderId="22" applyNumberFormat="0" applyFont="0" applyAlignment="0" applyProtection="0"/>
    <xf numFmtId="0" fontId="8" fillId="52" borderId="85" applyNumberFormat="0" applyFont="0" applyAlignment="0" applyProtection="0"/>
    <xf numFmtId="0" fontId="6" fillId="110" borderId="67" applyNumberFormat="0" applyFont="0" applyAlignment="0" applyProtection="0"/>
    <xf numFmtId="0" fontId="6" fillId="110" borderId="67" applyNumberFormat="0" applyFont="0" applyAlignment="0" applyProtection="0"/>
    <xf numFmtId="0" fontId="6" fillId="110" borderId="67" applyNumberFormat="0" applyFont="0" applyAlignment="0" applyProtection="0"/>
    <xf numFmtId="0" fontId="8" fillId="70" borderId="85" applyNumberFormat="0" applyFont="0" applyAlignment="0" applyProtection="0"/>
    <xf numFmtId="0" fontId="8" fillId="70" borderId="85" applyNumberFormat="0" applyFont="0" applyAlignment="0" applyProtection="0"/>
    <xf numFmtId="0" fontId="8" fillId="70" borderId="85" applyNumberFormat="0" applyFont="0" applyAlignment="0" applyProtection="0"/>
    <xf numFmtId="0" fontId="8" fillId="70" borderId="85" applyNumberFormat="0" applyFont="0" applyAlignment="0" applyProtection="0"/>
    <xf numFmtId="0" fontId="8" fillId="110" borderId="85" applyNumberFormat="0" applyFont="0" applyAlignment="0" applyProtection="0"/>
    <xf numFmtId="0" fontId="8" fillId="110" borderId="85" applyNumberFormat="0" applyFont="0" applyAlignment="0" applyProtection="0"/>
    <xf numFmtId="0" fontId="88" fillId="70" borderId="85" applyNumberFormat="0" applyFont="0" applyAlignment="0" applyProtection="0"/>
    <xf numFmtId="0" fontId="88" fillId="70" borderId="85" applyNumberFormat="0" applyFont="0" applyAlignment="0" applyProtection="0"/>
    <xf numFmtId="0" fontId="88" fillId="70" borderId="85" applyNumberFormat="0" applyFont="0" applyAlignment="0" applyProtection="0"/>
    <xf numFmtId="0" fontId="88" fillId="70" borderId="85" applyNumberFormat="0" applyFont="0" applyAlignment="0" applyProtection="0"/>
    <xf numFmtId="0" fontId="6" fillId="110" borderId="67" applyNumberFormat="0" applyFont="0" applyAlignment="0" applyProtection="0"/>
    <xf numFmtId="0" fontId="6" fillId="110" borderId="67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8" fillId="70" borderId="85" applyNumberFormat="0" applyFont="0" applyAlignment="0" applyProtection="0"/>
    <xf numFmtId="0" fontId="88" fillId="70" borderId="85" applyNumberFormat="0" applyFont="0" applyAlignment="0" applyProtection="0"/>
    <xf numFmtId="0" fontId="88" fillId="70" borderId="85" applyNumberFormat="0" applyFont="0" applyAlignment="0" applyProtection="0"/>
    <xf numFmtId="0" fontId="88" fillId="70" borderId="85" applyNumberFormat="0" applyFont="0" applyAlignment="0" applyProtection="0"/>
    <xf numFmtId="0" fontId="88" fillId="70" borderId="85" applyNumberFormat="0" applyFont="0" applyAlignment="0" applyProtection="0"/>
    <xf numFmtId="0" fontId="88" fillId="70" borderId="85" applyNumberFormat="0" applyFont="0" applyAlignment="0" applyProtection="0"/>
    <xf numFmtId="0" fontId="88" fillId="70" borderId="85" applyNumberFormat="0" applyFont="0" applyAlignment="0" applyProtection="0"/>
    <xf numFmtId="0" fontId="88" fillId="70" borderId="85" applyNumberFormat="0" applyFont="0" applyAlignment="0" applyProtection="0"/>
    <xf numFmtId="0" fontId="88" fillId="70" borderId="85" applyNumberFormat="0" applyFont="0" applyAlignment="0" applyProtection="0"/>
    <xf numFmtId="0" fontId="88" fillId="70" borderId="85" applyNumberFormat="0" applyFont="0" applyAlignment="0" applyProtection="0"/>
    <xf numFmtId="0" fontId="88" fillId="70" borderId="85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8" fillId="70" borderId="85" applyNumberFormat="0" applyFont="0" applyAlignment="0" applyProtection="0"/>
    <xf numFmtId="0" fontId="88" fillId="70" borderId="85" applyNumberFormat="0" applyFont="0" applyAlignment="0" applyProtection="0"/>
    <xf numFmtId="0" fontId="88" fillId="70" borderId="85" applyNumberFormat="0" applyFont="0" applyAlignment="0" applyProtection="0"/>
    <xf numFmtId="0" fontId="88" fillId="70" borderId="85" applyNumberFormat="0" applyFont="0" applyAlignment="0" applyProtection="0"/>
    <xf numFmtId="0" fontId="88" fillId="70" borderId="85" applyNumberFormat="0" applyFont="0" applyAlignment="0" applyProtection="0"/>
    <xf numFmtId="0" fontId="88" fillId="70" borderId="85" applyNumberFormat="0" applyFont="0" applyAlignment="0" applyProtection="0"/>
    <xf numFmtId="0" fontId="88" fillId="70" borderId="85" applyNumberFormat="0" applyFont="0" applyAlignment="0" applyProtection="0"/>
    <xf numFmtId="0" fontId="88" fillId="70" borderId="85" applyNumberFormat="0" applyFont="0" applyAlignment="0" applyProtection="0"/>
    <xf numFmtId="0" fontId="88" fillId="70" borderId="85" applyNumberFormat="0" applyFont="0" applyAlignment="0" applyProtection="0"/>
    <xf numFmtId="0" fontId="88" fillId="70" borderId="85" applyNumberFormat="0" applyFont="0" applyAlignment="0" applyProtection="0"/>
    <xf numFmtId="0" fontId="8" fillId="110" borderId="85" applyNumberFormat="0" applyFont="0" applyAlignment="0" applyProtection="0"/>
    <xf numFmtId="0" fontId="8" fillId="70" borderId="85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8" fillId="110" borderId="85" applyNumberFormat="0" applyFont="0" applyAlignment="0" applyProtection="0"/>
    <xf numFmtId="0" fontId="6" fillId="110" borderId="67" applyNumberFormat="0" applyFont="0" applyAlignment="0" applyProtection="0"/>
    <xf numFmtId="0" fontId="8" fillId="70" borderId="85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8" fillId="70" borderId="85" applyNumberFormat="0" applyFont="0" applyAlignment="0" applyProtection="0"/>
    <xf numFmtId="0" fontId="9" fillId="9" borderId="22" applyNumberFormat="0" applyFont="0" applyAlignment="0" applyProtection="0"/>
    <xf numFmtId="0" fontId="8" fillId="70" borderId="85" applyNumberFormat="0" applyFont="0" applyAlignment="0" applyProtection="0"/>
    <xf numFmtId="0" fontId="9" fillId="9" borderId="22" applyNumberFormat="0" applyFont="0" applyAlignment="0" applyProtection="0"/>
    <xf numFmtId="0" fontId="8" fillId="70" borderId="85" applyNumberFormat="0" applyFont="0" applyAlignment="0" applyProtection="0"/>
    <xf numFmtId="0" fontId="8" fillId="70" borderId="85" applyNumberFormat="0" applyFont="0" applyAlignment="0" applyProtection="0"/>
    <xf numFmtId="0" fontId="6" fillId="110" borderId="67" applyNumberFormat="0" applyFont="0" applyAlignment="0" applyProtection="0"/>
    <xf numFmtId="0" fontId="8" fillId="110" borderId="85" applyNumberFormat="0" applyFont="0" applyAlignment="0" applyProtection="0"/>
    <xf numFmtId="0" fontId="88" fillId="70" borderId="85" applyNumberFormat="0" applyFont="0" applyAlignment="0" applyProtection="0"/>
    <xf numFmtId="0" fontId="88" fillId="70" borderId="85" applyNumberFormat="0" applyFont="0" applyAlignment="0" applyProtection="0"/>
    <xf numFmtId="0" fontId="88" fillId="70" borderId="85" applyNumberFormat="0" applyFont="0" applyAlignment="0" applyProtection="0"/>
    <xf numFmtId="0" fontId="88" fillId="70" borderId="85" applyNumberFormat="0" applyFont="0" applyAlignment="0" applyProtection="0"/>
    <xf numFmtId="0" fontId="88" fillId="70" borderId="85" applyNumberFormat="0" applyFont="0" applyAlignment="0" applyProtection="0"/>
    <xf numFmtId="0" fontId="88" fillId="70" borderId="85" applyNumberFormat="0" applyFont="0" applyAlignment="0" applyProtection="0"/>
    <xf numFmtId="0" fontId="88" fillId="70" borderId="85" applyNumberFormat="0" applyFont="0" applyAlignment="0" applyProtection="0"/>
    <xf numFmtId="0" fontId="88" fillId="70" borderId="85" applyNumberFormat="0" applyFont="0" applyAlignment="0" applyProtection="0"/>
    <xf numFmtId="0" fontId="88" fillId="70" borderId="85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8" fillId="70" borderId="85" applyNumberFormat="0" applyFont="0" applyAlignment="0" applyProtection="0"/>
    <xf numFmtId="0" fontId="88" fillId="70" borderId="85" applyNumberFormat="0" applyFont="0" applyAlignment="0" applyProtection="0"/>
    <xf numFmtId="0" fontId="88" fillId="70" borderId="85" applyNumberFormat="0" applyFont="0" applyAlignment="0" applyProtection="0"/>
    <xf numFmtId="0" fontId="88" fillId="70" borderId="85" applyNumberFormat="0" applyFont="0" applyAlignment="0" applyProtection="0"/>
    <xf numFmtId="0" fontId="88" fillId="70" borderId="85" applyNumberFormat="0" applyFont="0" applyAlignment="0" applyProtection="0"/>
    <xf numFmtId="0" fontId="88" fillId="70" borderId="85" applyNumberFormat="0" applyFont="0" applyAlignment="0" applyProtection="0"/>
    <xf numFmtId="0" fontId="88" fillId="70" borderId="85" applyNumberFormat="0" applyFont="0" applyAlignment="0" applyProtection="0"/>
    <xf numFmtId="0" fontId="88" fillId="70" borderId="85" applyNumberFormat="0" applyFont="0" applyAlignment="0" applyProtection="0"/>
    <xf numFmtId="0" fontId="88" fillId="70" borderId="85" applyNumberFormat="0" applyFont="0" applyAlignment="0" applyProtection="0"/>
    <xf numFmtId="0" fontId="88" fillId="70" borderId="85" applyNumberFormat="0" applyFont="0" applyAlignment="0" applyProtection="0"/>
    <xf numFmtId="0" fontId="88" fillId="70" borderId="85" applyNumberFormat="0" applyFont="0" applyAlignment="0" applyProtection="0"/>
    <xf numFmtId="0" fontId="8" fillId="70" borderId="85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88" fillId="70" borderId="85" applyNumberFormat="0" applyFont="0" applyAlignment="0" applyProtection="0"/>
    <xf numFmtId="0" fontId="88" fillId="70" borderId="85" applyNumberFormat="0" applyFont="0" applyAlignment="0" applyProtection="0"/>
    <xf numFmtId="0" fontId="88" fillId="70" borderId="85" applyNumberFormat="0" applyFont="0" applyAlignment="0" applyProtection="0"/>
    <xf numFmtId="0" fontId="88" fillId="70" borderId="85" applyNumberFormat="0" applyFont="0" applyAlignment="0" applyProtection="0"/>
    <xf numFmtId="0" fontId="8" fillId="110" borderId="85" applyNumberFormat="0" applyFont="0" applyAlignment="0" applyProtection="0"/>
    <xf numFmtId="0" fontId="8" fillId="110" borderId="85" applyNumberFormat="0" applyFont="0" applyAlignment="0" applyProtection="0"/>
    <xf numFmtId="0" fontId="8" fillId="70" borderId="85" applyNumberFormat="0" applyFont="0" applyAlignment="0" applyProtection="0"/>
    <xf numFmtId="0" fontId="8" fillId="70" borderId="85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8" fillId="70" borderId="85" applyNumberFormat="0" applyFont="0" applyAlignment="0" applyProtection="0"/>
    <xf numFmtId="0" fontId="9" fillId="9" borderId="22" applyNumberFormat="0" applyFont="0" applyAlignment="0" applyProtection="0"/>
    <xf numFmtId="0" fontId="8" fillId="70" borderId="85" applyNumberFormat="0" applyFont="0" applyAlignment="0" applyProtection="0"/>
    <xf numFmtId="0" fontId="9" fillId="9" borderId="22" applyNumberFormat="0" applyFont="0" applyAlignment="0" applyProtection="0"/>
    <xf numFmtId="0" fontId="8" fillId="70" borderId="85" applyNumberFormat="0" applyFont="0" applyAlignment="0" applyProtection="0"/>
    <xf numFmtId="0" fontId="8" fillId="70" borderId="85" applyNumberFormat="0" applyFont="0" applyAlignment="0" applyProtection="0"/>
    <xf numFmtId="0" fontId="8" fillId="110" borderId="85" applyNumberFormat="0" applyFont="0" applyAlignment="0" applyProtection="0"/>
    <xf numFmtId="0" fontId="6" fillId="110" borderId="67" applyNumberFormat="0" applyFont="0" applyAlignment="0" applyProtection="0"/>
    <xf numFmtId="0" fontId="8" fillId="70" borderId="85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8" fillId="70" borderId="85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8" fillId="70" borderId="85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8" fillId="70" borderId="85" applyNumberFormat="0" applyFont="0" applyAlignment="0" applyProtection="0"/>
    <xf numFmtId="0" fontId="6" fillId="110" borderId="67" applyNumberFormat="0" applyFont="0" applyAlignment="0" applyProtection="0"/>
    <xf numFmtId="0" fontId="8" fillId="70" borderId="85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8" fillId="70" borderId="85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8" fillId="70" borderId="85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8" fillId="70" borderId="85" applyNumberFormat="0" applyFont="0" applyAlignment="0" applyProtection="0"/>
    <xf numFmtId="0" fontId="8" fillId="70" borderId="85" applyNumberFormat="0" applyFont="0" applyAlignment="0" applyProtection="0"/>
    <xf numFmtId="0" fontId="8" fillId="70" borderId="85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8" fillId="70" borderId="85" applyNumberFormat="0" applyFont="0" applyAlignment="0" applyProtection="0"/>
    <xf numFmtId="0" fontId="8" fillId="70" borderId="85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8" fillId="70" borderId="85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8" fillId="70" borderId="85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9" fillId="9" borderId="22" applyNumberFormat="0" applyFont="0" applyAlignment="0" applyProtection="0"/>
    <xf numFmtId="0" fontId="8" fillId="110" borderId="85" applyNumberFormat="0" applyFont="0" applyAlignment="0" applyProtection="0"/>
    <xf numFmtId="0" fontId="203" fillId="52" borderId="85" applyNumberFormat="0" applyFont="0" applyAlignment="0" applyProtection="0"/>
    <xf numFmtId="337" fontId="296" fillId="0" borderId="36"/>
    <xf numFmtId="337" fontId="296" fillId="0" borderId="36"/>
    <xf numFmtId="40" fontId="297" fillId="0" borderId="0" applyFont="0" applyFill="0" applyBorder="0" applyAlignment="0" applyProtection="0"/>
    <xf numFmtId="38" fontId="297" fillId="0" borderId="0" applyFont="0" applyFill="0" applyBorder="0" applyAlignment="0" applyProtection="0"/>
    <xf numFmtId="0" fontId="18" fillId="7" borderId="19" applyNumberFormat="0" applyAlignment="0" applyProtection="0"/>
    <xf numFmtId="0" fontId="298" fillId="128" borderId="86" applyNumberFormat="0" applyAlignment="0" applyProtection="0"/>
    <xf numFmtId="0" fontId="248" fillId="64" borderId="87" applyNumberFormat="0" applyAlignment="0" applyProtection="0"/>
    <xf numFmtId="182" fontId="299" fillId="0" borderId="30" applyBorder="0">
      <protection locked="0"/>
    </xf>
    <xf numFmtId="0" fontId="300" fillId="73" borderId="86" applyNumberFormat="0" applyAlignment="0" applyProtection="0"/>
    <xf numFmtId="1" fontId="301" fillId="0" borderId="0" applyProtection="0">
      <alignment horizontal="right" vertical="center"/>
    </xf>
    <xf numFmtId="14" fontId="145" fillId="0" borderId="0">
      <alignment horizontal="center" wrapText="1"/>
      <protection locked="0"/>
    </xf>
    <xf numFmtId="0" fontId="76" fillId="0" borderId="0"/>
    <xf numFmtId="10" fontId="8" fillId="0" borderId="0" applyFill="0" applyBorder="0" applyAlignment="0" applyProtection="0"/>
    <xf numFmtId="9" fontId="63" fillId="0" borderId="4" applyBorder="0"/>
    <xf numFmtId="9" fontId="63" fillId="0" borderId="4" applyBorder="0"/>
    <xf numFmtId="255" fontId="8" fillId="0" borderId="0" applyFont="0" applyFill="0" applyBorder="0" applyAlignment="0" applyProtection="0"/>
    <xf numFmtId="338" fontId="8" fillId="0" borderId="0" applyFont="0" applyFill="0" applyBorder="0" applyAlignment="0" applyProtection="0"/>
    <xf numFmtId="215" fontId="8" fillId="0" borderId="0" applyFont="0" applyFill="0" applyAlignment="0" applyProtection="0"/>
    <xf numFmtId="10" fontId="8" fillId="0" borderId="0" applyFont="0" applyFill="0" applyBorder="0" applyAlignment="0" applyProtection="0"/>
    <xf numFmtId="10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0" fontId="8" fillId="0" borderId="0" applyFill="0" applyBorder="0" applyAlignment="0" applyProtection="0"/>
    <xf numFmtId="9" fontId="8" fillId="0" borderId="0" applyFont="0" applyFill="0" applyBorder="0" applyAlignment="0" applyProtection="0"/>
    <xf numFmtId="10" fontId="8" fillId="0" borderId="0" applyFill="0" applyBorder="0" applyAlignment="0" applyProtection="0"/>
    <xf numFmtId="10" fontId="8" fillId="0" borderId="0" applyFill="0" applyBorder="0" applyAlignment="0" applyProtection="0"/>
    <xf numFmtId="9" fontId="63" fillId="0" borderId="4" applyBorder="0"/>
    <xf numFmtId="9" fontId="63" fillId="0" borderId="4" applyBorder="0"/>
    <xf numFmtId="9" fontId="295" fillId="0" borderId="0" applyFont="0" applyFill="0" applyBorder="0" applyAlignment="0" applyProtection="0"/>
    <xf numFmtId="339" fontId="233" fillId="0" borderId="0">
      <protection locked="0"/>
    </xf>
    <xf numFmtId="0" fontId="8" fillId="0" borderId="0">
      <protection locked="0"/>
    </xf>
    <xf numFmtId="0" fontId="100" fillId="0" borderId="0">
      <protection locked="0"/>
    </xf>
    <xf numFmtId="0" fontId="8" fillId="0" borderId="0">
      <protection locked="0"/>
    </xf>
    <xf numFmtId="0" fontId="67" fillId="0" borderId="0">
      <protection locked="0"/>
    </xf>
    <xf numFmtId="37" fontId="8" fillId="0" borderId="1" applyFont="0" applyFill="0" applyBorder="0" applyProtection="0"/>
    <xf numFmtId="316" fontId="233" fillId="0" borderId="0">
      <protection locked="0"/>
    </xf>
    <xf numFmtId="340" fontId="228" fillId="0" borderId="0" applyFont="0" applyFill="0" applyBorder="0" applyAlignment="0" applyProtection="0">
      <alignment horizontal="right"/>
    </xf>
    <xf numFmtId="9" fontId="8" fillId="0" borderId="0" applyFill="0" applyBorder="0" applyAlignment="0" applyProtection="0"/>
    <xf numFmtId="9" fontId="8" fillId="0" borderId="0" applyFill="0" applyBorder="0" applyAlignment="0" applyProtection="0"/>
    <xf numFmtId="9" fontId="9" fillId="0" borderId="0" applyFont="0" applyFill="0" applyBorder="0" applyAlignment="0" applyProtection="0"/>
    <xf numFmtId="9" fontId="8" fillId="0" borderId="0" applyFill="0" applyBorder="0" applyAlignment="0" applyProtection="0"/>
    <xf numFmtId="9" fontId="8" fillId="0" borderId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ill="0" applyBorder="0" applyAlignment="0" applyProtection="0"/>
    <xf numFmtId="9" fontId="8" fillId="0" borderId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ill="0" applyBorder="0" applyAlignment="0" applyProtection="0"/>
    <xf numFmtId="9" fontId="8" fillId="0" borderId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ill="0" applyBorder="0" applyAlignment="0" applyProtection="0"/>
    <xf numFmtId="9" fontId="8" fillId="0" borderId="0" applyFill="0" applyBorder="0" applyAlignment="0" applyProtection="0"/>
    <xf numFmtId="9" fontId="8" fillId="0" borderId="0" applyFont="0" applyFill="0" applyBorder="0" applyAlignment="0" applyProtection="0"/>
    <xf numFmtId="9" fontId="8" fillId="0" borderId="0" applyFill="0" applyBorder="0" applyAlignment="0" applyProtection="0"/>
    <xf numFmtId="9" fontId="8" fillId="0" borderId="0" applyFill="0" applyBorder="0" applyAlignment="0" applyProtection="0"/>
    <xf numFmtId="9" fontId="9" fillId="0" borderId="0" applyFont="0" applyFill="0" applyBorder="0" applyAlignment="0" applyProtection="0"/>
    <xf numFmtId="9" fontId="8" fillId="0" borderId="0" applyFill="0" applyBorder="0" applyAlignment="0" applyProtection="0"/>
    <xf numFmtId="9" fontId="8" fillId="0" borderId="0" applyFill="0" applyBorder="0" applyAlignment="0" applyProtection="0"/>
    <xf numFmtId="9" fontId="8" fillId="0" borderId="0" applyFill="0" applyBorder="0" applyAlignment="0" applyProtection="0"/>
    <xf numFmtId="9" fontId="8" fillId="0" borderId="0" applyFill="0" applyBorder="0" applyAlignment="0" applyProtection="0"/>
    <xf numFmtId="9" fontId="8" fillId="0" borderId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203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37" fontId="302" fillId="161" borderId="6" applyNumberFormat="0" applyFont="0" applyFill="0" applyBorder="0" applyAlignment="0" applyProtection="0">
      <alignment horizontal="center"/>
    </xf>
    <xf numFmtId="256" fontId="303" fillId="0" borderId="0" applyFill="0" applyBorder="0" applyAlignment="0"/>
    <xf numFmtId="252" fontId="303" fillId="0" borderId="0" applyFill="0" applyBorder="0" applyAlignment="0"/>
    <xf numFmtId="256" fontId="303" fillId="0" borderId="0" applyFill="0" applyBorder="0" applyAlignment="0"/>
    <xf numFmtId="257" fontId="303" fillId="0" borderId="0" applyFill="0" applyBorder="0" applyAlignment="0"/>
    <xf numFmtId="252" fontId="303" fillId="0" borderId="0" applyFill="0" applyBorder="0" applyAlignment="0"/>
    <xf numFmtId="244" fontId="48" fillId="0" borderId="0"/>
    <xf numFmtId="0" fontId="63" fillId="0" borderId="0" applyNumberFormat="0" applyFont="0" applyFill="0" applyBorder="0" applyAlignment="0" applyProtection="0">
      <alignment horizontal="left"/>
    </xf>
    <xf numFmtId="15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0" fontId="8" fillId="0" borderId="27">
      <alignment horizontal="center"/>
    </xf>
    <xf numFmtId="3" fontId="63" fillId="0" borderId="0" applyFont="0" applyFill="0" applyBorder="0" applyAlignment="0" applyProtection="0"/>
    <xf numFmtId="0" fontId="63" fillId="132" borderId="0" applyNumberFormat="0" applyFont="0" applyBorder="0" applyAlignment="0" applyProtection="0"/>
    <xf numFmtId="39" fontId="8" fillId="0" borderId="0" applyFill="0" applyBorder="0" applyAlignment="0" applyProtection="0"/>
    <xf numFmtId="3" fontId="224" fillId="0" borderId="0" applyFont="0" applyFill="0" applyBorder="0" applyAlignment="0" applyProtection="0"/>
    <xf numFmtId="0" fontId="79" fillId="0" borderId="0"/>
    <xf numFmtId="3" fontId="224" fillId="0" borderId="0" applyFont="0" applyFill="0" applyBorder="0" applyAlignment="0" applyProtection="0"/>
    <xf numFmtId="0" fontId="79" fillId="0" borderId="0"/>
    <xf numFmtId="3" fontId="304" fillId="0" borderId="0"/>
    <xf numFmtId="0" fontId="305" fillId="0" borderId="0">
      <alignment horizontal="left" indent="7"/>
    </xf>
    <xf numFmtId="0" fontId="304" fillId="0" borderId="0">
      <alignment horizontal="left" indent="6"/>
    </xf>
    <xf numFmtId="3" fontId="67" fillId="0" borderId="60" applyFill="0"/>
    <xf numFmtId="0" fontId="40" fillId="162" borderId="1" applyNumberFormat="0" applyBorder="0" applyAlignment="0">
      <alignment horizontal="right"/>
    </xf>
    <xf numFmtId="0" fontId="306" fillId="163" borderId="0"/>
    <xf numFmtId="0" fontId="67" fillId="0" borderId="0" applyFill="0"/>
    <xf numFmtId="3" fontId="67" fillId="0" borderId="43" applyFill="0"/>
    <xf numFmtId="0" fontId="8" fillId="164" borderId="0" applyNumberFormat="0" applyFont="0" applyBorder="0" applyAlignment="0"/>
    <xf numFmtId="0" fontId="306" fillId="165" borderId="0">
      <alignment horizontal="left" indent="2"/>
    </xf>
    <xf numFmtId="0" fontId="306" fillId="0" borderId="0" applyFill="0">
      <alignment horizontal="left" indent="2"/>
    </xf>
    <xf numFmtId="3" fontId="67" fillId="0" borderId="0" applyFill="0"/>
    <xf numFmtId="0" fontId="8" fillId="0" borderId="0" applyNumberFormat="0" applyFont="0" applyBorder="0" applyAlignment="0"/>
    <xf numFmtId="0" fontId="307" fillId="0" borderId="0">
      <alignment horizontal="left" indent="4"/>
    </xf>
    <xf numFmtId="0" fontId="308" fillId="0" borderId="0">
      <alignment horizontal="left" indent="4"/>
    </xf>
    <xf numFmtId="3" fontId="70" fillId="0" borderId="0" applyFill="0"/>
    <xf numFmtId="0" fontId="8" fillId="0" borderId="0" applyNumberFormat="0" applyFont="0" applyBorder="0" applyAlignment="0"/>
    <xf numFmtId="0" fontId="309" fillId="0" borderId="0">
      <alignment horizontal="left" indent="6"/>
    </xf>
    <xf numFmtId="0" fontId="309" fillId="0" borderId="0" applyFill="0">
      <alignment horizontal="left" indent="6"/>
    </xf>
    <xf numFmtId="249" fontId="3" fillId="0" borderId="0" applyFill="0"/>
    <xf numFmtId="0" fontId="8" fillId="0" borderId="0" applyNumberFormat="0" applyFont="0" applyBorder="0" applyAlignment="0"/>
    <xf numFmtId="0" fontId="73" fillId="0" borderId="0">
      <alignment horizontal="left" indent="7"/>
    </xf>
    <xf numFmtId="169" fontId="73" fillId="0" borderId="0" applyFill="0">
      <alignment horizontal="left" indent="7"/>
    </xf>
    <xf numFmtId="249" fontId="182" fillId="0" borderId="0" applyFill="0"/>
    <xf numFmtId="0" fontId="8" fillId="0" borderId="0" applyNumberFormat="0" applyFont="0" applyBorder="0" applyAlignment="0"/>
    <xf numFmtId="0" fontId="183" fillId="0" borderId="0">
      <alignment horizontal="left" indent="8"/>
    </xf>
    <xf numFmtId="0" fontId="184" fillId="0" borderId="0" applyFill="0">
      <alignment horizontal="left" indent="8"/>
    </xf>
    <xf numFmtId="249" fontId="185" fillId="0" borderId="0" applyFill="0"/>
    <xf numFmtId="0" fontId="8" fillId="0" borderId="0" applyNumberFormat="0" applyFont="0" applyFill="0" applyBorder="0" applyAlignment="0"/>
    <xf numFmtId="0" fontId="186" fillId="0" borderId="0" applyFill="0">
      <alignment horizontal="left" indent="9"/>
    </xf>
    <xf numFmtId="0" fontId="182" fillId="0" borderId="0" applyFill="0">
      <alignment horizontal="left" indent="9"/>
    </xf>
    <xf numFmtId="0" fontId="245" fillId="44" borderId="0"/>
    <xf numFmtId="0" fontId="245" fillId="123" borderId="0"/>
    <xf numFmtId="0" fontId="310" fillId="0" borderId="2" applyNumberFormat="0" applyFill="0" applyBorder="0" applyAlignment="0" applyProtection="0">
      <protection hidden="1"/>
    </xf>
    <xf numFmtId="0" fontId="311" fillId="0" borderId="0"/>
    <xf numFmtId="0" fontId="312" fillId="0" borderId="0"/>
    <xf numFmtId="0" fontId="313" fillId="0" borderId="0"/>
    <xf numFmtId="0" fontId="314" fillId="0" borderId="0" applyNumberFormat="0" applyBorder="0" applyAlignment="0" applyProtection="0"/>
    <xf numFmtId="0" fontId="314" fillId="0" borderId="0" applyNumberFormat="0" applyAlignment="0" applyProtection="0"/>
    <xf numFmtId="0" fontId="191" fillId="50" borderId="0"/>
    <xf numFmtId="239" fontId="166" fillId="0" borderId="0" applyNumberFormat="0" applyFill="0" applyBorder="0" applyAlignment="0" applyProtection="0">
      <alignment horizontal="left"/>
    </xf>
    <xf numFmtId="38" fontId="166" fillId="0" borderId="0"/>
    <xf numFmtId="0" fontId="70" fillId="0" borderId="0" applyNumberFormat="0" applyFill="0" applyBorder="0" applyAlignment="0" applyProtection="0"/>
    <xf numFmtId="0" fontId="245" fillId="123" borderId="0"/>
    <xf numFmtId="0" fontId="300" fillId="73" borderId="86" applyNumberFormat="0" applyAlignment="0" applyProtection="0"/>
    <xf numFmtId="0" fontId="300" fillId="73" borderId="86" applyNumberFormat="0" applyAlignment="0" applyProtection="0"/>
    <xf numFmtId="0" fontId="248" fillId="64" borderId="87" applyNumberFormat="0" applyAlignment="0" applyProtection="0"/>
    <xf numFmtId="0" fontId="298" fillId="127" borderId="86" applyNumberFormat="0" applyAlignment="0" applyProtection="0"/>
    <xf numFmtId="0" fontId="300" fillId="73" borderId="86" applyNumberFormat="0" applyAlignment="0" applyProtection="0"/>
    <xf numFmtId="0" fontId="298" fillId="128" borderId="86" applyNumberFormat="0" applyAlignment="0" applyProtection="0"/>
    <xf numFmtId="0" fontId="298" fillId="128" borderId="86" applyNumberFormat="0" applyAlignment="0" applyProtection="0"/>
    <xf numFmtId="0" fontId="298" fillId="73" borderId="86" applyNumberFormat="0" applyAlignment="0" applyProtection="0"/>
    <xf numFmtId="0" fontId="298" fillId="73" borderId="86" applyNumberFormat="0" applyAlignment="0" applyProtection="0"/>
    <xf numFmtId="0" fontId="298" fillId="73" borderId="86" applyNumberFormat="0" applyAlignment="0" applyProtection="0"/>
    <xf numFmtId="0" fontId="298" fillId="73" borderId="86" applyNumberFormat="0" applyAlignment="0" applyProtection="0"/>
    <xf numFmtId="0" fontId="298" fillId="73" borderId="86" applyNumberFormat="0" applyAlignment="0" applyProtection="0"/>
    <xf numFmtId="0" fontId="298" fillId="73" borderId="86" applyNumberFormat="0" applyAlignment="0" applyProtection="0"/>
    <xf numFmtId="0" fontId="298" fillId="73" borderId="86" applyNumberFormat="0" applyAlignment="0" applyProtection="0"/>
    <xf numFmtId="0" fontId="300" fillId="73" borderId="86" applyNumberFormat="0" applyAlignment="0" applyProtection="0"/>
    <xf numFmtId="0" fontId="298" fillId="73" borderId="86" applyNumberFormat="0" applyAlignment="0" applyProtection="0"/>
    <xf numFmtId="0" fontId="298" fillId="73" borderId="86" applyNumberFormat="0" applyAlignment="0" applyProtection="0"/>
    <xf numFmtId="0" fontId="298" fillId="73" borderId="86" applyNumberFormat="0" applyAlignment="0" applyProtection="0"/>
    <xf numFmtId="0" fontId="298" fillId="73" borderId="86" applyNumberFormat="0" applyAlignment="0" applyProtection="0"/>
    <xf numFmtId="0" fontId="298" fillId="73" borderId="86" applyNumberFormat="0" applyAlignment="0" applyProtection="0"/>
    <xf numFmtId="0" fontId="298" fillId="73" borderId="86" applyNumberFormat="0" applyAlignment="0" applyProtection="0"/>
    <xf numFmtId="0" fontId="298" fillId="73" borderId="86" applyNumberFormat="0" applyAlignment="0" applyProtection="0"/>
    <xf numFmtId="0" fontId="298" fillId="73" borderId="86" applyNumberFormat="0" applyAlignment="0" applyProtection="0"/>
    <xf numFmtId="0" fontId="298" fillId="73" borderId="86" applyNumberFormat="0" applyAlignment="0" applyProtection="0"/>
    <xf numFmtId="0" fontId="298" fillId="73" borderId="86" applyNumberFormat="0" applyAlignment="0" applyProtection="0"/>
    <xf numFmtId="0" fontId="300" fillId="73" borderId="86" applyNumberFormat="0" applyAlignment="0" applyProtection="0"/>
    <xf numFmtId="0" fontId="298" fillId="73" borderId="86" applyNumberFormat="0" applyAlignment="0" applyProtection="0"/>
    <xf numFmtId="0" fontId="298" fillId="73" borderId="86" applyNumberFormat="0" applyAlignment="0" applyProtection="0"/>
    <xf numFmtId="0" fontId="298" fillId="73" borderId="86" applyNumberFormat="0" applyAlignment="0" applyProtection="0"/>
    <xf numFmtId="0" fontId="298" fillId="73" borderId="86" applyNumberFormat="0" applyAlignment="0" applyProtection="0"/>
    <xf numFmtId="0" fontId="298" fillId="73" borderId="86" applyNumberFormat="0" applyAlignment="0" applyProtection="0"/>
    <xf numFmtId="0" fontId="298" fillId="73" borderId="86" applyNumberFormat="0" applyAlignment="0" applyProtection="0"/>
    <xf numFmtId="0" fontId="298" fillId="128" borderId="86" applyNumberFormat="0" applyAlignment="0" applyProtection="0"/>
    <xf numFmtId="0" fontId="298" fillId="128" borderId="86" applyNumberFormat="0" applyAlignment="0" applyProtection="0"/>
    <xf numFmtId="0" fontId="300" fillId="73" borderId="86" applyNumberFormat="0" applyAlignment="0" applyProtection="0"/>
    <xf numFmtId="0" fontId="300" fillId="73" borderId="86" applyNumberFormat="0" applyAlignment="0" applyProtection="0"/>
    <xf numFmtId="0" fontId="300" fillId="73" borderId="86" applyNumberFormat="0" applyAlignment="0" applyProtection="0"/>
    <xf numFmtId="0" fontId="300" fillId="73" borderId="86" applyNumberFormat="0" applyAlignment="0" applyProtection="0"/>
    <xf numFmtId="0" fontId="300" fillId="73" borderId="86" applyNumberFormat="0" applyAlignment="0" applyProtection="0"/>
    <xf numFmtId="0" fontId="300" fillId="73" borderId="86" applyNumberFormat="0" applyAlignment="0" applyProtection="0"/>
    <xf numFmtId="0" fontId="300" fillId="73" borderId="86" applyNumberFormat="0" applyAlignment="0" applyProtection="0"/>
    <xf numFmtId="0" fontId="18" fillId="7" borderId="19" applyNumberFormat="0" applyAlignment="0" applyProtection="0"/>
    <xf numFmtId="0" fontId="298" fillId="73" borderId="86" applyNumberFormat="0" applyAlignment="0" applyProtection="0"/>
    <xf numFmtId="0" fontId="298" fillId="73" borderId="86" applyNumberFormat="0" applyAlignment="0" applyProtection="0"/>
    <xf numFmtId="0" fontId="298" fillId="73" borderId="86" applyNumberFormat="0" applyAlignment="0" applyProtection="0"/>
    <xf numFmtId="0" fontId="298" fillId="73" borderId="86" applyNumberFormat="0" applyAlignment="0" applyProtection="0"/>
    <xf numFmtId="0" fontId="298" fillId="73" borderId="86" applyNumberFormat="0" applyAlignment="0" applyProtection="0"/>
    <xf numFmtId="0" fontId="298" fillId="73" borderId="86" applyNumberFormat="0" applyAlignment="0" applyProtection="0"/>
    <xf numFmtId="0" fontId="298" fillId="73" borderId="86" applyNumberFormat="0" applyAlignment="0" applyProtection="0"/>
    <xf numFmtId="0" fontId="298" fillId="73" borderId="86" applyNumberFormat="0" applyAlignment="0" applyProtection="0"/>
    <xf numFmtId="0" fontId="298" fillId="73" borderId="86" applyNumberFormat="0" applyAlignment="0" applyProtection="0"/>
    <xf numFmtId="0" fontId="298" fillId="73" borderId="86" applyNumberFormat="0" applyAlignment="0" applyProtection="0"/>
    <xf numFmtId="0" fontId="300" fillId="73" borderId="86" applyNumberFormat="0" applyAlignment="0" applyProtection="0"/>
    <xf numFmtId="0" fontId="298" fillId="73" borderId="86" applyNumberFormat="0" applyAlignment="0" applyProtection="0"/>
    <xf numFmtId="0" fontId="298" fillId="73" borderId="86" applyNumberFormat="0" applyAlignment="0" applyProtection="0"/>
    <xf numFmtId="0" fontId="298" fillId="73" borderId="86" applyNumberFormat="0" applyAlignment="0" applyProtection="0"/>
    <xf numFmtId="0" fontId="298" fillId="73" borderId="86" applyNumberFormat="0" applyAlignment="0" applyProtection="0"/>
    <xf numFmtId="0" fontId="298" fillId="73" borderId="86" applyNumberFormat="0" applyAlignment="0" applyProtection="0"/>
    <xf numFmtId="0" fontId="298" fillId="73" borderId="86" applyNumberFormat="0" applyAlignment="0" applyProtection="0"/>
    <xf numFmtId="0" fontId="298" fillId="73" borderId="86" applyNumberFormat="0" applyAlignment="0" applyProtection="0"/>
    <xf numFmtId="0" fontId="298" fillId="73" borderId="86" applyNumberFormat="0" applyAlignment="0" applyProtection="0"/>
    <xf numFmtId="0" fontId="298" fillId="73" borderId="86" applyNumberFormat="0" applyAlignment="0" applyProtection="0"/>
    <xf numFmtId="0" fontId="298" fillId="73" borderId="86" applyNumberFormat="0" applyAlignment="0" applyProtection="0"/>
    <xf numFmtId="0" fontId="300" fillId="73" borderId="86" applyNumberFormat="0" applyAlignment="0" applyProtection="0"/>
    <xf numFmtId="0" fontId="298" fillId="73" borderId="86" applyNumberFormat="0" applyAlignment="0" applyProtection="0"/>
    <xf numFmtId="0" fontId="298" fillId="73" borderId="86" applyNumberFormat="0" applyAlignment="0" applyProtection="0"/>
    <xf numFmtId="0" fontId="298" fillId="128" borderId="86" applyNumberFormat="0" applyAlignment="0" applyProtection="0"/>
    <xf numFmtId="0" fontId="298" fillId="128" borderId="86" applyNumberFormat="0" applyAlignment="0" applyProtection="0"/>
    <xf numFmtId="0" fontId="300" fillId="73" borderId="86" applyNumberFormat="0" applyAlignment="0" applyProtection="0"/>
    <xf numFmtId="0" fontId="300" fillId="73" borderId="86" applyNumberFormat="0" applyAlignment="0" applyProtection="0"/>
    <xf numFmtId="0" fontId="300" fillId="73" borderId="86" applyNumberFormat="0" applyAlignment="0" applyProtection="0"/>
    <xf numFmtId="0" fontId="300" fillId="73" borderId="86" applyNumberFormat="0" applyAlignment="0" applyProtection="0"/>
    <xf numFmtId="0" fontId="298" fillId="128" borderId="86" applyNumberFormat="0" applyAlignment="0" applyProtection="0"/>
    <xf numFmtId="0" fontId="298" fillId="128" borderId="86" applyNumberFormat="0" applyAlignment="0" applyProtection="0"/>
    <xf numFmtId="0" fontId="298" fillId="73" borderId="86" applyNumberFormat="0" applyAlignment="0" applyProtection="0"/>
    <xf numFmtId="0" fontId="300" fillId="73" borderId="86" applyNumberFormat="0" applyAlignment="0" applyProtection="0"/>
    <xf numFmtId="0" fontId="300" fillId="73" borderId="86" applyNumberFormat="0" applyAlignment="0" applyProtection="0"/>
    <xf numFmtId="0" fontId="300" fillId="73" borderId="86" applyNumberFormat="0" applyAlignment="0" applyProtection="0"/>
    <xf numFmtId="0" fontId="300" fillId="73" borderId="86" applyNumberFormat="0" applyAlignment="0" applyProtection="0"/>
    <xf numFmtId="0" fontId="300" fillId="73" borderId="86" applyNumberFormat="0" applyAlignment="0" applyProtection="0"/>
    <xf numFmtId="0" fontId="300" fillId="73" borderId="86" applyNumberFormat="0" applyAlignment="0" applyProtection="0"/>
    <xf numFmtId="0" fontId="300" fillId="73" borderId="86" applyNumberFormat="0" applyAlignment="0" applyProtection="0"/>
    <xf numFmtId="0" fontId="300" fillId="73" borderId="86" applyNumberFormat="0" applyAlignment="0" applyProtection="0"/>
    <xf numFmtId="0" fontId="300" fillId="73" borderId="86" applyNumberFormat="0" applyAlignment="0" applyProtection="0"/>
    <xf numFmtId="0" fontId="300" fillId="73" borderId="86" applyNumberFormat="0" applyAlignment="0" applyProtection="0"/>
    <xf numFmtId="0" fontId="300" fillId="73" borderId="86" applyNumberFormat="0" applyAlignment="0" applyProtection="0"/>
    <xf numFmtId="0" fontId="300" fillId="73" borderId="86" applyNumberFormat="0" applyAlignment="0" applyProtection="0"/>
    <xf numFmtId="0" fontId="300" fillId="73" borderId="86" applyNumberFormat="0" applyAlignment="0" applyProtection="0"/>
    <xf numFmtId="0" fontId="300" fillId="73" borderId="86" applyNumberFormat="0" applyAlignment="0" applyProtection="0"/>
    <xf numFmtId="4" fontId="6" fillId="52" borderId="67" applyNumberFormat="0" applyProtection="0">
      <alignment vertical="center"/>
    </xf>
    <xf numFmtId="4" fontId="6" fillId="52" borderId="67" applyNumberFormat="0" applyProtection="0">
      <alignment vertical="center"/>
    </xf>
    <xf numFmtId="4" fontId="315" fillId="52" borderId="88" applyNumberFormat="0" applyProtection="0">
      <alignment vertical="center"/>
    </xf>
    <xf numFmtId="4" fontId="64" fillId="90" borderId="86" applyNumberFormat="0" applyProtection="0">
      <alignment vertical="center"/>
    </xf>
    <xf numFmtId="4" fontId="316" fillId="90" borderId="67" applyNumberFormat="0" applyProtection="0">
      <alignment vertical="center"/>
    </xf>
    <xf numFmtId="4" fontId="317" fillId="52" borderId="88" applyNumberFormat="0" applyProtection="0">
      <alignment vertical="center"/>
    </xf>
    <xf numFmtId="4" fontId="318" fillId="90" borderId="86" applyNumberFormat="0" applyProtection="0">
      <alignment vertical="center"/>
    </xf>
    <xf numFmtId="4" fontId="6" fillId="90" borderId="67" applyNumberFormat="0" applyProtection="0">
      <alignment horizontal="left" vertical="center" indent="1"/>
    </xf>
    <xf numFmtId="4" fontId="6" fillId="90" borderId="67" applyNumberFormat="0" applyProtection="0">
      <alignment horizontal="left" vertical="center" indent="1"/>
    </xf>
    <xf numFmtId="4" fontId="315" fillId="52" borderId="88" applyNumberFormat="0" applyProtection="0">
      <alignment horizontal="left" vertical="center" indent="1"/>
    </xf>
    <xf numFmtId="4" fontId="64" fillId="90" borderId="86" applyNumberFormat="0" applyProtection="0">
      <alignment horizontal="left" vertical="center" indent="1"/>
    </xf>
    <xf numFmtId="0" fontId="7" fillId="52" borderId="88" applyNumberFormat="0" applyProtection="0">
      <alignment horizontal="left" vertical="top" indent="1"/>
    </xf>
    <xf numFmtId="0" fontId="315" fillId="52" borderId="88" applyNumberFormat="0" applyProtection="0">
      <alignment horizontal="left" vertical="top" indent="1"/>
    </xf>
    <xf numFmtId="4" fontId="64" fillId="90" borderId="86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4" fontId="6" fillId="57" borderId="67" applyNumberFormat="0" applyProtection="0">
      <alignment horizontal="right" vertical="center"/>
    </xf>
    <xf numFmtId="4" fontId="6" fillId="57" borderId="67" applyNumberFormat="0" applyProtection="0">
      <alignment horizontal="right" vertical="center"/>
    </xf>
    <xf numFmtId="4" fontId="64" fillId="57" borderId="88" applyNumberFormat="0" applyProtection="0">
      <alignment horizontal="right" vertical="center"/>
    </xf>
    <xf numFmtId="4" fontId="64" fillId="166" borderId="86" applyNumberFormat="0" applyProtection="0">
      <alignment horizontal="right" vertical="center"/>
    </xf>
    <xf numFmtId="4" fontId="6" fillId="156" borderId="67" applyNumberFormat="0" applyProtection="0">
      <alignment horizontal="right" vertical="center"/>
    </xf>
    <xf numFmtId="4" fontId="6" fillId="156" borderId="67" applyNumberFormat="0" applyProtection="0">
      <alignment horizontal="right" vertical="center"/>
    </xf>
    <xf numFmtId="4" fontId="64" fillId="69" borderId="88" applyNumberFormat="0" applyProtection="0">
      <alignment horizontal="right" vertical="center"/>
    </xf>
    <xf numFmtId="4" fontId="64" fillId="87" borderId="86" applyNumberFormat="0" applyProtection="0">
      <alignment horizontal="right" vertical="center"/>
    </xf>
    <xf numFmtId="4" fontId="6" fillId="105" borderId="87" applyNumberFormat="0" applyProtection="0">
      <alignment horizontal="right" vertical="center"/>
    </xf>
    <xf numFmtId="4" fontId="6" fillId="105" borderId="87" applyNumberFormat="0" applyProtection="0">
      <alignment horizontal="right" vertical="center"/>
    </xf>
    <xf numFmtId="4" fontId="64" fillId="105" borderId="88" applyNumberFormat="0" applyProtection="0">
      <alignment horizontal="right" vertical="center"/>
    </xf>
    <xf numFmtId="4" fontId="64" fillId="167" borderId="86" applyNumberFormat="0" applyProtection="0">
      <alignment horizontal="right" vertical="center"/>
    </xf>
    <xf numFmtId="4" fontId="6" fillId="58" borderId="67" applyNumberFormat="0" applyProtection="0">
      <alignment horizontal="right" vertical="center"/>
    </xf>
    <xf numFmtId="4" fontId="6" fillId="58" borderId="67" applyNumberFormat="0" applyProtection="0">
      <alignment horizontal="right" vertical="center"/>
    </xf>
    <xf numFmtId="4" fontId="64" fillId="58" borderId="88" applyNumberFormat="0" applyProtection="0">
      <alignment horizontal="right" vertical="center"/>
    </xf>
    <xf numFmtId="4" fontId="64" fillId="91" borderId="86" applyNumberFormat="0" applyProtection="0">
      <alignment horizontal="right" vertical="center"/>
    </xf>
    <xf numFmtId="4" fontId="6" fillId="77" borderId="67" applyNumberFormat="0" applyProtection="0">
      <alignment horizontal="right" vertical="center"/>
    </xf>
    <xf numFmtId="4" fontId="6" fillId="77" borderId="67" applyNumberFormat="0" applyProtection="0">
      <alignment horizontal="right" vertical="center"/>
    </xf>
    <xf numFmtId="4" fontId="64" fillId="77" borderId="88" applyNumberFormat="0" applyProtection="0">
      <alignment horizontal="right" vertical="center"/>
    </xf>
    <xf numFmtId="4" fontId="64" fillId="168" borderId="86" applyNumberFormat="0" applyProtection="0">
      <alignment horizontal="right" vertical="center"/>
    </xf>
    <xf numFmtId="4" fontId="6" fillId="84" borderId="67" applyNumberFormat="0" applyProtection="0">
      <alignment horizontal="right" vertical="center"/>
    </xf>
    <xf numFmtId="4" fontId="6" fillId="84" borderId="67" applyNumberFormat="0" applyProtection="0">
      <alignment horizontal="right" vertical="center"/>
    </xf>
    <xf numFmtId="4" fontId="64" fillId="84" borderId="88" applyNumberFormat="0" applyProtection="0">
      <alignment horizontal="right" vertical="center"/>
    </xf>
    <xf numFmtId="4" fontId="64" fillId="169" borderId="86" applyNumberFormat="0" applyProtection="0">
      <alignment horizontal="right" vertical="center"/>
    </xf>
    <xf numFmtId="4" fontId="6" fillId="67" borderId="67" applyNumberFormat="0" applyProtection="0">
      <alignment horizontal="right" vertical="center"/>
    </xf>
    <xf numFmtId="4" fontId="6" fillId="67" borderId="67" applyNumberFormat="0" applyProtection="0">
      <alignment horizontal="right" vertical="center"/>
    </xf>
    <xf numFmtId="4" fontId="64" fillId="67" borderId="88" applyNumberFormat="0" applyProtection="0">
      <alignment horizontal="right" vertical="center"/>
    </xf>
    <xf numFmtId="4" fontId="64" fillId="170" borderId="86" applyNumberFormat="0" applyProtection="0">
      <alignment horizontal="right" vertical="center"/>
    </xf>
    <xf numFmtId="4" fontId="6" fillId="171" borderId="67" applyNumberFormat="0" applyProtection="0">
      <alignment horizontal="right" vertical="center"/>
    </xf>
    <xf numFmtId="4" fontId="6" fillId="171" borderId="67" applyNumberFormat="0" applyProtection="0">
      <alignment horizontal="right" vertical="center"/>
    </xf>
    <xf numFmtId="4" fontId="64" fillId="171" borderId="88" applyNumberFormat="0" applyProtection="0">
      <alignment horizontal="right" vertical="center"/>
    </xf>
    <xf numFmtId="4" fontId="64" fillId="172" borderId="86" applyNumberFormat="0" applyProtection="0">
      <alignment horizontal="right" vertical="center"/>
    </xf>
    <xf numFmtId="4" fontId="6" fillId="71" borderId="67" applyNumberFormat="0" applyProtection="0">
      <alignment horizontal="right" vertical="center"/>
    </xf>
    <xf numFmtId="4" fontId="6" fillId="71" borderId="67" applyNumberFormat="0" applyProtection="0">
      <alignment horizontal="right" vertical="center"/>
    </xf>
    <xf numFmtId="4" fontId="64" fillId="71" borderId="88" applyNumberFormat="0" applyProtection="0">
      <alignment horizontal="right" vertical="center"/>
    </xf>
    <xf numFmtId="4" fontId="64" fillId="173" borderId="86" applyNumberFormat="0" applyProtection="0">
      <alignment horizontal="right" vertical="center"/>
    </xf>
    <xf numFmtId="4" fontId="6" fillId="174" borderId="87" applyNumberFormat="0" applyProtection="0">
      <alignment horizontal="left" vertical="center" indent="1"/>
    </xf>
    <xf numFmtId="4" fontId="6" fillId="174" borderId="87" applyNumberFormat="0" applyProtection="0">
      <alignment horizontal="left" vertical="center" indent="1"/>
    </xf>
    <xf numFmtId="4" fontId="315" fillId="175" borderId="86" applyNumberFormat="0" applyProtection="0">
      <alignment horizontal="left" vertical="center" indent="1"/>
    </xf>
    <xf numFmtId="4" fontId="8" fillId="99" borderId="87" applyNumberFormat="0" applyProtection="0">
      <alignment horizontal="left" vertical="center" indent="1"/>
    </xf>
    <xf numFmtId="4" fontId="64" fillId="125" borderId="89" applyNumberFormat="0" applyProtection="0">
      <alignment horizontal="left" vertical="center" indent="1"/>
    </xf>
    <xf numFmtId="4" fontId="8" fillId="99" borderId="87" applyNumberFormat="0" applyProtection="0">
      <alignment horizontal="left" vertical="center" indent="1"/>
    </xf>
    <xf numFmtId="4" fontId="319" fillId="45" borderId="0" applyNumberFormat="0" applyProtection="0">
      <alignment horizontal="left" vertical="center" indent="1"/>
    </xf>
    <xf numFmtId="4" fontId="6" fillId="75" borderId="67" applyNumberFormat="0" applyProtection="0">
      <alignment horizontal="right" vertical="center"/>
    </xf>
    <xf numFmtId="4" fontId="6" fillId="75" borderId="67" applyNumberFormat="0" applyProtection="0">
      <alignment horizontal="right" vertical="center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4" fontId="6" fillId="61" borderId="87" applyNumberFormat="0" applyProtection="0">
      <alignment horizontal="left" vertical="center" indent="1"/>
    </xf>
    <xf numFmtId="4" fontId="6" fillId="61" borderId="87" applyNumberFormat="0" applyProtection="0">
      <alignment horizontal="left" vertical="center" indent="1"/>
    </xf>
    <xf numFmtId="4" fontId="64" fillId="125" borderId="86" applyNumberFormat="0" applyProtection="0">
      <alignment horizontal="left" vertical="center" indent="1"/>
    </xf>
    <xf numFmtId="4" fontId="6" fillId="75" borderId="87" applyNumberFormat="0" applyProtection="0">
      <alignment horizontal="left" vertical="center" indent="1"/>
    </xf>
    <xf numFmtId="4" fontId="6" fillId="75" borderId="87" applyNumberFormat="0" applyProtection="0">
      <alignment horizontal="left" vertical="center" indent="1"/>
    </xf>
    <xf numFmtId="4" fontId="64" fillId="119" borderId="86" applyNumberFormat="0" applyProtection="0">
      <alignment horizontal="left" vertical="center" indent="1"/>
    </xf>
    <xf numFmtId="0" fontId="6" fillId="73" borderId="67" applyNumberFormat="0" applyProtection="0">
      <alignment horizontal="left" vertical="center" indent="1"/>
    </xf>
    <xf numFmtId="0" fontId="6" fillId="73" borderId="67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6" fillId="99" borderId="88" applyNumberFormat="0" applyProtection="0">
      <alignment horizontal="left" vertical="top" indent="1"/>
    </xf>
    <xf numFmtId="0" fontId="6" fillId="99" borderId="88" applyNumberFormat="0" applyProtection="0">
      <alignment horizontal="left" vertical="top" indent="1"/>
    </xf>
    <xf numFmtId="0" fontId="6" fillId="99" borderId="88" applyNumberFormat="0" applyProtection="0">
      <alignment horizontal="left" vertical="top" indent="1"/>
    </xf>
    <xf numFmtId="0" fontId="6" fillId="99" borderId="88" applyNumberFormat="0" applyProtection="0">
      <alignment horizontal="left" vertical="top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6" fillId="99" borderId="88" applyNumberFormat="0" applyProtection="0">
      <alignment horizontal="left" vertical="top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6" fillId="99" borderId="88" applyNumberFormat="0" applyProtection="0">
      <alignment horizontal="left" vertical="top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6" fillId="99" borderId="88" applyNumberFormat="0" applyProtection="0">
      <alignment horizontal="left" vertical="top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6" fillId="99" borderId="88" applyNumberFormat="0" applyProtection="0">
      <alignment horizontal="left" vertical="top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8" fillId="119" borderId="86" applyNumberFormat="0" applyProtection="0">
      <alignment horizontal="left" vertical="center" indent="1"/>
    </xf>
    <xf numFmtId="0" fontId="6" fillId="81" borderId="67" applyNumberFormat="0" applyProtection="0">
      <alignment horizontal="left" vertical="center" indent="1"/>
    </xf>
    <xf numFmtId="0" fontId="6" fillId="81" borderId="67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6" fillId="75" borderId="88" applyNumberFormat="0" applyProtection="0">
      <alignment horizontal="left" vertical="top" indent="1"/>
    </xf>
    <xf numFmtId="0" fontId="6" fillId="75" borderId="88" applyNumberFormat="0" applyProtection="0">
      <alignment horizontal="left" vertical="top" indent="1"/>
    </xf>
    <xf numFmtId="0" fontId="6" fillId="75" borderId="88" applyNumberFormat="0" applyProtection="0">
      <alignment horizontal="left" vertical="top" indent="1"/>
    </xf>
    <xf numFmtId="0" fontId="6" fillId="75" borderId="88" applyNumberFormat="0" applyProtection="0">
      <alignment horizontal="left" vertical="top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6" fillId="75" borderId="88" applyNumberFormat="0" applyProtection="0">
      <alignment horizontal="left" vertical="top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6" fillId="75" borderId="88" applyNumberFormat="0" applyProtection="0">
      <alignment horizontal="left" vertical="top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6" fillId="75" borderId="88" applyNumberFormat="0" applyProtection="0">
      <alignment horizontal="left" vertical="top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6" fillId="75" borderId="88" applyNumberFormat="0" applyProtection="0">
      <alignment horizontal="left" vertical="top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8" fillId="47" borderId="86" applyNumberFormat="0" applyProtection="0">
      <alignment horizontal="left" vertical="center" indent="1"/>
    </xf>
    <xf numFmtId="0" fontId="6" fillId="55" borderId="67" applyNumberFormat="0" applyProtection="0">
      <alignment horizontal="left" vertical="center" indent="1"/>
    </xf>
    <xf numFmtId="0" fontId="6" fillId="55" borderId="67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6" fillId="55" borderId="88" applyNumberFormat="0" applyProtection="0">
      <alignment horizontal="left" vertical="top" indent="1"/>
    </xf>
    <xf numFmtId="0" fontId="6" fillId="55" borderId="88" applyNumberFormat="0" applyProtection="0">
      <alignment horizontal="left" vertical="top" indent="1"/>
    </xf>
    <xf numFmtId="0" fontId="6" fillId="55" borderId="88" applyNumberFormat="0" applyProtection="0">
      <alignment horizontal="left" vertical="top" indent="1"/>
    </xf>
    <xf numFmtId="0" fontId="6" fillId="55" borderId="88" applyNumberFormat="0" applyProtection="0">
      <alignment horizontal="left" vertical="top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6" fillId="55" borderId="88" applyNumberFormat="0" applyProtection="0">
      <alignment horizontal="left" vertical="top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6" fillId="55" borderId="88" applyNumberFormat="0" applyProtection="0">
      <alignment horizontal="left" vertical="top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6" fillId="55" borderId="88" applyNumberFormat="0" applyProtection="0">
      <alignment horizontal="left" vertical="top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6" fillId="55" borderId="88" applyNumberFormat="0" applyProtection="0">
      <alignment horizontal="left" vertical="top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8" fillId="44" borderId="86" applyNumberFormat="0" applyProtection="0">
      <alignment horizontal="left" vertical="center" indent="1"/>
    </xf>
    <xf numFmtId="0" fontId="6" fillId="61" borderId="67" applyNumberFormat="0" applyProtection="0">
      <alignment horizontal="left" vertical="center" indent="1"/>
    </xf>
    <xf numFmtId="0" fontId="6" fillId="61" borderId="67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6" fillId="61" borderId="88" applyNumberFormat="0" applyProtection="0">
      <alignment horizontal="left" vertical="top" indent="1"/>
    </xf>
    <xf numFmtId="0" fontId="6" fillId="61" borderId="88" applyNumberFormat="0" applyProtection="0">
      <alignment horizontal="left" vertical="top" indent="1"/>
    </xf>
    <xf numFmtId="0" fontId="6" fillId="61" borderId="88" applyNumberFormat="0" applyProtection="0">
      <alignment horizontal="left" vertical="top" indent="1"/>
    </xf>
    <xf numFmtId="0" fontId="6" fillId="61" borderId="88" applyNumberFormat="0" applyProtection="0">
      <alignment horizontal="left" vertical="top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6" fillId="61" borderId="88" applyNumberFormat="0" applyProtection="0">
      <alignment horizontal="left" vertical="top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6" fillId="61" borderId="88" applyNumberFormat="0" applyProtection="0">
      <alignment horizontal="left" vertical="top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6" fillId="61" borderId="88" applyNumberFormat="0" applyProtection="0">
      <alignment horizontal="left" vertical="top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6" fillId="61" borderId="88" applyNumberFormat="0" applyProtection="0">
      <alignment horizontal="left" vertical="top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6" fillId="124" borderId="90" applyNumberFormat="0">
      <protection locked="0"/>
    </xf>
    <xf numFmtId="0" fontId="6" fillId="124" borderId="90" applyNumberFormat="0">
      <protection locked="0"/>
    </xf>
    <xf numFmtId="0" fontId="6" fillId="124" borderId="90" applyNumberFormat="0">
      <protection locked="0"/>
    </xf>
    <xf numFmtId="0" fontId="6" fillId="124" borderId="90" applyNumberFormat="0">
      <protection locked="0"/>
    </xf>
    <xf numFmtId="0" fontId="6" fillId="124" borderId="90" applyNumberFormat="0">
      <protection locked="0"/>
    </xf>
    <xf numFmtId="0" fontId="6" fillId="124" borderId="90" applyNumberFormat="0">
      <protection locked="0"/>
    </xf>
    <xf numFmtId="0" fontId="8" fillId="124" borderId="1" applyNumberFormat="0">
      <protection locked="0"/>
    </xf>
    <xf numFmtId="0" fontId="6" fillId="124" borderId="90" applyNumberFormat="0">
      <protection locked="0"/>
    </xf>
    <xf numFmtId="0" fontId="6" fillId="124" borderId="90" applyNumberFormat="0">
      <protection locked="0"/>
    </xf>
    <xf numFmtId="0" fontId="40" fillId="99" borderId="91" applyBorder="0"/>
    <xf numFmtId="4" fontId="5" fillId="70" borderId="88" applyNumberFormat="0" applyProtection="0">
      <alignment vertical="center"/>
    </xf>
    <xf numFmtId="4" fontId="64" fillId="70" borderId="88" applyNumberFormat="0" applyProtection="0">
      <alignment vertical="center"/>
    </xf>
    <xf numFmtId="4" fontId="64" fillId="49" borderId="86" applyNumberFormat="0" applyProtection="0">
      <alignment vertical="center"/>
    </xf>
    <xf numFmtId="4" fontId="316" fillId="49" borderId="1" applyNumberFormat="0" applyProtection="0">
      <alignment vertical="center"/>
    </xf>
    <xf numFmtId="4" fontId="318" fillId="70" borderId="88" applyNumberFormat="0" applyProtection="0">
      <alignment vertical="center"/>
    </xf>
    <xf numFmtId="4" fontId="318" fillId="49" borderId="86" applyNumberFormat="0" applyProtection="0">
      <alignment vertical="center"/>
    </xf>
    <xf numFmtId="4" fontId="5" fillId="73" borderId="88" applyNumberFormat="0" applyProtection="0">
      <alignment horizontal="left" vertical="center" indent="1"/>
    </xf>
    <xf numFmtId="4" fontId="64" fillId="70" borderId="88" applyNumberFormat="0" applyProtection="0">
      <alignment horizontal="left" vertical="center" indent="1"/>
    </xf>
    <xf numFmtId="4" fontId="64" fillId="49" borderId="86" applyNumberFormat="0" applyProtection="0">
      <alignment horizontal="left" vertical="center" indent="1"/>
    </xf>
    <xf numFmtId="0" fontId="5" fillId="70" borderId="88" applyNumberFormat="0" applyProtection="0">
      <alignment horizontal="left" vertical="top" indent="1"/>
    </xf>
    <xf numFmtId="0" fontId="64" fillId="70" borderId="88" applyNumberFormat="0" applyProtection="0">
      <alignment horizontal="left" vertical="top" indent="1"/>
    </xf>
    <xf numFmtId="4" fontId="64" fillId="49" borderId="86" applyNumberFormat="0" applyProtection="0">
      <alignment horizontal="left" vertical="center" indent="1"/>
    </xf>
    <xf numFmtId="4" fontId="6" fillId="0" borderId="67" applyNumberFormat="0" applyProtection="0">
      <alignment horizontal="right" vertical="center"/>
    </xf>
    <xf numFmtId="4" fontId="64" fillId="125" borderId="86" applyNumberFormat="0" applyProtection="0">
      <alignment horizontal="right" vertical="center"/>
    </xf>
    <xf numFmtId="4" fontId="64" fillId="125" borderId="86" applyNumberFormat="0" applyProtection="0">
      <alignment horizontal="right" vertical="center"/>
    </xf>
    <xf numFmtId="4" fontId="64" fillId="125" borderId="86" applyNumberFormat="0" applyProtection="0">
      <alignment horizontal="right" vertical="center"/>
    </xf>
    <xf numFmtId="4" fontId="64" fillId="125" borderId="86" applyNumberFormat="0" applyProtection="0">
      <alignment horizontal="right" vertical="center"/>
    </xf>
    <xf numFmtId="4" fontId="64" fillId="125" borderId="86" applyNumberFormat="0" applyProtection="0">
      <alignment horizontal="right" vertical="center"/>
    </xf>
    <xf numFmtId="4" fontId="64" fillId="125" borderId="86" applyNumberFormat="0" applyProtection="0">
      <alignment horizontal="right" vertical="center"/>
    </xf>
    <xf numFmtId="4" fontId="64" fillId="125" borderId="86" applyNumberFormat="0" applyProtection="0">
      <alignment horizontal="right" vertical="center"/>
    </xf>
    <xf numFmtId="4" fontId="64" fillId="125" borderId="86" applyNumberFormat="0" applyProtection="0">
      <alignment horizontal="right" vertical="center"/>
    </xf>
    <xf numFmtId="4" fontId="64" fillId="125" borderId="86" applyNumberFormat="0" applyProtection="0">
      <alignment horizontal="right" vertical="center"/>
    </xf>
    <xf numFmtId="4" fontId="64" fillId="125" borderId="86" applyNumberFormat="0" applyProtection="0">
      <alignment horizontal="right" vertical="center"/>
    </xf>
    <xf numFmtId="4" fontId="6" fillId="0" borderId="67" applyNumberFormat="0" applyProtection="0">
      <alignment horizontal="right" vertical="center"/>
    </xf>
    <xf numFmtId="4" fontId="64" fillId="125" borderId="86" applyNumberFormat="0" applyProtection="0">
      <alignment horizontal="right" vertical="center"/>
    </xf>
    <xf numFmtId="4" fontId="64" fillId="125" borderId="86" applyNumberFormat="0" applyProtection="0">
      <alignment horizontal="right" vertical="center"/>
    </xf>
    <xf numFmtId="4" fontId="64" fillId="125" borderId="86" applyNumberFormat="0" applyProtection="0">
      <alignment horizontal="right" vertical="center"/>
    </xf>
    <xf numFmtId="4" fontId="64" fillId="125" borderId="86" applyNumberFormat="0" applyProtection="0">
      <alignment horizontal="right" vertical="center"/>
    </xf>
    <xf numFmtId="4" fontId="64" fillId="125" borderId="86" applyNumberFormat="0" applyProtection="0">
      <alignment horizontal="right" vertical="center"/>
    </xf>
    <xf numFmtId="4" fontId="64" fillId="125" borderId="86" applyNumberFormat="0" applyProtection="0">
      <alignment horizontal="right" vertical="center"/>
    </xf>
    <xf numFmtId="4" fontId="64" fillId="125" borderId="86" applyNumberFormat="0" applyProtection="0">
      <alignment horizontal="right" vertical="center"/>
    </xf>
    <xf numFmtId="4" fontId="64" fillId="125" borderId="86" applyNumberFormat="0" applyProtection="0">
      <alignment horizontal="right" vertical="center"/>
    </xf>
    <xf numFmtId="4" fontId="64" fillId="125" borderId="86" applyNumberFormat="0" applyProtection="0">
      <alignment horizontal="right" vertical="center"/>
    </xf>
    <xf numFmtId="4" fontId="64" fillId="125" borderId="86" applyNumberFormat="0" applyProtection="0">
      <alignment horizontal="right" vertical="center"/>
    </xf>
    <xf numFmtId="4" fontId="64" fillId="125" borderId="86" applyNumberFormat="0" applyProtection="0">
      <alignment horizontal="right" vertical="center"/>
    </xf>
    <xf numFmtId="4" fontId="64" fillId="125" borderId="86" applyNumberFormat="0" applyProtection="0">
      <alignment horizontal="right" vertical="center"/>
    </xf>
    <xf numFmtId="4" fontId="64" fillId="125" borderId="86" applyNumberFormat="0" applyProtection="0">
      <alignment horizontal="right" vertical="center"/>
    </xf>
    <xf numFmtId="4" fontId="64" fillId="125" borderId="86" applyNumberFormat="0" applyProtection="0">
      <alignment horizontal="right" vertical="center"/>
    </xf>
    <xf numFmtId="4" fontId="316" fillId="114" borderId="67" applyNumberFormat="0" applyProtection="0">
      <alignment horizontal="right" vertical="center"/>
    </xf>
    <xf numFmtId="4" fontId="318" fillId="61" borderId="88" applyNumberFormat="0" applyProtection="0">
      <alignment horizontal="right" vertical="center"/>
    </xf>
    <xf numFmtId="4" fontId="318" fillId="125" borderId="86" applyNumberFormat="0" applyProtection="0">
      <alignment horizontal="right" vertical="center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5" fillId="75" borderId="88" applyNumberFormat="0" applyProtection="0">
      <alignment horizontal="left" vertical="top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0" fontId="8" fillId="89" borderId="86" applyNumberFormat="0" applyProtection="0">
      <alignment horizontal="left" vertical="center" indent="1"/>
    </xf>
    <xf numFmtId="4" fontId="320" fillId="72" borderId="87" applyNumberFormat="0" applyProtection="0">
      <alignment horizontal="left" vertical="center" indent="1"/>
    </xf>
    <xf numFmtId="0" fontId="321" fillId="0" borderId="0"/>
    <xf numFmtId="0" fontId="6" fillId="176" borderId="1"/>
    <xf numFmtId="0" fontId="6" fillId="176" borderId="1"/>
    <xf numFmtId="4" fontId="322" fillId="124" borderId="67" applyNumberFormat="0" applyProtection="0">
      <alignment horizontal="right" vertical="center"/>
    </xf>
    <xf numFmtId="4" fontId="303" fillId="61" borderId="88" applyNumberFormat="0" applyProtection="0">
      <alignment horizontal="right" vertical="center"/>
    </xf>
    <xf numFmtId="4" fontId="303" fillId="125" borderId="86" applyNumberFormat="0" applyProtection="0">
      <alignment horizontal="right" vertical="center"/>
    </xf>
    <xf numFmtId="0" fontId="323" fillId="134" borderId="0" applyAlignment="0"/>
    <xf numFmtId="38" fontId="63" fillId="0" borderId="0" applyFont="0" applyFill="0" applyBorder="0" applyAlignment="0" applyProtection="0"/>
    <xf numFmtId="341" fontId="324" fillId="0" borderId="0">
      <protection locked="0"/>
    </xf>
    <xf numFmtId="41" fontId="8" fillId="0" borderId="0" applyFont="0" applyFill="0" applyBorder="0" applyAlignment="0" applyProtection="0"/>
    <xf numFmtId="0" fontId="325" fillId="0" borderId="0" applyFill="0" applyBorder="0" applyProtection="0">
      <alignment vertical="center"/>
    </xf>
    <xf numFmtId="0" fontId="326" fillId="0" borderId="0" applyNumberFormat="0" applyFill="0" applyBorder="0" applyAlignment="0" applyProtection="0"/>
    <xf numFmtId="0" fontId="63" fillId="0" borderId="0" applyFont="0" applyProtection="0"/>
    <xf numFmtId="3" fontId="134" fillId="177" borderId="0">
      <alignment horizontal="left"/>
    </xf>
    <xf numFmtId="225" fontId="105" fillId="114" borderId="0">
      <protection locked="0"/>
    </xf>
    <xf numFmtId="0" fontId="155" fillId="123" borderId="0"/>
    <xf numFmtId="0" fontId="8" fillId="0" borderId="0"/>
    <xf numFmtId="0" fontId="8" fillId="0" borderId="0"/>
    <xf numFmtId="0" fontId="8" fillId="0" borderId="0"/>
    <xf numFmtId="0" fontId="8" fillId="0" borderId="0"/>
    <xf numFmtId="0" fontId="327" fillId="0" borderId="0" applyAlignment="0"/>
    <xf numFmtId="3" fontId="146" fillId="177" borderId="0">
      <alignment horizontal="left"/>
    </xf>
    <xf numFmtId="40" fontId="328" fillId="0" borderId="0" applyBorder="0">
      <alignment horizontal="right"/>
    </xf>
    <xf numFmtId="0" fontId="329" fillId="0" borderId="0" applyAlignment="0"/>
    <xf numFmtId="3" fontId="8" fillId="0" borderId="1" applyNumberFormat="0" applyFont="0" applyFill="0" applyAlignment="0" applyProtection="0">
      <alignment vertical="center"/>
    </xf>
    <xf numFmtId="0" fontId="330" fillId="0" borderId="0" applyBorder="0" applyProtection="0">
      <alignment vertical="center"/>
    </xf>
    <xf numFmtId="309" fontId="330" fillId="0" borderId="6" applyBorder="0" applyProtection="0">
      <alignment horizontal="right" vertical="center"/>
    </xf>
    <xf numFmtId="0" fontId="331" fillId="86" borderId="0" applyBorder="0" applyProtection="0">
      <alignment horizontal="centerContinuous" vertical="center"/>
    </xf>
    <xf numFmtId="0" fontId="331" fillId="117" borderId="6" applyBorder="0" applyProtection="0">
      <alignment horizontal="centerContinuous" vertical="center"/>
    </xf>
    <xf numFmtId="0" fontId="332" fillId="0" borderId="0" applyFill="0" applyBorder="0" applyProtection="0">
      <alignment horizontal="left"/>
    </xf>
    <xf numFmtId="0" fontId="265" fillId="0" borderId="30" applyFill="0" applyBorder="0" applyProtection="0">
      <alignment horizontal="left" vertical="top"/>
    </xf>
    <xf numFmtId="3" fontId="8" fillId="0" borderId="1" applyNumberFormat="0" applyFont="0" applyFill="0" applyAlignment="0" applyProtection="0">
      <alignment vertical="center"/>
    </xf>
    <xf numFmtId="0" fontId="8" fillId="0" borderId="0"/>
    <xf numFmtId="40" fontId="333" fillId="0" borderId="0"/>
    <xf numFmtId="0" fontId="59" fillId="0" borderId="0"/>
    <xf numFmtId="0" fontId="245" fillId="123" borderId="0"/>
    <xf numFmtId="49" fontId="64" fillId="0" borderId="0" applyFill="0" applyBorder="0" applyAlignment="0"/>
    <xf numFmtId="342" fontId="64" fillId="0" borderId="0" applyFill="0" applyBorder="0" applyAlignment="0"/>
    <xf numFmtId="343" fontId="64" fillId="0" borderId="0" applyFill="0" applyBorder="0" applyAlignment="0"/>
    <xf numFmtId="0" fontId="7" fillId="0" borderId="0" applyAlignment="0"/>
    <xf numFmtId="0" fontId="334" fillId="0" borderId="0" applyAlignment="0"/>
    <xf numFmtId="0" fontId="5" fillId="0" borderId="0"/>
    <xf numFmtId="49" fontId="8" fillId="0" borderId="0" applyFont="0" applyFill="0" applyBorder="0" applyAlignment="0" applyProtection="0"/>
    <xf numFmtId="49" fontId="8" fillId="0" borderId="0" applyFont="0" applyFill="0" applyBorder="0" applyAlignment="0" applyProtection="0"/>
    <xf numFmtId="0" fontId="303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335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303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260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336" fillId="0" borderId="0" applyNumberFormat="0" applyFill="0" applyBorder="0" applyAlignment="0" applyProtection="0"/>
    <xf numFmtId="0" fontId="338" fillId="0" borderId="0" applyProtection="0">
      <alignment vertical="top"/>
    </xf>
    <xf numFmtId="0" fontId="10" fillId="0" borderId="0" applyNumberFormat="0" applyFill="0" applyBorder="0" applyAlignment="0" applyProtection="0"/>
    <xf numFmtId="0" fontId="339" fillId="0" borderId="0" applyNumberFormat="0" applyFill="0" applyBorder="0" applyAlignment="0" applyProtection="0"/>
    <xf numFmtId="0" fontId="340" fillId="0" borderId="0" applyAlignment="0"/>
    <xf numFmtId="182" fontId="341" fillId="0" borderId="0" applyNumberFormat="0">
      <alignment vertical="center"/>
    </xf>
    <xf numFmtId="3" fontId="108" fillId="177" borderId="0">
      <alignment horizontal="center"/>
    </xf>
    <xf numFmtId="0" fontId="342" fillId="0" borderId="92" applyNumberFormat="0" applyFill="0" applyAlignment="0" applyProtection="0"/>
    <xf numFmtId="0" fontId="342" fillId="0" borderId="92" applyNumberFormat="0" applyFill="0" applyAlignment="0" applyProtection="0"/>
    <xf numFmtId="0" fontId="268" fillId="0" borderId="80" applyNumberFormat="0" applyFill="0" applyAlignment="0" applyProtection="0"/>
    <xf numFmtId="0" fontId="343" fillId="0" borderId="93" applyNumberFormat="0" applyFill="0" applyAlignment="0" applyProtection="0"/>
    <xf numFmtId="0" fontId="342" fillId="0" borderId="92" applyNumberFormat="0" applyFill="0" applyAlignment="0" applyProtection="0"/>
    <xf numFmtId="0" fontId="343" fillId="0" borderId="80" applyNumberFormat="0" applyFill="0" applyAlignment="0" applyProtection="0"/>
    <xf numFmtId="0" fontId="343" fillId="0" borderId="80" applyNumberFormat="0" applyFill="0" applyAlignment="0" applyProtection="0"/>
    <xf numFmtId="0" fontId="344" fillId="0" borderId="92" applyNumberFormat="0" applyFill="0" applyAlignment="0" applyProtection="0"/>
    <xf numFmtId="0" fontId="344" fillId="0" borderId="92" applyNumberFormat="0" applyFill="0" applyAlignment="0" applyProtection="0"/>
    <xf numFmtId="0" fontId="344" fillId="0" borderId="92" applyNumberFormat="0" applyFill="0" applyAlignment="0" applyProtection="0"/>
    <xf numFmtId="0" fontId="344" fillId="0" borderId="92" applyNumberFormat="0" applyFill="0" applyAlignment="0" applyProtection="0"/>
    <xf numFmtId="0" fontId="344" fillId="0" borderId="92" applyNumberFormat="0" applyFill="0" applyAlignment="0" applyProtection="0"/>
    <xf numFmtId="0" fontId="344" fillId="0" borderId="92" applyNumberFormat="0" applyFill="0" applyAlignment="0" applyProtection="0"/>
    <xf numFmtId="0" fontId="344" fillId="0" borderId="92" applyNumberFormat="0" applyFill="0" applyAlignment="0" applyProtection="0"/>
    <xf numFmtId="0" fontId="342" fillId="0" borderId="92" applyNumberFormat="0" applyFill="0" applyAlignment="0" applyProtection="0"/>
    <xf numFmtId="0" fontId="344" fillId="0" borderId="92" applyNumberFormat="0" applyFill="0" applyAlignment="0" applyProtection="0"/>
    <xf numFmtId="0" fontId="344" fillId="0" borderId="92" applyNumberFormat="0" applyFill="0" applyAlignment="0" applyProtection="0"/>
    <xf numFmtId="0" fontId="344" fillId="0" borderId="92" applyNumberFormat="0" applyFill="0" applyAlignment="0" applyProtection="0"/>
    <xf numFmtId="0" fontId="344" fillId="0" borderId="92" applyNumberFormat="0" applyFill="0" applyAlignment="0" applyProtection="0"/>
    <xf numFmtId="0" fontId="344" fillId="0" borderId="92" applyNumberFormat="0" applyFill="0" applyAlignment="0" applyProtection="0"/>
    <xf numFmtId="0" fontId="344" fillId="0" borderId="92" applyNumberFormat="0" applyFill="0" applyAlignment="0" applyProtection="0"/>
    <xf numFmtId="0" fontId="344" fillId="0" borderId="92" applyNumberFormat="0" applyFill="0" applyAlignment="0" applyProtection="0"/>
    <xf numFmtId="0" fontId="344" fillId="0" borderId="92" applyNumberFormat="0" applyFill="0" applyAlignment="0" applyProtection="0"/>
    <xf numFmtId="0" fontId="344" fillId="0" borderId="92" applyNumberFormat="0" applyFill="0" applyAlignment="0" applyProtection="0"/>
    <xf numFmtId="0" fontId="344" fillId="0" borderId="92" applyNumberFormat="0" applyFill="0" applyAlignment="0" applyProtection="0"/>
    <xf numFmtId="0" fontId="342" fillId="0" borderId="92" applyNumberFormat="0" applyFill="0" applyAlignment="0" applyProtection="0"/>
    <xf numFmtId="0" fontId="344" fillId="0" borderId="92" applyNumberFormat="0" applyFill="0" applyAlignment="0" applyProtection="0"/>
    <xf numFmtId="0" fontId="344" fillId="0" borderId="92" applyNumberFormat="0" applyFill="0" applyAlignment="0" applyProtection="0"/>
    <xf numFmtId="0" fontId="344" fillId="0" borderId="92" applyNumberFormat="0" applyFill="0" applyAlignment="0" applyProtection="0"/>
    <xf numFmtId="0" fontId="344" fillId="0" borderId="92" applyNumberFormat="0" applyFill="0" applyAlignment="0" applyProtection="0"/>
    <xf numFmtId="0" fontId="344" fillId="0" borderId="92" applyNumberFormat="0" applyFill="0" applyAlignment="0" applyProtection="0"/>
    <xf numFmtId="0" fontId="344" fillId="0" borderId="92" applyNumberFormat="0" applyFill="0" applyAlignment="0" applyProtection="0"/>
    <xf numFmtId="0" fontId="343" fillId="0" borderId="80" applyNumberFormat="0" applyFill="0" applyAlignment="0" applyProtection="0"/>
    <xf numFmtId="0" fontId="343" fillId="0" borderId="80" applyNumberFormat="0" applyFill="0" applyAlignment="0" applyProtection="0"/>
    <xf numFmtId="0" fontId="342" fillId="0" borderId="92" applyNumberFormat="0" applyFill="0" applyAlignment="0" applyProtection="0"/>
    <xf numFmtId="0" fontId="342" fillId="0" borderId="92" applyNumberFormat="0" applyFill="0" applyAlignment="0" applyProtection="0"/>
    <xf numFmtId="0" fontId="342" fillId="0" borderId="92" applyNumberFormat="0" applyFill="0" applyAlignment="0" applyProtection="0"/>
    <xf numFmtId="0" fontId="342" fillId="0" borderId="92" applyNumberFormat="0" applyFill="0" applyAlignment="0" applyProtection="0"/>
    <xf numFmtId="0" fontId="342" fillId="0" borderId="92" applyNumberFormat="0" applyFill="0" applyAlignment="0" applyProtection="0"/>
    <xf numFmtId="0" fontId="342" fillId="0" borderId="92" applyNumberFormat="0" applyFill="0" applyAlignment="0" applyProtection="0"/>
    <xf numFmtId="0" fontId="342" fillId="0" borderId="92" applyNumberFormat="0" applyFill="0" applyAlignment="0" applyProtection="0"/>
    <xf numFmtId="0" fontId="11" fillId="0" borderId="15" applyNumberFormat="0" applyFill="0" applyAlignment="0" applyProtection="0"/>
    <xf numFmtId="0" fontId="344" fillId="0" borderId="92" applyNumberFormat="0" applyFill="0" applyAlignment="0" applyProtection="0"/>
    <xf numFmtId="0" fontId="344" fillId="0" borderId="92" applyNumberFormat="0" applyFill="0" applyAlignment="0" applyProtection="0"/>
    <xf numFmtId="0" fontId="344" fillId="0" borderId="92" applyNumberFormat="0" applyFill="0" applyAlignment="0" applyProtection="0"/>
    <xf numFmtId="0" fontId="344" fillId="0" borderId="92" applyNumberFormat="0" applyFill="0" applyAlignment="0" applyProtection="0"/>
    <xf numFmtId="0" fontId="344" fillId="0" borderId="92" applyNumberFormat="0" applyFill="0" applyAlignment="0" applyProtection="0"/>
    <xf numFmtId="0" fontId="344" fillId="0" borderId="92" applyNumberFormat="0" applyFill="0" applyAlignment="0" applyProtection="0"/>
    <xf numFmtId="0" fontId="344" fillId="0" borderId="92" applyNumberFormat="0" applyFill="0" applyAlignment="0" applyProtection="0"/>
    <xf numFmtId="0" fontId="344" fillId="0" borderId="92" applyNumberFormat="0" applyFill="0" applyAlignment="0" applyProtection="0"/>
    <xf numFmtId="0" fontId="344" fillId="0" borderId="92" applyNumberFormat="0" applyFill="0" applyAlignment="0" applyProtection="0"/>
    <xf numFmtId="0" fontId="344" fillId="0" borderId="92" applyNumberFormat="0" applyFill="0" applyAlignment="0" applyProtection="0"/>
    <xf numFmtId="0" fontId="342" fillId="0" borderId="92" applyNumberFormat="0" applyFill="0" applyAlignment="0" applyProtection="0"/>
    <xf numFmtId="0" fontId="344" fillId="0" borderId="92" applyNumberFormat="0" applyFill="0" applyAlignment="0" applyProtection="0"/>
    <xf numFmtId="0" fontId="344" fillId="0" borderId="92" applyNumberFormat="0" applyFill="0" applyAlignment="0" applyProtection="0"/>
    <xf numFmtId="0" fontId="344" fillId="0" borderId="92" applyNumberFormat="0" applyFill="0" applyAlignment="0" applyProtection="0"/>
    <xf numFmtId="0" fontId="344" fillId="0" borderId="92" applyNumberFormat="0" applyFill="0" applyAlignment="0" applyProtection="0"/>
    <xf numFmtId="0" fontId="344" fillId="0" borderId="92" applyNumberFormat="0" applyFill="0" applyAlignment="0" applyProtection="0"/>
    <xf numFmtId="0" fontId="344" fillId="0" borderId="92" applyNumberFormat="0" applyFill="0" applyAlignment="0" applyProtection="0"/>
    <xf numFmtId="0" fontId="344" fillId="0" borderId="92" applyNumberFormat="0" applyFill="0" applyAlignment="0" applyProtection="0"/>
    <xf numFmtId="0" fontId="344" fillId="0" borderId="92" applyNumberFormat="0" applyFill="0" applyAlignment="0" applyProtection="0"/>
    <xf numFmtId="0" fontId="344" fillId="0" borderId="92" applyNumberFormat="0" applyFill="0" applyAlignment="0" applyProtection="0"/>
    <xf numFmtId="0" fontId="344" fillId="0" borderId="92" applyNumberFormat="0" applyFill="0" applyAlignment="0" applyProtection="0"/>
    <xf numFmtId="0" fontId="342" fillId="0" borderId="92" applyNumberFormat="0" applyFill="0" applyAlignment="0" applyProtection="0"/>
    <xf numFmtId="0" fontId="344" fillId="0" borderId="92" applyNumberFormat="0" applyFill="0" applyAlignment="0" applyProtection="0"/>
    <xf numFmtId="0" fontId="344" fillId="0" borderId="92" applyNumberFormat="0" applyFill="0" applyAlignment="0" applyProtection="0"/>
    <xf numFmtId="0" fontId="343" fillId="0" borderId="80" applyNumberFormat="0" applyFill="0" applyAlignment="0" applyProtection="0"/>
    <xf numFmtId="0" fontId="343" fillId="0" borderId="80" applyNumberFormat="0" applyFill="0" applyAlignment="0" applyProtection="0"/>
    <xf numFmtId="0" fontId="342" fillId="0" borderId="92" applyNumberFormat="0" applyFill="0" applyAlignment="0" applyProtection="0"/>
    <xf numFmtId="0" fontId="342" fillId="0" borderId="92" applyNumberFormat="0" applyFill="0" applyAlignment="0" applyProtection="0"/>
    <xf numFmtId="0" fontId="342" fillId="0" borderId="92" applyNumberFormat="0" applyFill="0" applyAlignment="0" applyProtection="0"/>
    <xf numFmtId="0" fontId="342" fillId="0" borderId="92" applyNumberFormat="0" applyFill="0" applyAlignment="0" applyProtection="0"/>
    <xf numFmtId="0" fontId="343" fillId="0" borderId="80" applyNumberFormat="0" applyFill="0" applyAlignment="0" applyProtection="0"/>
    <xf numFmtId="0" fontId="343" fillId="0" borderId="80" applyNumberFormat="0" applyFill="0" applyAlignment="0" applyProtection="0"/>
    <xf numFmtId="0" fontId="344" fillId="0" borderId="92" applyNumberFormat="0" applyFill="0" applyAlignment="0" applyProtection="0"/>
    <xf numFmtId="0" fontId="342" fillId="0" borderId="92" applyNumberFormat="0" applyFill="0" applyAlignment="0" applyProtection="0"/>
    <xf numFmtId="0" fontId="342" fillId="0" borderId="92" applyNumberFormat="0" applyFill="0" applyAlignment="0" applyProtection="0"/>
    <xf numFmtId="0" fontId="342" fillId="0" borderId="92" applyNumberFormat="0" applyFill="0" applyAlignment="0" applyProtection="0"/>
    <xf numFmtId="0" fontId="342" fillId="0" borderId="92" applyNumberFormat="0" applyFill="0" applyAlignment="0" applyProtection="0"/>
    <xf numFmtId="0" fontId="342" fillId="0" borderId="92" applyNumberFormat="0" applyFill="0" applyAlignment="0" applyProtection="0"/>
    <xf numFmtId="0" fontId="342" fillId="0" borderId="92" applyNumberFormat="0" applyFill="0" applyAlignment="0" applyProtection="0"/>
    <xf numFmtId="0" fontId="342" fillId="0" borderId="92" applyNumberFormat="0" applyFill="0" applyAlignment="0" applyProtection="0"/>
    <xf numFmtId="0" fontId="342" fillId="0" borderId="92" applyNumberFormat="0" applyFill="0" applyAlignment="0" applyProtection="0"/>
    <xf numFmtId="0" fontId="342" fillId="0" borderId="92" applyNumberFormat="0" applyFill="0" applyAlignment="0" applyProtection="0"/>
    <xf numFmtId="0" fontId="342" fillId="0" borderId="92" applyNumberFormat="0" applyFill="0" applyAlignment="0" applyProtection="0"/>
    <xf numFmtId="0" fontId="342" fillId="0" borderId="92" applyNumberFormat="0" applyFill="0" applyAlignment="0" applyProtection="0"/>
    <xf numFmtId="0" fontId="342" fillId="0" borderId="92" applyNumberFormat="0" applyFill="0" applyAlignment="0" applyProtection="0"/>
    <xf numFmtId="0" fontId="342" fillId="0" borderId="92" applyNumberFormat="0" applyFill="0" applyAlignment="0" applyProtection="0"/>
    <xf numFmtId="0" fontId="342" fillId="0" borderId="92" applyNumberFormat="0" applyFill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39" fillId="0" borderId="0" applyNumberFormat="0" applyFill="0" applyBorder="0" applyAlignment="0" applyProtection="0"/>
    <xf numFmtId="0" fontId="346" fillId="0" borderId="94" applyNumberFormat="0" applyFill="0" applyAlignment="0" applyProtection="0"/>
    <xf numFmtId="0" fontId="346" fillId="0" borderId="94" applyNumberFormat="0" applyFill="0" applyAlignment="0" applyProtection="0"/>
    <xf numFmtId="0" fontId="269" fillId="0" borderId="81" applyNumberFormat="0" applyFill="0" applyAlignment="0" applyProtection="0"/>
    <xf numFmtId="0" fontId="347" fillId="0" borderId="95" applyNumberFormat="0" applyFill="0" applyAlignment="0" applyProtection="0"/>
    <xf numFmtId="0" fontId="346" fillId="0" borderId="94" applyNumberFormat="0" applyFill="0" applyAlignment="0" applyProtection="0"/>
    <xf numFmtId="0" fontId="347" fillId="0" borderId="94" applyNumberFormat="0" applyFill="0" applyAlignment="0" applyProtection="0"/>
    <xf numFmtId="0" fontId="347" fillId="0" borderId="94" applyNumberFormat="0" applyFill="0" applyAlignment="0" applyProtection="0"/>
    <xf numFmtId="0" fontId="348" fillId="0" borderId="94" applyNumberFormat="0" applyFill="0" applyAlignment="0" applyProtection="0"/>
    <xf numFmtId="0" fontId="348" fillId="0" borderId="94" applyNumberFormat="0" applyFill="0" applyAlignment="0" applyProtection="0"/>
    <xf numFmtId="0" fontId="348" fillId="0" borderId="94" applyNumberFormat="0" applyFill="0" applyAlignment="0" applyProtection="0"/>
    <xf numFmtId="0" fontId="348" fillId="0" borderId="94" applyNumberFormat="0" applyFill="0" applyAlignment="0" applyProtection="0"/>
    <xf numFmtId="0" fontId="348" fillId="0" borderId="94" applyNumberFormat="0" applyFill="0" applyAlignment="0" applyProtection="0"/>
    <xf numFmtId="0" fontId="348" fillId="0" borderId="94" applyNumberFormat="0" applyFill="0" applyAlignment="0" applyProtection="0"/>
    <xf numFmtId="0" fontId="348" fillId="0" borderId="94" applyNumberFormat="0" applyFill="0" applyAlignment="0" applyProtection="0"/>
    <xf numFmtId="0" fontId="346" fillId="0" borderId="94" applyNumberFormat="0" applyFill="0" applyAlignment="0" applyProtection="0"/>
    <xf numFmtId="0" fontId="348" fillId="0" borderId="94" applyNumberFormat="0" applyFill="0" applyAlignment="0" applyProtection="0"/>
    <xf numFmtId="0" fontId="348" fillId="0" borderId="94" applyNumberFormat="0" applyFill="0" applyAlignment="0" applyProtection="0"/>
    <xf numFmtId="0" fontId="348" fillId="0" borderId="94" applyNumberFormat="0" applyFill="0" applyAlignment="0" applyProtection="0"/>
    <xf numFmtId="0" fontId="348" fillId="0" borderId="94" applyNumberFormat="0" applyFill="0" applyAlignment="0" applyProtection="0"/>
    <xf numFmtId="0" fontId="348" fillId="0" borderId="94" applyNumberFormat="0" applyFill="0" applyAlignment="0" applyProtection="0"/>
    <xf numFmtId="0" fontId="348" fillId="0" borderId="94" applyNumberFormat="0" applyFill="0" applyAlignment="0" applyProtection="0"/>
    <xf numFmtId="0" fontId="348" fillId="0" borderId="94" applyNumberFormat="0" applyFill="0" applyAlignment="0" applyProtection="0"/>
    <xf numFmtId="0" fontId="348" fillId="0" borderId="94" applyNumberFormat="0" applyFill="0" applyAlignment="0" applyProtection="0"/>
    <xf numFmtId="0" fontId="348" fillId="0" borderId="94" applyNumberFormat="0" applyFill="0" applyAlignment="0" applyProtection="0"/>
    <xf numFmtId="0" fontId="348" fillId="0" borderId="94" applyNumberFormat="0" applyFill="0" applyAlignment="0" applyProtection="0"/>
    <xf numFmtId="0" fontId="346" fillId="0" borderId="94" applyNumberFormat="0" applyFill="0" applyAlignment="0" applyProtection="0"/>
    <xf numFmtId="0" fontId="348" fillId="0" borderId="94" applyNumberFormat="0" applyFill="0" applyAlignment="0" applyProtection="0"/>
    <xf numFmtId="0" fontId="348" fillId="0" borderId="94" applyNumberFormat="0" applyFill="0" applyAlignment="0" applyProtection="0"/>
    <xf numFmtId="0" fontId="348" fillId="0" borderId="94" applyNumberFormat="0" applyFill="0" applyAlignment="0" applyProtection="0"/>
    <xf numFmtId="0" fontId="348" fillId="0" borderId="94" applyNumberFormat="0" applyFill="0" applyAlignment="0" applyProtection="0"/>
    <xf numFmtId="0" fontId="348" fillId="0" borderId="94" applyNumberFormat="0" applyFill="0" applyAlignment="0" applyProtection="0"/>
    <xf numFmtId="0" fontId="348" fillId="0" borderId="94" applyNumberFormat="0" applyFill="0" applyAlignment="0" applyProtection="0"/>
    <xf numFmtId="0" fontId="347" fillId="0" borderId="94" applyNumberFormat="0" applyFill="0" applyAlignment="0" applyProtection="0"/>
    <xf numFmtId="0" fontId="347" fillId="0" borderId="94" applyNumberFormat="0" applyFill="0" applyAlignment="0" applyProtection="0"/>
    <xf numFmtId="0" fontId="346" fillId="0" borderId="94" applyNumberFormat="0" applyFill="0" applyAlignment="0" applyProtection="0"/>
    <xf numFmtId="0" fontId="346" fillId="0" borderId="94" applyNumberFormat="0" applyFill="0" applyAlignment="0" applyProtection="0"/>
    <xf numFmtId="0" fontId="346" fillId="0" borderId="94" applyNumberFormat="0" applyFill="0" applyAlignment="0" applyProtection="0"/>
    <xf numFmtId="0" fontId="346" fillId="0" borderId="94" applyNumberFormat="0" applyFill="0" applyAlignment="0" applyProtection="0"/>
    <xf numFmtId="0" fontId="346" fillId="0" borderId="94" applyNumberFormat="0" applyFill="0" applyAlignment="0" applyProtection="0"/>
    <xf numFmtId="0" fontId="346" fillId="0" borderId="94" applyNumberFormat="0" applyFill="0" applyAlignment="0" applyProtection="0"/>
    <xf numFmtId="0" fontId="346" fillId="0" borderId="94" applyNumberFormat="0" applyFill="0" applyAlignment="0" applyProtection="0"/>
    <xf numFmtId="0" fontId="12" fillId="0" borderId="16" applyNumberFormat="0" applyFill="0" applyAlignment="0" applyProtection="0"/>
    <xf numFmtId="0" fontId="348" fillId="0" borderId="94" applyNumberFormat="0" applyFill="0" applyAlignment="0" applyProtection="0"/>
    <xf numFmtId="0" fontId="348" fillId="0" borderId="94" applyNumberFormat="0" applyFill="0" applyAlignment="0" applyProtection="0"/>
    <xf numFmtId="0" fontId="348" fillId="0" borderId="94" applyNumberFormat="0" applyFill="0" applyAlignment="0" applyProtection="0"/>
    <xf numFmtId="0" fontId="348" fillId="0" borderId="94" applyNumberFormat="0" applyFill="0" applyAlignment="0" applyProtection="0"/>
    <xf numFmtId="0" fontId="348" fillId="0" borderId="94" applyNumberFormat="0" applyFill="0" applyAlignment="0" applyProtection="0"/>
    <xf numFmtId="0" fontId="348" fillId="0" borderId="94" applyNumberFormat="0" applyFill="0" applyAlignment="0" applyProtection="0"/>
    <xf numFmtId="0" fontId="348" fillId="0" borderId="94" applyNumberFormat="0" applyFill="0" applyAlignment="0" applyProtection="0"/>
    <xf numFmtId="0" fontId="348" fillId="0" borderId="94" applyNumberFormat="0" applyFill="0" applyAlignment="0" applyProtection="0"/>
    <xf numFmtId="0" fontId="348" fillId="0" borderId="94" applyNumberFormat="0" applyFill="0" applyAlignment="0" applyProtection="0"/>
    <xf numFmtId="0" fontId="348" fillId="0" borderId="94" applyNumberFormat="0" applyFill="0" applyAlignment="0" applyProtection="0"/>
    <xf numFmtId="0" fontId="346" fillId="0" borderId="94" applyNumberFormat="0" applyFill="0" applyAlignment="0" applyProtection="0"/>
    <xf numFmtId="0" fontId="348" fillId="0" borderId="94" applyNumberFormat="0" applyFill="0" applyAlignment="0" applyProtection="0"/>
    <xf numFmtId="0" fontId="348" fillId="0" borderId="94" applyNumberFormat="0" applyFill="0" applyAlignment="0" applyProtection="0"/>
    <xf numFmtId="0" fontId="348" fillId="0" borderId="94" applyNumberFormat="0" applyFill="0" applyAlignment="0" applyProtection="0"/>
    <xf numFmtId="0" fontId="348" fillId="0" borderId="94" applyNumberFormat="0" applyFill="0" applyAlignment="0" applyProtection="0"/>
    <xf numFmtId="0" fontId="348" fillId="0" borderId="94" applyNumberFormat="0" applyFill="0" applyAlignment="0" applyProtection="0"/>
    <xf numFmtId="0" fontId="348" fillId="0" borderId="94" applyNumberFormat="0" applyFill="0" applyAlignment="0" applyProtection="0"/>
    <xf numFmtId="0" fontId="348" fillId="0" borderId="94" applyNumberFormat="0" applyFill="0" applyAlignment="0" applyProtection="0"/>
    <xf numFmtId="0" fontId="348" fillId="0" borderId="94" applyNumberFormat="0" applyFill="0" applyAlignment="0" applyProtection="0"/>
    <xf numFmtId="0" fontId="348" fillId="0" borderId="94" applyNumberFormat="0" applyFill="0" applyAlignment="0" applyProtection="0"/>
    <xf numFmtId="0" fontId="348" fillId="0" borderId="94" applyNumberFormat="0" applyFill="0" applyAlignment="0" applyProtection="0"/>
    <xf numFmtId="0" fontId="346" fillId="0" borderId="94" applyNumberFormat="0" applyFill="0" applyAlignment="0" applyProtection="0"/>
    <xf numFmtId="0" fontId="348" fillId="0" borderId="94" applyNumberFormat="0" applyFill="0" applyAlignment="0" applyProtection="0"/>
    <xf numFmtId="0" fontId="348" fillId="0" borderId="94" applyNumberFormat="0" applyFill="0" applyAlignment="0" applyProtection="0"/>
    <xf numFmtId="0" fontId="347" fillId="0" borderId="94" applyNumberFormat="0" applyFill="0" applyAlignment="0" applyProtection="0"/>
    <xf numFmtId="0" fontId="347" fillId="0" borderId="94" applyNumberFormat="0" applyFill="0" applyAlignment="0" applyProtection="0"/>
    <xf numFmtId="0" fontId="346" fillId="0" borderId="94" applyNumberFormat="0" applyFill="0" applyAlignment="0" applyProtection="0"/>
    <xf numFmtId="0" fontId="346" fillId="0" borderId="94" applyNumberFormat="0" applyFill="0" applyAlignment="0" applyProtection="0"/>
    <xf numFmtId="0" fontId="346" fillId="0" borderId="94" applyNumberFormat="0" applyFill="0" applyAlignment="0" applyProtection="0"/>
    <xf numFmtId="0" fontId="346" fillId="0" borderId="94" applyNumberFormat="0" applyFill="0" applyAlignment="0" applyProtection="0"/>
    <xf numFmtId="0" fontId="347" fillId="0" borderId="94" applyNumberFormat="0" applyFill="0" applyAlignment="0" applyProtection="0"/>
    <xf numFmtId="0" fontId="347" fillId="0" borderId="94" applyNumberFormat="0" applyFill="0" applyAlignment="0" applyProtection="0"/>
    <xf numFmtId="0" fontId="348" fillId="0" borderId="94" applyNumberFormat="0" applyFill="0" applyAlignment="0" applyProtection="0"/>
    <xf numFmtId="0" fontId="346" fillId="0" borderId="94" applyNumberFormat="0" applyFill="0" applyAlignment="0" applyProtection="0"/>
    <xf numFmtId="0" fontId="346" fillId="0" borderId="94" applyNumberFormat="0" applyFill="0" applyAlignment="0" applyProtection="0"/>
    <xf numFmtId="0" fontId="346" fillId="0" borderId="94" applyNumberFormat="0" applyFill="0" applyAlignment="0" applyProtection="0"/>
    <xf numFmtId="0" fontId="346" fillId="0" borderId="94" applyNumberFormat="0" applyFill="0" applyAlignment="0" applyProtection="0"/>
    <xf numFmtId="0" fontId="346" fillId="0" borderId="94" applyNumberFormat="0" applyFill="0" applyAlignment="0" applyProtection="0"/>
    <xf numFmtId="0" fontId="346" fillId="0" borderId="94" applyNumberFormat="0" applyFill="0" applyAlignment="0" applyProtection="0"/>
    <xf numFmtId="0" fontId="346" fillId="0" borderId="94" applyNumberFormat="0" applyFill="0" applyAlignment="0" applyProtection="0"/>
    <xf numFmtId="0" fontId="346" fillId="0" borderId="94" applyNumberFormat="0" applyFill="0" applyAlignment="0" applyProtection="0"/>
    <xf numFmtId="0" fontId="346" fillId="0" borderId="94" applyNumberFormat="0" applyFill="0" applyAlignment="0" applyProtection="0"/>
    <xf numFmtId="0" fontId="346" fillId="0" borderId="94" applyNumberFormat="0" applyFill="0" applyAlignment="0" applyProtection="0"/>
    <xf numFmtId="0" fontId="346" fillId="0" borderId="94" applyNumberFormat="0" applyFill="0" applyAlignment="0" applyProtection="0"/>
    <xf numFmtId="0" fontId="346" fillId="0" borderId="94" applyNumberFormat="0" applyFill="0" applyAlignment="0" applyProtection="0"/>
    <xf numFmtId="0" fontId="346" fillId="0" borderId="94" applyNumberFormat="0" applyFill="0" applyAlignment="0" applyProtection="0"/>
    <xf numFmtId="0" fontId="346" fillId="0" borderId="94" applyNumberFormat="0" applyFill="0" applyAlignment="0" applyProtection="0"/>
    <xf numFmtId="0" fontId="250" fillId="0" borderId="96" applyNumberFormat="0" applyFill="0" applyAlignment="0" applyProtection="0"/>
    <xf numFmtId="0" fontId="250" fillId="0" borderId="96" applyNumberFormat="0" applyFill="0" applyAlignment="0" applyProtection="0"/>
    <xf numFmtId="0" fontId="251" fillId="0" borderId="82" applyNumberFormat="0" applyFill="0" applyAlignment="0" applyProtection="0"/>
    <xf numFmtId="0" fontId="252" fillId="0" borderId="97" applyNumberFormat="0" applyFill="0" applyAlignment="0" applyProtection="0"/>
    <xf numFmtId="0" fontId="250" fillId="0" borderId="96" applyNumberFormat="0" applyFill="0" applyAlignment="0" applyProtection="0"/>
    <xf numFmtId="0" fontId="252" fillId="0" borderId="98" applyNumberFormat="0" applyFill="0" applyAlignment="0" applyProtection="0"/>
    <xf numFmtId="0" fontId="252" fillId="0" borderId="98" applyNumberFormat="0" applyFill="0" applyAlignment="0" applyProtection="0"/>
    <xf numFmtId="0" fontId="253" fillId="0" borderId="96" applyNumberFormat="0" applyFill="0" applyAlignment="0" applyProtection="0"/>
    <xf numFmtId="0" fontId="253" fillId="0" borderId="96" applyNumberFormat="0" applyFill="0" applyAlignment="0" applyProtection="0"/>
    <xf numFmtId="0" fontId="253" fillId="0" borderId="96" applyNumberFormat="0" applyFill="0" applyAlignment="0" applyProtection="0"/>
    <xf numFmtId="0" fontId="253" fillId="0" borderId="96" applyNumberFormat="0" applyFill="0" applyAlignment="0" applyProtection="0"/>
    <xf numFmtId="0" fontId="253" fillId="0" borderId="96" applyNumberFormat="0" applyFill="0" applyAlignment="0" applyProtection="0"/>
    <xf numFmtId="0" fontId="253" fillId="0" borderId="96" applyNumberFormat="0" applyFill="0" applyAlignment="0" applyProtection="0"/>
    <xf numFmtId="0" fontId="253" fillId="0" borderId="96" applyNumberFormat="0" applyFill="0" applyAlignment="0" applyProtection="0"/>
    <xf numFmtId="0" fontId="250" fillId="0" borderId="96" applyNumberFormat="0" applyFill="0" applyAlignment="0" applyProtection="0"/>
    <xf numFmtId="0" fontId="253" fillId="0" borderId="96" applyNumberFormat="0" applyFill="0" applyAlignment="0" applyProtection="0"/>
    <xf numFmtId="0" fontId="253" fillId="0" borderId="96" applyNumberFormat="0" applyFill="0" applyAlignment="0" applyProtection="0"/>
    <xf numFmtId="0" fontId="253" fillId="0" borderId="96" applyNumberFormat="0" applyFill="0" applyAlignment="0" applyProtection="0"/>
    <xf numFmtId="0" fontId="253" fillId="0" borderId="96" applyNumberFormat="0" applyFill="0" applyAlignment="0" applyProtection="0"/>
    <xf numFmtId="0" fontId="253" fillId="0" borderId="96" applyNumberFormat="0" applyFill="0" applyAlignment="0" applyProtection="0"/>
    <xf numFmtId="0" fontId="253" fillId="0" borderId="96" applyNumberFormat="0" applyFill="0" applyAlignment="0" applyProtection="0"/>
    <xf numFmtId="0" fontId="253" fillId="0" borderId="96" applyNumberFormat="0" applyFill="0" applyAlignment="0" applyProtection="0"/>
    <xf numFmtId="0" fontId="253" fillId="0" borderId="96" applyNumberFormat="0" applyFill="0" applyAlignment="0" applyProtection="0"/>
    <xf numFmtId="0" fontId="253" fillId="0" borderId="96" applyNumberFormat="0" applyFill="0" applyAlignment="0" applyProtection="0"/>
    <xf numFmtId="0" fontId="253" fillId="0" borderId="96" applyNumberFormat="0" applyFill="0" applyAlignment="0" applyProtection="0"/>
    <xf numFmtId="0" fontId="250" fillId="0" borderId="96" applyNumberFormat="0" applyFill="0" applyAlignment="0" applyProtection="0"/>
    <xf numFmtId="0" fontId="253" fillId="0" borderId="96" applyNumberFormat="0" applyFill="0" applyAlignment="0" applyProtection="0"/>
    <xf numFmtId="0" fontId="253" fillId="0" borderId="96" applyNumberFormat="0" applyFill="0" applyAlignment="0" applyProtection="0"/>
    <xf numFmtId="0" fontId="253" fillId="0" borderId="96" applyNumberFormat="0" applyFill="0" applyAlignment="0" applyProtection="0"/>
    <xf numFmtId="0" fontId="253" fillId="0" borderId="96" applyNumberFormat="0" applyFill="0" applyAlignment="0" applyProtection="0"/>
    <xf numFmtId="0" fontId="253" fillId="0" borderId="96" applyNumberFormat="0" applyFill="0" applyAlignment="0" applyProtection="0"/>
    <xf numFmtId="0" fontId="253" fillId="0" borderId="96" applyNumberFormat="0" applyFill="0" applyAlignment="0" applyProtection="0"/>
    <xf numFmtId="0" fontId="252" fillId="0" borderId="98" applyNumberFormat="0" applyFill="0" applyAlignment="0" applyProtection="0"/>
    <xf numFmtId="0" fontId="252" fillId="0" borderId="98" applyNumberFormat="0" applyFill="0" applyAlignment="0" applyProtection="0"/>
    <xf numFmtId="0" fontId="250" fillId="0" borderId="96" applyNumberFormat="0" applyFill="0" applyAlignment="0" applyProtection="0"/>
    <xf numFmtId="0" fontId="250" fillId="0" borderId="96" applyNumberFormat="0" applyFill="0" applyAlignment="0" applyProtection="0"/>
    <xf numFmtId="0" fontId="250" fillId="0" borderId="96" applyNumberFormat="0" applyFill="0" applyAlignment="0" applyProtection="0"/>
    <xf numFmtId="0" fontId="250" fillId="0" borderId="96" applyNumberFormat="0" applyFill="0" applyAlignment="0" applyProtection="0"/>
    <xf numFmtId="0" fontId="250" fillId="0" borderId="96" applyNumberFormat="0" applyFill="0" applyAlignment="0" applyProtection="0"/>
    <xf numFmtId="0" fontId="250" fillId="0" borderId="96" applyNumberFormat="0" applyFill="0" applyAlignment="0" applyProtection="0"/>
    <xf numFmtId="0" fontId="250" fillId="0" borderId="96" applyNumberFormat="0" applyFill="0" applyAlignment="0" applyProtection="0"/>
    <xf numFmtId="0" fontId="13" fillId="0" borderId="17" applyNumberFormat="0" applyFill="0" applyAlignment="0" applyProtection="0"/>
    <xf numFmtId="0" fontId="253" fillId="0" borderId="96" applyNumberFormat="0" applyFill="0" applyAlignment="0" applyProtection="0"/>
    <xf numFmtId="0" fontId="253" fillId="0" borderId="96" applyNumberFormat="0" applyFill="0" applyAlignment="0" applyProtection="0"/>
    <xf numFmtId="0" fontId="253" fillId="0" borderId="96" applyNumberFormat="0" applyFill="0" applyAlignment="0" applyProtection="0"/>
    <xf numFmtId="0" fontId="253" fillId="0" borderId="96" applyNumberFormat="0" applyFill="0" applyAlignment="0" applyProtection="0"/>
    <xf numFmtId="0" fontId="253" fillId="0" borderId="96" applyNumberFormat="0" applyFill="0" applyAlignment="0" applyProtection="0"/>
    <xf numFmtId="0" fontId="253" fillId="0" borderId="96" applyNumberFormat="0" applyFill="0" applyAlignment="0" applyProtection="0"/>
    <xf numFmtId="0" fontId="253" fillId="0" borderId="96" applyNumberFormat="0" applyFill="0" applyAlignment="0" applyProtection="0"/>
    <xf numFmtId="0" fontId="253" fillId="0" borderId="96" applyNumberFormat="0" applyFill="0" applyAlignment="0" applyProtection="0"/>
    <xf numFmtId="0" fontId="253" fillId="0" borderId="96" applyNumberFormat="0" applyFill="0" applyAlignment="0" applyProtection="0"/>
    <xf numFmtId="0" fontId="253" fillId="0" borderId="96" applyNumberFormat="0" applyFill="0" applyAlignment="0" applyProtection="0"/>
    <xf numFmtId="0" fontId="250" fillId="0" borderId="96" applyNumberFormat="0" applyFill="0" applyAlignment="0" applyProtection="0"/>
    <xf numFmtId="0" fontId="253" fillId="0" borderId="96" applyNumberFormat="0" applyFill="0" applyAlignment="0" applyProtection="0"/>
    <xf numFmtId="0" fontId="253" fillId="0" borderId="96" applyNumberFormat="0" applyFill="0" applyAlignment="0" applyProtection="0"/>
    <xf numFmtId="0" fontId="253" fillId="0" borderId="96" applyNumberFormat="0" applyFill="0" applyAlignment="0" applyProtection="0"/>
    <xf numFmtId="0" fontId="253" fillId="0" borderId="96" applyNumberFormat="0" applyFill="0" applyAlignment="0" applyProtection="0"/>
    <xf numFmtId="0" fontId="253" fillId="0" borderId="96" applyNumberFormat="0" applyFill="0" applyAlignment="0" applyProtection="0"/>
    <xf numFmtId="0" fontId="253" fillId="0" borderId="96" applyNumberFormat="0" applyFill="0" applyAlignment="0" applyProtection="0"/>
    <xf numFmtId="0" fontId="253" fillId="0" borderId="96" applyNumberFormat="0" applyFill="0" applyAlignment="0" applyProtection="0"/>
    <xf numFmtId="0" fontId="253" fillId="0" borderId="96" applyNumberFormat="0" applyFill="0" applyAlignment="0" applyProtection="0"/>
    <xf numFmtId="0" fontId="253" fillId="0" borderId="96" applyNumberFormat="0" applyFill="0" applyAlignment="0" applyProtection="0"/>
    <xf numFmtId="0" fontId="253" fillId="0" borderId="96" applyNumberFormat="0" applyFill="0" applyAlignment="0" applyProtection="0"/>
    <xf numFmtId="0" fontId="250" fillId="0" borderId="96" applyNumberFormat="0" applyFill="0" applyAlignment="0" applyProtection="0"/>
    <xf numFmtId="0" fontId="253" fillId="0" borderId="96" applyNumberFormat="0" applyFill="0" applyAlignment="0" applyProtection="0"/>
    <xf numFmtId="0" fontId="253" fillId="0" borderId="96" applyNumberFormat="0" applyFill="0" applyAlignment="0" applyProtection="0"/>
    <xf numFmtId="0" fontId="252" fillId="0" borderId="98" applyNumberFormat="0" applyFill="0" applyAlignment="0" applyProtection="0"/>
    <xf numFmtId="0" fontId="252" fillId="0" borderId="98" applyNumberFormat="0" applyFill="0" applyAlignment="0" applyProtection="0"/>
    <xf numFmtId="0" fontId="250" fillId="0" borderId="96" applyNumberFormat="0" applyFill="0" applyAlignment="0" applyProtection="0"/>
    <xf numFmtId="0" fontId="250" fillId="0" borderId="96" applyNumberFormat="0" applyFill="0" applyAlignment="0" applyProtection="0"/>
    <xf numFmtId="0" fontId="250" fillId="0" borderId="96" applyNumberFormat="0" applyFill="0" applyAlignment="0" applyProtection="0"/>
    <xf numFmtId="0" fontId="250" fillId="0" borderId="96" applyNumberFormat="0" applyFill="0" applyAlignment="0" applyProtection="0"/>
    <xf numFmtId="0" fontId="252" fillId="0" borderId="98" applyNumberFormat="0" applyFill="0" applyAlignment="0" applyProtection="0"/>
    <xf numFmtId="0" fontId="252" fillId="0" borderId="98" applyNumberFormat="0" applyFill="0" applyAlignment="0" applyProtection="0"/>
    <xf numFmtId="0" fontId="253" fillId="0" borderId="96" applyNumberFormat="0" applyFill="0" applyAlignment="0" applyProtection="0"/>
    <xf numFmtId="0" fontId="250" fillId="0" borderId="96" applyNumberFormat="0" applyFill="0" applyAlignment="0" applyProtection="0"/>
    <xf numFmtId="0" fontId="250" fillId="0" borderId="96" applyNumberFormat="0" applyFill="0" applyAlignment="0" applyProtection="0"/>
    <xf numFmtId="0" fontId="250" fillId="0" borderId="96" applyNumberFormat="0" applyFill="0" applyAlignment="0" applyProtection="0"/>
    <xf numFmtId="0" fontId="250" fillId="0" borderId="96" applyNumberFormat="0" applyFill="0" applyAlignment="0" applyProtection="0"/>
    <xf numFmtId="0" fontId="250" fillId="0" borderId="96" applyNumberFormat="0" applyFill="0" applyAlignment="0" applyProtection="0"/>
    <xf numFmtId="0" fontId="250" fillId="0" borderId="96" applyNumberFormat="0" applyFill="0" applyAlignment="0" applyProtection="0"/>
    <xf numFmtId="0" fontId="250" fillId="0" borderId="96" applyNumberFormat="0" applyFill="0" applyAlignment="0" applyProtection="0"/>
    <xf numFmtId="0" fontId="250" fillId="0" borderId="96" applyNumberFormat="0" applyFill="0" applyAlignment="0" applyProtection="0"/>
    <xf numFmtId="0" fontId="250" fillId="0" borderId="96" applyNumberFormat="0" applyFill="0" applyAlignment="0" applyProtection="0"/>
    <xf numFmtId="0" fontId="250" fillId="0" borderId="96" applyNumberFormat="0" applyFill="0" applyAlignment="0" applyProtection="0"/>
    <xf numFmtId="0" fontId="250" fillId="0" borderId="96" applyNumberFormat="0" applyFill="0" applyAlignment="0" applyProtection="0"/>
    <xf numFmtId="0" fontId="250" fillId="0" borderId="96" applyNumberFormat="0" applyFill="0" applyAlignment="0" applyProtection="0"/>
    <xf numFmtId="0" fontId="250" fillId="0" borderId="96" applyNumberFormat="0" applyFill="0" applyAlignment="0" applyProtection="0"/>
    <xf numFmtId="0" fontId="250" fillId="0" borderId="96" applyNumberFormat="0" applyFill="0" applyAlignment="0" applyProtection="0"/>
    <xf numFmtId="0" fontId="10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0" fontId="345" fillId="0" borderId="0" applyNumberFormat="0" applyFill="0" applyBorder="0" applyAlignment="0" applyProtection="0"/>
    <xf numFmtId="341" fontId="249" fillId="0" borderId="0">
      <protection locked="0"/>
    </xf>
    <xf numFmtId="341" fontId="249" fillId="0" borderId="0">
      <protection locked="0"/>
    </xf>
    <xf numFmtId="3" fontId="187" fillId="114" borderId="6">
      <alignment horizontal="center" vertical="center"/>
    </xf>
    <xf numFmtId="3" fontId="349" fillId="177" borderId="0">
      <alignment horizontal="left"/>
    </xf>
    <xf numFmtId="0" fontId="166" fillId="73" borderId="2"/>
    <xf numFmtId="0" fontId="36" fillId="119" borderId="0" applyBorder="0"/>
    <xf numFmtId="0" fontId="315" fillId="0" borderId="99" applyNumberFormat="0" applyFill="0" applyAlignment="0" applyProtection="0"/>
    <xf numFmtId="0" fontId="315" fillId="0" borderId="99" applyNumberFormat="0" applyFill="0" applyAlignment="0" applyProtection="0"/>
    <xf numFmtId="0" fontId="248" fillId="0" borderId="100" applyNumberFormat="0" applyFill="0" applyAlignment="0" applyProtection="0"/>
    <xf numFmtId="0" fontId="315" fillId="0" borderId="99" applyNumberFormat="0" applyFill="0" applyAlignment="0" applyProtection="0"/>
    <xf numFmtId="0" fontId="248" fillId="0" borderId="101" applyNumberFormat="0" applyFill="0" applyAlignment="0" applyProtection="0"/>
    <xf numFmtId="0" fontId="248" fillId="0" borderId="101" applyNumberFormat="0" applyFill="0" applyAlignment="0" applyProtection="0"/>
    <xf numFmtId="0" fontId="248" fillId="0" borderId="99" applyNumberFormat="0" applyFill="0" applyAlignment="0" applyProtection="0"/>
    <xf numFmtId="0" fontId="248" fillId="0" borderId="99" applyNumberFormat="0" applyFill="0" applyAlignment="0" applyProtection="0"/>
    <xf numFmtId="0" fontId="248" fillId="0" borderId="99" applyNumberFormat="0" applyFill="0" applyAlignment="0" applyProtection="0"/>
    <xf numFmtId="0" fontId="248" fillId="0" borderId="99" applyNumberFormat="0" applyFill="0" applyAlignment="0" applyProtection="0"/>
    <xf numFmtId="0" fontId="248" fillId="0" borderId="99" applyNumberFormat="0" applyFill="0" applyAlignment="0" applyProtection="0"/>
    <xf numFmtId="0" fontId="248" fillId="0" borderId="99" applyNumberFormat="0" applyFill="0" applyAlignment="0" applyProtection="0"/>
    <xf numFmtId="0" fontId="248" fillId="0" borderId="99" applyNumberFormat="0" applyFill="0" applyAlignment="0" applyProtection="0"/>
    <xf numFmtId="0" fontId="315" fillId="0" borderId="99" applyNumberFormat="0" applyFill="0" applyAlignment="0" applyProtection="0"/>
    <xf numFmtId="0" fontId="248" fillId="0" borderId="99" applyNumberFormat="0" applyFill="0" applyAlignment="0" applyProtection="0"/>
    <xf numFmtId="0" fontId="248" fillId="0" borderId="99" applyNumberFormat="0" applyFill="0" applyAlignment="0" applyProtection="0"/>
    <xf numFmtId="0" fontId="248" fillId="0" borderId="99" applyNumberFormat="0" applyFill="0" applyAlignment="0" applyProtection="0"/>
    <xf numFmtId="0" fontId="248" fillId="0" borderId="99" applyNumberFormat="0" applyFill="0" applyAlignment="0" applyProtection="0"/>
    <xf numFmtId="0" fontId="248" fillId="0" borderId="99" applyNumberFormat="0" applyFill="0" applyAlignment="0" applyProtection="0"/>
    <xf numFmtId="0" fontId="248" fillId="0" borderId="99" applyNumberFormat="0" applyFill="0" applyAlignment="0" applyProtection="0"/>
    <xf numFmtId="0" fontId="248" fillId="0" borderId="99" applyNumberFormat="0" applyFill="0" applyAlignment="0" applyProtection="0"/>
    <xf numFmtId="0" fontId="248" fillId="0" borderId="99" applyNumberFormat="0" applyFill="0" applyAlignment="0" applyProtection="0"/>
    <xf numFmtId="0" fontId="248" fillId="0" borderId="99" applyNumberFormat="0" applyFill="0" applyAlignment="0" applyProtection="0"/>
    <xf numFmtId="0" fontId="248" fillId="0" borderId="99" applyNumberFormat="0" applyFill="0" applyAlignment="0" applyProtection="0"/>
    <xf numFmtId="0" fontId="315" fillId="0" borderId="99" applyNumberFormat="0" applyFill="0" applyAlignment="0" applyProtection="0"/>
    <xf numFmtId="0" fontId="248" fillId="0" borderId="99" applyNumberFormat="0" applyFill="0" applyAlignment="0" applyProtection="0"/>
    <xf numFmtId="0" fontId="248" fillId="0" borderId="99" applyNumberFormat="0" applyFill="0" applyAlignment="0" applyProtection="0"/>
    <xf numFmtId="0" fontId="248" fillId="0" borderId="99" applyNumberFormat="0" applyFill="0" applyAlignment="0" applyProtection="0"/>
    <xf numFmtId="0" fontId="248" fillId="0" borderId="99" applyNumberFormat="0" applyFill="0" applyAlignment="0" applyProtection="0"/>
    <xf numFmtId="0" fontId="248" fillId="0" borderId="99" applyNumberFormat="0" applyFill="0" applyAlignment="0" applyProtection="0"/>
    <xf numFmtId="0" fontId="248" fillId="0" borderId="99" applyNumberFormat="0" applyFill="0" applyAlignment="0" applyProtection="0"/>
    <xf numFmtId="0" fontId="248" fillId="0" borderId="101" applyNumberFormat="0" applyFill="0" applyAlignment="0" applyProtection="0"/>
    <xf numFmtId="0" fontId="248" fillId="0" borderId="101" applyNumberFormat="0" applyFill="0" applyAlignment="0" applyProtection="0"/>
    <xf numFmtId="0" fontId="315" fillId="0" borderId="99" applyNumberFormat="0" applyFill="0" applyAlignment="0" applyProtection="0"/>
    <xf numFmtId="0" fontId="315" fillId="0" borderId="99" applyNumberFormat="0" applyFill="0" applyAlignment="0" applyProtection="0"/>
    <xf numFmtId="0" fontId="315" fillId="0" borderId="99" applyNumberFormat="0" applyFill="0" applyAlignment="0" applyProtection="0"/>
    <xf numFmtId="0" fontId="315" fillId="0" borderId="99" applyNumberFormat="0" applyFill="0" applyAlignment="0" applyProtection="0"/>
    <xf numFmtId="0" fontId="315" fillId="0" borderId="99" applyNumberFormat="0" applyFill="0" applyAlignment="0" applyProtection="0"/>
    <xf numFmtId="0" fontId="315" fillId="0" borderId="99" applyNumberFormat="0" applyFill="0" applyAlignment="0" applyProtection="0"/>
    <xf numFmtId="0" fontId="315" fillId="0" borderId="99" applyNumberFormat="0" applyFill="0" applyAlignment="0" applyProtection="0"/>
    <xf numFmtId="0" fontId="24" fillId="0" borderId="23" applyNumberFormat="0" applyFill="0" applyAlignment="0" applyProtection="0"/>
    <xf numFmtId="0" fontId="248" fillId="0" borderId="99" applyNumberFormat="0" applyFill="0" applyAlignment="0" applyProtection="0"/>
    <xf numFmtId="0" fontId="248" fillId="0" borderId="99" applyNumberFormat="0" applyFill="0" applyAlignment="0" applyProtection="0"/>
    <xf numFmtId="0" fontId="248" fillId="0" borderId="99" applyNumberFormat="0" applyFill="0" applyAlignment="0" applyProtection="0"/>
    <xf numFmtId="0" fontId="248" fillId="0" borderId="99" applyNumberFormat="0" applyFill="0" applyAlignment="0" applyProtection="0"/>
    <xf numFmtId="0" fontId="248" fillId="0" borderId="99" applyNumberFormat="0" applyFill="0" applyAlignment="0" applyProtection="0"/>
    <xf numFmtId="0" fontId="248" fillId="0" borderId="99" applyNumberFormat="0" applyFill="0" applyAlignment="0" applyProtection="0"/>
    <xf numFmtId="0" fontId="248" fillId="0" borderId="99" applyNumberFormat="0" applyFill="0" applyAlignment="0" applyProtection="0"/>
    <xf numFmtId="0" fontId="248" fillId="0" borderId="99" applyNumberFormat="0" applyFill="0" applyAlignment="0" applyProtection="0"/>
    <xf numFmtId="0" fontId="248" fillId="0" borderId="99" applyNumberFormat="0" applyFill="0" applyAlignment="0" applyProtection="0"/>
    <xf numFmtId="0" fontId="248" fillId="0" borderId="99" applyNumberFormat="0" applyFill="0" applyAlignment="0" applyProtection="0"/>
    <xf numFmtId="0" fontId="315" fillId="0" borderId="99" applyNumberFormat="0" applyFill="0" applyAlignment="0" applyProtection="0"/>
    <xf numFmtId="0" fontId="248" fillId="0" borderId="99" applyNumberFormat="0" applyFill="0" applyAlignment="0" applyProtection="0"/>
    <xf numFmtId="0" fontId="248" fillId="0" borderId="99" applyNumberFormat="0" applyFill="0" applyAlignment="0" applyProtection="0"/>
    <xf numFmtId="0" fontId="248" fillId="0" borderId="99" applyNumberFormat="0" applyFill="0" applyAlignment="0" applyProtection="0"/>
    <xf numFmtId="0" fontId="248" fillId="0" borderId="99" applyNumberFormat="0" applyFill="0" applyAlignment="0" applyProtection="0"/>
    <xf numFmtId="0" fontId="248" fillId="0" borderId="99" applyNumberFormat="0" applyFill="0" applyAlignment="0" applyProtection="0"/>
    <xf numFmtId="0" fontId="248" fillId="0" borderId="99" applyNumberFormat="0" applyFill="0" applyAlignment="0" applyProtection="0"/>
    <xf numFmtId="0" fontId="248" fillId="0" borderId="99" applyNumberFormat="0" applyFill="0" applyAlignment="0" applyProtection="0"/>
    <xf numFmtId="0" fontId="248" fillId="0" borderId="99" applyNumberFormat="0" applyFill="0" applyAlignment="0" applyProtection="0"/>
    <xf numFmtId="0" fontId="248" fillId="0" borderId="99" applyNumberFormat="0" applyFill="0" applyAlignment="0" applyProtection="0"/>
    <xf numFmtId="0" fontId="248" fillId="0" borderId="99" applyNumberFormat="0" applyFill="0" applyAlignment="0" applyProtection="0"/>
    <xf numFmtId="0" fontId="315" fillId="0" borderId="99" applyNumberFormat="0" applyFill="0" applyAlignment="0" applyProtection="0"/>
    <xf numFmtId="0" fontId="248" fillId="0" borderId="99" applyNumberFormat="0" applyFill="0" applyAlignment="0" applyProtection="0"/>
    <xf numFmtId="0" fontId="248" fillId="0" borderId="99" applyNumberFormat="0" applyFill="0" applyAlignment="0" applyProtection="0"/>
    <xf numFmtId="0" fontId="248" fillId="0" borderId="101" applyNumberFormat="0" applyFill="0" applyAlignment="0" applyProtection="0"/>
    <xf numFmtId="0" fontId="248" fillId="0" borderId="101" applyNumberFormat="0" applyFill="0" applyAlignment="0" applyProtection="0"/>
    <xf numFmtId="0" fontId="315" fillId="0" borderId="99" applyNumberFormat="0" applyFill="0" applyAlignment="0" applyProtection="0"/>
    <xf numFmtId="0" fontId="315" fillId="0" borderId="99" applyNumberFormat="0" applyFill="0" applyAlignment="0" applyProtection="0"/>
    <xf numFmtId="0" fontId="315" fillId="0" borderId="99" applyNumberFormat="0" applyFill="0" applyAlignment="0" applyProtection="0"/>
    <xf numFmtId="0" fontId="315" fillId="0" borderId="99" applyNumberFormat="0" applyFill="0" applyAlignment="0" applyProtection="0"/>
    <xf numFmtId="0" fontId="248" fillId="0" borderId="101" applyNumberFormat="0" applyFill="0" applyAlignment="0" applyProtection="0"/>
    <xf numFmtId="0" fontId="248" fillId="0" borderId="101" applyNumberFormat="0" applyFill="0" applyAlignment="0" applyProtection="0"/>
    <xf numFmtId="0" fontId="248" fillId="0" borderId="99" applyNumberFormat="0" applyFill="0" applyAlignment="0" applyProtection="0"/>
    <xf numFmtId="0" fontId="315" fillId="0" borderId="99" applyNumberFormat="0" applyFill="0" applyAlignment="0" applyProtection="0"/>
    <xf numFmtId="0" fontId="315" fillId="0" borderId="99" applyNumberFormat="0" applyFill="0" applyAlignment="0" applyProtection="0"/>
    <xf numFmtId="0" fontId="315" fillId="0" borderId="99" applyNumberFormat="0" applyFill="0" applyAlignment="0" applyProtection="0"/>
    <xf numFmtId="0" fontId="315" fillId="0" borderId="99" applyNumberFormat="0" applyFill="0" applyAlignment="0" applyProtection="0"/>
    <xf numFmtId="0" fontId="315" fillId="0" borderId="99" applyNumberFormat="0" applyFill="0" applyAlignment="0" applyProtection="0"/>
    <xf numFmtId="0" fontId="315" fillId="0" borderId="99" applyNumberFormat="0" applyFill="0" applyAlignment="0" applyProtection="0"/>
    <xf numFmtId="0" fontId="315" fillId="0" borderId="99" applyNumberFormat="0" applyFill="0" applyAlignment="0" applyProtection="0"/>
    <xf numFmtId="0" fontId="315" fillId="0" borderId="99" applyNumberFormat="0" applyFill="0" applyAlignment="0" applyProtection="0"/>
    <xf numFmtId="0" fontId="315" fillId="0" borderId="99" applyNumberFormat="0" applyFill="0" applyAlignment="0" applyProtection="0"/>
    <xf numFmtId="0" fontId="315" fillId="0" borderId="99" applyNumberFormat="0" applyFill="0" applyAlignment="0" applyProtection="0"/>
    <xf numFmtId="0" fontId="315" fillId="0" borderId="99" applyNumberFormat="0" applyFill="0" applyAlignment="0" applyProtection="0"/>
    <xf numFmtId="0" fontId="315" fillId="0" borderId="99" applyNumberFormat="0" applyFill="0" applyAlignment="0" applyProtection="0"/>
    <xf numFmtId="0" fontId="315" fillId="0" borderId="99" applyNumberFormat="0" applyFill="0" applyAlignment="0" applyProtection="0"/>
    <xf numFmtId="0" fontId="315" fillId="0" borderId="99" applyNumberFormat="0" applyFill="0" applyAlignment="0" applyProtection="0"/>
    <xf numFmtId="0" fontId="350" fillId="0" borderId="0">
      <alignment horizontal="fill"/>
    </xf>
    <xf numFmtId="182" fontId="299" fillId="114" borderId="30" applyNumberFormat="0" applyBorder="0">
      <protection locked="0"/>
    </xf>
    <xf numFmtId="4" fontId="351" fillId="0" borderId="66"/>
    <xf numFmtId="344" fontId="44" fillId="0" borderId="0" applyFont="0" applyFill="0" applyBorder="0" applyAlignment="0" applyProtection="0"/>
    <xf numFmtId="344" fontId="44" fillId="0" borderId="0" applyFont="0" applyFill="0" applyBorder="0" applyAlignment="0" applyProtection="0"/>
    <xf numFmtId="345" fontId="63" fillId="0" borderId="0" applyFont="0" applyFill="0" applyBorder="0" applyAlignment="0" applyProtection="0"/>
    <xf numFmtId="346" fontId="247" fillId="0" borderId="0" applyFont="0" applyFill="0" applyBorder="0" applyAlignment="0" applyProtection="0"/>
    <xf numFmtId="0" fontId="22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40" fillId="114" borderId="43" applyNumberFormat="0" applyFont="0" applyAlignment="0" applyProtection="0">
      <protection locked="0"/>
    </xf>
    <xf numFmtId="347" fontId="352" fillId="44" borderId="0">
      <alignment horizontal="center"/>
    </xf>
    <xf numFmtId="348" fontId="44" fillId="0" borderId="0" applyNumberFormat="0" applyFont="0" applyFill="0" applyBorder="0" applyProtection="0">
      <alignment vertical="top" wrapText="1"/>
    </xf>
    <xf numFmtId="178" fontId="353" fillId="0" borderId="0" applyFont="0" applyFill="0" applyBorder="0" applyAlignment="0" applyProtection="0"/>
    <xf numFmtId="168" fontId="353" fillId="0" borderId="0" applyFont="0" applyFill="0" applyBorder="0" applyAlignment="0" applyProtection="0"/>
    <xf numFmtId="349" fontId="353" fillId="0" borderId="0" applyFont="0" applyFill="0" applyBorder="0" applyAlignment="0" applyProtection="0"/>
    <xf numFmtId="350" fontId="353" fillId="0" borderId="0" applyFont="0" applyFill="0" applyBorder="0" applyAlignment="0" applyProtection="0"/>
    <xf numFmtId="0" fontId="353" fillId="0" borderId="0"/>
    <xf numFmtId="0" fontId="8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288" fillId="0" borderId="0"/>
    <xf numFmtId="0" fontId="288" fillId="0" borderId="0"/>
    <xf numFmtId="0" fontId="288" fillId="0" borderId="0"/>
    <xf numFmtId="0" fontId="288" fillId="0" borderId="0"/>
    <xf numFmtId="0" fontId="288" fillId="0" borderId="0"/>
    <xf numFmtId="0" fontId="288" fillId="0" borderId="0"/>
    <xf numFmtId="0" fontId="288" fillId="0" borderId="0"/>
    <xf numFmtId="0" fontId="288" fillId="0" borderId="0"/>
    <xf numFmtId="0" fontId="288" fillId="0" borderId="0"/>
    <xf numFmtId="0" fontId="288" fillId="0" borderId="0"/>
    <xf numFmtId="0" fontId="8" fillId="0" borderId="0"/>
    <xf numFmtId="0" fontId="293" fillId="0" borderId="0"/>
    <xf numFmtId="168" fontId="293" fillId="0" borderId="0" applyFont="0" applyFill="0" applyBorder="0" applyAlignment="0" applyProtection="0"/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168" fontId="293" fillId="0" borderId="0" applyFont="0" applyFill="0" applyBorder="0" applyAlignment="0" applyProtection="0"/>
    <xf numFmtId="168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0" fontId="230" fillId="0" borderId="0">
      <alignment vertical="center"/>
    </xf>
    <xf numFmtId="168" fontId="9" fillId="0" borderId="0" applyFont="0" applyFill="0" applyBorder="0" applyAlignment="0" applyProtection="0"/>
    <xf numFmtId="183" fontId="105" fillId="0" borderId="0" applyFont="0" applyFill="0" applyBorder="0" applyAlignment="0" applyProtection="0"/>
    <xf numFmtId="0" fontId="64" fillId="0" borderId="0">
      <alignment vertical="top"/>
    </xf>
    <xf numFmtId="168" fontId="354" fillId="0" borderId="0" applyFont="0" applyFill="0" applyBorder="0" applyAlignment="0" applyProtection="0"/>
    <xf numFmtId="0" fontId="9" fillId="0" borderId="0"/>
    <xf numFmtId="0" fontId="354" fillId="178" borderId="0" applyNumberFormat="0" applyFont="0" applyFill="0" applyBorder="0" applyAlignment="0" applyProtection="0">
      <alignment horizontal="left" vertical="top" wrapText="1"/>
    </xf>
    <xf numFmtId="0" fontId="238" fillId="0" borderId="0"/>
    <xf numFmtId="168" fontId="238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105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" fontId="6" fillId="82" borderId="67" applyNumberFormat="0" applyProtection="0">
      <alignment horizontal="left" vertical="center" indent="1"/>
    </xf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3" fontId="9" fillId="0" borderId="0" applyFont="0" applyFill="0" applyBorder="0" applyAlignment="0" applyProtection="0"/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4" fontId="6" fillId="82" borderId="67" applyNumberFormat="0" applyProtection="0">
      <alignment horizontal="left" vertical="center" indent="1"/>
    </xf>
    <xf numFmtId="168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216" fillId="0" borderId="0" applyNumberFormat="0" applyFill="0" applyBorder="0" applyAlignment="0" applyProtection="0">
      <alignment vertical="top"/>
      <protection locked="0"/>
    </xf>
    <xf numFmtId="0" fontId="8" fillId="0" borderId="0"/>
    <xf numFmtId="168" fontId="9" fillId="0" borderId="0" applyFont="0" applyFill="0" applyBorder="0" applyAlignment="0" applyProtection="0"/>
    <xf numFmtId="0" fontId="9" fillId="0" borderId="0"/>
    <xf numFmtId="0" fontId="354" fillId="178" borderId="0" applyNumberFormat="0" applyFont="0" applyFill="0" applyBorder="0" applyAlignment="0" applyProtection="0">
      <alignment horizontal="left" vertical="top" wrapText="1"/>
    </xf>
    <xf numFmtId="167" fontId="105" fillId="0" borderId="0" applyFont="0" applyFill="0" applyBorder="0" applyAlignment="0" applyProtection="0"/>
    <xf numFmtId="168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8" fontId="293" fillId="0" borderId="0" applyFont="0" applyFill="0" applyBorder="0" applyAlignment="0" applyProtection="0"/>
    <xf numFmtId="168" fontId="293" fillId="0" borderId="0" applyFont="0" applyFill="0" applyBorder="0" applyAlignment="0" applyProtection="0"/>
    <xf numFmtId="168" fontId="293" fillId="0" borderId="0" applyFont="0" applyFill="0" applyBorder="0" applyAlignment="0" applyProtection="0"/>
    <xf numFmtId="168" fontId="293" fillId="0" borderId="0" applyFont="0" applyFill="0" applyBorder="0" applyAlignment="0" applyProtection="0"/>
    <xf numFmtId="168" fontId="293" fillId="0" borderId="0" applyFont="0" applyFill="0" applyBorder="0" applyAlignment="0" applyProtection="0"/>
    <xf numFmtId="168" fontId="293" fillId="0" borderId="0" applyFont="0" applyFill="0" applyBorder="0" applyAlignment="0" applyProtection="0"/>
    <xf numFmtId="0" fontId="355" fillId="0" borderId="0"/>
    <xf numFmtId="43" fontId="9" fillId="0" borderId="0" applyFont="0" applyFill="0" applyBorder="0" applyAlignment="0" applyProtection="0"/>
    <xf numFmtId="35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</cellStyleXfs>
  <cellXfs count="497">
    <xf numFmtId="0" fontId="0" fillId="0" borderId="0" xfId="0"/>
    <xf numFmtId="15" fontId="5" fillId="34" borderId="1" xfId="0" applyNumberFormat="1" applyFont="1" applyFill="1" applyBorder="1" applyAlignment="1">
      <alignment horizontal="center" vertical="center"/>
    </xf>
    <xf numFmtId="0" fontId="0" fillId="35" borderId="0" xfId="0" applyFill="1"/>
    <xf numFmtId="0" fontId="3" fillId="35" borderId="1" xfId="0" applyFont="1" applyFill="1" applyBorder="1" applyAlignment="1">
      <alignment horizontal="left" vertical="center"/>
    </xf>
    <xf numFmtId="0" fontId="0" fillId="35" borderId="1" xfId="0" applyFill="1" applyBorder="1"/>
    <xf numFmtId="0" fontId="0" fillId="36" borderId="0" xfId="0" applyFill="1"/>
    <xf numFmtId="0" fontId="0" fillId="35" borderId="1" xfId="0" applyFill="1" applyBorder="1" applyAlignment="1">
      <alignment horizontal="center"/>
    </xf>
    <xf numFmtId="0" fontId="0" fillId="35" borderId="1" xfId="0" applyFill="1" applyBorder="1" applyAlignment="1">
      <alignment horizontal="center" vertical="center"/>
    </xf>
    <xf numFmtId="0" fontId="0" fillId="35" borderId="0" xfId="0" applyFill="1" applyAlignment="1">
      <alignment horizontal="center" vertical="center"/>
    </xf>
    <xf numFmtId="0" fontId="0" fillId="0" borderId="1" xfId="0" applyBorder="1"/>
    <xf numFmtId="0" fontId="2" fillId="2" borderId="1" xfId="0" applyFont="1" applyFill="1" applyBorder="1" applyAlignment="1">
      <alignment horizontal="center" vertical="center" wrapText="1"/>
    </xf>
    <xf numFmtId="1" fontId="5" fillId="34" borderId="1" xfId="0" applyNumberFormat="1" applyFont="1" applyFill="1" applyBorder="1" applyAlignment="1">
      <alignment vertical="center"/>
    </xf>
    <xf numFmtId="15" fontId="5" fillId="34" borderId="1" xfId="0" applyNumberFormat="1" applyFont="1" applyFill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35" borderId="0" xfId="0" applyFill="1" applyAlignment="1">
      <alignment horizontal="center"/>
    </xf>
    <xf numFmtId="1" fontId="5" fillId="0" borderId="1" xfId="0" applyNumberFormat="1" applyFont="1" applyBorder="1" applyAlignment="1">
      <alignment vertical="center"/>
    </xf>
    <xf numFmtId="0" fontId="28" fillId="0" borderId="1" xfId="0" applyFont="1" applyBorder="1" applyAlignment="1">
      <alignment horizontal="center" vertical="center"/>
    </xf>
    <xf numFmtId="0" fontId="0" fillId="35" borderId="5" xfId="0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5" fillId="0" borderId="1" xfId="0" applyNumberFormat="1" applyFont="1" applyBorder="1" applyAlignment="1">
      <alignment horizontal="center" vertical="center"/>
    </xf>
    <xf numFmtId="0" fontId="28" fillId="0" borderId="1" xfId="0" applyFont="1" applyBorder="1" applyAlignment="1">
      <alignment horizontal="center"/>
    </xf>
    <xf numFmtId="15" fontId="5" fillId="0" borderId="1" xfId="0" applyNumberFormat="1" applyFont="1" applyBorder="1" applyAlignment="1">
      <alignment horizontal="center" vertical="center"/>
    </xf>
    <xf numFmtId="15" fontId="5" fillId="0" borderId="1" xfId="0" applyNumberFormat="1" applyFont="1" applyBorder="1" applyAlignment="1">
      <alignment vertical="center"/>
    </xf>
    <xf numFmtId="15" fontId="6" fillId="0" borderId="1" xfId="0" applyNumberFormat="1" applyFont="1" applyBorder="1" applyAlignment="1">
      <alignment horizontal="center" vertical="center"/>
    </xf>
    <xf numFmtId="15" fontId="5" fillId="0" borderId="1" xfId="0" quotePrefix="1" applyNumberFormat="1" applyFont="1" applyBorder="1" applyAlignment="1">
      <alignment horizontal="center" vertical="center"/>
    </xf>
    <xf numFmtId="15" fontId="5" fillId="0" borderId="1" xfId="0" applyNumberFormat="1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35" borderId="6" xfId="0" applyFill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15" fontId="5" fillId="34" borderId="8" xfId="0" applyNumberFormat="1" applyFont="1" applyFill="1" applyBorder="1" applyAlignment="1">
      <alignment horizontal="center" vertical="center"/>
    </xf>
    <xf numFmtId="0" fontId="0" fillId="35" borderId="5" xfId="0" applyFill="1" applyBorder="1" applyAlignment="1">
      <alignment horizontal="center"/>
    </xf>
    <xf numFmtId="0" fontId="0" fillId="35" borderId="0" xfId="0" applyFill="1" applyAlignment="1">
      <alignment horizontal="center" vertical="top"/>
    </xf>
    <xf numFmtId="0" fontId="0" fillId="0" borderId="0" xfId="0" applyAlignment="1">
      <alignment horizontal="center" vertical="top"/>
    </xf>
    <xf numFmtId="0" fontId="5" fillId="0" borderId="1" xfId="0" applyFont="1" applyBorder="1" applyAlignment="1">
      <alignment horizontal="center" vertical="center"/>
    </xf>
    <xf numFmtId="0" fontId="3" fillId="42" borderId="1" xfId="0" applyFont="1" applyFill="1" applyBorder="1" applyAlignment="1">
      <alignment horizontal="left" vertical="center"/>
    </xf>
    <xf numFmtId="0" fontId="0" fillId="42" borderId="1" xfId="0" applyFill="1" applyBorder="1"/>
    <xf numFmtId="0" fontId="0" fillId="42" borderId="0" xfId="0" applyFill="1"/>
    <xf numFmtId="0" fontId="0" fillId="0" borderId="7" xfId="0" applyBorder="1"/>
    <xf numFmtId="2" fontId="5" fillId="0" borderId="1" xfId="0" applyNumberFormat="1" applyFont="1" applyBorder="1" applyAlignment="1">
      <alignment horizontal="center" vertical="center"/>
    </xf>
    <xf numFmtId="168" fontId="5" fillId="0" borderId="1" xfId="0" applyNumberFormat="1" applyFont="1" applyBorder="1" applyAlignment="1">
      <alignment horizontal="center" vertical="center"/>
    </xf>
    <xf numFmtId="14" fontId="5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2" fillId="2" borderId="1" xfId="0" applyFont="1" applyFill="1" applyBorder="1" applyAlignment="1">
      <alignment horizontal="center" vertical="center"/>
    </xf>
    <xf numFmtId="0" fontId="3" fillId="35" borderId="2" xfId="0" applyFont="1" applyFill="1" applyBorder="1" applyAlignment="1">
      <alignment horizontal="left" vertical="center"/>
    </xf>
    <xf numFmtId="0" fontId="0" fillId="35" borderId="7" xfId="0" applyFill="1" applyBorder="1" applyAlignment="1">
      <alignment horizontal="center"/>
    </xf>
    <xf numFmtId="0" fontId="22" fillId="35" borderId="4" xfId="0" applyFont="1" applyFill="1" applyBorder="1"/>
    <xf numFmtId="0" fontId="22" fillId="35" borderId="5" xfId="0" applyFont="1" applyFill="1" applyBorder="1" applyAlignment="1">
      <alignment horizontal="center"/>
    </xf>
    <xf numFmtId="0" fontId="38" fillId="35" borderId="1" xfId="0" applyFont="1" applyFill="1" applyBorder="1" applyAlignment="1">
      <alignment horizontal="left" vertical="center"/>
    </xf>
    <xf numFmtId="0" fontId="22" fillId="35" borderId="1" xfId="0" applyFont="1" applyFill="1" applyBorder="1" applyAlignment="1">
      <alignment horizontal="center"/>
    </xf>
    <xf numFmtId="0" fontId="22" fillId="35" borderId="5" xfId="0" applyFont="1" applyFill="1" applyBorder="1"/>
    <xf numFmtId="0" fontId="22" fillId="35" borderId="1" xfId="0" applyFont="1" applyFill="1" applyBorder="1"/>
    <xf numFmtId="0" fontId="22" fillId="35" borderId="0" xfId="0" applyFont="1" applyFill="1"/>
    <xf numFmtId="0" fontId="29" fillId="35" borderId="0" xfId="0" applyFont="1" applyFill="1"/>
    <xf numFmtId="0" fontId="0" fillId="35" borderId="1" xfId="0" applyFill="1" applyBorder="1" applyAlignment="1">
      <alignment horizontal="left"/>
    </xf>
    <xf numFmtId="1" fontId="5" fillId="0" borderId="1" xfId="0" applyNumberFormat="1" applyFont="1" applyBorder="1" applyAlignment="1">
      <alignment horizontal="center" vertical="center"/>
    </xf>
    <xf numFmtId="0" fontId="0" fillId="35" borderId="7" xfId="0" applyFill="1" applyBorder="1"/>
    <xf numFmtId="0" fontId="0" fillId="35" borderId="0" xfId="0" applyFill="1" applyAlignment="1">
      <alignment horizontal="center" vertical="center" wrapText="1"/>
    </xf>
    <xf numFmtId="0" fontId="0" fillId="0" borderId="9" xfId="0" applyBorder="1"/>
    <xf numFmtId="0" fontId="3" fillId="35" borderId="7" xfId="0" applyFont="1" applyFill="1" applyBorder="1" applyAlignment="1">
      <alignment horizontal="left" vertical="center"/>
    </xf>
    <xf numFmtId="168" fontId="0" fillId="0" borderId="3" xfId="0" applyNumberFormat="1" applyBorder="1" applyAlignment="1">
      <alignment vertical="center"/>
    </xf>
    <xf numFmtId="172" fontId="29" fillId="35" borderId="13" xfId="44" applyNumberFormat="1" applyFont="1" applyFill="1" applyBorder="1"/>
    <xf numFmtId="172" fontId="29" fillId="35" borderId="1" xfId="44" applyNumberFormat="1" applyFont="1" applyFill="1" applyBorder="1"/>
    <xf numFmtId="172" fontId="29" fillId="35" borderId="10" xfId="44" applyNumberFormat="1" applyFont="1" applyFill="1" applyBorder="1"/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21" fillId="179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left"/>
    </xf>
    <xf numFmtId="0" fontId="0" fillId="180" borderId="1" xfId="0" applyFill="1" applyBorder="1"/>
    <xf numFmtId="0" fontId="0" fillId="181" borderId="1" xfId="0" applyFill="1" applyBorder="1" applyAlignment="1">
      <alignment horizontal="left" vertical="center"/>
    </xf>
    <xf numFmtId="0" fontId="24" fillId="181" borderId="1" xfId="0" applyFont="1" applyFill="1" applyBorder="1" applyAlignment="1">
      <alignment horizontal="center" vertical="center"/>
    </xf>
    <xf numFmtId="0" fontId="0" fillId="37" borderId="1" xfId="0" applyFill="1" applyBorder="1" applyAlignment="1">
      <alignment horizontal="left" vertical="center"/>
    </xf>
    <xf numFmtId="0" fontId="24" fillId="37" borderId="1" xfId="0" applyFont="1" applyFill="1" applyBorder="1" applyAlignment="1">
      <alignment horizontal="center" vertical="center"/>
    </xf>
    <xf numFmtId="0" fontId="0" fillId="182" borderId="1" xfId="0" applyFill="1" applyBorder="1" applyAlignment="1">
      <alignment horizontal="left" vertical="center"/>
    </xf>
    <xf numFmtId="0" fontId="24" fillId="182" borderId="1" xfId="0" applyFont="1" applyFill="1" applyBorder="1" applyAlignment="1">
      <alignment horizontal="center" vertical="center"/>
    </xf>
    <xf numFmtId="0" fontId="0" fillId="38" borderId="1" xfId="0" applyFill="1" applyBorder="1" applyAlignment="1">
      <alignment horizontal="left" vertical="center"/>
    </xf>
    <xf numFmtId="0" fontId="24" fillId="38" borderId="1" xfId="0" applyFont="1" applyFill="1" applyBorder="1" applyAlignment="1">
      <alignment horizontal="center" vertical="center"/>
    </xf>
    <xf numFmtId="0" fontId="0" fillId="183" borderId="1" xfId="0" applyFill="1" applyBorder="1"/>
    <xf numFmtId="0" fontId="24" fillId="183" borderId="1" xfId="0" applyFont="1" applyFill="1" applyBorder="1" applyAlignment="1">
      <alignment horizontal="center"/>
    </xf>
    <xf numFmtId="0" fontId="25" fillId="43" borderId="1" xfId="0" applyFont="1" applyFill="1" applyBorder="1" applyAlignment="1">
      <alignment horizontal="center" vertical="center" wrapText="1"/>
    </xf>
    <xf numFmtId="0" fontId="25" fillId="43" borderId="9" xfId="0" applyFont="1" applyFill="1" applyBorder="1" applyAlignment="1">
      <alignment horizontal="center" vertical="center" wrapText="1"/>
    </xf>
    <xf numFmtId="9" fontId="0" fillId="185" borderId="1" xfId="0" applyNumberFormat="1" applyFill="1" applyBorder="1"/>
    <xf numFmtId="0" fontId="25" fillId="41" borderId="1" xfId="0" applyFont="1" applyFill="1" applyBorder="1" applyAlignment="1">
      <alignment horizontal="center" vertical="center" wrapText="1"/>
    </xf>
    <xf numFmtId="0" fontId="24" fillId="184" borderId="1" xfId="0" applyFont="1" applyFill="1" applyBorder="1" applyAlignment="1">
      <alignment horizontal="center" vertical="center"/>
    </xf>
    <xf numFmtId="0" fontId="24" fillId="184" borderId="1" xfId="0" applyFont="1" applyFill="1" applyBorder="1" applyAlignment="1">
      <alignment horizontal="center" vertical="center" wrapText="1"/>
    </xf>
    <xf numFmtId="16" fontId="0" fillId="0" borderId="1" xfId="0" applyNumberFormat="1" applyBorder="1" applyAlignment="1">
      <alignment horizontal="center" vertical="top"/>
    </xf>
    <xf numFmtId="15" fontId="5" fillId="0" borderId="4" xfId="0" applyNumberFormat="1" applyFont="1" applyBorder="1" applyAlignment="1">
      <alignment horizontal="center" vertical="center"/>
    </xf>
    <xf numFmtId="15" fontId="5" fillId="0" borderId="3" xfId="0" applyNumberFormat="1" applyFont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21" fillId="186" borderId="103" xfId="0" applyFont="1" applyFill="1" applyBorder="1"/>
    <xf numFmtId="0" fontId="21" fillId="186" borderId="104" xfId="0" applyFont="1" applyFill="1" applyBorder="1"/>
    <xf numFmtId="0" fontId="21" fillId="186" borderId="105" xfId="0" applyFont="1" applyFill="1" applyBorder="1"/>
    <xf numFmtId="0" fontId="0" fillId="187" borderId="106" xfId="0" applyFill="1" applyBorder="1"/>
    <xf numFmtId="0" fontId="0" fillId="187" borderId="107" xfId="0" applyFill="1" applyBorder="1"/>
    <xf numFmtId="0" fontId="0" fillId="187" borderId="108" xfId="0" applyFill="1" applyBorder="1"/>
    <xf numFmtId="0" fontId="0" fillId="180" borderId="106" xfId="0" applyFill="1" applyBorder="1"/>
    <xf numFmtId="0" fontId="0" fillId="180" borderId="107" xfId="0" applyFill="1" applyBorder="1"/>
    <xf numFmtId="0" fontId="0" fillId="180" borderId="108" xfId="0" applyFill="1" applyBorder="1"/>
    <xf numFmtId="0" fontId="0" fillId="180" borderId="109" xfId="0" applyFill="1" applyBorder="1"/>
    <xf numFmtId="0" fontId="0" fillId="180" borderId="110" xfId="0" applyFill="1" applyBorder="1"/>
    <xf numFmtId="0" fontId="0" fillId="180" borderId="111" xfId="0" applyFill="1" applyBorder="1"/>
    <xf numFmtId="16" fontId="0" fillId="0" borderId="0" xfId="0" applyNumberFormat="1" applyAlignment="1">
      <alignment horizontal="center"/>
    </xf>
    <xf numFmtId="168" fontId="0" fillId="0" borderId="1" xfId="0" applyNumberFormat="1" applyBorder="1"/>
    <xf numFmtId="0" fontId="24" fillId="39" borderId="1" xfId="0" applyFont="1" applyFill="1" applyBorder="1"/>
    <xf numFmtId="0" fontId="24" fillId="39" borderId="1" xfId="0" applyFont="1" applyFill="1" applyBorder="1" applyAlignment="1">
      <alignment horizontal="center"/>
    </xf>
    <xf numFmtId="0" fontId="0" fillId="40" borderId="1" xfId="0" applyFill="1" applyBorder="1" applyAlignment="1">
      <alignment horizontal="center"/>
    </xf>
    <xf numFmtId="0" fontId="5" fillId="34" borderId="8" xfId="0" applyFont="1" applyFill="1" applyBorder="1" applyAlignment="1">
      <alignment horizontal="left" vertical="center"/>
    </xf>
    <xf numFmtId="0" fontId="0" fillId="185" borderId="1" xfId="0" applyFill="1" applyBorder="1" applyAlignment="1">
      <alignment horizontal="center"/>
    </xf>
    <xf numFmtId="0" fontId="32" fillId="0" borderId="0" xfId="0" applyFont="1"/>
    <xf numFmtId="14" fontId="0" fillId="0" borderId="0" xfId="0" applyNumberFormat="1" applyAlignment="1">
      <alignment horizontal="center" vertical="center"/>
    </xf>
    <xf numFmtId="15" fontId="5" fillId="40" borderId="1" xfId="0" applyNumberFormat="1" applyFont="1" applyFill="1" applyBorder="1" applyAlignment="1">
      <alignment horizontal="left" vertical="center"/>
    </xf>
    <xf numFmtId="0" fontId="0" fillId="0" borderId="5" xfId="0" applyBorder="1" applyAlignment="1">
      <alignment vertical="center"/>
    </xf>
    <xf numFmtId="0" fontId="361" fillId="43" borderId="1" xfId="0" applyFont="1" applyFill="1" applyBorder="1" applyAlignment="1">
      <alignment horizontal="center" vertical="center" wrapText="1"/>
    </xf>
    <xf numFmtId="14" fontId="0" fillId="0" borderId="5" xfId="0" applyNumberFormat="1" applyBorder="1"/>
    <xf numFmtId="0" fontId="32" fillId="0" borderId="4" xfId="0" applyFont="1" applyBorder="1"/>
    <xf numFmtId="0" fontId="0" fillId="0" borderId="5" xfId="0" applyBorder="1"/>
    <xf numFmtId="0" fontId="362" fillId="0" borderId="4" xfId="0" applyFont="1" applyBorder="1"/>
    <xf numFmtId="0" fontId="363" fillId="0" borderId="4" xfId="0" applyFont="1" applyBorder="1"/>
    <xf numFmtId="0" fontId="7" fillId="0" borderId="4" xfId="0" applyFont="1" applyBorder="1"/>
    <xf numFmtId="0" fontId="0" fillId="0" borderId="0" xfId="0" applyAlignment="1">
      <alignment horizontal="right" indent="1"/>
    </xf>
    <xf numFmtId="0" fontId="0" fillId="0" borderId="0" xfId="0" applyAlignment="1">
      <alignment horizontal="right"/>
    </xf>
    <xf numFmtId="168" fontId="0" fillId="0" borderId="1" xfId="44" applyFont="1" applyBorder="1" applyAlignment="1">
      <alignment horizontal="center"/>
    </xf>
    <xf numFmtId="0" fontId="9" fillId="0" borderId="0" xfId="0" applyFont="1"/>
    <xf numFmtId="15" fontId="5" fillId="0" borderId="1" xfId="0" applyNumberFormat="1" applyFont="1" applyBorder="1" applyAlignment="1">
      <alignment horizontal="left" vertical="center"/>
    </xf>
    <xf numFmtId="3" fontId="27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14" fontId="5" fillId="0" borderId="4" xfId="0" applyNumberFormat="1" applyFont="1" applyBorder="1" applyAlignment="1">
      <alignment horizontal="center" vertical="center"/>
    </xf>
    <xf numFmtId="16" fontId="6" fillId="0" borderId="1" xfId="0" applyNumberFormat="1" applyFont="1" applyBorder="1" applyAlignment="1">
      <alignment horizontal="center" vertical="center" wrapText="1"/>
    </xf>
    <xf numFmtId="2" fontId="6" fillId="0" borderId="1" xfId="0" quotePrefix="1" applyNumberFormat="1" applyFont="1" applyBorder="1" applyAlignment="1">
      <alignment horizontal="right" vertical="center"/>
    </xf>
    <xf numFmtId="1" fontId="6" fillId="0" borderId="1" xfId="0" applyNumberFormat="1" applyFont="1" applyBorder="1" applyAlignment="1">
      <alignment horizontal="center" vertical="center"/>
    </xf>
    <xf numFmtId="169" fontId="4" fillId="0" borderId="1" xfId="0" applyNumberFormat="1" applyFont="1" applyBorder="1" applyAlignment="1">
      <alignment horizontal="center" vertical="center"/>
    </xf>
    <xf numFmtId="4" fontId="4" fillId="0" borderId="1" xfId="0" applyNumberFormat="1" applyFont="1" applyBorder="1" applyAlignment="1">
      <alignment horizontal="right" vertical="center"/>
    </xf>
    <xf numFmtId="3" fontId="6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14" fontId="365" fillId="0" borderId="1" xfId="0" applyNumberFormat="1" applyFont="1" applyBorder="1" applyAlignment="1">
      <alignment horizontal="center" vertical="center"/>
    </xf>
    <xf numFmtId="169" fontId="4" fillId="0" borderId="9" xfId="0" applyNumberFormat="1" applyFont="1" applyBorder="1" applyAlignment="1">
      <alignment horizontal="center" vertical="center"/>
    </xf>
    <xf numFmtId="4" fontId="4" fillId="0" borderId="9" xfId="0" applyNumberFormat="1" applyFont="1" applyBorder="1" applyAlignment="1">
      <alignment horizontal="right" vertical="center"/>
    </xf>
    <xf numFmtId="15" fontId="5" fillId="0" borderId="9" xfId="0" applyNumberFormat="1" applyFont="1" applyBorder="1" applyAlignment="1">
      <alignment horizontal="center" vertical="center"/>
    </xf>
    <xf numFmtId="14" fontId="5" fillId="0" borderId="9" xfId="0" applyNumberFormat="1" applyFont="1" applyBorder="1" applyAlignment="1">
      <alignment horizontal="center" vertical="center"/>
    </xf>
    <xf numFmtId="15" fontId="5" fillId="0" borderId="9" xfId="0" applyNumberFormat="1" applyFont="1" applyBorder="1" applyAlignment="1">
      <alignment horizontal="center" vertical="center" wrapText="1"/>
    </xf>
    <xf numFmtId="1" fontId="6" fillId="0" borderId="9" xfId="0" applyNumberFormat="1" applyFont="1" applyBorder="1" applyAlignment="1">
      <alignment horizontal="center" vertical="center"/>
    </xf>
    <xf numFmtId="3" fontId="6" fillId="0" borderId="1" xfId="0" quotePrefix="1" applyNumberFormat="1" applyFont="1" applyBorder="1" applyAlignment="1">
      <alignment horizontal="center" vertical="center"/>
    </xf>
    <xf numFmtId="1" fontId="6" fillId="0" borderId="1" xfId="0" quotePrefix="1" applyNumberFormat="1" applyFont="1" applyBorder="1" applyAlignment="1">
      <alignment horizontal="center" vertical="center"/>
    </xf>
    <xf numFmtId="3" fontId="4" fillId="0" borderId="1" xfId="0" applyNumberFormat="1" applyFont="1" applyBorder="1" applyAlignment="1">
      <alignment horizontal="center" vertical="center"/>
    </xf>
    <xf numFmtId="49" fontId="5" fillId="0" borderId="4" xfId="0" applyNumberFormat="1" applyFont="1" applyBorder="1" applyAlignment="1">
      <alignment horizontal="center" vertical="center"/>
    </xf>
    <xf numFmtId="168" fontId="6" fillId="0" borderId="1" xfId="44" quotePrefix="1" applyFont="1" applyFill="1" applyBorder="1" applyAlignment="1" applyProtection="1">
      <alignment horizontal="right" vertical="center"/>
    </xf>
    <xf numFmtId="16" fontId="6" fillId="0" borderId="1" xfId="0" applyNumberFormat="1" applyFont="1" applyBorder="1" applyAlignment="1">
      <alignment horizontal="center" vertical="center"/>
    </xf>
    <xf numFmtId="1" fontId="27" fillId="0" borderId="1" xfId="0" applyNumberFormat="1" applyFont="1" applyBorder="1" applyAlignment="1">
      <alignment horizontal="center" vertical="center"/>
    </xf>
    <xf numFmtId="14" fontId="6" fillId="0" borderId="4" xfId="0" applyNumberFormat="1" applyFont="1" applyBorder="1" applyAlignment="1">
      <alignment horizontal="center" vertical="center"/>
    </xf>
    <xf numFmtId="1" fontId="34" fillId="0" borderId="1" xfId="0" applyNumberFormat="1" applyFont="1" applyBorder="1" applyAlignment="1">
      <alignment horizontal="center" vertical="center"/>
    </xf>
    <xf numFmtId="168" fontId="4" fillId="0" borderId="1" xfId="44" applyFont="1" applyFill="1" applyBorder="1" applyAlignment="1">
      <alignment horizontal="center" vertical="center"/>
    </xf>
    <xf numFmtId="3" fontId="6" fillId="0" borderId="1" xfId="0" applyNumberFormat="1" applyFont="1" applyBorder="1" applyAlignment="1">
      <alignment horizontal="center" vertical="center" wrapText="1"/>
    </xf>
    <xf numFmtId="1" fontId="5" fillId="0" borderId="4" xfId="0" applyNumberFormat="1" applyFont="1" applyBorder="1" applyAlignment="1">
      <alignment horizontal="center" vertical="center"/>
    </xf>
    <xf numFmtId="14" fontId="6" fillId="0" borderId="1" xfId="0" applyNumberFormat="1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68" fontId="6" fillId="0" borderId="1" xfId="44" quotePrefix="1" applyFont="1" applyFill="1" applyBorder="1" applyAlignment="1" applyProtection="1">
      <alignment vertical="center"/>
    </xf>
    <xf numFmtId="16" fontId="6" fillId="0" borderId="7" xfId="0" applyNumberFormat="1" applyFont="1" applyBorder="1" applyAlignment="1">
      <alignment horizontal="center" vertical="center" wrapText="1"/>
    </xf>
    <xf numFmtId="168" fontId="6" fillId="0" borderId="7" xfId="44" quotePrefix="1" applyFont="1" applyFill="1" applyBorder="1" applyAlignment="1" applyProtection="1">
      <alignment vertical="center"/>
    </xf>
    <xf numFmtId="1" fontId="5" fillId="0" borderId="4" xfId="44" applyNumberFormat="1" applyFont="1" applyFill="1" applyBorder="1" applyAlignment="1" applyProtection="1">
      <alignment horizontal="center" vertical="center"/>
    </xf>
    <xf numFmtId="14" fontId="5" fillId="0" borderId="4" xfId="44" applyNumberFormat="1" applyFont="1" applyFill="1" applyBorder="1" applyAlignment="1" applyProtection="1">
      <alignment horizontal="center" vertical="center"/>
    </xf>
    <xf numFmtId="2" fontId="6" fillId="0" borderId="1" xfId="0" quotePrefix="1" applyNumberFormat="1" applyFont="1" applyBorder="1" applyAlignment="1">
      <alignment vertical="center"/>
    </xf>
    <xf numFmtId="15" fontId="31" fillId="0" borderId="1" xfId="0" applyNumberFormat="1" applyFont="1" applyBorder="1" applyAlignment="1">
      <alignment horizontal="center" vertical="center"/>
    </xf>
    <xf numFmtId="4" fontId="4" fillId="0" borderId="1" xfId="0" applyNumberFormat="1" applyFont="1" applyBorder="1" applyAlignment="1">
      <alignment horizontal="center" vertical="center"/>
    </xf>
    <xf numFmtId="1" fontId="31" fillId="0" borderId="1" xfId="0" applyNumberFormat="1" applyFont="1" applyBorder="1" applyAlignment="1">
      <alignment vertical="center"/>
    </xf>
    <xf numFmtId="15" fontId="31" fillId="0" borderId="1" xfId="0" applyNumberFormat="1" applyFont="1" applyBorder="1" applyAlignment="1">
      <alignment vertical="center"/>
    </xf>
    <xf numFmtId="0" fontId="30" fillId="0" borderId="1" xfId="0" applyFont="1" applyBorder="1" applyAlignment="1">
      <alignment horizontal="left" vertical="center"/>
    </xf>
    <xf numFmtId="0" fontId="31" fillId="0" borderId="1" xfId="0" applyFont="1" applyBorder="1" applyAlignment="1">
      <alignment horizontal="center" vertical="center"/>
    </xf>
    <xf numFmtId="15" fontId="31" fillId="0" borderId="1" xfId="0" applyNumberFormat="1" applyFont="1" applyBorder="1" applyAlignment="1">
      <alignment horizontal="left" vertical="center"/>
    </xf>
    <xf numFmtId="15" fontId="31" fillId="0" borderId="4" xfId="0" applyNumberFormat="1" applyFont="1" applyBorder="1" applyAlignment="1">
      <alignment horizontal="center" vertical="center"/>
    </xf>
    <xf numFmtId="14" fontId="31" fillId="0" borderId="4" xfId="0" applyNumberFormat="1" applyFont="1" applyBorder="1" applyAlignment="1">
      <alignment horizontal="center" vertical="center"/>
    </xf>
    <xf numFmtId="16" fontId="31" fillId="0" borderId="1" xfId="0" applyNumberFormat="1" applyFont="1" applyBorder="1" applyAlignment="1">
      <alignment horizontal="center" vertical="center" wrapText="1"/>
    </xf>
    <xf numFmtId="168" fontId="31" fillId="0" borderId="1" xfId="44" quotePrefix="1" applyFont="1" applyFill="1" applyBorder="1" applyAlignment="1" applyProtection="1">
      <alignment horizontal="right" vertical="center"/>
    </xf>
    <xf numFmtId="1" fontId="31" fillId="0" borderId="1" xfId="0" applyNumberFormat="1" applyFont="1" applyBorder="1" applyAlignment="1">
      <alignment horizontal="center" vertical="center"/>
    </xf>
    <xf numFmtId="169" fontId="30" fillId="0" borderId="1" xfId="0" applyNumberFormat="1" applyFont="1" applyBorder="1" applyAlignment="1">
      <alignment horizontal="center" vertical="center"/>
    </xf>
    <xf numFmtId="4" fontId="30" fillId="0" borderId="1" xfId="0" applyNumberFormat="1" applyFont="1" applyBorder="1" applyAlignment="1">
      <alignment horizontal="right" vertical="center"/>
    </xf>
    <xf numFmtId="3" fontId="31" fillId="0" borderId="1" xfId="0" applyNumberFormat="1" applyFont="1" applyBorder="1" applyAlignment="1">
      <alignment horizontal="center" vertical="center"/>
    </xf>
    <xf numFmtId="14" fontId="31" fillId="0" borderId="1" xfId="0" applyNumberFormat="1" applyFont="1" applyBorder="1" applyAlignment="1">
      <alignment horizontal="center" vertical="center"/>
    </xf>
    <xf numFmtId="15" fontId="31" fillId="0" borderId="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/>
    </xf>
    <xf numFmtId="14" fontId="5" fillId="0" borderId="11" xfId="0" applyNumberFormat="1" applyFont="1" applyBorder="1" applyAlignment="1">
      <alignment horizontal="center" vertical="center"/>
    </xf>
    <xf numFmtId="15" fontId="5" fillId="0" borderId="7" xfId="0" applyNumberFormat="1" applyFont="1" applyBorder="1" applyAlignment="1">
      <alignment vertical="center"/>
    </xf>
    <xf numFmtId="15" fontId="6" fillId="0" borderId="1" xfId="0" quotePrefix="1" applyNumberFormat="1" applyFont="1" applyBorder="1" applyAlignment="1">
      <alignment horizontal="center" vertical="center"/>
    </xf>
    <xf numFmtId="17" fontId="6" fillId="0" borderId="1" xfId="0" applyNumberFormat="1" applyFont="1" applyBorder="1" applyAlignment="1">
      <alignment horizontal="center" vertical="center"/>
    </xf>
    <xf numFmtId="15" fontId="6" fillId="0" borderId="1" xfId="0" applyNumberFormat="1" applyFont="1" applyBorder="1" applyAlignment="1">
      <alignment vertical="center"/>
    </xf>
    <xf numFmtId="168" fontId="6" fillId="0" borderId="1" xfId="44" quotePrefix="1" applyFont="1" applyFill="1" applyBorder="1" applyAlignment="1" applyProtection="1">
      <alignment horizontal="center" vertical="center"/>
    </xf>
    <xf numFmtId="0" fontId="5" fillId="0" borderId="1" xfId="0" applyFont="1" applyBorder="1" applyAlignment="1">
      <alignment horizontal="left" vertical="center"/>
    </xf>
    <xf numFmtId="1" fontId="5" fillId="0" borderId="9" xfId="0" applyNumberFormat="1" applyFont="1" applyBorder="1" applyAlignment="1">
      <alignment vertical="center"/>
    </xf>
    <xf numFmtId="15" fontId="5" fillId="0" borderId="9" xfId="0" applyNumberFormat="1" applyFont="1" applyBorder="1" applyAlignment="1">
      <alignment vertical="center"/>
    </xf>
    <xf numFmtId="1" fontId="27" fillId="0" borderId="9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left" vertical="center"/>
    </xf>
    <xf numFmtId="0" fontId="6" fillId="0" borderId="9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15" fontId="5" fillId="0" borderId="9" xfId="0" applyNumberFormat="1" applyFont="1" applyBorder="1" applyAlignment="1">
      <alignment horizontal="left" vertical="center"/>
    </xf>
    <xf numFmtId="1" fontId="5" fillId="0" borderId="11" xfId="0" applyNumberFormat="1" applyFont="1" applyBorder="1" applyAlignment="1">
      <alignment horizontal="center" vertical="center"/>
    </xf>
    <xf numFmtId="15" fontId="5" fillId="0" borderId="11" xfId="0" applyNumberFormat="1" applyFont="1" applyBorder="1" applyAlignment="1">
      <alignment horizontal="center" vertical="center"/>
    </xf>
    <xf numFmtId="16" fontId="6" fillId="0" borderId="9" xfId="0" applyNumberFormat="1" applyFont="1" applyBorder="1" applyAlignment="1">
      <alignment horizontal="center" vertical="center" wrapText="1"/>
    </xf>
    <xf numFmtId="168" fontId="6" fillId="0" borderId="9" xfId="44" quotePrefix="1" applyFont="1" applyFill="1" applyBorder="1" applyAlignment="1" applyProtection="1">
      <alignment horizontal="right" vertical="center"/>
    </xf>
    <xf numFmtId="3" fontId="6" fillId="0" borderId="9" xfId="0" applyNumberFormat="1" applyFont="1" applyBorder="1" applyAlignment="1">
      <alignment horizontal="center" vertical="center"/>
    </xf>
    <xf numFmtId="0" fontId="0" fillId="0" borderId="3" xfId="0" applyBorder="1" applyAlignment="1">
      <alignment vertical="center"/>
    </xf>
    <xf numFmtId="1" fontId="5" fillId="0" borderId="7" xfId="0" applyNumberFormat="1" applyFont="1" applyBorder="1" applyAlignment="1">
      <alignment vertical="center"/>
    </xf>
    <xf numFmtId="1" fontId="27" fillId="0" borderId="7" xfId="0" applyNumberFormat="1" applyFont="1" applyBorder="1" applyAlignment="1">
      <alignment horizontal="center" vertical="center"/>
    </xf>
    <xf numFmtId="0" fontId="4" fillId="0" borderId="7" xfId="0" applyFont="1" applyBorder="1" applyAlignment="1">
      <alignment horizontal="left" vertical="center"/>
    </xf>
    <xf numFmtId="0" fontId="6" fillId="0" borderId="7" xfId="0" applyFont="1" applyBorder="1" applyAlignment="1">
      <alignment horizontal="center" vertical="center"/>
    </xf>
    <xf numFmtId="15" fontId="5" fillId="0" borderId="7" xfId="0" applyNumberFormat="1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15" fontId="5" fillId="0" borderId="7" xfId="0" applyNumberFormat="1" applyFont="1" applyBorder="1" applyAlignment="1">
      <alignment horizontal="left" vertical="center"/>
    </xf>
    <xf numFmtId="15" fontId="5" fillId="0" borderId="8" xfId="0" applyNumberFormat="1" applyFont="1" applyBorder="1" applyAlignment="1">
      <alignment horizontal="center" vertical="center"/>
    </xf>
    <xf numFmtId="14" fontId="5" fillId="0" borderId="8" xfId="0" applyNumberFormat="1" applyFont="1" applyBorder="1" applyAlignment="1">
      <alignment horizontal="center" vertical="center"/>
    </xf>
    <xf numFmtId="168" fontId="6" fillId="0" borderId="7" xfId="44" quotePrefix="1" applyFont="1" applyFill="1" applyBorder="1" applyAlignment="1" applyProtection="1">
      <alignment horizontal="right" vertical="center"/>
    </xf>
    <xf numFmtId="1" fontId="6" fillId="0" borderId="7" xfId="0" applyNumberFormat="1" applyFont="1" applyBorder="1" applyAlignment="1">
      <alignment horizontal="center" vertical="center"/>
    </xf>
    <xf numFmtId="169" fontId="4" fillId="0" borderId="7" xfId="0" applyNumberFormat="1" applyFont="1" applyBorder="1" applyAlignment="1">
      <alignment horizontal="center" vertical="center"/>
    </xf>
    <xf numFmtId="4" fontId="4" fillId="0" borderId="7" xfId="0" applyNumberFormat="1" applyFont="1" applyBorder="1" applyAlignment="1">
      <alignment horizontal="right" vertical="center"/>
    </xf>
    <xf numFmtId="3" fontId="6" fillId="0" borderId="7" xfId="0" applyNumberFormat="1" applyFont="1" applyBorder="1" applyAlignment="1">
      <alignment horizontal="center" vertical="center"/>
    </xf>
    <xf numFmtId="14" fontId="5" fillId="0" borderId="7" xfId="0" applyNumberFormat="1" applyFont="1" applyBorder="1" applyAlignment="1">
      <alignment horizontal="center" vertical="center"/>
    </xf>
    <xf numFmtId="15" fontId="5" fillId="0" borderId="7" xfId="0" applyNumberFormat="1" applyFont="1" applyBorder="1" applyAlignment="1">
      <alignment horizontal="center" vertical="center" wrapText="1"/>
    </xf>
    <xf numFmtId="0" fontId="29" fillId="0" borderId="0" xfId="0" applyFont="1" applyAlignment="1">
      <alignment vertical="center"/>
    </xf>
    <xf numFmtId="1" fontId="6" fillId="0" borderId="1" xfId="0" applyNumberFormat="1" applyFont="1" applyBorder="1" applyAlignment="1">
      <alignment vertical="center"/>
    </xf>
    <xf numFmtId="15" fontId="6" fillId="0" borderId="1" xfId="0" applyNumberFormat="1" applyFont="1" applyBorder="1" applyAlignment="1">
      <alignment horizontal="left" vertical="center"/>
    </xf>
    <xf numFmtId="1" fontId="6" fillId="0" borderId="4" xfId="0" applyNumberFormat="1" applyFont="1" applyBorder="1" applyAlignment="1">
      <alignment horizontal="center" vertical="center"/>
    </xf>
    <xf numFmtId="15" fontId="6" fillId="0" borderId="4" xfId="0" applyNumberFormat="1" applyFont="1" applyBorder="1" applyAlignment="1">
      <alignment horizontal="center" vertical="center"/>
    </xf>
    <xf numFmtId="15" fontId="6" fillId="0" borderId="1" xfId="0" applyNumberFormat="1" applyFont="1" applyBorder="1" applyAlignment="1">
      <alignment horizontal="center" vertical="center" wrapText="1"/>
    </xf>
    <xf numFmtId="0" fontId="29" fillId="0" borderId="1" xfId="0" applyFont="1" applyBorder="1" applyAlignment="1">
      <alignment vertical="center"/>
    </xf>
    <xf numFmtId="168" fontId="5" fillId="0" borderId="1" xfId="44" applyFont="1" applyFill="1" applyBorder="1" applyAlignment="1" applyProtection="1">
      <alignment horizontal="center" vertical="center"/>
    </xf>
    <xf numFmtId="170" fontId="5" fillId="0" borderId="1" xfId="44" applyNumberFormat="1" applyFont="1" applyFill="1" applyBorder="1" applyAlignment="1" applyProtection="1">
      <alignment vertical="center"/>
    </xf>
    <xf numFmtId="15" fontId="30" fillId="0" borderId="1" xfId="0" applyNumberFormat="1" applyFont="1" applyBorder="1" applyAlignment="1">
      <alignment horizontal="center" vertical="center"/>
    </xf>
    <xf numFmtId="14" fontId="5" fillId="0" borderId="1" xfId="0" quotePrefix="1" applyNumberFormat="1" applyFont="1" applyBorder="1" applyAlignment="1">
      <alignment horizontal="center" vertical="center"/>
    </xf>
    <xf numFmtId="16" fontId="6" fillId="0" borderId="3" xfId="0" applyNumberFormat="1" applyFont="1" applyBorder="1" applyAlignment="1">
      <alignment horizontal="center" vertical="center" wrapText="1"/>
    </xf>
    <xf numFmtId="49" fontId="31" fillId="0" borderId="4" xfId="0" applyNumberFormat="1" applyFont="1" applyBorder="1" applyAlignment="1">
      <alignment horizontal="center" vertical="center"/>
    </xf>
    <xf numFmtId="49" fontId="6" fillId="0" borderId="1" xfId="0" applyNumberFormat="1" applyFont="1" applyBorder="1" applyAlignment="1">
      <alignment horizontal="center" vertical="center" wrapText="1"/>
    </xf>
    <xf numFmtId="49" fontId="6" fillId="0" borderId="1" xfId="0" applyNumberFormat="1" applyFont="1" applyBorder="1" applyAlignment="1">
      <alignment horizontal="center" vertical="center"/>
    </xf>
    <xf numFmtId="168" fontId="6" fillId="0" borderId="1" xfId="44" quotePrefix="1" applyFont="1" applyFill="1" applyBorder="1" applyAlignment="1" applyProtection="1">
      <alignment vertical="center" wrapText="1"/>
    </xf>
    <xf numFmtId="170" fontId="6" fillId="0" borderId="1" xfId="44" quotePrefix="1" applyNumberFormat="1" applyFont="1" applyFill="1" applyBorder="1" applyAlignment="1" applyProtection="1">
      <alignment horizontal="right" vertical="center"/>
    </xf>
    <xf numFmtId="49" fontId="6" fillId="0" borderId="4" xfId="0" applyNumberFormat="1" applyFont="1" applyBorder="1" applyAlignment="1">
      <alignment horizontal="center" vertical="center"/>
    </xf>
    <xf numFmtId="171" fontId="6" fillId="0" borderId="1" xfId="44" quotePrefix="1" applyNumberFormat="1" applyFont="1" applyFill="1" applyBorder="1" applyAlignment="1" applyProtection="1">
      <alignment vertical="center"/>
    </xf>
    <xf numFmtId="0" fontId="5" fillId="0" borderId="1" xfId="0" applyFont="1" applyBorder="1" applyAlignment="1">
      <alignment horizontal="right" vertical="center"/>
    </xf>
    <xf numFmtId="171" fontId="6" fillId="0" borderId="1" xfId="44" quotePrefix="1" applyNumberFormat="1" applyFont="1" applyFill="1" applyBorder="1" applyAlignment="1" applyProtection="1">
      <alignment horizontal="right" vertical="center"/>
    </xf>
    <xf numFmtId="49" fontId="6" fillId="0" borderId="1" xfId="0" quotePrefix="1" applyNumberFormat="1" applyFont="1" applyBorder="1" applyAlignment="1">
      <alignment horizontal="center" vertical="center"/>
    </xf>
    <xf numFmtId="168" fontId="4" fillId="0" borderId="1" xfId="0" applyNumberFormat="1" applyFont="1" applyBorder="1" applyAlignment="1">
      <alignment horizontal="right" vertical="center"/>
    </xf>
    <xf numFmtId="168" fontId="6" fillId="0" borderId="1" xfId="0" applyNumberFormat="1" applyFont="1" applyBorder="1" applyAlignment="1">
      <alignment horizontal="right" vertical="center"/>
    </xf>
    <xf numFmtId="173" fontId="0" fillId="0" borderId="0" xfId="0" applyNumberFormat="1" applyAlignment="1">
      <alignment vertical="center"/>
    </xf>
    <xf numFmtId="173" fontId="5" fillId="0" borderId="1" xfId="0" applyNumberFormat="1" applyFont="1" applyBorder="1" applyAlignment="1">
      <alignment horizontal="left" vertical="center"/>
    </xf>
    <xf numFmtId="173" fontId="5" fillId="0" borderId="1" xfId="0" applyNumberFormat="1" applyFont="1" applyBorder="1" applyAlignment="1">
      <alignment vertical="center"/>
    </xf>
    <xf numFmtId="173" fontId="4" fillId="0" borderId="1" xfId="0" applyNumberFormat="1" applyFont="1" applyBorder="1" applyAlignment="1">
      <alignment horizontal="left" vertical="center"/>
    </xf>
    <xf numFmtId="173" fontId="6" fillId="0" borderId="1" xfId="0" applyNumberFormat="1" applyFont="1" applyBorder="1" applyAlignment="1">
      <alignment horizontal="center" vertical="center"/>
    </xf>
    <xf numFmtId="173" fontId="6" fillId="0" borderId="1" xfId="0" applyNumberFormat="1" applyFont="1" applyBorder="1" applyAlignment="1">
      <alignment horizontal="center" vertical="center" wrapText="1"/>
    </xf>
    <xf numFmtId="173" fontId="6" fillId="0" borderId="1" xfId="44" quotePrefix="1" applyNumberFormat="1" applyFont="1" applyFill="1" applyBorder="1" applyAlignment="1" applyProtection="1">
      <alignment horizontal="right" vertical="center"/>
    </xf>
    <xf numFmtId="173" fontId="4" fillId="0" borderId="1" xfId="0" applyNumberFormat="1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right" vertical="center"/>
    </xf>
    <xf numFmtId="173" fontId="5" fillId="0" borderId="1" xfId="0" applyNumberFormat="1" applyFont="1" applyBorder="1" applyAlignment="1">
      <alignment horizontal="center" vertical="center" wrapText="1"/>
    </xf>
    <xf numFmtId="173" fontId="0" fillId="0" borderId="1" xfId="0" applyNumberFormat="1" applyBorder="1" applyAlignment="1">
      <alignment vertical="center"/>
    </xf>
    <xf numFmtId="3" fontId="3" fillId="0" borderId="1" xfId="0" applyNumberFormat="1" applyFont="1" applyBorder="1" applyAlignment="1">
      <alignment horizontal="center" vertical="center"/>
    </xf>
    <xf numFmtId="168" fontId="6" fillId="0" borderId="1" xfId="44" applyFont="1" applyFill="1" applyBorder="1" applyAlignment="1">
      <alignment horizontal="right" vertical="center"/>
    </xf>
    <xf numFmtId="168" fontId="6" fillId="0" borderId="1" xfId="44" applyFont="1" applyFill="1" applyBorder="1" applyAlignment="1">
      <alignment horizontal="center" vertical="center"/>
    </xf>
    <xf numFmtId="168" fontId="6" fillId="0" borderId="1" xfId="0" applyNumberFormat="1" applyFont="1" applyBorder="1" applyAlignment="1">
      <alignment horizontal="center" vertical="center"/>
    </xf>
    <xf numFmtId="170" fontId="6" fillId="0" borderId="1" xfId="0" applyNumberFormat="1" applyFont="1" applyBorder="1" applyAlignment="1">
      <alignment horizontal="right" vertical="center"/>
    </xf>
    <xf numFmtId="49" fontId="5" fillId="0" borderId="3" xfId="0" applyNumberFormat="1" applyFont="1" applyBorder="1" applyAlignment="1">
      <alignment horizontal="center" vertical="center"/>
    </xf>
    <xf numFmtId="0" fontId="0" fillId="0" borderId="1" xfId="0" applyBorder="1" applyAlignment="1" applyProtection="1">
      <alignment vertical="center"/>
      <protection locked="0"/>
    </xf>
    <xf numFmtId="168" fontId="6" fillId="0" borderId="1" xfId="0" quotePrefix="1" applyNumberFormat="1" applyFont="1" applyBorder="1" applyAlignment="1">
      <alignment horizontal="right" vertical="center"/>
    </xf>
    <xf numFmtId="168" fontId="6" fillId="0" borderId="1" xfId="0" applyNumberFormat="1" applyFont="1" applyBorder="1" applyAlignment="1">
      <alignment horizontal="left" vertical="center"/>
    </xf>
    <xf numFmtId="175" fontId="4" fillId="0" borderId="1" xfId="0" applyNumberFormat="1" applyFont="1" applyBorder="1" applyAlignment="1">
      <alignment horizontal="center" vertical="center"/>
    </xf>
    <xf numFmtId="175" fontId="4" fillId="0" borderId="1" xfId="0" applyNumberFormat="1" applyFont="1" applyBorder="1" applyAlignment="1">
      <alignment horizontal="right" vertical="center"/>
    </xf>
    <xf numFmtId="174" fontId="6" fillId="0" borderId="1" xfId="0" applyNumberFormat="1" applyFont="1" applyBorder="1" applyAlignment="1">
      <alignment horizontal="right" vertical="center"/>
    </xf>
    <xf numFmtId="3" fontId="6" fillId="0" borderId="3" xfId="0" applyNumberFormat="1" applyFont="1" applyBorder="1" applyAlignment="1">
      <alignment horizontal="center" vertical="center"/>
    </xf>
    <xf numFmtId="49" fontId="6" fillId="0" borderId="9" xfId="0" applyNumberFormat="1" applyFont="1" applyBorder="1" applyAlignment="1">
      <alignment horizontal="center" vertical="center"/>
    </xf>
    <xf numFmtId="168" fontId="30" fillId="0" borderId="1" xfId="0" applyNumberFormat="1" applyFont="1" applyBorder="1" applyAlignment="1">
      <alignment horizontal="right" vertical="center"/>
    </xf>
    <xf numFmtId="49" fontId="31" fillId="0" borderId="1" xfId="0" applyNumberFormat="1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 vertical="center"/>
    </xf>
    <xf numFmtId="171" fontId="6" fillId="0" borderId="1" xfId="0" applyNumberFormat="1" applyFont="1" applyBorder="1" applyAlignment="1">
      <alignment horizontal="right" vertical="center"/>
    </xf>
    <xf numFmtId="15" fontId="30" fillId="0" borderId="1" xfId="0" applyNumberFormat="1" applyFont="1" applyBorder="1" applyAlignment="1">
      <alignment horizontal="left" vertical="center"/>
    </xf>
    <xf numFmtId="4" fontId="6" fillId="0" borderId="1" xfId="0" applyNumberFormat="1" applyFont="1" applyBorder="1" applyAlignment="1">
      <alignment horizontal="right" vertical="center"/>
    </xf>
    <xf numFmtId="49" fontId="5" fillId="0" borderId="102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 wrapText="1"/>
    </xf>
    <xf numFmtId="336" fontId="4" fillId="0" borderId="1" xfId="0" applyNumberFormat="1" applyFont="1" applyBorder="1" applyAlignment="1">
      <alignment horizontal="right" vertical="center"/>
    </xf>
    <xf numFmtId="176" fontId="6" fillId="0" borderId="1" xfId="0" applyNumberFormat="1" applyFont="1" applyBorder="1" applyAlignment="1">
      <alignment horizontal="center" vertical="center"/>
    </xf>
    <xf numFmtId="1" fontId="9" fillId="0" borderId="3" xfId="0" applyNumberFormat="1" applyFont="1" applyBorder="1" applyAlignment="1">
      <alignment horizontal="center" vertical="top"/>
    </xf>
    <xf numFmtId="168" fontId="6" fillId="0" borderId="1" xfId="0" applyNumberFormat="1" applyFont="1" applyBorder="1" applyAlignment="1">
      <alignment vertical="center"/>
    </xf>
    <xf numFmtId="169" fontId="4" fillId="0" borderId="1" xfId="0" applyNumberFormat="1" applyFont="1" applyBorder="1" applyAlignment="1">
      <alignment horizontal="right" vertical="center"/>
    </xf>
    <xf numFmtId="169" fontId="6" fillId="0" borderId="1" xfId="0" applyNumberFormat="1" applyFont="1" applyBorder="1" applyAlignment="1">
      <alignment horizontal="center" vertical="center"/>
    </xf>
    <xf numFmtId="169" fontId="5" fillId="0" borderId="1" xfId="0" applyNumberFormat="1" applyFont="1" applyBorder="1" applyAlignment="1">
      <alignment horizontal="center" vertical="center"/>
    </xf>
    <xf numFmtId="14" fontId="6" fillId="0" borderId="1" xfId="0" applyNumberFormat="1" applyFont="1" applyBorder="1" applyAlignment="1">
      <alignment horizontal="center" vertical="center" wrapText="1"/>
    </xf>
    <xf numFmtId="14" fontId="6" fillId="0" borderId="4" xfId="0" applyNumberFormat="1" applyFont="1" applyBorder="1" applyAlignment="1">
      <alignment horizontal="center" vertical="center" wrapText="1"/>
    </xf>
    <xf numFmtId="16" fontId="6" fillId="0" borderId="1" xfId="0" applyNumberFormat="1" applyFont="1" applyBorder="1" applyAlignment="1">
      <alignment vertical="center" wrapText="1"/>
    </xf>
    <xf numFmtId="2" fontId="6" fillId="0" borderId="1" xfId="0" applyNumberFormat="1" applyFont="1" applyBorder="1" applyAlignment="1">
      <alignment horizontal="right" vertical="center" wrapText="1"/>
    </xf>
    <xf numFmtId="352" fontId="6" fillId="0" borderId="1" xfId="0" applyNumberFormat="1" applyFont="1" applyBorder="1" applyAlignment="1">
      <alignment vertical="center" wrapText="1"/>
    </xf>
    <xf numFmtId="0" fontId="6" fillId="0" borderId="1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15" fontId="5" fillId="0" borderId="6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14" fontId="0" fillId="0" borderId="1" xfId="0" applyNumberFormat="1" applyBorder="1" applyAlignment="1">
      <alignment horizontal="center" vertical="center"/>
    </xf>
    <xf numFmtId="0" fontId="0" fillId="0" borderId="7" xfId="0" applyBorder="1" applyAlignment="1">
      <alignment vertical="center"/>
    </xf>
    <xf numFmtId="3" fontId="6" fillId="0" borderId="8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1" fontId="6" fillId="0" borderId="1" xfId="0" applyNumberFormat="1" applyFont="1" applyBorder="1" applyAlignment="1">
      <alignment horizontal="center" vertical="center" wrapText="1"/>
    </xf>
    <xf numFmtId="15" fontId="6" fillId="0" borderId="3" xfId="0" applyNumberFormat="1" applyFont="1" applyBorder="1" applyAlignment="1">
      <alignment horizontal="center" vertical="center"/>
    </xf>
    <xf numFmtId="352" fontId="6" fillId="0" borderId="1" xfId="0" applyNumberFormat="1" applyFont="1" applyBorder="1" applyAlignment="1">
      <alignment horizontal="center" vertical="center" wrapText="1"/>
    </xf>
    <xf numFmtId="1" fontId="5" fillId="0" borderId="1" xfId="0" applyNumberFormat="1" applyFont="1" applyBorder="1" applyAlignment="1">
      <alignment horizontal="right" vertical="center"/>
    </xf>
    <xf numFmtId="0" fontId="0" fillId="0" borderId="9" xfId="0" applyBorder="1" applyAlignment="1">
      <alignment vertical="center"/>
    </xf>
    <xf numFmtId="43" fontId="6" fillId="0" borderId="1" xfId="36239" quotePrefix="1" applyFont="1" applyFill="1" applyBorder="1" applyAlignment="1" applyProtection="1">
      <alignment horizontal="right" vertical="center"/>
    </xf>
    <xf numFmtId="353" fontId="6" fillId="0" borderId="1" xfId="0" applyNumberFormat="1" applyFont="1" applyBorder="1" applyAlignment="1">
      <alignment horizontal="right" vertical="center"/>
    </xf>
    <xf numFmtId="168" fontId="0" fillId="0" borderId="0" xfId="0" applyNumberFormat="1" applyAlignment="1">
      <alignment vertical="center"/>
    </xf>
    <xf numFmtId="0" fontId="2" fillId="188" borderId="1" xfId="0" applyFont="1" applyFill="1" applyBorder="1" applyAlignment="1">
      <alignment horizontal="center" vertical="center" wrapText="1"/>
    </xf>
    <xf numFmtId="0" fontId="26" fillId="188" borderId="1" xfId="0" applyFont="1" applyFill="1" applyBorder="1" applyAlignment="1">
      <alignment horizontal="center" vertical="center" wrapText="1"/>
    </xf>
    <xf numFmtId="0" fontId="2" fillId="188" borderId="1" xfId="0" applyFont="1" applyFill="1" applyBorder="1" applyAlignment="1">
      <alignment horizontal="center" vertical="center"/>
    </xf>
    <xf numFmtId="0" fontId="2" fillId="188" borderId="1" xfId="0" applyFont="1" applyFill="1" applyBorder="1" applyAlignment="1">
      <alignment vertical="center" wrapText="1"/>
    </xf>
    <xf numFmtId="0" fontId="2" fillId="188" borderId="4" xfId="0" applyFont="1" applyFill="1" applyBorder="1" applyAlignment="1">
      <alignment horizontal="center" vertical="center" wrapText="1"/>
    </xf>
    <xf numFmtId="0" fontId="2" fillId="188" borderId="0" xfId="0" applyFont="1" applyFill="1" applyAlignment="1">
      <alignment horizontal="center" vertical="center" wrapText="1"/>
    </xf>
    <xf numFmtId="14" fontId="2" fillId="188" borderId="1" xfId="0" applyNumberFormat="1" applyFont="1" applyFill="1" applyBorder="1" applyAlignment="1">
      <alignment horizontal="center" vertical="center" wrapText="1"/>
    </xf>
    <xf numFmtId="168" fontId="2" fillId="188" borderId="1" xfId="0" applyNumberFormat="1" applyFont="1" applyFill="1" applyBorder="1" applyAlignment="1">
      <alignment horizontal="center" vertical="center" wrapText="1"/>
    </xf>
    <xf numFmtId="0" fontId="34" fillId="188" borderId="1" xfId="0" applyFont="1" applyFill="1" applyBorder="1" applyAlignment="1">
      <alignment horizontal="center" vertical="center" wrapText="1"/>
    </xf>
    <xf numFmtId="0" fontId="367" fillId="188" borderId="1" xfId="0" applyFont="1" applyFill="1" applyBorder="1" applyAlignment="1">
      <alignment horizontal="center" vertical="center" wrapText="1"/>
    </xf>
    <xf numFmtId="0" fontId="366" fillId="188" borderId="1" xfId="0" applyFont="1" applyFill="1" applyBorder="1" applyAlignment="1">
      <alignment horizontal="center" vertical="center" wrapText="1"/>
    </xf>
    <xf numFmtId="1" fontId="369" fillId="0" borderId="1" xfId="0" applyNumberFormat="1" applyFont="1" applyBorder="1" applyAlignment="1">
      <alignment horizontal="center" vertical="center"/>
    </xf>
    <xf numFmtId="1" fontId="369" fillId="0" borderId="1" xfId="0" quotePrefix="1" applyNumberFormat="1" applyFont="1" applyBorder="1" applyAlignment="1">
      <alignment horizontal="center" vertical="center"/>
    </xf>
    <xf numFmtId="1" fontId="369" fillId="0" borderId="9" xfId="0" applyNumberFormat="1" applyFont="1" applyBorder="1" applyAlignment="1">
      <alignment horizontal="center" vertical="center"/>
    </xf>
    <xf numFmtId="1" fontId="369" fillId="0" borderId="7" xfId="0" applyNumberFormat="1" applyFont="1" applyBorder="1" applyAlignment="1">
      <alignment horizontal="center" vertical="center"/>
    </xf>
    <xf numFmtId="3" fontId="369" fillId="0" borderId="1" xfId="0" applyNumberFormat="1" applyFont="1" applyBorder="1" applyAlignment="1">
      <alignment horizontal="center" vertical="center"/>
    </xf>
    <xf numFmtId="1" fontId="370" fillId="0" borderId="1" xfId="0" applyNumberFormat="1" applyFont="1" applyBorder="1" applyAlignment="1">
      <alignment horizontal="center" vertical="center"/>
    </xf>
    <xf numFmtId="1" fontId="371" fillId="0" borderId="1" xfId="0" applyNumberFormat="1" applyFont="1" applyBorder="1" applyAlignment="1">
      <alignment horizontal="center" vertical="center"/>
    </xf>
    <xf numFmtId="169" fontId="369" fillId="0" borderId="1" xfId="0" applyNumberFormat="1" applyFont="1" applyBorder="1" applyAlignment="1">
      <alignment horizontal="center" vertical="center"/>
    </xf>
    <xf numFmtId="1" fontId="369" fillId="0" borderId="3" xfId="0" applyNumberFormat="1" applyFont="1" applyBorder="1" applyAlignment="1">
      <alignment horizontal="center" vertical="center"/>
    </xf>
    <xf numFmtId="1" fontId="369" fillId="0" borderId="6" xfId="0" applyNumberFormat="1" applyFont="1" applyBorder="1" applyAlignment="1">
      <alignment horizontal="center" vertical="center"/>
    </xf>
    <xf numFmtId="1" fontId="369" fillId="0" borderId="25" xfId="0" applyNumberFormat="1" applyFont="1" applyBorder="1" applyAlignment="1">
      <alignment horizontal="center" vertical="center"/>
    </xf>
    <xf numFmtId="1" fontId="6" fillId="0" borderId="3" xfId="0" applyNumberFormat="1" applyFont="1" applyBorder="1" applyAlignment="1">
      <alignment horizontal="center" vertical="center"/>
    </xf>
    <xf numFmtId="1" fontId="6" fillId="0" borderId="5" xfId="0" applyNumberFormat="1" applyFont="1" applyBorder="1" applyAlignment="1">
      <alignment horizontal="center" vertical="center"/>
    </xf>
    <xf numFmtId="0" fontId="42" fillId="0" borderId="29" xfId="0" applyFont="1" applyBorder="1"/>
    <xf numFmtId="0" fontId="42" fillId="0" borderId="0" xfId="0" applyFont="1"/>
    <xf numFmtId="0" fontId="41" fillId="0" borderId="3" xfId="0" applyFont="1" applyBorder="1" applyAlignment="1">
      <alignment horizontal="center" vertical="center"/>
    </xf>
    <xf numFmtId="0" fontId="41" fillId="0" borderId="5" xfId="0" applyFont="1" applyBorder="1" applyAlignment="1">
      <alignment horizontal="center" vertical="center"/>
    </xf>
    <xf numFmtId="0" fontId="41" fillId="0" borderId="25" xfId="0" applyFont="1" applyBorder="1" applyAlignment="1">
      <alignment horizontal="center" vertical="center"/>
    </xf>
    <xf numFmtId="0" fontId="367" fillId="188" borderId="4" xfId="0" applyFont="1" applyFill="1" applyBorder="1" applyAlignment="1">
      <alignment horizontal="center" vertical="center" wrapText="1"/>
    </xf>
    <xf numFmtId="0" fontId="33" fillId="0" borderId="1" xfId="0" applyFont="1" applyBorder="1" applyAlignment="1">
      <alignment horizontal="center"/>
    </xf>
    <xf numFmtId="0" fontId="33" fillId="0" borderId="1" xfId="0" applyFont="1" applyBorder="1" applyAlignment="1">
      <alignment horizontal="center" vertical="center"/>
    </xf>
    <xf numFmtId="0" fontId="33" fillId="0" borderId="1" xfId="0" applyFont="1" applyBorder="1" applyAlignment="1">
      <alignment horizontal="center" vertical="center" wrapText="1"/>
    </xf>
    <xf numFmtId="0" fontId="33" fillId="0" borderId="7" xfId="0" applyFont="1" applyBorder="1" applyAlignment="1">
      <alignment horizontal="center" vertical="center"/>
    </xf>
    <xf numFmtId="0" fontId="33" fillId="0" borderId="3" xfId="0" applyFont="1" applyBorder="1" applyAlignment="1">
      <alignment horizontal="center" vertical="center"/>
    </xf>
    <xf numFmtId="0" fontId="33" fillId="0" borderId="9" xfId="0" applyFont="1" applyBorder="1" applyAlignment="1">
      <alignment horizontal="center" vertical="center"/>
    </xf>
    <xf numFmtId="0" fontId="33" fillId="0" borderId="5" xfId="0" applyFont="1" applyBorder="1" applyAlignment="1">
      <alignment horizontal="center" vertical="center"/>
    </xf>
    <xf numFmtId="0" fontId="33" fillId="0" borderId="4" xfId="0" applyFont="1" applyBorder="1" applyAlignment="1">
      <alignment horizontal="center" vertical="center"/>
    </xf>
    <xf numFmtId="0" fontId="367" fillId="188" borderId="0" xfId="0" applyFont="1" applyFill="1" applyAlignment="1">
      <alignment horizontal="center" vertical="center" wrapText="1"/>
    </xf>
    <xf numFmtId="0" fontId="33" fillId="0" borderId="4" xfId="0" applyFont="1" applyBorder="1" applyAlignment="1">
      <alignment horizontal="center" vertical="center" wrapText="1"/>
    </xf>
    <xf numFmtId="0" fontId="33" fillId="0" borderId="6" xfId="0" applyFont="1" applyBorder="1" applyAlignment="1">
      <alignment horizontal="center" vertical="center"/>
    </xf>
    <xf numFmtId="0" fontId="33" fillId="0" borderId="11" xfId="0" applyFont="1" applyBorder="1" applyAlignment="1">
      <alignment horizontal="center" vertical="center"/>
    </xf>
    <xf numFmtId="0" fontId="33" fillId="0" borderId="8" xfId="0" applyFont="1" applyBorder="1" applyAlignment="1">
      <alignment horizontal="center" vertical="center"/>
    </xf>
    <xf numFmtId="0" fontId="33" fillId="0" borderId="112" xfId="0" applyFont="1" applyBorder="1" applyAlignment="1">
      <alignment horizontal="center" vertical="center"/>
    </xf>
    <xf numFmtId="0" fontId="367" fillId="188" borderId="112" xfId="0" applyFont="1" applyFill="1" applyBorder="1" applyAlignment="1">
      <alignment horizontal="center" vertical="center" wrapText="1"/>
    </xf>
    <xf numFmtId="0" fontId="42" fillId="0" borderId="112" xfId="0" applyFont="1" applyBorder="1" applyAlignment="1">
      <alignment vertical="center"/>
    </xf>
    <xf numFmtId="0" fontId="33" fillId="0" borderId="113" xfId="0" applyFont="1" applyBorder="1" applyAlignment="1">
      <alignment horizontal="center" vertical="center"/>
    </xf>
    <xf numFmtId="0" fontId="41" fillId="0" borderId="3" xfId="0" applyFont="1" applyBorder="1" applyAlignment="1">
      <alignment horizontal="center" vertical="center" wrapText="1"/>
    </xf>
    <xf numFmtId="0" fontId="42" fillId="0" borderId="3" xfId="0" applyFont="1" applyBorder="1"/>
    <xf numFmtId="0" fontId="42" fillId="0" borderId="3" xfId="0" applyFont="1" applyBorder="1" applyAlignment="1">
      <alignment vertical="center"/>
    </xf>
    <xf numFmtId="0" fontId="367" fillId="188" borderId="3" xfId="0" applyFont="1" applyFill="1" applyBorder="1" applyAlignment="1">
      <alignment horizontal="center" vertical="center" wrapText="1"/>
    </xf>
    <xf numFmtId="15" fontId="372" fillId="0" borderId="112" xfId="0" applyNumberFormat="1" applyFont="1" applyBorder="1" applyAlignment="1">
      <alignment horizontal="center" vertical="center"/>
    </xf>
    <xf numFmtId="15" fontId="372" fillId="0" borderId="8" xfId="0" applyNumberFormat="1" applyFont="1" applyBorder="1" applyAlignment="1">
      <alignment horizontal="center" vertical="center"/>
    </xf>
    <xf numFmtId="15" fontId="6" fillId="0" borderId="9" xfId="0" applyNumberFormat="1" applyFont="1" applyBorder="1" applyAlignment="1">
      <alignment horizontal="center" vertical="center"/>
    </xf>
    <xf numFmtId="15" fontId="6" fillId="0" borderId="1" xfId="0" quotePrefix="1" applyNumberFormat="1" applyFont="1" applyBorder="1" applyAlignment="1">
      <alignment horizontal="center" vertical="center" wrapText="1"/>
    </xf>
    <xf numFmtId="15" fontId="6" fillId="0" borderId="7" xfId="0" applyNumberFormat="1" applyFont="1" applyBorder="1" applyAlignment="1">
      <alignment horizontal="center" vertical="center"/>
    </xf>
    <xf numFmtId="15" fontId="369" fillId="0" borderId="1" xfId="0" applyNumberFormat="1" applyFont="1" applyBorder="1" applyAlignment="1">
      <alignment horizontal="center" vertical="center"/>
    </xf>
    <xf numFmtId="15" fontId="372" fillId="0" borderId="1" xfId="0" applyNumberFormat="1" applyFont="1" applyBorder="1" applyAlignment="1">
      <alignment horizontal="left" vertical="center"/>
    </xf>
    <xf numFmtId="15" fontId="372" fillId="0" borderId="113" xfId="0" applyNumberFormat="1" applyFont="1" applyBorder="1" applyAlignment="1">
      <alignment horizontal="center" vertical="center"/>
    </xf>
    <xf numFmtId="0" fontId="35" fillId="0" borderId="5" xfId="0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left" vertical="center"/>
    </xf>
    <xf numFmtId="0" fontId="28" fillId="0" borderId="4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229" fillId="0" borderId="5" xfId="0" applyFont="1" applyBorder="1" applyAlignment="1">
      <alignment horizontal="center" vertical="center"/>
    </xf>
    <xf numFmtId="0" fontId="229" fillId="0" borderId="5" xfId="0" applyFont="1" applyBorder="1" applyAlignment="1">
      <alignment horizontal="left" vertical="center"/>
    </xf>
    <xf numFmtId="0" fontId="6" fillId="0" borderId="4" xfId="0" applyFont="1" applyBorder="1" applyAlignment="1">
      <alignment horizontal="center" vertical="center"/>
    </xf>
    <xf numFmtId="0" fontId="360" fillId="0" borderId="5" xfId="0" applyFont="1" applyBorder="1" applyAlignment="1">
      <alignment horizontal="center" vertical="center"/>
    </xf>
    <xf numFmtId="0" fontId="32" fillId="0" borderId="8" xfId="0" applyFont="1" applyBorder="1" applyAlignment="1">
      <alignment horizontal="left" vertical="center"/>
    </xf>
    <xf numFmtId="0" fontId="363" fillId="0" borderId="8" xfId="0" applyFont="1" applyBorder="1" applyAlignment="1">
      <alignment horizontal="left" vertical="center"/>
    </xf>
    <xf numFmtId="0" fontId="364" fillId="0" borderId="8" xfId="0" applyFont="1" applyBorder="1" applyAlignment="1">
      <alignment horizontal="left" vertical="center"/>
    </xf>
    <xf numFmtId="0" fontId="6" fillId="0" borderId="5" xfId="0" applyFont="1" applyBorder="1" applyAlignment="1">
      <alignment horizontal="left" vertical="center"/>
    </xf>
    <xf numFmtId="0" fontId="40" fillId="0" borderId="5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229" fillId="0" borderId="8" xfId="0" applyFont="1" applyBorder="1" applyAlignment="1">
      <alignment horizontal="left" vertical="center"/>
    </xf>
    <xf numFmtId="0" fontId="229" fillId="0" borderId="8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1" fillId="0" borderId="4" xfId="0" applyFont="1" applyBorder="1" applyAlignment="1">
      <alignment vertical="center"/>
    </xf>
    <xf numFmtId="0" fontId="0" fillId="0" borderId="4" xfId="0" applyBorder="1" applyAlignment="1">
      <alignment vertical="center"/>
    </xf>
    <xf numFmtId="15" fontId="369" fillId="0" borderId="3" xfId="0" applyNumberFormat="1" applyFont="1" applyBorder="1" applyAlignment="1">
      <alignment horizontal="center" vertical="center"/>
    </xf>
    <xf numFmtId="15" fontId="372" fillId="0" borderId="1" xfId="0" applyNumberFormat="1" applyFont="1" applyBorder="1" applyAlignment="1">
      <alignment horizontal="center" vertical="center"/>
    </xf>
    <xf numFmtId="15" fontId="372" fillId="34" borderId="1" xfId="0" applyNumberFormat="1" applyFont="1" applyFill="1" applyBorder="1" applyAlignment="1">
      <alignment horizontal="left" vertical="center"/>
    </xf>
    <xf numFmtId="2" fontId="372" fillId="0" borderId="1" xfId="0" applyNumberFormat="1" applyFont="1" applyBorder="1" applyAlignment="1">
      <alignment horizontal="center" vertical="center"/>
    </xf>
    <xf numFmtId="15" fontId="6" fillId="0" borderId="1" xfId="0" applyNumberFormat="1" applyFont="1" applyFill="1" applyBorder="1" applyAlignment="1">
      <alignment horizontal="center" vertical="center"/>
    </xf>
    <xf numFmtId="15" fontId="372" fillId="0" borderId="9" xfId="0" applyNumberFormat="1" applyFont="1" applyBorder="1" applyAlignment="1">
      <alignment horizontal="left" vertical="center"/>
    </xf>
    <xf numFmtId="0" fontId="41" fillId="0" borderId="43" xfId="0" applyFont="1" applyBorder="1" applyAlignment="1">
      <alignment horizontal="center" vertical="center"/>
    </xf>
    <xf numFmtId="0" fontId="33" fillId="0" borderId="114" xfId="0" applyFont="1" applyBorder="1" applyAlignment="1">
      <alignment horizontal="center" vertical="center"/>
    </xf>
    <xf numFmtId="15" fontId="5" fillId="0" borderId="24" xfId="0" applyNumberFormat="1" applyFont="1" applyBorder="1" applyAlignment="1">
      <alignment horizontal="center" vertical="center"/>
    </xf>
    <xf numFmtId="49" fontId="5" fillId="0" borderId="11" xfId="0" applyNumberFormat="1" applyFont="1" applyBorder="1" applyAlignment="1">
      <alignment horizontal="center" vertical="center"/>
    </xf>
    <xf numFmtId="168" fontId="6" fillId="0" borderId="9" xfId="0" applyNumberFormat="1" applyFont="1" applyBorder="1" applyAlignment="1">
      <alignment horizontal="right" vertical="center"/>
    </xf>
    <xf numFmtId="0" fontId="42" fillId="0" borderId="1" xfId="0" applyFont="1" applyBorder="1"/>
    <xf numFmtId="168" fontId="0" fillId="0" borderId="1" xfId="0" applyNumberFormat="1" applyBorder="1" applyAlignment="1">
      <alignment vertical="center"/>
    </xf>
    <xf numFmtId="16" fontId="0" fillId="0" borderId="1" xfId="0" applyNumberFormat="1" applyBorder="1" applyAlignment="1">
      <alignment vertical="center"/>
    </xf>
    <xf numFmtId="0" fontId="35" fillId="0" borderId="43" xfId="0" applyFont="1" applyBorder="1" applyAlignment="1">
      <alignment horizontal="center" vertical="center"/>
    </xf>
    <xf numFmtId="0" fontId="33" fillId="0" borderId="28" xfId="0" applyFont="1" applyBorder="1" applyAlignment="1">
      <alignment horizontal="center" vertical="center"/>
    </xf>
    <xf numFmtId="0" fontId="2" fillId="36" borderId="1" xfId="0" applyFont="1" applyFill="1" applyBorder="1" applyAlignment="1">
      <alignment horizontal="center" vertical="center" wrapText="1"/>
    </xf>
    <xf numFmtId="0" fontId="2" fillId="36" borderId="0" xfId="0" applyFont="1" applyFill="1" applyAlignment="1">
      <alignment horizontal="center" vertical="center" wrapText="1"/>
    </xf>
    <xf numFmtId="0" fontId="368" fillId="36" borderId="1" xfId="0" applyFont="1" applyFill="1" applyBorder="1" applyAlignment="1">
      <alignment horizontal="center" vertical="center" wrapText="1"/>
    </xf>
    <xf numFmtId="49" fontId="6" fillId="0" borderId="1" xfId="0" applyNumberFormat="1" applyFont="1" applyBorder="1" applyAlignment="1">
      <alignment vertical="center"/>
    </xf>
    <xf numFmtId="49" fontId="6" fillId="0" borderId="1" xfId="0" applyNumberFormat="1" applyFont="1" applyFill="1" applyBorder="1" applyAlignment="1">
      <alignment horizontal="center" vertical="center"/>
    </xf>
    <xf numFmtId="15" fontId="6" fillId="0" borderId="3" xfId="0" applyNumberFormat="1" applyFont="1" applyFill="1" applyBorder="1" applyAlignment="1">
      <alignment horizontal="center" vertical="center"/>
    </xf>
    <xf numFmtId="172" fontId="0" fillId="0" borderId="1" xfId="0" applyNumberFormat="1" applyBorder="1" applyAlignment="1">
      <alignment vertical="center"/>
    </xf>
    <xf numFmtId="1" fontId="5" fillId="0" borderId="1" xfId="0" applyNumberFormat="1" applyFont="1" applyFill="1" applyBorder="1" applyAlignment="1">
      <alignment vertical="center"/>
    </xf>
    <xf numFmtId="0" fontId="29" fillId="0" borderId="0" xfId="0" applyFont="1" applyAlignment="1">
      <alignment horizontal="center" vertical="center"/>
    </xf>
    <xf numFmtId="15" fontId="5" fillId="0" borderId="1" xfId="0" applyNumberFormat="1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/>
    </xf>
    <xf numFmtId="170" fontId="6" fillId="0" borderId="1" xfId="0" applyNumberFormat="1" applyFont="1" applyFill="1" applyBorder="1" applyAlignment="1">
      <alignment horizontal="right" vertical="center"/>
    </xf>
    <xf numFmtId="4" fontId="4" fillId="0" borderId="1" xfId="0" applyNumberFormat="1" applyFont="1" applyFill="1" applyBorder="1" applyAlignment="1">
      <alignment horizontal="right" vertical="center"/>
    </xf>
    <xf numFmtId="1" fontId="6" fillId="0" borderId="1" xfId="0" applyNumberFormat="1" applyFont="1" applyFill="1" applyBorder="1" applyAlignment="1">
      <alignment horizontal="center" vertical="center"/>
    </xf>
    <xf numFmtId="3" fontId="6" fillId="0" borderId="1" xfId="0" applyNumberFormat="1" applyFont="1" applyFill="1" applyBorder="1" applyAlignment="1">
      <alignment horizontal="center" vertical="center"/>
    </xf>
    <xf numFmtId="15" fontId="5" fillId="0" borderId="1" xfId="0" applyNumberFormat="1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168" fontId="6" fillId="0" borderId="1" xfId="0" applyNumberFormat="1" applyFont="1" applyFill="1" applyBorder="1" applyAlignment="1">
      <alignment horizontal="right" vertical="center"/>
    </xf>
    <xf numFmtId="336" fontId="4" fillId="0" borderId="1" xfId="0" applyNumberFormat="1" applyFont="1" applyFill="1" applyBorder="1" applyAlignment="1">
      <alignment horizontal="right" vertical="center"/>
    </xf>
    <xf numFmtId="0" fontId="41" fillId="0" borderId="1" xfId="0" applyFont="1" applyBorder="1" applyAlignment="1">
      <alignment horizontal="center" vertical="center"/>
    </xf>
    <xf numFmtId="15" fontId="5" fillId="0" borderId="0" xfId="0" applyNumberFormat="1" applyFont="1" applyBorder="1" applyAlignment="1">
      <alignment horizontal="center" vertical="center"/>
    </xf>
    <xf numFmtId="0" fontId="5" fillId="0" borderId="1" xfId="0" applyNumberFormat="1" applyFont="1" applyBorder="1" applyAlignment="1">
      <alignment horizontal="center" vertical="center"/>
    </xf>
    <xf numFmtId="0" fontId="33" fillId="0" borderId="115" xfId="0" applyFont="1" applyBorder="1" applyAlignment="1">
      <alignment horizontal="center" vertical="center"/>
    </xf>
    <xf numFmtId="0" fontId="0" fillId="40" borderId="1" xfId="0" applyFill="1" applyBorder="1" applyAlignment="1">
      <alignment vertical="center"/>
    </xf>
    <xf numFmtId="49" fontId="6" fillId="40" borderId="1" xfId="0" applyNumberFormat="1" applyFont="1" applyFill="1" applyBorder="1" applyAlignment="1">
      <alignment horizontal="center" vertical="center"/>
    </xf>
    <xf numFmtId="0" fontId="0" fillId="40" borderId="1" xfId="0" applyFill="1" applyBorder="1" applyAlignment="1">
      <alignment horizontal="center" vertical="center"/>
    </xf>
    <xf numFmtId="14" fontId="0" fillId="40" borderId="1" xfId="0" applyNumberFormat="1" applyFill="1" applyBorder="1" applyAlignment="1">
      <alignment horizontal="center" vertical="center"/>
    </xf>
    <xf numFmtId="16" fontId="6" fillId="40" borderId="1" xfId="0" applyNumberFormat="1" applyFont="1" applyFill="1" applyBorder="1" applyAlignment="1">
      <alignment horizontal="center" vertical="center" wrapText="1"/>
    </xf>
    <xf numFmtId="15" fontId="6" fillId="35" borderId="3" xfId="0" applyNumberFormat="1" applyFont="1" applyFill="1" applyBorder="1" applyAlignment="1">
      <alignment horizontal="center" vertical="center"/>
    </xf>
    <xf numFmtId="15" fontId="5" fillId="0" borderId="1" xfId="0" applyNumberFormat="1" applyFont="1" applyFill="1" applyBorder="1" applyAlignment="1">
      <alignment horizontal="left" vertical="center"/>
    </xf>
    <xf numFmtId="1" fontId="27" fillId="0" borderId="1" xfId="0" applyNumberFormat="1" applyFont="1" applyFill="1" applyBorder="1" applyAlignment="1">
      <alignment horizontal="center" vertical="center"/>
    </xf>
    <xf numFmtId="0" fontId="41" fillId="0" borderId="3" xfId="0" applyFont="1" applyFill="1" applyBorder="1" applyAlignment="1">
      <alignment horizontal="center" vertical="center"/>
    </xf>
    <xf numFmtId="0" fontId="33" fillId="0" borderId="112" xfId="0" applyFont="1" applyFill="1" applyBorder="1" applyAlignment="1">
      <alignment horizontal="center" vertical="center"/>
    </xf>
    <xf numFmtId="15" fontId="7" fillId="0" borderId="1" xfId="0" applyNumberFormat="1" applyFont="1" applyFill="1" applyBorder="1" applyAlignment="1">
      <alignment horizontal="center" vertical="center"/>
    </xf>
    <xf numFmtId="0" fontId="33" fillId="0" borderId="5" xfId="0" applyFont="1" applyFill="1" applyBorder="1" applyAlignment="1">
      <alignment horizontal="center" vertical="center"/>
    </xf>
    <xf numFmtId="0" fontId="33" fillId="0" borderId="1" xfId="0" applyFont="1" applyFill="1" applyBorder="1" applyAlignment="1">
      <alignment horizontal="center" vertical="center"/>
    </xf>
    <xf numFmtId="15" fontId="5" fillId="0" borderId="3" xfId="0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169" fontId="4" fillId="0" borderId="1" xfId="0" applyNumberFormat="1" applyFont="1" applyFill="1" applyBorder="1" applyAlignment="1">
      <alignment horizontal="center" vertical="center"/>
    </xf>
    <xf numFmtId="16" fontId="6" fillId="0" borderId="1" xfId="0" applyNumberFormat="1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vertical="center"/>
    </xf>
    <xf numFmtId="0" fontId="0" fillId="0" borderId="7" xfId="0" applyFont="1" applyFill="1" applyBorder="1" applyAlignment="1">
      <alignment vertical="center"/>
    </xf>
    <xf numFmtId="3" fontId="6" fillId="0" borderId="7" xfId="0" applyNumberFormat="1" applyFont="1" applyFill="1" applyBorder="1" applyAlignment="1">
      <alignment horizontal="center" vertical="center"/>
    </xf>
    <xf numFmtId="14" fontId="0" fillId="0" borderId="1" xfId="0" applyNumberFormat="1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0" xfId="0" applyFont="1" applyFill="1" applyAlignment="1">
      <alignment vertical="center"/>
    </xf>
    <xf numFmtId="0" fontId="0" fillId="0" borderId="1" xfId="0" applyFill="1" applyBorder="1" applyAlignment="1">
      <alignment vertical="center"/>
    </xf>
    <xf numFmtId="0" fontId="0" fillId="0" borderId="7" xfId="0" applyFill="1" applyBorder="1" applyAlignment="1">
      <alignment vertical="center"/>
    </xf>
    <xf numFmtId="14" fontId="0" fillId="0" borderId="1" xfId="0" applyNumberForma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Alignment="1">
      <alignment vertical="center"/>
    </xf>
    <xf numFmtId="2" fontId="6" fillId="0" borderId="1" xfId="0" applyNumberFormat="1" applyFont="1" applyFill="1" applyBorder="1" applyAlignment="1">
      <alignment horizontal="center" vertical="center" wrapText="1"/>
    </xf>
    <xf numFmtId="1" fontId="369" fillId="0" borderId="3" xfId="0" applyNumberFormat="1" applyFont="1" applyFill="1" applyBorder="1" applyAlignment="1">
      <alignment horizontal="center" vertical="center"/>
    </xf>
    <xf numFmtId="0" fontId="41" fillId="0" borderId="5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left" vertical="center"/>
    </xf>
    <xf numFmtId="0" fontId="0" fillId="0" borderId="1" xfId="0" applyFill="1" applyBorder="1" applyAlignment="1">
      <alignment horizontal="left" vertical="center"/>
    </xf>
    <xf numFmtId="0" fontId="33" fillId="40" borderId="112" xfId="0" applyFont="1" applyFill="1" applyBorder="1" applyAlignment="1">
      <alignment horizontal="center" vertical="center"/>
    </xf>
    <xf numFmtId="15" fontId="5" fillId="40" borderId="1" xfId="0" applyNumberFormat="1" applyFont="1" applyFill="1" applyBorder="1" applyAlignment="1">
      <alignment horizontal="center" vertical="center"/>
    </xf>
    <xf numFmtId="0" fontId="4" fillId="0" borderId="4" xfId="0" applyFont="1" applyBorder="1" applyAlignment="1">
      <alignment horizontal="left" vertical="center"/>
    </xf>
    <xf numFmtId="0" fontId="41" fillId="0" borderId="30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5" fontId="0" fillId="0" borderId="0" xfId="0" applyNumberFormat="1" applyAlignment="1">
      <alignment vertical="center"/>
    </xf>
    <xf numFmtId="354" fontId="0" fillId="0" borderId="0" xfId="0" applyNumberFormat="1" applyAlignment="1">
      <alignment vertical="center"/>
    </xf>
    <xf numFmtId="0" fontId="0" fillId="0" borderId="0" xfId="0" applyAlignment="1">
      <alignment vertical="center" wrapText="1"/>
    </xf>
    <xf numFmtId="0" fontId="229" fillId="0" borderId="0" xfId="0" applyFont="1"/>
    <xf numFmtId="0" fontId="229" fillId="0" borderId="0" xfId="0" applyFont="1" applyAlignment="1">
      <alignment horizontal="left"/>
    </xf>
    <xf numFmtId="0" fontId="229" fillId="0" borderId="0" xfId="0" applyFont="1" applyAlignment="1">
      <alignment horizontal="left" vertical="center" indent="1"/>
    </xf>
    <xf numFmtId="0" fontId="229" fillId="0" borderId="0" xfId="0" applyFont="1" applyAlignment="1">
      <alignment horizontal="center" vertical="center" wrapText="1"/>
    </xf>
    <xf numFmtId="14" fontId="229" fillId="0" borderId="116" xfId="0" applyNumberFormat="1" applyFont="1" applyBorder="1" applyAlignment="1">
      <alignment horizontal="left"/>
    </xf>
    <xf numFmtId="0" fontId="229" fillId="0" borderId="116" xfId="0" applyFont="1" applyBorder="1"/>
    <xf numFmtId="14" fontId="229" fillId="0" borderId="0" xfId="0" applyNumberFormat="1" applyFont="1"/>
    <xf numFmtId="0" fontId="229" fillId="0" borderId="117" xfId="0" applyFont="1" applyBorder="1" applyAlignment="1">
      <alignment horizontal="left"/>
    </xf>
    <xf numFmtId="0" fontId="229" fillId="0" borderId="118" xfId="0" applyFont="1" applyBorder="1"/>
    <xf numFmtId="14" fontId="229" fillId="0" borderId="117" xfId="0" applyNumberFormat="1" applyFont="1" applyBorder="1" applyAlignment="1">
      <alignment horizontal="left"/>
    </xf>
    <xf numFmtId="14" fontId="229" fillId="0" borderId="118" xfId="0" applyNumberFormat="1" applyFont="1" applyBorder="1" applyAlignment="1">
      <alignment horizontal="left"/>
    </xf>
    <xf numFmtId="0" fontId="229" fillId="0" borderId="119" xfId="0" applyFont="1" applyBorder="1" applyAlignment="1">
      <alignment horizontal="left"/>
    </xf>
    <xf numFmtId="0" fontId="229" fillId="0" borderId="120" xfId="0" applyFont="1" applyBorder="1" applyAlignment="1">
      <alignment horizontal="left"/>
    </xf>
    <xf numFmtId="0" fontId="229" fillId="0" borderId="121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 vertical="center" indent="1"/>
    </xf>
    <xf numFmtId="0" fontId="374" fillId="0" borderId="0" xfId="0" applyFont="1"/>
    <xf numFmtId="0" fontId="229" fillId="0" borderId="0" xfId="0" applyFont="1" applyAlignment="1">
      <alignment horizontal="left" vertical="center"/>
    </xf>
    <xf numFmtId="14" fontId="229" fillId="0" borderId="0" xfId="0" applyNumberFormat="1" applyFont="1" applyAlignment="1">
      <alignment horizontal="left"/>
    </xf>
    <xf numFmtId="0" fontId="229" fillId="40" borderId="0" xfId="0" applyFont="1" applyFill="1" applyAlignment="1">
      <alignment horizontal="left"/>
    </xf>
    <xf numFmtId="0" fontId="229" fillId="0" borderId="0" xfId="0" pivotButton="1" applyFont="1"/>
    <xf numFmtId="0" fontId="229" fillId="0" borderId="0" xfId="0" applyFont="1" applyBorder="1"/>
    <xf numFmtId="14" fontId="229" fillId="0" borderId="0" xfId="0" applyNumberFormat="1" applyFont="1" applyBorder="1"/>
    <xf numFmtId="0" fontId="229" fillId="0" borderId="0" xfId="0" pivotButton="1" applyFont="1" applyAlignment="1">
      <alignment horizontal="center" vertical="center"/>
    </xf>
    <xf numFmtId="0" fontId="373" fillId="0" borderId="0" xfId="0" pivotButton="1" applyFont="1" applyAlignment="1">
      <alignment horizontal="center" vertical="center"/>
    </xf>
    <xf numFmtId="0" fontId="229" fillId="0" borderId="0" xfId="0" pivotButton="1" applyFont="1" applyAlignment="1">
      <alignment horizontal="center" vertical="center" wrapText="1"/>
    </xf>
    <xf numFmtId="0" fontId="229" fillId="40" borderId="0" xfId="0" applyFont="1" applyFill="1"/>
    <xf numFmtId="0" fontId="229" fillId="0" borderId="0" xfId="0" pivotButton="1" applyFont="1" applyAlignment="1">
      <alignment horizontal="left" vertical="center" wrapText="1"/>
    </xf>
    <xf numFmtId="0" fontId="229" fillId="0" borderId="118" xfId="0" applyFont="1" applyBorder="1" applyAlignment="1">
      <alignment horizontal="left"/>
    </xf>
    <xf numFmtId="14" fontId="229" fillId="0" borderId="0" xfId="0" applyNumberFormat="1" applyFont="1" applyBorder="1" applyAlignment="1">
      <alignment horizontal="left"/>
    </xf>
    <xf numFmtId="0" fontId="229" fillId="0" borderId="117" xfId="0" applyFont="1" applyBorder="1"/>
    <xf numFmtId="14" fontId="229" fillId="40" borderId="0" xfId="0" applyNumberFormat="1" applyFont="1" applyFill="1" applyBorder="1"/>
    <xf numFmtId="0" fontId="5" fillId="0" borderId="1" xfId="0" applyFont="1" applyBorder="1" applyAlignment="1">
      <alignment horizontal="left" vertical="center"/>
    </xf>
    <xf numFmtId="168" fontId="0" fillId="0" borderId="9" xfId="0" applyNumberFormat="1" applyBorder="1" applyAlignment="1">
      <alignment horizontal="center" vertical="center"/>
    </xf>
    <xf numFmtId="168" fontId="0" fillId="0" borderId="7" xfId="0" applyNumberFormat="1" applyBorder="1" applyAlignment="1">
      <alignment horizontal="center" vertical="center"/>
    </xf>
    <xf numFmtId="0" fontId="0" fillId="0" borderId="0" xfId="0" applyAlignment="1">
      <alignment horizontal="center"/>
    </xf>
  </cellXfs>
  <cellStyles count="36363">
    <cellStyle name="_x0008__x0001_" xfId="63" xr:uid="{00000000-0005-0000-0000-000000000000}"/>
    <cellStyle name="_x0013_" xfId="64" xr:uid="{00000000-0005-0000-0000-000001000000}"/>
    <cellStyle name="_x0010_" xfId="65" xr:uid="{00000000-0005-0000-0000-000002000000}"/>
    <cellStyle name="          _x000d__x000a_386grabber=VGA.3GR_x000d__x000a_" xfId="66" xr:uid="{00000000-0005-0000-0000-000003000000}"/>
    <cellStyle name="          _x000d__x000a_386grabber=VGA.3GR_x000d__x000a_ 2" xfId="67" xr:uid="{00000000-0005-0000-0000-000004000000}"/>
    <cellStyle name="          _x000d__x000a_386grabber=VGA.3GR_x000d__x000a_ 3" xfId="68" xr:uid="{00000000-0005-0000-0000-000005000000}"/>
    <cellStyle name="          _x000d__x000a_386grabber=VGA.3GR_x000d__x000a_ 4" xfId="69" xr:uid="{00000000-0005-0000-0000-000006000000}"/>
    <cellStyle name=" 1033,0_פרוטים" xfId="70" xr:uid="{00000000-0005-0000-0000-000007000000}"/>
    <cellStyle name="_x0013_ 2" xfId="71" xr:uid="{00000000-0005-0000-0000-000008000000}"/>
    <cellStyle name="_x0013_ 3" xfId="72" xr:uid="{00000000-0005-0000-0000-000009000000}"/>
    <cellStyle name="_x0013_ 4" xfId="73" xr:uid="{00000000-0005-0000-0000-00000A000000}"/>
    <cellStyle name="_x0013_ 5" xfId="74" xr:uid="{00000000-0005-0000-0000-00000B000000}"/>
    <cellStyle name="_x0013_ 6" xfId="75" xr:uid="{00000000-0005-0000-0000-00000C000000}"/>
    <cellStyle name="_x0013_ 7" xfId="76" xr:uid="{00000000-0005-0000-0000-00000D000000}"/>
    <cellStyle name="_x0013_ 8" xfId="77" xr:uid="{00000000-0005-0000-0000-00000E000000}"/>
    <cellStyle name="_x0013_ 9" xfId="78" xr:uid="{00000000-0005-0000-0000-00000F000000}"/>
    <cellStyle name=" Task]_x000d__x000a_TaskName=Scan At_x000d__x000a_TaskID=3_x000d__x000a_WorkstationName=SmarTone_x000d__x000a_LastExecuted=0_x000d__x000a_LastSt" xfId="79" xr:uid="{00000000-0005-0000-0000-000010000000}"/>
    <cellStyle name="_x000a_386grabber=M" xfId="80" xr:uid="{00000000-0005-0000-0000-000011000000}"/>
    <cellStyle name="#" xfId="81" xr:uid="{00000000-0005-0000-0000-000012000000}"/>
    <cellStyle name="#-" xfId="82" xr:uid="{00000000-0005-0000-0000-000013000000}"/>
    <cellStyle name="#.##0 ;(#.##0)" xfId="83" xr:uid="{00000000-0005-0000-0000-000014000000}"/>
    <cellStyle name="#.##0 ;(#.##0) 2" xfId="84" xr:uid="{00000000-0005-0000-0000-000015000000}"/>
    <cellStyle name="$" xfId="85" xr:uid="{00000000-0005-0000-0000-000016000000}"/>
    <cellStyle name="$-" xfId="86" xr:uid="{00000000-0005-0000-0000-000017000000}"/>
    <cellStyle name="$ w/o $" xfId="87" xr:uid="{00000000-0005-0000-0000-000018000000}"/>
    <cellStyle name="$ w/o $ 2" xfId="88" xr:uid="{00000000-0005-0000-0000-000019000000}"/>
    <cellStyle name="$_Hershey_Model_0.54" xfId="89" xr:uid="{00000000-0005-0000-0000-00001A000000}"/>
    <cellStyle name="$_HSY_2006_Board_Memo_Supportv1.0" xfId="90" xr:uid="{00000000-0005-0000-0000-00001B000000}"/>
    <cellStyle name="$_Inicial" xfId="91" xr:uid="{00000000-0005-0000-0000-00001C000000}"/>
    <cellStyle name="$0" xfId="92" xr:uid="{00000000-0005-0000-0000-00001D000000}"/>
    <cellStyle name="$0 2" xfId="93" xr:uid="{00000000-0005-0000-0000-00001E000000}"/>
    <cellStyle name="$0.0" xfId="94" xr:uid="{00000000-0005-0000-0000-00001F000000}"/>
    <cellStyle name="$0.0 2" xfId="95" xr:uid="{00000000-0005-0000-0000-000020000000}"/>
    <cellStyle name="$0.00" xfId="96" xr:uid="{00000000-0005-0000-0000-000021000000}"/>
    <cellStyle name="$0.00 2" xfId="97" xr:uid="{00000000-0005-0000-0000-000022000000}"/>
    <cellStyle name="$10d0" xfId="98" xr:uid="{00000000-0005-0000-0000-000023000000}"/>
    <cellStyle name="$m" xfId="99" xr:uid="{00000000-0005-0000-0000-000024000000}"/>
    <cellStyle name="$q" xfId="100" xr:uid="{00000000-0005-0000-0000-000025000000}"/>
    <cellStyle name="$q*" xfId="101" xr:uid="{00000000-0005-0000-0000-000026000000}"/>
    <cellStyle name="$q_AVP" xfId="102" xr:uid="{00000000-0005-0000-0000-000027000000}"/>
    <cellStyle name="$qA" xfId="103" xr:uid="{00000000-0005-0000-0000-000028000000}"/>
    <cellStyle name="$qRange" xfId="104" xr:uid="{00000000-0005-0000-0000-000029000000}"/>
    <cellStyle name="%" xfId="105" xr:uid="{00000000-0005-0000-0000-00002A000000}"/>
    <cellStyle name="%-" xfId="106" xr:uid="{00000000-0005-0000-0000-00002B000000}"/>
    <cellStyle name="% 10" xfId="107" xr:uid="{00000000-0005-0000-0000-00002C000000}"/>
    <cellStyle name="% 11" xfId="108" xr:uid="{00000000-0005-0000-0000-00002D000000}"/>
    <cellStyle name="% 12" xfId="109" xr:uid="{00000000-0005-0000-0000-00002E000000}"/>
    <cellStyle name="% 13" xfId="110" xr:uid="{00000000-0005-0000-0000-00002F000000}"/>
    <cellStyle name="% 14" xfId="111" xr:uid="{00000000-0005-0000-0000-000030000000}"/>
    <cellStyle name="% 15" xfId="112" xr:uid="{00000000-0005-0000-0000-000031000000}"/>
    <cellStyle name="% 16" xfId="113" xr:uid="{00000000-0005-0000-0000-000032000000}"/>
    <cellStyle name="% 17" xfId="114" xr:uid="{00000000-0005-0000-0000-000033000000}"/>
    <cellStyle name="% 18" xfId="115" xr:uid="{00000000-0005-0000-0000-000034000000}"/>
    <cellStyle name="% 19" xfId="116" xr:uid="{00000000-0005-0000-0000-000035000000}"/>
    <cellStyle name="% 2" xfId="117" xr:uid="{00000000-0005-0000-0000-000036000000}"/>
    <cellStyle name="% 2 2" xfId="118" xr:uid="{00000000-0005-0000-0000-000037000000}"/>
    <cellStyle name="% 2 3" xfId="119" xr:uid="{00000000-0005-0000-0000-000038000000}"/>
    <cellStyle name="% 20" xfId="120" xr:uid="{00000000-0005-0000-0000-000039000000}"/>
    <cellStyle name="% 21" xfId="121" xr:uid="{00000000-0005-0000-0000-00003A000000}"/>
    <cellStyle name="% 21 10" xfId="122" xr:uid="{00000000-0005-0000-0000-00003B000000}"/>
    <cellStyle name="% 21 11" xfId="123" xr:uid="{00000000-0005-0000-0000-00003C000000}"/>
    <cellStyle name="% 21 12" xfId="124" xr:uid="{00000000-0005-0000-0000-00003D000000}"/>
    <cellStyle name="% 21 13" xfId="125" xr:uid="{00000000-0005-0000-0000-00003E000000}"/>
    <cellStyle name="% 21 2" xfId="126" xr:uid="{00000000-0005-0000-0000-00003F000000}"/>
    <cellStyle name="% 21 3" xfId="127" xr:uid="{00000000-0005-0000-0000-000040000000}"/>
    <cellStyle name="% 21 4" xfId="128" xr:uid="{00000000-0005-0000-0000-000041000000}"/>
    <cellStyle name="% 21 5" xfId="129" xr:uid="{00000000-0005-0000-0000-000042000000}"/>
    <cellStyle name="% 21 6" xfId="130" xr:uid="{00000000-0005-0000-0000-000043000000}"/>
    <cellStyle name="% 21 7" xfId="131" xr:uid="{00000000-0005-0000-0000-000044000000}"/>
    <cellStyle name="% 21 8" xfId="132" xr:uid="{00000000-0005-0000-0000-000045000000}"/>
    <cellStyle name="% 21 9" xfId="133" xr:uid="{00000000-0005-0000-0000-000046000000}"/>
    <cellStyle name="% 22" xfId="134" xr:uid="{00000000-0005-0000-0000-000047000000}"/>
    <cellStyle name="% 22 10" xfId="135" xr:uid="{00000000-0005-0000-0000-000048000000}"/>
    <cellStyle name="% 22 11" xfId="136" xr:uid="{00000000-0005-0000-0000-000049000000}"/>
    <cellStyle name="% 22 12" xfId="137" xr:uid="{00000000-0005-0000-0000-00004A000000}"/>
    <cellStyle name="% 22 13" xfId="138" xr:uid="{00000000-0005-0000-0000-00004B000000}"/>
    <cellStyle name="% 22 2" xfId="139" xr:uid="{00000000-0005-0000-0000-00004C000000}"/>
    <cellStyle name="% 22 3" xfId="140" xr:uid="{00000000-0005-0000-0000-00004D000000}"/>
    <cellStyle name="% 22 4" xfId="141" xr:uid="{00000000-0005-0000-0000-00004E000000}"/>
    <cellStyle name="% 22 5" xfId="142" xr:uid="{00000000-0005-0000-0000-00004F000000}"/>
    <cellStyle name="% 22 6" xfId="143" xr:uid="{00000000-0005-0000-0000-000050000000}"/>
    <cellStyle name="% 22 7" xfId="144" xr:uid="{00000000-0005-0000-0000-000051000000}"/>
    <cellStyle name="% 22 8" xfId="145" xr:uid="{00000000-0005-0000-0000-000052000000}"/>
    <cellStyle name="% 22 9" xfId="146" xr:uid="{00000000-0005-0000-0000-000053000000}"/>
    <cellStyle name="% 23" xfId="147" xr:uid="{00000000-0005-0000-0000-000054000000}"/>
    <cellStyle name="% 23 10" xfId="148" xr:uid="{00000000-0005-0000-0000-000055000000}"/>
    <cellStyle name="% 23 11" xfId="149" xr:uid="{00000000-0005-0000-0000-000056000000}"/>
    <cellStyle name="% 23 12" xfId="150" xr:uid="{00000000-0005-0000-0000-000057000000}"/>
    <cellStyle name="% 23 13" xfId="151" xr:uid="{00000000-0005-0000-0000-000058000000}"/>
    <cellStyle name="% 23 2" xfId="152" xr:uid="{00000000-0005-0000-0000-000059000000}"/>
    <cellStyle name="% 23 3" xfId="153" xr:uid="{00000000-0005-0000-0000-00005A000000}"/>
    <cellStyle name="% 23 4" xfId="154" xr:uid="{00000000-0005-0000-0000-00005B000000}"/>
    <cellStyle name="% 23 5" xfId="155" xr:uid="{00000000-0005-0000-0000-00005C000000}"/>
    <cellStyle name="% 23 6" xfId="156" xr:uid="{00000000-0005-0000-0000-00005D000000}"/>
    <cellStyle name="% 23 7" xfId="157" xr:uid="{00000000-0005-0000-0000-00005E000000}"/>
    <cellStyle name="% 23 8" xfId="158" xr:uid="{00000000-0005-0000-0000-00005F000000}"/>
    <cellStyle name="% 23 9" xfId="159" xr:uid="{00000000-0005-0000-0000-000060000000}"/>
    <cellStyle name="% 24" xfId="160" xr:uid="{00000000-0005-0000-0000-000061000000}"/>
    <cellStyle name="% 24 10" xfId="161" xr:uid="{00000000-0005-0000-0000-000062000000}"/>
    <cellStyle name="% 24 11" xfId="162" xr:uid="{00000000-0005-0000-0000-000063000000}"/>
    <cellStyle name="% 24 12" xfId="163" xr:uid="{00000000-0005-0000-0000-000064000000}"/>
    <cellStyle name="% 24 13" xfId="164" xr:uid="{00000000-0005-0000-0000-000065000000}"/>
    <cellStyle name="% 24 2" xfId="165" xr:uid="{00000000-0005-0000-0000-000066000000}"/>
    <cellStyle name="% 24 3" xfId="166" xr:uid="{00000000-0005-0000-0000-000067000000}"/>
    <cellStyle name="% 24 4" xfId="167" xr:uid="{00000000-0005-0000-0000-000068000000}"/>
    <cellStyle name="% 24 5" xfId="168" xr:uid="{00000000-0005-0000-0000-000069000000}"/>
    <cellStyle name="% 24 6" xfId="169" xr:uid="{00000000-0005-0000-0000-00006A000000}"/>
    <cellStyle name="% 24 7" xfId="170" xr:uid="{00000000-0005-0000-0000-00006B000000}"/>
    <cellStyle name="% 24 8" xfId="171" xr:uid="{00000000-0005-0000-0000-00006C000000}"/>
    <cellStyle name="% 24 9" xfId="172" xr:uid="{00000000-0005-0000-0000-00006D000000}"/>
    <cellStyle name="% 25" xfId="173" xr:uid="{00000000-0005-0000-0000-00006E000000}"/>
    <cellStyle name="% 25 10" xfId="174" xr:uid="{00000000-0005-0000-0000-00006F000000}"/>
    <cellStyle name="% 25 11" xfId="175" xr:uid="{00000000-0005-0000-0000-000070000000}"/>
    <cellStyle name="% 25 12" xfId="176" xr:uid="{00000000-0005-0000-0000-000071000000}"/>
    <cellStyle name="% 25 13" xfId="177" xr:uid="{00000000-0005-0000-0000-000072000000}"/>
    <cellStyle name="% 25 2" xfId="178" xr:uid="{00000000-0005-0000-0000-000073000000}"/>
    <cellStyle name="% 25 3" xfId="179" xr:uid="{00000000-0005-0000-0000-000074000000}"/>
    <cellStyle name="% 25 4" xfId="180" xr:uid="{00000000-0005-0000-0000-000075000000}"/>
    <cellStyle name="% 25 5" xfId="181" xr:uid="{00000000-0005-0000-0000-000076000000}"/>
    <cellStyle name="% 25 6" xfId="182" xr:uid="{00000000-0005-0000-0000-000077000000}"/>
    <cellStyle name="% 25 7" xfId="183" xr:uid="{00000000-0005-0000-0000-000078000000}"/>
    <cellStyle name="% 25 8" xfId="184" xr:uid="{00000000-0005-0000-0000-000079000000}"/>
    <cellStyle name="% 25 9" xfId="185" xr:uid="{00000000-0005-0000-0000-00007A000000}"/>
    <cellStyle name="% 26" xfId="186" xr:uid="{00000000-0005-0000-0000-00007B000000}"/>
    <cellStyle name="% 26 10" xfId="187" xr:uid="{00000000-0005-0000-0000-00007C000000}"/>
    <cellStyle name="% 26 11" xfId="188" xr:uid="{00000000-0005-0000-0000-00007D000000}"/>
    <cellStyle name="% 26 12" xfId="189" xr:uid="{00000000-0005-0000-0000-00007E000000}"/>
    <cellStyle name="% 26 13" xfId="190" xr:uid="{00000000-0005-0000-0000-00007F000000}"/>
    <cellStyle name="% 26 2" xfId="191" xr:uid="{00000000-0005-0000-0000-000080000000}"/>
    <cellStyle name="% 26 3" xfId="192" xr:uid="{00000000-0005-0000-0000-000081000000}"/>
    <cellStyle name="% 26 4" xfId="193" xr:uid="{00000000-0005-0000-0000-000082000000}"/>
    <cellStyle name="% 26 5" xfId="194" xr:uid="{00000000-0005-0000-0000-000083000000}"/>
    <cellStyle name="% 26 6" xfId="195" xr:uid="{00000000-0005-0000-0000-000084000000}"/>
    <cellStyle name="% 26 7" xfId="196" xr:uid="{00000000-0005-0000-0000-000085000000}"/>
    <cellStyle name="% 26 8" xfId="197" xr:uid="{00000000-0005-0000-0000-000086000000}"/>
    <cellStyle name="% 26 9" xfId="198" xr:uid="{00000000-0005-0000-0000-000087000000}"/>
    <cellStyle name="% 27" xfId="199" xr:uid="{00000000-0005-0000-0000-000088000000}"/>
    <cellStyle name="% 27 10" xfId="200" xr:uid="{00000000-0005-0000-0000-000089000000}"/>
    <cellStyle name="% 27 11" xfId="201" xr:uid="{00000000-0005-0000-0000-00008A000000}"/>
    <cellStyle name="% 27 12" xfId="202" xr:uid="{00000000-0005-0000-0000-00008B000000}"/>
    <cellStyle name="% 27 13" xfId="203" xr:uid="{00000000-0005-0000-0000-00008C000000}"/>
    <cellStyle name="% 27 2" xfId="204" xr:uid="{00000000-0005-0000-0000-00008D000000}"/>
    <cellStyle name="% 27 3" xfId="205" xr:uid="{00000000-0005-0000-0000-00008E000000}"/>
    <cellStyle name="% 27 4" xfId="206" xr:uid="{00000000-0005-0000-0000-00008F000000}"/>
    <cellStyle name="% 27 5" xfId="207" xr:uid="{00000000-0005-0000-0000-000090000000}"/>
    <cellStyle name="% 27 6" xfId="208" xr:uid="{00000000-0005-0000-0000-000091000000}"/>
    <cellStyle name="% 27 7" xfId="209" xr:uid="{00000000-0005-0000-0000-000092000000}"/>
    <cellStyle name="% 27 8" xfId="210" xr:uid="{00000000-0005-0000-0000-000093000000}"/>
    <cellStyle name="% 27 9" xfId="211" xr:uid="{00000000-0005-0000-0000-000094000000}"/>
    <cellStyle name="% 28" xfId="212" xr:uid="{00000000-0005-0000-0000-000095000000}"/>
    <cellStyle name="% 29" xfId="213" xr:uid="{00000000-0005-0000-0000-000096000000}"/>
    <cellStyle name="% 3" xfId="214" xr:uid="{00000000-0005-0000-0000-000097000000}"/>
    <cellStyle name="% 3 2" xfId="215" xr:uid="{00000000-0005-0000-0000-000098000000}"/>
    <cellStyle name="% 30" xfId="216" xr:uid="{00000000-0005-0000-0000-000099000000}"/>
    <cellStyle name="% 31" xfId="217" xr:uid="{00000000-0005-0000-0000-00009A000000}"/>
    <cellStyle name="% 32" xfId="218" xr:uid="{00000000-0005-0000-0000-00009B000000}"/>
    <cellStyle name="% 33" xfId="219" xr:uid="{00000000-0005-0000-0000-00009C000000}"/>
    <cellStyle name="% 34" xfId="220" xr:uid="{00000000-0005-0000-0000-00009D000000}"/>
    <cellStyle name="% 35" xfId="221" xr:uid="{00000000-0005-0000-0000-00009E000000}"/>
    <cellStyle name="% 36" xfId="222" xr:uid="{00000000-0005-0000-0000-00009F000000}"/>
    <cellStyle name="% 37" xfId="223" xr:uid="{00000000-0005-0000-0000-0000A0000000}"/>
    <cellStyle name="% 38" xfId="224" xr:uid="{00000000-0005-0000-0000-0000A1000000}"/>
    <cellStyle name="% 39" xfId="225" xr:uid="{00000000-0005-0000-0000-0000A2000000}"/>
    <cellStyle name="% 4" xfId="226" xr:uid="{00000000-0005-0000-0000-0000A3000000}"/>
    <cellStyle name="% 40" xfId="227" xr:uid="{00000000-0005-0000-0000-0000A4000000}"/>
    <cellStyle name="% 41" xfId="228" xr:uid="{00000000-0005-0000-0000-0000A5000000}"/>
    <cellStyle name="% 42" xfId="229" xr:uid="{00000000-0005-0000-0000-0000A6000000}"/>
    <cellStyle name="% 43" xfId="230" xr:uid="{00000000-0005-0000-0000-0000A7000000}"/>
    <cellStyle name="% 44" xfId="231" xr:uid="{00000000-0005-0000-0000-0000A8000000}"/>
    <cellStyle name="% 45" xfId="232" xr:uid="{00000000-0005-0000-0000-0000A9000000}"/>
    <cellStyle name="% 46" xfId="233" xr:uid="{00000000-0005-0000-0000-0000AA000000}"/>
    <cellStyle name="% 47" xfId="234" xr:uid="{00000000-0005-0000-0000-0000AB000000}"/>
    <cellStyle name="% 48" xfId="235" xr:uid="{00000000-0005-0000-0000-0000AC000000}"/>
    <cellStyle name="% 49" xfId="236" xr:uid="{00000000-0005-0000-0000-0000AD000000}"/>
    <cellStyle name="% 5" xfId="237" xr:uid="{00000000-0005-0000-0000-0000AE000000}"/>
    <cellStyle name="% 50" xfId="238" xr:uid="{00000000-0005-0000-0000-0000AF000000}"/>
    <cellStyle name="% 51" xfId="239" xr:uid="{00000000-0005-0000-0000-0000B0000000}"/>
    <cellStyle name="% 6" xfId="240" xr:uid="{00000000-0005-0000-0000-0000B1000000}"/>
    <cellStyle name="% 7" xfId="241" xr:uid="{00000000-0005-0000-0000-0000B2000000}"/>
    <cellStyle name="% 8" xfId="242" xr:uid="{00000000-0005-0000-0000-0000B3000000}"/>
    <cellStyle name="% 9" xfId="243" xr:uid="{00000000-0005-0000-0000-0000B4000000}"/>
    <cellStyle name="% equity" xfId="244" xr:uid="{00000000-0005-0000-0000-0000B5000000}"/>
    <cellStyle name="%_~5651955" xfId="245" xr:uid="{00000000-0005-0000-0000-0000B6000000}"/>
    <cellStyle name="%_~5651955 2" xfId="246" xr:uid="{00000000-0005-0000-0000-0000B7000000}"/>
    <cellStyle name="%_~5651955 2 10" xfId="247" xr:uid="{00000000-0005-0000-0000-0000B8000000}"/>
    <cellStyle name="%_~5651955 2 11" xfId="248" xr:uid="{00000000-0005-0000-0000-0000B9000000}"/>
    <cellStyle name="%_~5651955 2 12" xfId="249" xr:uid="{00000000-0005-0000-0000-0000BA000000}"/>
    <cellStyle name="%_~5651955 2 13" xfId="250" xr:uid="{00000000-0005-0000-0000-0000BB000000}"/>
    <cellStyle name="%_~5651955 2 2" xfId="251" xr:uid="{00000000-0005-0000-0000-0000BC000000}"/>
    <cellStyle name="%_~5651955 2 3" xfId="252" xr:uid="{00000000-0005-0000-0000-0000BD000000}"/>
    <cellStyle name="%_~5651955 2 4" xfId="253" xr:uid="{00000000-0005-0000-0000-0000BE000000}"/>
    <cellStyle name="%_~5651955 2 5" xfId="254" xr:uid="{00000000-0005-0000-0000-0000BF000000}"/>
    <cellStyle name="%_~5651955 2 6" xfId="255" xr:uid="{00000000-0005-0000-0000-0000C0000000}"/>
    <cellStyle name="%_~5651955 2 7" xfId="256" xr:uid="{00000000-0005-0000-0000-0000C1000000}"/>
    <cellStyle name="%_~5651955 2 8" xfId="257" xr:uid="{00000000-0005-0000-0000-0000C2000000}"/>
    <cellStyle name="%_~5651955 2 9" xfId="258" xr:uid="{00000000-0005-0000-0000-0000C3000000}"/>
    <cellStyle name="%_~5651955 3" xfId="259" xr:uid="{00000000-0005-0000-0000-0000C4000000}"/>
    <cellStyle name="%_~5651955 3 10" xfId="260" xr:uid="{00000000-0005-0000-0000-0000C5000000}"/>
    <cellStyle name="%_~5651955 3 11" xfId="261" xr:uid="{00000000-0005-0000-0000-0000C6000000}"/>
    <cellStyle name="%_~5651955 3 12" xfId="262" xr:uid="{00000000-0005-0000-0000-0000C7000000}"/>
    <cellStyle name="%_~5651955 3 13" xfId="263" xr:uid="{00000000-0005-0000-0000-0000C8000000}"/>
    <cellStyle name="%_~5651955 3 2" xfId="264" xr:uid="{00000000-0005-0000-0000-0000C9000000}"/>
    <cellStyle name="%_~5651955 3 3" xfId="265" xr:uid="{00000000-0005-0000-0000-0000CA000000}"/>
    <cellStyle name="%_~5651955 3 4" xfId="266" xr:uid="{00000000-0005-0000-0000-0000CB000000}"/>
    <cellStyle name="%_~5651955 3 5" xfId="267" xr:uid="{00000000-0005-0000-0000-0000CC000000}"/>
    <cellStyle name="%_~5651955 3 6" xfId="268" xr:uid="{00000000-0005-0000-0000-0000CD000000}"/>
    <cellStyle name="%_~5651955 3 7" xfId="269" xr:uid="{00000000-0005-0000-0000-0000CE000000}"/>
    <cellStyle name="%_~5651955 3 8" xfId="270" xr:uid="{00000000-0005-0000-0000-0000CF000000}"/>
    <cellStyle name="%_~5651955 3 9" xfId="271" xr:uid="{00000000-0005-0000-0000-0000D0000000}"/>
    <cellStyle name="%_~5651955 4" xfId="272" xr:uid="{00000000-0005-0000-0000-0000D1000000}"/>
    <cellStyle name="%_~5651955 4 10" xfId="273" xr:uid="{00000000-0005-0000-0000-0000D2000000}"/>
    <cellStyle name="%_~5651955 4 11" xfId="274" xr:uid="{00000000-0005-0000-0000-0000D3000000}"/>
    <cellStyle name="%_~5651955 4 12" xfId="275" xr:uid="{00000000-0005-0000-0000-0000D4000000}"/>
    <cellStyle name="%_~5651955 4 13" xfId="276" xr:uid="{00000000-0005-0000-0000-0000D5000000}"/>
    <cellStyle name="%_~5651955 4 2" xfId="277" xr:uid="{00000000-0005-0000-0000-0000D6000000}"/>
    <cellStyle name="%_~5651955 4 3" xfId="278" xr:uid="{00000000-0005-0000-0000-0000D7000000}"/>
    <cellStyle name="%_~5651955 4 4" xfId="279" xr:uid="{00000000-0005-0000-0000-0000D8000000}"/>
    <cellStyle name="%_~5651955 4 5" xfId="280" xr:uid="{00000000-0005-0000-0000-0000D9000000}"/>
    <cellStyle name="%_~5651955 4 6" xfId="281" xr:uid="{00000000-0005-0000-0000-0000DA000000}"/>
    <cellStyle name="%_~5651955 4 7" xfId="282" xr:uid="{00000000-0005-0000-0000-0000DB000000}"/>
    <cellStyle name="%_~5651955 4 8" xfId="283" xr:uid="{00000000-0005-0000-0000-0000DC000000}"/>
    <cellStyle name="%_~5651955 4 9" xfId="284" xr:uid="{00000000-0005-0000-0000-0000DD000000}"/>
    <cellStyle name="%_~5651955 5" xfId="285" xr:uid="{00000000-0005-0000-0000-0000DE000000}"/>
    <cellStyle name="%_~5651955 5 10" xfId="286" xr:uid="{00000000-0005-0000-0000-0000DF000000}"/>
    <cellStyle name="%_~5651955 5 11" xfId="287" xr:uid="{00000000-0005-0000-0000-0000E0000000}"/>
    <cellStyle name="%_~5651955 5 12" xfId="288" xr:uid="{00000000-0005-0000-0000-0000E1000000}"/>
    <cellStyle name="%_~5651955 5 13" xfId="289" xr:uid="{00000000-0005-0000-0000-0000E2000000}"/>
    <cellStyle name="%_~5651955 5 2" xfId="290" xr:uid="{00000000-0005-0000-0000-0000E3000000}"/>
    <cellStyle name="%_~5651955 5 3" xfId="291" xr:uid="{00000000-0005-0000-0000-0000E4000000}"/>
    <cellStyle name="%_~5651955 5 4" xfId="292" xr:uid="{00000000-0005-0000-0000-0000E5000000}"/>
    <cellStyle name="%_~5651955 5 5" xfId="293" xr:uid="{00000000-0005-0000-0000-0000E6000000}"/>
    <cellStyle name="%_~5651955 5 6" xfId="294" xr:uid="{00000000-0005-0000-0000-0000E7000000}"/>
    <cellStyle name="%_~5651955 5 7" xfId="295" xr:uid="{00000000-0005-0000-0000-0000E8000000}"/>
    <cellStyle name="%_~5651955 5 8" xfId="296" xr:uid="{00000000-0005-0000-0000-0000E9000000}"/>
    <cellStyle name="%_~5651955 5 9" xfId="297" xr:uid="{00000000-0005-0000-0000-0000EA000000}"/>
    <cellStyle name="%_~5651955 6" xfId="298" xr:uid="{00000000-0005-0000-0000-0000EB000000}"/>
    <cellStyle name="%_~5651955 6 10" xfId="299" xr:uid="{00000000-0005-0000-0000-0000EC000000}"/>
    <cellStyle name="%_~5651955 6 11" xfId="300" xr:uid="{00000000-0005-0000-0000-0000ED000000}"/>
    <cellStyle name="%_~5651955 6 12" xfId="301" xr:uid="{00000000-0005-0000-0000-0000EE000000}"/>
    <cellStyle name="%_~5651955 6 13" xfId="302" xr:uid="{00000000-0005-0000-0000-0000EF000000}"/>
    <cellStyle name="%_~5651955 6 2" xfId="303" xr:uid="{00000000-0005-0000-0000-0000F0000000}"/>
    <cellStyle name="%_~5651955 6 3" xfId="304" xr:uid="{00000000-0005-0000-0000-0000F1000000}"/>
    <cellStyle name="%_~5651955 6 4" xfId="305" xr:uid="{00000000-0005-0000-0000-0000F2000000}"/>
    <cellStyle name="%_~5651955 6 5" xfId="306" xr:uid="{00000000-0005-0000-0000-0000F3000000}"/>
    <cellStyle name="%_~5651955 6 6" xfId="307" xr:uid="{00000000-0005-0000-0000-0000F4000000}"/>
    <cellStyle name="%_~5651955 6 7" xfId="308" xr:uid="{00000000-0005-0000-0000-0000F5000000}"/>
    <cellStyle name="%_~5651955 6 8" xfId="309" xr:uid="{00000000-0005-0000-0000-0000F6000000}"/>
    <cellStyle name="%_~5651955 6 9" xfId="310" xr:uid="{00000000-0005-0000-0000-0000F7000000}"/>
    <cellStyle name="%_~5651955 7" xfId="311" xr:uid="{00000000-0005-0000-0000-0000F8000000}"/>
    <cellStyle name="%_~5651955 7 10" xfId="312" xr:uid="{00000000-0005-0000-0000-0000F9000000}"/>
    <cellStyle name="%_~5651955 7 11" xfId="313" xr:uid="{00000000-0005-0000-0000-0000FA000000}"/>
    <cellStyle name="%_~5651955 7 12" xfId="314" xr:uid="{00000000-0005-0000-0000-0000FB000000}"/>
    <cellStyle name="%_~5651955 7 13" xfId="315" xr:uid="{00000000-0005-0000-0000-0000FC000000}"/>
    <cellStyle name="%_~5651955 7 2" xfId="316" xr:uid="{00000000-0005-0000-0000-0000FD000000}"/>
    <cellStyle name="%_~5651955 7 3" xfId="317" xr:uid="{00000000-0005-0000-0000-0000FE000000}"/>
    <cellStyle name="%_~5651955 7 4" xfId="318" xr:uid="{00000000-0005-0000-0000-0000FF000000}"/>
    <cellStyle name="%_~5651955 7 5" xfId="319" xr:uid="{00000000-0005-0000-0000-000000010000}"/>
    <cellStyle name="%_~5651955 7 6" xfId="320" xr:uid="{00000000-0005-0000-0000-000001010000}"/>
    <cellStyle name="%_~5651955 7 7" xfId="321" xr:uid="{00000000-0005-0000-0000-000002010000}"/>
    <cellStyle name="%_~5651955 7 8" xfId="322" xr:uid="{00000000-0005-0000-0000-000003010000}"/>
    <cellStyle name="%_~5651955 7 9" xfId="323" xr:uid="{00000000-0005-0000-0000-000004010000}"/>
    <cellStyle name="%_~5651955 8" xfId="324" xr:uid="{00000000-0005-0000-0000-000005010000}"/>
    <cellStyle name="%_~5651955 8 10" xfId="325" xr:uid="{00000000-0005-0000-0000-000006010000}"/>
    <cellStyle name="%_~5651955 8 11" xfId="326" xr:uid="{00000000-0005-0000-0000-000007010000}"/>
    <cellStyle name="%_~5651955 8 12" xfId="327" xr:uid="{00000000-0005-0000-0000-000008010000}"/>
    <cellStyle name="%_~5651955 8 13" xfId="328" xr:uid="{00000000-0005-0000-0000-000009010000}"/>
    <cellStyle name="%_~5651955 8 2" xfId="329" xr:uid="{00000000-0005-0000-0000-00000A010000}"/>
    <cellStyle name="%_~5651955 8 3" xfId="330" xr:uid="{00000000-0005-0000-0000-00000B010000}"/>
    <cellStyle name="%_~5651955 8 4" xfId="331" xr:uid="{00000000-0005-0000-0000-00000C010000}"/>
    <cellStyle name="%_~5651955 8 5" xfId="332" xr:uid="{00000000-0005-0000-0000-00000D010000}"/>
    <cellStyle name="%_~5651955 8 6" xfId="333" xr:uid="{00000000-0005-0000-0000-00000E010000}"/>
    <cellStyle name="%_~5651955 8 7" xfId="334" xr:uid="{00000000-0005-0000-0000-00000F010000}"/>
    <cellStyle name="%_~5651955 8 8" xfId="335" xr:uid="{00000000-0005-0000-0000-000010010000}"/>
    <cellStyle name="%_~5651955 8 9" xfId="336" xr:uid="{00000000-0005-0000-0000-000011010000}"/>
    <cellStyle name="%_~5651955_FLUJO CONSOLIDADO CAÑA BRAVA OCT 2010" xfId="337" xr:uid="{00000000-0005-0000-0000-000012010000}"/>
    <cellStyle name="%_~5651955_Flujo de Caja Consolidado Setiembre 23.09.2010 - Ok" xfId="338" xr:uid="{00000000-0005-0000-0000-000013010000}"/>
    <cellStyle name="%_~5651955_Libro2" xfId="339" xr:uid="{00000000-0005-0000-0000-000014010000}"/>
    <cellStyle name="%_~5651955_PB. 2011 - Versión Final 30 Dic al Comité de Grencia" xfId="340" xr:uid="{00000000-0005-0000-0000-000015010000}"/>
    <cellStyle name="%_~6344138" xfId="341" xr:uid="{00000000-0005-0000-0000-000016010000}"/>
    <cellStyle name="%_~6344138 2" xfId="342" xr:uid="{00000000-0005-0000-0000-000017010000}"/>
    <cellStyle name="%_~6344138 2 10" xfId="343" xr:uid="{00000000-0005-0000-0000-000018010000}"/>
    <cellStyle name="%_~6344138 2 11" xfId="344" xr:uid="{00000000-0005-0000-0000-000019010000}"/>
    <cellStyle name="%_~6344138 2 12" xfId="345" xr:uid="{00000000-0005-0000-0000-00001A010000}"/>
    <cellStyle name="%_~6344138 2 13" xfId="346" xr:uid="{00000000-0005-0000-0000-00001B010000}"/>
    <cellStyle name="%_~6344138 2 2" xfId="347" xr:uid="{00000000-0005-0000-0000-00001C010000}"/>
    <cellStyle name="%_~6344138 2 3" xfId="348" xr:uid="{00000000-0005-0000-0000-00001D010000}"/>
    <cellStyle name="%_~6344138 2 4" xfId="349" xr:uid="{00000000-0005-0000-0000-00001E010000}"/>
    <cellStyle name="%_~6344138 2 5" xfId="350" xr:uid="{00000000-0005-0000-0000-00001F010000}"/>
    <cellStyle name="%_~6344138 2 6" xfId="351" xr:uid="{00000000-0005-0000-0000-000020010000}"/>
    <cellStyle name="%_~6344138 2 7" xfId="352" xr:uid="{00000000-0005-0000-0000-000021010000}"/>
    <cellStyle name="%_~6344138 2 8" xfId="353" xr:uid="{00000000-0005-0000-0000-000022010000}"/>
    <cellStyle name="%_~6344138 2 9" xfId="354" xr:uid="{00000000-0005-0000-0000-000023010000}"/>
    <cellStyle name="%_~6344138 3" xfId="355" xr:uid="{00000000-0005-0000-0000-000024010000}"/>
    <cellStyle name="%_~6344138 3 10" xfId="356" xr:uid="{00000000-0005-0000-0000-000025010000}"/>
    <cellStyle name="%_~6344138 3 11" xfId="357" xr:uid="{00000000-0005-0000-0000-000026010000}"/>
    <cellStyle name="%_~6344138 3 12" xfId="358" xr:uid="{00000000-0005-0000-0000-000027010000}"/>
    <cellStyle name="%_~6344138 3 13" xfId="359" xr:uid="{00000000-0005-0000-0000-000028010000}"/>
    <cellStyle name="%_~6344138 3 2" xfId="360" xr:uid="{00000000-0005-0000-0000-000029010000}"/>
    <cellStyle name="%_~6344138 3 3" xfId="361" xr:uid="{00000000-0005-0000-0000-00002A010000}"/>
    <cellStyle name="%_~6344138 3 4" xfId="362" xr:uid="{00000000-0005-0000-0000-00002B010000}"/>
    <cellStyle name="%_~6344138 3 5" xfId="363" xr:uid="{00000000-0005-0000-0000-00002C010000}"/>
    <cellStyle name="%_~6344138 3 6" xfId="364" xr:uid="{00000000-0005-0000-0000-00002D010000}"/>
    <cellStyle name="%_~6344138 3 7" xfId="365" xr:uid="{00000000-0005-0000-0000-00002E010000}"/>
    <cellStyle name="%_~6344138 3 8" xfId="366" xr:uid="{00000000-0005-0000-0000-00002F010000}"/>
    <cellStyle name="%_~6344138 3 9" xfId="367" xr:uid="{00000000-0005-0000-0000-000030010000}"/>
    <cellStyle name="%_~6344138 4" xfId="368" xr:uid="{00000000-0005-0000-0000-000031010000}"/>
    <cellStyle name="%_~6344138 4 10" xfId="369" xr:uid="{00000000-0005-0000-0000-000032010000}"/>
    <cellStyle name="%_~6344138 4 11" xfId="370" xr:uid="{00000000-0005-0000-0000-000033010000}"/>
    <cellStyle name="%_~6344138 4 12" xfId="371" xr:uid="{00000000-0005-0000-0000-000034010000}"/>
    <cellStyle name="%_~6344138 4 13" xfId="372" xr:uid="{00000000-0005-0000-0000-000035010000}"/>
    <cellStyle name="%_~6344138 4 2" xfId="373" xr:uid="{00000000-0005-0000-0000-000036010000}"/>
    <cellStyle name="%_~6344138 4 3" xfId="374" xr:uid="{00000000-0005-0000-0000-000037010000}"/>
    <cellStyle name="%_~6344138 4 4" xfId="375" xr:uid="{00000000-0005-0000-0000-000038010000}"/>
    <cellStyle name="%_~6344138 4 5" xfId="376" xr:uid="{00000000-0005-0000-0000-000039010000}"/>
    <cellStyle name="%_~6344138 4 6" xfId="377" xr:uid="{00000000-0005-0000-0000-00003A010000}"/>
    <cellStyle name="%_~6344138 4 7" xfId="378" xr:uid="{00000000-0005-0000-0000-00003B010000}"/>
    <cellStyle name="%_~6344138 4 8" xfId="379" xr:uid="{00000000-0005-0000-0000-00003C010000}"/>
    <cellStyle name="%_~6344138 4 9" xfId="380" xr:uid="{00000000-0005-0000-0000-00003D010000}"/>
    <cellStyle name="%_~6344138 5" xfId="381" xr:uid="{00000000-0005-0000-0000-00003E010000}"/>
    <cellStyle name="%_~6344138 5 10" xfId="382" xr:uid="{00000000-0005-0000-0000-00003F010000}"/>
    <cellStyle name="%_~6344138 5 11" xfId="383" xr:uid="{00000000-0005-0000-0000-000040010000}"/>
    <cellStyle name="%_~6344138 5 12" xfId="384" xr:uid="{00000000-0005-0000-0000-000041010000}"/>
    <cellStyle name="%_~6344138 5 13" xfId="385" xr:uid="{00000000-0005-0000-0000-000042010000}"/>
    <cellStyle name="%_~6344138 5 2" xfId="386" xr:uid="{00000000-0005-0000-0000-000043010000}"/>
    <cellStyle name="%_~6344138 5 3" xfId="387" xr:uid="{00000000-0005-0000-0000-000044010000}"/>
    <cellStyle name="%_~6344138 5 4" xfId="388" xr:uid="{00000000-0005-0000-0000-000045010000}"/>
    <cellStyle name="%_~6344138 5 5" xfId="389" xr:uid="{00000000-0005-0000-0000-000046010000}"/>
    <cellStyle name="%_~6344138 5 6" xfId="390" xr:uid="{00000000-0005-0000-0000-000047010000}"/>
    <cellStyle name="%_~6344138 5 7" xfId="391" xr:uid="{00000000-0005-0000-0000-000048010000}"/>
    <cellStyle name="%_~6344138 5 8" xfId="392" xr:uid="{00000000-0005-0000-0000-000049010000}"/>
    <cellStyle name="%_~6344138 5 9" xfId="393" xr:uid="{00000000-0005-0000-0000-00004A010000}"/>
    <cellStyle name="%_~6344138 6" xfId="394" xr:uid="{00000000-0005-0000-0000-00004B010000}"/>
    <cellStyle name="%_~6344138 6 10" xfId="395" xr:uid="{00000000-0005-0000-0000-00004C010000}"/>
    <cellStyle name="%_~6344138 6 11" xfId="396" xr:uid="{00000000-0005-0000-0000-00004D010000}"/>
    <cellStyle name="%_~6344138 6 12" xfId="397" xr:uid="{00000000-0005-0000-0000-00004E010000}"/>
    <cellStyle name="%_~6344138 6 13" xfId="398" xr:uid="{00000000-0005-0000-0000-00004F010000}"/>
    <cellStyle name="%_~6344138 6 2" xfId="399" xr:uid="{00000000-0005-0000-0000-000050010000}"/>
    <cellStyle name="%_~6344138 6 3" xfId="400" xr:uid="{00000000-0005-0000-0000-000051010000}"/>
    <cellStyle name="%_~6344138 6 4" xfId="401" xr:uid="{00000000-0005-0000-0000-000052010000}"/>
    <cellStyle name="%_~6344138 6 5" xfId="402" xr:uid="{00000000-0005-0000-0000-000053010000}"/>
    <cellStyle name="%_~6344138 6 6" xfId="403" xr:uid="{00000000-0005-0000-0000-000054010000}"/>
    <cellStyle name="%_~6344138 6 7" xfId="404" xr:uid="{00000000-0005-0000-0000-000055010000}"/>
    <cellStyle name="%_~6344138 6 8" xfId="405" xr:uid="{00000000-0005-0000-0000-000056010000}"/>
    <cellStyle name="%_~6344138 6 9" xfId="406" xr:uid="{00000000-0005-0000-0000-000057010000}"/>
    <cellStyle name="%_~6344138 7" xfId="407" xr:uid="{00000000-0005-0000-0000-000058010000}"/>
    <cellStyle name="%_~6344138 7 10" xfId="408" xr:uid="{00000000-0005-0000-0000-000059010000}"/>
    <cellStyle name="%_~6344138 7 11" xfId="409" xr:uid="{00000000-0005-0000-0000-00005A010000}"/>
    <cellStyle name="%_~6344138 7 12" xfId="410" xr:uid="{00000000-0005-0000-0000-00005B010000}"/>
    <cellStyle name="%_~6344138 7 13" xfId="411" xr:uid="{00000000-0005-0000-0000-00005C010000}"/>
    <cellStyle name="%_~6344138 7 2" xfId="412" xr:uid="{00000000-0005-0000-0000-00005D010000}"/>
    <cellStyle name="%_~6344138 7 3" xfId="413" xr:uid="{00000000-0005-0000-0000-00005E010000}"/>
    <cellStyle name="%_~6344138 7 4" xfId="414" xr:uid="{00000000-0005-0000-0000-00005F010000}"/>
    <cellStyle name="%_~6344138 7 5" xfId="415" xr:uid="{00000000-0005-0000-0000-000060010000}"/>
    <cellStyle name="%_~6344138 7 6" xfId="416" xr:uid="{00000000-0005-0000-0000-000061010000}"/>
    <cellStyle name="%_~6344138 7 7" xfId="417" xr:uid="{00000000-0005-0000-0000-000062010000}"/>
    <cellStyle name="%_~6344138 7 8" xfId="418" xr:uid="{00000000-0005-0000-0000-000063010000}"/>
    <cellStyle name="%_~6344138 7 9" xfId="419" xr:uid="{00000000-0005-0000-0000-000064010000}"/>
    <cellStyle name="%_~6344138 8" xfId="420" xr:uid="{00000000-0005-0000-0000-000065010000}"/>
    <cellStyle name="%_~6344138 8 10" xfId="421" xr:uid="{00000000-0005-0000-0000-000066010000}"/>
    <cellStyle name="%_~6344138 8 11" xfId="422" xr:uid="{00000000-0005-0000-0000-000067010000}"/>
    <cellStyle name="%_~6344138 8 12" xfId="423" xr:uid="{00000000-0005-0000-0000-000068010000}"/>
    <cellStyle name="%_~6344138 8 13" xfId="424" xr:uid="{00000000-0005-0000-0000-000069010000}"/>
    <cellStyle name="%_~6344138 8 2" xfId="425" xr:uid="{00000000-0005-0000-0000-00006A010000}"/>
    <cellStyle name="%_~6344138 8 3" xfId="426" xr:uid="{00000000-0005-0000-0000-00006B010000}"/>
    <cellStyle name="%_~6344138 8 4" xfId="427" xr:uid="{00000000-0005-0000-0000-00006C010000}"/>
    <cellStyle name="%_~6344138 8 5" xfId="428" xr:uid="{00000000-0005-0000-0000-00006D010000}"/>
    <cellStyle name="%_~6344138 8 6" xfId="429" xr:uid="{00000000-0005-0000-0000-00006E010000}"/>
    <cellStyle name="%_~6344138 8 7" xfId="430" xr:uid="{00000000-0005-0000-0000-00006F010000}"/>
    <cellStyle name="%_~6344138 8 8" xfId="431" xr:uid="{00000000-0005-0000-0000-000070010000}"/>
    <cellStyle name="%_~6344138 8 9" xfId="432" xr:uid="{00000000-0005-0000-0000-000071010000}"/>
    <cellStyle name="%_~6344138_FLUJO CONSOLIDADO CAÑA BRAVA OCT 2010" xfId="433" xr:uid="{00000000-0005-0000-0000-000072010000}"/>
    <cellStyle name="%_~6344138_Flujo de Caja Consolidado Setiembre 23.09.2010 - Ok" xfId="434" xr:uid="{00000000-0005-0000-0000-000073010000}"/>
    <cellStyle name="%_~6344138_Libro2" xfId="435" xr:uid="{00000000-0005-0000-0000-000074010000}"/>
    <cellStyle name="%_~6344138_PB. 2011 - Versión Final 30 Dic al Comité de Grencia" xfId="436" xr:uid="{00000000-0005-0000-0000-000075010000}"/>
    <cellStyle name="%_07 Formatos Finanzas rev1" xfId="437" xr:uid="{00000000-0005-0000-0000-000076010000}"/>
    <cellStyle name="%_12 Formatos Finanzas" xfId="438" xr:uid="{00000000-0005-0000-0000-000077010000}"/>
    <cellStyle name="%_12 Minka_Metodizador" xfId="439" xr:uid="{00000000-0005-0000-0000-000078010000}"/>
    <cellStyle name="%_ANALISIS PRIMAX MODELO FINAL" xfId="440" xr:uid="{00000000-0005-0000-0000-000079010000}"/>
    <cellStyle name="%_ANALISIS PRIMAX MODELO FINAL 2" xfId="441" xr:uid="{00000000-0005-0000-0000-00007A010000}"/>
    <cellStyle name="%_ANALISIS PRIMAX MODELO FINAL 2 10" xfId="442" xr:uid="{00000000-0005-0000-0000-00007B010000}"/>
    <cellStyle name="%_ANALISIS PRIMAX MODELO FINAL 2 11" xfId="443" xr:uid="{00000000-0005-0000-0000-00007C010000}"/>
    <cellStyle name="%_ANALISIS PRIMAX MODELO FINAL 2 12" xfId="444" xr:uid="{00000000-0005-0000-0000-00007D010000}"/>
    <cellStyle name="%_ANALISIS PRIMAX MODELO FINAL 2 13" xfId="445" xr:uid="{00000000-0005-0000-0000-00007E010000}"/>
    <cellStyle name="%_ANALISIS PRIMAX MODELO FINAL 2 2" xfId="446" xr:uid="{00000000-0005-0000-0000-00007F010000}"/>
    <cellStyle name="%_ANALISIS PRIMAX MODELO FINAL 2 3" xfId="447" xr:uid="{00000000-0005-0000-0000-000080010000}"/>
    <cellStyle name="%_ANALISIS PRIMAX MODELO FINAL 2 4" xfId="448" xr:uid="{00000000-0005-0000-0000-000081010000}"/>
    <cellStyle name="%_ANALISIS PRIMAX MODELO FINAL 2 5" xfId="449" xr:uid="{00000000-0005-0000-0000-000082010000}"/>
    <cellStyle name="%_ANALISIS PRIMAX MODELO FINAL 2 6" xfId="450" xr:uid="{00000000-0005-0000-0000-000083010000}"/>
    <cellStyle name="%_ANALISIS PRIMAX MODELO FINAL 2 7" xfId="451" xr:uid="{00000000-0005-0000-0000-000084010000}"/>
    <cellStyle name="%_ANALISIS PRIMAX MODELO FINAL 2 8" xfId="452" xr:uid="{00000000-0005-0000-0000-000085010000}"/>
    <cellStyle name="%_ANALISIS PRIMAX MODELO FINAL 2 9" xfId="453" xr:uid="{00000000-0005-0000-0000-000086010000}"/>
    <cellStyle name="%_ANALISIS PRIMAX MODELO FINAL 3" xfId="454" xr:uid="{00000000-0005-0000-0000-000087010000}"/>
    <cellStyle name="%_ANALISIS PRIMAX MODELO FINAL 3 10" xfId="455" xr:uid="{00000000-0005-0000-0000-000088010000}"/>
    <cellStyle name="%_ANALISIS PRIMAX MODELO FINAL 3 11" xfId="456" xr:uid="{00000000-0005-0000-0000-000089010000}"/>
    <cellStyle name="%_ANALISIS PRIMAX MODELO FINAL 3 12" xfId="457" xr:uid="{00000000-0005-0000-0000-00008A010000}"/>
    <cellStyle name="%_ANALISIS PRIMAX MODELO FINAL 3 13" xfId="458" xr:uid="{00000000-0005-0000-0000-00008B010000}"/>
    <cellStyle name="%_ANALISIS PRIMAX MODELO FINAL 3 2" xfId="459" xr:uid="{00000000-0005-0000-0000-00008C010000}"/>
    <cellStyle name="%_ANALISIS PRIMAX MODELO FINAL 3 3" xfId="460" xr:uid="{00000000-0005-0000-0000-00008D010000}"/>
    <cellStyle name="%_ANALISIS PRIMAX MODELO FINAL 3 4" xfId="461" xr:uid="{00000000-0005-0000-0000-00008E010000}"/>
    <cellStyle name="%_ANALISIS PRIMAX MODELO FINAL 3 5" xfId="462" xr:uid="{00000000-0005-0000-0000-00008F010000}"/>
    <cellStyle name="%_ANALISIS PRIMAX MODELO FINAL 3 6" xfId="463" xr:uid="{00000000-0005-0000-0000-000090010000}"/>
    <cellStyle name="%_ANALISIS PRIMAX MODELO FINAL 3 7" xfId="464" xr:uid="{00000000-0005-0000-0000-000091010000}"/>
    <cellStyle name="%_ANALISIS PRIMAX MODELO FINAL 3 8" xfId="465" xr:uid="{00000000-0005-0000-0000-000092010000}"/>
    <cellStyle name="%_ANALISIS PRIMAX MODELO FINAL 3 9" xfId="466" xr:uid="{00000000-0005-0000-0000-000093010000}"/>
    <cellStyle name="%_ANALISIS PRIMAX MODELO FINAL 4" xfId="467" xr:uid="{00000000-0005-0000-0000-000094010000}"/>
    <cellStyle name="%_ANALISIS PRIMAX MODELO FINAL 4 10" xfId="468" xr:uid="{00000000-0005-0000-0000-000095010000}"/>
    <cellStyle name="%_ANALISIS PRIMAX MODELO FINAL 4 11" xfId="469" xr:uid="{00000000-0005-0000-0000-000096010000}"/>
    <cellStyle name="%_ANALISIS PRIMAX MODELO FINAL 4 12" xfId="470" xr:uid="{00000000-0005-0000-0000-000097010000}"/>
    <cellStyle name="%_ANALISIS PRIMAX MODELO FINAL 4 13" xfId="471" xr:uid="{00000000-0005-0000-0000-000098010000}"/>
    <cellStyle name="%_ANALISIS PRIMAX MODELO FINAL 4 2" xfId="472" xr:uid="{00000000-0005-0000-0000-000099010000}"/>
    <cellStyle name="%_ANALISIS PRIMAX MODELO FINAL 4 3" xfId="473" xr:uid="{00000000-0005-0000-0000-00009A010000}"/>
    <cellStyle name="%_ANALISIS PRIMAX MODELO FINAL 4 4" xfId="474" xr:uid="{00000000-0005-0000-0000-00009B010000}"/>
    <cellStyle name="%_ANALISIS PRIMAX MODELO FINAL 4 5" xfId="475" xr:uid="{00000000-0005-0000-0000-00009C010000}"/>
    <cellStyle name="%_ANALISIS PRIMAX MODELO FINAL 4 6" xfId="476" xr:uid="{00000000-0005-0000-0000-00009D010000}"/>
    <cellStyle name="%_ANALISIS PRIMAX MODELO FINAL 4 7" xfId="477" xr:uid="{00000000-0005-0000-0000-00009E010000}"/>
    <cellStyle name="%_ANALISIS PRIMAX MODELO FINAL 4 8" xfId="478" xr:uid="{00000000-0005-0000-0000-00009F010000}"/>
    <cellStyle name="%_ANALISIS PRIMAX MODELO FINAL 4 9" xfId="479" xr:uid="{00000000-0005-0000-0000-0000A0010000}"/>
    <cellStyle name="%_ANALISIS PRIMAX MODELO FINAL 5" xfId="480" xr:uid="{00000000-0005-0000-0000-0000A1010000}"/>
    <cellStyle name="%_ANALISIS PRIMAX MODELO FINAL 5 10" xfId="481" xr:uid="{00000000-0005-0000-0000-0000A2010000}"/>
    <cellStyle name="%_ANALISIS PRIMAX MODELO FINAL 5 11" xfId="482" xr:uid="{00000000-0005-0000-0000-0000A3010000}"/>
    <cellStyle name="%_ANALISIS PRIMAX MODELO FINAL 5 12" xfId="483" xr:uid="{00000000-0005-0000-0000-0000A4010000}"/>
    <cellStyle name="%_ANALISIS PRIMAX MODELO FINAL 5 13" xfId="484" xr:uid="{00000000-0005-0000-0000-0000A5010000}"/>
    <cellStyle name="%_ANALISIS PRIMAX MODELO FINAL 5 2" xfId="485" xr:uid="{00000000-0005-0000-0000-0000A6010000}"/>
    <cellStyle name="%_ANALISIS PRIMAX MODELO FINAL 5 3" xfId="486" xr:uid="{00000000-0005-0000-0000-0000A7010000}"/>
    <cellStyle name="%_ANALISIS PRIMAX MODELO FINAL 5 4" xfId="487" xr:uid="{00000000-0005-0000-0000-0000A8010000}"/>
    <cellStyle name="%_ANALISIS PRIMAX MODELO FINAL 5 5" xfId="488" xr:uid="{00000000-0005-0000-0000-0000A9010000}"/>
    <cellStyle name="%_ANALISIS PRIMAX MODELO FINAL 5 6" xfId="489" xr:uid="{00000000-0005-0000-0000-0000AA010000}"/>
    <cellStyle name="%_ANALISIS PRIMAX MODELO FINAL 5 7" xfId="490" xr:uid="{00000000-0005-0000-0000-0000AB010000}"/>
    <cellStyle name="%_ANALISIS PRIMAX MODELO FINAL 5 8" xfId="491" xr:uid="{00000000-0005-0000-0000-0000AC010000}"/>
    <cellStyle name="%_ANALISIS PRIMAX MODELO FINAL 5 9" xfId="492" xr:uid="{00000000-0005-0000-0000-0000AD010000}"/>
    <cellStyle name="%_ANALISIS PRIMAX MODELO FINAL 6" xfId="493" xr:uid="{00000000-0005-0000-0000-0000AE010000}"/>
    <cellStyle name="%_ANALISIS PRIMAX MODELO FINAL 6 10" xfId="494" xr:uid="{00000000-0005-0000-0000-0000AF010000}"/>
    <cellStyle name="%_ANALISIS PRIMAX MODELO FINAL 6 11" xfId="495" xr:uid="{00000000-0005-0000-0000-0000B0010000}"/>
    <cellStyle name="%_ANALISIS PRIMAX MODELO FINAL 6 12" xfId="496" xr:uid="{00000000-0005-0000-0000-0000B1010000}"/>
    <cellStyle name="%_ANALISIS PRIMAX MODELO FINAL 6 13" xfId="497" xr:uid="{00000000-0005-0000-0000-0000B2010000}"/>
    <cellStyle name="%_ANALISIS PRIMAX MODELO FINAL 6 2" xfId="498" xr:uid="{00000000-0005-0000-0000-0000B3010000}"/>
    <cellStyle name="%_ANALISIS PRIMAX MODELO FINAL 6 3" xfId="499" xr:uid="{00000000-0005-0000-0000-0000B4010000}"/>
    <cellStyle name="%_ANALISIS PRIMAX MODELO FINAL 6 4" xfId="500" xr:uid="{00000000-0005-0000-0000-0000B5010000}"/>
    <cellStyle name="%_ANALISIS PRIMAX MODELO FINAL 6 5" xfId="501" xr:uid="{00000000-0005-0000-0000-0000B6010000}"/>
    <cellStyle name="%_ANALISIS PRIMAX MODELO FINAL 6 6" xfId="502" xr:uid="{00000000-0005-0000-0000-0000B7010000}"/>
    <cellStyle name="%_ANALISIS PRIMAX MODELO FINAL 6 7" xfId="503" xr:uid="{00000000-0005-0000-0000-0000B8010000}"/>
    <cellStyle name="%_ANALISIS PRIMAX MODELO FINAL 6 8" xfId="504" xr:uid="{00000000-0005-0000-0000-0000B9010000}"/>
    <cellStyle name="%_ANALISIS PRIMAX MODELO FINAL 6 9" xfId="505" xr:uid="{00000000-0005-0000-0000-0000BA010000}"/>
    <cellStyle name="%_ANALISIS PRIMAX MODELO FINAL 7" xfId="506" xr:uid="{00000000-0005-0000-0000-0000BB010000}"/>
    <cellStyle name="%_ANALISIS PRIMAX MODELO FINAL 7 10" xfId="507" xr:uid="{00000000-0005-0000-0000-0000BC010000}"/>
    <cellStyle name="%_ANALISIS PRIMAX MODELO FINAL 7 11" xfId="508" xr:uid="{00000000-0005-0000-0000-0000BD010000}"/>
    <cellStyle name="%_ANALISIS PRIMAX MODELO FINAL 7 12" xfId="509" xr:uid="{00000000-0005-0000-0000-0000BE010000}"/>
    <cellStyle name="%_ANALISIS PRIMAX MODELO FINAL 7 13" xfId="510" xr:uid="{00000000-0005-0000-0000-0000BF010000}"/>
    <cellStyle name="%_ANALISIS PRIMAX MODELO FINAL 7 2" xfId="511" xr:uid="{00000000-0005-0000-0000-0000C0010000}"/>
    <cellStyle name="%_ANALISIS PRIMAX MODELO FINAL 7 3" xfId="512" xr:uid="{00000000-0005-0000-0000-0000C1010000}"/>
    <cellStyle name="%_ANALISIS PRIMAX MODELO FINAL 7 4" xfId="513" xr:uid="{00000000-0005-0000-0000-0000C2010000}"/>
    <cellStyle name="%_ANALISIS PRIMAX MODELO FINAL 7 5" xfId="514" xr:uid="{00000000-0005-0000-0000-0000C3010000}"/>
    <cellStyle name="%_ANALISIS PRIMAX MODELO FINAL 7 6" xfId="515" xr:uid="{00000000-0005-0000-0000-0000C4010000}"/>
    <cellStyle name="%_ANALISIS PRIMAX MODELO FINAL 7 7" xfId="516" xr:uid="{00000000-0005-0000-0000-0000C5010000}"/>
    <cellStyle name="%_ANALISIS PRIMAX MODELO FINAL 7 8" xfId="517" xr:uid="{00000000-0005-0000-0000-0000C6010000}"/>
    <cellStyle name="%_ANALISIS PRIMAX MODELO FINAL 7 9" xfId="518" xr:uid="{00000000-0005-0000-0000-0000C7010000}"/>
    <cellStyle name="%_ANALISIS PRIMAX MODELO FINAL 8" xfId="519" xr:uid="{00000000-0005-0000-0000-0000C8010000}"/>
    <cellStyle name="%_ANALISIS PRIMAX MODELO FINAL 8 10" xfId="520" xr:uid="{00000000-0005-0000-0000-0000C9010000}"/>
    <cellStyle name="%_ANALISIS PRIMAX MODELO FINAL 8 11" xfId="521" xr:uid="{00000000-0005-0000-0000-0000CA010000}"/>
    <cellStyle name="%_ANALISIS PRIMAX MODELO FINAL 8 12" xfId="522" xr:uid="{00000000-0005-0000-0000-0000CB010000}"/>
    <cellStyle name="%_ANALISIS PRIMAX MODELO FINAL 8 13" xfId="523" xr:uid="{00000000-0005-0000-0000-0000CC010000}"/>
    <cellStyle name="%_ANALISIS PRIMAX MODELO FINAL 8 2" xfId="524" xr:uid="{00000000-0005-0000-0000-0000CD010000}"/>
    <cellStyle name="%_ANALISIS PRIMAX MODELO FINAL 8 3" xfId="525" xr:uid="{00000000-0005-0000-0000-0000CE010000}"/>
    <cellStyle name="%_ANALISIS PRIMAX MODELO FINAL 8 4" xfId="526" xr:uid="{00000000-0005-0000-0000-0000CF010000}"/>
    <cellStyle name="%_ANALISIS PRIMAX MODELO FINAL 8 5" xfId="527" xr:uid="{00000000-0005-0000-0000-0000D0010000}"/>
    <cellStyle name="%_ANALISIS PRIMAX MODELO FINAL 8 6" xfId="528" xr:uid="{00000000-0005-0000-0000-0000D1010000}"/>
    <cellStyle name="%_ANALISIS PRIMAX MODELO FINAL 8 7" xfId="529" xr:uid="{00000000-0005-0000-0000-0000D2010000}"/>
    <cellStyle name="%_ANALISIS PRIMAX MODELO FINAL 8 8" xfId="530" xr:uid="{00000000-0005-0000-0000-0000D3010000}"/>
    <cellStyle name="%_ANALISIS PRIMAX MODELO FINAL 8 9" xfId="531" xr:uid="{00000000-0005-0000-0000-0000D4010000}"/>
    <cellStyle name="%_ANALISIS PRIMAX MODELO FINAL_Central Puertos - Flujo de caja mensual 2009 - Mayo" xfId="532" xr:uid="{00000000-0005-0000-0000-0000D5010000}"/>
    <cellStyle name="%_ANALISIS PRIMAX MODELO FINAL_Central Puertos - Flujo de caja mensual 2009 - Mayo 2" xfId="533" xr:uid="{00000000-0005-0000-0000-0000D6010000}"/>
    <cellStyle name="%_ANALISIS PRIMAX MODELO FINAL_Central Puertos - Flujo de caja mensual 2009 - Mayo 3" xfId="534" xr:uid="{00000000-0005-0000-0000-0000D7010000}"/>
    <cellStyle name="%_ANALISIS PRIMAX MODELO FINAL_Central Puertos - Flujo de caja mensual 2009 - Mayo 4" xfId="535" xr:uid="{00000000-0005-0000-0000-0000D8010000}"/>
    <cellStyle name="%_ANALISIS PRIMAX MODELO FINAL_FLUJO CONSOLIDADO CAÑA BRAVA OCT 2010" xfId="536" xr:uid="{00000000-0005-0000-0000-0000D9010000}"/>
    <cellStyle name="%_ANALISIS PRIMAX MODELO FINAL_Flujo de Caja Consolidado Setiembre 23.09.2010 - Ok" xfId="537" xr:uid="{00000000-0005-0000-0000-0000DA010000}"/>
    <cellStyle name="%_ANALISIS PRIMAX MODELO FINAL_Libro2" xfId="538" xr:uid="{00000000-0005-0000-0000-0000DB010000}"/>
    <cellStyle name="%_ANALISIS PRIMAX MODELO FINAL_PB. 2011 - Versión Final 30 Dic al Comité de Grencia" xfId="539" xr:uid="{00000000-0005-0000-0000-0000DC010000}"/>
    <cellStyle name="%_CAMBIOS EN PRIMAX Y ROMERO TRADING" xfId="540" xr:uid="{00000000-0005-0000-0000-0000DD010000}"/>
    <cellStyle name="%_CAMBIOS EN PRIMAX Y ROMERO TRADING 2" xfId="541" xr:uid="{00000000-0005-0000-0000-0000DE010000}"/>
    <cellStyle name="%_CAMBIOS EN PRIMAX Y ROMERO TRADING 2 10" xfId="542" xr:uid="{00000000-0005-0000-0000-0000DF010000}"/>
    <cellStyle name="%_CAMBIOS EN PRIMAX Y ROMERO TRADING 2 11" xfId="543" xr:uid="{00000000-0005-0000-0000-0000E0010000}"/>
    <cellStyle name="%_CAMBIOS EN PRIMAX Y ROMERO TRADING 2 12" xfId="544" xr:uid="{00000000-0005-0000-0000-0000E1010000}"/>
    <cellStyle name="%_CAMBIOS EN PRIMAX Y ROMERO TRADING 2 13" xfId="545" xr:uid="{00000000-0005-0000-0000-0000E2010000}"/>
    <cellStyle name="%_CAMBIOS EN PRIMAX Y ROMERO TRADING 2 2" xfId="546" xr:uid="{00000000-0005-0000-0000-0000E3010000}"/>
    <cellStyle name="%_CAMBIOS EN PRIMAX Y ROMERO TRADING 2 3" xfId="547" xr:uid="{00000000-0005-0000-0000-0000E4010000}"/>
    <cellStyle name="%_CAMBIOS EN PRIMAX Y ROMERO TRADING 2 4" xfId="548" xr:uid="{00000000-0005-0000-0000-0000E5010000}"/>
    <cellStyle name="%_CAMBIOS EN PRIMAX Y ROMERO TRADING 2 5" xfId="549" xr:uid="{00000000-0005-0000-0000-0000E6010000}"/>
    <cellStyle name="%_CAMBIOS EN PRIMAX Y ROMERO TRADING 2 6" xfId="550" xr:uid="{00000000-0005-0000-0000-0000E7010000}"/>
    <cellStyle name="%_CAMBIOS EN PRIMAX Y ROMERO TRADING 2 7" xfId="551" xr:uid="{00000000-0005-0000-0000-0000E8010000}"/>
    <cellStyle name="%_CAMBIOS EN PRIMAX Y ROMERO TRADING 2 8" xfId="552" xr:uid="{00000000-0005-0000-0000-0000E9010000}"/>
    <cellStyle name="%_CAMBIOS EN PRIMAX Y ROMERO TRADING 2 9" xfId="553" xr:uid="{00000000-0005-0000-0000-0000EA010000}"/>
    <cellStyle name="%_CAMBIOS EN PRIMAX Y ROMERO TRADING 3" xfId="554" xr:uid="{00000000-0005-0000-0000-0000EB010000}"/>
    <cellStyle name="%_CAMBIOS EN PRIMAX Y ROMERO TRADING 3 10" xfId="555" xr:uid="{00000000-0005-0000-0000-0000EC010000}"/>
    <cellStyle name="%_CAMBIOS EN PRIMAX Y ROMERO TRADING 3 11" xfId="556" xr:uid="{00000000-0005-0000-0000-0000ED010000}"/>
    <cellStyle name="%_CAMBIOS EN PRIMAX Y ROMERO TRADING 3 12" xfId="557" xr:uid="{00000000-0005-0000-0000-0000EE010000}"/>
    <cellStyle name="%_CAMBIOS EN PRIMAX Y ROMERO TRADING 3 13" xfId="558" xr:uid="{00000000-0005-0000-0000-0000EF010000}"/>
    <cellStyle name="%_CAMBIOS EN PRIMAX Y ROMERO TRADING 3 2" xfId="559" xr:uid="{00000000-0005-0000-0000-0000F0010000}"/>
    <cellStyle name="%_CAMBIOS EN PRIMAX Y ROMERO TRADING 3 3" xfId="560" xr:uid="{00000000-0005-0000-0000-0000F1010000}"/>
    <cellStyle name="%_CAMBIOS EN PRIMAX Y ROMERO TRADING 3 4" xfId="561" xr:uid="{00000000-0005-0000-0000-0000F2010000}"/>
    <cellStyle name="%_CAMBIOS EN PRIMAX Y ROMERO TRADING 3 5" xfId="562" xr:uid="{00000000-0005-0000-0000-0000F3010000}"/>
    <cellStyle name="%_CAMBIOS EN PRIMAX Y ROMERO TRADING 3 6" xfId="563" xr:uid="{00000000-0005-0000-0000-0000F4010000}"/>
    <cellStyle name="%_CAMBIOS EN PRIMAX Y ROMERO TRADING 3 7" xfId="564" xr:uid="{00000000-0005-0000-0000-0000F5010000}"/>
    <cellStyle name="%_CAMBIOS EN PRIMAX Y ROMERO TRADING 3 8" xfId="565" xr:uid="{00000000-0005-0000-0000-0000F6010000}"/>
    <cellStyle name="%_CAMBIOS EN PRIMAX Y ROMERO TRADING 3 9" xfId="566" xr:uid="{00000000-0005-0000-0000-0000F7010000}"/>
    <cellStyle name="%_CAMBIOS EN PRIMAX Y ROMERO TRADING 4" xfId="567" xr:uid="{00000000-0005-0000-0000-0000F8010000}"/>
    <cellStyle name="%_CAMBIOS EN PRIMAX Y ROMERO TRADING 4 10" xfId="568" xr:uid="{00000000-0005-0000-0000-0000F9010000}"/>
    <cellStyle name="%_CAMBIOS EN PRIMAX Y ROMERO TRADING 4 11" xfId="569" xr:uid="{00000000-0005-0000-0000-0000FA010000}"/>
    <cellStyle name="%_CAMBIOS EN PRIMAX Y ROMERO TRADING 4 12" xfId="570" xr:uid="{00000000-0005-0000-0000-0000FB010000}"/>
    <cellStyle name="%_CAMBIOS EN PRIMAX Y ROMERO TRADING 4 13" xfId="571" xr:uid="{00000000-0005-0000-0000-0000FC010000}"/>
    <cellStyle name="%_CAMBIOS EN PRIMAX Y ROMERO TRADING 4 2" xfId="572" xr:uid="{00000000-0005-0000-0000-0000FD010000}"/>
    <cellStyle name="%_CAMBIOS EN PRIMAX Y ROMERO TRADING 4 3" xfId="573" xr:uid="{00000000-0005-0000-0000-0000FE010000}"/>
    <cellStyle name="%_CAMBIOS EN PRIMAX Y ROMERO TRADING 4 4" xfId="574" xr:uid="{00000000-0005-0000-0000-0000FF010000}"/>
    <cellStyle name="%_CAMBIOS EN PRIMAX Y ROMERO TRADING 4 5" xfId="575" xr:uid="{00000000-0005-0000-0000-000000020000}"/>
    <cellStyle name="%_CAMBIOS EN PRIMAX Y ROMERO TRADING 4 6" xfId="576" xr:uid="{00000000-0005-0000-0000-000001020000}"/>
    <cellStyle name="%_CAMBIOS EN PRIMAX Y ROMERO TRADING 4 7" xfId="577" xr:uid="{00000000-0005-0000-0000-000002020000}"/>
    <cellStyle name="%_CAMBIOS EN PRIMAX Y ROMERO TRADING 4 8" xfId="578" xr:uid="{00000000-0005-0000-0000-000003020000}"/>
    <cellStyle name="%_CAMBIOS EN PRIMAX Y ROMERO TRADING 4 9" xfId="579" xr:uid="{00000000-0005-0000-0000-000004020000}"/>
    <cellStyle name="%_CAMBIOS EN PRIMAX Y ROMERO TRADING 5" xfId="580" xr:uid="{00000000-0005-0000-0000-000005020000}"/>
    <cellStyle name="%_CAMBIOS EN PRIMAX Y ROMERO TRADING 5 10" xfId="581" xr:uid="{00000000-0005-0000-0000-000006020000}"/>
    <cellStyle name="%_CAMBIOS EN PRIMAX Y ROMERO TRADING 5 11" xfId="582" xr:uid="{00000000-0005-0000-0000-000007020000}"/>
    <cellStyle name="%_CAMBIOS EN PRIMAX Y ROMERO TRADING 5 12" xfId="583" xr:uid="{00000000-0005-0000-0000-000008020000}"/>
    <cellStyle name="%_CAMBIOS EN PRIMAX Y ROMERO TRADING 5 13" xfId="584" xr:uid="{00000000-0005-0000-0000-000009020000}"/>
    <cellStyle name="%_CAMBIOS EN PRIMAX Y ROMERO TRADING 5 2" xfId="585" xr:uid="{00000000-0005-0000-0000-00000A020000}"/>
    <cellStyle name="%_CAMBIOS EN PRIMAX Y ROMERO TRADING 5 3" xfId="586" xr:uid="{00000000-0005-0000-0000-00000B020000}"/>
    <cellStyle name="%_CAMBIOS EN PRIMAX Y ROMERO TRADING 5 4" xfId="587" xr:uid="{00000000-0005-0000-0000-00000C020000}"/>
    <cellStyle name="%_CAMBIOS EN PRIMAX Y ROMERO TRADING 5 5" xfId="588" xr:uid="{00000000-0005-0000-0000-00000D020000}"/>
    <cellStyle name="%_CAMBIOS EN PRIMAX Y ROMERO TRADING 5 6" xfId="589" xr:uid="{00000000-0005-0000-0000-00000E020000}"/>
    <cellStyle name="%_CAMBIOS EN PRIMAX Y ROMERO TRADING 5 7" xfId="590" xr:uid="{00000000-0005-0000-0000-00000F020000}"/>
    <cellStyle name="%_CAMBIOS EN PRIMAX Y ROMERO TRADING 5 8" xfId="591" xr:uid="{00000000-0005-0000-0000-000010020000}"/>
    <cellStyle name="%_CAMBIOS EN PRIMAX Y ROMERO TRADING 5 9" xfId="592" xr:uid="{00000000-0005-0000-0000-000011020000}"/>
    <cellStyle name="%_CAMBIOS EN PRIMAX Y ROMERO TRADING 6" xfId="593" xr:uid="{00000000-0005-0000-0000-000012020000}"/>
    <cellStyle name="%_CAMBIOS EN PRIMAX Y ROMERO TRADING 6 10" xfId="594" xr:uid="{00000000-0005-0000-0000-000013020000}"/>
    <cellStyle name="%_CAMBIOS EN PRIMAX Y ROMERO TRADING 6 11" xfId="595" xr:uid="{00000000-0005-0000-0000-000014020000}"/>
    <cellStyle name="%_CAMBIOS EN PRIMAX Y ROMERO TRADING 6 12" xfId="596" xr:uid="{00000000-0005-0000-0000-000015020000}"/>
    <cellStyle name="%_CAMBIOS EN PRIMAX Y ROMERO TRADING 6 13" xfId="597" xr:uid="{00000000-0005-0000-0000-000016020000}"/>
    <cellStyle name="%_CAMBIOS EN PRIMAX Y ROMERO TRADING 6 2" xfId="598" xr:uid="{00000000-0005-0000-0000-000017020000}"/>
    <cellStyle name="%_CAMBIOS EN PRIMAX Y ROMERO TRADING 6 3" xfId="599" xr:uid="{00000000-0005-0000-0000-000018020000}"/>
    <cellStyle name="%_CAMBIOS EN PRIMAX Y ROMERO TRADING 6 4" xfId="600" xr:uid="{00000000-0005-0000-0000-000019020000}"/>
    <cellStyle name="%_CAMBIOS EN PRIMAX Y ROMERO TRADING 6 5" xfId="601" xr:uid="{00000000-0005-0000-0000-00001A020000}"/>
    <cellStyle name="%_CAMBIOS EN PRIMAX Y ROMERO TRADING 6 6" xfId="602" xr:uid="{00000000-0005-0000-0000-00001B020000}"/>
    <cellStyle name="%_CAMBIOS EN PRIMAX Y ROMERO TRADING 6 7" xfId="603" xr:uid="{00000000-0005-0000-0000-00001C020000}"/>
    <cellStyle name="%_CAMBIOS EN PRIMAX Y ROMERO TRADING 6 8" xfId="604" xr:uid="{00000000-0005-0000-0000-00001D020000}"/>
    <cellStyle name="%_CAMBIOS EN PRIMAX Y ROMERO TRADING 6 9" xfId="605" xr:uid="{00000000-0005-0000-0000-00001E020000}"/>
    <cellStyle name="%_CAMBIOS EN PRIMAX Y ROMERO TRADING 7" xfId="606" xr:uid="{00000000-0005-0000-0000-00001F020000}"/>
    <cellStyle name="%_CAMBIOS EN PRIMAX Y ROMERO TRADING 7 10" xfId="607" xr:uid="{00000000-0005-0000-0000-000020020000}"/>
    <cellStyle name="%_CAMBIOS EN PRIMAX Y ROMERO TRADING 7 11" xfId="608" xr:uid="{00000000-0005-0000-0000-000021020000}"/>
    <cellStyle name="%_CAMBIOS EN PRIMAX Y ROMERO TRADING 7 12" xfId="609" xr:uid="{00000000-0005-0000-0000-000022020000}"/>
    <cellStyle name="%_CAMBIOS EN PRIMAX Y ROMERO TRADING 7 13" xfId="610" xr:uid="{00000000-0005-0000-0000-000023020000}"/>
    <cellStyle name="%_CAMBIOS EN PRIMAX Y ROMERO TRADING 7 2" xfId="611" xr:uid="{00000000-0005-0000-0000-000024020000}"/>
    <cellStyle name="%_CAMBIOS EN PRIMAX Y ROMERO TRADING 7 3" xfId="612" xr:uid="{00000000-0005-0000-0000-000025020000}"/>
    <cellStyle name="%_CAMBIOS EN PRIMAX Y ROMERO TRADING 7 4" xfId="613" xr:uid="{00000000-0005-0000-0000-000026020000}"/>
    <cellStyle name="%_CAMBIOS EN PRIMAX Y ROMERO TRADING 7 5" xfId="614" xr:uid="{00000000-0005-0000-0000-000027020000}"/>
    <cellStyle name="%_CAMBIOS EN PRIMAX Y ROMERO TRADING 7 6" xfId="615" xr:uid="{00000000-0005-0000-0000-000028020000}"/>
    <cellStyle name="%_CAMBIOS EN PRIMAX Y ROMERO TRADING 7 7" xfId="616" xr:uid="{00000000-0005-0000-0000-000029020000}"/>
    <cellStyle name="%_CAMBIOS EN PRIMAX Y ROMERO TRADING 7 8" xfId="617" xr:uid="{00000000-0005-0000-0000-00002A020000}"/>
    <cellStyle name="%_CAMBIOS EN PRIMAX Y ROMERO TRADING 7 9" xfId="618" xr:uid="{00000000-0005-0000-0000-00002B020000}"/>
    <cellStyle name="%_CAMBIOS EN PRIMAX Y ROMERO TRADING 8" xfId="619" xr:uid="{00000000-0005-0000-0000-00002C020000}"/>
    <cellStyle name="%_CAMBIOS EN PRIMAX Y ROMERO TRADING 8 10" xfId="620" xr:uid="{00000000-0005-0000-0000-00002D020000}"/>
    <cellStyle name="%_CAMBIOS EN PRIMAX Y ROMERO TRADING 8 11" xfId="621" xr:uid="{00000000-0005-0000-0000-00002E020000}"/>
    <cellStyle name="%_CAMBIOS EN PRIMAX Y ROMERO TRADING 8 12" xfId="622" xr:uid="{00000000-0005-0000-0000-00002F020000}"/>
    <cellStyle name="%_CAMBIOS EN PRIMAX Y ROMERO TRADING 8 13" xfId="623" xr:uid="{00000000-0005-0000-0000-000030020000}"/>
    <cellStyle name="%_CAMBIOS EN PRIMAX Y ROMERO TRADING 8 2" xfId="624" xr:uid="{00000000-0005-0000-0000-000031020000}"/>
    <cellStyle name="%_CAMBIOS EN PRIMAX Y ROMERO TRADING 8 3" xfId="625" xr:uid="{00000000-0005-0000-0000-000032020000}"/>
    <cellStyle name="%_CAMBIOS EN PRIMAX Y ROMERO TRADING 8 4" xfId="626" xr:uid="{00000000-0005-0000-0000-000033020000}"/>
    <cellStyle name="%_CAMBIOS EN PRIMAX Y ROMERO TRADING 8 5" xfId="627" xr:uid="{00000000-0005-0000-0000-000034020000}"/>
    <cellStyle name="%_CAMBIOS EN PRIMAX Y ROMERO TRADING 8 6" xfId="628" xr:uid="{00000000-0005-0000-0000-000035020000}"/>
    <cellStyle name="%_CAMBIOS EN PRIMAX Y ROMERO TRADING 8 7" xfId="629" xr:uid="{00000000-0005-0000-0000-000036020000}"/>
    <cellStyle name="%_CAMBIOS EN PRIMAX Y ROMERO TRADING 8 8" xfId="630" xr:uid="{00000000-0005-0000-0000-000037020000}"/>
    <cellStyle name="%_CAMBIOS EN PRIMAX Y ROMERO TRADING 8 9" xfId="631" xr:uid="{00000000-0005-0000-0000-000038020000}"/>
    <cellStyle name="%_CAMBIOS EN PRIMAX Y ROMERO TRADING_Central Puertos - Flujo de caja mensual 2009 - Mayo" xfId="632" xr:uid="{00000000-0005-0000-0000-000039020000}"/>
    <cellStyle name="%_CAMBIOS EN PRIMAX Y ROMERO TRADING_Central Puertos - Flujo de caja mensual 2009 - Mayo 2" xfId="633" xr:uid="{00000000-0005-0000-0000-00003A020000}"/>
    <cellStyle name="%_CAMBIOS EN PRIMAX Y ROMERO TRADING_Central Puertos - Flujo de caja mensual 2009 - Mayo 3" xfId="634" xr:uid="{00000000-0005-0000-0000-00003B020000}"/>
    <cellStyle name="%_CAMBIOS EN PRIMAX Y ROMERO TRADING_Central Puertos - Flujo de caja mensual 2009 - Mayo 4" xfId="635" xr:uid="{00000000-0005-0000-0000-00003C020000}"/>
    <cellStyle name="%_CAMBIOS EN PRIMAX Y ROMERO TRADING_FLUJO CONSOLIDADO CAÑA BRAVA OCT 2010" xfId="636" xr:uid="{00000000-0005-0000-0000-00003D020000}"/>
    <cellStyle name="%_CAMBIOS EN PRIMAX Y ROMERO TRADING_Flujo de Caja Consolidado Setiembre 23.09.2010 - Ok" xfId="637" xr:uid="{00000000-0005-0000-0000-00003E020000}"/>
    <cellStyle name="%_CAMBIOS EN PRIMAX Y ROMERO TRADING_Libro2" xfId="638" xr:uid="{00000000-0005-0000-0000-00003F020000}"/>
    <cellStyle name="%_CAMBIOS EN PRIMAX Y ROMERO TRADING_PB. 2011 - Versión Final 30 Dic al Comité de Grencia" xfId="639" xr:uid="{00000000-0005-0000-0000-000040020000}"/>
    <cellStyle name="%_Cartel1" xfId="640" xr:uid="{00000000-0005-0000-0000-000041020000}"/>
    <cellStyle name="%_Cartel1_Bdg 2003 - Debts" xfId="641" xr:uid="{00000000-0005-0000-0000-000042020000}"/>
    <cellStyle name="%_Cartel1_Data Book Plan Company brasil - antiga (não usar)" xfId="642" xr:uid="{00000000-0005-0000-0000-000043020000}"/>
    <cellStyle name="%_Cartel1_Data Book Plan Company brasil - antiga (não usar)_Pasta1" xfId="643" xr:uid="{00000000-0005-0000-0000-000044020000}"/>
    <cellStyle name="%_Cartel1_Data Book Plan Mobile (antiga)" xfId="644" xr:uid="{00000000-0005-0000-0000-000045020000}"/>
    <cellStyle name="%_Cartel1_Data Book Plan Mobile (antiga)_1" xfId="645" xr:uid="{00000000-0005-0000-0000-000046020000}"/>
    <cellStyle name="%_Cartel1_Data Book Plan Mobile (antiga)_Pasta1" xfId="646" xr:uid="{00000000-0005-0000-0000-000047020000}"/>
    <cellStyle name="%_Cartel1_Data Book Plan Mobile Maxitel EURO" xfId="647" xr:uid="{00000000-0005-0000-0000-000048020000}"/>
    <cellStyle name="%_Cartel1_Pasta1" xfId="648" xr:uid="{00000000-0005-0000-0000-000049020000}"/>
    <cellStyle name="%_Cartel1_TIM Maxitel_Plan03_05_Investments_Nov2002_14Nov_Euros" xfId="649" xr:uid="{00000000-0005-0000-0000-00004A020000}"/>
    <cellStyle name="%_Cash Costs" xfId="650" xr:uid="{00000000-0005-0000-0000-00004B020000}"/>
    <cellStyle name="%_CD_Pesquera Centinela_10_2010" xfId="651" xr:uid="{00000000-0005-0000-0000-00004C020000}"/>
    <cellStyle name="%_Central Puertos - Flujo de caja mensual 2009 - Mayo" xfId="652" xr:uid="{00000000-0005-0000-0000-00004D020000}"/>
    <cellStyle name="%_Central Puertos - Flujo de caja mensual 2009 - Mayo 2" xfId="653" xr:uid="{00000000-0005-0000-0000-00004E020000}"/>
    <cellStyle name="%_Central Puertos - Flujo de caja mensual 2009 - Mayo 3" xfId="654" xr:uid="{00000000-0005-0000-0000-00004F020000}"/>
    <cellStyle name="%_Central Puertos - Flujo de caja mensual 2009 - Mayo 4" xfId="655" xr:uid="{00000000-0005-0000-0000-000050020000}"/>
    <cellStyle name="%_Central Puertos - Flujo de caja mensual 2009 25may2009" xfId="656" xr:uid="{00000000-0005-0000-0000-000051020000}"/>
    <cellStyle name="%_Central Puertos - Flujo de caja mensual 2009 25may2009 2" xfId="657" xr:uid="{00000000-0005-0000-0000-000052020000}"/>
    <cellStyle name="%_Central Puertos - Flujo de caja mensual 2009 25may2009 2 10" xfId="658" xr:uid="{00000000-0005-0000-0000-000053020000}"/>
    <cellStyle name="%_Central Puertos - Flujo de caja mensual 2009 25may2009 2 11" xfId="659" xr:uid="{00000000-0005-0000-0000-000054020000}"/>
    <cellStyle name="%_Central Puertos - Flujo de caja mensual 2009 25may2009 2 12" xfId="660" xr:uid="{00000000-0005-0000-0000-000055020000}"/>
    <cellStyle name="%_Central Puertos - Flujo de caja mensual 2009 25may2009 2 13" xfId="661" xr:uid="{00000000-0005-0000-0000-000056020000}"/>
    <cellStyle name="%_Central Puertos - Flujo de caja mensual 2009 25may2009 2 2" xfId="662" xr:uid="{00000000-0005-0000-0000-000057020000}"/>
    <cellStyle name="%_Central Puertos - Flujo de caja mensual 2009 25may2009 2 3" xfId="663" xr:uid="{00000000-0005-0000-0000-000058020000}"/>
    <cellStyle name="%_Central Puertos - Flujo de caja mensual 2009 25may2009 2 4" xfId="664" xr:uid="{00000000-0005-0000-0000-000059020000}"/>
    <cellStyle name="%_Central Puertos - Flujo de caja mensual 2009 25may2009 2 5" xfId="665" xr:uid="{00000000-0005-0000-0000-00005A020000}"/>
    <cellStyle name="%_Central Puertos - Flujo de caja mensual 2009 25may2009 2 6" xfId="666" xr:uid="{00000000-0005-0000-0000-00005B020000}"/>
    <cellStyle name="%_Central Puertos - Flujo de caja mensual 2009 25may2009 2 7" xfId="667" xr:uid="{00000000-0005-0000-0000-00005C020000}"/>
    <cellStyle name="%_Central Puertos - Flujo de caja mensual 2009 25may2009 2 8" xfId="668" xr:uid="{00000000-0005-0000-0000-00005D020000}"/>
    <cellStyle name="%_Central Puertos - Flujo de caja mensual 2009 25may2009 2 9" xfId="669" xr:uid="{00000000-0005-0000-0000-00005E020000}"/>
    <cellStyle name="%_Central Puertos - Flujo de caja mensual 2009 25may2009 3" xfId="670" xr:uid="{00000000-0005-0000-0000-00005F020000}"/>
    <cellStyle name="%_Central Puertos - Flujo de caja mensual 2009 25may2009 3 10" xfId="671" xr:uid="{00000000-0005-0000-0000-000060020000}"/>
    <cellStyle name="%_Central Puertos - Flujo de caja mensual 2009 25may2009 3 11" xfId="672" xr:uid="{00000000-0005-0000-0000-000061020000}"/>
    <cellStyle name="%_Central Puertos - Flujo de caja mensual 2009 25may2009 3 12" xfId="673" xr:uid="{00000000-0005-0000-0000-000062020000}"/>
    <cellStyle name="%_Central Puertos - Flujo de caja mensual 2009 25may2009 3 13" xfId="674" xr:uid="{00000000-0005-0000-0000-000063020000}"/>
    <cellStyle name="%_Central Puertos - Flujo de caja mensual 2009 25may2009 3 2" xfId="675" xr:uid="{00000000-0005-0000-0000-000064020000}"/>
    <cellStyle name="%_Central Puertos - Flujo de caja mensual 2009 25may2009 3 3" xfId="676" xr:uid="{00000000-0005-0000-0000-000065020000}"/>
    <cellStyle name="%_Central Puertos - Flujo de caja mensual 2009 25may2009 3 4" xfId="677" xr:uid="{00000000-0005-0000-0000-000066020000}"/>
    <cellStyle name="%_Central Puertos - Flujo de caja mensual 2009 25may2009 3 5" xfId="678" xr:uid="{00000000-0005-0000-0000-000067020000}"/>
    <cellStyle name="%_Central Puertos - Flujo de caja mensual 2009 25may2009 3 6" xfId="679" xr:uid="{00000000-0005-0000-0000-000068020000}"/>
    <cellStyle name="%_Central Puertos - Flujo de caja mensual 2009 25may2009 3 7" xfId="680" xr:uid="{00000000-0005-0000-0000-000069020000}"/>
    <cellStyle name="%_Central Puertos - Flujo de caja mensual 2009 25may2009 3 8" xfId="681" xr:uid="{00000000-0005-0000-0000-00006A020000}"/>
    <cellStyle name="%_Central Puertos - Flujo de caja mensual 2009 25may2009 3 9" xfId="682" xr:uid="{00000000-0005-0000-0000-00006B020000}"/>
    <cellStyle name="%_Central Puertos - Flujo de caja mensual 2009 25may2009 4" xfId="683" xr:uid="{00000000-0005-0000-0000-00006C020000}"/>
    <cellStyle name="%_Central Puertos - Flujo de caja mensual 2009 25may2009 4 10" xfId="684" xr:uid="{00000000-0005-0000-0000-00006D020000}"/>
    <cellStyle name="%_Central Puertos - Flujo de caja mensual 2009 25may2009 4 11" xfId="685" xr:uid="{00000000-0005-0000-0000-00006E020000}"/>
    <cellStyle name="%_Central Puertos - Flujo de caja mensual 2009 25may2009 4 12" xfId="686" xr:uid="{00000000-0005-0000-0000-00006F020000}"/>
    <cellStyle name="%_Central Puertos - Flujo de caja mensual 2009 25may2009 4 13" xfId="687" xr:uid="{00000000-0005-0000-0000-000070020000}"/>
    <cellStyle name="%_Central Puertos - Flujo de caja mensual 2009 25may2009 4 2" xfId="688" xr:uid="{00000000-0005-0000-0000-000071020000}"/>
    <cellStyle name="%_Central Puertos - Flujo de caja mensual 2009 25may2009 4 3" xfId="689" xr:uid="{00000000-0005-0000-0000-000072020000}"/>
    <cellStyle name="%_Central Puertos - Flujo de caja mensual 2009 25may2009 4 4" xfId="690" xr:uid="{00000000-0005-0000-0000-000073020000}"/>
    <cellStyle name="%_Central Puertos - Flujo de caja mensual 2009 25may2009 4 5" xfId="691" xr:uid="{00000000-0005-0000-0000-000074020000}"/>
    <cellStyle name="%_Central Puertos - Flujo de caja mensual 2009 25may2009 4 6" xfId="692" xr:uid="{00000000-0005-0000-0000-000075020000}"/>
    <cellStyle name="%_Central Puertos - Flujo de caja mensual 2009 25may2009 4 7" xfId="693" xr:uid="{00000000-0005-0000-0000-000076020000}"/>
    <cellStyle name="%_Central Puertos - Flujo de caja mensual 2009 25may2009 4 8" xfId="694" xr:uid="{00000000-0005-0000-0000-000077020000}"/>
    <cellStyle name="%_Central Puertos - Flujo de caja mensual 2009 25may2009 4 9" xfId="695" xr:uid="{00000000-0005-0000-0000-000078020000}"/>
    <cellStyle name="%_Central Puertos - Flujo de caja mensual 2009 25may2009 5" xfId="696" xr:uid="{00000000-0005-0000-0000-000079020000}"/>
    <cellStyle name="%_Central Puertos - Flujo de caja mensual 2009 25may2009 5 10" xfId="697" xr:uid="{00000000-0005-0000-0000-00007A020000}"/>
    <cellStyle name="%_Central Puertos - Flujo de caja mensual 2009 25may2009 5 11" xfId="698" xr:uid="{00000000-0005-0000-0000-00007B020000}"/>
    <cellStyle name="%_Central Puertos - Flujo de caja mensual 2009 25may2009 5 12" xfId="699" xr:uid="{00000000-0005-0000-0000-00007C020000}"/>
    <cellStyle name="%_Central Puertos - Flujo de caja mensual 2009 25may2009 5 13" xfId="700" xr:uid="{00000000-0005-0000-0000-00007D020000}"/>
    <cellStyle name="%_Central Puertos - Flujo de caja mensual 2009 25may2009 5 2" xfId="701" xr:uid="{00000000-0005-0000-0000-00007E020000}"/>
    <cellStyle name="%_Central Puertos - Flujo de caja mensual 2009 25may2009 5 3" xfId="702" xr:uid="{00000000-0005-0000-0000-00007F020000}"/>
    <cellStyle name="%_Central Puertos - Flujo de caja mensual 2009 25may2009 5 4" xfId="703" xr:uid="{00000000-0005-0000-0000-000080020000}"/>
    <cellStyle name="%_Central Puertos - Flujo de caja mensual 2009 25may2009 5 5" xfId="704" xr:uid="{00000000-0005-0000-0000-000081020000}"/>
    <cellStyle name="%_Central Puertos - Flujo de caja mensual 2009 25may2009 5 6" xfId="705" xr:uid="{00000000-0005-0000-0000-000082020000}"/>
    <cellStyle name="%_Central Puertos - Flujo de caja mensual 2009 25may2009 5 7" xfId="706" xr:uid="{00000000-0005-0000-0000-000083020000}"/>
    <cellStyle name="%_Central Puertos - Flujo de caja mensual 2009 25may2009 5 8" xfId="707" xr:uid="{00000000-0005-0000-0000-000084020000}"/>
    <cellStyle name="%_Central Puertos - Flujo de caja mensual 2009 25may2009 5 9" xfId="708" xr:uid="{00000000-0005-0000-0000-000085020000}"/>
    <cellStyle name="%_Central Puertos - Flujo de caja mensual 2009 25may2009 6" xfId="709" xr:uid="{00000000-0005-0000-0000-000086020000}"/>
    <cellStyle name="%_Central Puertos - Flujo de caja mensual 2009 25may2009 6 10" xfId="710" xr:uid="{00000000-0005-0000-0000-000087020000}"/>
    <cellStyle name="%_Central Puertos - Flujo de caja mensual 2009 25may2009 6 11" xfId="711" xr:uid="{00000000-0005-0000-0000-000088020000}"/>
    <cellStyle name="%_Central Puertos - Flujo de caja mensual 2009 25may2009 6 12" xfId="712" xr:uid="{00000000-0005-0000-0000-000089020000}"/>
    <cellStyle name="%_Central Puertos - Flujo de caja mensual 2009 25may2009 6 13" xfId="713" xr:uid="{00000000-0005-0000-0000-00008A020000}"/>
    <cellStyle name="%_Central Puertos - Flujo de caja mensual 2009 25may2009 6 2" xfId="714" xr:uid="{00000000-0005-0000-0000-00008B020000}"/>
    <cellStyle name="%_Central Puertos - Flujo de caja mensual 2009 25may2009 6 3" xfId="715" xr:uid="{00000000-0005-0000-0000-00008C020000}"/>
    <cellStyle name="%_Central Puertos - Flujo de caja mensual 2009 25may2009 6 4" xfId="716" xr:uid="{00000000-0005-0000-0000-00008D020000}"/>
    <cellStyle name="%_Central Puertos - Flujo de caja mensual 2009 25may2009 6 5" xfId="717" xr:uid="{00000000-0005-0000-0000-00008E020000}"/>
    <cellStyle name="%_Central Puertos - Flujo de caja mensual 2009 25may2009 6 6" xfId="718" xr:uid="{00000000-0005-0000-0000-00008F020000}"/>
    <cellStyle name="%_Central Puertos - Flujo de caja mensual 2009 25may2009 6 7" xfId="719" xr:uid="{00000000-0005-0000-0000-000090020000}"/>
    <cellStyle name="%_Central Puertos - Flujo de caja mensual 2009 25may2009 6 8" xfId="720" xr:uid="{00000000-0005-0000-0000-000091020000}"/>
    <cellStyle name="%_Central Puertos - Flujo de caja mensual 2009 25may2009 6 9" xfId="721" xr:uid="{00000000-0005-0000-0000-000092020000}"/>
    <cellStyle name="%_Central Puertos - Flujo de caja mensual 2009 25may2009 7" xfId="722" xr:uid="{00000000-0005-0000-0000-000093020000}"/>
    <cellStyle name="%_Central Puertos - Flujo de caja mensual 2009 25may2009 7 10" xfId="723" xr:uid="{00000000-0005-0000-0000-000094020000}"/>
    <cellStyle name="%_Central Puertos - Flujo de caja mensual 2009 25may2009 7 11" xfId="724" xr:uid="{00000000-0005-0000-0000-000095020000}"/>
    <cellStyle name="%_Central Puertos - Flujo de caja mensual 2009 25may2009 7 12" xfId="725" xr:uid="{00000000-0005-0000-0000-000096020000}"/>
    <cellStyle name="%_Central Puertos - Flujo de caja mensual 2009 25may2009 7 13" xfId="726" xr:uid="{00000000-0005-0000-0000-000097020000}"/>
    <cellStyle name="%_Central Puertos - Flujo de caja mensual 2009 25may2009 7 2" xfId="727" xr:uid="{00000000-0005-0000-0000-000098020000}"/>
    <cellStyle name="%_Central Puertos - Flujo de caja mensual 2009 25may2009 7 3" xfId="728" xr:uid="{00000000-0005-0000-0000-000099020000}"/>
    <cellStyle name="%_Central Puertos - Flujo de caja mensual 2009 25may2009 7 4" xfId="729" xr:uid="{00000000-0005-0000-0000-00009A020000}"/>
    <cellStyle name="%_Central Puertos - Flujo de caja mensual 2009 25may2009 7 5" xfId="730" xr:uid="{00000000-0005-0000-0000-00009B020000}"/>
    <cellStyle name="%_Central Puertos - Flujo de caja mensual 2009 25may2009 7 6" xfId="731" xr:uid="{00000000-0005-0000-0000-00009C020000}"/>
    <cellStyle name="%_Central Puertos - Flujo de caja mensual 2009 25may2009 7 7" xfId="732" xr:uid="{00000000-0005-0000-0000-00009D020000}"/>
    <cellStyle name="%_Central Puertos - Flujo de caja mensual 2009 25may2009 7 8" xfId="733" xr:uid="{00000000-0005-0000-0000-00009E020000}"/>
    <cellStyle name="%_Central Puertos - Flujo de caja mensual 2009 25may2009 7 9" xfId="734" xr:uid="{00000000-0005-0000-0000-00009F020000}"/>
    <cellStyle name="%_Central Puertos - Flujo de caja mensual 2009 25may2009 8" xfId="735" xr:uid="{00000000-0005-0000-0000-0000A0020000}"/>
    <cellStyle name="%_Central Puertos - Flujo de caja mensual 2009 25may2009 8 10" xfId="736" xr:uid="{00000000-0005-0000-0000-0000A1020000}"/>
    <cellStyle name="%_Central Puertos - Flujo de caja mensual 2009 25may2009 8 11" xfId="737" xr:uid="{00000000-0005-0000-0000-0000A2020000}"/>
    <cellStyle name="%_Central Puertos - Flujo de caja mensual 2009 25may2009 8 12" xfId="738" xr:uid="{00000000-0005-0000-0000-0000A3020000}"/>
    <cellStyle name="%_Central Puertos - Flujo de caja mensual 2009 25may2009 8 13" xfId="739" xr:uid="{00000000-0005-0000-0000-0000A4020000}"/>
    <cellStyle name="%_Central Puertos - Flujo de caja mensual 2009 25may2009 8 2" xfId="740" xr:uid="{00000000-0005-0000-0000-0000A5020000}"/>
    <cellStyle name="%_Central Puertos - Flujo de caja mensual 2009 25may2009 8 3" xfId="741" xr:uid="{00000000-0005-0000-0000-0000A6020000}"/>
    <cellStyle name="%_Central Puertos - Flujo de caja mensual 2009 25may2009 8 4" xfId="742" xr:uid="{00000000-0005-0000-0000-0000A7020000}"/>
    <cellStyle name="%_Central Puertos - Flujo de caja mensual 2009 25may2009 8 5" xfId="743" xr:uid="{00000000-0005-0000-0000-0000A8020000}"/>
    <cellStyle name="%_Central Puertos - Flujo de caja mensual 2009 25may2009 8 6" xfId="744" xr:uid="{00000000-0005-0000-0000-0000A9020000}"/>
    <cellStyle name="%_Central Puertos - Flujo de caja mensual 2009 25may2009 8 7" xfId="745" xr:uid="{00000000-0005-0000-0000-0000AA020000}"/>
    <cellStyle name="%_Central Puertos - Flujo de caja mensual 2009 25may2009 8 8" xfId="746" xr:uid="{00000000-0005-0000-0000-0000AB020000}"/>
    <cellStyle name="%_Central Puertos - Flujo de caja mensual 2009 25may2009 8 9" xfId="747" xr:uid="{00000000-0005-0000-0000-0000AC020000}"/>
    <cellStyle name="%_Central Puertos - Flujo de caja mensual 2009 25may2009_FLUJO CONSOLIDADO CAÑA BRAVA OCT 2010" xfId="748" xr:uid="{00000000-0005-0000-0000-0000AD020000}"/>
    <cellStyle name="%_Central Puertos - Flujo de caja mensual 2009 25may2009_Flujo de Caja Consolidado Setiembre 23.09.2010 - Ok" xfId="749" xr:uid="{00000000-0005-0000-0000-0000AE020000}"/>
    <cellStyle name="%_Central Puertos - Flujo de caja mensual 2009 25may2009_Libro2" xfId="750" xr:uid="{00000000-0005-0000-0000-0000AF020000}"/>
    <cellStyle name="%_Central Puertos - Flujo de caja mensual 2009 25may2009_PB. 2011 - Versión Final 30 Dic al Comité de Grencia" xfId="751" xr:uid="{00000000-0005-0000-0000-0000B0020000}"/>
    <cellStyle name="%_Consolidado Emp Grupo Real Abr 2009 (01-06-09)" xfId="752" xr:uid="{00000000-0005-0000-0000-0000B1020000}"/>
    <cellStyle name="%_Consolidado Emp Grupo Real Abr 2009 (01-06-09) 2" xfId="753" xr:uid="{00000000-0005-0000-0000-0000B2020000}"/>
    <cellStyle name="%_Cronograma BCP Final" xfId="754" xr:uid="{00000000-0005-0000-0000-0000B3020000}"/>
    <cellStyle name="%_Cronograma Deuda CMA_Nov08" xfId="755" xr:uid="{00000000-0005-0000-0000-0000B4020000}"/>
    <cellStyle name="%_Cuadros paraPresentación de Sindicado de Palmas del Espino (V 05 12 08)}" xfId="756" xr:uid="{00000000-0005-0000-0000-0000B5020000}"/>
    <cellStyle name="%_Data Book BU IOP_Febbraio2" xfId="757" xr:uid="{00000000-0005-0000-0000-0000B6020000}"/>
    <cellStyle name="%_Data Book BU IOP_Febbraio3" xfId="758" xr:uid="{00000000-0005-0000-0000-0000B7020000}"/>
    <cellStyle name="%_Desv RT" xfId="759" xr:uid="{00000000-0005-0000-0000-0000B8020000}"/>
    <cellStyle name="%_DEUDA A FEBRERO 2009" xfId="760" xr:uid="{00000000-0005-0000-0000-0000B9020000}"/>
    <cellStyle name="%_DEUDA A FEBRERO 2009 2" xfId="761" xr:uid="{00000000-0005-0000-0000-0000BA020000}"/>
    <cellStyle name="%_Deuda COGESA Marzo 2011" xfId="762" xr:uid="{00000000-0005-0000-0000-0000BB020000}"/>
    <cellStyle name="%_Deuda LIMTEK Febrero 2011" xfId="763" xr:uid="{00000000-0005-0000-0000-0000BC020000}"/>
    <cellStyle name="%_Deuda LIMTEK Marzo 2011" xfId="764" xr:uid="{00000000-0005-0000-0000-0000BD020000}"/>
    <cellStyle name="%_Deuda refinanciada" xfId="765" xr:uid="{00000000-0005-0000-0000-0000BE020000}"/>
    <cellStyle name="%_Deuda RT" xfId="766" xr:uid="{00000000-0005-0000-0000-0000BF020000}"/>
    <cellStyle name="%_Deuda RT Diciembre 2010" xfId="767" xr:uid="{00000000-0005-0000-0000-0000C0020000}"/>
    <cellStyle name="%_Deuda SITEL Febrero 2011" xfId="768" xr:uid="{00000000-0005-0000-0000-0000C1020000}"/>
    <cellStyle name="%_Directorio a Julio" xfId="769" xr:uid="{00000000-0005-0000-0000-0000C2020000}"/>
    <cellStyle name="%_Directorio a Julio 2" xfId="770" xr:uid="{00000000-0005-0000-0000-0000C3020000}"/>
    <cellStyle name="%_Directorio a Julio 2 2" xfId="771" xr:uid="{00000000-0005-0000-0000-0000C4020000}"/>
    <cellStyle name="%_Directorio a Julio 3" xfId="772" xr:uid="{00000000-0005-0000-0000-0000C5020000}"/>
    <cellStyle name="%_Directorio Febrero 2011" xfId="773" xr:uid="{00000000-0005-0000-0000-0000C6020000}"/>
    <cellStyle name="%_Effetto cambio_DW" xfId="774" xr:uid="{00000000-0005-0000-0000-0000C7020000}"/>
    <cellStyle name="%_Effetto cambio_DW_Bdg 2003 - Debts" xfId="775" xr:uid="{00000000-0005-0000-0000-0000C8020000}"/>
    <cellStyle name="%_Effetto cambio_DW_Data Book Plan Mobile (antiga)" xfId="776" xr:uid="{00000000-0005-0000-0000-0000C9020000}"/>
    <cellStyle name="%_Effetto cambio_DW_Data Book Plan Mobile (antiga)_1" xfId="777" xr:uid="{00000000-0005-0000-0000-0000CA020000}"/>
    <cellStyle name="%_Effetto cambio_DW_Data Book Plan Mobile (antiga)_Pasta1" xfId="778" xr:uid="{00000000-0005-0000-0000-0000CB020000}"/>
    <cellStyle name="%_Effetto cambio_DW_Data Book Plan Mobile Maxitel EURO" xfId="779" xr:uid="{00000000-0005-0000-0000-0000CC020000}"/>
    <cellStyle name="%_Effetto cambio_DW_Pasta1" xfId="780" xr:uid="{00000000-0005-0000-0000-0000CD020000}"/>
    <cellStyle name="%_Effetto cambio_DW_TIM Maxitel_Plan03_05_Investments_Nov2002_14Nov_Euros" xfId="781" xr:uid="{00000000-0005-0000-0000-0000CE020000}"/>
    <cellStyle name="%_Escenario Base Fe escenarios Comprimir" xfId="782" xr:uid="{00000000-0005-0000-0000-0000CF020000}"/>
    <cellStyle name="%_Escenario Base Fe VICTOR" xfId="783" xr:uid="{00000000-0005-0000-0000-0000D0020000}"/>
    <cellStyle name="%_Escenario Base Minka Final 03.11.9 ppto act." xfId="784" xr:uid="{00000000-0005-0000-0000-0000D1020000}"/>
    <cellStyle name="%_Escenario Base Minka Final 16.11.9 ppto reajustado" xfId="785" xr:uid="{00000000-0005-0000-0000-0000D2020000}"/>
    <cellStyle name="%_Escenario_3_modificado_Minka_Calculo_de_Cove_Acumulado_3" xfId="786" xr:uid="{00000000-0005-0000-0000-0000D3020000}"/>
    <cellStyle name="%_Escenario_3_modificado_Minka_Calculo_de_Cove_Acumulado_3_CD_Pesquera Centinela_10_2010" xfId="787" xr:uid="{00000000-0005-0000-0000-0000D4020000}"/>
    <cellStyle name="%_Escenario_3_modificado_Minka_Calculo_de_Cove_Acumulado_3_Cronograma BCP Final" xfId="788" xr:uid="{00000000-0005-0000-0000-0000D5020000}"/>
    <cellStyle name="%_Escenario_3_modificado_Minka_Calculo_de_Cove_Acumulado_3_Escenario Base Fe escenarios Comprimir" xfId="789" xr:uid="{00000000-0005-0000-0000-0000D6020000}"/>
    <cellStyle name="%_Escenario_3_modificado_Minka_Calculo_de_Cove_Acumulado_3_Escenario Base Fe escenarios Comprimir_CD_Pesquera Centinela_10_2010" xfId="790" xr:uid="{00000000-0005-0000-0000-0000D7020000}"/>
    <cellStyle name="%_Escenario_3_modificado_Minka_Calculo_de_Cove_Acumulado_3_Escenario Base Fe escenarios Comprimir_PD Dic 10 Pesquera" xfId="791" xr:uid="{00000000-0005-0000-0000-0000D8020000}"/>
    <cellStyle name="%_Escenario_3_modificado_Minka_Calculo_de_Cove_Acumulado_3_Escenario Base Fe escenarios Comprimir_PD NOV 2010 PESQUERA" xfId="792" xr:uid="{00000000-0005-0000-0000-0000D9020000}"/>
    <cellStyle name="%_Escenario_3_modificado_Minka_Calculo_de_Cove_Acumulado_3_Escenario Base Minka Final 16.11.9 ppto reajustado" xfId="793" xr:uid="{00000000-0005-0000-0000-0000DA020000}"/>
    <cellStyle name="%_Escenario_3_modificado_Minka_Calculo_de_Cove_Acumulado_3_FC_Minka_2009 VICTOR" xfId="794" xr:uid="{00000000-0005-0000-0000-0000DB020000}"/>
    <cellStyle name="%_Escenario_3_modificado_Minka_Calculo_de_Cove_Acumulado_3_Formatos Finanzas" xfId="795" xr:uid="{00000000-0005-0000-0000-0000DC020000}"/>
    <cellStyle name="%_Escenario_3_modificado_Minka_Calculo_de_Cove_Acumulado_3_PD Dic 10 Pesquera" xfId="796" xr:uid="{00000000-0005-0000-0000-0000DD020000}"/>
    <cellStyle name="%_Escenario_3_modificado_Minka_Calculo_de_Cove_Acumulado_3_PD NOV 2010 PESQUERA" xfId="797" xr:uid="{00000000-0005-0000-0000-0000DE020000}"/>
    <cellStyle name="%_Escenario_3_modificado_Minka_Calculo_de_Cove_Acumulado_3_Ppto Directorio Workfile - Jul" xfId="798" xr:uid="{00000000-0005-0000-0000-0000DF020000}"/>
    <cellStyle name="%_Escenario_3_modificado_Minka_Calculo_de_Cove_Acumulado_3_Ppto Directorio Workfile - May" xfId="799" xr:uid="{00000000-0005-0000-0000-0000E0020000}"/>
    <cellStyle name="%_Escenario_3_modificado_Minka_Calculo_de_Cove_Acumulado_3_Ppto Directorio Workfile - Oct" xfId="800" xr:uid="{00000000-0005-0000-0000-0000E1020000}"/>
    <cellStyle name="%_Escenario_3_modificado_Minka_Calculo_de_Cove_Acumulado_3_Ppto Directorio Workfile - Set" xfId="801" xr:uid="{00000000-0005-0000-0000-0000E2020000}"/>
    <cellStyle name="%_Escenario_3_modificado_Minka_Calculo_de_Cove_Acumulado_3_Presupuesto Directorio 2009 Abr Real Dic Proyectado (workfile)" xfId="802" xr:uid="{00000000-0005-0000-0000-0000E3020000}"/>
    <cellStyle name="%_Escenario_3_modificado_Minka_Calculo_de_Cove_Acumulado_3_Presupuesto Directorio 2009 Mar Real Dic Proyectado (workfile)" xfId="803" xr:uid="{00000000-0005-0000-0000-0000E4020000}"/>
    <cellStyle name="%_Escenario_3_modificado_Minka_Calculo_de_Cove_Acumulado_3_Presupuesto Minka 2010" xfId="804" xr:uid="{00000000-0005-0000-0000-0000E5020000}"/>
    <cellStyle name="%_F.C. Romero Trading Octubre estándar" xfId="805" xr:uid="{00000000-0005-0000-0000-0000E6020000}"/>
    <cellStyle name="%_F.C. Romero Trading Octubre estándar 2" xfId="806" xr:uid="{00000000-0005-0000-0000-0000E7020000}"/>
    <cellStyle name="%_FC ABR 09 REAL 2009 PROY" xfId="807" xr:uid="{00000000-0005-0000-0000-0000E8020000}"/>
    <cellStyle name="%_FC ABR 09 REAL 2009 PROY 2" xfId="808" xr:uid="{00000000-0005-0000-0000-0000E9020000}"/>
    <cellStyle name="%_FC ABR 09 REAL 2009 PROY 2 10" xfId="809" xr:uid="{00000000-0005-0000-0000-0000EA020000}"/>
    <cellStyle name="%_FC ABR 09 REAL 2009 PROY 2 11" xfId="810" xr:uid="{00000000-0005-0000-0000-0000EB020000}"/>
    <cellStyle name="%_FC ABR 09 REAL 2009 PROY 2 12" xfId="811" xr:uid="{00000000-0005-0000-0000-0000EC020000}"/>
    <cellStyle name="%_FC ABR 09 REAL 2009 PROY 2 13" xfId="812" xr:uid="{00000000-0005-0000-0000-0000ED020000}"/>
    <cellStyle name="%_FC ABR 09 REAL 2009 PROY 2 2" xfId="813" xr:uid="{00000000-0005-0000-0000-0000EE020000}"/>
    <cellStyle name="%_FC ABR 09 REAL 2009 PROY 2 3" xfId="814" xr:uid="{00000000-0005-0000-0000-0000EF020000}"/>
    <cellStyle name="%_FC ABR 09 REAL 2009 PROY 2 4" xfId="815" xr:uid="{00000000-0005-0000-0000-0000F0020000}"/>
    <cellStyle name="%_FC ABR 09 REAL 2009 PROY 2 5" xfId="816" xr:uid="{00000000-0005-0000-0000-0000F1020000}"/>
    <cellStyle name="%_FC ABR 09 REAL 2009 PROY 2 6" xfId="817" xr:uid="{00000000-0005-0000-0000-0000F2020000}"/>
    <cellStyle name="%_FC ABR 09 REAL 2009 PROY 2 7" xfId="818" xr:uid="{00000000-0005-0000-0000-0000F3020000}"/>
    <cellStyle name="%_FC ABR 09 REAL 2009 PROY 2 8" xfId="819" xr:uid="{00000000-0005-0000-0000-0000F4020000}"/>
    <cellStyle name="%_FC ABR 09 REAL 2009 PROY 2 9" xfId="820" xr:uid="{00000000-0005-0000-0000-0000F5020000}"/>
    <cellStyle name="%_FC ABR 09 REAL 2009 PROY 3" xfId="821" xr:uid="{00000000-0005-0000-0000-0000F6020000}"/>
    <cellStyle name="%_FC ABR 09 REAL 2009 PROY 3 10" xfId="822" xr:uid="{00000000-0005-0000-0000-0000F7020000}"/>
    <cellStyle name="%_FC ABR 09 REAL 2009 PROY 3 11" xfId="823" xr:uid="{00000000-0005-0000-0000-0000F8020000}"/>
    <cellStyle name="%_FC ABR 09 REAL 2009 PROY 3 12" xfId="824" xr:uid="{00000000-0005-0000-0000-0000F9020000}"/>
    <cellStyle name="%_FC ABR 09 REAL 2009 PROY 3 13" xfId="825" xr:uid="{00000000-0005-0000-0000-0000FA020000}"/>
    <cellStyle name="%_FC ABR 09 REAL 2009 PROY 3 2" xfId="826" xr:uid="{00000000-0005-0000-0000-0000FB020000}"/>
    <cellStyle name="%_FC ABR 09 REAL 2009 PROY 3 3" xfId="827" xr:uid="{00000000-0005-0000-0000-0000FC020000}"/>
    <cellStyle name="%_FC ABR 09 REAL 2009 PROY 3 4" xfId="828" xr:uid="{00000000-0005-0000-0000-0000FD020000}"/>
    <cellStyle name="%_FC ABR 09 REAL 2009 PROY 3 5" xfId="829" xr:uid="{00000000-0005-0000-0000-0000FE020000}"/>
    <cellStyle name="%_FC ABR 09 REAL 2009 PROY 3 6" xfId="830" xr:uid="{00000000-0005-0000-0000-0000FF020000}"/>
    <cellStyle name="%_FC ABR 09 REAL 2009 PROY 3 7" xfId="831" xr:uid="{00000000-0005-0000-0000-000000030000}"/>
    <cellStyle name="%_FC ABR 09 REAL 2009 PROY 3 8" xfId="832" xr:uid="{00000000-0005-0000-0000-000001030000}"/>
    <cellStyle name="%_FC ABR 09 REAL 2009 PROY 3 9" xfId="833" xr:uid="{00000000-0005-0000-0000-000002030000}"/>
    <cellStyle name="%_FC ABR 09 REAL 2009 PROY 4" xfId="834" xr:uid="{00000000-0005-0000-0000-000003030000}"/>
    <cellStyle name="%_FC ABR 09 REAL 2009 PROY 4 10" xfId="835" xr:uid="{00000000-0005-0000-0000-000004030000}"/>
    <cellStyle name="%_FC ABR 09 REAL 2009 PROY 4 11" xfId="836" xr:uid="{00000000-0005-0000-0000-000005030000}"/>
    <cellStyle name="%_FC ABR 09 REAL 2009 PROY 4 12" xfId="837" xr:uid="{00000000-0005-0000-0000-000006030000}"/>
    <cellStyle name="%_FC ABR 09 REAL 2009 PROY 4 13" xfId="838" xr:uid="{00000000-0005-0000-0000-000007030000}"/>
    <cellStyle name="%_FC ABR 09 REAL 2009 PROY 4 2" xfId="839" xr:uid="{00000000-0005-0000-0000-000008030000}"/>
    <cellStyle name="%_FC ABR 09 REAL 2009 PROY 4 3" xfId="840" xr:uid="{00000000-0005-0000-0000-000009030000}"/>
    <cellStyle name="%_FC ABR 09 REAL 2009 PROY 4 4" xfId="841" xr:uid="{00000000-0005-0000-0000-00000A030000}"/>
    <cellStyle name="%_FC ABR 09 REAL 2009 PROY 4 5" xfId="842" xr:uid="{00000000-0005-0000-0000-00000B030000}"/>
    <cellStyle name="%_FC ABR 09 REAL 2009 PROY 4 6" xfId="843" xr:uid="{00000000-0005-0000-0000-00000C030000}"/>
    <cellStyle name="%_FC ABR 09 REAL 2009 PROY 4 7" xfId="844" xr:uid="{00000000-0005-0000-0000-00000D030000}"/>
    <cellStyle name="%_FC ABR 09 REAL 2009 PROY 4 8" xfId="845" xr:uid="{00000000-0005-0000-0000-00000E030000}"/>
    <cellStyle name="%_FC ABR 09 REAL 2009 PROY 4 9" xfId="846" xr:uid="{00000000-0005-0000-0000-00000F030000}"/>
    <cellStyle name="%_FC ABR 09 REAL 2009 PROY 5" xfId="847" xr:uid="{00000000-0005-0000-0000-000010030000}"/>
    <cellStyle name="%_FC ABR 09 REAL 2009 PROY 5 10" xfId="848" xr:uid="{00000000-0005-0000-0000-000011030000}"/>
    <cellStyle name="%_FC ABR 09 REAL 2009 PROY 5 11" xfId="849" xr:uid="{00000000-0005-0000-0000-000012030000}"/>
    <cellStyle name="%_FC ABR 09 REAL 2009 PROY 5 12" xfId="850" xr:uid="{00000000-0005-0000-0000-000013030000}"/>
    <cellStyle name="%_FC ABR 09 REAL 2009 PROY 5 13" xfId="851" xr:uid="{00000000-0005-0000-0000-000014030000}"/>
    <cellStyle name="%_FC ABR 09 REAL 2009 PROY 5 2" xfId="852" xr:uid="{00000000-0005-0000-0000-000015030000}"/>
    <cellStyle name="%_FC ABR 09 REAL 2009 PROY 5 3" xfId="853" xr:uid="{00000000-0005-0000-0000-000016030000}"/>
    <cellStyle name="%_FC ABR 09 REAL 2009 PROY 5 4" xfId="854" xr:uid="{00000000-0005-0000-0000-000017030000}"/>
    <cellStyle name="%_FC ABR 09 REAL 2009 PROY 5 5" xfId="855" xr:uid="{00000000-0005-0000-0000-000018030000}"/>
    <cellStyle name="%_FC ABR 09 REAL 2009 PROY 5 6" xfId="856" xr:uid="{00000000-0005-0000-0000-000019030000}"/>
    <cellStyle name="%_FC ABR 09 REAL 2009 PROY 5 7" xfId="857" xr:uid="{00000000-0005-0000-0000-00001A030000}"/>
    <cellStyle name="%_FC ABR 09 REAL 2009 PROY 5 8" xfId="858" xr:uid="{00000000-0005-0000-0000-00001B030000}"/>
    <cellStyle name="%_FC ABR 09 REAL 2009 PROY 5 9" xfId="859" xr:uid="{00000000-0005-0000-0000-00001C030000}"/>
    <cellStyle name="%_FC ABR 09 REAL 2009 PROY 6" xfId="860" xr:uid="{00000000-0005-0000-0000-00001D030000}"/>
    <cellStyle name="%_FC ABR 09 REAL 2009 PROY 6 10" xfId="861" xr:uid="{00000000-0005-0000-0000-00001E030000}"/>
    <cellStyle name="%_FC ABR 09 REAL 2009 PROY 6 11" xfId="862" xr:uid="{00000000-0005-0000-0000-00001F030000}"/>
    <cellStyle name="%_FC ABR 09 REAL 2009 PROY 6 12" xfId="863" xr:uid="{00000000-0005-0000-0000-000020030000}"/>
    <cellStyle name="%_FC ABR 09 REAL 2009 PROY 6 13" xfId="864" xr:uid="{00000000-0005-0000-0000-000021030000}"/>
    <cellStyle name="%_FC ABR 09 REAL 2009 PROY 6 2" xfId="865" xr:uid="{00000000-0005-0000-0000-000022030000}"/>
    <cellStyle name="%_FC ABR 09 REAL 2009 PROY 6 3" xfId="866" xr:uid="{00000000-0005-0000-0000-000023030000}"/>
    <cellStyle name="%_FC ABR 09 REAL 2009 PROY 6 4" xfId="867" xr:uid="{00000000-0005-0000-0000-000024030000}"/>
    <cellStyle name="%_FC ABR 09 REAL 2009 PROY 6 5" xfId="868" xr:uid="{00000000-0005-0000-0000-000025030000}"/>
    <cellStyle name="%_FC ABR 09 REAL 2009 PROY 6 6" xfId="869" xr:uid="{00000000-0005-0000-0000-000026030000}"/>
    <cellStyle name="%_FC ABR 09 REAL 2009 PROY 6 7" xfId="870" xr:uid="{00000000-0005-0000-0000-000027030000}"/>
    <cellStyle name="%_FC ABR 09 REAL 2009 PROY 6 8" xfId="871" xr:uid="{00000000-0005-0000-0000-000028030000}"/>
    <cellStyle name="%_FC ABR 09 REAL 2009 PROY 6 9" xfId="872" xr:uid="{00000000-0005-0000-0000-000029030000}"/>
    <cellStyle name="%_FC ABR 09 REAL 2009 PROY 7" xfId="873" xr:uid="{00000000-0005-0000-0000-00002A030000}"/>
    <cellStyle name="%_FC ABR 09 REAL 2009 PROY 7 10" xfId="874" xr:uid="{00000000-0005-0000-0000-00002B030000}"/>
    <cellStyle name="%_FC ABR 09 REAL 2009 PROY 7 11" xfId="875" xr:uid="{00000000-0005-0000-0000-00002C030000}"/>
    <cellStyle name="%_FC ABR 09 REAL 2009 PROY 7 12" xfId="876" xr:uid="{00000000-0005-0000-0000-00002D030000}"/>
    <cellStyle name="%_FC ABR 09 REAL 2009 PROY 7 13" xfId="877" xr:uid="{00000000-0005-0000-0000-00002E030000}"/>
    <cellStyle name="%_FC ABR 09 REAL 2009 PROY 7 2" xfId="878" xr:uid="{00000000-0005-0000-0000-00002F030000}"/>
    <cellStyle name="%_FC ABR 09 REAL 2009 PROY 7 3" xfId="879" xr:uid="{00000000-0005-0000-0000-000030030000}"/>
    <cellStyle name="%_FC ABR 09 REAL 2009 PROY 7 4" xfId="880" xr:uid="{00000000-0005-0000-0000-000031030000}"/>
    <cellStyle name="%_FC ABR 09 REAL 2009 PROY 7 5" xfId="881" xr:uid="{00000000-0005-0000-0000-000032030000}"/>
    <cellStyle name="%_FC ABR 09 REAL 2009 PROY 7 6" xfId="882" xr:uid="{00000000-0005-0000-0000-000033030000}"/>
    <cellStyle name="%_FC ABR 09 REAL 2009 PROY 7 7" xfId="883" xr:uid="{00000000-0005-0000-0000-000034030000}"/>
    <cellStyle name="%_FC ABR 09 REAL 2009 PROY 7 8" xfId="884" xr:uid="{00000000-0005-0000-0000-000035030000}"/>
    <cellStyle name="%_FC ABR 09 REAL 2009 PROY 7 9" xfId="885" xr:uid="{00000000-0005-0000-0000-000036030000}"/>
    <cellStyle name="%_FC ABR 09 REAL 2009 PROY 8" xfId="886" xr:uid="{00000000-0005-0000-0000-000037030000}"/>
    <cellStyle name="%_FC ABR 09 REAL 2009 PROY 8 10" xfId="887" xr:uid="{00000000-0005-0000-0000-000038030000}"/>
    <cellStyle name="%_FC ABR 09 REAL 2009 PROY 8 11" xfId="888" xr:uid="{00000000-0005-0000-0000-000039030000}"/>
    <cellStyle name="%_FC ABR 09 REAL 2009 PROY 8 12" xfId="889" xr:uid="{00000000-0005-0000-0000-00003A030000}"/>
    <cellStyle name="%_FC ABR 09 REAL 2009 PROY 8 13" xfId="890" xr:uid="{00000000-0005-0000-0000-00003B030000}"/>
    <cellStyle name="%_FC ABR 09 REAL 2009 PROY 8 2" xfId="891" xr:uid="{00000000-0005-0000-0000-00003C030000}"/>
    <cellStyle name="%_FC ABR 09 REAL 2009 PROY 8 3" xfId="892" xr:uid="{00000000-0005-0000-0000-00003D030000}"/>
    <cellStyle name="%_FC ABR 09 REAL 2009 PROY 8 4" xfId="893" xr:uid="{00000000-0005-0000-0000-00003E030000}"/>
    <cellStyle name="%_FC ABR 09 REAL 2009 PROY 8 5" xfId="894" xr:uid="{00000000-0005-0000-0000-00003F030000}"/>
    <cellStyle name="%_FC ABR 09 REAL 2009 PROY 8 6" xfId="895" xr:uid="{00000000-0005-0000-0000-000040030000}"/>
    <cellStyle name="%_FC ABR 09 REAL 2009 PROY 8 7" xfId="896" xr:uid="{00000000-0005-0000-0000-000041030000}"/>
    <cellStyle name="%_FC ABR 09 REAL 2009 PROY 8 8" xfId="897" xr:uid="{00000000-0005-0000-0000-000042030000}"/>
    <cellStyle name="%_FC ABR 09 REAL 2009 PROY 8 9" xfId="898" xr:uid="{00000000-0005-0000-0000-000043030000}"/>
    <cellStyle name="%_FC ABR 09 REAL 2009 PROY_FLUJO CONSOLIDADO CAÑA BRAVA OCT 2010" xfId="899" xr:uid="{00000000-0005-0000-0000-000044030000}"/>
    <cellStyle name="%_FC ABR 09 REAL 2009 PROY_Flujo de Caja Consolidado Setiembre 23.09.2010 - Ok" xfId="900" xr:uid="{00000000-0005-0000-0000-000045030000}"/>
    <cellStyle name="%_FC ABR 09 REAL 2009 PROY_Libro2" xfId="901" xr:uid="{00000000-0005-0000-0000-000046030000}"/>
    <cellStyle name="%_FC ABR 09 REAL 2009 PROY_PB. 2011 - Versión Final 30 Dic al Comité de Grencia" xfId="902" xr:uid="{00000000-0005-0000-0000-000047030000}"/>
    <cellStyle name="%_FC AGO 09 REAL 2009 PROY" xfId="903" xr:uid="{00000000-0005-0000-0000-000048030000}"/>
    <cellStyle name="%_FC AGO 09 REAL 2009 PROY 2" xfId="904" xr:uid="{00000000-0005-0000-0000-000049030000}"/>
    <cellStyle name="%_FC AGO 09 REAL 2009 PROY 2 10" xfId="905" xr:uid="{00000000-0005-0000-0000-00004A030000}"/>
    <cellStyle name="%_FC AGO 09 REAL 2009 PROY 2 11" xfId="906" xr:uid="{00000000-0005-0000-0000-00004B030000}"/>
    <cellStyle name="%_FC AGO 09 REAL 2009 PROY 2 12" xfId="907" xr:uid="{00000000-0005-0000-0000-00004C030000}"/>
    <cellStyle name="%_FC AGO 09 REAL 2009 PROY 2 13" xfId="908" xr:uid="{00000000-0005-0000-0000-00004D030000}"/>
    <cellStyle name="%_FC AGO 09 REAL 2009 PROY 2 2" xfId="909" xr:uid="{00000000-0005-0000-0000-00004E030000}"/>
    <cellStyle name="%_FC AGO 09 REAL 2009 PROY 2 3" xfId="910" xr:uid="{00000000-0005-0000-0000-00004F030000}"/>
    <cellStyle name="%_FC AGO 09 REAL 2009 PROY 2 4" xfId="911" xr:uid="{00000000-0005-0000-0000-000050030000}"/>
    <cellStyle name="%_FC AGO 09 REAL 2009 PROY 2 5" xfId="912" xr:uid="{00000000-0005-0000-0000-000051030000}"/>
    <cellStyle name="%_FC AGO 09 REAL 2009 PROY 2 6" xfId="913" xr:uid="{00000000-0005-0000-0000-000052030000}"/>
    <cellStyle name="%_FC AGO 09 REAL 2009 PROY 2 7" xfId="914" xr:uid="{00000000-0005-0000-0000-000053030000}"/>
    <cellStyle name="%_FC AGO 09 REAL 2009 PROY 2 8" xfId="915" xr:uid="{00000000-0005-0000-0000-000054030000}"/>
    <cellStyle name="%_FC AGO 09 REAL 2009 PROY 2 9" xfId="916" xr:uid="{00000000-0005-0000-0000-000055030000}"/>
    <cellStyle name="%_FC AGO 09 REAL 2009 PROY 3" xfId="917" xr:uid="{00000000-0005-0000-0000-000056030000}"/>
    <cellStyle name="%_FC AGO 09 REAL 2009 PROY 3 10" xfId="918" xr:uid="{00000000-0005-0000-0000-000057030000}"/>
    <cellStyle name="%_FC AGO 09 REAL 2009 PROY 3 11" xfId="919" xr:uid="{00000000-0005-0000-0000-000058030000}"/>
    <cellStyle name="%_FC AGO 09 REAL 2009 PROY 3 12" xfId="920" xr:uid="{00000000-0005-0000-0000-000059030000}"/>
    <cellStyle name="%_FC AGO 09 REAL 2009 PROY 3 13" xfId="921" xr:uid="{00000000-0005-0000-0000-00005A030000}"/>
    <cellStyle name="%_FC AGO 09 REAL 2009 PROY 3 2" xfId="922" xr:uid="{00000000-0005-0000-0000-00005B030000}"/>
    <cellStyle name="%_FC AGO 09 REAL 2009 PROY 3 3" xfId="923" xr:uid="{00000000-0005-0000-0000-00005C030000}"/>
    <cellStyle name="%_FC AGO 09 REAL 2009 PROY 3 4" xfId="924" xr:uid="{00000000-0005-0000-0000-00005D030000}"/>
    <cellStyle name="%_FC AGO 09 REAL 2009 PROY 3 5" xfId="925" xr:uid="{00000000-0005-0000-0000-00005E030000}"/>
    <cellStyle name="%_FC AGO 09 REAL 2009 PROY 3 6" xfId="926" xr:uid="{00000000-0005-0000-0000-00005F030000}"/>
    <cellStyle name="%_FC AGO 09 REAL 2009 PROY 3 7" xfId="927" xr:uid="{00000000-0005-0000-0000-000060030000}"/>
    <cellStyle name="%_FC AGO 09 REAL 2009 PROY 3 8" xfId="928" xr:uid="{00000000-0005-0000-0000-000061030000}"/>
    <cellStyle name="%_FC AGO 09 REAL 2009 PROY 3 9" xfId="929" xr:uid="{00000000-0005-0000-0000-000062030000}"/>
    <cellStyle name="%_FC AGO 09 REAL 2009 PROY 4" xfId="930" xr:uid="{00000000-0005-0000-0000-000063030000}"/>
    <cellStyle name="%_FC AGO 09 REAL 2009 PROY 4 10" xfId="931" xr:uid="{00000000-0005-0000-0000-000064030000}"/>
    <cellStyle name="%_FC AGO 09 REAL 2009 PROY 4 11" xfId="932" xr:uid="{00000000-0005-0000-0000-000065030000}"/>
    <cellStyle name="%_FC AGO 09 REAL 2009 PROY 4 12" xfId="933" xr:uid="{00000000-0005-0000-0000-000066030000}"/>
    <cellStyle name="%_FC AGO 09 REAL 2009 PROY 4 13" xfId="934" xr:uid="{00000000-0005-0000-0000-000067030000}"/>
    <cellStyle name="%_FC AGO 09 REAL 2009 PROY 4 2" xfId="935" xr:uid="{00000000-0005-0000-0000-000068030000}"/>
    <cellStyle name="%_FC AGO 09 REAL 2009 PROY 4 3" xfId="936" xr:uid="{00000000-0005-0000-0000-000069030000}"/>
    <cellStyle name="%_FC AGO 09 REAL 2009 PROY 4 4" xfId="937" xr:uid="{00000000-0005-0000-0000-00006A030000}"/>
    <cellStyle name="%_FC AGO 09 REAL 2009 PROY 4 5" xfId="938" xr:uid="{00000000-0005-0000-0000-00006B030000}"/>
    <cellStyle name="%_FC AGO 09 REAL 2009 PROY 4 6" xfId="939" xr:uid="{00000000-0005-0000-0000-00006C030000}"/>
    <cellStyle name="%_FC AGO 09 REAL 2009 PROY 4 7" xfId="940" xr:uid="{00000000-0005-0000-0000-00006D030000}"/>
    <cellStyle name="%_FC AGO 09 REAL 2009 PROY 4 8" xfId="941" xr:uid="{00000000-0005-0000-0000-00006E030000}"/>
    <cellStyle name="%_FC AGO 09 REAL 2009 PROY 4 9" xfId="942" xr:uid="{00000000-0005-0000-0000-00006F030000}"/>
    <cellStyle name="%_FC AGO 09 REAL 2009 PROY 5" xfId="943" xr:uid="{00000000-0005-0000-0000-000070030000}"/>
    <cellStyle name="%_FC AGO 09 REAL 2009 PROY 5 10" xfId="944" xr:uid="{00000000-0005-0000-0000-000071030000}"/>
    <cellStyle name="%_FC AGO 09 REAL 2009 PROY 5 11" xfId="945" xr:uid="{00000000-0005-0000-0000-000072030000}"/>
    <cellStyle name="%_FC AGO 09 REAL 2009 PROY 5 12" xfId="946" xr:uid="{00000000-0005-0000-0000-000073030000}"/>
    <cellStyle name="%_FC AGO 09 REAL 2009 PROY 5 13" xfId="947" xr:uid="{00000000-0005-0000-0000-000074030000}"/>
    <cellStyle name="%_FC AGO 09 REAL 2009 PROY 5 2" xfId="948" xr:uid="{00000000-0005-0000-0000-000075030000}"/>
    <cellStyle name="%_FC AGO 09 REAL 2009 PROY 5 3" xfId="949" xr:uid="{00000000-0005-0000-0000-000076030000}"/>
    <cellStyle name="%_FC AGO 09 REAL 2009 PROY 5 4" xfId="950" xr:uid="{00000000-0005-0000-0000-000077030000}"/>
    <cellStyle name="%_FC AGO 09 REAL 2009 PROY 5 5" xfId="951" xr:uid="{00000000-0005-0000-0000-000078030000}"/>
    <cellStyle name="%_FC AGO 09 REAL 2009 PROY 5 6" xfId="952" xr:uid="{00000000-0005-0000-0000-000079030000}"/>
    <cellStyle name="%_FC AGO 09 REAL 2009 PROY 5 7" xfId="953" xr:uid="{00000000-0005-0000-0000-00007A030000}"/>
    <cellStyle name="%_FC AGO 09 REAL 2009 PROY 5 8" xfId="954" xr:uid="{00000000-0005-0000-0000-00007B030000}"/>
    <cellStyle name="%_FC AGO 09 REAL 2009 PROY 5 9" xfId="955" xr:uid="{00000000-0005-0000-0000-00007C030000}"/>
    <cellStyle name="%_FC AGO 09 REAL 2009 PROY 6" xfId="956" xr:uid="{00000000-0005-0000-0000-00007D030000}"/>
    <cellStyle name="%_FC AGO 09 REAL 2009 PROY 6 10" xfId="957" xr:uid="{00000000-0005-0000-0000-00007E030000}"/>
    <cellStyle name="%_FC AGO 09 REAL 2009 PROY 6 11" xfId="958" xr:uid="{00000000-0005-0000-0000-00007F030000}"/>
    <cellStyle name="%_FC AGO 09 REAL 2009 PROY 6 12" xfId="959" xr:uid="{00000000-0005-0000-0000-000080030000}"/>
    <cellStyle name="%_FC AGO 09 REAL 2009 PROY 6 13" xfId="960" xr:uid="{00000000-0005-0000-0000-000081030000}"/>
    <cellStyle name="%_FC AGO 09 REAL 2009 PROY 6 2" xfId="961" xr:uid="{00000000-0005-0000-0000-000082030000}"/>
    <cellStyle name="%_FC AGO 09 REAL 2009 PROY 6 3" xfId="962" xr:uid="{00000000-0005-0000-0000-000083030000}"/>
    <cellStyle name="%_FC AGO 09 REAL 2009 PROY 6 4" xfId="963" xr:uid="{00000000-0005-0000-0000-000084030000}"/>
    <cellStyle name="%_FC AGO 09 REAL 2009 PROY 6 5" xfId="964" xr:uid="{00000000-0005-0000-0000-000085030000}"/>
    <cellStyle name="%_FC AGO 09 REAL 2009 PROY 6 6" xfId="965" xr:uid="{00000000-0005-0000-0000-000086030000}"/>
    <cellStyle name="%_FC AGO 09 REAL 2009 PROY 6 7" xfId="966" xr:uid="{00000000-0005-0000-0000-000087030000}"/>
    <cellStyle name="%_FC AGO 09 REAL 2009 PROY 6 8" xfId="967" xr:uid="{00000000-0005-0000-0000-000088030000}"/>
    <cellStyle name="%_FC AGO 09 REAL 2009 PROY 6 9" xfId="968" xr:uid="{00000000-0005-0000-0000-000089030000}"/>
    <cellStyle name="%_FC AGO 09 REAL 2009 PROY 7" xfId="969" xr:uid="{00000000-0005-0000-0000-00008A030000}"/>
    <cellStyle name="%_FC AGO 09 REAL 2009 PROY 7 10" xfId="970" xr:uid="{00000000-0005-0000-0000-00008B030000}"/>
    <cellStyle name="%_FC AGO 09 REAL 2009 PROY 7 11" xfId="971" xr:uid="{00000000-0005-0000-0000-00008C030000}"/>
    <cellStyle name="%_FC AGO 09 REAL 2009 PROY 7 12" xfId="972" xr:uid="{00000000-0005-0000-0000-00008D030000}"/>
    <cellStyle name="%_FC AGO 09 REAL 2009 PROY 7 13" xfId="973" xr:uid="{00000000-0005-0000-0000-00008E030000}"/>
    <cellStyle name="%_FC AGO 09 REAL 2009 PROY 7 2" xfId="974" xr:uid="{00000000-0005-0000-0000-00008F030000}"/>
    <cellStyle name="%_FC AGO 09 REAL 2009 PROY 7 3" xfId="975" xr:uid="{00000000-0005-0000-0000-000090030000}"/>
    <cellStyle name="%_FC AGO 09 REAL 2009 PROY 7 4" xfId="976" xr:uid="{00000000-0005-0000-0000-000091030000}"/>
    <cellStyle name="%_FC AGO 09 REAL 2009 PROY 7 5" xfId="977" xr:uid="{00000000-0005-0000-0000-000092030000}"/>
    <cellStyle name="%_FC AGO 09 REAL 2009 PROY 7 6" xfId="978" xr:uid="{00000000-0005-0000-0000-000093030000}"/>
    <cellStyle name="%_FC AGO 09 REAL 2009 PROY 7 7" xfId="979" xr:uid="{00000000-0005-0000-0000-000094030000}"/>
    <cellStyle name="%_FC AGO 09 REAL 2009 PROY 7 8" xfId="980" xr:uid="{00000000-0005-0000-0000-000095030000}"/>
    <cellStyle name="%_FC AGO 09 REAL 2009 PROY 7 9" xfId="981" xr:uid="{00000000-0005-0000-0000-000096030000}"/>
    <cellStyle name="%_FC AGO 09 REAL 2009 PROY 8" xfId="982" xr:uid="{00000000-0005-0000-0000-000097030000}"/>
    <cellStyle name="%_FC AGO 09 REAL 2009 PROY 8 10" xfId="983" xr:uid="{00000000-0005-0000-0000-000098030000}"/>
    <cellStyle name="%_FC AGO 09 REAL 2009 PROY 8 11" xfId="984" xr:uid="{00000000-0005-0000-0000-000099030000}"/>
    <cellStyle name="%_FC AGO 09 REAL 2009 PROY 8 12" xfId="985" xr:uid="{00000000-0005-0000-0000-00009A030000}"/>
    <cellStyle name="%_FC AGO 09 REAL 2009 PROY 8 13" xfId="986" xr:uid="{00000000-0005-0000-0000-00009B030000}"/>
    <cellStyle name="%_FC AGO 09 REAL 2009 PROY 8 2" xfId="987" xr:uid="{00000000-0005-0000-0000-00009C030000}"/>
    <cellStyle name="%_FC AGO 09 REAL 2009 PROY 8 3" xfId="988" xr:uid="{00000000-0005-0000-0000-00009D030000}"/>
    <cellStyle name="%_FC AGO 09 REAL 2009 PROY 8 4" xfId="989" xr:uid="{00000000-0005-0000-0000-00009E030000}"/>
    <cellStyle name="%_FC AGO 09 REAL 2009 PROY 8 5" xfId="990" xr:uid="{00000000-0005-0000-0000-00009F030000}"/>
    <cellStyle name="%_FC AGO 09 REAL 2009 PROY 8 6" xfId="991" xr:uid="{00000000-0005-0000-0000-0000A0030000}"/>
    <cellStyle name="%_FC AGO 09 REAL 2009 PROY 8 7" xfId="992" xr:uid="{00000000-0005-0000-0000-0000A1030000}"/>
    <cellStyle name="%_FC AGO 09 REAL 2009 PROY 8 8" xfId="993" xr:uid="{00000000-0005-0000-0000-0000A2030000}"/>
    <cellStyle name="%_FC AGO 09 REAL 2009 PROY 8 9" xfId="994" xr:uid="{00000000-0005-0000-0000-0000A3030000}"/>
    <cellStyle name="%_FC AGO 09 REAL 2009 PROY_~0690845" xfId="995" xr:uid="{00000000-0005-0000-0000-0000A4030000}"/>
    <cellStyle name="%_FC AGO 09 REAL 2009 PROY_~9162688" xfId="996" xr:uid="{00000000-0005-0000-0000-0000A5030000}"/>
    <cellStyle name="%_FC AGO 09 REAL 2009 PROY_~9567759" xfId="997" xr:uid="{00000000-0005-0000-0000-0000A6030000}"/>
    <cellStyle name="%_FC AGO 09 REAL 2009 PROY_Diciembre 2010_PRIMAX" xfId="998" xr:uid="{00000000-0005-0000-0000-0000A7030000}"/>
    <cellStyle name="%_FC AGO 09 REAL 2009 PROY_Directorio Febrero 2011" xfId="999" xr:uid="{00000000-0005-0000-0000-0000A8030000}"/>
    <cellStyle name="%_FC AGO 09 REAL 2009 PROY_FLUJO CONSOLIDADO CAÑA BRAVA OCT 2010" xfId="1000" xr:uid="{00000000-0005-0000-0000-0000A9030000}"/>
    <cellStyle name="%_FC AGO 09 REAL 2009 PROY_GRUPO PALMAS FC Y DEUDA A DIC 2010" xfId="1001" xr:uid="{00000000-0005-0000-0000-0000AA030000}"/>
    <cellStyle name="%_FC AGO 09 REAL 2009 PROY_GRUPO PALMAS FC Y DEUDA NOV 2010" xfId="1002" xr:uid="{00000000-0005-0000-0000-0000AB030000}"/>
    <cellStyle name="%_FC AGO 09 REAL 2009 PROY_Limtek Enero  2011" xfId="1003" xr:uid="{00000000-0005-0000-0000-0000AC030000}"/>
    <cellStyle name="%_FC AGO 09 REAL 2009 PROY_Limtek Febrero 2011" xfId="1004" xr:uid="{00000000-0005-0000-0000-0000AD030000}"/>
    <cellStyle name="%_FC AGO 09 REAL 2009 PROY_Modelo Enero" xfId="1005" xr:uid="{00000000-0005-0000-0000-0000AE030000}"/>
    <cellStyle name="%_FC AGO 09 REAL 2009 PROY_Modelo Febrero" xfId="1006" xr:uid="{00000000-0005-0000-0000-0000AF030000}"/>
    <cellStyle name="%_FC AGO 09 REAL 2009 PROY_Noviembre 2010" xfId="1007" xr:uid="{00000000-0005-0000-0000-0000B0030000}"/>
    <cellStyle name="%_FC AGO 09 REAL 2009 PROY_Octubre 2010" xfId="1008" xr:uid="{00000000-0005-0000-0000-0000B1030000}"/>
    <cellStyle name="%_FC AGO 09 REAL 2009 PROY_PB. 2011 - Versión Final 30 Dic al Comité de Grencia" xfId="1009" xr:uid="{00000000-0005-0000-0000-0000B2030000}"/>
    <cellStyle name="%_FC AGO 09 REAL 2009 PROY_PRIMAX - DEUDA A ENE 2010" xfId="1010" xr:uid="{00000000-0005-0000-0000-0000B3030000}"/>
    <cellStyle name="%_FC AGO 09 REAL 2009 PROY_PRIMAX Deuda Febrero 2011" xfId="1011" xr:uid="{00000000-0005-0000-0000-0000B4030000}"/>
    <cellStyle name="%_FC AGO 09 REAL 2009 PROY_RT Enero Deuda" xfId="1012" xr:uid="{00000000-0005-0000-0000-0000B5030000}"/>
    <cellStyle name="%_FC DIC 08 Y PROY ENE-MAR 09" xfId="1013" xr:uid="{00000000-0005-0000-0000-0000B6030000}"/>
    <cellStyle name="%_FC DIC 08 Y PROY ENE-MAR 09 2" xfId="1014" xr:uid="{00000000-0005-0000-0000-0000B7030000}"/>
    <cellStyle name="%_FC Directorio Dic 2010" xfId="1015" xr:uid="{00000000-0005-0000-0000-0000B8030000}"/>
    <cellStyle name="%_FC Directorio Dic 2010 2" xfId="1016" xr:uid="{00000000-0005-0000-0000-0000B9030000}"/>
    <cellStyle name="%_FC Directorio Dic 2010 2 2" xfId="1017" xr:uid="{00000000-0005-0000-0000-0000BA030000}"/>
    <cellStyle name="%_FC Directorio Dic 2010 3" xfId="1018" xr:uid="{00000000-0005-0000-0000-0000BB030000}"/>
    <cellStyle name="%_FC Directorio Dic 2010 3 2" xfId="1019" xr:uid="{00000000-0005-0000-0000-0000BC030000}"/>
    <cellStyle name="%_FC ENE 09 REAL 2009 PROY" xfId="1020" xr:uid="{00000000-0005-0000-0000-0000BD030000}"/>
    <cellStyle name="%_FC ENE 09 REAL 2009 PROY 2" xfId="1021" xr:uid="{00000000-0005-0000-0000-0000BE030000}"/>
    <cellStyle name="%_FC ENE 09 REAL 2009 PROY 2 10" xfId="1022" xr:uid="{00000000-0005-0000-0000-0000BF030000}"/>
    <cellStyle name="%_FC ENE 09 REAL 2009 PROY 2 11" xfId="1023" xr:uid="{00000000-0005-0000-0000-0000C0030000}"/>
    <cellStyle name="%_FC ENE 09 REAL 2009 PROY 2 12" xfId="1024" xr:uid="{00000000-0005-0000-0000-0000C1030000}"/>
    <cellStyle name="%_FC ENE 09 REAL 2009 PROY 2 13" xfId="1025" xr:uid="{00000000-0005-0000-0000-0000C2030000}"/>
    <cellStyle name="%_FC ENE 09 REAL 2009 PROY 2 2" xfId="1026" xr:uid="{00000000-0005-0000-0000-0000C3030000}"/>
    <cellStyle name="%_FC ENE 09 REAL 2009 PROY 2 3" xfId="1027" xr:uid="{00000000-0005-0000-0000-0000C4030000}"/>
    <cellStyle name="%_FC ENE 09 REAL 2009 PROY 2 4" xfId="1028" xr:uid="{00000000-0005-0000-0000-0000C5030000}"/>
    <cellStyle name="%_FC ENE 09 REAL 2009 PROY 2 5" xfId="1029" xr:uid="{00000000-0005-0000-0000-0000C6030000}"/>
    <cellStyle name="%_FC ENE 09 REAL 2009 PROY 2 6" xfId="1030" xr:uid="{00000000-0005-0000-0000-0000C7030000}"/>
    <cellStyle name="%_FC ENE 09 REAL 2009 PROY 2 7" xfId="1031" xr:uid="{00000000-0005-0000-0000-0000C8030000}"/>
    <cellStyle name="%_FC ENE 09 REAL 2009 PROY 2 8" xfId="1032" xr:uid="{00000000-0005-0000-0000-0000C9030000}"/>
    <cellStyle name="%_FC ENE 09 REAL 2009 PROY 2 9" xfId="1033" xr:uid="{00000000-0005-0000-0000-0000CA030000}"/>
    <cellStyle name="%_FC ENE 09 REAL 2009 PROY 3" xfId="1034" xr:uid="{00000000-0005-0000-0000-0000CB030000}"/>
    <cellStyle name="%_FC ENE 09 REAL 2009 PROY 3 10" xfId="1035" xr:uid="{00000000-0005-0000-0000-0000CC030000}"/>
    <cellStyle name="%_FC ENE 09 REAL 2009 PROY 3 11" xfId="1036" xr:uid="{00000000-0005-0000-0000-0000CD030000}"/>
    <cellStyle name="%_FC ENE 09 REAL 2009 PROY 3 12" xfId="1037" xr:uid="{00000000-0005-0000-0000-0000CE030000}"/>
    <cellStyle name="%_FC ENE 09 REAL 2009 PROY 3 13" xfId="1038" xr:uid="{00000000-0005-0000-0000-0000CF030000}"/>
    <cellStyle name="%_FC ENE 09 REAL 2009 PROY 3 2" xfId="1039" xr:uid="{00000000-0005-0000-0000-0000D0030000}"/>
    <cellStyle name="%_FC ENE 09 REAL 2009 PROY 3 3" xfId="1040" xr:uid="{00000000-0005-0000-0000-0000D1030000}"/>
    <cellStyle name="%_FC ENE 09 REAL 2009 PROY 3 4" xfId="1041" xr:uid="{00000000-0005-0000-0000-0000D2030000}"/>
    <cellStyle name="%_FC ENE 09 REAL 2009 PROY 3 5" xfId="1042" xr:uid="{00000000-0005-0000-0000-0000D3030000}"/>
    <cellStyle name="%_FC ENE 09 REAL 2009 PROY 3 6" xfId="1043" xr:uid="{00000000-0005-0000-0000-0000D4030000}"/>
    <cellStyle name="%_FC ENE 09 REAL 2009 PROY 3 7" xfId="1044" xr:uid="{00000000-0005-0000-0000-0000D5030000}"/>
    <cellStyle name="%_FC ENE 09 REAL 2009 PROY 3 8" xfId="1045" xr:uid="{00000000-0005-0000-0000-0000D6030000}"/>
    <cellStyle name="%_FC ENE 09 REAL 2009 PROY 3 9" xfId="1046" xr:uid="{00000000-0005-0000-0000-0000D7030000}"/>
    <cellStyle name="%_FC ENE 09 REAL 2009 PROY 4" xfId="1047" xr:uid="{00000000-0005-0000-0000-0000D8030000}"/>
    <cellStyle name="%_FC ENE 09 REAL 2009 PROY 4 10" xfId="1048" xr:uid="{00000000-0005-0000-0000-0000D9030000}"/>
    <cellStyle name="%_FC ENE 09 REAL 2009 PROY 4 11" xfId="1049" xr:uid="{00000000-0005-0000-0000-0000DA030000}"/>
    <cellStyle name="%_FC ENE 09 REAL 2009 PROY 4 12" xfId="1050" xr:uid="{00000000-0005-0000-0000-0000DB030000}"/>
    <cellStyle name="%_FC ENE 09 REAL 2009 PROY 4 13" xfId="1051" xr:uid="{00000000-0005-0000-0000-0000DC030000}"/>
    <cellStyle name="%_FC ENE 09 REAL 2009 PROY 4 2" xfId="1052" xr:uid="{00000000-0005-0000-0000-0000DD030000}"/>
    <cellStyle name="%_FC ENE 09 REAL 2009 PROY 4 3" xfId="1053" xr:uid="{00000000-0005-0000-0000-0000DE030000}"/>
    <cellStyle name="%_FC ENE 09 REAL 2009 PROY 4 4" xfId="1054" xr:uid="{00000000-0005-0000-0000-0000DF030000}"/>
    <cellStyle name="%_FC ENE 09 REAL 2009 PROY 4 5" xfId="1055" xr:uid="{00000000-0005-0000-0000-0000E0030000}"/>
    <cellStyle name="%_FC ENE 09 REAL 2009 PROY 4 6" xfId="1056" xr:uid="{00000000-0005-0000-0000-0000E1030000}"/>
    <cellStyle name="%_FC ENE 09 REAL 2009 PROY 4 7" xfId="1057" xr:uid="{00000000-0005-0000-0000-0000E2030000}"/>
    <cellStyle name="%_FC ENE 09 REAL 2009 PROY 4 8" xfId="1058" xr:uid="{00000000-0005-0000-0000-0000E3030000}"/>
    <cellStyle name="%_FC ENE 09 REAL 2009 PROY 4 9" xfId="1059" xr:uid="{00000000-0005-0000-0000-0000E4030000}"/>
    <cellStyle name="%_FC ENE 09 REAL 2009 PROY 5" xfId="1060" xr:uid="{00000000-0005-0000-0000-0000E5030000}"/>
    <cellStyle name="%_FC ENE 09 REAL 2009 PROY 5 10" xfId="1061" xr:uid="{00000000-0005-0000-0000-0000E6030000}"/>
    <cellStyle name="%_FC ENE 09 REAL 2009 PROY 5 11" xfId="1062" xr:uid="{00000000-0005-0000-0000-0000E7030000}"/>
    <cellStyle name="%_FC ENE 09 REAL 2009 PROY 5 12" xfId="1063" xr:uid="{00000000-0005-0000-0000-0000E8030000}"/>
    <cellStyle name="%_FC ENE 09 REAL 2009 PROY 5 13" xfId="1064" xr:uid="{00000000-0005-0000-0000-0000E9030000}"/>
    <cellStyle name="%_FC ENE 09 REAL 2009 PROY 5 2" xfId="1065" xr:uid="{00000000-0005-0000-0000-0000EA030000}"/>
    <cellStyle name="%_FC ENE 09 REAL 2009 PROY 5 3" xfId="1066" xr:uid="{00000000-0005-0000-0000-0000EB030000}"/>
    <cellStyle name="%_FC ENE 09 REAL 2009 PROY 5 4" xfId="1067" xr:uid="{00000000-0005-0000-0000-0000EC030000}"/>
    <cellStyle name="%_FC ENE 09 REAL 2009 PROY 5 5" xfId="1068" xr:uid="{00000000-0005-0000-0000-0000ED030000}"/>
    <cellStyle name="%_FC ENE 09 REAL 2009 PROY 5 6" xfId="1069" xr:uid="{00000000-0005-0000-0000-0000EE030000}"/>
    <cellStyle name="%_FC ENE 09 REAL 2009 PROY 5 7" xfId="1070" xr:uid="{00000000-0005-0000-0000-0000EF030000}"/>
    <cellStyle name="%_FC ENE 09 REAL 2009 PROY 5 8" xfId="1071" xr:uid="{00000000-0005-0000-0000-0000F0030000}"/>
    <cellStyle name="%_FC ENE 09 REAL 2009 PROY 5 9" xfId="1072" xr:uid="{00000000-0005-0000-0000-0000F1030000}"/>
    <cellStyle name="%_FC ENE 09 REAL 2009 PROY 6" xfId="1073" xr:uid="{00000000-0005-0000-0000-0000F2030000}"/>
    <cellStyle name="%_FC ENE 09 REAL 2009 PROY 6 10" xfId="1074" xr:uid="{00000000-0005-0000-0000-0000F3030000}"/>
    <cellStyle name="%_FC ENE 09 REAL 2009 PROY 6 11" xfId="1075" xr:uid="{00000000-0005-0000-0000-0000F4030000}"/>
    <cellStyle name="%_FC ENE 09 REAL 2009 PROY 6 12" xfId="1076" xr:uid="{00000000-0005-0000-0000-0000F5030000}"/>
    <cellStyle name="%_FC ENE 09 REAL 2009 PROY 6 13" xfId="1077" xr:uid="{00000000-0005-0000-0000-0000F6030000}"/>
    <cellStyle name="%_FC ENE 09 REAL 2009 PROY 6 2" xfId="1078" xr:uid="{00000000-0005-0000-0000-0000F7030000}"/>
    <cellStyle name="%_FC ENE 09 REAL 2009 PROY 6 3" xfId="1079" xr:uid="{00000000-0005-0000-0000-0000F8030000}"/>
    <cellStyle name="%_FC ENE 09 REAL 2009 PROY 6 4" xfId="1080" xr:uid="{00000000-0005-0000-0000-0000F9030000}"/>
    <cellStyle name="%_FC ENE 09 REAL 2009 PROY 6 5" xfId="1081" xr:uid="{00000000-0005-0000-0000-0000FA030000}"/>
    <cellStyle name="%_FC ENE 09 REAL 2009 PROY 6 6" xfId="1082" xr:uid="{00000000-0005-0000-0000-0000FB030000}"/>
    <cellStyle name="%_FC ENE 09 REAL 2009 PROY 6 7" xfId="1083" xr:uid="{00000000-0005-0000-0000-0000FC030000}"/>
    <cellStyle name="%_FC ENE 09 REAL 2009 PROY 6 8" xfId="1084" xr:uid="{00000000-0005-0000-0000-0000FD030000}"/>
    <cellStyle name="%_FC ENE 09 REAL 2009 PROY 6 9" xfId="1085" xr:uid="{00000000-0005-0000-0000-0000FE030000}"/>
    <cellStyle name="%_FC ENE 09 REAL 2009 PROY 7" xfId="1086" xr:uid="{00000000-0005-0000-0000-0000FF030000}"/>
    <cellStyle name="%_FC ENE 09 REAL 2009 PROY 7 10" xfId="1087" xr:uid="{00000000-0005-0000-0000-000000040000}"/>
    <cellStyle name="%_FC ENE 09 REAL 2009 PROY 7 11" xfId="1088" xr:uid="{00000000-0005-0000-0000-000001040000}"/>
    <cellStyle name="%_FC ENE 09 REAL 2009 PROY 7 12" xfId="1089" xr:uid="{00000000-0005-0000-0000-000002040000}"/>
    <cellStyle name="%_FC ENE 09 REAL 2009 PROY 7 13" xfId="1090" xr:uid="{00000000-0005-0000-0000-000003040000}"/>
    <cellStyle name="%_FC ENE 09 REAL 2009 PROY 7 2" xfId="1091" xr:uid="{00000000-0005-0000-0000-000004040000}"/>
    <cellStyle name="%_FC ENE 09 REAL 2009 PROY 7 3" xfId="1092" xr:uid="{00000000-0005-0000-0000-000005040000}"/>
    <cellStyle name="%_FC ENE 09 REAL 2009 PROY 7 4" xfId="1093" xr:uid="{00000000-0005-0000-0000-000006040000}"/>
    <cellStyle name="%_FC ENE 09 REAL 2009 PROY 7 5" xfId="1094" xr:uid="{00000000-0005-0000-0000-000007040000}"/>
    <cellStyle name="%_FC ENE 09 REAL 2009 PROY 7 6" xfId="1095" xr:uid="{00000000-0005-0000-0000-000008040000}"/>
    <cellStyle name="%_FC ENE 09 REAL 2009 PROY 7 7" xfId="1096" xr:uid="{00000000-0005-0000-0000-000009040000}"/>
    <cellStyle name="%_FC ENE 09 REAL 2009 PROY 7 8" xfId="1097" xr:uid="{00000000-0005-0000-0000-00000A040000}"/>
    <cellStyle name="%_FC ENE 09 REAL 2009 PROY 7 9" xfId="1098" xr:uid="{00000000-0005-0000-0000-00000B040000}"/>
    <cellStyle name="%_FC ENE 09 REAL 2009 PROY 8" xfId="1099" xr:uid="{00000000-0005-0000-0000-00000C040000}"/>
    <cellStyle name="%_FC ENE 09 REAL 2009 PROY 8 10" xfId="1100" xr:uid="{00000000-0005-0000-0000-00000D040000}"/>
    <cellStyle name="%_FC ENE 09 REAL 2009 PROY 8 11" xfId="1101" xr:uid="{00000000-0005-0000-0000-00000E040000}"/>
    <cellStyle name="%_FC ENE 09 REAL 2009 PROY 8 12" xfId="1102" xr:uid="{00000000-0005-0000-0000-00000F040000}"/>
    <cellStyle name="%_FC ENE 09 REAL 2009 PROY 8 13" xfId="1103" xr:uid="{00000000-0005-0000-0000-000010040000}"/>
    <cellStyle name="%_FC ENE 09 REAL 2009 PROY 8 2" xfId="1104" xr:uid="{00000000-0005-0000-0000-000011040000}"/>
    <cellStyle name="%_FC ENE 09 REAL 2009 PROY 8 3" xfId="1105" xr:uid="{00000000-0005-0000-0000-000012040000}"/>
    <cellStyle name="%_FC ENE 09 REAL 2009 PROY 8 4" xfId="1106" xr:uid="{00000000-0005-0000-0000-000013040000}"/>
    <cellStyle name="%_FC ENE 09 REAL 2009 PROY 8 5" xfId="1107" xr:uid="{00000000-0005-0000-0000-000014040000}"/>
    <cellStyle name="%_FC ENE 09 REAL 2009 PROY 8 6" xfId="1108" xr:uid="{00000000-0005-0000-0000-000015040000}"/>
    <cellStyle name="%_FC ENE 09 REAL 2009 PROY 8 7" xfId="1109" xr:uid="{00000000-0005-0000-0000-000016040000}"/>
    <cellStyle name="%_FC ENE 09 REAL 2009 PROY 8 8" xfId="1110" xr:uid="{00000000-0005-0000-0000-000017040000}"/>
    <cellStyle name="%_FC ENE 09 REAL 2009 PROY 8 9" xfId="1111" xr:uid="{00000000-0005-0000-0000-000018040000}"/>
    <cellStyle name="%_FC ENE 09 REAL 2009 PROY_Central Puertos - Flujo de caja mensual 2009 - Mayo" xfId="1112" xr:uid="{00000000-0005-0000-0000-000019040000}"/>
    <cellStyle name="%_FC ENE 09 REAL 2009 PROY_Central Puertos - Flujo de caja mensual 2009 - Mayo 2" xfId="1113" xr:uid="{00000000-0005-0000-0000-00001A040000}"/>
    <cellStyle name="%_FC ENE 09 REAL 2009 PROY_Central Puertos - Flujo de caja mensual 2009 - Mayo 3" xfId="1114" xr:uid="{00000000-0005-0000-0000-00001B040000}"/>
    <cellStyle name="%_FC ENE 09 REAL 2009 PROY_Central Puertos - Flujo de caja mensual 2009 - Mayo 4" xfId="1115" xr:uid="{00000000-0005-0000-0000-00001C040000}"/>
    <cellStyle name="%_FC ENE 09 REAL 2009 PROY_FLUJO CONSOLIDADO CAÑA BRAVA OCT 2010" xfId="1116" xr:uid="{00000000-0005-0000-0000-00001D040000}"/>
    <cellStyle name="%_FC ENE 09 REAL 2009 PROY_Flujo de Caja Consolidado Setiembre 23.09.2010 - Ok" xfId="1117" xr:uid="{00000000-0005-0000-0000-00001E040000}"/>
    <cellStyle name="%_FC ENE 09 REAL 2009 PROY_Libro2" xfId="1118" xr:uid="{00000000-0005-0000-0000-00001F040000}"/>
    <cellStyle name="%_FC ENE 09 REAL 2009 PROY_PB. 2011 - Versión Final 30 Dic al Comité de Grencia" xfId="1119" xr:uid="{00000000-0005-0000-0000-000020040000}"/>
    <cellStyle name="%_FC FEB 09 REAL 2009 PROY" xfId="1120" xr:uid="{00000000-0005-0000-0000-000021040000}"/>
    <cellStyle name="%_FC FEB 09 REAL 2009 PROY 2" xfId="1121" xr:uid="{00000000-0005-0000-0000-000022040000}"/>
    <cellStyle name="%_FC FEB 09 REAL 2009 PROY 2 10" xfId="1122" xr:uid="{00000000-0005-0000-0000-000023040000}"/>
    <cellStyle name="%_FC FEB 09 REAL 2009 PROY 2 11" xfId="1123" xr:uid="{00000000-0005-0000-0000-000024040000}"/>
    <cellStyle name="%_FC FEB 09 REAL 2009 PROY 2 12" xfId="1124" xr:uid="{00000000-0005-0000-0000-000025040000}"/>
    <cellStyle name="%_FC FEB 09 REAL 2009 PROY 2 13" xfId="1125" xr:uid="{00000000-0005-0000-0000-000026040000}"/>
    <cellStyle name="%_FC FEB 09 REAL 2009 PROY 2 2" xfId="1126" xr:uid="{00000000-0005-0000-0000-000027040000}"/>
    <cellStyle name="%_FC FEB 09 REAL 2009 PROY 2 3" xfId="1127" xr:uid="{00000000-0005-0000-0000-000028040000}"/>
    <cellStyle name="%_FC FEB 09 REAL 2009 PROY 2 4" xfId="1128" xr:uid="{00000000-0005-0000-0000-000029040000}"/>
    <cellStyle name="%_FC FEB 09 REAL 2009 PROY 2 5" xfId="1129" xr:uid="{00000000-0005-0000-0000-00002A040000}"/>
    <cellStyle name="%_FC FEB 09 REAL 2009 PROY 2 6" xfId="1130" xr:uid="{00000000-0005-0000-0000-00002B040000}"/>
    <cellStyle name="%_FC FEB 09 REAL 2009 PROY 2 7" xfId="1131" xr:uid="{00000000-0005-0000-0000-00002C040000}"/>
    <cellStyle name="%_FC FEB 09 REAL 2009 PROY 2 8" xfId="1132" xr:uid="{00000000-0005-0000-0000-00002D040000}"/>
    <cellStyle name="%_FC FEB 09 REAL 2009 PROY 2 9" xfId="1133" xr:uid="{00000000-0005-0000-0000-00002E040000}"/>
    <cellStyle name="%_FC FEB 09 REAL 2009 PROY 3" xfId="1134" xr:uid="{00000000-0005-0000-0000-00002F040000}"/>
    <cellStyle name="%_FC FEB 09 REAL 2009 PROY 3 10" xfId="1135" xr:uid="{00000000-0005-0000-0000-000030040000}"/>
    <cellStyle name="%_FC FEB 09 REAL 2009 PROY 3 11" xfId="1136" xr:uid="{00000000-0005-0000-0000-000031040000}"/>
    <cellStyle name="%_FC FEB 09 REAL 2009 PROY 3 12" xfId="1137" xr:uid="{00000000-0005-0000-0000-000032040000}"/>
    <cellStyle name="%_FC FEB 09 REAL 2009 PROY 3 13" xfId="1138" xr:uid="{00000000-0005-0000-0000-000033040000}"/>
    <cellStyle name="%_FC FEB 09 REAL 2009 PROY 3 2" xfId="1139" xr:uid="{00000000-0005-0000-0000-000034040000}"/>
    <cellStyle name="%_FC FEB 09 REAL 2009 PROY 3 3" xfId="1140" xr:uid="{00000000-0005-0000-0000-000035040000}"/>
    <cellStyle name="%_FC FEB 09 REAL 2009 PROY 3 4" xfId="1141" xr:uid="{00000000-0005-0000-0000-000036040000}"/>
    <cellStyle name="%_FC FEB 09 REAL 2009 PROY 3 5" xfId="1142" xr:uid="{00000000-0005-0000-0000-000037040000}"/>
    <cellStyle name="%_FC FEB 09 REAL 2009 PROY 3 6" xfId="1143" xr:uid="{00000000-0005-0000-0000-000038040000}"/>
    <cellStyle name="%_FC FEB 09 REAL 2009 PROY 3 7" xfId="1144" xr:uid="{00000000-0005-0000-0000-000039040000}"/>
    <cellStyle name="%_FC FEB 09 REAL 2009 PROY 3 8" xfId="1145" xr:uid="{00000000-0005-0000-0000-00003A040000}"/>
    <cellStyle name="%_FC FEB 09 REAL 2009 PROY 3 9" xfId="1146" xr:uid="{00000000-0005-0000-0000-00003B040000}"/>
    <cellStyle name="%_FC FEB 09 REAL 2009 PROY 4" xfId="1147" xr:uid="{00000000-0005-0000-0000-00003C040000}"/>
    <cellStyle name="%_FC FEB 09 REAL 2009 PROY 4 10" xfId="1148" xr:uid="{00000000-0005-0000-0000-00003D040000}"/>
    <cellStyle name="%_FC FEB 09 REAL 2009 PROY 4 11" xfId="1149" xr:uid="{00000000-0005-0000-0000-00003E040000}"/>
    <cellStyle name="%_FC FEB 09 REAL 2009 PROY 4 12" xfId="1150" xr:uid="{00000000-0005-0000-0000-00003F040000}"/>
    <cellStyle name="%_FC FEB 09 REAL 2009 PROY 4 13" xfId="1151" xr:uid="{00000000-0005-0000-0000-000040040000}"/>
    <cellStyle name="%_FC FEB 09 REAL 2009 PROY 4 2" xfId="1152" xr:uid="{00000000-0005-0000-0000-000041040000}"/>
    <cellStyle name="%_FC FEB 09 REAL 2009 PROY 4 3" xfId="1153" xr:uid="{00000000-0005-0000-0000-000042040000}"/>
    <cellStyle name="%_FC FEB 09 REAL 2009 PROY 4 4" xfId="1154" xr:uid="{00000000-0005-0000-0000-000043040000}"/>
    <cellStyle name="%_FC FEB 09 REAL 2009 PROY 4 5" xfId="1155" xr:uid="{00000000-0005-0000-0000-000044040000}"/>
    <cellStyle name="%_FC FEB 09 REAL 2009 PROY 4 6" xfId="1156" xr:uid="{00000000-0005-0000-0000-000045040000}"/>
    <cellStyle name="%_FC FEB 09 REAL 2009 PROY 4 7" xfId="1157" xr:uid="{00000000-0005-0000-0000-000046040000}"/>
    <cellStyle name="%_FC FEB 09 REAL 2009 PROY 4 8" xfId="1158" xr:uid="{00000000-0005-0000-0000-000047040000}"/>
    <cellStyle name="%_FC FEB 09 REAL 2009 PROY 4 9" xfId="1159" xr:uid="{00000000-0005-0000-0000-000048040000}"/>
    <cellStyle name="%_FC FEB 09 REAL 2009 PROY 5" xfId="1160" xr:uid="{00000000-0005-0000-0000-000049040000}"/>
    <cellStyle name="%_FC FEB 09 REAL 2009 PROY 5 10" xfId="1161" xr:uid="{00000000-0005-0000-0000-00004A040000}"/>
    <cellStyle name="%_FC FEB 09 REAL 2009 PROY 5 11" xfId="1162" xr:uid="{00000000-0005-0000-0000-00004B040000}"/>
    <cellStyle name="%_FC FEB 09 REAL 2009 PROY 5 12" xfId="1163" xr:uid="{00000000-0005-0000-0000-00004C040000}"/>
    <cellStyle name="%_FC FEB 09 REAL 2009 PROY 5 13" xfId="1164" xr:uid="{00000000-0005-0000-0000-00004D040000}"/>
    <cellStyle name="%_FC FEB 09 REAL 2009 PROY 5 2" xfId="1165" xr:uid="{00000000-0005-0000-0000-00004E040000}"/>
    <cellStyle name="%_FC FEB 09 REAL 2009 PROY 5 3" xfId="1166" xr:uid="{00000000-0005-0000-0000-00004F040000}"/>
    <cellStyle name="%_FC FEB 09 REAL 2009 PROY 5 4" xfId="1167" xr:uid="{00000000-0005-0000-0000-000050040000}"/>
    <cellStyle name="%_FC FEB 09 REAL 2009 PROY 5 5" xfId="1168" xr:uid="{00000000-0005-0000-0000-000051040000}"/>
    <cellStyle name="%_FC FEB 09 REAL 2009 PROY 5 6" xfId="1169" xr:uid="{00000000-0005-0000-0000-000052040000}"/>
    <cellStyle name="%_FC FEB 09 REAL 2009 PROY 5 7" xfId="1170" xr:uid="{00000000-0005-0000-0000-000053040000}"/>
    <cellStyle name="%_FC FEB 09 REAL 2009 PROY 5 8" xfId="1171" xr:uid="{00000000-0005-0000-0000-000054040000}"/>
    <cellStyle name="%_FC FEB 09 REAL 2009 PROY 5 9" xfId="1172" xr:uid="{00000000-0005-0000-0000-000055040000}"/>
    <cellStyle name="%_FC FEB 09 REAL 2009 PROY 6" xfId="1173" xr:uid="{00000000-0005-0000-0000-000056040000}"/>
    <cellStyle name="%_FC FEB 09 REAL 2009 PROY 6 10" xfId="1174" xr:uid="{00000000-0005-0000-0000-000057040000}"/>
    <cellStyle name="%_FC FEB 09 REAL 2009 PROY 6 11" xfId="1175" xr:uid="{00000000-0005-0000-0000-000058040000}"/>
    <cellStyle name="%_FC FEB 09 REAL 2009 PROY 6 12" xfId="1176" xr:uid="{00000000-0005-0000-0000-000059040000}"/>
    <cellStyle name="%_FC FEB 09 REAL 2009 PROY 6 13" xfId="1177" xr:uid="{00000000-0005-0000-0000-00005A040000}"/>
    <cellStyle name="%_FC FEB 09 REAL 2009 PROY 6 2" xfId="1178" xr:uid="{00000000-0005-0000-0000-00005B040000}"/>
    <cellStyle name="%_FC FEB 09 REAL 2009 PROY 6 3" xfId="1179" xr:uid="{00000000-0005-0000-0000-00005C040000}"/>
    <cellStyle name="%_FC FEB 09 REAL 2009 PROY 6 4" xfId="1180" xr:uid="{00000000-0005-0000-0000-00005D040000}"/>
    <cellStyle name="%_FC FEB 09 REAL 2009 PROY 6 5" xfId="1181" xr:uid="{00000000-0005-0000-0000-00005E040000}"/>
    <cellStyle name="%_FC FEB 09 REAL 2009 PROY 6 6" xfId="1182" xr:uid="{00000000-0005-0000-0000-00005F040000}"/>
    <cellStyle name="%_FC FEB 09 REAL 2009 PROY 6 7" xfId="1183" xr:uid="{00000000-0005-0000-0000-000060040000}"/>
    <cellStyle name="%_FC FEB 09 REAL 2009 PROY 6 8" xfId="1184" xr:uid="{00000000-0005-0000-0000-000061040000}"/>
    <cellStyle name="%_FC FEB 09 REAL 2009 PROY 6 9" xfId="1185" xr:uid="{00000000-0005-0000-0000-000062040000}"/>
    <cellStyle name="%_FC FEB 09 REAL 2009 PROY 7" xfId="1186" xr:uid="{00000000-0005-0000-0000-000063040000}"/>
    <cellStyle name="%_FC FEB 09 REAL 2009 PROY 7 10" xfId="1187" xr:uid="{00000000-0005-0000-0000-000064040000}"/>
    <cellStyle name="%_FC FEB 09 REAL 2009 PROY 7 11" xfId="1188" xr:uid="{00000000-0005-0000-0000-000065040000}"/>
    <cellStyle name="%_FC FEB 09 REAL 2009 PROY 7 12" xfId="1189" xr:uid="{00000000-0005-0000-0000-000066040000}"/>
    <cellStyle name="%_FC FEB 09 REAL 2009 PROY 7 13" xfId="1190" xr:uid="{00000000-0005-0000-0000-000067040000}"/>
    <cellStyle name="%_FC FEB 09 REAL 2009 PROY 7 2" xfId="1191" xr:uid="{00000000-0005-0000-0000-000068040000}"/>
    <cellStyle name="%_FC FEB 09 REAL 2009 PROY 7 3" xfId="1192" xr:uid="{00000000-0005-0000-0000-000069040000}"/>
    <cellStyle name="%_FC FEB 09 REAL 2009 PROY 7 4" xfId="1193" xr:uid="{00000000-0005-0000-0000-00006A040000}"/>
    <cellStyle name="%_FC FEB 09 REAL 2009 PROY 7 5" xfId="1194" xr:uid="{00000000-0005-0000-0000-00006B040000}"/>
    <cellStyle name="%_FC FEB 09 REAL 2009 PROY 7 6" xfId="1195" xr:uid="{00000000-0005-0000-0000-00006C040000}"/>
    <cellStyle name="%_FC FEB 09 REAL 2009 PROY 7 7" xfId="1196" xr:uid="{00000000-0005-0000-0000-00006D040000}"/>
    <cellStyle name="%_FC FEB 09 REAL 2009 PROY 7 8" xfId="1197" xr:uid="{00000000-0005-0000-0000-00006E040000}"/>
    <cellStyle name="%_FC FEB 09 REAL 2009 PROY 7 9" xfId="1198" xr:uid="{00000000-0005-0000-0000-00006F040000}"/>
    <cellStyle name="%_FC FEB 09 REAL 2009 PROY 8" xfId="1199" xr:uid="{00000000-0005-0000-0000-000070040000}"/>
    <cellStyle name="%_FC FEB 09 REAL 2009 PROY 8 10" xfId="1200" xr:uid="{00000000-0005-0000-0000-000071040000}"/>
    <cellStyle name="%_FC FEB 09 REAL 2009 PROY 8 11" xfId="1201" xr:uid="{00000000-0005-0000-0000-000072040000}"/>
    <cellStyle name="%_FC FEB 09 REAL 2009 PROY 8 12" xfId="1202" xr:uid="{00000000-0005-0000-0000-000073040000}"/>
    <cellStyle name="%_FC FEB 09 REAL 2009 PROY 8 13" xfId="1203" xr:uid="{00000000-0005-0000-0000-000074040000}"/>
    <cellStyle name="%_FC FEB 09 REAL 2009 PROY 8 2" xfId="1204" xr:uid="{00000000-0005-0000-0000-000075040000}"/>
    <cellStyle name="%_FC FEB 09 REAL 2009 PROY 8 3" xfId="1205" xr:uid="{00000000-0005-0000-0000-000076040000}"/>
    <cellStyle name="%_FC FEB 09 REAL 2009 PROY 8 4" xfId="1206" xr:uid="{00000000-0005-0000-0000-000077040000}"/>
    <cellStyle name="%_FC FEB 09 REAL 2009 PROY 8 5" xfId="1207" xr:uid="{00000000-0005-0000-0000-000078040000}"/>
    <cellStyle name="%_FC FEB 09 REAL 2009 PROY 8 6" xfId="1208" xr:uid="{00000000-0005-0000-0000-000079040000}"/>
    <cellStyle name="%_FC FEB 09 REAL 2009 PROY 8 7" xfId="1209" xr:uid="{00000000-0005-0000-0000-00007A040000}"/>
    <cellStyle name="%_FC FEB 09 REAL 2009 PROY 8 8" xfId="1210" xr:uid="{00000000-0005-0000-0000-00007B040000}"/>
    <cellStyle name="%_FC FEB 09 REAL 2009 PROY 8 9" xfId="1211" xr:uid="{00000000-0005-0000-0000-00007C040000}"/>
    <cellStyle name="%_FC FEB 09 REAL 2009 PROY_FLUJO CONSOLIDADO CAÑA BRAVA OCT 2010" xfId="1212" xr:uid="{00000000-0005-0000-0000-00007D040000}"/>
    <cellStyle name="%_FC FEB 09 REAL 2009 PROY_Flujo de Caja Consolidado Setiembre 23.09.2010 - Ok" xfId="1213" xr:uid="{00000000-0005-0000-0000-00007E040000}"/>
    <cellStyle name="%_FC FEB 09 REAL 2009 PROY_Libro2" xfId="1214" xr:uid="{00000000-0005-0000-0000-00007F040000}"/>
    <cellStyle name="%_FC FEB 09 REAL 2009 PROY_PB. 2011 - Versión Final 30 Dic al Comité de Grencia" xfId="1215" xr:uid="{00000000-0005-0000-0000-000080040000}"/>
    <cellStyle name="%_FC G ROMERO DIC 2008" xfId="1216" xr:uid="{00000000-0005-0000-0000-000081040000}"/>
    <cellStyle name="%_FC G ROMERO DIC 2008 2" xfId="1217" xr:uid="{00000000-0005-0000-0000-000082040000}"/>
    <cellStyle name="%_FC G ROMERO DIC 2008 2 10" xfId="1218" xr:uid="{00000000-0005-0000-0000-000083040000}"/>
    <cellStyle name="%_FC G ROMERO DIC 2008 2 11" xfId="1219" xr:uid="{00000000-0005-0000-0000-000084040000}"/>
    <cellStyle name="%_FC G ROMERO DIC 2008 2 12" xfId="1220" xr:uid="{00000000-0005-0000-0000-000085040000}"/>
    <cellStyle name="%_FC G ROMERO DIC 2008 2 13" xfId="1221" xr:uid="{00000000-0005-0000-0000-000086040000}"/>
    <cellStyle name="%_FC G ROMERO DIC 2008 2 2" xfId="1222" xr:uid="{00000000-0005-0000-0000-000087040000}"/>
    <cellStyle name="%_FC G ROMERO DIC 2008 2 3" xfId="1223" xr:uid="{00000000-0005-0000-0000-000088040000}"/>
    <cellStyle name="%_FC G ROMERO DIC 2008 2 4" xfId="1224" xr:uid="{00000000-0005-0000-0000-000089040000}"/>
    <cellStyle name="%_FC G ROMERO DIC 2008 2 5" xfId="1225" xr:uid="{00000000-0005-0000-0000-00008A040000}"/>
    <cellStyle name="%_FC G ROMERO DIC 2008 2 6" xfId="1226" xr:uid="{00000000-0005-0000-0000-00008B040000}"/>
    <cellStyle name="%_FC G ROMERO DIC 2008 2 7" xfId="1227" xr:uid="{00000000-0005-0000-0000-00008C040000}"/>
    <cellStyle name="%_FC G ROMERO DIC 2008 2 8" xfId="1228" xr:uid="{00000000-0005-0000-0000-00008D040000}"/>
    <cellStyle name="%_FC G ROMERO DIC 2008 2 9" xfId="1229" xr:uid="{00000000-0005-0000-0000-00008E040000}"/>
    <cellStyle name="%_FC G ROMERO DIC 2008 3" xfId="1230" xr:uid="{00000000-0005-0000-0000-00008F040000}"/>
    <cellStyle name="%_FC G ROMERO DIC 2008 3 10" xfId="1231" xr:uid="{00000000-0005-0000-0000-000090040000}"/>
    <cellStyle name="%_FC G ROMERO DIC 2008 3 11" xfId="1232" xr:uid="{00000000-0005-0000-0000-000091040000}"/>
    <cellStyle name="%_FC G ROMERO DIC 2008 3 12" xfId="1233" xr:uid="{00000000-0005-0000-0000-000092040000}"/>
    <cellStyle name="%_FC G ROMERO DIC 2008 3 13" xfId="1234" xr:uid="{00000000-0005-0000-0000-000093040000}"/>
    <cellStyle name="%_FC G ROMERO DIC 2008 3 2" xfId="1235" xr:uid="{00000000-0005-0000-0000-000094040000}"/>
    <cellStyle name="%_FC G ROMERO DIC 2008 3 3" xfId="1236" xr:uid="{00000000-0005-0000-0000-000095040000}"/>
    <cellStyle name="%_FC G ROMERO DIC 2008 3 4" xfId="1237" xr:uid="{00000000-0005-0000-0000-000096040000}"/>
    <cellStyle name="%_FC G ROMERO DIC 2008 3 5" xfId="1238" xr:uid="{00000000-0005-0000-0000-000097040000}"/>
    <cellStyle name="%_FC G ROMERO DIC 2008 3 6" xfId="1239" xr:uid="{00000000-0005-0000-0000-000098040000}"/>
    <cellStyle name="%_FC G ROMERO DIC 2008 3 7" xfId="1240" xr:uid="{00000000-0005-0000-0000-000099040000}"/>
    <cellStyle name="%_FC G ROMERO DIC 2008 3 8" xfId="1241" xr:uid="{00000000-0005-0000-0000-00009A040000}"/>
    <cellStyle name="%_FC G ROMERO DIC 2008 3 9" xfId="1242" xr:uid="{00000000-0005-0000-0000-00009B040000}"/>
    <cellStyle name="%_FC G ROMERO DIC 2008 4" xfId="1243" xr:uid="{00000000-0005-0000-0000-00009C040000}"/>
    <cellStyle name="%_FC G ROMERO DIC 2008 4 10" xfId="1244" xr:uid="{00000000-0005-0000-0000-00009D040000}"/>
    <cellStyle name="%_FC G ROMERO DIC 2008 4 11" xfId="1245" xr:uid="{00000000-0005-0000-0000-00009E040000}"/>
    <cellStyle name="%_FC G ROMERO DIC 2008 4 12" xfId="1246" xr:uid="{00000000-0005-0000-0000-00009F040000}"/>
    <cellStyle name="%_FC G ROMERO DIC 2008 4 13" xfId="1247" xr:uid="{00000000-0005-0000-0000-0000A0040000}"/>
    <cellStyle name="%_FC G ROMERO DIC 2008 4 2" xfId="1248" xr:uid="{00000000-0005-0000-0000-0000A1040000}"/>
    <cellStyle name="%_FC G ROMERO DIC 2008 4 3" xfId="1249" xr:uid="{00000000-0005-0000-0000-0000A2040000}"/>
    <cellStyle name="%_FC G ROMERO DIC 2008 4 4" xfId="1250" xr:uid="{00000000-0005-0000-0000-0000A3040000}"/>
    <cellStyle name="%_FC G ROMERO DIC 2008 4 5" xfId="1251" xr:uid="{00000000-0005-0000-0000-0000A4040000}"/>
    <cellStyle name="%_FC G ROMERO DIC 2008 4 6" xfId="1252" xr:uid="{00000000-0005-0000-0000-0000A5040000}"/>
    <cellStyle name="%_FC G ROMERO DIC 2008 4 7" xfId="1253" xr:uid="{00000000-0005-0000-0000-0000A6040000}"/>
    <cellStyle name="%_FC G ROMERO DIC 2008 4 8" xfId="1254" xr:uid="{00000000-0005-0000-0000-0000A7040000}"/>
    <cellStyle name="%_FC G ROMERO DIC 2008 4 9" xfId="1255" xr:uid="{00000000-0005-0000-0000-0000A8040000}"/>
    <cellStyle name="%_FC G ROMERO DIC 2008 5" xfId="1256" xr:uid="{00000000-0005-0000-0000-0000A9040000}"/>
    <cellStyle name="%_FC G ROMERO DIC 2008 5 10" xfId="1257" xr:uid="{00000000-0005-0000-0000-0000AA040000}"/>
    <cellStyle name="%_FC G ROMERO DIC 2008 5 11" xfId="1258" xr:uid="{00000000-0005-0000-0000-0000AB040000}"/>
    <cellStyle name="%_FC G ROMERO DIC 2008 5 12" xfId="1259" xr:uid="{00000000-0005-0000-0000-0000AC040000}"/>
    <cellStyle name="%_FC G ROMERO DIC 2008 5 13" xfId="1260" xr:uid="{00000000-0005-0000-0000-0000AD040000}"/>
    <cellStyle name="%_FC G ROMERO DIC 2008 5 2" xfId="1261" xr:uid="{00000000-0005-0000-0000-0000AE040000}"/>
    <cellStyle name="%_FC G ROMERO DIC 2008 5 3" xfId="1262" xr:uid="{00000000-0005-0000-0000-0000AF040000}"/>
    <cellStyle name="%_FC G ROMERO DIC 2008 5 4" xfId="1263" xr:uid="{00000000-0005-0000-0000-0000B0040000}"/>
    <cellStyle name="%_FC G ROMERO DIC 2008 5 5" xfId="1264" xr:uid="{00000000-0005-0000-0000-0000B1040000}"/>
    <cellStyle name="%_FC G ROMERO DIC 2008 5 6" xfId="1265" xr:uid="{00000000-0005-0000-0000-0000B2040000}"/>
    <cellStyle name="%_FC G ROMERO DIC 2008 5 7" xfId="1266" xr:uid="{00000000-0005-0000-0000-0000B3040000}"/>
    <cellStyle name="%_FC G ROMERO DIC 2008 5 8" xfId="1267" xr:uid="{00000000-0005-0000-0000-0000B4040000}"/>
    <cellStyle name="%_FC G ROMERO DIC 2008 5 9" xfId="1268" xr:uid="{00000000-0005-0000-0000-0000B5040000}"/>
    <cellStyle name="%_FC G ROMERO DIC 2008 6" xfId="1269" xr:uid="{00000000-0005-0000-0000-0000B6040000}"/>
    <cellStyle name="%_FC G ROMERO DIC 2008 6 10" xfId="1270" xr:uid="{00000000-0005-0000-0000-0000B7040000}"/>
    <cellStyle name="%_FC G ROMERO DIC 2008 6 11" xfId="1271" xr:uid="{00000000-0005-0000-0000-0000B8040000}"/>
    <cellStyle name="%_FC G ROMERO DIC 2008 6 12" xfId="1272" xr:uid="{00000000-0005-0000-0000-0000B9040000}"/>
    <cellStyle name="%_FC G ROMERO DIC 2008 6 13" xfId="1273" xr:uid="{00000000-0005-0000-0000-0000BA040000}"/>
    <cellStyle name="%_FC G ROMERO DIC 2008 6 2" xfId="1274" xr:uid="{00000000-0005-0000-0000-0000BB040000}"/>
    <cellStyle name="%_FC G ROMERO DIC 2008 6 3" xfId="1275" xr:uid="{00000000-0005-0000-0000-0000BC040000}"/>
    <cellStyle name="%_FC G ROMERO DIC 2008 6 4" xfId="1276" xr:uid="{00000000-0005-0000-0000-0000BD040000}"/>
    <cellStyle name="%_FC G ROMERO DIC 2008 6 5" xfId="1277" xr:uid="{00000000-0005-0000-0000-0000BE040000}"/>
    <cellStyle name="%_FC G ROMERO DIC 2008 6 6" xfId="1278" xr:uid="{00000000-0005-0000-0000-0000BF040000}"/>
    <cellStyle name="%_FC G ROMERO DIC 2008 6 7" xfId="1279" xr:uid="{00000000-0005-0000-0000-0000C0040000}"/>
    <cellStyle name="%_FC G ROMERO DIC 2008 6 8" xfId="1280" xr:uid="{00000000-0005-0000-0000-0000C1040000}"/>
    <cellStyle name="%_FC G ROMERO DIC 2008 6 9" xfId="1281" xr:uid="{00000000-0005-0000-0000-0000C2040000}"/>
    <cellStyle name="%_FC G ROMERO DIC 2008 7" xfId="1282" xr:uid="{00000000-0005-0000-0000-0000C3040000}"/>
    <cellStyle name="%_FC G ROMERO DIC 2008 7 10" xfId="1283" xr:uid="{00000000-0005-0000-0000-0000C4040000}"/>
    <cellStyle name="%_FC G ROMERO DIC 2008 7 11" xfId="1284" xr:uid="{00000000-0005-0000-0000-0000C5040000}"/>
    <cellStyle name="%_FC G ROMERO DIC 2008 7 12" xfId="1285" xr:uid="{00000000-0005-0000-0000-0000C6040000}"/>
    <cellStyle name="%_FC G ROMERO DIC 2008 7 13" xfId="1286" xr:uid="{00000000-0005-0000-0000-0000C7040000}"/>
    <cellStyle name="%_FC G ROMERO DIC 2008 7 2" xfId="1287" xr:uid="{00000000-0005-0000-0000-0000C8040000}"/>
    <cellStyle name="%_FC G ROMERO DIC 2008 7 3" xfId="1288" xr:uid="{00000000-0005-0000-0000-0000C9040000}"/>
    <cellStyle name="%_FC G ROMERO DIC 2008 7 4" xfId="1289" xr:uid="{00000000-0005-0000-0000-0000CA040000}"/>
    <cellStyle name="%_FC G ROMERO DIC 2008 7 5" xfId="1290" xr:uid="{00000000-0005-0000-0000-0000CB040000}"/>
    <cellStyle name="%_FC G ROMERO DIC 2008 7 6" xfId="1291" xr:uid="{00000000-0005-0000-0000-0000CC040000}"/>
    <cellStyle name="%_FC G ROMERO DIC 2008 7 7" xfId="1292" xr:uid="{00000000-0005-0000-0000-0000CD040000}"/>
    <cellStyle name="%_FC G ROMERO DIC 2008 7 8" xfId="1293" xr:uid="{00000000-0005-0000-0000-0000CE040000}"/>
    <cellStyle name="%_FC G ROMERO DIC 2008 7 9" xfId="1294" xr:uid="{00000000-0005-0000-0000-0000CF040000}"/>
    <cellStyle name="%_FC G ROMERO DIC 2008 8" xfId="1295" xr:uid="{00000000-0005-0000-0000-0000D0040000}"/>
    <cellStyle name="%_FC G ROMERO DIC 2008 8 10" xfId="1296" xr:uid="{00000000-0005-0000-0000-0000D1040000}"/>
    <cellStyle name="%_FC G ROMERO DIC 2008 8 11" xfId="1297" xr:uid="{00000000-0005-0000-0000-0000D2040000}"/>
    <cellStyle name="%_FC G ROMERO DIC 2008 8 12" xfId="1298" xr:uid="{00000000-0005-0000-0000-0000D3040000}"/>
    <cellStyle name="%_FC G ROMERO DIC 2008 8 13" xfId="1299" xr:uid="{00000000-0005-0000-0000-0000D4040000}"/>
    <cellStyle name="%_FC G ROMERO DIC 2008 8 2" xfId="1300" xr:uid="{00000000-0005-0000-0000-0000D5040000}"/>
    <cellStyle name="%_FC G ROMERO DIC 2008 8 3" xfId="1301" xr:uid="{00000000-0005-0000-0000-0000D6040000}"/>
    <cellStyle name="%_FC G ROMERO DIC 2008 8 4" xfId="1302" xr:uid="{00000000-0005-0000-0000-0000D7040000}"/>
    <cellStyle name="%_FC G ROMERO DIC 2008 8 5" xfId="1303" xr:uid="{00000000-0005-0000-0000-0000D8040000}"/>
    <cellStyle name="%_FC G ROMERO DIC 2008 8 6" xfId="1304" xr:uid="{00000000-0005-0000-0000-0000D9040000}"/>
    <cellStyle name="%_FC G ROMERO DIC 2008 8 7" xfId="1305" xr:uid="{00000000-0005-0000-0000-0000DA040000}"/>
    <cellStyle name="%_FC G ROMERO DIC 2008 8 8" xfId="1306" xr:uid="{00000000-0005-0000-0000-0000DB040000}"/>
    <cellStyle name="%_FC G ROMERO DIC 2008 8 9" xfId="1307" xr:uid="{00000000-0005-0000-0000-0000DC040000}"/>
    <cellStyle name="%_FC G ROMERO DIC 2008_FLUJO CONSOLIDADO CAÑA BRAVA OCT 2010" xfId="1308" xr:uid="{00000000-0005-0000-0000-0000DD040000}"/>
    <cellStyle name="%_FC G ROMERO DIC 2008_Flujo de Caja Consolidado Setiembre 23.09.2010 - Ok" xfId="1309" xr:uid="{00000000-0005-0000-0000-0000DE040000}"/>
    <cellStyle name="%_FC G ROMERO DIC 2008_Libro2" xfId="1310" xr:uid="{00000000-0005-0000-0000-0000DF040000}"/>
    <cellStyle name="%_FC G ROMERO DIC 2008_PB. 2011 - Versión Final 30 Dic al Comité de Grencia" xfId="1311" xr:uid="{00000000-0005-0000-0000-0000E0040000}"/>
    <cellStyle name="%_FC JUL 09 REAL 2009 PROY" xfId="1312" xr:uid="{00000000-0005-0000-0000-0000E1040000}"/>
    <cellStyle name="%_FC JUL 09 REAL 2009 PROY 2" xfId="1313" xr:uid="{00000000-0005-0000-0000-0000E2040000}"/>
    <cellStyle name="%_FC JUL 09 REAL 2009 PROY 2 10" xfId="1314" xr:uid="{00000000-0005-0000-0000-0000E3040000}"/>
    <cellStyle name="%_FC JUL 09 REAL 2009 PROY 2 11" xfId="1315" xr:uid="{00000000-0005-0000-0000-0000E4040000}"/>
    <cellStyle name="%_FC JUL 09 REAL 2009 PROY 2 12" xfId="1316" xr:uid="{00000000-0005-0000-0000-0000E5040000}"/>
    <cellStyle name="%_FC JUL 09 REAL 2009 PROY 2 13" xfId="1317" xr:uid="{00000000-0005-0000-0000-0000E6040000}"/>
    <cellStyle name="%_FC JUL 09 REAL 2009 PROY 2 2" xfId="1318" xr:uid="{00000000-0005-0000-0000-0000E7040000}"/>
    <cellStyle name="%_FC JUL 09 REAL 2009 PROY 2 3" xfId="1319" xr:uid="{00000000-0005-0000-0000-0000E8040000}"/>
    <cellStyle name="%_FC JUL 09 REAL 2009 PROY 2 4" xfId="1320" xr:uid="{00000000-0005-0000-0000-0000E9040000}"/>
    <cellStyle name="%_FC JUL 09 REAL 2009 PROY 2 5" xfId="1321" xr:uid="{00000000-0005-0000-0000-0000EA040000}"/>
    <cellStyle name="%_FC JUL 09 REAL 2009 PROY 2 6" xfId="1322" xr:uid="{00000000-0005-0000-0000-0000EB040000}"/>
    <cellStyle name="%_FC JUL 09 REAL 2009 PROY 2 7" xfId="1323" xr:uid="{00000000-0005-0000-0000-0000EC040000}"/>
    <cellStyle name="%_FC JUL 09 REAL 2009 PROY 2 8" xfId="1324" xr:uid="{00000000-0005-0000-0000-0000ED040000}"/>
    <cellStyle name="%_FC JUL 09 REAL 2009 PROY 2 9" xfId="1325" xr:uid="{00000000-0005-0000-0000-0000EE040000}"/>
    <cellStyle name="%_FC JUL 09 REAL 2009 PROY 3" xfId="1326" xr:uid="{00000000-0005-0000-0000-0000EF040000}"/>
    <cellStyle name="%_FC JUL 09 REAL 2009 PROY 3 10" xfId="1327" xr:uid="{00000000-0005-0000-0000-0000F0040000}"/>
    <cellStyle name="%_FC JUL 09 REAL 2009 PROY 3 11" xfId="1328" xr:uid="{00000000-0005-0000-0000-0000F1040000}"/>
    <cellStyle name="%_FC JUL 09 REAL 2009 PROY 3 12" xfId="1329" xr:uid="{00000000-0005-0000-0000-0000F2040000}"/>
    <cellStyle name="%_FC JUL 09 REAL 2009 PROY 3 13" xfId="1330" xr:uid="{00000000-0005-0000-0000-0000F3040000}"/>
    <cellStyle name="%_FC JUL 09 REAL 2009 PROY 3 2" xfId="1331" xr:uid="{00000000-0005-0000-0000-0000F4040000}"/>
    <cellStyle name="%_FC JUL 09 REAL 2009 PROY 3 3" xfId="1332" xr:uid="{00000000-0005-0000-0000-0000F5040000}"/>
    <cellStyle name="%_FC JUL 09 REAL 2009 PROY 3 4" xfId="1333" xr:uid="{00000000-0005-0000-0000-0000F6040000}"/>
    <cellStyle name="%_FC JUL 09 REAL 2009 PROY 3 5" xfId="1334" xr:uid="{00000000-0005-0000-0000-0000F7040000}"/>
    <cellStyle name="%_FC JUL 09 REAL 2009 PROY 3 6" xfId="1335" xr:uid="{00000000-0005-0000-0000-0000F8040000}"/>
    <cellStyle name="%_FC JUL 09 REAL 2009 PROY 3 7" xfId="1336" xr:uid="{00000000-0005-0000-0000-0000F9040000}"/>
    <cellStyle name="%_FC JUL 09 REAL 2009 PROY 3 8" xfId="1337" xr:uid="{00000000-0005-0000-0000-0000FA040000}"/>
    <cellStyle name="%_FC JUL 09 REAL 2009 PROY 3 9" xfId="1338" xr:uid="{00000000-0005-0000-0000-0000FB040000}"/>
    <cellStyle name="%_FC JUL 09 REAL 2009 PROY 4" xfId="1339" xr:uid="{00000000-0005-0000-0000-0000FC040000}"/>
    <cellStyle name="%_FC JUL 09 REAL 2009 PROY 4 10" xfId="1340" xr:uid="{00000000-0005-0000-0000-0000FD040000}"/>
    <cellStyle name="%_FC JUL 09 REAL 2009 PROY 4 11" xfId="1341" xr:uid="{00000000-0005-0000-0000-0000FE040000}"/>
    <cellStyle name="%_FC JUL 09 REAL 2009 PROY 4 12" xfId="1342" xr:uid="{00000000-0005-0000-0000-0000FF040000}"/>
    <cellStyle name="%_FC JUL 09 REAL 2009 PROY 4 13" xfId="1343" xr:uid="{00000000-0005-0000-0000-000000050000}"/>
    <cellStyle name="%_FC JUL 09 REAL 2009 PROY 4 2" xfId="1344" xr:uid="{00000000-0005-0000-0000-000001050000}"/>
    <cellStyle name="%_FC JUL 09 REAL 2009 PROY 4 3" xfId="1345" xr:uid="{00000000-0005-0000-0000-000002050000}"/>
    <cellStyle name="%_FC JUL 09 REAL 2009 PROY 4 4" xfId="1346" xr:uid="{00000000-0005-0000-0000-000003050000}"/>
    <cellStyle name="%_FC JUL 09 REAL 2009 PROY 4 5" xfId="1347" xr:uid="{00000000-0005-0000-0000-000004050000}"/>
    <cellStyle name="%_FC JUL 09 REAL 2009 PROY 4 6" xfId="1348" xr:uid="{00000000-0005-0000-0000-000005050000}"/>
    <cellStyle name="%_FC JUL 09 REAL 2009 PROY 4 7" xfId="1349" xr:uid="{00000000-0005-0000-0000-000006050000}"/>
    <cellStyle name="%_FC JUL 09 REAL 2009 PROY 4 8" xfId="1350" xr:uid="{00000000-0005-0000-0000-000007050000}"/>
    <cellStyle name="%_FC JUL 09 REAL 2009 PROY 4 9" xfId="1351" xr:uid="{00000000-0005-0000-0000-000008050000}"/>
    <cellStyle name="%_FC JUL 09 REAL 2009 PROY 5" xfId="1352" xr:uid="{00000000-0005-0000-0000-000009050000}"/>
    <cellStyle name="%_FC JUL 09 REAL 2009 PROY 5 10" xfId="1353" xr:uid="{00000000-0005-0000-0000-00000A050000}"/>
    <cellStyle name="%_FC JUL 09 REAL 2009 PROY 5 11" xfId="1354" xr:uid="{00000000-0005-0000-0000-00000B050000}"/>
    <cellStyle name="%_FC JUL 09 REAL 2009 PROY 5 12" xfId="1355" xr:uid="{00000000-0005-0000-0000-00000C050000}"/>
    <cellStyle name="%_FC JUL 09 REAL 2009 PROY 5 13" xfId="1356" xr:uid="{00000000-0005-0000-0000-00000D050000}"/>
    <cellStyle name="%_FC JUL 09 REAL 2009 PROY 5 2" xfId="1357" xr:uid="{00000000-0005-0000-0000-00000E050000}"/>
    <cellStyle name="%_FC JUL 09 REAL 2009 PROY 5 3" xfId="1358" xr:uid="{00000000-0005-0000-0000-00000F050000}"/>
    <cellStyle name="%_FC JUL 09 REAL 2009 PROY 5 4" xfId="1359" xr:uid="{00000000-0005-0000-0000-000010050000}"/>
    <cellStyle name="%_FC JUL 09 REAL 2009 PROY 5 5" xfId="1360" xr:uid="{00000000-0005-0000-0000-000011050000}"/>
    <cellStyle name="%_FC JUL 09 REAL 2009 PROY 5 6" xfId="1361" xr:uid="{00000000-0005-0000-0000-000012050000}"/>
    <cellStyle name="%_FC JUL 09 REAL 2009 PROY 5 7" xfId="1362" xr:uid="{00000000-0005-0000-0000-000013050000}"/>
    <cellStyle name="%_FC JUL 09 REAL 2009 PROY 5 8" xfId="1363" xr:uid="{00000000-0005-0000-0000-000014050000}"/>
    <cellStyle name="%_FC JUL 09 REAL 2009 PROY 5 9" xfId="1364" xr:uid="{00000000-0005-0000-0000-000015050000}"/>
    <cellStyle name="%_FC JUL 09 REAL 2009 PROY 6" xfId="1365" xr:uid="{00000000-0005-0000-0000-000016050000}"/>
    <cellStyle name="%_FC JUL 09 REAL 2009 PROY 6 10" xfId="1366" xr:uid="{00000000-0005-0000-0000-000017050000}"/>
    <cellStyle name="%_FC JUL 09 REAL 2009 PROY 6 11" xfId="1367" xr:uid="{00000000-0005-0000-0000-000018050000}"/>
    <cellStyle name="%_FC JUL 09 REAL 2009 PROY 6 12" xfId="1368" xr:uid="{00000000-0005-0000-0000-000019050000}"/>
    <cellStyle name="%_FC JUL 09 REAL 2009 PROY 6 13" xfId="1369" xr:uid="{00000000-0005-0000-0000-00001A050000}"/>
    <cellStyle name="%_FC JUL 09 REAL 2009 PROY 6 2" xfId="1370" xr:uid="{00000000-0005-0000-0000-00001B050000}"/>
    <cellStyle name="%_FC JUL 09 REAL 2009 PROY 6 3" xfId="1371" xr:uid="{00000000-0005-0000-0000-00001C050000}"/>
    <cellStyle name="%_FC JUL 09 REAL 2009 PROY 6 4" xfId="1372" xr:uid="{00000000-0005-0000-0000-00001D050000}"/>
    <cellStyle name="%_FC JUL 09 REAL 2009 PROY 6 5" xfId="1373" xr:uid="{00000000-0005-0000-0000-00001E050000}"/>
    <cellStyle name="%_FC JUL 09 REAL 2009 PROY 6 6" xfId="1374" xr:uid="{00000000-0005-0000-0000-00001F050000}"/>
    <cellStyle name="%_FC JUL 09 REAL 2009 PROY 6 7" xfId="1375" xr:uid="{00000000-0005-0000-0000-000020050000}"/>
    <cellStyle name="%_FC JUL 09 REAL 2009 PROY 6 8" xfId="1376" xr:uid="{00000000-0005-0000-0000-000021050000}"/>
    <cellStyle name="%_FC JUL 09 REAL 2009 PROY 6 9" xfId="1377" xr:uid="{00000000-0005-0000-0000-000022050000}"/>
    <cellStyle name="%_FC JUL 09 REAL 2009 PROY 7" xfId="1378" xr:uid="{00000000-0005-0000-0000-000023050000}"/>
    <cellStyle name="%_FC JUL 09 REAL 2009 PROY 7 10" xfId="1379" xr:uid="{00000000-0005-0000-0000-000024050000}"/>
    <cellStyle name="%_FC JUL 09 REAL 2009 PROY 7 11" xfId="1380" xr:uid="{00000000-0005-0000-0000-000025050000}"/>
    <cellStyle name="%_FC JUL 09 REAL 2009 PROY 7 12" xfId="1381" xr:uid="{00000000-0005-0000-0000-000026050000}"/>
    <cellStyle name="%_FC JUL 09 REAL 2009 PROY 7 13" xfId="1382" xr:uid="{00000000-0005-0000-0000-000027050000}"/>
    <cellStyle name="%_FC JUL 09 REAL 2009 PROY 7 2" xfId="1383" xr:uid="{00000000-0005-0000-0000-000028050000}"/>
    <cellStyle name="%_FC JUL 09 REAL 2009 PROY 7 3" xfId="1384" xr:uid="{00000000-0005-0000-0000-000029050000}"/>
    <cellStyle name="%_FC JUL 09 REAL 2009 PROY 7 4" xfId="1385" xr:uid="{00000000-0005-0000-0000-00002A050000}"/>
    <cellStyle name="%_FC JUL 09 REAL 2009 PROY 7 5" xfId="1386" xr:uid="{00000000-0005-0000-0000-00002B050000}"/>
    <cellStyle name="%_FC JUL 09 REAL 2009 PROY 7 6" xfId="1387" xr:uid="{00000000-0005-0000-0000-00002C050000}"/>
    <cellStyle name="%_FC JUL 09 REAL 2009 PROY 7 7" xfId="1388" xr:uid="{00000000-0005-0000-0000-00002D050000}"/>
    <cellStyle name="%_FC JUL 09 REAL 2009 PROY 7 8" xfId="1389" xr:uid="{00000000-0005-0000-0000-00002E050000}"/>
    <cellStyle name="%_FC JUL 09 REAL 2009 PROY 7 9" xfId="1390" xr:uid="{00000000-0005-0000-0000-00002F050000}"/>
    <cellStyle name="%_FC JUL 09 REAL 2009 PROY 8" xfId="1391" xr:uid="{00000000-0005-0000-0000-000030050000}"/>
    <cellStyle name="%_FC JUL 09 REAL 2009 PROY 8 10" xfId="1392" xr:uid="{00000000-0005-0000-0000-000031050000}"/>
    <cellStyle name="%_FC JUL 09 REAL 2009 PROY 8 11" xfId="1393" xr:uid="{00000000-0005-0000-0000-000032050000}"/>
    <cellStyle name="%_FC JUL 09 REAL 2009 PROY 8 12" xfId="1394" xr:uid="{00000000-0005-0000-0000-000033050000}"/>
    <cellStyle name="%_FC JUL 09 REAL 2009 PROY 8 13" xfId="1395" xr:uid="{00000000-0005-0000-0000-000034050000}"/>
    <cellStyle name="%_FC JUL 09 REAL 2009 PROY 8 2" xfId="1396" xr:uid="{00000000-0005-0000-0000-000035050000}"/>
    <cellStyle name="%_FC JUL 09 REAL 2009 PROY 8 3" xfId="1397" xr:uid="{00000000-0005-0000-0000-000036050000}"/>
    <cellStyle name="%_FC JUL 09 REAL 2009 PROY 8 4" xfId="1398" xr:uid="{00000000-0005-0000-0000-000037050000}"/>
    <cellStyle name="%_FC JUL 09 REAL 2009 PROY 8 5" xfId="1399" xr:uid="{00000000-0005-0000-0000-000038050000}"/>
    <cellStyle name="%_FC JUL 09 REAL 2009 PROY 8 6" xfId="1400" xr:uid="{00000000-0005-0000-0000-000039050000}"/>
    <cellStyle name="%_FC JUL 09 REAL 2009 PROY 8 7" xfId="1401" xr:uid="{00000000-0005-0000-0000-00003A050000}"/>
    <cellStyle name="%_FC JUL 09 REAL 2009 PROY 8 8" xfId="1402" xr:uid="{00000000-0005-0000-0000-00003B050000}"/>
    <cellStyle name="%_FC JUL 09 REAL 2009 PROY 8 9" xfId="1403" xr:uid="{00000000-0005-0000-0000-00003C050000}"/>
    <cellStyle name="%_FC JUL 09 REAL 2009 PROY_~0690845" xfId="1404" xr:uid="{00000000-0005-0000-0000-00003D050000}"/>
    <cellStyle name="%_FC JUL 09 REAL 2009 PROY_~9162688" xfId="1405" xr:uid="{00000000-0005-0000-0000-00003E050000}"/>
    <cellStyle name="%_FC JUL 09 REAL 2009 PROY_~9567759" xfId="1406" xr:uid="{00000000-0005-0000-0000-00003F050000}"/>
    <cellStyle name="%_FC JUL 09 REAL 2009 PROY_Diciembre 2010_PRIMAX" xfId="1407" xr:uid="{00000000-0005-0000-0000-000040050000}"/>
    <cellStyle name="%_FC JUL 09 REAL 2009 PROY_Directorio Febrero 2011" xfId="1408" xr:uid="{00000000-0005-0000-0000-000041050000}"/>
    <cellStyle name="%_FC JUL 09 REAL 2009 PROY_FLUJO CONSOLIDADO CAÑA BRAVA OCT 2010" xfId="1409" xr:uid="{00000000-0005-0000-0000-000042050000}"/>
    <cellStyle name="%_FC JUL 09 REAL 2009 PROY_GRUPO PALMAS FC Y DEUDA A DIC 2010" xfId="1410" xr:uid="{00000000-0005-0000-0000-000043050000}"/>
    <cellStyle name="%_FC JUL 09 REAL 2009 PROY_GRUPO PALMAS FC Y DEUDA NOV 2010" xfId="1411" xr:uid="{00000000-0005-0000-0000-000044050000}"/>
    <cellStyle name="%_FC JUL 09 REAL 2009 PROY_Limtek Enero  2011" xfId="1412" xr:uid="{00000000-0005-0000-0000-000045050000}"/>
    <cellStyle name="%_FC JUL 09 REAL 2009 PROY_Limtek Febrero 2011" xfId="1413" xr:uid="{00000000-0005-0000-0000-000046050000}"/>
    <cellStyle name="%_FC JUL 09 REAL 2009 PROY_Modelo Enero" xfId="1414" xr:uid="{00000000-0005-0000-0000-000047050000}"/>
    <cellStyle name="%_FC JUL 09 REAL 2009 PROY_Modelo Febrero" xfId="1415" xr:uid="{00000000-0005-0000-0000-000048050000}"/>
    <cellStyle name="%_FC JUL 09 REAL 2009 PROY_Noviembre 2010" xfId="1416" xr:uid="{00000000-0005-0000-0000-000049050000}"/>
    <cellStyle name="%_FC JUL 09 REAL 2009 PROY_Octubre 2010" xfId="1417" xr:uid="{00000000-0005-0000-0000-00004A050000}"/>
    <cellStyle name="%_FC JUL 09 REAL 2009 PROY_PB. 2011 - Versión Final 30 Dic al Comité de Grencia" xfId="1418" xr:uid="{00000000-0005-0000-0000-00004B050000}"/>
    <cellStyle name="%_FC JUL 09 REAL 2009 PROY_PRIMAX - DEUDA A ENE 2010" xfId="1419" xr:uid="{00000000-0005-0000-0000-00004C050000}"/>
    <cellStyle name="%_FC JUL 09 REAL 2009 PROY_PRIMAX Deuda Febrero 2011" xfId="1420" xr:uid="{00000000-0005-0000-0000-00004D050000}"/>
    <cellStyle name="%_FC JUL 09 REAL 2009 PROY_RT Enero Deuda" xfId="1421" xr:uid="{00000000-0005-0000-0000-00004E050000}"/>
    <cellStyle name="%_FC JUN 09 REAL 2009 PROY" xfId="1422" xr:uid="{00000000-0005-0000-0000-00004F050000}"/>
    <cellStyle name="%_FC JUN 09 REAL 2009 PROY 2" xfId="1423" xr:uid="{00000000-0005-0000-0000-000050050000}"/>
    <cellStyle name="%_FC JUN 09 REAL 2009 PROY 2 10" xfId="1424" xr:uid="{00000000-0005-0000-0000-000051050000}"/>
    <cellStyle name="%_FC JUN 09 REAL 2009 PROY 2 11" xfId="1425" xr:uid="{00000000-0005-0000-0000-000052050000}"/>
    <cellStyle name="%_FC JUN 09 REAL 2009 PROY 2 12" xfId="1426" xr:uid="{00000000-0005-0000-0000-000053050000}"/>
    <cellStyle name="%_FC JUN 09 REAL 2009 PROY 2 13" xfId="1427" xr:uid="{00000000-0005-0000-0000-000054050000}"/>
    <cellStyle name="%_FC JUN 09 REAL 2009 PROY 2 2" xfId="1428" xr:uid="{00000000-0005-0000-0000-000055050000}"/>
    <cellStyle name="%_FC JUN 09 REAL 2009 PROY 2 3" xfId="1429" xr:uid="{00000000-0005-0000-0000-000056050000}"/>
    <cellStyle name="%_FC JUN 09 REAL 2009 PROY 2 4" xfId="1430" xr:uid="{00000000-0005-0000-0000-000057050000}"/>
    <cellStyle name="%_FC JUN 09 REAL 2009 PROY 2 5" xfId="1431" xr:uid="{00000000-0005-0000-0000-000058050000}"/>
    <cellStyle name="%_FC JUN 09 REAL 2009 PROY 2 6" xfId="1432" xr:uid="{00000000-0005-0000-0000-000059050000}"/>
    <cellStyle name="%_FC JUN 09 REAL 2009 PROY 2 7" xfId="1433" xr:uid="{00000000-0005-0000-0000-00005A050000}"/>
    <cellStyle name="%_FC JUN 09 REAL 2009 PROY 2 8" xfId="1434" xr:uid="{00000000-0005-0000-0000-00005B050000}"/>
    <cellStyle name="%_FC JUN 09 REAL 2009 PROY 2 9" xfId="1435" xr:uid="{00000000-0005-0000-0000-00005C050000}"/>
    <cellStyle name="%_FC JUN 09 REAL 2009 PROY 3" xfId="1436" xr:uid="{00000000-0005-0000-0000-00005D050000}"/>
    <cellStyle name="%_FC JUN 09 REAL 2009 PROY 3 10" xfId="1437" xr:uid="{00000000-0005-0000-0000-00005E050000}"/>
    <cellStyle name="%_FC JUN 09 REAL 2009 PROY 3 11" xfId="1438" xr:uid="{00000000-0005-0000-0000-00005F050000}"/>
    <cellStyle name="%_FC JUN 09 REAL 2009 PROY 3 12" xfId="1439" xr:uid="{00000000-0005-0000-0000-000060050000}"/>
    <cellStyle name="%_FC JUN 09 REAL 2009 PROY 3 13" xfId="1440" xr:uid="{00000000-0005-0000-0000-000061050000}"/>
    <cellStyle name="%_FC JUN 09 REAL 2009 PROY 3 2" xfId="1441" xr:uid="{00000000-0005-0000-0000-000062050000}"/>
    <cellStyle name="%_FC JUN 09 REAL 2009 PROY 3 3" xfId="1442" xr:uid="{00000000-0005-0000-0000-000063050000}"/>
    <cellStyle name="%_FC JUN 09 REAL 2009 PROY 3 4" xfId="1443" xr:uid="{00000000-0005-0000-0000-000064050000}"/>
    <cellStyle name="%_FC JUN 09 REAL 2009 PROY 3 5" xfId="1444" xr:uid="{00000000-0005-0000-0000-000065050000}"/>
    <cellStyle name="%_FC JUN 09 REAL 2009 PROY 3 6" xfId="1445" xr:uid="{00000000-0005-0000-0000-000066050000}"/>
    <cellStyle name="%_FC JUN 09 REAL 2009 PROY 3 7" xfId="1446" xr:uid="{00000000-0005-0000-0000-000067050000}"/>
    <cellStyle name="%_FC JUN 09 REAL 2009 PROY 3 8" xfId="1447" xr:uid="{00000000-0005-0000-0000-000068050000}"/>
    <cellStyle name="%_FC JUN 09 REAL 2009 PROY 3 9" xfId="1448" xr:uid="{00000000-0005-0000-0000-000069050000}"/>
    <cellStyle name="%_FC JUN 09 REAL 2009 PROY 4" xfId="1449" xr:uid="{00000000-0005-0000-0000-00006A050000}"/>
    <cellStyle name="%_FC JUN 09 REAL 2009 PROY 4 10" xfId="1450" xr:uid="{00000000-0005-0000-0000-00006B050000}"/>
    <cellStyle name="%_FC JUN 09 REAL 2009 PROY 4 11" xfId="1451" xr:uid="{00000000-0005-0000-0000-00006C050000}"/>
    <cellStyle name="%_FC JUN 09 REAL 2009 PROY 4 12" xfId="1452" xr:uid="{00000000-0005-0000-0000-00006D050000}"/>
    <cellStyle name="%_FC JUN 09 REAL 2009 PROY 4 13" xfId="1453" xr:uid="{00000000-0005-0000-0000-00006E050000}"/>
    <cellStyle name="%_FC JUN 09 REAL 2009 PROY 4 2" xfId="1454" xr:uid="{00000000-0005-0000-0000-00006F050000}"/>
    <cellStyle name="%_FC JUN 09 REAL 2009 PROY 4 3" xfId="1455" xr:uid="{00000000-0005-0000-0000-000070050000}"/>
    <cellStyle name="%_FC JUN 09 REAL 2009 PROY 4 4" xfId="1456" xr:uid="{00000000-0005-0000-0000-000071050000}"/>
    <cellStyle name="%_FC JUN 09 REAL 2009 PROY 4 5" xfId="1457" xr:uid="{00000000-0005-0000-0000-000072050000}"/>
    <cellStyle name="%_FC JUN 09 REAL 2009 PROY 4 6" xfId="1458" xr:uid="{00000000-0005-0000-0000-000073050000}"/>
    <cellStyle name="%_FC JUN 09 REAL 2009 PROY 4 7" xfId="1459" xr:uid="{00000000-0005-0000-0000-000074050000}"/>
    <cellStyle name="%_FC JUN 09 REAL 2009 PROY 4 8" xfId="1460" xr:uid="{00000000-0005-0000-0000-000075050000}"/>
    <cellStyle name="%_FC JUN 09 REAL 2009 PROY 4 9" xfId="1461" xr:uid="{00000000-0005-0000-0000-000076050000}"/>
    <cellStyle name="%_FC JUN 09 REAL 2009 PROY 5" xfId="1462" xr:uid="{00000000-0005-0000-0000-000077050000}"/>
    <cellStyle name="%_FC JUN 09 REAL 2009 PROY 5 10" xfId="1463" xr:uid="{00000000-0005-0000-0000-000078050000}"/>
    <cellStyle name="%_FC JUN 09 REAL 2009 PROY 5 11" xfId="1464" xr:uid="{00000000-0005-0000-0000-000079050000}"/>
    <cellStyle name="%_FC JUN 09 REAL 2009 PROY 5 12" xfId="1465" xr:uid="{00000000-0005-0000-0000-00007A050000}"/>
    <cellStyle name="%_FC JUN 09 REAL 2009 PROY 5 13" xfId="1466" xr:uid="{00000000-0005-0000-0000-00007B050000}"/>
    <cellStyle name="%_FC JUN 09 REAL 2009 PROY 5 2" xfId="1467" xr:uid="{00000000-0005-0000-0000-00007C050000}"/>
    <cellStyle name="%_FC JUN 09 REAL 2009 PROY 5 3" xfId="1468" xr:uid="{00000000-0005-0000-0000-00007D050000}"/>
    <cellStyle name="%_FC JUN 09 REAL 2009 PROY 5 4" xfId="1469" xr:uid="{00000000-0005-0000-0000-00007E050000}"/>
    <cellStyle name="%_FC JUN 09 REAL 2009 PROY 5 5" xfId="1470" xr:uid="{00000000-0005-0000-0000-00007F050000}"/>
    <cellStyle name="%_FC JUN 09 REAL 2009 PROY 5 6" xfId="1471" xr:uid="{00000000-0005-0000-0000-000080050000}"/>
    <cellStyle name="%_FC JUN 09 REAL 2009 PROY 5 7" xfId="1472" xr:uid="{00000000-0005-0000-0000-000081050000}"/>
    <cellStyle name="%_FC JUN 09 REAL 2009 PROY 5 8" xfId="1473" xr:uid="{00000000-0005-0000-0000-000082050000}"/>
    <cellStyle name="%_FC JUN 09 REAL 2009 PROY 5 9" xfId="1474" xr:uid="{00000000-0005-0000-0000-000083050000}"/>
    <cellStyle name="%_FC JUN 09 REAL 2009 PROY 6" xfId="1475" xr:uid="{00000000-0005-0000-0000-000084050000}"/>
    <cellStyle name="%_FC JUN 09 REAL 2009 PROY 6 10" xfId="1476" xr:uid="{00000000-0005-0000-0000-000085050000}"/>
    <cellStyle name="%_FC JUN 09 REAL 2009 PROY 6 11" xfId="1477" xr:uid="{00000000-0005-0000-0000-000086050000}"/>
    <cellStyle name="%_FC JUN 09 REAL 2009 PROY 6 12" xfId="1478" xr:uid="{00000000-0005-0000-0000-000087050000}"/>
    <cellStyle name="%_FC JUN 09 REAL 2009 PROY 6 13" xfId="1479" xr:uid="{00000000-0005-0000-0000-000088050000}"/>
    <cellStyle name="%_FC JUN 09 REAL 2009 PROY 6 2" xfId="1480" xr:uid="{00000000-0005-0000-0000-000089050000}"/>
    <cellStyle name="%_FC JUN 09 REAL 2009 PROY 6 3" xfId="1481" xr:uid="{00000000-0005-0000-0000-00008A050000}"/>
    <cellStyle name="%_FC JUN 09 REAL 2009 PROY 6 4" xfId="1482" xr:uid="{00000000-0005-0000-0000-00008B050000}"/>
    <cellStyle name="%_FC JUN 09 REAL 2009 PROY 6 5" xfId="1483" xr:uid="{00000000-0005-0000-0000-00008C050000}"/>
    <cellStyle name="%_FC JUN 09 REAL 2009 PROY 6 6" xfId="1484" xr:uid="{00000000-0005-0000-0000-00008D050000}"/>
    <cellStyle name="%_FC JUN 09 REAL 2009 PROY 6 7" xfId="1485" xr:uid="{00000000-0005-0000-0000-00008E050000}"/>
    <cellStyle name="%_FC JUN 09 REAL 2009 PROY 6 8" xfId="1486" xr:uid="{00000000-0005-0000-0000-00008F050000}"/>
    <cellStyle name="%_FC JUN 09 REAL 2009 PROY 6 9" xfId="1487" xr:uid="{00000000-0005-0000-0000-000090050000}"/>
    <cellStyle name="%_FC JUN 09 REAL 2009 PROY 7" xfId="1488" xr:uid="{00000000-0005-0000-0000-000091050000}"/>
    <cellStyle name="%_FC JUN 09 REAL 2009 PROY 7 10" xfId="1489" xr:uid="{00000000-0005-0000-0000-000092050000}"/>
    <cellStyle name="%_FC JUN 09 REAL 2009 PROY 7 11" xfId="1490" xr:uid="{00000000-0005-0000-0000-000093050000}"/>
    <cellStyle name="%_FC JUN 09 REAL 2009 PROY 7 12" xfId="1491" xr:uid="{00000000-0005-0000-0000-000094050000}"/>
    <cellStyle name="%_FC JUN 09 REAL 2009 PROY 7 13" xfId="1492" xr:uid="{00000000-0005-0000-0000-000095050000}"/>
    <cellStyle name="%_FC JUN 09 REAL 2009 PROY 7 2" xfId="1493" xr:uid="{00000000-0005-0000-0000-000096050000}"/>
    <cellStyle name="%_FC JUN 09 REAL 2009 PROY 7 3" xfId="1494" xr:uid="{00000000-0005-0000-0000-000097050000}"/>
    <cellStyle name="%_FC JUN 09 REAL 2009 PROY 7 4" xfId="1495" xr:uid="{00000000-0005-0000-0000-000098050000}"/>
    <cellStyle name="%_FC JUN 09 REAL 2009 PROY 7 5" xfId="1496" xr:uid="{00000000-0005-0000-0000-000099050000}"/>
    <cellStyle name="%_FC JUN 09 REAL 2009 PROY 7 6" xfId="1497" xr:uid="{00000000-0005-0000-0000-00009A050000}"/>
    <cellStyle name="%_FC JUN 09 REAL 2009 PROY 7 7" xfId="1498" xr:uid="{00000000-0005-0000-0000-00009B050000}"/>
    <cellStyle name="%_FC JUN 09 REAL 2009 PROY 7 8" xfId="1499" xr:uid="{00000000-0005-0000-0000-00009C050000}"/>
    <cellStyle name="%_FC JUN 09 REAL 2009 PROY 7 9" xfId="1500" xr:uid="{00000000-0005-0000-0000-00009D050000}"/>
    <cellStyle name="%_FC JUN 09 REAL 2009 PROY 8" xfId="1501" xr:uid="{00000000-0005-0000-0000-00009E050000}"/>
    <cellStyle name="%_FC JUN 09 REAL 2009 PROY 8 10" xfId="1502" xr:uid="{00000000-0005-0000-0000-00009F050000}"/>
    <cellStyle name="%_FC JUN 09 REAL 2009 PROY 8 11" xfId="1503" xr:uid="{00000000-0005-0000-0000-0000A0050000}"/>
    <cellStyle name="%_FC JUN 09 REAL 2009 PROY 8 12" xfId="1504" xr:uid="{00000000-0005-0000-0000-0000A1050000}"/>
    <cellStyle name="%_FC JUN 09 REAL 2009 PROY 8 13" xfId="1505" xr:uid="{00000000-0005-0000-0000-0000A2050000}"/>
    <cellStyle name="%_FC JUN 09 REAL 2009 PROY 8 2" xfId="1506" xr:uid="{00000000-0005-0000-0000-0000A3050000}"/>
    <cellStyle name="%_FC JUN 09 REAL 2009 PROY 8 3" xfId="1507" xr:uid="{00000000-0005-0000-0000-0000A4050000}"/>
    <cellStyle name="%_FC JUN 09 REAL 2009 PROY 8 4" xfId="1508" xr:uid="{00000000-0005-0000-0000-0000A5050000}"/>
    <cellStyle name="%_FC JUN 09 REAL 2009 PROY 8 5" xfId="1509" xr:uid="{00000000-0005-0000-0000-0000A6050000}"/>
    <cellStyle name="%_FC JUN 09 REAL 2009 PROY 8 6" xfId="1510" xr:uid="{00000000-0005-0000-0000-0000A7050000}"/>
    <cellStyle name="%_FC JUN 09 REAL 2009 PROY 8 7" xfId="1511" xr:uid="{00000000-0005-0000-0000-0000A8050000}"/>
    <cellStyle name="%_FC JUN 09 REAL 2009 PROY 8 8" xfId="1512" xr:uid="{00000000-0005-0000-0000-0000A9050000}"/>
    <cellStyle name="%_FC JUN 09 REAL 2009 PROY 8 9" xfId="1513" xr:uid="{00000000-0005-0000-0000-0000AA050000}"/>
    <cellStyle name="%_FC JUN 09 REAL 2009 PROY_~0690845" xfId="1514" xr:uid="{00000000-0005-0000-0000-0000AB050000}"/>
    <cellStyle name="%_FC JUN 09 REAL 2009 PROY_~9162688" xfId="1515" xr:uid="{00000000-0005-0000-0000-0000AC050000}"/>
    <cellStyle name="%_FC JUN 09 REAL 2009 PROY_~9567759" xfId="1516" xr:uid="{00000000-0005-0000-0000-0000AD050000}"/>
    <cellStyle name="%_FC JUN 09 REAL 2009 PROY_Diciembre 2010_PRIMAX" xfId="1517" xr:uid="{00000000-0005-0000-0000-0000AE050000}"/>
    <cellStyle name="%_FC JUN 09 REAL 2009 PROY_Directorio Febrero 2011" xfId="1518" xr:uid="{00000000-0005-0000-0000-0000AF050000}"/>
    <cellStyle name="%_FC JUN 09 REAL 2009 PROY_FLUJO CONSOLIDADO CAÑA BRAVA OCT 2010" xfId="1519" xr:uid="{00000000-0005-0000-0000-0000B0050000}"/>
    <cellStyle name="%_FC JUN 09 REAL 2009 PROY_GRUPO PALMAS FC Y DEUDA A DIC 2010" xfId="1520" xr:uid="{00000000-0005-0000-0000-0000B1050000}"/>
    <cellStyle name="%_FC JUN 09 REAL 2009 PROY_GRUPO PALMAS FC Y DEUDA NOV 2010" xfId="1521" xr:uid="{00000000-0005-0000-0000-0000B2050000}"/>
    <cellStyle name="%_FC JUN 09 REAL 2009 PROY_Limtek Enero  2011" xfId="1522" xr:uid="{00000000-0005-0000-0000-0000B3050000}"/>
    <cellStyle name="%_FC JUN 09 REAL 2009 PROY_Limtek Febrero 2011" xfId="1523" xr:uid="{00000000-0005-0000-0000-0000B4050000}"/>
    <cellStyle name="%_FC JUN 09 REAL 2009 PROY_Modelo Enero" xfId="1524" xr:uid="{00000000-0005-0000-0000-0000B5050000}"/>
    <cellStyle name="%_FC JUN 09 REAL 2009 PROY_Modelo Febrero" xfId="1525" xr:uid="{00000000-0005-0000-0000-0000B6050000}"/>
    <cellStyle name="%_FC JUN 09 REAL 2009 PROY_Noviembre 2010" xfId="1526" xr:uid="{00000000-0005-0000-0000-0000B7050000}"/>
    <cellStyle name="%_FC JUN 09 REAL 2009 PROY_Octubre 2010" xfId="1527" xr:uid="{00000000-0005-0000-0000-0000B8050000}"/>
    <cellStyle name="%_FC JUN 09 REAL 2009 PROY_PB. 2011 - Versión Final 30 Dic al Comité de Grencia" xfId="1528" xr:uid="{00000000-0005-0000-0000-0000B9050000}"/>
    <cellStyle name="%_FC JUN 09 REAL 2009 PROY_PRIMAX - DEUDA A ENE 2010" xfId="1529" xr:uid="{00000000-0005-0000-0000-0000BA050000}"/>
    <cellStyle name="%_FC JUN 09 REAL 2009 PROY_PRIMAX Deuda Febrero 2011" xfId="1530" xr:uid="{00000000-0005-0000-0000-0000BB050000}"/>
    <cellStyle name="%_FC JUN 09 REAL 2009 PROY_RT Enero Deuda" xfId="1531" xr:uid="{00000000-0005-0000-0000-0000BC050000}"/>
    <cellStyle name="%_FC MAY 09 REAL 2009 PROY" xfId="1532" xr:uid="{00000000-0005-0000-0000-0000BD050000}"/>
    <cellStyle name="%_FC MAY 09 REAL 2009 PROY 2" xfId="1533" xr:uid="{00000000-0005-0000-0000-0000BE050000}"/>
    <cellStyle name="%_FC MAY 09 REAL 2009 PROY 2 10" xfId="1534" xr:uid="{00000000-0005-0000-0000-0000BF050000}"/>
    <cellStyle name="%_FC MAY 09 REAL 2009 PROY 2 11" xfId="1535" xr:uid="{00000000-0005-0000-0000-0000C0050000}"/>
    <cellStyle name="%_FC MAY 09 REAL 2009 PROY 2 12" xfId="1536" xr:uid="{00000000-0005-0000-0000-0000C1050000}"/>
    <cellStyle name="%_FC MAY 09 REAL 2009 PROY 2 13" xfId="1537" xr:uid="{00000000-0005-0000-0000-0000C2050000}"/>
    <cellStyle name="%_FC MAY 09 REAL 2009 PROY 2 2" xfId="1538" xr:uid="{00000000-0005-0000-0000-0000C3050000}"/>
    <cellStyle name="%_FC MAY 09 REAL 2009 PROY 2 3" xfId="1539" xr:uid="{00000000-0005-0000-0000-0000C4050000}"/>
    <cellStyle name="%_FC MAY 09 REAL 2009 PROY 2 4" xfId="1540" xr:uid="{00000000-0005-0000-0000-0000C5050000}"/>
    <cellStyle name="%_FC MAY 09 REAL 2009 PROY 2 5" xfId="1541" xr:uid="{00000000-0005-0000-0000-0000C6050000}"/>
    <cellStyle name="%_FC MAY 09 REAL 2009 PROY 2 6" xfId="1542" xr:uid="{00000000-0005-0000-0000-0000C7050000}"/>
    <cellStyle name="%_FC MAY 09 REAL 2009 PROY 2 7" xfId="1543" xr:uid="{00000000-0005-0000-0000-0000C8050000}"/>
    <cellStyle name="%_FC MAY 09 REAL 2009 PROY 2 8" xfId="1544" xr:uid="{00000000-0005-0000-0000-0000C9050000}"/>
    <cellStyle name="%_FC MAY 09 REAL 2009 PROY 2 9" xfId="1545" xr:uid="{00000000-0005-0000-0000-0000CA050000}"/>
    <cellStyle name="%_FC MAY 09 REAL 2009 PROY 3" xfId="1546" xr:uid="{00000000-0005-0000-0000-0000CB050000}"/>
    <cellStyle name="%_FC MAY 09 REAL 2009 PROY 3 10" xfId="1547" xr:uid="{00000000-0005-0000-0000-0000CC050000}"/>
    <cellStyle name="%_FC MAY 09 REAL 2009 PROY 3 11" xfId="1548" xr:uid="{00000000-0005-0000-0000-0000CD050000}"/>
    <cellStyle name="%_FC MAY 09 REAL 2009 PROY 3 12" xfId="1549" xr:uid="{00000000-0005-0000-0000-0000CE050000}"/>
    <cellStyle name="%_FC MAY 09 REAL 2009 PROY 3 13" xfId="1550" xr:uid="{00000000-0005-0000-0000-0000CF050000}"/>
    <cellStyle name="%_FC MAY 09 REAL 2009 PROY 3 2" xfId="1551" xr:uid="{00000000-0005-0000-0000-0000D0050000}"/>
    <cellStyle name="%_FC MAY 09 REAL 2009 PROY 3 3" xfId="1552" xr:uid="{00000000-0005-0000-0000-0000D1050000}"/>
    <cellStyle name="%_FC MAY 09 REAL 2009 PROY 3 4" xfId="1553" xr:uid="{00000000-0005-0000-0000-0000D2050000}"/>
    <cellStyle name="%_FC MAY 09 REAL 2009 PROY 3 5" xfId="1554" xr:uid="{00000000-0005-0000-0000-0000D3050000}"/>
    <cellStyle name="%_FC MAY 09 REAL 2009 PROY 3 6" xfId="1555" xr:uid="{00000000-0005-0000-0000-0000D4050000}"/>
    <cellStyle name="%_FC MAY 09 REAL 2009 PROY 3 7" xfId="1556" xr:uid="{00000000-0005-0000-0000-0000D5050000}"/>
    <cellStyle name="%_FC MAY 09 REAL 2009 PROY 3 8" xfId="1557" xr:uid="{00000000-0005-0000-0000-0000D6050000}"/>
    <cellStyle name="%_FC MAY 09 REAL 2009 PROY 3 9" xfId="1558" xr:uid="{00000000-0005-0000-0000-0000D7050000}"/>
    <cellStyle name="%_FC MAY 09 REAL 2009 PROY 4" xfId="1559" xr:uid="{00000000-0005-0000-0000-0000D8050000}"/>
    <cellStyle name="%_FC MAY 09 REAL 2009 PROY 4 10" xfId="1560" xr:uid="{00000000-0005-0000-0000-0000D9050000}"/>
    <cellStyle name="%_FC MAY 09 REAL 2009 PROY 4 11" xfId="1561" xr:uid="{00000000-0005-0000-0000-0000DA050000}"/>
    <cellStyle name="%_FC MAY 09 REAL 2009 PROY 4 12" xfId="1562" xr:uid="{00000000-0005-0000-0000-0000DB050000}"/>
    <cellStyle name="%_FC MAY 09 REAL 2009 PROY 4 13" xfId="1563" xr:uid="{00000000-0005-0000-0000-0000DC050000}"/>
    <cellStyle name="%_FC MAY 09 REAL 2009 PROY 4 2" xfId="1564" xr:uid="{00000000-0005-0000-0000-0000DD050000}"/>
    <cellStyle name="%_FC MAY 09 REAL 2009 PROY 4 3" xfId="1565" xr:uid="{00000000-0005-0000-0000-0000DE050000}"/>
    <cellStyle name="%_FC MAY 09 REAL 2009 PROY 4 4" xfId="1566" xr:uid="{00000000-0005-0000-0000-0000DF050000}"/>
    <cellStyle name="%_FC MAY 09 REAL 2009 PROY 4 5" xfId="1567" xr:uid="{00000000-0005-0000-0000-0000E0050000}"/>
    <cellStyle name="%_FC MAY 09 REAL 2009 PROY 4 6" xfId="1568" xr:uid="{00000000-0005-0000-0000-0000E1050000}"/>
    <cellStyle name="%_FC MAY 09 REAL 2009 PROY 4 7" xfId="1569" xr:uid="{00000000-0005-0000-0000-0000E2050000}"/>
    <cellStyle name="%_FC MAY 09 REAL 2009 PROY 4 8" xfId="1570" xr:uid="{00000000-0005-0000-0000-0000E3050000}"/>
    <cellStyle name="%_FC MAY 09 REAL 2009 PROY 4 9" xfId="1571" xr:uid="{00000000-0005-0000-0000-0000E4050000}"/>
    <cellStyle name="%_FC MAY 09 REAL 2009 PROY 5" xfId="1572" xr:uid="{00000000-0005-0000-0000-0000E5050000}"/>
    <cellStyle name="%_FC MAY 09 REAL 2009 PROY 5 10" xfId="1573" xr:uid="{00000000-0005-0000-0000-0000E6050000}"/>
    <cellStyle name="%_FC MAY 09 REAL 2009 PROY 5 11" xfId="1574" xr:uid="{00000000-0005-0000-0000-0000E7050000}"/>
    <cellStyle name="%_FC MAY 09 REAL 2009 PROY 5 12" xfId="1575" xr:uid="{00000000-0005-0000-0000-0000E8050000}"/>
    <cellStyle name="%_FC MAY 09 REAL 2009 PROY 5 13" xfId="1576" xr:uid="{00000000-0005-0000-0000-0000E9050000}"/>
    <cellStyle name="%_FC MAY 09 REAL 2009 PROY 5 2" xfId="1577" xr:uid="{00000000-0005-0000-0000-0000EA050000}"/>
    <cellStyle name="%_FC MAY 09 REAL 2009 PROY 5 3" xfId="1578" xr:uid="{00000000-0005-0000-0000-0000EB050000}"/>
    <cellStyle name="%_FC MAY 09 REAL 2009 PROY 5 4" xfId="1579" xr:uid="{00000000-0005-0000-0000-0000EC050000}"/>
    <cellStyle name="%_FC MAY 09 REAL 2009 PROY 5 5" xfId="1580" xr:uid="{00000000-0005-0000-0000-0000ED050000}"/>
    <cellStyle name="%_FC MAY 09 REAL 2009 PROY 5 6" xfId="1581" xr:uid="{00000000-0005-0000-0000-0000EE050000}"/>
    <cellStyle name="%_FC MAY 09 REAL 2009 PROY 5 7" xfId="1582" xr:uid="{00000000-0005-0000-0000-0000EF050000}"/>
    <cellStyle name="%_FC MAY 09 REAL 2009 PROY 5 8" xfId="1583" xr:uid="{00000000-0005-0000-0000-0000F0050000}"/>
    <cellStyle name="%_FC MAY 09 REAL 2009 PROY 5 9" xfId="1584" xr:uid="{00000000-0005-0000-0000-0000F1050000}"/>
    <cellStyle name="%_FC MAY 09 REAL 2009 PROY 6" xfId="1585" xr:uid="{00000000-0005-0000-0000-0000F2050000}"/>
    <cellStyle name="%_FC MAY 09 REAL 2009 PROY 6 10" xfId="1586" xr:uid="{00000000-0005-0000-0000-0000F3050000}"/>
    <cellStyle name="%_FC MAY 09 REAL 2009 PROY 6 11" xfId="1587" xr:uid="{00000000-0005-0000-0000-0000F4050000}"/>
    <cellStyle name="%_FC MAY 09 REAL 2009 PROY 6 12" xfId="1588" xr:uid="{00000000-0005-0000-0000-0000F5050000}"/>
    <cellStyle name="%_FC MAY 09 REAL 2009 PROY 6 13" xfId="1589" xr:uid="{00000000-0005-0000-0000-0000F6050000}"/>
    <cellStyle name="%_FC MAY 09 REAL 2009 PROY 6 2" xfId="1590" xr:uid="{00000000-0005-0000-0000-0000F7050000}"/>
    <cellStyle name="%_FC MAY 09 REAL 2009 PROY 6 3" xfId="1591" xr:uid="{00000000-0005-0000-0000-0000F8050000}"/>
    <cellStyle name="%_FC MAY 09 REAL 2009 PROY 6 4" xfId="1592" xr:uid="{00000000-0005-0000-0000-0000F9050000}"/>
    <cellStyle name="%_FC MAY 09 REAL 2009 PROY 6 5" xfId="1593" xr:uid="{00000000-0005-0000-0000-0000FA050000}"/>
    <cellStyle name="%_FC MAY 09 REAL 2009 PROY 6 6" xfId="1594" xr:uid="{00000000-0005-0000-0000-0000FB050000}"/>
    <cellStyle name="%_FC MAY 09 REAL 2009 PROY 6 7" xfId="1595" xr:uid="{00000000-0005-0000-0000-0000FC050000}"/>
    <cellStyle name="%_FC MAY 09 REAL 2009 PROY 6 8" xfId="1596" xr:uid="{00000000-0005-0000-0000-0000FD050000}"/>
    <cellStyle name="%_FC MAY 09 REAL 2009 PROY 6 9" xfId="1597" xr:uid="{00000000-0005-0000-0000-0000FE050000}"/>
    <cellStyle name="%_FC MAY 09 REAL 2009 PROY 7" xfId="1598" xr:uid="{00000000-0005-0000-0000-0000FF050000}"/>
    <cellStyle name="%_FC MAY 09 REAL 2009 PROY 7 10" xfId="1599" xr:uid="{00000000-0005-0000-0000-000000060000}"/>
    <cellStyle name="%_FC MAY 09 REAL 2009 PROY 7 11" xfId="1600" xr:uid="{00000000-0005-0000-0000-000001060000}"/>
    <cellStyle name="%_FC MAY 09 REAL 2009 PROY 7 12" xfId="1601" xr:uid="{00000000-0005-0000-0000-000002060000}"/>
    <cellStyle name="%_FC MAY 09 REAL 2009 PROY 7 13" xfId="1602" xr:uid="{00000000-0005-0000-0000-000003060000}"/>
    <cellStyle name="%_FC MAY 09 REAL 2009 PROY 7 2" xfId="1603" xr:uid="{00000000-0005-0000-0000-000004060000}"/>
    <cellStyle name="%_FC MAY 09 REAL 2009 PROY 7 3" xfId="1604" xr:uid="{00000000-0005-0000-0000-000005060000}"/>
    <cellStyle name="%_FC MAY 09 REAL 2009 PROY 7 4" xfId="1605" xr:uid="{00000000-0005-0000-0000-000006060000}"/>
    <cellStyle name="%_FC MAY 09 REAL 2009 PROY 7 5" xfId="1606" xr:uid="{00000000-0005-0000-0000-000007060000}"/>
    <cellStyle name="%_FC MAY 09 REAL 2009 PROY 7 6" xfId="1607" xr:uid="{00000000-0005-0000-0000-000008060000}"/>
    <cellStyle name="%_FC MAY 09 REAL 2009 PROY 7 7" xfId="1608" xr:uid="{00000000-0005-0000-0000-000009060000}"/>
    <cellStyle name="%_FC MAY 09 REAL 2009 PROY 7 8" xfId="1609" xr:uid="{00000000-0005-0000-0000-00000A060000}"/>
    <cellStyle name="%_FC MAY 09 REAL 2009 PROY 7 9" xfId="1610" xr:uid="{00000000-0005-0000-0000-00000B060000}"/>
    <cellStyle name="%_FC MAY 09 REAL 2009 PROY 8" xfId="1611" xr:uid="{00000000-0005-0000-0000-00000C060000}"/>
    <cellStyle name="%_FC MAY 09 REAL 2009 PROY 8 10" xfId="1612" xr:uid="{00000000-0005-0000-0000-00000D060000}"/>
    <cellStyle name="%_FC MAY 09 REAL 2009 PROY 8 11" xfId="1613" xr:uid="{00000000-0005-0000-0000-00000E060000}"/>
    <cellStyle name="%_FC MAY 09 REAL 2009 PROY 8 12" xfId="1614" xr:uid="{00000000-0005-0000-0000-00000F060000}"/>
    <cellStyle name="%_FC MAY 09 REAL 2009 PROY 8 13" xfId="1615" xr:uid="{00000000-0005-0000-0000-000010060000}"/>
    <cellStyle name="%_FC MAY 09 REAL 2009 PROY 8 2" xfId="1616" xr:uid="{00000000-0005-0000-0000-000011060000}"/>
    <cellStyle name="%_FC MAY 09 REAL 2009 PROY 8 3" xfId="1617" xr:uid="{00000000-0005-0000-0000-000012060000}"/>
    <cellStyle name="%_FC MAY 09 REAL 2009 PROY 8 4" xfId="1618" xr:uid="{00000000-0005-0000-0000-000013060000}"/>
    <cellStyle name="%_FC MAY 09 REAL 2009 PROY 8 5" xfId="1619" xr:uid="{00000000-0005-0000-0000-000014060000}"/>
    <cellStyle name="%_FC MAY 09 REAL 2009 PROY 8 6" xfId="1620" xr:uid="{00000000-0005-0000-0000-000015060000}"/>
    <cellStyle name="%_FC MAY 09 REAL 2009 PROY 8 7" xfId="1621" xr:uid="{00000000-0005-0000-0000-000016060000}"/>
    <cellStyle name="%_FC MAY 09 REAL 2009 PROY 8 8" xfId="1622" xr:uid="{00000000-0005-0000-0000-000017060000}"/>
    <cellStyle name="%_FC MAY 09 REAL 2009 PROY 8 9" xfId="1623" xr:uid="{00000000-0005-0000-0000-000018060000}"/>
    <cellStyle name="%_FC MAY 09 REAL 2009 PROY_~0690845" xfId="1624" xr:uid="{00000000-0005-0000-0000-000019060000}"/>
    <cellStyle name="%_FC MAY 09 REAL 2009 PROY_~9162688" xfId="1625" xr:uid="{00000000-0005-0000-0000-00001A060000}"/>
    <cellStyle name="%_FC MAY 09 REAL 2009 PROY_~9567759" xfId="1626" xr:uid="{00000000-0005-0000-0000-00001B060000}"/>
    <cellStyle name="%_FC MAY 09 REAL 2009 PROY_Diciembre 2010_PRIMAX" xfId="1627" xr:uid="{00000000-0005-0000-0000-00001C060000}"/>
    <cellStyle name="%_FC MAY 09 REAL 2009 PROY_Directorio Febrero 2011" xfId="1628" xr:uid="{00000000-0005-0000-0000-00001D060000}"/>
    <cellStyle name="%_FC MAY 09 REAL 2009 PROY_FLUJO CONSOLIDADO CAÑA BRAVA OCT 2010" xfId="1629" xr:uid="{00000000-0005-0000-0000-00001E060000}"/>
    <cellStyle name="%_FC MAY 09 REAL 2009 PROY_GRUPO PALMAS FC Y DEUDA A DIC 2010" xfId="1630" xr:uid="{00000000-0005-0000-0000-00001F060000}"/>
    <cellStyle name="%_FC MAY 09 REAL 2009 PROY_GRUPO PALMAS FC Y DEUDA NOV 2010" xfId="1631" xr:uid="{00000000-0005-0000-0000-000020060000}"/>
    <cellStyle name="%_FC MAY 09 REAL 2009 PROY_Limtek Enero  2011" xfId="1632" xr:uid="{00000000-0005-0000-0000-000021060000}"/>
    <cellStyle name="%_FC MAY 09 REAL 2009 PROY_Limtek Febrero 2011" xfId="1633" xr:uid="{00000000-0005-0000-0000-000022060000}"/>
    <cellStyle name="%_FC MAY 09 REAL 2009 PROY_Modelo Enero" xfId="1634" xr:uid="{00000000-0005-0000-0000-000023060000}"/>
    <cellStyle name="%_FC MAY 09 REAL 2009 PROY_Modelo Febrero" xfId="1635" xr:uid="{00000000-0005-0000-0000-000024060000}"/>
    <cellStyle name="%_FC MAY 09 REAL 2009 PROY_Noviembre 2010" xfId="1636" xr:uid="{00000000-0005-0000-0000-000025060000}"/>
    <cellStyle name="%_FC MAY 09 REAL 2009 PROY_Octubre 2010" xfId="1637" xr:uid="{00000000-0005-0000-0000-000026060000}"/>
    <cellStyle name="%_FC MAY 09 REAL 2009 PROY_PB. 2011 - Versión Final 30 Dic al Comité de Grencia" xfId="1638" xr:uid="{00000000-0005-0000-0000-000027060000}"/>
    <cellStyle name="%_FC MAY 09 REAL 2009 PROY_PRIMAX - DEUDA A ENE 2010" xfId="1639" xr:uid="{00000000-0005-0000-0000-000028060000}"/>
    <cellStyle name="%_FC MAY 09 REAL 2009 PROY_PRIMAX Deuda Febrero 2011" xfId="1640" xr:uid="{00000000-0005-0000-0000-000029060000}"/>
    <cellStyle name="%_FC MAY 09 REAL 2009 PROY_RT Enero Deuda" xfId="1641" xr:uid="{00000000-0005-0000-0000-00002A060000}"/>
    <cellStyle name="%_FC PE + IE + SH + CHIRA DIC 2010-2011" xfId="1642" xr:uid="{00000000-0005-0000-0000-00002B060000}"/>
    <cellStyle name="%_FC PE + IE + SH DIC 2010-2011" xfId="1643" xr:uid="{00000000-0005-0000-0000-00002C060000}"/>
    <cellStyle name="%_FC RT" xfId="1644" xr:uid="{00000000-0005-0000-0000-00002D060000}"/>
    <cellStyle name="%_FC RT MAY09.2" xfId="1645" xr:uid="{00000000-0005-0000-0000-00002E060000}"/>
    <cellStyle name="%_FC RT MAY09.2 2" xfId="1646" xr:uid="{00000000-0005-0000-0000-00002F060000}"/>
    <cellStyle name="%_FC_Minka_2009 VICTOR" xfId="1647" xr:uid="{00000000-0005-0000-0000-000030060000}"/>
    <cellStyle name="%_FC-PRIMAX-DIC 08-09 " xfId="1648" xr:uid="{00000000-0005-0000-0000-000031060000}"/>
    <cellStyle name="%_FC-PRIMAX-DIC 08-09  2" xfId="1649" xr:uid="{00000000-0005-0000-0000-000032060000}"/>
    <cellStyle name="%_FC-PRIMAX-DIC 08-09  2 10" xfId="1650" xr:uid="{00000000-0005-0000-0000-000033060000}"/>
    <cellStyle name="%_FC-PRIMAX-DIC 08-09  2 11" xfId="1651" xr:uid="{00000000-0005-0000-0000-000034060000}"/>
    <cellStyle name="%_FC-PRIMAX-DIC 08-09  2 12" xfId="1652" xr:uid="{00000000-0005-0000-0000-000035060000}"/>
    <cellStyle name="%_FC-PRIMAX-DIC 08-09  2 13" xfId="1653" xr:uid="{00000000-0005-0000-0000-000036060000}"/>
    <cellStyle name="%_FC-PRIMAX-DIC 08-09  2 2" xfId="1654" xr:uid="{00000000-0005-0000-0000-000037060000}"/>
    <cellStyle name="%_FC-PRIMAX-DIC 08-09  2 3" xfId="1655" xr:uid="{00000000-0005-0000-0000-000038060000}"/>
    <cellStyle name="%_FC-PRIMAX-DIC 08-09  2 4" xfId="1656" xr:uid="{00000000-0005-0000-0000-000039060000}"/>
    <cellStyle name="%_FC-PRIMAX-DIC 08-09  2 5" xfId="1657" xr:uid="{00000000-0005-0000-0000-00003A060000}"/>
    <cellStyle name="%_FC-PRIMAX-DIC 08-09  2 6" xfId="1658" xr:uid="{00000000-0005-0000-0000-00003B060000}"/>
    <cellStyle name="%_FC-PRIMAX-DIC 08-09  2 7" xfId="1659" xr:uid="{00000000-0005-0000-0000-00003C060000}"/>
    <cellStyle name="%_FC-PRIMAX-DIC 08-09  2 8" xfId="1660" xr:uid="{00000000-0005-0000-0000-00003D060000}"/>
    <cellStyle name="%_FC-PRIMAX-DIC 08-09  2 9" xfId="1661" xr:uid="{00000000-0005-0000-0000-00003E060000}"/>
    <cellStyle name="%_FC-PRIMAX-DIC 08-09  3" xfId="1662" xr:uid="{00000000-0005-0000-0000-00003F060000}"/>
    <cellStyle name="%_FC-PRIMAX-DIC 08-09  3 10" xfId="1663" xr:uid="{00000000-0005-0000-0000-000040060000}"/>
    <cellStyle name="%_FC-PRIMAX-DIC 08-09  3 11" xfId="1664" xr:uid="{00000000-0005-0000-0000-000041060000}"/>
    <cellStyle name="%_FC-PRIMAX-DIC 08-09  3 12" xfId="1665" xr:uid="{00000000-0005-0000-0000-000042060000}"/>
    <cellStyle name="%_FC-PRIMAX-DIC 08-09  3 13" xfId="1666" xr:uid="{00000000-0005-0000-0000-000043060000}"/>
    <cellStyle name="%_FC-PRIMAX-DIC 08-09  3 2" xfId="1667" xr:uid="{00000000-0005-0000-0000-000044060000}"/>
    <cellStyle name="%_FC-PRIMAX-DIC 08-09  3 3" xfId="1668" xr:uid="{00000000-0005-0000-0000-000045060000}"/>
    <cellStyle name="%_FC-PRIMAX-DIC 08-09  3 4" xfId="1669" xr:uid="{00000000-0005-0000-0000-000046060000}"/>
    <cellStyle name="%_FC-PRIMAX-DIC 08-09  3 5" xfId="1670" xr:uid="{00000000-0005-0000-0000-000047060000}"/>
    <cellStyle name="%_FC-PRIMAX-DIC 08-09  3 6" xfId="1671" xr:uid="{00000000-0005-0000-0000-000048060000}"/>
    <cellStyle name="%_FC-PRIMAX-DIC 08-09  3 7" xfId="1672" xr:uid="{00000000-0005-0000-0000-000049060000}"/>
    <cellStyle name="%_FC-PRIMAX-DIC 08-09  3 8" xfId="1673" xr:uid="{00000000-0005-0000-0000-00004A060000}"/>
    <cellStyle name="%_FC-PRIMAX-DIC 08-09  3 9" xfId="1674" xr:uid="{00000000-0005-0000-0000-00004B060000}"/>
    <cellStyle name="%_FC-PRIMAX-DIC 08-09  4" xfId="1675" xr:uid="{00000000-0005-0000-0000-00004C060000}"/>
    <cellStyle name="%_FC-PRIMAX-DIC 08-09  4 10" xfId="1676" xr:uid="{00000000-0005-0000-0000-00004D060000}"/>
    <cellStyle name="%_FC-PRIMAX-DIC 08-09  4 11" xfId="1677" xr:uid="{00000000-0005-0000-0000-00004E060000}"/>
    <cellStyle name="%_FC-PRIMAX-DIC 08-09  4 12" xfId="1678" xr:uid="{00000000-0005-0000-0000-00004F060000}"/>
    <cellStyle name="%_FC-PRIMAX-DIC 08-09  4 13" xfId="1679" xr:uid="{00000000-0005-0000-0000-000050060000}"/>
    <cellStyle name="%_FC-PRIMAX-DIC 08-09  4 2" xfId="1680" xr:uid="{00000000-0005-0000-0000-000051060000}"/>
    <cellStyle name="%_FC-PRIMAX-DIC 08-09  4 3" xfId="1681" xr:uid="{00000000-0005-0000-0000-000052060000}"/>
    <cellStyle name="%_FC-PRIMAX-DIC 08-09  4 4" xfId="1682" xr:uid="{00000000-0005-0000-0000-000053060000}"/>
    <cellStyle name="%_FC-PRIMAX-DIC 08-09  4 5" xfId="1683" xr:uid="{00000000-0005-0000-0000-000054060000}"/>
    <cellStyle name="%_FC-PRIMAX-DIC 08-09  4 6" xfId="1684" xr:uid="{00000000-0005-0000-0000-000055060000}"/>
    <cellStyle name="%_FC-PRIMAX-DIC 08-09  4 7" xfId="1685" xr:uid="{00000000-0005-0000-0000-000056060000}"/>
    <cellStyle name="%_FC-PRIMAX-DIC 08-09  4 8" xfId="1686" xr:uid="{00000000-0005-0000-0000-000057060000}"/>
    <cellStyle name="%_FC-PRIMAX-DIC 08-09  4 9" xfId="1687" xr:uid="{00000000-0005-0000-0000-000058060000}"/>
    <cellStyle name="%_FC-PRIMAX-DIC 08-09  5" xfId="1688" xr:uid="{00000000-0005-0000-0000-000059060000}"/>
    <cellStyle name="%_FC-PRIMAX-DIC 08-09  5 10" xfId="1689" xr:uid="{00000000-0005-0000-0000-00005A060000}"/>
    <cellStyle name="%_FC-PRIMAX-DIC 08-09  5 11" xfId="1690" xr:uid="{00000000-0005-0000-0000-00005B060000}"/>
    <cellStyle name="%_FC-PRIMAX-DIC 08-09  5 12" xfId="1691" xr:uid="{00000000-0005-0000-0000-00005C060000}"/>
    <cellStyle name="%_FC-PRIMAX-DIC 08-09  5 13" xfId="1692" xr:uid="{00000000-0005-0000-0000-00005D060000}"/>
    <cellStyle name="%_FC-PRIMAX-DIC 08-09  5 2" xfId="1693" xr:uid="{00000000-0005-0000-0000-00005E060000}"/>
    <cellStyle name="%_FC-PRIMAX-DIC 08-09  5 3" xfId="1694" xr:uid="{00000000-0005-0000-0000-00005F060000}"/>
    <cellStyle name="%_FC-PRIMAX-DIC 08-09  5 4" xfId="1695" xr:uid="{00000000-0005-0000-0000-000060060000}"/>
    <cellStyle name="%_FC-PRIMAX-DIC 08-09  5 5" xfId="1696" xr:uid="{00000000-0005-0000-0000-000061060000}"/>
    <cellStyle name="%_FC-PRIMAX-DIC 08-09  5 6" xfId="1697" xr:uid="{00000000-0005-0000-0000-000062060000}"/>
    <cellStyle name="%_FC-PRIMAX-DIC 08-09  5 7" xfId="1698" xr:uid="{00000000-0005-0000-0000-000063060000}"/>
    <cellStyle name="%_FC-PRIMAX-DIC 08-09  5 8" xfId="1699" xr:uid="{00000000-0005-0000-0000-000064060000}"/>
    <cellStyle name="%_FC-PRIMAX-DIC 08-09  5 9" xfId="1700" xr:uid="{00000000-0005-0000-0000-000065060000}"/>
    <cellStyle name="%_FC-PRIMAX-DIC 08-09  6" xfId="1701" xr:uid="{00000000-0005-0000-0000-000066060000}"/>
    <cellStyle name="%_FC-PRIMAX-DIC 08-09  6 10" xfId="1702" xr:uid="{00000000-0005-0000-0000-000067060000}"/>
    <cellStyle name="%_FC-PRIMAX-DIC 08-09  6 11" xfId="1703" xr:uid="{00000000-0005-0000-0000-000068060000}"/>
    <cellStyle name="%_FC-PRIMAX-DIC 08-09  6 12" xfId="1704" xr:uid="{00000000-0005-0000-0000-000069060000}"/>
    <cellStyle name="%_FC-PRIMAX-DIC 08-09  6 13" xfId="1705" xr:uid="{00000000-0005-0000-0000-00006A060000}"/>
    <cellStyle name="%_FC-PRIMAX-DIC 08-09  6 2" xfId="1706" xr:uid="{00000000-0005-0000-0000-00006B060000}"/>
    <cellStyle name="%_FC-PRIMAX-DIC 08-09  6 3" xfId="1707" xr:uid="{00000000-0005-0000-0000-00006C060000}"/>
    <cellStyle name="%_FC-PRIMAX-DIC 08-09  6 4" xfId="1708" xr:uid="{00000000-0005-0000-0000-00006D060000}"/>
    <cellStyle name="%_FC-PRIMAX-DIC 08-09  6 5" xfId="1709" xr:uid="{00000000-0005-0000-0000-00006E060000}"/>
    <cellStyle name="%_FC-PRIMAX-DIC 08-09  6 6" xfId="1710" xr:uid="{00000000-0005-0000-0000-00006F060000}"/>
    <cellStyle name="%_FC-PRIMAX-DIC 08-09  6 7" xfId="1711" xr:uid="{00000000-0005-0000-0000-000070060000}"/>
    <cellStyle name="%_FC-PRIMAX-DIC 08-09  6 8" xfId="1712" xr:uid="{00000000-0005-0000-0000-000071060000}"/>
    <cellStyle name="%_FC-PRIMAX-DIC 08-09  6 9" xfId="1713" xr:uid="{00000000-0005-0000-0000-000072060000}"/>
    <cellStyle name="%_FC-PRIMAX-DIC 08-09  7" xfId="1714" xr:uid="{00000000-0005-0000-0000-000073060000}"/>
    <cellStyle name="%_FC-PRIMAX-DIC 08-09  7 10" xfId="1715" xr:uid="{00000000-0005-0000-0000-000074060000}"/>
    <cellStyle name="%_FC-PRIMAX-DIC 08-09  7 11" xfId="1716" xr:uid="{00000000-0005-0000-0000-000075060000}"/>
    <cellStyle name="%_FC-PRIMAX-DIC 08-09  7 12" xfId="1717" xr:uid="{00000000-0005-0000-0000-000076060000}"/>
    <cellStyle name="%_FC-PRIMAX-DIC 08-09  7 13" xfId="1718" xr:uid="{00000000-0005-0000-0000-000077060000}"/>
    <cellStyle name="%_FC-PRIMAX-DIC 08-09  7 2" xfId="1719" xr:uid="{00000000-0005-0000-0000-000078060000}"/>
    <cellStyle name="%_FC-PRIMAX-DIC 08-09  7 3" xfId="1720" xr:uid="{00000000-0005-0000-0000-000079060000}"/>
    <cellStyle name="%_FC-PRIMAX-DIC 08-09  7 4" xfId="1721" xr:uid="{00000000-0005-0000-0000-00007A060000}"/>
    <cellStyle name="%_FC-PRIMAX-DIC 08-09  7 5" xfId="1722" xr:uid="{00000000-0005-0000-0000-00007B060000}"/>
    <cellStyle name="%_FC-PRIMAX-DIC 08-09  7 6" xfId="1723" xr:uid="{00000000-0005-0000-0000-00007C060000}"/>
    <cellStyle name="%_FC-PRIMAX-DIC 08-09  7 7" xfId="1724" xr:uid="{00000000-0005-0000-0000-00007D060000}"/>
    <cellStyle name="%_FC-PRIMAX-DIC 08-09  7 8" xfId="1725" xr:uid="{00000000-0005-0000-0000-00007E060000}"/>
    <cellStyle name="%_FC-PRIMAX-DIC 08-09  7 9" xfId="1726" xr:uid="{00000000-0005-0000-0000-00007F060000}"/>
    <cellStyle name="%_FC-PRIMAX-DIC 08-09  8" xfId="1727" xr:uid="{00000000-0005-0000-0000-000080060000}"/>
    <cellStyle name="%_FC-PRIMAX-DIC 08-09  8 10" xfId="1728" xr:uid="{00000000-0005-0000-0000-000081060000}"/>
    <cellStyle name="%_FC-PRIMAX-DIC 08-09  8 11" xfId="1729" xr:uid="{00000000-0005-0000-0000-000082060000}"/>
    <cellStyle name="%_FC-PRIMAX-DIC 08-09  8 12" xfId="1730" xr:uid="{00000000-0005-0000-0000-000083060000}"/>
    <cellStyle name="%_FC-PRIMAX-DIC 08-09  8 13" xfId="1731" xr:uid="{00000000-0005-0000-0000-000084060000}"/>
    <cellStyle name="%_FC-PRIMAX-DIC 08-09  8 2" xfId="1732" xr:uid="{00000000-0005-0000-0000-000085060000}"/>
    <cellStyle name="%_FC-PRIMAX-DIC 08-09  8 3" xfId="1733" xr:uid="{00000000-0005-0000-0000-000086060000}"/>
    <cellStyle name="%_FC-PRIMAX-DIC 08-09  8 4" xfId="1734" xr:uid="{00000000-0005-0000-0000-000087060000}"/>
    <cellStyle name="%_FC-PRIMAX-DIC 08-09  8 5" xfId="1735" xr:uid="{00000000-0005-0000-0000-000088060000}"/>
    <cellStyle name="%_FC-PRIMAX-DIC 08-09  8 6" xfId="1736" xr:uid="{00000000-0005-0000-0000-000089060000}"/>
    <cellStyle name="%_FC-PRIMAX-DIC 08-09  8 7" xfId="1737" xr:uid="{00000000-0005-0000-0000-00008A060000}"/>
    <cellStyle name="%_FC-PRIMAX-DIC 08-09  8 8" xfId="1738" xr:uid="{00000000-0005-0000-0000-00008B060000}"/>
    <cellStyle name="%_FC-PRIMAX-DIC 08-09  8 9" xfId="1739" xr:uid="{00000000-0005-0000-0000-00008C060000}"/>
    <cellStyle name="%_FC-PRIMAX-DIC 08-09 _Central Puertos - Flujo de caja mensual 2009 - Mayo" xfId="1740" xr:uid="{00000000-0005-0000-0000-00008D060000}"/>
    <cellStyle name="%_FC-PRIMAX-DIC 08-09 _Central Puertos - Flujo de caja mensual 2009 - Mayo 2" xfId="1741" xr:uid="{00000000-0005-0000-0000-00008E060000}"/>
    <cellStyle name="%_FC-PRIMAX-DIC 08-09 _Central Puertos - Flujo de caja mensual 2009 - Mayo 3" xfId="1742" xr:uid="{00000000-0005-0000-0000-00008F060000}"/>
    <cellStyle name="%_FC-PRIMAX-DIC 08-09 _Central Puertos - Flujo de caja mensual 2009 - Mayo 4" xfId="1743" xr:uid="{00000000-0005-0000-0000-000090060000}"/>
    <cellStyle name="%_FC-PRIMAX-DIC 08-09 _FLUJO CONSOLIDADO CAÑA BRAVA OCT 2010" xfId="1744" xr:uid="{00000000-0005-0000-0000-000091060000}"/>
    <cellStyle name="%_FC-PRIMAX-DIC 08-09 _Flujo de Caja Consolidado Setiembre 23.09.2010 - Ok" xfId="1745" xr:uid="{00000000-0005-0000-0000-000092060000}"/>
    <cellStyle name="%_FC-PRIMAX-DIC 08-09 _Libro2" xfId="1746" xr:uid="{00000000-0005-0000-0000-000093060000}"/>
    <cellStyle name="%_FC-PRIMAX-DIC 08-09 _PB. 2011 - Versión Final 30 Dic al Comité de Grencia" xfId="1747" xr:uid="{00000000-0005-0000-0000-000094060000}"/>
    <cellStyle name="%_FC-PRIMAX-NOV 08 " xfId="1748" xr:uid="{00000000-0005-0000-0000-000095060000}"/>
    <cellStyle name="%_FC-PRIMAX-NOV 08  2" xfId="1749" xr:uid="{00000000-0005-0000-0000-000096060000}"/>
    <cellStyle name="%_FC-PRIMAX-NOV 08  2 10" xfId="1750" xr:uid="{00000000-0005-0000-0000-000097060000}"/>
    <cellStyle name="%_FC-PRIMAX-NOV 08  2 11" xfId="1751" xr:uid="{00000000-0005-0000-0000-000098060000}"/>
    <cellStyle name="%_FC-PRIMAX-NOV 08  2 12" xfId="1752" xr:uid="{00000000-0005-0000-0000-000099060000}"/>
    <cellStyle name="%_FC-PRIMAX-NOV 08  2 13" xfId="1753" xr:uid="{00000000-0005-0000-0000-00009A060000}"/>
    <cellStyle name="%_FC-PRIMAX-NOV 08  2 2" xfId="1754" xr:uid="{00000000-0005-0000-0000-00009B060000}"/>
    <cellStyle name="%_FC-PRIMAX-NOV 08  2 3" xfId="1755" xr:uid="{00000000-0005-0000-0000-00009C060000}"/>
    <cellStyle name="%_FC-PRIMAX-NOV 08  2 4" xfId="1756" xr:uid="{00000000-0005-0000-0000-00009D060000}"/>
    <cellStyle name="%_FC-PRIMAX-NOV 08  2 5" xfId="1757" xr:uid="{00000000-0005-0000-0000-00009E060000}"/>
    <cellStyle name="%_FC-PRIMAX-NOV 08  2 6" xfId="1758" xr:uid="{00000000-0005-0000-0000-00009F060000}"/>
    <cellStyle name="%_FC-PRIMAX-NOV 08  2 7" xfId="1759" xr:uid="{00000000-0005-0000-0000-0000A0060000}"/>
    <cellStyle name="%_FC-PRIMAX-NOV 08  2 8" xfId="1760" xr:uid="{00000000-0005-0000-0000-0000A1060000}"/>
    <cellStyle name="%_FC-PRIMAX-NOV 08  2 9" xfId="1761" xr:uid="{00000000-0005-0000-0000-0000A2060000}"/>
    <cellStyle name="%_FC-PRIMAX-NOV 08  3" xfId="1762" xr:uid="{00000000-0005-0000-0000-0000A3060000}"/>
    <cellStyle name="%_FC-PRIMAX-NOV 08  3 10" xfId="1763" xr:uid="{00000000-0005-0000-0000-0000A4060000}"/>
    <cellStyle name="%_FC-PRIMAX-NOV 08  3 11" xfId="1764" xr:uid="{00000000-0005-0000-0000-0000A5060000}"/>
    <cellStyle name="%_FC-PRIMAX-NOV 08  3 12" xfId="1765" xr:uid="{00000000-0005-0000-0000-0000A6060000}"/>
    <cellStyle name="%_FC-PRIMAX-NOV 08  3 13" xfId="1766" xr:uid="{00000000-0005-0000-0000-0000A7060000}"/>
    <cellStyle name="%_FC-PRIMAX-NOV 08  3 2" xfId="1767" xr:uid="{00000000-0005-0000-0000-0000A8060000}"/>
    <cellStyle name="%_FC-PRIMAX-NOV 08  3 3" xfId="1768" xr:uid="{00000000-0005-0000-0000-0000A9060000}"/>
    <cellStyle name="%_FC-PRIMAX-NOV 08  3 4" xfId="1769" xr:uid="{00000000-0005-0000-0000-0000AA060000}"/>
    <cellStyle name="%_FC-PRIMAX-NOV 08  3 5" xfId="1770" xr:uid="{00000000-0005-0000-0000-0000AB060000}"/>
    <cellStyle name="%_FC-PRIMAX-NOV 08  3 6" xfId="1771" xr:uid="{00000000-0005-0000-0000-0000AC060000}"/>
    <cellStyle name="%_FC-PRIMAX-NOV 08  3 7" xfId="1772" xr:uid="{00000000-0005-0000-0000-0000AD060000}"/>
    <cellStyle name="%_FC-PRIMAX-NOV 08  3 8" xfId="1773" xr:uid="{00000000-0005-0000-0000-0000AE060000}"/>
    <cellStyle name="%_FC-PRIMAX-NOV 08  3 9" xfId="1774" xr:uid="{00000000-0005-0000-0000-0000AF060000}"/>
    <cellStyle name="%_FC-PRIMAX-NOV 08  4" xfId="1775" xr:uid="{00000000-0005-0000-0000-0000B0060000}"/>
    <cellStyle name="%_FC-PRIMAX-NOV 08  4 10" xfId="1776" xr:uid="{00000000-0005-0000-0000-0000B1060000}"/>
    <cellStyle name="%_FC-PRIMAX-NOV 08  4 11" xfId="1777" xr:uid="{00000000-0005-0000-0000-0000B2060000}"/>
    <cellStyle name="%_FC-PRIMAX-NOV 08  4 12" xfId="1778" xr:uid="{00000000-0005-0000-0000-0000B3060000}"/>
    <cellStyle name="%_FC-PRIMAX-NOV 08  4 13" xfId="1779" xr:uid="{00000000-0005-0000-0000-0000B4060000}"/>
    <cellStyle name="%_FC-PRIMAX-NOV 08  4 2" xfId="1780" xr:uid="{00000000-0005-0000-0000-0000B5060000}"/>
    <cellStyle name="%_FC-PRIMAX-NOV 08  4 3" xfId="1781" xr:uid="{00000000-0005-0000-0000-0000B6060000}"/>
    <cellStyle name="%_FC-PRIMAX-NOV 08  4 4" xfId="1782" xr:uid="{00000000-0005-0000-0000-0000B7060000}"/>
    <cellStyle name="%_FC-PRIMAX-NOV 08  4 5" xfId="1783" xr:uid="{00000000-0005-0000-0000-0000B8060000}"/>
    <cellStyle name="%_FC-PRIMAX-NOV 08  4 6" xfId="1784" xr:uid="{00000000-0005-0000-0000-0000B9060000}"/>
    <cellStyle name="%_FC-PRIMAX-NOV 08  4 7" xfId="1785" xr:uid="{00000000-0005-0000-0000-0000BA060000}"/>
    <cellStyle name="%_FC-PRIMAX-NOV 08  4 8" xfId="1786" xr:uid="{00000000-0005-0000-0000-0000BB060000}"/>
    <cellStyle name="%_FC-PRIMAX-NOV 08  4 9" xfId="1787" xr:uid="{00000000-0005-0000-0000-0000BC060000}"/>
    <cellStyle name="%_FC-PRIMAX-NOV 08  5" xfId="1788" xr:uid="{00000000-0005-0000-0000-0000BD060000}"/>
    <cellStyle name="%_FC-PRIMAX-NOV 08  5 10" xfId="1789" xr:uid="{00000000-0005-0000-0000-0000BE060000}"/>
    <cellStyle name="%_FC-PRIMAX-NOV 08  5 11" xfId="1790" xr:uid="{00000000-0005-0000-0000-0000BF060000}"/>
    <cellStyle name="%_FC-PRIMAX-NOV 08  5 12" xfId="1791" xr:uid="{00000000-0005-0000-0000-0000C0060000}"/>
    <cellStyle name="%_FC-PRIMAX-NOV 08  5 13" xfId="1792" xr:uid="{00000000-0005-0000-0000-0000C1060000}"/>
    <cellStyle name="%_FC-PRIMAX-NOV 08  5 2" xfId="1793" xr:uid="{00000000-0005-0000-0000-0000C2060000}"/>
    <cellStyle name="%_FC-PRIMAX-NOV 08  5 3" xfId="1794" xr:uid="{00000000-0005-0000-0000-0000C3060000}"/>
    <cellStyle name="%_FC-PRIMAX-NOV 08  5 4" xfId="1795" xr:uid="{00000000-0005-0000-0000-0000C4060000}"/>
    <cellStyle name="%_FC-PRIMAX-NOV 08  5 5" xfId="1796" xr:uid="{00000000-0005-0000-0000-0000C5060000}"/>
    <cellStyle name="%_FC-PRIMAX-NOV 08  5 6" xfId="1797" xr:uid="{00000000-0005-0000-0000-0000C6060000}"/>
    <cellStyle name="%_FC-PRIMAX-NOV 08  5 7" xfId="1798" xr:uid="{00000000-0005-0000-0000-0000C7060000}"/>
    <cellStyle name="%_FC-PRIMAX-NOV 08  5 8" xfId="1799" xr:uid="{00000000-0005-0000-0000-0000C8060000}"/>
    <cellStyle name="%_FC-PRIMAX-NOV 08  5 9" xfId="1800" xr:uid="{00000000-0005-0000-0000-0000C9060000}"/>
    <cellStyle name="%_FC-PRIMAX-NOV 08  6" xfId="1801" xr:uid="{00000000-0005-0000-0000-0000CA060000}"/>
    <cellStyle name="%_FC-PRIMAX-NOV 08  6 10" xfId="1802" xr:uid="{00000000-0005-0000-0000-0000CB060000}"/>
    <cellStyle name="%_FC-PRIMAX-NOV 08  6 11" xfId="1803" xr:uid="{00000000-0005-0000-0000-0000CC060000}"/>
    <cellStyle name="%_FC-PRIMAX-NOV 08  6 12" xfId="1804" xr:uid="{00000000-0005-0000-0000-0000CD060000}"/>
    <cellStyle name="%_FC-PRIMAX-NOV 08  6 13" xfId="1805" xr:uid="{00000000-0005-0000-0000-0000CE060000}"/>
    <cellStyle name="%_FC-PRIMAX-NOV 08  6 2" xfId="1806" xr:uid="{00000000-0005-0000-0000-0000CF060000}"/>
    <cellStyle name="%_FC-PRIMAX-NOV 08  6 3" xfId="1807" xr:uid="{00000000-0005-0000-0000-0000D0060000}"/>
    <cellStyle name="%_FC-PRIMAX-NOV 08  6 4" xfId="1808" xr:uid="{00000000-0005-0000-0000-0000D1060000}"/>
    <cellStyle name="%_FC-PRIMAX-NOV 08  6 5" xfId="1809" xr:uid="{00000000-0005-0000-0000-0000D2060000}"/>
    <cellStyle name="%_FC-PRIMAX-NOV 08  6 6" xfId="1810" xr:uid="{00000000-0005-0000-0000-0000D3060000}"/>
    <cellStyle name="%_FC-PRIMAX-NOV 08  6 7" xfId="1811" xr:uid="{00000000-0005-0000-0000-0000D4060000}"/>
    <cellStyle name="%_FC-PRIMAX-NOV 08  6 8" xfId="1812" xr:uid="{00000000-0005-0000-0000-0000D5060000}"/>
    <cellStyle name="%_FC-PRIMAX-NOV 08  6 9" xfId="1813" xr:uid="{00000000-0005-0000-0000-0000D6060000}"/>
    <cellStyle name="%_FC-PRIMAX-NOV 08  7" xfId="1814" xr:uid="{00000000-0005-0000-0000-0000D7060000}"/>
    <cellStyle name="%_FC-PRIMAX-NOV 08  7 10" xfId="1815" xr:uid="{00000000-0005-0000-0000-0000D8060000}"/>
    <cellStyle name="%_FC-PRIMAX-NOV 08  7 11" xfId="1816" xr:uid="{00000000-0005-0000-0000-0000D9060000}"/>
    <cellStyle name="%_FC-PRIMAX-NOV 08  7 12" xfId="1817" xr:uid="{00000000-0005-0000-0000-0000DA060000}"/>
    <cellStyle name="%_FC-PRIMAX-NOV 08  7 13" xfId="1818" xr:uid="{00000000-0005-0000-0000-0000DB060000}"/>
    <cellStyle name="%_FC-PRIMAX-NOV 08  7 2" xfId="1819" xr:uid="{00000000-0005-0000-0000-0000DC060000}"/>
    <cellStyle name="%_FC-PRIMAX-NOV 08  7 3" xfId="1820" xr:uid="{00000000-0005-0000-0000-0000DD060000}"/>
    <cellStyle name="%_FC-PRIMAX-NOV 08  7 4" xfId="1821" xr:uid="{00000000-0005-0000-0000-0000DE060000}"/>
    <cellStyle name="%_FC-PRIMAX-NOV 08  7 5" xfId="1822" xr:uid="{00000000-0005-0000-0000-0000DF060000}"/>
    <cellStyle name="%_FC-PRIMAX-NOV 08  7 6" xfId="1823" xr:uid="{00000000-0005-0000-0000-0000E0060000}"/>
    <cellStyle name="%_FC-PRIMAX-NOV 08  7 7" xfId="1824" xr:uid="{00000000-0005-0000-0000-0000E1060000}"/>
    <cellStyle name="%_FC-PRIMAX-NOV 08  7 8" xfId="1825" xr:uid="{00000000-0005-0000-0000-0000E2060000}"/>
    <cellStyle name="%_FC-PRIMAX-NOV 08  7 9" xfId="1826" xr:uid="{00000000-0005-0000-0000-0000E3060000}"/>
    <cellStyle name="%_FC-PRIMAX-NOV 08  8" xfId="1827" xr:uid="{00000000-0005-0000-0000-0000E4060000}"/>
    <cellStyle name="%_FC-PRIMAX-NOV 08  8 10" xfId="1828" xr:uid="{00000000-0005-0000-0000-0000E5060000}"/>
    <cellStyle name="%_FC-PRIMAX-NOV 08  8 11" xfId="1829" xr:uid="{00000000-0005-0000-0000-0000E6060000}"/>
    <cellStyle name="%_FC-PRIMAX-NOV 08  8 12" xfId="1830" xr:uid="{00000000-0005-0000-0000-0000E7060000}"/>
    <cellStyle name="%_FC-PRIMAX-NOV 08  8 13" xfId="1831" xr:uid="{00000000-0005-0000-0000-0000E8060000}"/>
    <cellStyle name="%_FC-PRIMAX-NOV 08  8 2" xfId="1832" xr:uid="{00000000-0005-0000-0000-0000E9060000}"/>
    <cellStyle name="%_FC-PRIMAX-NOV 08  8 3" xfId="1833" xr:uid="{00000000-0005-0000-0000-0000EA060000}"/>
    <cellStyle name="%_FC-PRIMAX-NOV 08  8 4" xfId="1834" xr:uid="{00000000-0005-0000-0000-0000EB060000}"/>
    <cellStyle name="%_FC-PRIMAX-NOV 08  8 5" xfId="1835" xr:uid="{00000000-0005-0000-0000-0000EC060000}"/>
    <cellStyle name="%_FC-PRIMAX-NOV 08  8 6" xfId="1836" xr:uid="{00000000-0005-0000-0000-0000ED060000}"/>
    <cellStyle name="%_FC-PRIMAX-NOV 08  8 7" xfId="1837" xr:uid="{00000000-0005-0000-0000-0000EE060000}"/>
    <cellStyle name="%_FC-PRIMAX-NOV 08  8 8" xfId="1838" xr:uid="{00000000-0005-0000-0000-0000EF060000}"/>
    <cellStyle name="%_FC-PRIMAX-NOV 08  8 9" xfId="1839" xr:uid="{00000000-0005-0000-0000-0000F0060000}"/>
    <cellStyle name="%_FC-PRIMAX-NOV 08 _Central Puertos - Flujo de caja mensual 2009 - Mayo" xfId="1840" xr:uid="{00000000-0005-0000-0000-0000F1060000}"/>
    <cellStyle name="%_FC-PRIMAX-NOV 08 _Central Puertos - Flujo de caja mensual 2009 - Mayo 2" xfId="1841" xr:uid="{00000000-0005-0000-0000-0000F2060000}"/>
    <cellStyle name="%_FC-PRIMAX-NOV 08 _Central Puertos - Flujo de caja mensual 2009 - Mayo 3" xfId="1842" xr:uid="{00000000-0005-0000-0000-0000F3060000}"/>
    <cellStyle name="%_FC-PRIMAX-NOV 08 _Central Puertos - Flujo de caja mensual 2009 - Mayo 4" xfId="1843" xr:uid="{00000000-0005-0000-0000-0000F4060000}"/>
    <cellStyle name="%_FC-PRIMAX-NOV 08 _FLUJO CONSOLIDADO CAÑA BRAVA OCT 2010" xfId="1844" xr:uid="{00000000-0005-0000-0000-0000F5060000}"/>
    <cellStyle name="%_FC-PRIMAX-NOV 08 _Flujo de Caja Consolidado Setiembre 23.09.2010 - Ok" xfId="1845" xr:uid="{00000000-0005-0000-0000-0000F6060000}"/>
    <cellStyle name="%_FC-PRIMAX-NOV 08 _Libro2" xfId="1846" xr:uid="{00000000-0005-0000-0000-0000F7060000}"/>
    <cellStyle name="%_FC-PRIMAX-NOV 08 _PB. 2011 - Versión Final 30 Dic al Comité de Grencia" xfId="1847" xr:uid="{00000000-0005-0000-0000-0000F8060000}"/>
    <cellStyle name="%_Finanzas" xfId="1848" xr:uid="{00000000-0005-0000-0000-0000F9060000}"/>
    <cellStyle name="%_Finanzas 2" xfId="1849" xr:uid="{00000000-0005-0000-0000-0000FA060000}"/>
    <cellStyle name="%_Finanzas 3" xfId="1850" xr:uid="{00000000-0005-0000-0000-0000FB060000}"/>
    <cellStyle name="%_Finanzas 4" xfId="1851" xr:uid="{00000000-0005-0000-0000-0000FC060000}"/>
    <cellStyle name="%_FLUJO CAJA ORUS SEGURIDAD ELECTRONICA" xfId="1852" xr:uid="{00000000-0005-0000-0000-0000FD060000}"/>
    <cellStyle name="%_FLUJO CAJA PRIMAX FINAL" xfId="1853" xr:uid="{00000000-0005-0000-0000-0000FE060000}"/>
    <cellStyle name="%_FLUJO CAJA PRIMAX FINAL 2" xfId="1854" xr:uid="{00000000-0005-0000-0000-0000FF060000}"/>
    <cellStyle name="%_FLUJO CAJA PRIMAX FINAL 2 10" xfId="1855" xr:uid="{00000000-0005-0000-0000-000000070000}"/>
    <cellStyle name="%_FLUJO CAJA PRIMAX FINAL 2 11" xfId="1856" xr:uid="{00000000-0005-0000-0000-000001070000}"/>
    <cellStyle name="%_FLUJO CAJA PRIMAX FINAL 2 12" xfId="1857" xr:uid="{00000000-0005-0000-0000-000002070000}"/>
    <cellStyle name="%_FLUJO CAJA PRIMAX FINAL 2 13" xfId="1858" xr:uid="{00000000-0005-0000-0000-000003070000}"/>
    <cellStyle name="%_FLUJO CAJA PRIMAX FINAL 2 2" xfId="1859" xr:uid="{00000000-0005-0000-0000-000004070000}"/>
    <cellStyle name="%_FLUJO CAJA PRIMAX FINAL 2 3" xfId="1860" xr:uid="{00000000-0005-0000-0000-000005070000}"/>
    <cellStyle name="%_FLUJO CAJA PRIMAX FINAL 2 4" xfId="1861" xr:uid="{00000000-0005-0000-0000-000006070000}"/>
    <cellStyle name="%_FLUJO CAJA PRIMAX FINAL 2 5" xfId="1862" xr:uid="{00000000-0005-0000-0000-000007070000}"/>
    <cellStyle name="%_FLUJO CAJA PRIMAX FINAL 2 6" xfId="1863" xr:uid="{00000000-0005-0000-0000-000008070000}"/>
    <cellStyle name="%_FLUJO CAJA PRIMAX FINAL 2 7" xfId="1864" xr:uid="{00000000-0005-0000-0000-000009070000}"/>
    <cellStyle name="%_FLUJO CAJA PRIMAX FINAL 2 8" xfId="1865" xr:uid="{00000000-0005-0000-0000-00000A070000}"/>
    <cellStyle name="%_FLUJO CAJA PRIMAX FINAL 2 9" xfId="1866" xr:uid="{00000000-0005-0000-0000-00000B070000}"/>
    <cellStyle name="%_FLUJO CAJA PRIMAX FINAL 3" xfId="1867" xr:uid="{00000000-0005-0000-0000-00000C070000}"/>
    <cellStyle name="%_FLUJO CAJA PRIMAX FINAL 3 10" xfId="1868" xr:uid="{00000000-0005-0000-0000-00000D070000}"/>
    <cellStyle name="%_FLUJO CAJA PRIMAX FINAL 3 11" xfId="1869" xr:uid="{00000000-0005-0000-0000-00000E070000}"/>
    <cellStyle name="%_FLUJO CAJA PRIMAX FINAL 3 12" xfId="1870" xr:uid="{00000000-0005-0000-0000-00000F070000}"/>
    <cellStyle name="%_FLUJO CAJA PRIMAX FINAL 3 13" xfId="1871" xr:uid="{00000000-0005-0000-0000-000010070000}"/>
    <cellStyle name="%_FLUJO CAJA PRIMAX FINAL 3 2" xfId="1872" xr:uid="{00000000-0005-0000-0000-000011070000}"/>
    <cellStyle name="%_FLUJO CAJA PRIMAX FINAL 3 3" xfId="1873" xr:uid="{00000000-0005-0000-0000-000012070000}"/>
    <cellStyle name="%_FLUJO CAJA PRIMAX FINAL 3 4" xfId="1874" xr:uid="{00000000-0005-0000-0000-000013070000}"/>
    <cellStyle name="%_FLUJO CAJA PRIMAX FINAL 3 5" xfId="1875" xr:uid="{00000000-0005-0000-0000-000014070000}"/>
    <cellStyle name="%_FLUJO CAJA PRIMAX FINAL 3 6" xfId="1876" xr:uid="{00000000-0005-0000-0000-000015070000}"/>
    <cellStyle name="%_FLUJO CAJA PRIMAX FINAL 3 7" xfId="1877" xr:uid="{00000000-0005-0000-0000-000016070000}"/>
    <cellStyle name="%_FLUJO CAJA PRIMAX FINAL 3 8" xfId="1878" xr:uid="{00000000-0005-0000-0000-000017070000}"/>
    <cellStyle name="%_FLUJO CAJA PRIMAX FINAL 3 9" xfId="1879" xr:uid="{00000000-0005-0000-0000-000018070000}"/>
    <cellStyle name="%_FLUJO CAJA PRIMAX FINAL 4" xfId="1880" xr:uid="{00000000-0005-0000-0000-000019070000}"/>
    <cellStyle name="%_FLUJO CAJA PRIMAX FINAL 4 10" xfId="1881" xr:uid="{00000000-0005-0000-0000-00001A070000}"/>
    <cellStyle name="%_FLUJO CAJA PRIMAX FINAL 4 11" xfId="1882" xr:uid="{00000000-0005-0000-0000-00001B070000}"/>
    <cellStyle name="%_FLUJO CAJA PRIMAX FINAL 4 12" xfId="1883" xr:uid="{00000000-0005-0000-0000-00001C070000}"/>
    <cellStyle name="%_FLUJO CAJA PRIMAX FINAL 4 13" xfId="1884" xr:uid="{00000000-0005-0000-0000-00001D070000}"/>
    <cellStyle name="%_FLUJO CAJA PRIMAX FINAL 4 2" xfId="1885" xr:uid="{00000000-0005-0000-0000-00001E070000}"/>
    <cellStyle name="%_FLUJO CAJA PRIMAX FINAL 4 3" xfId="1886" xr:uid="{00000000-0005-0000-0000-00001F070000}"/>
    <cellStyle name="%_FLUJO CAJA PRIMAX FINAL 4 4" xfId="1887" xr:uid="{00000000-0005-0000-0000-000020070000}"/>
    <cellStyle name="%_FLUJO CAJA PRIMAX FINAL 4 5" xfId="1888" xr:uid="{00000000-0005-0000-0000-000021070000}"/>
    <cellStyle name="%_FLUJO CAJA PRIMAX FINAL 4 6" xfId="1889" xr:uid="{00000000-0005-0000-0000-000022070000}"/>
    <cellStyle name="%_FLUJO CAJA PRIMAX FINAL 4 7" xfId="1890" xr:uid="{00000000-0005-0000-0000-000023070000}"/>
    <cellStyle name="%_FLUJO CAJA PRIMAX FINAL 4 8" xfId="1891" xr:uid="{00000000-0005-0000-0000-000024070000}"/>
    <cellStyle name="%_FLUJO CAJA PRIMAX FINAL 4 9" xfId="1892" xr:uid="{00000000-0005-0000-0000-000025070000}"/>
    <cellStyle name="%_FLUJO CAJA PRIMAX FINAL 5" xfId="1893" xr:uid="{00000000-0005-0000-0000-000026070000}"/>
    <cellStyle name="%_FLUJO CAJA PRIMAX FINAL 5 10" xfId="1894" xr:uid="{00000000-0005-0000-0000-000027070000}"/>
    <cellStyle name="%_FLUJO CAJA PRIMAX FINAL 5 11" xfId="1895" xr:uid="{00000000-0005-0000-0000-000028070000}"/>
    <cellStyle name="%_FLUJO CAJA PRIMAX FINAL 5 12" xfId="1896" xr:uid="{00000000-0005-0000-0000-000029070000}"/>
    <cellStyle name="%_FLUJO CAJA PRIMAX FINAL 5 13" xfId="1897" xr:uid="{00000000-0005-0000-0000-00002A070000}"/>
    <cellStyle name="%_FLUJO CAJA PRIMAX FINAL 5 2" xfId="1898" xr:uid="{00000000-0005-0000-0000-00002B070000}"/>
    <cellStyle name="%_FLUJO CAJA PRIMAX FINAL 5 3" xfId="1899" xr:uid="{00000000-0005-0000-0000-00002C070000}"/>
    <cellStyle name="%_FLUJO CAJA PRIMAX FINAL 5 4" xfId="1900" xr:uid="{00000000-0005-0000-0000-00002D070000}"/>
    <cellStyle name="%_FLUJO CAJA PRIMAX FINAL 5 5" xfId="1901" xr:uid="{00000000-0005-0000-0000-00002E070000}"/>
    <cellStyle name="%_FLUJO CAJA PRIMAX FINAL 5 6" xfId="1902" xr:uid="{00000000-0005-0000-0000-00002F070000}"/>
    <cellStyle name="%_FLUJO CAJA PRIMAX FINAL 5 7" xfId="1903" xr:uid="{00000000-0005-0000-0000-000030070000}"/>
    <cellStyle name="%_FLUJO CAJA PRIMAX FINAL 5 8" xfId="1904" xr:uid="{00000000-0005-0000-0000-000031070000}"/>
    <cellStyle name="%_FLUJO CAJA PRIMAX FINAL 5 9" xfId="1905" xr:uid="{00000000-0005-0000-0000-000032070000}"/>
    <cellStyle name="%_FLUJO CAJA PRIMAX FINAL 6" xfId="1906" xr:uid="{00000000-0005-0000-0000-000033070000}"/>
    <cellStyle name="%_FLUJO CAJA PRIMAX FINAL 6 10" xfId="1907" xr:uid="{00000000-0005-0000-0000-000034070000}"/>
    <cellStyle name="%_FLUJO CAJA PRIMAX FINAL 6 11" xfId="1908" xr:uid="{00000000-0005-0000-0000-000035070000}"/>
    <cellStyle name="%_FLUJO CAJA PRIMAX FINAL 6 12" xfId="1909" xr:uid="{00000000-0005-0000-0000-000036070000}"/>
    <cellStyle name="%_FLUJO CAJA PRIMAX FINAL 6 13" xfId="1910" xr:uid="{00000000-0005-0000-0000-000037070000}"/>
    <cellStyle name="%_FLUJO CAJA PRIMAX FINAL 6 2" xfId="1911" xr:uid="{00000000-0005-0000-0000-000038070000}"/>
    <cellStyle name="%_FLUJO CAJA PRIMAX FINAL 6 3" xfId="1912" xr:uid="{00000000-0005-0000-0000-000039070000}"/>
    <cellStyle name="%_FLUJO CAJA PRIMAX FINAL 6 4" xfId="1913" xr:uid="{00000000-0005-0000-0000-00003A070000}"/>
    <cellStyle name="%_FLUJO CAJA PRIMAX FINAL 6 5" xfId="1914" xr:uid="{00000000-0005-0000-0000-00003B070000}"/>
    <cellStyle name="%_FLUJO CAJA PRIMAX FINAL 6 6" xfId="1915" xr:uid="{00000000-0005-0000-0000-00003C070000}"/>
    <cellStyle name="%_FLUJO CAJA PRIMAX FINAL 6 7" xfId="1916" xr:uid="{00000000-0005-0000-0000-00003D070000}"/>
    <cellStyle name="%_FLUJO CAJA PRIMAX FINAL 6 8" xfId="1917" xr:uid="{00000000-0005-0000-0000-00003E070000}"/>
    <cellStyle name="%_FLUJO CAJA PRIMAX FINAL 6 9" xfId="1918" xr:uid="{00000000-0005-0000-0000-00003F070000}"/>
    <cellStyle name="%_FLUJO CAJA PRIMAX FINAL 7" xfId="1919" xr:uid="{00000000-0005-0000-0000-000040070000}"/>
    <cellStyle name="%_FLUJO CAJA PRIMAX FINAL 7 10" xfId="1920" xr:uid="{00000000-0005-0000-0000-000041070000}"/>
    <cellStyle name="%_FLUJO CAJA PRIMAX FINAL 7 11" xfId="1921" xr:uid="{00000000-0005-0000-0000-000042070000}"/>
    <cellStyle name="%_FLUJO CAJA PRIMAX FINAL 7 12" xfId="1922" xr:uid="{00000000-0005-0000-0000-000043070000}"/>
    <cellStyle name="%_FLUJO CAJA PRIMAX FINAL 7 13" xfId="1923" xr:uid="{00000000-0005-0000-0000-000044070000}"/>
    <cellStyle name="%_FLUJO CAJA PRIMAX FINAL 7 2" xfId="1924" xr:uid="{00000000-0005-0000-0000-000045070000}"/>
    <cellStyle name="%_FLUJO CAJA PRIMAX FINAL 7 3" xfId="1925" xr:uid="{00000000-0005-0000-0000-000046070000}"/>
    <cellStyle name="%_FLUJO CAJA PRIMAX FINAL 7 4" xfId="1926" xr:uid="{00000000-0005-0000-0000-000047070000}"/>
    <cellStyle name="%_FLUJO CAJA PRIMAX FINAL 7 5" xfId="1927" xr:uid="{00000000-0005-0000-0000-000048070000}"/>
    <cellStyle name="%_FLUJO CAJA PRIMAX FINAL 7 6" xfId="1928" xr:uid="{00000000-0005-0000-0000-000049070000}"/>
    <cellStyle name="%_FLUJO CAJA PRIMAX FINAL 7 7" xfId="1929" xr:uid="{00000000-0005-0000-0000-00004A070000}"/>
    <cellStyle name="%_FLUJO CAJA PRIMAX FINAL 7 8" xfId="1930" xr:uid="{00000000-0005-0000-0000-00004B070000}"/>
    <cellStyle name="%_FLUJO CAJA PRIMAX FINAL 7 9" xfId="1931" xr:uid="{00000000-0005-0000-0000-00004C070000}"/>
    <cellStyle name="%_FLUJO CAJA PRIMAX FINAL 8" xfId="1932" xr:uid="{00000000-0005-0000-0000-00004D070000}"/>
    <cellStyle name="%_FLUJO CAJA PRIMAX FINAL 8 10" xfId="1933" xr:uid="{00000000-0005-0000-0000-00004E070000}"/>
    <cellStyle name="%_FLUJO CAJA PRIMAX FINAL 8 11" xfId="1934" xr:uid="{00000000-0005-0000-0000-00004F070000}"/>
    <cellStyle name="%_FLUJO CAJA PRIMAX FINAL 8 12" xfId="1935" xr:uid="{00000000-0005-0000-0000-000050070000}"/>
    <cellStyle name="%_FLUJO CAJA PRIMAX FINAL 8 13" xfId="1936" xr:uid="{00000000-0005-0000-0000-000051070000}"/>
    <cellStyle name="%_FLUJO CAJA PRIMAX FINAL 8 2" xfId="1937" xr:uid="{00000000-0005-0000-0000-000052070000}"/>
    <cellStyle name="%_FLUJO CAJA PRIMAX FINAL 8 3" xfId="1938" xr:uid="{00000000-0005-0000-0000-000053070000}"/>
    <cellStyle name="%_FLUJO CAJA PRIMAX FINAL 8 4" xfId="1939" xr:uid="{00000000-0005-0000-0000-000054070000}"/>
    <cellStyle name="%_FLUJO CAJA PRIMAX FINAL 8 5" xfId="1940" xr:uid="{00000000-0005-0000-0000-000055070000}"/>
    <cellStyle name="%_FLUJO CAJA PRIMAX FINAL 8 6" xfId="1941" xr:uid="{00000000-0005-0000-0000-000056070000}"/>
    <cellStyle name="%_FLUJO CAJA PRIMAX FINAL 8 7" xfId="1942" xr:uid="{00000000-0005-0000-0000-000057070000}"/>
    <cellStyle name="%_FLUJO CAJA PRIMAX FINAL 8 8" xfId="1943" xr:uid="{00000000-0005-0000-0000-000058070000}"/>
    <cellStyle name="%_FLUJO CAJA PRIMAX FINAL 8 9" xfId="1944" xr:uid="{00000000-0005-0000-0000-000059070000}"/>
    <cellStyle name="%_FLUJO CAJA PRIMAX FINAL_FLUJO CONSOLIDADO CAÑA BRAVA OCT 2010" xfId="1945" xr:uid="{00000000-0005-0000-0000-00005A070000}"/>
    <cellStyle name="%_FLUJO CAJA PRIMAX FINAL_Flujo de Caja Consolidado Setiembre 23.09.2010 - Ok" xfId="1946" xr:uid="{00000000-0005-0000-0000-00005B070000}"/>
    <cellStyle name="%_FLUJO CAJA PRIMAX FINAL_Libro2" xfId="1947" xr:uid="{00000000-0005-0000-0000-00005C070000}"/>
    <cellStyle name="%_FLUJO CAJA PRIMAX FINAL_PB. 2011 - Versión Final 30 Dic al Comité de Grencia" xfId="1948" xr:uid="{00000000-0005-0000-0000-00005D070000}"/>
    <cellStyle name="%_FLUJO CONSOLIDADO CAÑA BRAVA OCT 2010" xfId="1949" xr:uid="{00000000-0005-0000-0000-00005E070000}"/>
    <cellStyle name="%_FLUJO CONSOLIDADO PALMAS FEB 10" xfId="1950" xr:uid="{00000000-0005-0000-0000-00005F070000}"/>
    <cellStyle name="%_FLUJO CONSOLIDADO PALMAS FEB 10 2" xfId="1951" xr:uid="{00000000-0005-0000-0000-000060070000}"/>
    <cellStyle name="%_FLUJO CONSOLIDADO PALMAS FEB 10 2 10" xfId="1952" xr:uid="{00000000-0005-0000-0000-000061070000}"/>
    <cellStyle name="%_FLUJO CONSOLIDADO PALMAS FEB 10 2 11" xfId="1953" xr:uid="{00000000-0005-0000-0000-000062070000}"/>
    <cellStyle name="%_FLUJO CONSOLIDADO PALMAS FEB 10 2 12" xfId="1954" xr:uid="{00000000-0005-0000-0000-000063070000}"/>
    <cellStyle name="%_FLUJO CONSOLIDADO PALMAS FEB 10 2 13" xfId="1955" xr:uid="{00000000-0005-0000-0000-000064070000}"/>
    <cellStyle name="%_FLUJO CONSOLIDADO PALMAS FEB 10 2 2" xfId="1956" xr:uid="{00000000-0005-0000-0000-000065070000}"/>
    <cellStyle name="%_FLUJO CONSOLIDADO PALMAS FEB 10 2 3" xfId="1957" xr:uid="{00000000-0005-0000-0000-000066070000}"/>
    <cellStyle name="%_FLUJO CONSOLIDADO PALMAS FEB 10 2 4" xfId="1958" xr:uid="{00000000-0005-0000-0000-000067070000}"/>
    <cellStyle name="%_FLUJO CONSOLIDADO PALMAS FEB 10 2 5" xfId="1959" xr:uid="{00000000-0005-0000-0000-000068070000}"/>
    <cellStyle name="%_FLUJO CONSOLIDADO PALMAS FEB 10 2 6" xfId="1960" xr:uid="{00000000-0005-0000-0000-000069070000}"/>
    <cellStyle name="%_FLUJO CONSOLIDADO PALMAS FEB 10 2 7" xfId="1961" xr:uid="{00000000-0005-0000-0000-00006A070000}"/>
    <cellStyle name="%_FLUJO CONSOLIDADO PALMAS FEB 10 2 8" xfId="1962" xr:uid="{00000000-0005-0000-0000-00006B070000}"/>
    <cellStyle name="%_FLUJO CONSOLIDADO PALMAS FEB 10 2 9" xfId="1963" xr:uid="{00000000-0005-0000-0000-00006C070000}"/>
    <cellStyle name="%_FLUJO CONSOLIDADO PALMAS FEB 10 3" xfId="1964" xr:uid="{00000000-0005-0000-0000-00006D070000}"/>
    <cellStyle name="%_FLUJO CONSOLIDADO PALMAS FEB 10 3 10" xfId="1965" xr:uid="{00000000-0005-0000-0000-00006E070000}"/>
    <cellStyle name="%_FLUJO CONSOLIDADO PALMAS FEB 10 3 11" xfId="1966" xr:uid="{00000000-0005-0000-0000-00006F070000}"/>
    <cellStyle name="%_FLUJO CONSOLIDADO PALMAS FEB 10 3 12" xfId="1967" xr:uid="{00000000-0005-0000-0000-000070070000}"/>
    <cellStyle name="%_FLUJO CONSOLIDADO PALMAS FEB 10 3 13" xfId="1968" xr:uid="{00000000-0005-0000-0000-000071070000}"/>
    <cellStyle name="%_FLUJO CONSOLIDADO PALMAS FEB 10 3 2" xfId="1969" xr:uid="{00000000-0005-0000-0000-000072070000}"/>
    <cellStyle name="%_FLUJO CONSOLIDADO PALMAS FEB 10 3 3" xfId="1970" xr:uid="{00000000-0005-0000-0000-000073070000}"/>
    <cellStyle name="%_FLUJO CONSOLIDADO PALMAS FEB 10 3 4" xfId="1971" xr:uid="{00000000-0005-0000-0000-000074070000}"/>
    <cellStyle name="%_FLUJO CONSOLIDADO PALMAS FEB 10 3 5" xfId="1972" xr:uid="{00000000-0005-0000-0000-000075070000}"/>
    <cellStyle name="%_FLUJO CONSOLIDADO PALMAS FEB 10 3 6" xfId="1973" xr:uid="{00000000-0005-0000-0000-000076070000}"/>
    <cellStyle name="%_FLUJO CONSOLIDADO PALMAS FEB 10 3 7" xfId="1974" xr:uid="{00000000-0005-0000-0000-000077070000}"/>
    <cellStyle name="%_FLUJO CONSOLIDADO PALMAS FEB 10 3 8" xfId="1975" xr:uid="{00000000-0005-0000-0000-000078070000}"/>
    <cellStyle name="%_FLUJO CONSOLIDADO PALMAS FEB 10 3 9" xfId="1976" xr:uid="{00000000-0005-0000-0000-000079070000}"/>
    <cellStyle name="%_FLUJO CONSOLIDADO PALMAS FEB 10 4" xfId="1977" xr:uid="{00000000-0005-0000-0000-00007A070000}"/>
    <cellStyle name="%_FLUJO CONSOLIDADO PALMAS FEB 10 4 10" xfId="1978" xr:uid="{00000000-0005-0000-0000-00007B070000}"/>
    <cellStyle name="%_FLUJO CONSOLIDADO PALMAS FEB 10 4 11" xfId="1979" xr:uid="{00000000-0005-0000-0000-00007C070000}"/>
    <cellStyle name="%_FLUJO CONSOLIDADO PALMAS FEB 10 4 12" xfId="1980" xr:uid="{00000000-0005-0000-0000-00007D070000}"/>
    <cellStyle name="%_FLUJO CONSOLIDADO PALMAS FEB 10 4 13" xfId="1981" xr:uid="{00000000-0005-0000-0000-00007E070000}"/>
    <cellStyle name="%_FLUJO CONSOLIDADO PALMAS FEB 10 4 2" xfId="1982" xr:uid="{00000000-0005-0000-0000-00007F070000}"/>
    <cellStyle name="%_FLUJO CONSOLIDADO PALMAS FEB 10 4 3" xfId="1983" xr:uid="{00000000-0005-0000-0000-000080070000}"/>
    <cellStyle name="%_FLUJO CONSOLIDADO PALMAS FEB 10 4 4" xfId="1984" xr:uid="{00000000-0005-0000-0000-000081070000}"/>
    <cellStyle name="%_FLUJO CONSOLIDADO PALMAS FEB 10 4 5" xfId="1985" xr:uid="{00000000-0005-0000-0000-000082070000}"/>
    <cellStyle name="%_FLUJO CONSOLIDADO PALMAS FEB 10 4 6" xfId="1986" xr:uid="{00000000-0005-0000-0000-000083070000}"/>
    <cellStyle name="%_FLUJO CONSOLIDADO PALMAS FEB 10 4 7" xfId="1987" xr:uid="{00000000-0005-0000-0000-000084070000}"/>
    <cellStyle name="%_FLUJO CONSOLIDADO PALMAS FEB 10 4 8" xfId="1988" xr:uid="{00000000-0005-0000-0000-000085070000}"/>
    <cellStyle name="%_FLUJO CONSOLIDADO PALMAS FEB 10 4 9" xfId="1989" xr:uid="{00000000-0005-0000-0000-000086070000}"/>
    <cellStyle name="%_FLUJO CONSOLIDADO PALMAS FEB 10 5" xfId="1990" xr:uid="{00000000-0005-0000-0000-000087070000}"/>
    <cellStyle name="%_FLUJO CONSOLIDADO PALMAS FEB 10 5 10" xfId="1991" xr:uid="{00000000-0005-0000-0000-000088070000}"/>
    <cellStyle name="%_FLUJO CONSOLIDADO PALMAS FEB 10 5 11" xfId="1992" xr:uid="{00000000-0005-0000-0000-000089070000}"/>
    <cellStyle name="%_FLUJO CONSOLIDADO PALMAS FEB 10 5 12" xfId="1993" xr:uid="{00000000-0005-0000-0000-00008A070000}"/>
    <cellStyle name="%_FLUJO CONSOLIDADO PALMAS FEB 10 5 13" xfId="1994" xr:uid="{00000000-0005-0000-0000-00008B070000}"/>
    <cellStyle name="%_FLUJO CONSOLIDADO PALMAS FEB 10 5 2" xfId="1995" xr:uid="{00000000-0005-0000-0000-00008C070000}"/>
    <cellStyle name="%_FLUJO CONSOLIDADO PALMAS FEB 10 5 3" xfId="1996" xr:uid="{00000000-0005-0000-0000-00008D070000}"/>
    <cellStyle name="%_FLUJO CONSOLIDADO PALMAS FEB 10 5 4" xfId="1997" xr:uid="{00000000-0005-0000-0000-00008E070000}"/>
    <cellStyle name="%_FLUJO CONSOLIDADO PALMAS FEB 10 5 5" xfId="1998" xr:uid="{00000000-0005-0000-0000-00008F070000}"/>
    <cellStyle name="%_FLUJO CONSOLIDADO PALMAS FEB 10 5 6" xfId="1999" xr:uid="{00000000-0005-0000-0000-000090070000}"/>
    <cellStyle name="%_FLUJO CONSOLIDADO PALMAS FEB 10 5 7" xfId="2000" xr:uid="{00000000-0005-0000-0000-000091070000}"/>
    <cellStyle name="%_FLUJO CONSOLIDADO PALMAS FEB 10 5 8" xfId="2001" xr:uid="{00000000-0005-0000-0000-000092070000}"/>
    <cellStyle name="%_FLUJO CONSOLIDADO PALMAS FEB 10 5 9" xfId="2002" xr:uid="{00000000-0005-0000-0000-000093070000}"/>
    <cellStyle name="%_FLUJO CONSOLIDADO PALMAS FEB 10 6" xfId="2003" xr:uid="{00000000-0005-0000-0000-000094070000}"/>
    <cellStyle name="%_FLUJO CONSOLIDADO PALMAS FEB 10 6 10" xfId="2004" xr:uid="{00000000-0005-0000-0000-000095070000}"/>
    <cellStyle name="%_FLUJO CONSOLIDADO PALMAS FEB 10 6 11" xfId="2005" xr:uid="{00000000-0005-0000-0000-000096070000}"/>
    <cellStyle name="%_FLUJO CONSOLIDADO PALMAS FEB 10 6 12" xfId="2006" xr:uid="{00000000-0005-0000-0000-000097070000}"/>
    <cellStyle name="%_FLUJO CONSOLIDADO PALMAS FEB 10 6 13" xfId="2007" xr:uid="{00000000-0005-0000-0000-000098070000}"/>
    <cellStyle name="%_FLUJO CONSOLIDADO PALMAS FEB 10 6 2" xfId="2008" xr:uid="{00000000-0005-0000-0000-000099070000}"/>
    <cellStyle name="%_FLUJO CONSOLIDADO PALMAS FEB 10 6 3" xfId="2009" xr:uid="{00000000-0005-0000-0000-00009A070000}"/>
    <cellStyle name="%_FLUJO CONSOLIDADO PALMAS FEB 10 6 4" xfId="2010" xr:uid="{00000000-0005-0000-0000-00009B070000}"/>
    <cellStyle name="%_FLUJO CONSOLIDADO PALMAS FEB 10 6 5" xfId="2011" xr:uid="{00000000-0005-0000-0000-00009C070000}"/>
    <cellStyle name="%_FLUJO CONSOLIDADO PALMAS FEB 10 6 6" xfId="2012" xr:uid="{00000000-0005-0000-0000-00009D070000}"/>
    <cellStyle name="%_FLUJO CONSOLIDADO PALMAS FEB 10 6 7" xfId="2013" xr:uid="{00000000-0005-0000-0000-00009E070000}"/>
    <cellStyle name="%_FLUJO CONSOLIDADO PALMAS FEB 10 6 8" xfId="2014" xr:uid="{00000000-0005-0000-0000-00009F070000}"/>
    <cellStyle name="%_FLUJO CONSOLIDADO PALMAS FEB 10 6 9" xfId="2015" xr:uid="{00000000-0005-0000-0000-0000A0070000}"/>
    <cellStyle name="%_FLUJO CONSOLIDADO PALMAS FEB 10 7" xfId="2016" xr:uid="{00000000-0005-0000-0000-0000A1070000}"/>
    <cellStyle name="%_FLUJO CONSOLIDADO PALMAS FEB 10 7 10" xfId="2017" xr:uid="{00000000-0005-0000-0000-0000A2070000}"/>
    <cellStyle name="%_FLUJO CONSOLIDADO PALMAS FEB 10 7 11" xfId="2018" xr:uid="{00000000-0005-0000-0000-0000A3070000}"/>
    <cellStyle name="%_FLUJO CONSOLIDADO PALMAS FEB 10 7 12" xfId="2019" xr:uid="{00000000-0005-0000-0000-0000A4070000}"/>
    <cellStyle name="%_FLUJO CONSOLIDADO PALMAS FEB 10 7 13" xfId="2020" xr:uid="{00000000-0005-0000-0000-0000A5070000}"/>
    <cellStyle name="%_FLUJO CONSOLIDADO PALMAS FEB 10 7 2" xfId="2021" xr:uid="{00000000-0005-0000-0000-0000A6070000}"/>
    <cellStyle name="%_FLUJO CONSOLIDADO PALMAS FEB 10 7 3" xfId="2022" xr:uid="{00000000-0005-0000-0000-0000A7070000}"/>
    <cellStyle name="%_FLUJO CONSOLIDADO PALMAS FEB 10 7 4" xfId="2023" xr:uid="{00000000-0005-0000-0000-0000A8070000}"/>
    <cellStyle name="%_FLUJO CONSOLIDADO PALMAS FEB 10 7 5" xfId="2024" xr:uid="{00000000-0005-0000-0000-0000A9070000}"/>
    <cellStyle name="%_FLUJO CONSOLIDADO PALMAS FEB 10 7 6" xfId="2025" xr:uid="{00000000-0005-0000-0000-0000AA070000}"/>
    <cellStyle name="%_FLUJO CONSOLIDADO PALMAS FEB 10 7 7" xfId="2026" xr:uid="{00000000-0005-0000-0000-0000AB070000}"/>
    <cellStyle name="%_FLUJO CONSOLIDADO PALMAS FEB 10 7 8" xfId="2027" xr:uid="{00000000-0005-0000-0000-0000AC070000}"/>
    <cellStyle name="%_FLUJO CONSOLIDADO PALMAS FEB 10 7 9" xfId="2028" xr:uid="{00000000-0005-0000-0000-0000AD070000}"/>
    <cellStyle name="%_FLUJO CONSOLIDADO PALMAS FEB 10 8" xfId="2029" xr:uid="{00000000-0005-0000-0000-0000AE070000}"/>
    <cellStyle name="%_FLUJO CONSOLIDADO PALMAS FEB 10 8 10" xfId="2030" xr:uid="{00000000-0005-0000-0000-0000AF070000}"/>
    <cellStyle name="%_FLUJO CONSOLIDADO PALMAS FEB 10 8 11" xfId="2031" xr:uid="{00000000-0005-0000-0000-0000B0070000}"/>
    <cellStyle name="%_FLUJO CONSOLIDADO PALMAS FEB 10 8 12" xfId="2032" xr:uid="{00000000-0005-0000-0000-0000B1070000}"/>
    <cellStyle name="%_FLUJO CONSOLIDADO PALMAS FEB 10 8 13" xfId="2033" xr:uid="{00000000-0005-0000-0000-0000B2070000}"/>
    <cellStyle name="%_FLUJO CONSOLIDADO PALMAS FEB 10 8 2" xfId="2034" xr:uid="{00000000-0005-0000-0000-0000B3070000}"/>
    <cellStyle name="%_FLUJO CONSOLIDADO PALMAS FEB 10 8 3" xfId="2035" xr:uid="{00000000-0005-0000-0000-0000B4070000}"/>
    <cellStyle name="%_FLUJO CONSOLIDADO PALMAS FEB 10 8 4" xfId="2036" xr:uid="{00000000-0005-0000-0000-0000B5070000}"/>
    <cellStyle name="%_FLUJO CONSOLIDADO PALMAS FEB 10 8 5" xfId="2037" xr:uid="{00000000-0005-0000-0000-0000B6070000}"/>
    <cellStyle name="%_FLUJO CONSOLIDADO PALMAS FEB 10 8 6" xfId="2038" xr:uid="{00000000-0005-0000-0000-0000B7070000}"/>
    <cellStyle name="%_FLUJO CONSOLIDADO PALMAS FEB 10 8 7" xfId="2039" xr:uid="{00000000-0005-0000-0000-0000B8070000}"/>
    <cellStyle name="%_FLUJO CONSOLIDADO PALMAS FEB 10 8 8" xfId="2040" xr:uid="{00000000-0005-0000-0000-0000B9070000}"/>
    <cellStyle name="%_FLUJO CONSOLIDADO PALMAS FEB 10 8 9" xfId="2041" xr:uid="{00000000-0005-0000-0000-0000BA070000}"/>
    <cellStyle name="%_Flujo de Caja Consolidado Setiembre 23.09.2010 - Ok" xfId="2042" xr:uid="{00000000-0005-0000-0000-0000BB070000}"/>
    <cellStyle name="%_Formatos Finanzas" xfId="2043" xr:uid="{00000000-0005-0000-0000-0000BC070000}"/>
    <cellStyle name="%_GRUPO PALMAS- DEUDA A AGO 2009" xfId="2044" xr:uid="{00000000-0005-0000-0000-0000BD070000}"/>
    <cellStyle name="%_GRUPO PALMAS- DEUDA A DIC 2009" xfId="2045" xr:uid="{00000000-0005-0000-0000-0000BE070000}"/>
    <cellStyle name="%_GRUPO PALMAS- DEUDA A ENE 2010" xfId="2046" xr:uid="{00000000-0005-0000-0000-0000BF070000}"/>
    <cellStyle name="%_GRUPO PALMAS- DEUDA A FEB 2010" xfId="2047" xr:uid="{00000000-0005-0000-0000-0000C0070000}"/>
    <cellStyle name="%_GRUPO PALMAS- DEUDA A MAR 2010" xfId="2048" xr:uid="{00000000-0005-0000-0000-0000C1070000}"/>
    <cellStyle name="%_GRUPO PALMAS- DEUDA A NOV 2009" xfId="2049" xr:uid="{00000000-0005-0000-0000-0000C2070000}"/>
    <cellStyle name="%_GRUPO PALMAS- DEUDA A SEP 2009" xfId="2050" xr:uid="{00000000-0005-0000-0000-0000C3070000}"/>
    <cellStyle name="%_GRUPO PALMAS- DEUDA ENE 2011" xfId="2051" xr:uid="{00000000-0005-0000-0000-0000C4070000}"/>
    <cellStyle name="%_GRUPO PALMAS- DEUDA OCT 2010" xfId="2052" xr:uid="{00000000-0005-0000-0000-0000C5070000}"/>
    <cellStyle name="%_GRUPO PALMAS FC Y DEUDA A DIC 2010" xfId="2053" xr:uid="{00000000-0005-0000-0000-0000C6070000}"/>
    <cellStyle name="%_GRUPO PALMAS FC Y DEUDA NOV 2010" xfId="2054" xr:uid="{00000000-0005-0000-0000-0000C7070000}"/>
    <cellStyle name="%_Grupo RTrading completar Real febrero2009 " xfId="2055" xr:uid="{00000000-0005-0000-0000-0000C8070000}"/>
    <cellStyle name="%_Grupo RTrading completar Real febrero2009  2" xfId="2056" xr:uid="{00000000-0005-0000-0000-0000C9070000}"/>
    <cellStyle name="%_Grupo RTrading completar Real febrero2009  2 10" xfId="2057" xr:uid="{00000000-0005-0000-0000-0000CA070000}"/>
    <cellStyle name="%_Grupo RTrading completar Real febrero2009  2 11" xfId="2058" xr:uid="{00000000-0005-0000-0000-0000CB070000}"/>
    <cellStyle name="%_Grupo RTrading completar Real febrero2009  2 12" xfId="2059" xr:uid="{00000000-0005-0000-0000-0000CC070000}"/>
    <cellStyle name="%_Grupo RTrading completar Real febrero2009  2 13" xfId="2060" xr:uid="{00000000-0005-0000-0000-0000CD070000}"/>
    <cellStyle name="%_Grupo RTrading completar Real febrero2009  2 2" xfId="2061" xr:uid="{00000000-0005-0000-0000-0000CE070000}"/>
    <cellStyle name="%_Grupo RTrading completar Real febrero2009  2 3" xfId="2062" xr:uid="{00000000-0005-0000-0000-0000CF070000}"/>
    <cellStyle name="%_Grupo RTrading completar Real febrero2009  2 4" xfId="2063" xr:uid="{00000000-0005-0000-0000-0000D0070000}"/>
    <cellStyle name="%_Grupo RTrading completar Real febrero2009  2 5" xfId="2064" xr:uid="{00000000-0005-0000-0000-0000D1070000}"/>
    <cellStyle name="%_Grupo RTrading completar Real febrero2009  2 6" xfId="2065" xr:uid="{00000000-0005-0000-0000-0000D2070000}"/>
    <cellStyle name="%_Grupo RTrading completar Real febrero2009  2 7" xfId="2066" xr:uid="{00000000-0005-0000-0000-0000D3070000}"/>
    <cellStyle name="%_Grupo RTrading completar Real febrero2009  2 8" xfId="2067" xr:uid="{00000000-0005-0000-0000-0000D4070000}"/>
    <cellStyle name="%_Grupo RTrading completar Real febrero2009  2 9" xfId="2068" xr:uid="{00000000-0005-0000-0000-0000D5070000}"/>
    <cellStyle name="%_Grupo RTrading completar Real febrero2009  3" xfId="2069" xr:uid="{00000000-0005-0000-0000-0000D6070000}"/>
    <cellStyle name="%_Grupo RTrading completar Real febrero2009  3 10" xfId="2070" xr:uid="{00000000-0005-0000-0000-0000D7070000}"/>
    <cellStyle name="%_Grupo RTrading completar Real febrero2009  3 11" xfId="2071" xr:uid="{00000000-0005-0000-0000-0000D8070000}"/>
    <cellStyle name="%_Grupo RTrading completar Real febrero2009  3 12" xfId="2072" xr:uid="{00000000-0005-0000-0000-0000D9070000}"/>
    <cellStyle name="%_Grupo RTrading completar Real febrero2009  3 13" xfId="2073" xr:uid="{00000000-0005-0000-0000-0000DA070000}"/>
    <cellStyle name="%_Grupo RTrading completar Real febrero2009  3 2" xfId="2074" xr:uid="{00000000-0005-0000-0000-0000DB070000}"/>
    <cellStyle name="%_Grupo RTrading completar Real febrero2009  3 3" xfId="2075" xr:uid="{00000000-0005-0000-0000-0000DC070000}"/>
    <cellStyle name="%_Grupo RTrading completar Real febrero2009  3 4" xfId="2076" xr:uid="{00000000-0005-0000-0000-0000DD070000}"/>
    <cellStyle name="%_Grupo RTrading completar Real febrero2009  3 5" xfId="2077" xr:uid="{00000000-0005-0000-0000-0000DE070000}"/>
    <cellStyle name="%_Grupo RTrading completar Real febrero2009  3 6" xfId="2078" xr:uid="{00000000-0005-0000-0000-0000DF070000}"/>
    <cellStyle name="%_Grupo RTrading completar Real febrero2009  3 7" xfId="2079" xr:uid="{00000000-0005-0000-0000-0000E0070000}"/>
    <cellStyle name="%_Grupo RTrading completar Real febrero2009  3 8" xfId="2080" xr:uid="{00000000-0005-0000-0000-0000E1070000}"/>
    <cellStyle name="%_Grupo RTrading completar Real febrero2009  3 9" xfId="2081" xr:uid="{00000000-0005-0000-0000-0000E2070000}"/>
    <cellStyle name="%_Grupo RTrading completar Real febrero2009  4" xfId="2082" xr:uid="{00000000-0005-0000-0000-0000E3070000}"/>
    <cellStyle name="%_Grupo RTrading completar Real febrero2009  4 10" xfId="2083" xr:uid="{00000000-0005-0000-0000-0000E4070000}"/>
    <cellStyle name="%_Grupo RTrading completar Real febrero2009  4 11" xfId="2084" xr:uid="{00000000-0005-0000-0000-0000E5070000}"/>
    <cellStyle name="%_Grupo RTrading completar Real febrero2009  4 12" xfId="2085" xr:uid="{00000000-0005-0000-0000-0000E6070000}"/>
    <cellStyle name="%_Grupo RTrading completar Real febrero2009  4 13" xfId="2086" xr:uid="{00000000-0005-0000-0000-0000E7070000}"/>
    <cellStyle name="%_Grupo RTrading completar Real febrero2009  4 2" xfId="2087" xr:uid="{00000000-0005-0000-0000-0000E8070000}"/>
    <cellStyle name="%_Grupo RTrading completar Real febrero2009  4 3" xfId="2088" xr:uid="{00000000-0005-0000-0000-0000E9070000}"/>
    <cellStyle name="%_Grupo RTrading completar Real febrero2009  4 4" xfId="2089" xr:uid="{00000000-0005-0000-0000-0000EA070000}"/>
    <cellStyle name="%_Grupo RTrading completar Real febrero2009  4 5" xfId="2090" xr:uid="{00000000-0005-0000-0000-0000EB070000}"/>
    <cellStyle name="%_Grupo RTrading completar Real febrero2009  4 6" xfId="2091" xr:uid="{00000000-0005-0000-0000-0000EC070000}"/>
    <cellStyle name="%_Grupo RTrading completar Real febrero2009  4 7" xfId="2092" xr:uid="{00000000-0005-0000-0000-0000ED070000}"/>
    <cellStyle name="%_Grupo RTrading completar Real febrero2009  4 8" xfId="2093" xr:uid="{00000000-0005-0000-0000-0000EE070000}"/>
    <cellStyle name="%_Grupo RTrading completar Real febrero2009  4 9" xfId="2094" xr:uid="{00000000-0005-0000-0000-0000EF070000}"/>
    <cellStyle name="%_Grupo RTrading completar Real febrero2009  5" xfId="2095" xr:uid="{00000000-0005-0000-0000-0000F0070000}"/>
    <cellStyle name="%_Grupo RTrading completar Real febrero2009  5 10" xfId="2096" xr:uid="{00000000-0005-0000-0000-0000F1070000}"/>
    <cellStyle name="%_Grupo RTrading completar Real febrero2009  5 11" xfId="2097" xr:uid="{00000000-0005-0000-0000-0000F2070000}"/>
    <cellStyle name="%_Grupo RTrading completar Real febrero2009  5 12" xfId="2098" xr:uid="{00000000-0005-0000-0000-0000F3070000}"/>
    <cellStyle name="%_Grupo RTrading completar Real febrero2009  5 13" xfId="2099" xr:uid="{00000000-0005-0000-0000-0000F4070000}"/>
    <cellStyle name="%_Grupo RTrading completar Real febrero2009  5 2" xfId="2100" xr:uid="{00000000-0005-0000-0000-0000F5070000}"/>
    <cellStyle name="%_Grupo RTrading completar Real febrero2009  5 3" xfId="2101" xr:uid="{00000000-0005-0000-0000-0000F6070000}"/>
    <cellStyle name="%_Grupo RTrading completar Real febrero2009  5 4" xfId="2102" xr:uid="{00000000-0005-0000-0000-0000F7070000}"/>
    <cellStyle name="%_Grupo RTrading completar Real febrero2009  5 5" xfId="2103" xr:uid="{00000000-0005-0000-0000-0000F8070000}"/>
    <cellStyle name="%_Grupo RTrading completar Real febrero2009  5 6" xfId="2104" xr:uid="{00000000-0005-0000-0000-0000F9070000}"/>
    <cellStyle name="%_Grupo RTrading completar Real febrero2009  5 7" xfId="2105" xr:uid="{00000000-0005-0000-0000-0000FA070000}"/>
    <cellStyle name="%_Grupo RTrading completar Real febrero2009  5 8" xfId="2106" xr:uid="{00000000-0005-0000-0000-0000FB070000}"/>
    <cellStyle name="%_Grupo RTrading completar Real febrero2009  5 9" xfId="2107" xr:uid="{00000000-0005-0000-0000-0000FC070000}"/>
    <cellStyle name="%_Grupo RTrading completar Real febrero2009  6" xfId="2108" xr:uid="{00000000-0005-0000-0000-0000FD070000}"/>
    <cellStyle name="%_Grupo RTrading completar Real febrero2009  6 10" xfId="2109" xr:uid="{00000000-0005-0000-0000-0000FE070000}"/>
    <cellStyle name="%_Grupo RTrading completar Real febrero2009  6 11" xfId="2110" xr:uid="{00000000-0005-0000-0000-0000FF070000}"/>
    <cellStyle name="%_Grupo RTrading completar Real febrero2009  6 12" xfId="2111" xr:uid="{00000000-0005-0000-0000-000000080000}"/>
    <cellStyle name="%_Grupo RTrading completar Real febrero2009  6 13" xfId="2112" xr:uid="{00000000-0005-0000-0000-000001080000}"/>
    <cellStyle name="%_Grupo RTrading completar Real febrero2009  6 2" xfId="2113" xr:uid="{00000000-0005-0000-0000-000002080000}"/>
    <cellStyle name="%_Grupo RTrading completar Real febrero2009  6 3" xfId="2114" xr:uid="{00000000-0005-0000-0000-000003080000}"/>
    <cellStyle name="%_Grupo RTrading completar Real febrero2009  6 4" xfId="2115" xr:uid="{00000000-0005-0000-0000-000004080000}"/>
    <cellStyle name="%_Grupo RTrading completar Real febrero2009  6 5" xfId="2116" xr:uid="{00000000-0005-0000-0000-000005080000}"/>
    <cellStyle name="%_Grupo RTrading completar Real febrero2009  6 6" xfId="2117" xr:uid="{00000000-0005-0000-0000-000006080000}"/>
    <cellStyle name="%_Grupo RTrading completar Real febrero2009  6 7" xfId="2118" xr:uid="{00000000-0005-0000-0000-000007080000}"/>
    <cellStyle name="%_Grupo RTrading completar Real febrero2009  6 8" xfId="2119" xr:uid="{00000000-0005-0000-0000-000008080000}"/>
    <cellStyle name="%_Grupo RTrading completar Real febrero2009  6 9" xfId="2120" xr:uid="{00000000-0005-0000-0000-000009080000}"/>
    <cellStyle name="%_Grupo RTrading completar Real febrero2009  7" xfId="2121" xr:uid="{00000000-0005-0000-0000-00000A080000}"/>
    <cellStyle name="%_Grupo RTrading completar Real febrero2009  7 10" xfId="2122" xr:uid="{00000000-0005-0000-0000-00000B080000}"/>
    <cellStyle name="%_Grupo RTrading completar Real febrero2009  7 11" xfId="2123" xr:uid="{00000000-0005-0000-0000-00000C080000}"/>
    <cellStyle name="%_Grupo RTrading completar Real febrero2009  7 12" xfId="2124" xr:uid="{00000000-0005-0000-0000-00000D080000}"/>
    <cellStyle name="%_Grupo RTrading completar Real febrero2009  7 13" xfId="2125" xr:uid="{00000000-0005-0000-0000-00000E080000}"/>
    <cellStyle name="%_Grupo RTrading completar Real febrero2009  7 2" xfId="2126" xr:uid="{00000000-0005-0000-0000-00000F080000}"/>
    <cellStyle name="%_Grupo RTrading completar Real febrero2009  7 3" xfId="2127" xr:uid="{00000000-0005-0000-0000-000010080000}"/>
    <cellStyle name="%_Grupo RTrading completar Real febrero2009  7 4" xfId="2128" xr:uid="{00000000-0005-0000-0000-000011080000}"/>
    <cellStyle name="%_Grupo RTrading completar Real febrero2009  7 5" xfId="2129" xr:uid="{00000000-0005-0000-0000-000012080000}"/>
    <cellStyle name="%_Grupo RTrading completar Real febrero2009  7 6" xfId="2130" xr:uid="{00000000-0005-0000-0000-000013080000}"/>
    <cellStyle name="%_Grupo RTrading completar Real febrero2009  7 7" xfId="2131" xr:uid="{00000000-0005-0000-0000-000014080000}"/>
    <cellStyle name="%_Grupo RTrading completar Real febrero2009  7 8" xfId="2132" xr:uid="{00000000-0005-0000-0000-000015080000}"/>
    <cellStyle name="%_Grupo RTrading completar Real febrero2009  7 9" xfId="2133" xr:uid="{00000000-0005-0000-0000-000016080000}"/>
    <cellStyle name="%_Grupo RTrading completar Real febrero2009  8" xfId="2134" xr:uid="{00000000-0005-0000-0000-000017080000}"/>
    <cellStyle name="%_Grupo RTrading completar Real febrero2009  8 10" xfId="2135" xr:uid="{00000000-0005-0000-0000-000018080000}"/>
    <cellStyle name="%_Grupo RTrading completar Real febrero2009  8 11" xfId="2136" xr:uid="{00000000-0005-0000-0000-000019080000}"/>
    <cellStyle name="%_Grupo RTrading completar Real febrero2009  8 12" xfId="2137" xr:uid="{00000000-0005-0000-0000-00001A080000}"/>
    <cellStyle name="%_Grupo RTrading completar Real febrero2009  8 13" xfId="2138" xr:uid="{00000000-0005-0000-0000-00001B080000}"/>
    <cellStyle name="%_Grupo RTrading completar Real febrero2009  8 2" xfId="2139" xr:uid="{00000000-0005-0000-0000-00001C080000}"/>
    <cellStyle name="%_Grupo RTrading completar Real febrero2009  8 3" xfId="2140" xr:uid="{00000000-0005-0000-0000-00001D080000}"/>
    <cellStyle name="%_Grupo RTrading completar Real febrero2009  8 4" xfId="2141" xr:uid="{00000000-0005-0000-0000-00001E080000}"/>
    <cellStyle name="%_Grupo RTrading completar Real febrero2009  8 5" xfId="2142" xr:uid="{00000000-0005-0000-0000-00001F080000}"/>
    <cellStyle name="%_Grupo RTrading completar Real febrero2009  8 6" xfId="2143" xr:uid="{00000000-0005-0000-0000-000020080000}"/>
    <cellStyle name="%_Grupo RTrading completar Real febrero2009  8 7" xfId="2144" xr:uid="{00000000-0005-0000-0000-000021080000}"/>
    <cellStyle name="%_Grupo RTrading completar Real febrero2009  8 8" xfId="2145" xr:uid="{00000000-0005-0000-0000-000022080000}"/>
    <cellStyle name="%_Grupo RTrading completar Real febrero2009  8 9" xfId="2146" xr:uid="{00000000-0005-0000-0000-000023080000}"/>
    <cellStyle name="%_Grupo RTrading completar Real febrero2009 _FLUJO CONSOLIDADO CAÑA BRAVA OCT 2010" xfId="2147" xr:uid="{00000000-0005-0000-0000-000024080000}"/>
    <cellStyle name="%_Grupo RTrading completar Real febrero2009 _Flujo de Caja Consolidado Setiembre 23.09.2010 - Ok" xfId="2148" xr:uid="{00000000-0005-0000-0000-000025080000}"/>
    <cellStyle name="%_Grupo RTrading completar Real febrero2009 _Libro2" xfId="2149" xr:uid="{00000000-0005-0000-0000-000026080000}"/>
    <cellStyle name="%_Grupo RTrading completar Real febrero2009 _PB. 2011 - Versión Final 30 Dic al Comité de Grencia" xfId="2150" xr:uid="{00000000-0005-0000-0000-000027080000}"/>
    <cellStyle name="%_HOJA TRABAJO" xfId="2151" xr:uid="{00000000-0005-0000-0000-000028080000}"/>
    <cellStyle name="%_HOJA TRABAJO 2" xfId="2152" xr:uid="{00000000-0005-0000-0000-000029080000}"/>
    <cellStyle name="%_HOJA TRABAJO 2 10" xfId="2153" xr:uid="{00000000-0005-0000-0000-00002A080000}"/>
    <cellStyle name="%_HOJA TRABAJO 2 11" xfId="2154" xr:uid="{00000000-0005-0000-0000-00002B080000}"/>
    <cellStyle name="%_HOJA TRABAJO 2 12" xfId="2155" xr:uid="{00000000-0005-0000-0000-00002C080000}"/>
    <cellStyle name="%_HOJA TRABAJO 2 13" xfId="2156" xr:uid="{00000000-0005-0000-0000-00002D080000}"/>
    <cellStyle name="%_HOJA TRABAJO 2 2" xfId="2157" xr:uid="{00000000-0005-0000-0000-00002E080000}"/>
    <cellStyle name="%_HOJA TRABAJO 2 3" xfId="2158" xr:uid="{00000000-0005-0000-0000-00002F080000}"/>
    <cellStyle name="%_HOJA TRABAJO 2 4" xfId="2159" xr:uid="{00000000-0005-0000-0000-000030080000}"/>
    <cellStyle name="%_HOJA TRABAJO 2 5" xfId="2160" xr:uid="{00000000-0005-0000-0000-000031080000}"/>
    <cellStyle name="%_HOJA TRABAJO 2 6" xfId="2161" xr:uid="{00000000-0005-0000-0000-000032080000}"/>
    <cellStyle name="%_HOJA TRABAJO 2 7" xfId="2162" xr:uid="{00000000-0005-0000-0000-000033080000}"/>
    <cellStyle name="%_HOJA TRABAJO 2 8" xfId="2163" xr:uid="{00000000-0005-0000-0000-000034080000}"/>
    <cellStyle name="%_HOJA TRABAJO 2 9" xfId="2164" xr:uid="{00000000-0005-0000-0000-000035080000}"/>
    <cellStyle name="%_HOJA TRABAJO 3" xfId="2165" xr:uid="{00000000-0005-0000-0000-000036080000}"/>
    <cellStyle name="%_HOJA TRABAJO 3 10" xfId="2166" xr:uid="{00000000-0005-0000-0000-000037080000}"/>
    <cellStyle name="%_HOJA TRABAJO 3 11" xfId="2167" xr:uid="{00000000-0005-0000-0000-000038080000}"/>
    <cellStyle name="%_HOJA TRABAJO 3 12" xfId="2168" xr:uid="{00000000-0005-0000-0000-000039080000}"/>
    <cellStyle name="%_HOJA TRABAJO 3 13" xfId="2169" xr:uid="{00000000-0005-0000-0000-00003A080000}"/>
    <cellStyle name="%_HOJA TRABAJO 3 2" xfId="2170" xr:uid="{00000000-0005-0000-0000-00003B080000}"/>
    <cellStyle name="%_HOJA TRABAJO 3 3" xfId="2171" xr:uid="{00000000-0005-0000-0000-00003C080000}"/>
    <cellStyle name="%_HOJA TRABAJO 3 4" xfId="2172" xr:uid="{00000000-0005-0000-0000-00003D080000}"/>
    <cellStyle name="%_HOJA TRABAJO 3 5" xfId="2173" xr:uid="{00000000-0005-0000-0000-00003E080000}"/>
    <cellStyle name="%_HOJA TRABAJO 3 6" xfId="2174" xr:uid="{00000000-0005-0000-0000-00003F080000}"/>
    <cellStyle name="%_HOJA TRABAJO 3 7" xfId="2175" xr:uid="{00000000-0005-0000-0000-000040080000}"/>
    <cellStyle name="%_HOJA TRABAJO 3 8" xfId="2176" xr:uid="{00000000-0005-0000-0000-000041080000}"/>
    <cellStyle name="%_HOJA TRABAJO 3 9" xfId="2177" xr:uid="{00000000-0005-0000-0000-000042080000}"/>
    <cellStyle name="%_HOJA TRABAJO 4" xfId="2178" xr:uid="{00000000-0005-0000-0000-000043080000}"/>
    <cellStyle name="%_HOJA TRABAJO 4 10" xfId="2179" xr:uid="{00000000-0005-0000-0000-000044080000}"/>
    <cellStyle name="%_HOJA TRABAJO 4 11" xfId="2180" xr:uid="{00000000-0005-0000-0000-000045080000}"/>
    <cellStyle name="%_HOJA TRABAJO 4 12" xfId="2181" xr:uid="{00000000-0005-0000-0000-000046080000}"/>
    <cellStyle name="%_HOJA TRABAJO 4 13" xfId="2182" xr:uid="{00000000-0005-0000-0000-000047080000}"/>
    <cellStyle name="%_HOJA TRABAJO 4 2" xfId="2183" xr:uid="{00000000-0005-0000-0000-000048080000}"/>
    <cellStyle name="%_HOJA TRABAJO 4 3" xfId="2184" xr:uid="{00000000-0005-0000-0000-000049080000}"/>
    <cellStyle name="%_HOJA TRABAJO 4 4" xfId="2185" xr:uid="{00000000-0005-0000-0000-00004A080000}"/>
    <cellStyle name="%_HOJA TRABAJO 4 5" xfId="2186" xr:uid="{00000000-0005-0000-0000-00004B080000}"/>
    <cellStyle name="%_HOJA TRABAJO 4 6" xfId="2187" xr:uid="{00000000-0005-0000-0000-00004C080000}"/>
    <cellStyle name="%_HOJA TRABAJO 4 7" xfId="2188" xr:uid="{00000000-0005-0000-0000-00004D080000}"/>
    <cellStyle name="%_HOJA TRABAJO 4 8" xfId="2189" xr:uid="{00000000-0005-0000-0000-00004E080000}"/>
    <cellStyle name="%_HOJA TRABAJO 4 9" xfId="2190" xr:uid="{00000000-0005-0000-0000-00004F080000}"/>
    <cellStyle name="%_HOJA TRABAJO 5" xfId="2191" xr:uid="{00000000-0005-0000-0000-000050080000}"/>
    <cellStyle name="%_HOJA TRABAJO 5 10" xfId="2192" xr:uid="{00000000-0005-0000-0000-000051080000}"/>
    <cellStyle name="%_HOJA TRABAJO 5 11" xfId="2193" xr:uid="{00000000-0005-0000-0000-000052080000}"/>
    <cellStyle name="%_HOJA TRABAJO 5 12" xfId="2194" xr:uid="{00000000-0005-0000-0000-000053080000}"/>
    <cellStyle name="%_HOJA TRABAJO 5 13" xfId="2195" xr:uid="{00000000-0005-0000-0000-000054080000}"/>
    <cellStyle name="%_HOJA TRABAJO 5 2" xfId="2196" xr:uid="{00000000-0005-0000-0000-000055080000}"/>
    <cellStyle name="%_HOJA TRABAJO 5 3" xfId="2197" xr:uid="{00000000-0005-0000-0000-000056080000}"/>
    <cellStyle name="%_HOJA TRABAJO 5 4" xfId="2198" xr:uid="{00000000-0005-0000-0000-000057080000}"/>
    <cellStyle name="%_HOJA TRABAJO 5 5" xfId="2199" xr:uid="{00000000-0005-0000-0000-000058080000}"/>
    <cellStyle name="%_HOJA TRABAJO 5 6" xfId="2200" xr:uid="{00000000-0005-0000-0000-000059080000}"/>
    <cellStyle name="%_HOJA TRABAJO 5 7" xfId="2201" xr:uid="{00000000-0005-0000-0000-00005A080000}"/>
    <cellStyle name="%_HOJA TRABAJO 5 8" xfId="2202" xr:uid="{00000000-0005-0000-0000-00005B080000}"/>
    <cellStyle name="%_HOJA TRABAJO 5 9" xfId="2203" xr:uid="{00000000-0005-0000-0000-00005C080000}"/>
    <cellStyle name="%_HOJA TRABAJO 6" xfId="2204" xr:uid="{00000000-0005-0000-0000-00005D080000}"/>
    <cellStyle name="%_HOJA TRABAJO 6 10" xfId="2205" xr:uid="{00000000-0005-0000-0000-00005E080000}"/>
    <cellStyle name="%_HOJA TRABAJO 6 11" xfId="2206" xr:uid="{00000000-0005-0000-0000-00005F080000}"/>
    <cellStyle name="%_HOJA TRABAJO 6 12" xfId="2207" xr:uid="{00000000-0005-0000-0000-000060080000}"/>
    <cellStyle name="%_HOJA TRABAJO 6 13" xfId="2208" xr:uid="{00000000-0005-0000-0000-000061080000}"/>
    <cellStyle name="%_HOJA TRABAJO 6 2" xfId="2209" xr:uid="{00000000-0005-0000-0000-000062080000}"/>
    <cellStyle name="%_HOJA TRABAJO 6 3" xfId="2210" xr:uid="{00000000-0005-0000-0000-000063080000}"/>
    <cellStyle name="%_HOJA TRABAJO 6 4" xfId="2211" xr:uid="{00000000-0005-0000-0000-000064080000}"/>
    <cellStyle name="%_HOJA TRABAJO 6 5" xfId="2212" xr:uid="{00000000-0005-0000-0000-000065080000}"/>
    <cellStyle name="%_HOJA TRABAJO 6 6" xfId="2213" xr:uid="{00000000-0005-0000-0000-000066080000}"/>
    <cellStyle name="%_HOJA TRABAJO 6 7" xfId="2214" xr:uid="{00000000-0005-0000-0000-000067080000}"/>
    <cellStyle name="%_HOJA TRABAJO 6 8" xfId="2215" xr:uid="{00000000-0005-0000-0000-000068080000}"/>
    <cellStyle name="%_HOJA TRABAJO 6 9" xfId="2216" xr:uid="{00000000-0005-0000-0000-000069080000}"/>
    <cellStyle name="%_HOJA TRABAJO 7" xfId="2217" xr:uid="{00000000-0005-0000-0000-00006A080000}"/>
    <cellStyle name="%_HOJA TRABAJO 7 10" xfId="2218" xr:uid="{00000000-0005-0000-0000-00006B080000}"/>
    <cellStyle name="%_HOJA TRABAJO 7 11" xfId="2219" xr:uid="{00000000-0005-0000-0000-00006C080000}"/>
    <cellStyle name="%_HOJA TRABAJO 7 12" xfId="2220" xr:uid="{00000000-0005-0000-0000-00006D080000}"/>
    <cellStyle name="%_HOJA TRABAJO 7 13" xfId="2221" xr:uid="{00000000-0005-0000-0000-00006E080000}"/>
    <cellStyle name="%_HOJA TRABAJO 7 2" xfId="2222" xr:uid="{00000000-0005-0000-0000-00006F080000}"/>
    <cellStyle name="%_HOJA TRABAJO 7 3" xfId="2223" xr:uid="{00000000-0005-0000-0000-000070080000}"/>
    <cellStyle name="%_HOJA TRABAJO 7 4" xfId="2224" xr:uid="{00000000-0005-0000-0000-000071080000}"/>
    <cellStyle name="%_HOJA TRABAJO 7 5" xfId="2225" xr:uid="{00000000-0005-0000-0000-000072080000}"/>
    <cellStyle name="%_HOJA TRABAJO 7 6" xfId="2226" xr:uid="{00000000-0005-0000-0000-000073080000}"/>
    <cellStyle name="%_HOJA TRABAJO 7 7" xfId="2227" xr:uid="{00000000-0005-0000-0000-000074080000}"/>
    <cellStyle name="%_HOJA TRABAJO 7 8" xfId="2228" xr:uid="{00000000-0005-0000-0000-000075080000}"/>
    <cellStyle name="%_HOJA TRABAJO 7 9" xfId="2229" xr:uid="{00000000-0005-0000-0000-000076080000}"/>
    <cellStyle name="%_HOJA TRABAJO 8" xfId="2230" xr:uid="{00000000-0005-0000-0000-000077080000}"/>
    <cellStyle name="%_HOJA TRABAJO 8 10" xfId="2231" xr:uid="{00000000-0005-0000-0000-000078080000}"/>
    <cellStyle name="%_HOJA TRABAJO 8 11" xfId="2232" xr:uid="{00000000-0005-0000-0000-000079080000}"/>
    <cellStyle name="%_HOJA TRABAJO 8 12" xfId="2233" xr:uid="{00000000-0005-0000-0000-00007A080000}"/>
    <cellStyle name="%_HOJA TRABAJO 8 13" xfId="2234" xr:uid="{00000000-0005-0000-0000-00007B080000}"/>
    <cellStyle name="%_HOJA TRABAJO 8 2" xfId="2235" xr:uid="{00000000-0005-0000-0000-00007C080000}"/>
    <cellStyle name="%_HOJA TRABAJO 8 3" xfId="2236" xr:uid="{00000000-0005-0000-0000-00007D080000}"/>
    <cellStyle name="%_HOJA TRABAJO 8 4" xfId="2237" xr:uid="{00000000-0005-0000-0000-00007E080000}"/>
    <cellStyle name="%_HOJA TRABAJO 8 5" xfId="2238" xr:uid="{00000000-0005-0000-0000-00007F080000}"/>
    <cellStyle name="%_HOJA TRABAJO 8 6" xfId="2239" xr:uid="{00000000-0005-0000-0000-000080080000}"/>
    <cellStyle name="%_HOJA TRABAJO 8 7" xfId="2240" xr:uid="{00000000-0005-0000-0000-000081080000}"/>
    <cellStyle name="%_HOJA TRABAJO 8 8" xfId="2241" xr:uid="{00000000-0005-0000-0000-000082080000}"/>
    <cellStyle name="%_HOJA TRABAJO 8 9" xfId="2242" xr:uid="{00000000-0005-0000-0000-000083080000}"/>
    <cellStyle name="%_HOJA TRABAJO FC REAL FEB 09" xfId="2243" xr:uid="{00000000-0005-0000-0000-000084080000}"/>
    <cellStyle name="%_HOJA TRABAJO FC REAL FEB 09 2" xfId="2244" xr:uid="{00000000-0005-0000-0000-000085080000}"/>
    <cellStyle name="%_HOJA TRABAJO_FLUJO CONSOLIDADO CAÑA BRAVA OCT 2010" xfId="2245" xr:uid="{00000000-0005-0000-0000-000086080000}"/>
    <cellStyle name="%_HOJA TRABAJO_Flujo de Caja Consolidado Setiembre 23.09.2010 - Ok" xfId="2246" xr:uid="{00000000-0005-0000-0000-000087080000}"/>
    <cellStyle name="%_HOJA TRABAJO_Libro2" xfId="2247" xr:uid="{00000000-0005-0000-0000-000088080000}"/>
    <cellStyle name="%_HOJA TRABAJO_PB. 2011 - Versión Final 30 Dic al Comité de Grencia" xfId="2248" xr:uid="{00000000-0005-0000-0000-000089080000}"/>
    <cellStyle name="%_Hoja2" xfId="2249" xr:uid="{00000000-0005-0000-0000-00008A080000}"/>
    <cellStyle name="%_Hoja2 2" xfId="2250" xr:uid="{00000000-0005-0000-0000-00008B080000}"/>
    <cellStyle name="%_Hoja2 3" xfId="2251" xr:uid="{00000000-0005-0000-0000-00008C080000}"/>
    <cellStyle name="%_Hoja2 4" xfId="2252" xr:uid="{00000000-0005-0000-0000-00008D080000}"/>
    <cellStyle name="%_HT FC SAMTRONICS - ABR 09" xfId="2253" xr:uid="{00000000-0005-0000-0000-00008E080000}"/>
    <cellStyle name="%_HT FC SAMTRONICS - ABR 09 2" xfId="2254" xr:uid="{00000000-0005-0000-0000-00008F080000}"/>
    <cellStyle name="%_HT FC SAMTRONICS - MAR 09" xfId="2255" xr:uid="{00000000-0005-0000-0000-000090080000}"/>
    <cellStyle name="%_HT FC SAMTRONICS - MAR 09 2" xfId="2256" xr:uid="{00000000-0005-0000-0000-000091080000}"/>
    <cellStyle name="%_HT FC SAMTRONICS AGO 09" xfId="2257" xr:uid="{00000000-0005-0000-0000-000092080000}"/>
    <cellStyle name="%_HT FC SAMTRONICS AGO 09 2" xfId="2258" xr:uid="{00000000-0005-0000-0000-000093080000}"/>
    <cellStyle name="%_HT FC SAMTRONICS JUL 09" xfId="2259" xr:uid="{00000000-0005-0000-0000-000094080000}"/>
    <cellStyle name="%_HT FC SAMTRONICS JUL 09 2" xfId="2260" xr:uid="{00000000-0005-0000-0000-000095080000}"/>
    <cellStyle name="%_HT FC SAMTRONICS JUN 09" xfId="2261" xr:uid="{00000000-0005-0000-0000-000096080000}"/>
    <cellStyle name="%_HT FC SAMTRONICS JUN 09 2" xfId="2262" xr:uid="{00000000-0005-0000-0000-000097080000}"/>
    <cellStyle name="%_HT FC SAMTRONICS MAY 09" xfId="2263" xr:uid="{00000000-0005-0000-0000-000098080000}"/>
    <cellStyle name="%_HT FC SAMTRONICS MAY 09 2" xfId="2264" xr:uid="{00000000-0005-0000-0000-000099080000}"/>
    <cellStyle name="%_Libro1" xfId="2265" xr:uid="{00000000-0005-0000-0000-00009A080000}"/>
    <cellStyle name="%_Libro2" xfId="2266" xr:uid="{00000000-0005-0000-0000-00009B080000}"/>
    <cellStyle name="%_Libro5 (2)" xfId="2267" xr:uid="{00000000-0005-0000-0000-00009C080000}"/>
    <cellStyle name="%_Limtek Abril 2010" xfId="2268" xr:uid="{00000000-0005-0000-0000-00009D080000}"/>
    <cellStyle name="%_Limtek Diciembre  2010" xfId="2269" xr:uid="{00000000-0005-0000-0000-00009E080000}"/>
    <cellStyle name="%_Limtek Enero  2011" xfId="2270" xr:uid="{00000000-0005-0000-0000-00009F080000}"/>
    <cellStyle name="%_Limtek Julio 2010" xfId="2271" xr:uid="{00000000-0005-0000-0000-0000A0080000}"/>
    <cellStyle name="%_Limtek Junio 2010" xfId="2272" xr:uid="{00000000-0005-0000-0000-0000A1080000}"/>
    <cellStyle name="%_Limtek Mayo 2010" xfId="2273" xr:uid="{00000000-0005-0000-0000-0000A2080000}"/>
    <cellStyle name="%_Limtek Noviembre  2010" xfId="2274" xr:uid="{00000000-0005-0000-0000-0000A3080000}"/>
    <cellStyle name="%_Limtek Octubre  2010" xfId="2275" xr:uid="{00000000-0005-0000-0000-0000A4080000}"/>
    <cellStyle name="%_Limtek Septiembre 2010" xfId="2276" xr:uid="{00000000-0005-0000-0000-0000A5080000}"/>
    <cellStyle name="%_Marzo 2010" xfId="2277" xr:uid="{00000000-0005-0000-0000-0000A6080000}"/>
    <cellStyle name="%_Marzo 2010 2" xfId="2278" xr:uid="{00000000-0005-0000-0000-0000A7080000}"/>
    <cellStyle name="%_Marzo 2010 2 2" xfId="2279" xr:uid="{00000000-0005-0000-0000-0000A8080000}"/>
    <cellStyle name="%_Marzo 2010 3" xfId="2280" xr:uid="{00000000-0005-0000-0000-0000A9080000}"/>
    <cellStyle name="%_Metrics Febbraio11" xfId="2281" xr:uid="{00000000-0005-0000-0000-0000AA080000}"/>
    <cellStyle name="%_Metrics Febbraio11_Bdg 2003 - Debts" xfId="2282" xr:uid="{00000000-0005-0000-0000-0000AB080000}"/>
    <cellStyle name="%_Metrics Febbraio11_Data Book Plan Mobile (antiga)" xfId="2283" xr:uid="{00000000-0005-0000-0000-0000AC080000}"/>
    <cellStyle name="%_Metrics Febbraio11_Data Book Plan Mobile (antiga)_1" xfId="2284" xr:uid="{00000000-0005-0000-0000-0000AD080000}"/>
    <cellStyle name="%_Metrics Febbraio11_Data Book Plan Mobile (antiga)_Pasta1" xfId="2285" xr:uid="{00000000-0005-0000-0000-0000AE080000}"/>
    <cellStyle name="%_Metrics Febbraio11_Data Book Plan Mobile Maxitel EURO" xfId="2286" xr:uid="{00000000-0005-0000-0000-0000AF080000}"/>
    <cellStyle name="%_Metrics Febbraio11_Pasta1" xfId="2287" xr:uid="{00000000-0005-0000-0000-0000B0080000}"/>
    <cellStyle name="%_Metrics Febbraio11_TIM Maxitel_Plan03_05_Investments_Nov2002_14Nov_Euros" xfId="2288" xr:uid="{00000000-0005-0000-0000-0000B1080000}"/>
    <cellStyle name="%_Modelo" xfId="2289" xr:uid="{00000000-0005-0000-0000-0000B2080000}"/>
    <cellStyle name="%_Modelo 2" xfId="2290" xr:uid="{00000000-0005-0000-0000-0000B3080000}"/>
    <cellStyle name="%_Modelo 2 2" xfId="2291" xr:uid="{00000000-0005-0000-0000-0000B4080000}"/>
    <cellStyle name="%_Modelo 3" xfId="2292" xr:uid="{00000000-0005-0000-0000-0000B5080000}"/>
    <cellStyle name="%_Modelo Bonos Grupo Palmas 22 01 2007" xfId="2293" xr:uid="{00000000-0005-0000-0000-0000B6080000}"/>
    <cellStyle name="%_Modelo Bonos Grupo Palmas 22 01 2007 2" xfId="2294" xr:uid="{00000000-0005-0000-0000-0000B7080000}"/>
    <cellStyle name="%_Modelo Bonos Grupo Palmas 22 01 2007 3" xfId="2295" xr:uid="{00000000-0005-0000-0000-0000B8080000}"/>
    <cellStyle name="%_Modelo Bonos Grupo Palmas 22 01 2007 4" xfId="2296" xr:uid="{00000000-0005-0000-0000-0000B9080000}"/>
    <cellStyle name="%_Modelo Bonos Grupo Palmas 22 01 2007_Cuadros paraPresentación de Sindicado de Palmas del Espino (V 05 12 08)}" xfId="2297" xr:uid="{00000000-0005-0000-0000-0000BA080000}"/>
    <cellStyle name="%_Modelo Bonos Grupo Palmas 22 01 2007_FLUJO CONSOLIDADO PALMAS FEB 10" xfId="2298" xr:uid="{00000000-0005-0000-0000-0000BB080000}"/>
    <cellStyle name="%_Modelo Bonos Grupo Palmas 22 01 2007_presupuesto 2011 PE+IE 2" xfId="2299" xr:uid="{00000000-0005-0000-0000-0000BC080000}"/>
    <cellStyle name="%_Modelo Bonos Grupo Palmas 22 01 2007_presupuesto 2011 PE+IE 2 2" xfId="2300" xr:uid="{00000000-0005-0000-0000-0000BD080000}"/>
    <cellStyle name="%_Modelo Bonos Grupo Palmas 22 01 2007_presupuesto 2011 PE+IE 2 2 10" xfId="2301" xr:uid="{00000000-0005-0000-0000-0000BE080000}"/>
    <cellStyle name="%_Modelo Bonos Grupo Palmas 22 01 2007_presupuesto 2011 PE+IE 2 2 11" xfId="2302" xr:uid="{00000000-0005-0000-0000-0000BF080000}"/>
    <cellStyle name="%_Modelo Bonos Grupo Palmas 22 01 2007_presupuesto 2011 PE+IE 2 2 12" xfId="2303" xr:uid="{00000000-0005-0000-0000-0000C0080000}"/>
    <cellStyle name="%_Modelo Bonos Grupo Palmas 22 01 2007_presupuesto 2011 PE+IE 2 2 13" xfId="2304" xr:uid="{00000000-0005-0000-0000-0000C1080000}"/>
    <cellStyle name="%_Modelo Bonos Grupo Palmas 22 01 2007_presupuesto 2011 PE+IE 2 2 2" xfId="2305" xr:uid="{00000000-0005-0000-0000-0000C2080000}"/>
    <cellStyle name="%_Modelo Bonos Grupo Palmas 22 01 2007_presupuesto 2011 PE+IE 2 2 3" xfId="2306" xr:uid="{00000000-0005-0000-0000-0000C3080000}"/>
    <cellStyle name="%_Modelo Bonos Grupo Palmas 22 01 2007_presupuesto 2011 PE+IE 2 2 4" xfId="2307" xr:uid="{00000000-0005-0000-0000-0000C4080000}"/>
    <cellStyle name="%_Modelo Bonos Grupo Palmas 22 01 2007_presupuesto 2011 PE+IE 2 2 5" xfId="2308" xr:uid="{00000000-0005-0000-0000-0000C5080000}"/>
    <cellStyle name="%_Modelo Bonos Grupo Palmas 22 01 2007_presupuesto 2011 PE+IE 2 2 6" xfId="2309" xr:uid="{00000000-0005-0000-0000-0000C6080000}"/>
    <cellStyle name="%_Modelo Bonos Grupo Palmas 22 01 2007_presupuesto 2011 PE+IE 2 2 7" xfId="2310" xr:uid="{00000000-0005-0000-0000-0000C7080000}"/>
    <cellStyle name="%_Modelo Bonos Grupo Palmas 22 01 2007_presupuesto 2011 PE+IE 2 2 8" xfId="2311" xr:uid="{00000000-0005-0000-0000-0000C8080000}"/>
    <cellStyle name="%_Modelo Bonos Grupo Palmas 22 01 2007_presupuesto 2011 PE+IE 2 2 9" xfId="2312" xr:uid="{00000000-0005-0000-0000-0000C9080000}"/>
    <cellStyle name="%_Modelo Bonos Grupo Palmas 22 01 2007_presupuesto 2011 PE+IE 2 3" xfId="2313" xr:uid="{00000000-0005-0000-0000-0000CA080000}"/>
    <cellStyle name="%_Modelo Bonos Grupo Palmas 22 01 2007_presupuesto 2011 PE+IE 2 3 10" xfId="2314" xr:uid="{00000000-0005-0000-0000-0000CB080000}"/>
    <cellStyle name="%_Modelo Bonos Grupo Palmas 22 01 2007_presupuesto 2011 PE+IE 2 3 11" xfId="2315" xr:uid="{00000000-0005-0000-0000-0000CC080000}"/>
    <cellStyle name="%_Modelo Bonos Grupo Palmas 22 01 2007_presupuesto 2011 PE+IE 2 3 12" xfId="2316" xr:uid="{00000000-0005-0000-0000-0000CD080000}"/>
    <cellStyle name="%_Modelo Bonos Grupo Palmas 22 01 2007_presupuesto 2011 PE+IE 2 3 13" xfId="2317" xr:uid="{00000000-0005-0000-0000-0000CE080000}"/>
    <cellStyle name="%_Modelo Bonos Grupo Palmas 22 01 2007_presupuesto 2011 PE+IE 2 3 2" xfId="2318" xr:uid="{00000000-0005-0000-0000-0000CF080000}"/>
    <cellStyle name="%_Modelo Bonos Grupo Palmas 22 01 2007_presupuesto 2011 PE+IE 2 3 3" xfId="2319" xr:uid="{00000000-0005-0000-0000-0000D0080000}"/>
    <cellStyle name="%_Modelo Bonos Grupo Palmas 22 01 2007_presupuesto 2011 PE+IE 2 3 4" xfId="2320" xr:uid="{00000000-0005-0000-0000-0000D1080000}"/>
    <cellStyle name="%_Modelo Bonos Grupo Palmas 22 01 2007_presupuesto 2011 PE+IE 2 3 5" xfId="2321" xr:uid="{00000000-0005-0000-0000-0000D2080000}"/>
    <cellStyle name="%_Modelo Bonos Grupo Palmas 22 01 2007_presupuesto 2011 PE+IE 2 3 6" xfId="2322" xr:uid="{00000000-0005-0000-0000-0000D3080000}"/>
    <cellStyle name="%_Modelo Bonos Grupo Palmas 22 01 2007_presupuesto 2011 PE+IE 2 3 7" xfId="2323" xr:uid="{00000000-0005-0000-0000-0000D4080000}"/>
    <cellStyle name="%_Modelo Bonos Grupo Palmas 22 01 2007_presupuesto 2011 PE+IE 2 3 8" xfId="2324" xr:uid="{00000000-0005-0000-0000-0000D5080000}"/>
    <cellStyle name="%_Modelo Bonos Grupo Palmas 22 01 2007_presupuesto 2011 PE+IE 2 3 9" xfId="2325" xr:uid="{00000000-0005-0000-0000-0000D6080000}"/>
    <cellStyle name="%_Modelo Bonos Grupo Palmas 22 01 2007_presupuesto 2011 PE+IE 2 4" xfId="2326" xr:uid="{00000000-0005-0000-0000-0000D7080000}"/>
    <cellStyle name="%_Modelo Bonos Grupo Palmas 22 01 2007_presupuesto 2011 PE+IE 2 4 10" xfId="2327" xr:uid="{00000000-0005-0000-0000-0000D8080000}"/>
    <cellStyle name="%_Modelo Bonos Grupo Palmas 22 01 2007_presupuesto 2011 PE+IE 2 4 11" xfId="2328" xr:uid="{00000000-0005-0000-0000-0000D9080000}"/>
    <cellStyle name="%_Modelo Bonos Grupo Palmas 22 01 2007_presupuesto 2011 PE+IE 2 4 12" xfId="2329" xr:uid="{00000000-0005-0000-0000-0000DA080000}"/>
    <cellStyle name="%_Modelo Bonos Grupo Palmas 22 01 2007_presupuesto 2011 PE+IE 2 4 13" xfId="2330" xr:uid="{00000000-0005-0000-0000-0000DB080000}"/>
    <cellStyle name="%_Modelo Bonos Grupo Palmas 22 01 2007_presupuesto 2011 PE+IE 2 4 2" xfId="2331" xr:uid="{00000000-0005-0000-0000-0000DC080000}"/>
    <cellStyle name="%_Modelo Bonos Grupo Palmas 22 01 2007_presupuesto 2011 PE+IE 2 4 3" xfId="2332" xr:uid="{00000000-0005-0000-0000-0000DD080000}"/>
    <cellStyle name="%_Modelo Bonos Grupo Palmas 22 01 2007_presupuesto 2011 PE+IE 2 4 4" xfId="2333" xr:uid="{00000000-0005-0000-0000-0000DE080000}"/>
    <cellStyle name="%_Modelo Bonos Grupo Palmas 22 01 2007_presupuesto 2011 PE+IE 2 4 5" xfId="2334" xr:uid="{00000000-0005-0000-0000-0000DF080000}"/>
    <cellStyle name="%_Modelo Bonos Grupo Palmas 22 01 2007_presupuesto 2011 PE+IE 2 4 6" xfId="2335" xr:uid="{00000000-0005-0000-0000-0000E0080000}"/>
    <cellStyle name="%_Modelo Bonos Grupo Palmas 22 01 2007_presupuesto 2011 PE+IE 2 4 7" xfId="2336" xr:uid="{00000000-0005-0000-0000-0000E1080000}"/>
    <cellStyle name="%_Modelo Bonos Grupo Palmas 22 01 2007_presupuesto 2011 PE+IE 2 4 8" xfId="2337" xr:uid="{00000000-0005-0000-0000-0000E2080000}"/>
    <cellStyle name="%_Modelo Bonos Grupo Palmas 22 01 2007_presupuesto 2011 PE+IE 2 4 9" xfId="2338" xr:uid="{00000000-0005-0000-0000-0000E3080000}"/>
    <cellStyle name="%_Modelo Bonos Grupo Palmas 22 01 2007_presupuesto 2011 PE+IE 2 5" xfId="2339" xr:uid="{00000000-0005-0000-0000-0000E4080000}"/>
    <cellStyle name="%_Modelo Bonos Grupo Palmas 22 01 2007_presupuesto 2011 PE+IE 2 5 10" xfId="2340" xr:uid="{00000000-0005-0000-0000-0000E5080000}"/>
    <cellStyle name="%_Modelo Bonos Grupo Palmas 22 01 2007_presupuesto 2011 PE+IE 2 5 11" xfId="2341" xr:uid="{00000000-0005-0000-0000-0000E6080000}"/>
    <cellStyle name="%_Modelo Bonos Grupo Palmas 22 01 2007_presupuesto 2011 PE+IE 2 5 12" xfId="2342" xr:uid="{00000000-0005-0000-0000-0000E7080000}"/>
    <cellStyle name="%_Modelo Bonos Grupo Palmas 22 01 2007_presupuesto 2011 PE+IE 2 5 13" xfId="2343" xr:uid="{00000000-0005-0000-0000-0000E8080000}"/>
    <cellStyle name="%_Modelo Bonos Grupo Palmas 22 01 2007_presupuesto 2011 PE+IE 2 5 2" xfId="2344" xr:uid="{00000000-0005-0000-0000-0000E9080000}"/>
    <cellStyle name="%_Modelo Bonos Grupo Palmas 22 01 2007_presupuesto 2011 PE+IE 2 5 3" xfId="2345" xr:uid="{00000000-0005-0000-0000-0000EA080000}"/>
    <cellStyle name="%_Modelo Bonos Grupo Palmas 22 01 2007_presupuesto 2011 PE+IE 2 5 4" xfId="2346" xr:uid="{00000000-0005-0000-0000-0000EB080000}"/>
    <cellStyle name="%_Modelo Bonos Grupo Palmas 22 01 2007_presupuesto 2011 PE+IE 2 5 5" xfId="2347" xr:uid="{00000000-0005-0000-0000-0000EC080000}"/>
    <cellStyle name="%_Modelo Bonos Grupo Palmas 22 01 2007_presupuesto 2011 PE+IE 2 5 6" xfId="2348" xr:uid="{00000000-0005-0000-0000-0000ED080000}"/>
    <cellStyle name="%_Modelo Bonos Grupo Palmas 22 01 2007_presupuesto 2011 PE+IE 2 5 7" xfId="2349" xr:uid="{00000000-0005-0000-0000-0000EE080000}"/>
    <cellStyle name="%_Modelo Bonos Grupo Palmas 22 01 2007_presupuesto 2011 PE+IE 2 5 8" xfId="2350" xr:uid="{00000000-0005-0000-0000-0000EF080000}"/>
    <cellStyle name="%_Modelo Bonos Grupo Palmas 22 01 2007_presupuesto 2011 PE+IE 2 5 9" xfId="2351" xr:uid="{00000000-0005-0000-0000-0000F0080000}"/>
    <cellStyle name="%_Modelo Bonos Grupo Palmas 22 01 2007_presupuesto 2011 PE+IE 2 6" xfId="2352" xr:uid="{00000000-0005-0000-0000-0000F1080000}"/>
    <cellStyle name="%_Modelo Bonos Grupo Palmas 22 01 2007_presupuesto 2011 PE+IE 2 6 10" xfId="2353" xr:uid="{00000000-0005-0000-0000-0000F2080000}"/>
    <cellStyle name="%_Modelo Bonos Grupo Palmas 22 01 2007_presupuesto 2011 PE+IE 2 6 11" xfId="2354" xr:uid="{00000000-0005-0000-0000-0000F3080000}"/>
    <cellStyle name="%_Modelo Bonos Grupo Palmas 22 01 2007_presupuesto 2011 PE+IE 2 6 12" xfId="2355" xr:uid="{00000000-0005-0000-0000-0000F4080000}"/>
    <cellStyle name="%_Modelo Bonos Grupo Palmas 22 01 2007_presupuesto 2011 PE+IE 2 6 13" xfId="2356" xr:uid="{00000000-0005-0000-0000-0000F5080000}"/>
    <cellStyle name="%_Modelo Bonos Grupo Palmas 22 01 2007_presupuesto 2011 PE+IE 2 6 2" xfId="2357" xr:uid="{00000000-0005-0000-0000-0000F6080000}"/>
    <cellStyle name="%_Modelo Bonos Grupo Palmas 22 01 2007_presupuesto 2011 PE+IE 2 6 3" xfId="2358" xr:uid="{00000000-0005-0000-0000-0000F7080000}"/>
    <cellStyle name="%_Modelo Bonos Grupo Palmas 22 01 2007_presupuesto 2011 PE+IE 2 6 4" xfId="2359" xr:uid="{00000000-0005-0000-0000-0000F8080000}"/>
    <cellStyle name="%_Modelo Bonos Grupo Palmas 22 01 2007_presupuesto 2011 PE+IE 2 6 5" xfId="2360" xr:uid="{00000000-0005-0000-0000-0000F9080000}"/>
    <cellStyle name="%_Modelo Bonos Grupo Palmas 22 01 2007_presupuesto 2011 PE+IE 2 6 6" xfId="2361" xr:uid="{00000000-0005-0000-0000-0000FA080000}"/>
    <cellStyle name="%_Modelo Bonos Grupo Palmas 22 01 2007_presupuesto 2011 PE+IE 2 6 7" xfId="2362" xr:uid="{00000000-0005-0000-0000-0000FB080000}"/>
    <cellStyle name="%_Modelo Bonos Grupo Palmas 22 01 2007_presupuesto 2011 PE+IE 2 6 8" xfId="2363" xr:uid="{00000000-0005-0000-0000-0000FC080000}"/>
    <cellStyle name="%_Modelo Bonos Grupo Palmas 22 01 2007_presupuesto 2011 PE+IE 2 6 9" xfId="2364" xr:uid="{00000000-0005-0000-0000-0000FD080000}"/>
    <cellStyle name="%_Modelo Bonos Grupo Palmas 22 01 2007_presupuesto 2011 PE+IE 2 7" xfId="2365" xr:uid="{00000000-0005-0000-0000-0000FE080000}"/>
    <cellStyle name="%_Modelo Bonos Grupo Palmas 22 01 2007_presupuesto 2011 PE+IE 2 7 10" xfId="2366" xr:uid="{00000000-0005-0000-0000-0000FF080000}"/>
    <cellStyle name="%_Modelo Bonos Grupo Palmas 22 01 2007_presupuesto 2011 PE+IE 2 7 11" xfId="2367" xr:uid="{00000000-0005-0000-0000-000000090000}"/>
    <cellStyle name="%_Modelo Bonos Grupo Palmas 22 01 2007_presupuesto 2011 PE+IE 2 7 12" xfId="2368" xr:uid="{00000000-0005-0000-0000-000001090000}"/>
    <cellStyle name="%_Modelo Bonos Grupo Palmas 22 01 2007_presupuesto 2011 PE+IE 2 7 13" xfId="2369" xr:uid="{00000000-0005-0000-0000-000002090000}"/>
    <cellStyle name="%_Modelo Bonos Grupo Palmas 22 01 2007_presupuesto 2011 PE+IE 2 7 2" xfId="2370" xr:uid="{00000000-0005-0000-0000-000003090000}"/>
    <cellStyle name="%_Modelo Bonos Grupo Palmas 22 01 2007_presupuesto 2011 PE+IE 2 7 3" xfId="2371" xr:uid="{00000000-0005-0000-0000-000004090000}"/>
    <cellStyle name="%_Modelo Bonos Grupo Palmas 22 01 2007_presupuesto 2011 PE+IE 2 7 4" xfId="2372" xr:uid="{00000000-0005-0000-0000-000005090000}"/>
    <cellStyle name="%_Modelo Bonos Grupo Palmas 22 01 2007_presupuesto 2011 PE+IE 2 7 5" xfId="2373" xr:uid="{00000000-0005-0000-0000-000006090000}"/>
    <cellStyle name="%_Modelo Bonos Grupo Palmas 22 01 2007_presupuesto 2011 PE+IE 2 7 6" xfId="2374" xr:uid="{00000000-0005-0000-0000-000007090000}"/>
    <cellStyle name="%_Modelo Bonos Grupo Palmas 22 01 2007_presupuesto 2011 PE+IE 2 7 7" xfId="2375" xr:uid="{00000000-0005-0000-0000-000008090000}"/>
    <cellStyle name="%_Modelo Bonos Grupo Palmas 22 01 2007_presupuesto 2011 PE+IE 2 7 8" xfId="2376" xr:uid="{00000000-0005-0000-0000-000009090000}"/>
    <cellStyle name="%_Modelo Bonos Grupo Palmas 22 01 2007_presupuesto 2011 PE+IE 2 7 9" xfId="2377" xr:uid="{00000000-0005-0000-0000-00000A090000}"/>
    <cellStyle name="%_Modelo Bonos Grupo Palmas 22 01 2007_presupuesto 2011 PE+IE 2 8" xfId="2378" xr:uid="{00000000-0005-0000-0000-00000B090000}"/>
    <cellStyle name="%_Modelo Bonos Grupo Palmas 22 01 2007_presupuesto 2011 PE+IE 2 8 10" xfId="2379" xr:uid="{00000000-0005-0000-0000-00000C090000}"/>
    <cellStyle name="%_Modelo Bonos Grupo Palmas 22 01 2007_presupuesto 2011 PE+IE 2 8 11" xfId="2380" xr:uid="{00000000-0005-0000-0000-00000D090000}"/>
    <cellStyle name="%_Modelo Bonos Grupo Palmas 22 01 2007_presupuesto 2011 PE+IE 2 8 12" xfId="2381" xr:uid="{00000000-0005-0000-0000-00000E090000}"/>
    <cellStyle name="%_Modelo Bonos Grupo Palmas 22 01 2007_presupuesto 2011 PE+IE 2 8 13" xfId="2382" xr:uid="{00000000-0005-0000-0000-00000F090000}"/>
    <cellStyle name="%_Modelo Bonos Grupo Palmas 22 01 2007_presupuesto 2011 PE+IE 2 8 2" xfId="2383" xr:uid="{00000000-0005-0000-0000-000010090000}"/>
    <cellStyle name="%_Modelo Bonos Grupo Palmas 22 01 2007_presupuesto 2011 PE+IE 2 8 3" xfId="2384" xr:uid="{00000000-0005-0000-0000-000011090000}"/>
    <cellStyle name="%_Modelo Bonos Grupo Palmas 22 01 2007_presupuesto 2011 PE+IE 2 8 4" xfId="2385" xr:uid="{00000000-0005-0000-0000-000012090000}"/>
    <cellStyle name="%_Modelo Bonos Grupo Palmas 22 01 2007_presupuesto 2011 PE+IE 2 8 5" xfId="2386" xr:uid="{00000000-0005-0000-0000-000013090000}"/>
    <cellStyle name="%_Modelo Bonos Grupo Palmas 22 01 2007_presupuesto 2011 PE+IE 2 8 6" xfId="2387" xr:uid="{00000000-0005-0000-0000-000014090000}"/>
    <cellStyle name="%_Modelo Bonos Grupo Palmas 22 01 2007_presupuesto 2011 PE+IE 2 8 7" xfId="2388" xr:uid="{00000000-0005-0000-0000-000015090000}"/>
    <cellStyle name="%_Modelo Bonos Grupo Palmas 22 01 2007_presupuesto 2011 PE+IE 2 8 8" xfId="2389" xr:uid="{00000000-0005-0000-0000-000016090000}"/>
    <cellStyle name="%_Modelo Bonos Grupo Palmas 22 01 2007_presupuesto 2011 PE+IE 2 8 9" xfId="2390" xr:uid="{00000000-0005-0000-0000-000017090000}"/>
    <cellStyle name="%_Modelo Final 2010 LIMTEK" xfId="2391" xr:uid="{00000000-0005-0000-0000-000018090000}"/>
    <cellStyle name="%_Modelo Final 2010 LIMTEK - Ratios Anualizados" xfId="2392" xr:uid="{00000000-0005-0000-0000-000019090000}"/>
    <cellStyle name="%_Modelo RT 2010 4° Revisión - Ratios anualizados" xfId="2393" xr:uid="{00000000-0005-0000-0000-00001A090000}"/>
    <cellStyle name="%_NUEVO MODELO LP CHIRA 29 mar" xfId="2394" xr:uid="{00000000-0005-0000-0000-00001B090000}"/>
    <cellStyle name="%_NUEVO MODELO LP CHIRA 29 mar 2" xfId="2395" xr:uid="{00000000-0005-0000-0000-00001C090000}"/>
    <cellStyle name="%_NUEVO MODELO LP CHIRA 29 mar 2 10" xfId="2396" xr:uid="{00000000-0005-0000-0000-00001D090000}"/>
    <cellStyle name="%_NUEVO MODELO LP CHIRA 29 mar 2 11" xfId="2397" xr:uid="{00000000-0005-0000-0000-00001E090000}"/>
    <cellStyle name="%_NUEVO MODELO LP CHIRA 29 mar 2 12" xfId="2398" xr:uid="{00000000-0005-0000-0000-00001F090000}"/>
    <cellStyle name="%_NUEVO MODELO LP CHIRA 29 mar 2 13" xfId="2399" xr:uid="{00000000-0005-0000-0000-000020090000}"/>
    <cellStyle name="%_NUEVO MODELO LP CHIRA 29 mar 2 2" xfId="2400" xr:uid="{00000000-0005-0000-0000-000021090000}"/>
    <cellStyle name="%_NUEVO MODELO LP CHIRA 29 mar 2 3" xfId="2401" xr:uid="{00000000-0005-0000-0000-000022090000}"/>
    <cellStyle name="%_NUEVO MODELO LP CHIRA 29 mar 2 4" xfId="2402" xr:uid="{00000000-0005-0000-0000-000023090000}"/>
    <cellStyle name="%_NUEVO MODELO LP CHIRA 29 mar 2 5" xfId="2403" xr:uid="{00000000-0005-0000-0000-000024090000}"/>
    <cellStyle name="%_NUEVO MODELO LP CHIRA 29 mar 2 6" xfId="2404" xr:uid="{00000000-0005-0000-0000-000025090000}"/>
    <cellStyle name="%_NUEVO MODELO LP CHIRA 29 mar 2 7" xfId="2405" xr:uid="{00000000-0005-0000-0000-000026090000}"/>
    <cellStyle name="%_NUEVO MODELO LP CHIRA 29 mar 2 8" xfId="2406" xr:uid="{00000000-0005-0000-0000-000027090000}"/>
    <cellStyle name="%_NUEVO MODELO LP CHIRA 29 mar 2 9" xfId="2407" xr:uid="{00000000-0005-0000-0000-000028090000}"/>
    <cellStyle name="%_NUEVO MODELO LP CHIRA 29 mar 3" xfId="2408" xr:uid="{00000000-0005-0000-0000-000029090000}"/>
    <cellStyle name="%_NUEVO MODELO LP CHIRA 29 mar 3 10" xfId="2409" xr:uid="{00000000-0005-0000-0000-00002A090000}"/>
    <cellStyle name="%_NUEVO MODELO LP CHIRA 29 mar 3 11" xfId="2410" xr:uid="{00000000-0005-0000-0000-00002B090000}"/>
    <cellStyle name="%_NUEVO MODELO LP CHIRA 29 mar 3 12" xfId="2411" xr:uid="{00000000-0005-0000-0000-00002C090000}"/>
    <cellStyle name="%_NUEVO MODELO LP CHIRA 29 mar 3 13" xfId="2412" xr:uid="{00000000-0005-0000-0000-00002D090000}"/>
    <cellStyle name="%_NUEVO MODELO LP CHIRA 29 mar 3 2" xfId="2413" xr:uid="{00000000-0005-0000-0000-00002E090000}"/>
    <cellStyle name="%_NUEVO MODELO LP CHIRA 29 mar 3 3" xfId="2414" xr:uid="{00000000-0005-0000-0000-00002F090000}"/>
    <cellStyle name="%_NUEVO MODELO LP CHIRA 29 mar 3 4" xfId="2415" xr:uid="{00000000-0005-0000-0000-000030090000}"/>
    <cellStyle name="%_NUEVO MODELO LP CHIRA 29 mar 3 5" xfId="2416" xr:uid="{00000000-0005-0000-0000-000031090000}"/>
    <cellStyle name="%_NUEVO MODELO LP CHIRA 29 mar 3 6" xfId="2417" xr:uid="{00000000-0005-0000-0000-000032090000}"/>
    <cellStyle name="%_NUEVO MODELO LP CHIRA 29 mar 3 7" xfId="2418" xr:uid="{00000000-0005-0000-0000-000033090000}"/>
    <cellStyle name="%_NUEVO MODELO LP CHIRA 29 mar 3 8" xfId="2419" xr:uid="{00000000-0005-0000-0000-000034090000}"/>
    <cellStyle name="%_NUEVO MODELO LP CHIRA 29 mar 3 9" xfId="2420" xr:uid="{00000000-0005-0000-0000-000035090000}"/>
    <cellStyle name="%_NUEVO MODELO LP CHIRA 29 mar 4" xfId="2421" xr:uid="{00000000-0005-0000-0000-000036090000}"/>
    <cellStyle name="%_NUEVO MODELO LP CHIRA 29 mar 4 10" xfId="2422" xr:uid="{00000000-0005-0000-0000-000037090000}"/>
    <cellStyle name="%_NUEVO MODELO LP CHIRA 29 mar 4 11" xfId="2423" xr:uid="{00000000-0005-0000-0000-000038090000}"/>
    <cellStyle name="%_NUEVO MODELO LP CHIRA 29 mar 4 12" xfId="2424" xr:uid="{00000000-0005-0000-0000-000039090000}"/>
    <cellStyle name="%_NUEVO MODELO LP CHIRA 29 mar 4 13" xfId="2425" xr:uid="{00000000-0005-0000-0000-00003A090000}"/>
    <cellStyle name="%_NUEVO MODELO LP CHIRA 29 mar 4 2" xfId="2426" xr:uid="{00000000-0005-0000-0000-00003B090000}"/>
    <cellStyle name="%_NUEVO MODELO LP CHIRA 29 mar 4 3" xfId="2427" xr:uid="{00000000-0005-0000-0000-00003C090000}"/>
    <cellStyle name="%_NUEVO MODELO LP CHIRA 29 mar 4 4" xfId="2428" xr:uid="{00000000-0005-0000-0000-00003D090000}"/>
    <cellStyle name="%_NUEVO MODELO LP CHIRA 29 mar 4 5" xfId="2429" xr:uid="{00000000-0005-0000-0000-00003E090000}"/>
    <cellStyle name="%_NUEVO MODELO LP CHIRA 29 mar 4 6" xfId="2430" xr:uid="{00000000-0005-0000-0000-00003F090000}"/>
    <cellStyle name="%_NUEVO MODELO LP CHIRA 29 mar 4 7" xfId="2431" xr:uid="{00000000-0005-0000-0000-000040090000}"/>
    <cellStyle name="%_NUEVO MODELO LP CHIRA 29 mar 4 8" xfId="2432" xr:uid="{00000000-0005-0000-0000-000041090000}"/>
    <cellStyle name="%_NUEVO MODELO LP CHIRA 29 mar 4 9" xfId="2433" xr:uid="{00000000-0005-0000-0000-000042090000}"/>
    <cellStyle name="%_NUEVO MODELO LP CHIRA 29 mar 5" xfId="2434" xr:uid="{00000000-0005-0000-0000-000043090000}"/>
    <cellStyle name="%_NUEVO MODELO LP CHIRA 29 mar 5 10" xfId="2435" xr:uid="{00000000-0005-0000-0000-000044090000}"/>
    <cellStyle name="%_NUEVO MODELO LP CHIRA 29 mar 5 11" xfId="2436" xr:uid="{00000000-0005-0000-0000-000045090000}"/>
    <cellStyle name="%_NUEVO MODELO LP CHIRA 29 mar 5 12" xfId="2437" xr:uid="{00000000-0005-0000-0000-000046090000}"/>
    <cellStyle name="%_NUEVO MODELO LP CHIRA 29 mar 5 13" xfId="2438" xr:uid="{00000000-0005-0000-0000-000047090000}"/>
    <cellStyle name="%_NUEVO MODELO LP CHIRA 29 mar 5 2" xfId="2439" xr:uid="{00000000-0005-0000-0000-000048090000}"/>
    <cellStyle name="%_NUEVO MODELO LP CHIRA 29 mar 5 3" xfId="2440" xr:uid="{00000000-0005-0000-0000-000049090000}"/>
    <cellStyle name="%_NUEVO MODELO LP CHIRA 29 mar 5 4" xfId="2441" xr:uid="{00000000-0005-0000-0000-00004A090000}"/>
    <cellStyle name="%_NUEVO MODELO LP CHIRA 29 mar 5 5" xfId="2442" xr:uid="{00000000-0005-0000-0000-00004B090000}"/>
    <cellStyle name="%_NUEVO MODELO LP CHIRA 29 mar 5 6" xfId="2443" xr:uid="{00000000-0005-0000-0000-00004C090000}"/>
    <cellStyle name="%_NUEVO MODELO LP CHIRA 29 mar 5 7" xfId="2444" xr:uid="{00000000-0005-0000-0000-00004D090000}"/>
    <cellStyle name="%_NUEVO MODELO LP CHIRA 29 mar 5 8" xfId="2445" xr:uid="{00000000-0005-0000-0000-00004E090000}"/>
    <cellStyle name="%_NUEVO MODELO LP CHIRA 29 mar 5 9" xfId="2446" xr:uid="{00000000-0005-0000-0000-00004F090000}"/>
    <cellStyle name="%_NUEVO MODELO LP CHIRA 29 mar 6" xfId="2447" xr:uid="{00000000-0005-0000-0000-000050090000}"/>
    <cellStyle name="%_NUEVO MODELO LP CHIRA 29 mar 6 10" xfId="2448" xr:uid="{00000000-0005-0000-0000-000051090000}"/>
    <cellStyle name="%_NUEVO MODELO LP CHIRA 29 mar 6 11" xfId="2449" xr:uid="{00000000-0005-0000-0000-000052090000}"/>
    <cellStyle name="%_NUEVO MODELO LP CHIRA 29 mar 6 12" xfId="2450" xr:uid="{00000000-0005-0000-0000-000053090000}"/>
    <cellStyle name="%_NUEVO MODELO LP CHIRA 29 mar 6 13" xfId="2451" xr:uid="{00000000-0005-0000-0000-000054090000}"/>
    <cellStyle name="%_NUEVO MODELO LP CHIRA 29 mar 6 2" xfId="2452" xr:uid="{00000000-0005-0000-0000-000055090000}"/>
    <cellStyle name="%_NUEVO MODELO LP CHIRA 29 mar 6 3" xfId="2453" xr:uid="{00000000-0005-0000-0000-000056090000}"/>
    <cellStyle name="%_NUEVO MODELO LP CHIRA 29 mar 6 4" xfId="2454" xr:uid="{00000000-0005-0000-0000-000057090000}"/>
    <cellStyle name="%_NUEVO MODELO LP CHIRA 29 mar 6 5" xfId="2455" xr:uid="{00000000-0005-0000-0000-000058090000}"/>
    <cellStyle name="%_NUEVO MODELO LP CHIRA 29 mar 6 6" xfId="2456" xr:uid="{00000000-0005-0000-0000-000059090000}"/>
    <cellStyle name="%_NUEVO MODELO LP CHIRA 29 mar 6 7" xfId="2457" xr:uid="{00000000-0005-0000-0000-00005A090000}"/>
    <cellStyle name="%_NUEVO MODELO LP CHIRA 29 mar 6 8" xfId="2458" xr:uid="{00000000-0005-0000-0000-00005B090000}"/>
    <cellStyle name="%_NUEVO MODELO LP CHIRA 29 mar 6 9" xfId="2459" xr:uid="{00000000-0005-0000-0000-00005C090000}"/>
    <cellStyle name="%_NUEVO MODELO LP CHIRA 29 mar 7" xfId="2460" xr:uid="{00000000-0005-0000-0000-00005D090000}"/>
    <cellStyle name="%_NUEVO MODELO LP CHIRA 29 mar 7 10" xfId="2461" xr:uid="{00000000-0005-0000-0000-00005E090000}"/>
    <cellStyle name="%_NUEVO MODELO LP CHIRA 29 mar 7 11" xfId="2462" xr:uid="{00000000-0005-0000-0000-00005F090000}"/>
    <cellStyle name="%_NUEVO MODELO LP CHIRA 29 mar 7 12" xfId="2463" xr:uid="{00000000-0005-0000-0000-000060090000}"/>
    <cellStyle name="%_NUEVO MODELO LP CHIRA 29 mar 7 13" xfId="2464" xr:uid="{00000000-0005-0000-0000-000061090000}"/>
    <cellStyle name="%_NUEVO MODELO LP CHIRA 29 mar 7 2" xfId="2465" xr:uid="{00000000-0005-0000-0000-000062090000}"/>
    <cellStyle name="%_NUEVO MODELO LP CHIRA 29 mar 7 3" xfId="2466" xr:uid="{00000000-0005-0000-0000-000063090000}"/>
    <cellStyle name="%_NUEVO MODELO LP CHIRA 29 mar 7 4" xfId="2467" xr:uid="{00000000-0005-0000-0000-000064090000}"/>
    <cellStyle name="%_NUEVO MODELO LP CHIRA 29 mar 7 5" xfId="2468" xr:uid="{00000000-0005-0000-0000-000065090000}"/>
    <cellStyle name="%_NUEVO MODELO LP CHIRA 29 mar 7 6" xfId="2469" xr:uid="{00000000-0005-0000-0000-000066090000}"/>
    <cellStyle name="%_NUEVO MODELO LP CHIRA 29 mar 7 7" xfId="2470" xr:uid="{00000000-0005-0000-0000-000067090000}"/>
    <cellStyle name="%_NUEVO MODELO LP CHIRA 29 mar 7 8" xfId="2471" xr:uid="{00000000-0005-0000-0000-000068090000}"/>
    <cellStyle name="%_NUEVO MODELO LP CHIRA 29 mar 7 9" xfId="2472" xr:uid="{00000000-0005-0000-0000-000069090000}"/>
    <cellStyle name="%_NUEVO MODELO LP CHIRA 29 mar 8" xfId="2473" xr:uid="{00000000-0005-0000-0000-00006A090000}"/>
    <cellStyle name="%_NUEVO MODELO LP CHIRA 29 mar 8 10" xfId="2474" xr:uid="{00000000-0005-0000-0000-00006B090000}"/>
    <cellStyle name="%_NUEVO MODELO LP CHIRA 29 mar 8 11" xfId="2475" xr:uid="{00000000-0005-0000-0000-00006C090000}"/>
    <cellStyle name="%_NUEVO MODELO LP CHIRA 29 mar 8 12" xfId="2476" xr:uid="{00000000-0005-0000-0000-00006D090000}"/>
    <cellStyle name="%_NUEVO MODELO LP CHIRA 29 mar 8 13" xfId="2477" xr:uid="{00000000-0005-0000-0000-00006E090000}"/>
    <cellStyle name="%_NUEVO MODELO LP CHIRA 29 mar 8 2" xfId="2478" xr:uid="{00000000-0005-0000-0000-00006F090000}"/>
    <cellStyle name="%_NUEVO MODELO LP CHIRA 29 mar 8 3" xfId="2479" xr:uid="{00000000-0005-0000-0000-000070090000}"/>
    <cellStyle name="%_NUEVO MODELO LP CHIRA 29 mar 8 4" xfId="2480" xr:uid="{00000000-0005-0000-0000-000071090000}"/>
    <cellStyle name="%_NUEVO MODELO LP CHIRA 29 mar 8 5" xfId="2481" xr:uid="{00000000-0005-0000-0000-000072090000}"/>
    <cellStyle name="%_NUEVO MODELO LP CHIRA 29 mar 8 6" xfId="2482" xr:uid="{00000000-0005-0000-0000-000073090000}"/>
    <cellStyle name="%_NUEVO MODELO LP CHIRA 29 mar 8 7" xfId="2483" xr:uid="{00000000-0005-0000-0000-000074090000}"/>
    <cellStyle name="%_NUEVO MODELO LP CHIRA 29 mar 8 8" xfId="2484" xr:uid="{00000000-0005-0000-0000-000075090000}"/>
    <cellStyle name="%_NUEVO MODELO LP CHIRA 29 mar 8 9" xfId="2485" xr:uid="{00000000-0005-0000-0000-000076090000}"/>
    <cellStyle name="%_PALMAS Y SUB FLUJO CON ESCENARIOS - 18 MAR" xfId="2486" xr:uid="{00000000-0005-0000-0000-000077090000}"/>
    <cellStyle name="%_PALMAS Y SUB FLUJO CON ESCENARIOS - 18 MAR 2" xfId="2487" xr:uid="{00000000-0005-0000-0000-000078090000}"/>
    <cellStyle name="%_PALMAS Y SUB FLUJO CON ESCENARIOS - 18 MAR 2 10" xfId="2488" xr:uid="{00000000-0005-0000-0000-000079090000}"/>
    <cellStyle name="%_PALMAS Y SUB FLUJO CON ESCENARIOS - 18 MAR 2 11" xfId="2489" xr:uid="{00000000-0005-0000-0000-00007A090000}"/>
    <cellStyle name="%_PALMAS Y SUB FLUJO CON ESCENARIOS - 18 MAR 2 12" xfId="2490" xr:uid="{00000000-0005-0000-0000-00007B090000}"/>
    <cellStyle name="%_PALMAS Y SUB FLUJO CON ESCENARIOS - 18 MAR 2 13" xfId="2491" xr:uid="{00000000-0005-0000-0000-00007C090000}"/>
    <cellStyle name="%_PALMAS Y SUB FLUJO CON ESCENARIOS - 18 MAR 2 2" xfId="2492" xr:uid="{00000000-0005-0000-0000-00007D090000}"/>
    <cellStyle name="%_PALMAS Y SUB FLUJO CON ESCENARIOS - 18 MAR 2 3" xfId="2493" xr:uid="{00000000-0005-0000-0000-00007E090000}"/>
    <cellStyle name="%_PALMAS Y SUB FLUJO CON ESCENARIOS - 18 MAR 2 4" xfId="2494" xr:uid="{00000000-0005-0000-0000-00007F090000}"/>
    <cellStyle name="%_PALMAS Y SUB FLUJO CON ESCENARIOS - 18 MAR 2 5" xfId="2495" xr:uid="{00000000-0005-0000-0000-000080090000}"/>
    <cellStyle name="%_PALMAS Y SUB FLUJO CON ESCENARIOS - 18 MAR 2 6" xfId="2496" xr:uid="{00000000-0005-0000-0000-000081090000}"/>
    <cellStyle name="%_PALMAS Y SUB FLUJO CON ESCENARIOS - 18 MAR 2 7" xfId="2497" xr:uid="{00000000-0005-0000-0000-000082090000}"/>
    <cellStyle name="%_PALMAS Y SUB FLUJO CON ESCENARIOS - 18 MAR 2 8" xfId="2498" xr:uid="{00000000-0005-0000-0000-000083090000}"/>
    <cellStyle name="%_PALMAS Y SUB FLUJO CON ESCENARIOS - 18 MAR 2 9" xfId="2499" xr:uid="{00000000-0005-0000-0000-000084090000}"/>
    <cellStyle name="%_PALMAS Y SUB FLUJO CON ESCENARIOS - 18 MAR 3" xfId="2500" xr:uid="{00000000-0005-0000-0000-000085090000}"/>
    <cellStyle name="%_PALMAS Y SUB FLUJO CON ESCENARIOS - 18 MAR 3 10" xfId="2501" xr:uid="{00000000-0005-0000-0000-000086090000}"/>
    <cellStyle name="%_PALMAS Y SUB FLUJO CON ESCENARIOS - 18 MAR 3 11" xfId="2502" xr:uid="{00000000-0005-0000-0000-000087090000}"/>
    <cellStyle name="%_PALMAS Y SUB FLUJO CON ESCENARIOS - 18 MAR 3 12" xfId="2503" xr:uid="{00000000-0005-0000-0000-000088090000}"/>
    <cellStyle name="%_PALMAS Y SUB FLUJO CON ESCENARIOS - 18 MAR 3 13" xfId="2504" xr:uid="{00000000-0005-0000-0000-000089090000}"/>
    <cellStyle name="%_PALMAS Y SUB FLUJO CON ESCENARIOS - 18 MAR 3 2" xfId="2505" xr:uid="{00000000-0005-0000-0000-00008A090000}"/>
    <cellStyle name="%_PALMAS Y SUB FLUJO CON ESCENARIOS - 18 MAR 3 3" xfId="2506" xr:uid="{00000000-0005-0000-0000-00008B090000}"/>
    <cellStyle name="%_PALMAS Y SUB FLUJO CON ESCENARIOS - 18 MAR 3 4" xfId="2507" xr:uid="{00000000-0005-0000-0000-00008C090000}"/>
    <cellStyle name="%_PALMAS Y SUB FLUJO CON ESCENARIOS - 18 MAR 3 5" xfId="2508" xr:uid="{00000000-0005-0000-0000-00008D090000}"/>
    <cellStyle name="%_PALMAS Y SUB FLUJO CON ESCENARIOS - 18 MAR 3 6" xfId="2509" xr:uid="{00000000-0005-0000-0000-00008E090000}"/>
    <cellStyle name="%_PALMAS Y SUB FLUJO CON ESCENARIOS - 18 MAR 3 7" xfId="2510" xr:uid="{00000000-0005-0000-0000-00008F090000}"/>
    <cellStyle name="%_PALMAS Y SUB FLUJO CON ESCENARIOS - 18 MAR 3 8" xfId="2511" xr:uid="{00000000-0005-0000-0000-000090090000}"/>
    <cellStyle name="%_PALMAS Y SUB FLUJO CON ESCENARIOS - 18 MAR 3 9" xfId="2512" xr:uid="{00000000-0005-0000-0000-000091090000}"/>
    <cellStyle name="%_PALMAS Y SUB FLUJO CON ESCENARIOS - 18 MAR 4" xfId="2513" xr:uid="{00000000-0005-0000-0000-000092090000}"/>
    <cellStyle name="%_PALMAS Y SUB FLUJO CON ESCENARIOS - 18 MAR 4 10" xfId="2514" xr:uid="{00000000-0005-0000-0000-000093090000}"/>
    <cellStyle name="%_PALMAS Y SUB FLUJO CON ESCENARIOS - 18 MAR 4 11" xfId="2515" xr:uid="{00000000-0005-0000-0000-000094090000}"/>
    <cellStyle name="%_PALMAS Y SUB FLUJO CON ESCENARIOS - 18 MAR 4 12" xfId="2516" xr:uid="{00000000-0005-0000-0000-000095090000}"/>
    <cellStyle name="%_PALMAS Y SUB FLUJO CON ESCENARIOS - 18 MAR 4 13" xfId="2517" xr:uid="{00000000-0005-0000-0000-000096090000}"/>
    <cellStyle name="%_PALMAS Y SUB FLUJO CON ESCENARIOS - 18 MAR 4 2" xfId="2518" xr:uid="{00000000-0005-0000-0000-000097090000}"/>
    <cellStyle name="%_PALMAS Y SUB FLUJO CON ESCENARIOS - 18 MAR 4 3" xfId="2519" xr:uid="{00000000-0005-0000-0000-000098090000}"/>
    <cellStyle name="%_PALMAS Y SUB FLUJO CON ESCENARIOS - 18 MAR 4 4" xfId="2520" xr:uid="{00000000-0005-0000-0000-000099090000}"/>
    <cellStyle name="%_PALMAS Y SUB FLUJO CON ESCENARIOS - 18 MAR 4 5" xfId="2521" xr:uid="{00000000-0005-0000-0000-00009A090000}"/>
    <cellStyle name="%_PALMAS Y SUB FLUJO CON ESCENARIOS - 18 MAR 4 6" xfId="2522" xr:uid="{00000000-0005-0000-0000-00009B090000}"/>
    <cellStyle name="%_PALMAS Y SUB FLUJO CON ESCENARIOS - 18 MAR 4 7" xfId="2523" xr:uid="{00000000-0005-0000-0000-00009C090000}"/>
    <cellStyle name="%_PALMAS Y SUB FLUJO CON ESCENARIOS - 18 MAR 4 8" xfId="2524" xr:uid="{00000000-0005-0000-0000-00009D090000}"/>
    <cellStyle name="%_PALMAS Y SUB FLUJO CON ESCENARIOS - 18 MAR 4 9" xfId="2525" xr:uid="{00000000-0005-0000-0000-00009E090000}"/>
    <cellStyle name="%_PALMAS Y SUB FLUJO CON ESCENARIOS - 18 MAR 5" xfId="2526" xr:uid="{00000000-0005-0000-0000-00009F090000}"/>
    <cellStyle name="%_PALMAS Y SUB FLUJO CON ESCENARIOS - 18 MAR 5 10" xfId="2527" xr:uid="{00000000-0005-0000-0000-0000A0090000}"/>
    <cellStyle name="%_PALMAS Y SUB FLUJO CON ESCENARIOS - 18 MAR 5 11" xfId="2528" xr:uid="{00000000-0005-0000-0000-0000A1090000}"/>
    <cellStyle name="%_PALMAS Y SUB FLUJO CON ESCENARIOS - 18 MAR 5 12" xfId="2529" xr:uid="{00000000-0005-0000-0000-0000A2090000}"/>
    <cellStyle name="%_PALMAS Y SUB FLUJO CON ESCENARIOS - 18 MAR 5 13" xfId="2530" xr:uid="{00000000-0005-0000-0000-0000A3090000}"/>
    <cellStyle name="%_PALMAS Y SUB FLUJO CON ESCENARIOS - 18 MAR 5 2" xfId="2531" xr:uid="{00000000-0005-0000-0000-0000A4090000}"/>
    <cellStyle name="%_PALMAS Y SUB FLUJO CON ESCENARIOS - 18 MAR 5 3" xfId="2532" xr:uid="{00000000-0005-0000-0000-0000A5090000}"/>
    <cellStyle name="%_PALMAS Y SUB FLUJO CON ESCENARIOS - 18 MAR 5 4" xfId="2533" xr:uid="{00000000-0005-0000-0000-0000A6090000}"/>
    <cellStyle name="%_PALMAS Y SUB FLUJO CON ESCENARIOS - 18 MAR 5 5" xfId="2534" xr:uid="{00000000-0005-0000-0000-0000A7090000}"/>
    <cellStyle name="%_PALMAS Y SUB FLUJO CON ESCENARIOS - 18 MAR 5 6" xfId="2535" xr:uid="{00000000-0005-0000-0000-0000A8090000}"/>
    <cellStyle name="%_PALMAS Y SUB FLUJO CON ESCENARIOS - 18 MAR 5 7" xfId="2536" xr:uid="{00000000-0005-0000-0000-0000A9090000}"/>
    <cellStyle name="%_PALMAS Y SUB FLUJO CON ESCENARIOS - 18 MAR 5 8" xfId="2537" xr:uid="{00000000-0005-0000-0000-0000AA090000}"/>
    <cellStyle name="%_PALMAS Y SUB FLUJO CON ESCENARIOS - 18 MAR 5 9" xfId="2538" xr:uid="{00000000-0005-0000-0000-0000AB090000}"/>
    <cellStyle name="%_PALMAS Y SUB FLUJO CON ESCENARIOS - 18 MAR 6" xfId="2539" xr:uid="{00000000-0005-0000-0000-0000AC090000}"/>
    <cellStyle name="%_PALMAS Y SUB FLUJO CON ESCENARIOS - 18 MAR 6 10" xfId="2540" xr:uid="{00000000-0005-0000-0000-0000AD090000}"/>
    <cellStyle name="%_PALMAS Y SUB FLUJO CON ESCENARIOS - 18 MAR 6 11" xfId="2541" xr:uid="{00000000-0005-0000-0000-0000AE090000}"/>
    <cellStyle name="%_PALMAS Y SUB FLUJO CON ESCENARIOS - 18 MAR 6 12" xfId="2542" xr:uid="{00000000-0005-0000-0000-0000AF090000}"/>
    <cellStyle name="%_PALMAS Y SUB FLUJO CON ESCENARIOS - 18 MAR 6 13" xfId="2543" xr:uid="{00000000-0005-0000-0000-0000B0090000}"/>
    <cellStyle name="%_PALMAS Y SUB FLUJO CON ESCENARIOS - 18 MAR 6 2" xfId="2544" xr:uid="{00000000-0005-0000-0000-0000B1090000}"/>
    <cellStyle name="%_PALMAS Y SUB FLUJO CON ESCENARIOS - 18 MAR 6 3" xfId="2545" xr:uid="{00000000-0005-0000-0000-0000B2090000}"/>
    <cellStyle name="%_PALMAS Y SUB FLUJO CON ESCENARIOS - 18 MAR 6 4" xfId="2546" xr:uid="{00000000-0005-0000-0000-0000B3090000}"/>
    <cellStyle name="%_PALMAS Y SUB FLUJO CON ESCENARIOS - 18 MAR 6 5" xfId="2547" xr:uid="{00000000-0005-0000-0000-0000B4090000}"/>
    <cellStyle name="%_PALMAS Y SUB FLUJO CON ESCENARIOS - 18 MAR 6 6" xfId="2548" xr:uid="{00000000-0005-0000-0000-0000B5090000}"/>
    <cellStyle name="%_PALMAS Y SUB FLUJO CON ESCENARIOS - 18 MAR 6 7" xfId="2549" xr:uid="{00000000-0005-0000-0000-0000B6090000}"/>
    <cellStyle name="%_PALMAS Y SUB FLUJO CON ESCENARIOS - 18 MAR 6 8" xfId="2550" xr:uid="{00000000-0005-0000-0000-0000B7090000}"/>
    <cellStyle name="%_PALMAS Y SUB FLUJO CON ESCENARIOS - 18 MAR 6 9" xfId="2551" xr:uid="{00000000-0005-0000-0000-0000B8090000}"/>
    <cellStyle name="%_PALMAS Y SUB FLUJO CON ESCENARIOS - 18 MAR 7" xfId="2552" xr:uid="{00000000-0005-0000-0000-0000B9090000}"/>
    <cellStyle name="%_PALMAS Y SUB FLUJO CON ESCENARIOS - 18 MAR 7 10" xfId="2553" xr:uid="{00000000-0005-0000-0000-0000BA090000}"/>
    <cellStyle name="%_PALMAS Y SUB FLUJO CON ESCENARIOS - 18 MAR 7 11" xfId="2554" xr:uid="{00000000-0005-0000-0000-0000BB090000}"/>
    <cellStyle name="%_PALMAS Y SUB FLUJO CON ESCENARIOS - 18 MAR 7 12" xfId="2555" xr:uid="{00000000-0005-0000-0000-0000BC090000}"/>
    <cellStyle name="%_PALMAS Y SUB FLUJO CON ESCENARIOS - 18 MAR 7 13" xfId="2556" xr:uid="{00000000-0005-0000-0000-0000BD090000}"/>
    <cellStyle name="%_PALMAS Y SUB FLUJO CON ESCENARIOS - 18 MAR 7 2" xfId="2557" xr:uid="{00000000-0005-0000-0000-0000BE090000}"/>
    <cellStyle name="%_PALMAS Y SUB FLUJO CON ESCENARIOS - 18 MAR 7 3" xfId="2558" xr:uid="{00000000-0005-0000-0000-0000BF090000}"/>
    <cellStyle name="%_PALMAS Y SUB FLUJO CON ESCENARIOS - 18 MAR 7 4" xfId="2559" xr:uid="{00000000-0005-0000-0000-0000C0090000}"/>
    <cellStyle name="%_PALMAS Y SUB FLUJO CON ESCENARIOS - 18 MAR 7 5" xfId="2560" xr:uid="{00000000-0005-0000-0000-0000C1090000}"/>
    <cellStyle name="%_PALMAS Y SUB FLUJO CON ESCENARIOS - 18 MAR 7 6" xfId="2561" xr:uid="{00000000-0005-0000-0000-0000C2090000}"/>
    <cellStyle name="%_PALMAS Y SUB FLUJO CON ESCENARIOS - 18 MAR 7 7" xfId="2562" xr:uid="{00000000-0005-0000-0000-0000C3090000}"/>
    <cellStyle name="%_PALMAS Y SUB FLUJO CON ESCENARIOS - 18 MAR 7 8" xfId="2563" xr:uid="{00000000-0005-0000-0000-0000C4090000}"/>
    <cellStyle name="%_PALMAS Y SUB FLUJO CON ESCENARIOS - 18 MAR 7 9" xfId="2564" xr:uid="{00000000-0005-0000-0000-0000C5090000}"/>
    <cellStyle name="%_PALMAS Y SUB FLUJO CON ESCENARIOS - 18 MAR 8" xfId="2565" xr:uid="{00000000-0005-0000-0000-0000C6090000}"/>
    <cellStyle name="%_PALMAS Y SUB FLUJO CON ESCENARIOS - 18 MAR 8 10" xfId="2566" xr:uid="{00000000-0005-0000-0000-0000C7090000}"/>
    <cellStyle name="%_PALMAS Y SUB FLUJO CON ESCENARIOS - 18 MAR 8 11" xfId="2567" xr:uid="{00000000-0005-0000-0000-0000C8090000}"/>
    <cellStyle name="%_PALMAS Y SUB FLUJO CON ESCENARIOS - 18 MAR 8 12" xfId="2568" xr:uid="{00000000-0005-0000-0000-0000C9090000}"/>
    <cellStyle name="%_PALMAS Y SUB FLUJO CON ESCENARIOS - 18 MAR 8 13" xfId="2569" xr:uid="{00000000-0005-0000-0000-0000CA090000}"/>
    <cellStyle name="%_PALMAS Y SUB FLUJO CON ESCENARIOS - 18 MAR 8 2" xfId="2570" xr:uid="{00000000-0005-0000-0000-0000CB090000}"/>
    <cellStyle name="%_PALMAS Y SUB FLUJO CON ESCENARIOS - 18 MAR 8 3" xfId="2571" xr:uid="{00000000-0005-0000-0000-0000CC090000}"/>
    <cellStyle name="%_PALMAS Y SUB FLUJO CON ESCENARIOS - 18 MAR 8 4" xfId="2572" xr:uid="{00000000-0005-0000-0000-0000CD090000}"/>
    <cellStyle name="%_PALMAS Y SUB FLUJO CON ESCENARIOS - 18 MAR 8 5" xfId="2573" xr:uid="{00000000-0005-0000-0000-0000CE090000}"/>
    <cellStyle name="%_PALMAS Y SUB FLUJO CON ESCENARIOS - 18 MAR 8 6" xfId="2574" xr:uid="{00000000-0005-0000-0000-0000CF090000}"/>
    <cellStyle name="%_PALMAS Y SUB FLUJO CON ESCENARIOS - 18 MAR 8 7" xfId="2575" xr:uid="{00000000-0005-0000-0000-0000D0090000}"/>
    <cellStyle name="%_PALMAS Y SUB FLUJO CON ESCENARIOS - 18 MAR 8 8" xfId="2576" xr:uid="{00000000-0005-0000-0000-0000D1090000}"/>
    <cellStyle name="%_PALMAS Y SUB FLUJO CON ESCENARIOS - 18 MAR 8 9" xfId="2577" xr:uid="{00000000-0005-0000-0000-0000D2090000}"/>
    <cellStyle name="%_Para grupo ransa" xfId="2578" xr:uid="{00000000-0005-0000-0000-0000D3090000}"/>
    <cellStyle name="%_PB. 2011 - Versión Final 30 Dic al Comité de Grencia" xfId="2579" xr:uid="{00000000-0005-0000-0000-0000D4090000}"/>
    <cellStyle name="%_PD Dic 10 Minka" xfId="2580" xr:uid="{00000000-0005-0000-0000-0000D5090000}"/>
    <cellStyle name="%_PD Dic 10 Pesquera" xfId="2581" xr:uid="{00000000-0005-0000-0000-0000D6090000}"/>
    <cellStyle name="%_PD NOV 2010 MINKA" xfId="2582" xr:uid="{00000000-0005-0000-0000-0000D7090000}"/>
    <cellStyle name="%_PD NOV 2010 PESQUERA" xfId="2583" xr:uid="{00000000-0005-0000-0000-0000D8090000}"/>
    <cellStyle name="%_POS_DEU_MINKA OCTUBRE 2010" xfId="2584" xr:uid="{00000000-0005-0000-0000-0000D9090000}"/>
    <cellStyle name="%_Ppto Directorio Workfile - Jul" xfId="2585" xr:uid="{00000000-0005-0000-0000-0000DA090000}"/>
    <cellStyle name="%_Ppto Directorio Workfile - May" xfId="2586" xr:uid="{00000000-0005-0000-0000-0000DB090000}"/>
    <cellStyle name="%_Ppto Directorio Workfile - Oct" xfId="2587" xr:uid="{00000000-0005-0000-0000-0000DC090000}"/>
    <cellStyle name="%_Ppto Directorio Workfile - Set" xfId="2588" xr:uid="{00000000-0005-0000-0000-0000DD090000}"/>
    <cellStyle name="%_PRESENTACION BCOS MARZO 2010" xfId="2589" xr:uid="{00000000-0005-0000-0000-0000DE090000}"/>
    <cellStyle name="%_PRESENTACION BCOS MARZO 2010 2" xfId="2590" xr:uid="{00000000-0005-0000-0000-0000DF090000}"/>
    <cellStyle name="%_PRESENTACION BCOS MARZO 2010 2 10" xfId="2591" xr:uid="{00000000-0005-0000-0000-0000E0090000}"/>
    <cellStyle name="%_PRESENTACION BCOS MARZO 2010 2 11" xfId="2592" xr:uid="{00000000-0005-0000-0000-0000E1090000}"/>
    <cellStyle name="%_PRESENTACION BCOS MARZO 2010 2 12" xfId="2593" xr:uid="{00000000-0005-0000-0000-0000E2090000}"/>
    <cellStyle name="%_PRESENTACION BCOS MARZO 2010 2 13" xfId="2594" xr:uid="{00000000-0005-0000-0000-0000E3090000}"/>
    <cellStyle name="%_PRESENTACION BCOS MARZO 2010 2 2" xfId="2595" xr:uid="{00000000-0005-0000-0000-0000E4090000}"/>
    <cellStyle name="%_PRESENTACION BCOS MARZO 2010 2 3" xfId="2596" xr:uid="{00000000-0005-0000-0000-0000E5090000}"/>
    <cellStyle name="%_PRESENTACION BCOS MARZO 2010 2 4" xfId="2597" xr:uid="{00000000-0005-0000-0000-0000E6090000}"/>
    <cellStyle name="%_PRESENTACION BCOS MARZO 2010 2 5" xfId="2598" xr:uid="{00000000-0005-0000-0000-0000E7090000}"/>
    <cellStyle name="%_PRESENTACION BCOS MARZO 2010 2 6" xfId="2599" xr:uid="{00000000-0005-0000-0000-0000E8090000}"/>
    <cellStyle name="%_PRESENTACION BCOS MARZO 2010 2 7" xfId="2600" xr:uid="{00000000-0005-0000-0000-0000E9090000}"/>
    <cellStyle name="%_PRESENTACION BCOS MARZO 2010 2 8" xfId="2601" xr:uid="{00000000-0005-0000-0000-0000EA090000}"/>
    <cellStyle name="%_PRESENTACION BCOS MARZO 2010 2 9" xfId="2602" xr:uid="{00000000-0005-0000-0000-0000EB090000}"/>
    <cellStyle name="%_PRESENTACION BCOS MARZO 2010 3" xfId="2603" xr:uid="{00000000-0005-0000-0000-0000EC090000}"/>
    <cellStyle name="%_PRESENTACION BCOS MARZO 2010 3 10" xfId="2604" xr:uid="{00000000-0005-0000-0000-0000ED090000}"/>
    <cellStyle name="%_PRESENTACION BCOS MARZO 2010 3 11" xfId="2605" xr:uid="{00000000-0005-0000-0000-0000EE090000}"/>
    <cellStyle name="%_PRESENTACION BCOS MARZO 2010 3 12" xfId="2606" xr:uid="{00000000-0005-0000-0000-0000EF090000}"/>
    <cellStyle name="%_PRESENTACION BCOS MARZO 2010 3 13" xfId="2607" xr:uid="{00000000-0005-0000-0000-0000F0090000}"/>
    <cellStyle name="%_PRESENTACION BCOS MARZO 2010 3 2" xfId="2608" xr:uid="{00000000-0005-0000-0000-0000F1090000}"/>
    <cellStyle name="%_PRESENTACION BCOS MARZO 2010 3 3" xfId="2609" xr:uid="{00000000-0005-0000-0000-0000F2090000}"/>
    <cellStyle name="%_PRESENTACION BCOS MARZO 2010 3 4" xfId="2610" xr:uid="{00000000-0005-0000-0000-0000F3090000}"/>
    <cellStyle name="%_PRESENTACION BCOS MARZO 2010 3 5" xfId="2611" xr:uid="{00000000-0005-0000-0000-0000F4090000}"/>
    <cellStyle name="%_PRESENTACION BCOS MARZO 2010 3 6" xfId="2612" xr:uid="{00000000-0005-0000-0000-0000F5090000}"/>
    <cellStyle name="%_PRESENTACION BCOS MARZO 2010 3 7" xfId="2613" xr:uid="{00000000-0005-0000-0000-0000F6090000}"/>
    <cellStyle name="%_PRESENTACION BCOS MARZO 2010 3 8" xfId="2614" xr:uid="{00000000-0005-0000-0000-0000F7090000}"/>
    <cellStyle name="%_PRESENTACION BCOS MARZO 2010 3 9" xfId="2615" xr:uid="{00000000-0005-0000-0000-0000F8090000}"/>
    <cellStyle name="%_PRESENTACION BCOS MARZO 2010 4" xfId="2616" xr:uid="{00000000-0005-0000-0000-0000F9090000}"/>
    <cellStyle name="%_PRESENTACION BCOS MARZO 2010 4 10" xfId="2617" xr:uid="{00000000-0005-0000-0000-0000FA090000}"/>
    <cellStyle name="%_PRESENTACION BCOS MARZO 2010 4 11" xfId="2618" xr:uid="{00000000-0005-0000-0000-0000FB090000}"/>
    <cellStyle name="%_PRESENTACION BCOS MARZO 2010 4 12" xfId="2619" xr:uid="{00000000-0005-0000-0000-0000FC090000}"/>
    <cellStyle name="%_PRESENTACION BCOS MARZO 2010 4 13" xfId="2620" xr:uid="{00000000-0005-0000-0000-0000FD090000}"/>
    <cellStyle name="%_PRESENTACION BCOS MARZO 2010 4 2" xfId="2621" xr:uid="{00000000-0005-0000-0000-0000FE090000}"/>
    <cellStyle name="%_PRESENTACION BCOS MARZO 2010 4 3" xfId="2622" xr:uid="{00000000-0005-0000-0000-0000FF090000}"/>
    <cellStyle name="%_PRESENTACION BCOS MARZO 2010 4 4" xfId="2623" xr:uid="{00000000-0005-0000-0000-0000000A0000}"/>
    <cellStyle name="%_PRESENTACION BCOS MARZO 2010 4 5" xfId="2624" xr:uid="{00000000-0005-0000-0000-0000010A0000}"/>
    <cellStyle name="%_PRESENTACION BCOS MARZO 2010 4 6" xfId="2625" xr:uid="{00000000-0005-0000-0000-0000020A0000}"/>
    <cellStyle name="%_PRESENTACION BCOS MARZO 2010 4 7" xfId="2626" xr:uid="{00000000-0005-0000-0000-0000030A0000}"/>
    <cellStyle name="%_PRESENTACION BCOS MARZO 2010 4 8" xfId="2627" xr:uid="{00000000-0005-0000-0000-0000040A0000}"/>
    <cellStyle name="%_PRESENTACION BCOS MARZO 2010 4 9" xfId="2628" xr:uid="{00000000-0005-0000-0000-0000050A0000}"/>
    <cellStyle name="%_PRESENTACION BCOS MARZO 2010 5" xfId="2629" xr:uid="{00000000-0005-0000-0000-0000060A0000}"/>
    <cellStyle name="%_PRESENTACION BCOS MARZO 2010 5 10" xfId="2630" xr:uid="{00000000-0005-0000-0000-0000070A0000}"/>
    <cellStyle name="%_PRESENTACION BCOS MARZO 2010 5 11" xfId="2631" xr:uid="{00000000-0005-0000-0000-0000080A0000}"/>
    <cellStyle name="%_PRESENTACION BCOS MARZO 2010 5 12" xfId="2632" xr:uid="{00000000-0005-0000-0000-0000090A0000}"/>
    <cellStyle name="%_PRESENTACION BCOS MARZO 2010 5 13" xfId="2633" xr:uid="{00000000-0005-0000-0000-00000A0A0000}"/>
    <cellStyle name="%_PRESENTACION BCOS MARZO 2010 5 2" xfId="2634" xr:uid="{00000000-0005-0000-0000-00000B0A0000}"/>
    <cellStyle name="%_PRESENTACION BCOS MARZO 2010 5 3" xfId="2635" xr:uid="{00000000-0005-0000-0000-00000C0A0000}"/>
    <cellStyle name="%_PRESENTACION BCOS MARZO 2010 5 4" xfId="2636" xr:uid="{00000000-0005-0000-0000-00000D0A0000}"/>
    <cellStyle name="%_PRESENTACION BCOS MARZO 2010 5 5" xfId="2637" xr:uid="{00000000-0005-0000-0000-00000E0A0000}"/>
    <cellStyle name="%_PRESENTACION BCOS MARZO 2010 5 6" xfId="2638" xr:uid="{00000000-0005-0000-0000-00000F0A0000}"/>
    <cellStyle name="%_PRESENTACION BCOS MARZO 2010 5 7" xfId="2639" xr:uid="{00000000-0005-0000-0000-0000100A0000}"/>
    <cellStyle name="%_PRESENTACION BCOS MARZO 2010 5 8" xfId="2640" xr:uid="{00000000-0005-0000-0000-0000110A0000}"/>
    <cellStyle name="%_PRESENTACION BCOS MARZO 2010 5 9" xfId="2641" xr:uid="{00000000-0005-0000-0000-0000120A0000}"/>
    <cellStyle name="%_PRESENTACION BCOS MARZO 2010 6" xfId="2642" xr:uid="{00000000-0005-0000-0000-0000130A0000}"/>
    <cellStyle name="%_PRESENTACION BCOS MARZO 2010 6 10" xfId="2643" xr:uid="{00000000-0005-0000-0000-0000140A0000}"/>
    <cellStyle name="%_PRESENTACION BCOS MARZO 2010 6 11" xfId="2644" xr:uid="{00000000-0005-0000-0000-0000150A0000}"/>
    <cellStyle name="%_PRESENTACION BCOS MARZO 2010 6 12" xfId="2645" xr:uid="{00000000-0005-0000-0000-0000160A0000}"/>
    <cellStyle name="%_PRESENTACION BCOS MARZO 2010 6 13" xfId="2646" xr:uid="{00000000-0005-0000-0000-0000170A0000}"/>
    <cellStyle name="%_PRESENTACION BCOS MARZO 2010 6 2" xfId="2647" xr:uid="{00000000-0005-0000-0000-0000180A0000}"/>
    <cellStyle name="%_PRESENTACION BCOS MARZO 2010 6 3" xfId="2648" xr:uid="{00000000-0005-0000-0000-0000190A0000}"/>
    <cellStyle name="%_PRESENTACION BCOS MARZO 2010 6 4" xfId="2649" xr:uid="{00000000-0005-0000-0000-00001A0A0000}"/>
    <cellStyle name="%_PRESENTACION BCOS MARZO 2010 6 5" xfId="2650" xr:uid="{00000000-0005-0000-0000-00001B0A0000}"/>
    <cellStyle name="%_PRESENTACION BCOS MARZO 2010 6 6" xfId="2651" xr:uid="{00000000-0005-0000-0000-00001C0A0000}"/>
    <cellStyle name="%_PRESENTACION BCOS MARZO 2010 6 7" xfId="2652" xr:uid="{00000000-0005-0000-0000-00001D0A0000}"/>
    <cellStyle name="%_PRESENTACION BCOS MARZO 2010 6 8" xfId="2653" xr:uid="{00000000-0005-0000-0000-00001E0A0000}"/>
    <cellStyle name="%_PRESENTACION BCOS MARZO 2010 6 9" xfId="2654" xr:uid="{00000000-0005-0000-0000-00001F0A0000}"/>
    <cellStyle name="%_PRESENTACION BCOS MARZO 2010 7" xfId="2655" xr:uid="{00000000-0005-0000-0000-0000200A0000}"/>
    <cellStyle name="%_PRESENTACION BCOS MARZO 2010 7 10" xfId="2656" xr:uid="{00000000-0005-0000-0000-0000210A0000}"/>
    <cellStyle name="%_PRESENTACION BCOS MARZO 2010 7 11" xfId="2657" xr:uid="{00000000-0005-0000-0000-0000220A0000}"/>
    <cellStyle name="%_PRESENTACION BCOS MARZO 2010 7 12" xfId="2658" xr:uid="{00000000-0005-0000-0000-0000230A0000}"/>
    <cellStyle name="%_PRESENTACION BCOS MARZO 2010 7 13" xfId="2659" xr:uid="{00000000-0005-0000-0000-0000240A0000}"/>
    <cellStyle name="%_PRESENTACION BCOS MARZO 2010 7 2" xfId="2660" xr:uid="{00000000-0005-0000-0000-0000250A0000}"/>
    <cellStyle name="%_PRESENTACION BCOS MARZO 2010 7 3" xfId="2661" xr:uid="{00000000-0005-0000-0000-0000260A0000}"/>
    <cellStyle name="%_PRESENTACION BCOS MARZO 2010 7 4" xfId="2662" xr:uid="{00000000-0005-0000-0000-0000270A0000}"/>
    <cellStyle name="%_PRESENTACION BCOS MARZO 2010 7 5" xfId="2663" xr:uid="{00000000-0005-0000-0000-0000280A0000}"/>
    <cellStyle name="%_PRESENTACION BCOS MARZO 2010 7 6" xfId="2664" xr:uid="{00000000-0005-0000-0000-0000290A0000}"/>
    <cellStyle name="%_PRESENTACION BCOS MARZO 2010 7 7" xfId="2665" xr:uid="{00000000-0005-0000-0000-00002A0A0000}"/>
    <cellStyle name="%_PRESENTACION BCOS MARZO 2010 7 8" xfId="2666" xr:uid="{00000000-0005-0000-0000-00002B0A0000}"/>
    <cellStyle name="%_PRESENTACION BCOS MARZO 2010 7 9" xfId="2667" xr:uid="{00000000-0005-0000-0000-00002C0A0000}"/>
    <cellStyle name="%_PRESENTACION BCOS MARZO 2010 8" xfId="2668" xr:uid="{00000000-0005-0000-0000-00002D0A0000}"/>
    <cellStyle name="%_PRESENTACION BCOS MARZO 2010 8 10" xfId="2669" xr:uid="{00000000-0005-0000-0000-00002E0A0000}"/>
    <cellStyle name="%_PRESENTACION BCOS MARZO 2010 8 11" xfId="2670" xr:uid="{00000000-0005-0000-0000-00002F0A0000}"/>
    <cellStyle name="%_PRESENTACION BCOS MARZO 2010 8 12" xfId="2671" xr:uid="{00000000-0005-0000-0000-0000300A0000}"/>
    <cellStyle name="%_PRESENTACION BCOS MARZO 2010 8 13" xfId="2672" xr:uid="{00000000-0005-0000-0000-0000310A0000}"/>
    <cellStyle name="%_PRESENTACION BCOS MARZO 2010 8 2" xfId="2673" xr:uid="{00000000-0005-0000-0000-0000320A0000}"/>
    <cellStyle name="%_PRESENTACION BCOS MARZO 2010 8 3" xfId="2674" xr:uid="{00000000-0005-0000-0000-0000330A0000}"/>
    <cellStyle name="%_PRESENTACION BCOS MARZO 2010 8 4" xfId="2675" xr:uid="{00000000-0005-0000-0000-0000340A0000}"/>
    <cellStyle name="%_PRESENTACION BCOS MARZO 2010 8 5" xfId="2676" xr:uid="{00000000-0005-0000-0000-0000350A0000}"/>
    <cellStyle name="%_PRESENTACION BCOS MARZO 2010 8 6" xfId="2677" xr:uid="{00000000-0005-0000-0000-0000360A0000}"/>
    <cellStyle name="%_PRESENTACION BCOS MARZO 2010 8 7" xfId="2678" xr:uid="{00000000-0005-0000-0000-0000370A0000}"/>
    <cellStyle name="%_PRESENTACION BCOS MARZO 2010 8 8" xfId="2679" xr:uid="{00000000-0005-0000-0000-0000380A0000}"/>
    <cellStyle name="%_PRESENTACION BCOS MARZO 2010 8 9" xfId="2680" xr:uid="{00000000-0005-0000-0000-0000390A0000}"/>
    <cellStyle name="%_Presupuesto ACH 2010-2011" xfId="2681" xr:uid="{00000000-0005-0000-0000-00003A0A0000}"/>
    <cellStyle name="%_Presupuesto Directorio 2009 Abr Real Dic Proyectado (workfile)" xfId="2682" xr:uid="{00000000-0005-0000-0000-00003B0A0000}"/>
    <cellStyle name="%_Presupuesto Directorio 2009 Mar Real Dic Proyectado (workfile)" xfId="2683" xr:uid="{00000000-0005-0000-0000-00003C0A0000}"/>
    <cellStyle name="%_PRESUPUESTOS PRIMAX Y SAMTRONICS FORMATO ING SEMINARIO" xfId="2684" xr:uid="{00000000-0005-0000-0000-00003D0A0000}"/>
    <cellStyle name="%_PRESUPUESTOS PRIMAX Y SAMTRONICS FORMATO ING SEMINARIO 2" xfId="2685" xr:uid="{00000000-0005-0000-0000-00003E0A0000}"/>
    <cellStyle name="%_PRESUPUESTOS PRIMAX Y SAMTRONICS FORMATO ING SEMINARIO 2 10" xfId="2686" xr:uid="{00000000-0005-0000-0000-00003F0A0000}"/>
    <cellStyle name="%_PRESUPUESTOS PRIMAX Y SAMTRONICS FORMATO ING SEMINARIO 2 11" xfId="2687" xr:uid="{00000000-0005-0000-0000-0000400A0000}"/>
    <cellStyle name="%_PRESUPUESTOS PRIMAX Y SAMTRONICS FORMATO ING SEMINARIO 2 12" xfId="2688" xr:uid="{00000000-0005-0000-0000-0000410A0000}"/>
    <cellStyle name="%_PRESUPUESTOS PRIMAX Y SAMTRONICS FORMATO ING SEMINARIO 2 13" xfId="2689" xr:uid="{00000000-0005-0000-0000-0000420A0000}"/>
    <cellStyle name="%_PRESUPUESTOS PRIMAX Y SAMTRONICS FORMATO ING SEMINARIO 2 2" xfId="2690" xr:uid="{00000000-0005-0000-0000-0000430A0000}"/>
    <cellStyle name="%_PRESUPUESTOS PRIMAX Y SAMTRONICS FORMATO ING SEMINARIO 2 3" xfId="2691" xr:uid="{00000000-0005-0000-0000-0000440A0000}"/>
    <cellStyle name="%_PRESUPUESTOS PRIMAX Y SAMTRONICS FORMATO ING SEMINARIO 2 4" xfId="2692" xr:uid="{00000000-0005-0000-0000-0000450A0000}"/>
    <cellStyle name="%_PRESUPUESTOS PRIMAX Y SAMTRONICS FORMATO ING SEMINARIO 2 5" xfId="2693" xr:uid="{00000000-0005-0000-0000-0000460A0000}"/>
    <cellStyle name="%_PRESUPUESTOS PRIMAX Y SAMTRONICS FORMATO ING SEMINARIO 2 6" xfId="2694" xr:uid="{00000000-0005-0000-0000-0000470A0000}"/>
    <cellStyle name="%_PRESUPUESTOS PRIMAX Y SAMTRONICS FORMATO ING SEMINARIO 2 7" xfId="2695" xr:uid="{00000000-0005-0000-0000-0000480A0000}"/>
    <cellStyle name="%_PRESUPUESTOS PRIMAX Y SAMTRONICS FORMATO ING SEMINARIO 2 8" xfId="2696" xr:uid="{00000000-0005-0000-0000-0000490A0000}"/>
    <cellStyle name="%_PRESUPUESTOS PRIMAX Y SAMTRONICS FORMATO ING SEMINARIO 2 9" xfId="2697" xr:uid="{00000000-0005-0000-0000-00004A0A0000}"/>
    <cellStyle name="%_PRESUPUESTOS PRIMAX Y SAMTRONICS FORMATO ING SEMINARIO 3" xfId="2698" xr:uid="{00000000-0005-0000-0000-00004B0A0000}"/>
    <cellStyle name="%_PRESUPUESTOS PRIMAX Y SAMTRONICS FORMATO ING SEMINARIO 3 10" xfId="2699" xr:uid="{00000000-0005-0000-0000-00004C0A0000}"/>
    <cellStyle name="%_PRESUPUESTOS PRIMAX Y SAMTRONICS FORMATO ING SEMINARIO 3 11" xfId="2700" xr:uid="{00000000-0005-0000-0000-00004D0A0000}"/>
    <cellStyle name="%_PRESUPUESTOS PRIMAX Y SAMTRONICS FORMATO ING SEMINARIO 3 12" xfId="2701" xr:uid="{00000000-0005-0000-0000-00004E0A0000}"/>
    <cellStyle name="%_PRESUPUESTOS PRIMAX Y SAMTRONICS FORMATO ING SEMINARIO 3 13" xfId="2702" xr:uid="{00000000-0005-0000-0000-00004F0A0000}"/>
    <cellStyle name="%_PRESUPUESTOS PRIMAX Y SAMTRONICS FORMATO ING SEMINARIO 3 2" xfId="2703" xr:uid="{00000000-0005-0000-0000-0000500A0000}"/>
    <cellStyle name="%_PRESUPUESTOS PRIMAX Y SAMTRONICS FORMATO ING SEMINARIO 3 3" xfId="2704" xr:uid="{00000000-0005-0000-0000-0000510A0000}"/>
    <cellStyle name="%_PRESUPUESTOS PRIMAX Y SAMTRONICS FORMATO ING SEMINARIO 3 4" xfId="2705" xr:uid="{00000000-0005-0000-0000-0000520A0000}"/>
    <cellStyle name="%_PRESUPUESTOS PRIMAX Y SAMTRONICS FORMATO ING SEMINARIO 3 5" xfId="2706" xr:uid="{00000000-0005-0000-0000-0000530A0000}"/>
    <cellStyle name="%_PRESUPUESTOS PRIMAX Y SAMTRONICS FORMATO ING SEMINARIO 3 6" xfId="2707" xr:uid="{00000000-0005-0000-0000-0000540A0000}"/>
    <cellStyle name="%_PRESUPUESTOS PRIMAX Y SAMTRONICS FORMATO ING SEMINARIO 3 7" xfId="2708" xr:uid="{00000000-0005-0000-0000-0000550A0000}"/>
    <cellStyle name="%_PRESUPUESTOS PRIMAX Y SAMTRONICS FORMATO ING SEMINARIO 3 8" xfId="2709" xr:uid="{00000000-0005-0000-0000-0000560A0000}"/>
    <cellStyle name="%_PRESUPUESTOS PRIMAX Y SAMTRONICS FORMATO ING SEMINARIO 3 9" xfId="2710" xr:uid="{00000000-0005-0000-0000-0000570A0000}"/>
    <cellStyle name="%_PRESUPUESTOS PRIMAX Y SAMTRONICS FORMATO ING SEMINARIO 4" xfId="2711" xr:uid="{00000000-0005-0000-0000-0000580A0000}"/>
    <cellStyle name="%_PRESUPUESTOS PRIMAX Y SAMTRONICS FORMATO ING SEMINARIO 4 10" xfId="2712" xr:uid="{00000000-0005-0000-0000-0000590A0000}"/>
    <cellStyle name="%_PRESUPUESTOS PRIMAX Y SAMTRONICS FORMATO ING SEMINARIO 4 11" xfId="2713" xr:uid="{00000000-0005-0000-0000-00005A0A0000}"/>
    <cellStyle name="%_PRESUPUESTOS PRIMAX Y SAMTRONICS FORMATO ING SEMINARIO 4 12" xfId="2714" xr:uid="{00000000-0005-0000-0000-00005B0A0000}"/>
    <cellStyle name="%_PRESUPUESTOS PRIMAX Y SAMTRONICS FORMATO ING SEMINARIO 4 13" xfId="2715" xr:uid="{00000000-0005-0000-0000-00005C0A0000}"/>
    <cellStyle name="%_PRESUPUESTOS PRIMAX Y SAMTRONICS FORMATO ING SEMINARIO 4 2" xfId="2716" xr:uid="{00000000-0005-0000-0000-00005D0A0000}"/>
    <cellStyle name="%_PRESUPUESTOS PRIMAX Y SAMTRONICS FORMATO ING SEMINARIO 4 3" xfId="2717" xr:uid="{00000000-0005-0000-0000-00005E0A0000}"/>
    <cellStyle name="%_PRESUPUESTOS PRIMAX Y SAMTRONICS FORMATO ING SEMINARIO 4 4" xfId="2718" xr:uid="{00000000-0005-0000-0000-00005F0A0000}"/>
    <cellStyle name="%_PRESUPUESTOS PRIMAX Y SAMTRONICS FORMATO ING SEMINARIO 4 5" xfId="2719" xr:uid="{00000000-0005-0000-0000-0000600A0000}"/>
    <cellStyle name="%_PRESUPUESTOS PRIMAX Y SAMTRONICS FORMATO ING SEMINARIO 4 6" xfId="2720" xr:uid="{00000000-0005-0000-0000-0000610A0000}"/>
    <cellStyle name="%_PRESUPUESTOS PRIMAX Y SAMTRONICS FORMATO ING SEMINARIO 4 7" xfId="2721" xr:uid="{00000000-0005-0000-0000-0000620A0000}"/>
    <cellStyle name="%_PRESUPUESTOS PRIMAX Y SAMTRONICS FORMATO ING SEMINARIO 4 8" xfId="2722" xr:uid="{00000000-0005-0000-0000-0000630A0000}"/>
    <cellStyle name="%_PRESUPUESTOS PRIMAX Y SAMTRONICS FORMATO ING SEMINARIO 4 9" xfId="2723" xr:uid="{00000000-0005-0000-0000-0000640A0000}"/>
    <cellStyle name="%_PRESUPUESTOS PRIMAX Y SAMTRONICS FORMATO ING SEMINARIO 5" xfId="2724" xr:uid="{00000000-0005-0000-0000-0000650A0000}"/>
    <cellStyle name="%_PRESUPUESTOS PRIMAX Y SAMTRONICS FORMATO ING SEMINARIO 5 10" xfId="2725" xr:uid="{00000000-0005-0000-0000-0000660A0000}"/>
    <cellStyle name="%_PRESUPUESTOS PRIMAX Y SAMTRONICS FORMATO ING SEMINARIO 5 11" xfId="2726" xr:uid="{00000000-0005-0000-0000-0000670A0000}"/>
    <cellStyle name="%_PRESUPUESTOS PRIMAX Y SAMTRONICS FORMATO ING SEMINARIO 5 12" xfId="2727" xr:uid="{00000000-0005-0000-0000-0000680A0000}"/>
    <cellStyle name="%_PRESUPUESTOS PRIMAX Y SAMTRONICS FORMATO ING SEMINARIO 5 13" xfId="2728" xr:uid="{00000000-0005-0000-0000-0000690A0000}"/>
    <cellStyle name="%_PRESUPUESTOS PRIMAX Y SAMTRONICS FORMATO ING SEMINARIO 5 2" xfId="2729" xr:uid="{00000000-0005-0000-0000-00006A0A0000}"/>
    <cellStyle name="%_PRESUPUESTOS PRIMAX Y SAMTRONICS FORMATO ING SEMINARIO 5 3" xfId="2730" xr:uid="{00000000-0005-0000-0000-00006B0A0000}"/>
    <cellStyle name="%_PRESUPUESTOS PRIMAX Y SAMTRONICS FORMATO ING SEMINARIO 5 4" xfId="2731" xr:uid="{00000000-0005-0000-0000-00006C0A0000}"/>
    <cellStyle name="%_PRESUPUESTOS PRIMAX Y SAMTRONICS FORMATO ING SEMINARIO 5 5" xfId="2732" xr:uid="{00000000-0005-0000-0000-00006D0A0000}"/>
    <cellStyle name="%_PRESUPUESTOS PRIMAX Y SAMTRONICS FORMATO ING SEMINARIO 5 6" xfId="2733" xr:uid="{00000000-0005-0000-0000-00006E0A0000}"/>
    <cellStyle name="%_PRESUPUESTOS PRIMAX Y SAMTRONICS FORMATO ING SEMINARIO 5 7" xfId="2734" xr:uid="{00000000-0005-0000-0000-00006F0A0000}"/>
    <cellStyle name="%_PRESUPUESTOS PRIMAX Y SAMTRONICS FORMATO ING SEMINARIO 5 8" xfId="2735" xr:uid="{00000000-0005-0000-0000-0000700A0000}"/>
    <cellStyle name="%_PRESUPUESTOS PRIMAX Y SAMTRONICS FORMATO ING SEMINARIO 5 9" xfId="2736" xr:uid="{00000000-0005-0000-0000-0000710A0000}"/>
    <cellStyle name="%_PRESUPUESTOS PRIMAX Y SAMTRONICS FORMATO ING SEMINARIO 6" xfId="2737" xr:uid="{00000000-0005-0000-0000-0000720A0000}"/>
    <cellStyle name="%_PRESUPUESTOS PRIMAX Y SAMTRONICS FORMATO ING SEMINARIO 6 10" xfId="2738" xr:uid="{00000000-0005-0000-0000-0000730A0000}"/>
    <cellStyle name="%_PRESUPUESTOS PRIMAX Y SAMTRONICS FORMATO ING SEMINARIO 6 11" xfId="2739" xr:uid="{00000000-0005-0000-0000-0000740A0000}"/>
    <cellStyle name="%_PRESUPUESTOS PRIMAX Y SAMTRONICS FORMATO ING SEMINARIO 6 12" xfId="2740" xr:uid="{00000000-0005-0000-0000-0000750A0000}"/>
    <cellStyle name="%_PRESUPUESTOS PRIMAX Y SAMTRONICS FORMATO ING SEMINARIO 6 13" xfId="2741" xr:uid="{00000000-0005-0000-0000-0000760A0000}"/>
    <cellStyle name="%_PRESUPUESTOS PRIMAX Y SAMTRONICS FORMATO ING SEMINARIO 6 2" xfId="2742" xr:uid="{00000000-0005-0000-0000-0000770A0000}"/>
    <cellStyle name="%_PRESUPUESTOS PRIMAX Y SAMTRONICS FORMATO ING SEMINARIO 6 3" xfId="2743" xr:uid="{00000000-0005-0000-0000-0000780A0000}"/>
    <cellStyle name="%_PRESUPUESTOS PRIMAX Y SAMTRONICS FORMATO ING SEMINARIO 6 4" xfId="2744" xr:uid="{00000000-0005-0000-0000-0000790A0000}"/>
    <cellStyle name="%_PRESUPUESTOS PRIMAX Y SAMTRONICS FORMATO ING SEMINARIO 6 5" xfId="2745" xr:uid="{00000000-0005-0000-0000-00007A0A0000}"/>
    <cellStyle name="%_PRESUPUESTOS PRIMAX Y SAMTRONICS FORMATO ING SEMINARIO 6 6" xfId="2746" xr:uid="{00000000-0005-0000-0000-00007B0A0000}"/>
    <cellStyle name="%_PRESUPUESTOS PRIMAX Y SAMTRONICS FORMATO ING SEMINARIO 6 7" xfId="2747" xr:uid="{00000000-0005-0000-0000-00007C0A0000}"/>
    <cellStyle name="%_PRESUPUESTOS PRIMAX Y SAMTRONICS FORMATO ING SEMINARIO 6 8" xfId="2748" xr:uid="{00000000-0005-0000-0000-00007D0A0000}"/>
    <cellStyle name="%_PRESUPUESTOS PRIMAX Y SAMTRONICS FORMATO ING SEMINARIO 6 9" xfId="2749" xr:uid="{00000000-0005-0000-0000-00007E0A0000}"/>
    <cellStyle name="%_PRESUPUESTOS PRIMAX Y SAMTRONICS FORMATO ING SEMINARIO 7" xfId="2750" xr:uid="{00000000-0005-0000-0000-00007F0A0000}"/>
    <cellStyle name="%_PRESUPUESTOS PRIMAX Y SAMTRONICS FORMATO ING SEMINARIO 7 10" xfId="2751" xr:uid="{00000000-0005-0000-0000-0000800A0000}"/>
    <cellStyle name="%_PRESUPUESTOS PRIMAX Y SAMTRONICS FORMATO ING SEMINARIO 7 11" xfId="2752" xr:uid="{00000000-0005-0000-0000-0000810A0000}"/>
    <cellStyle name="%_PRESUPUESTOS PRIMAX Y SAMTRONICS FORMATO ING SEMINARIO 7 12" xfId="2753" xr:uid="{00000000-0005-0000-0000-0000820A0000}"/>
    <cellStyle name="%_PRESUPUESTOS PRIMAX Y SAMTRONICS FORMATO ING SEMINARIO 7 13" xfId="2754" xr:uid="{00000000-0005-0000-0000-0000830A0000}"/>
    <cellStyle name="%_PRESUPUESTOS PRIMAX Y SAMTRONICS FORMATO ING SEMINARIO 7 2" xfId="2755" xr:uid="{00000000-0005-0000-0000-0000840A0000}"/>
    <cellStyle name="%_PRESUPUESTOS PRIMAX Y SAMTRONICS FORMATO ING SEMINARIO 7 3" xfId="2756" xr:uid="{00000000-0005-0000-0000-0000850A0000}"/>
    <cellStyle name="%_PRESUPUESTOS PRIMAX Y SAMTRONICS FORMATO ING SEMINARIO 7 4" xfId="2757" xr:uid="{00000000-0005-0000-0000-0000860A0000}"/>
    <cellStyle name="%_PRESUPUESTOS PRIMAX Y SAMTRONICS FORMATO ING SEMINARIO 7 5" xfId="2758" xr:uid="{00000000-0005-0000-0000-0000870A0000}"/>
    <cellStyle name="%_PRESUPUESTOS PRIMAX Y SAMTRONICS FORMATO ING SEMINARIO 7 6" xfId="2759" xr:uid="{00000000-0005-0000-0000-0000880A0000}"/>
    <cellStyle name="%_PRESUPUESTOS PRIMAX Y SAMTRONICS FORMATO ING SEMINARIO 7 7" xfId="2760" xr:uid="{00000000-0005-0000-0000-0000890A0000}"/>
    <cellStyle name="%_PRESUPUESTOS PRIMAX Y SAMTRONICS FORMATO ING SEMINARIO 7 8" xfId="2761" xr:uid="{00000000-0005-0000-0000-00008A0A0000}"/>
    <cellStyle name="%_PRESUPUESTOS PRIMAX Y SAMTRONICS FORMATO ING SEMINARIO 7 9" xfId="2762" xr:uid="{00000000-0005-0000-0000-00008B0A0000}"/>
    <cellStyle name="%_PRESUPUESTOS PRIMAX Y SAMTRONICS FORMATO ING SEMINARIO 8" xfId="2763" xr:uid="{00000000-0005-0000-0000-00008C0A0000}"/>
    <cellStyle name="%_PRESUPUESTOS PRIMAX Y SAMTRONICS FORMATO ING SEMINARIO 8 10" xfId="2764" xr:uid="{00000000-0005-0000-0000-00008D0A0000}"/>
    <cellStyle name="%_PRESUPUESTOS PRIMAX Y SAMTRONICS FORMATO ING SEMINARIO 8 11" xfId="2765" xr:uid="{00000000-0005-0000-0000-00008E0A0000}"/>
    <cellStyle name="%_PRESUPUESTOS PRIMAX Y SAMTRONICS FORMATO ING SEMINARIO 8 12" xfId="2766" xr:uid="{00000000-0005-0000-0000-00008F0A0000}"/>
    <cellStyle name="%_PRESUPUESTOS PRIMAX Y SAMTRONICS FORMATO ING SEMINARIO 8 13" xfId="2767" xr:uid="{00000000-0005-0000-0000-0000900A0000}"/>
    <cellStyle name="%_PRESUPUESTOS PRIMAX Y SAMTRONICS FORMATO ING SEMINARIO 8 2" xfId="2768" xr:uid="{00000000-0005-0000-0000-0000910A0000}"/>
    <cellStyle name="%_PRESUPUESTOS PRIMAX Y SAMTRONICS FORMATO ING SEMINARIO 8 3" xfId="2769" xr:uid="{00000000-0005-0000-0000-0000920A0000}"/>
    <cellStyle name="%_PRESUPUESTOS PRIMAX Y SAMTRONICS FORMATO ING SEMINARIO 8 4" xfId="2770" xr:uid="{00000000-0005-0000-0000-0000930A0000}"/>
    <cellStyle name="%_PRESUPUESTOS PRIMAX Y SAMTRONICS FORMATO ING SEMINARIO 8 5" xfId="2771" xr:uid="{00000000-0005-0000-0000-0000940A0000}"/>
    <cellStyle name="%_PRESUPUESTOS PRIMAX Y SAMTRONICS FORMATO ING SEMINARIO 8 6" xfId="2772" xr:uid="{00000000-0005-0000-0000-0000950A0000}"/>
    <cellStyle name="%_PRESUPUESTOS PRIMAX Y SAMTRONICS FORMATO ING SEMINARIO 8 7" xfId="2773" xr:uid="{00000000-0005-0000-0000-0000960A0000}"/>
    <cellStyle name="%_PRESUPUESTOS PRIMAX Y SAMTRONICS FORMATO ING SEMINARIO 8 8" xfId="2774" xr:uid="{00000000-0005-0000-0000-0000970A0000}"/>
    <cellStyle name="%_PRESUPUESTOS PRIMAX Y SAMTRONICS FORMATO ING SEMINARIO 8 9" xfId="2775" xr:uid="{00000000-0005-0000-0000-0000980A0000}"/>
    <cellStyle name="%_PRESUPUESTOS PRIMAX Y SAMTRONICS FORMATO ING SEMINARIO_FLUJO CONSOLIDADO CAÑA BRAVA OCT 2010" xfId="2776" xr:uid="{00000000-0005-0000-0000-0000990A0000}"/>
    <cellStyle name="%_PRESUPUESTOS PRIMAX Y SAMTRONICS FORMATO ING SEMINARIO_Flujo de Caja Consolidado Setiembre 23.09.2010 - Ok" xfId="2777" xr:uid="{00000000-0005-0000-0000-00009A0A0000}"/>
    <cellStyle name="%_PRESUPUESTOS PRIMAX Y SAMTRONICS FORMATO ING SEMINARIO_Libro2" xfId="2778" xr:uid="{00000000-0005-0000-0000-00009B0A0000}"/>
    <cellStyle name="%_PRESUPUESTOS PRIMAX Y SAMTRONICS FORMATO ING SEMINARIO_PB. 2011 - Versión Final 30 Dic al Comité de Grencia" xfId="2779" xr:uid="{00000000-0005-0000-0000-00009C0A0000}"/>
    <cellStyle name="%_PRIMAX - DEUDA A ABRIL 2009" xfId="2780" xr:uid="{00000000-0005-0000-0000-00009D0A0000}"/>
    <cellStyle name="%_PRIMAX - DEUDA A ABRIL 2009 2" xfId="2781" xr:uid="{00000000-0005-0000-0000-00009E0A0000}"/>
    <cellStyle name="%_PRIMAX - DEUDA A AGO 2009" xfId="2782" xr:uid="{00000000-0005-0000-0000-00009F0A0000}"/>
    <cellStyle name="%_PRIMAX - DEUDA A AGO 2009 2" xfId="2783" xr:uid="{00000000-0005-0000-0000-0000A00A0000}"/>
    <cellStyle name="%_PRIMAX - DEUDA A ENE 2010" xfId="2784" xr:uid="{00000000-0005-0000-0000-0000A10A0000}"/>
    <cellStyle name="%_PRIMAX - DEUDA A FEB 2010" xfId="2785" xr:uid="{00000000-0005-0000-0000-0000A20A0000}"/>
    <cellStyle name="%_PRIMAX - DEUDA A JULIO 2009" xfId="2786" xr:uid="{00000000-0005-0000-0000-0000A30A0000}"/>
    <cellStyle name="%_PRIMAX - DEUDA A JULIO 2009 2" xfId="2787" xr:uid="{00000000-0005-0000-0000-0000A40A0000}"/>
    <cellStyle name="%_PRIMAX - DEUDA A MAR 2010" xfId="2788" xr:uid="{00000000-0005-0000-0000-0000A50A0000}"/>
    <cellStyle name="%_PRIMAX - DEUDA A MAYO 2009" xfId="2789" xr:uid="{00000000-0005-0000-0000-0000A60A0000}"/>
    <cellStyle name="%_PRIMAX - DEUDA A MAYO 2009 2" xfId="2790" xr:uid="{00000000-0005-0000-0000-0000A70A0000}"/>
    <cellStyle name="%_PRIMAX - DEUDA A NOV 2009" xfId="2791" xr:uid="{00000000-0005-0000-0000-0000A80A0000}"/>
    <cellStyle name="%_PRIMAX - DEUDA A NOV 2010" xfId="2792" xr:uid="{00000000-0005-0000-0000-0000A90A0000}"/>
    <cellStyle name="%_PRIMAX - DEUDA A OCT 2009" xfId="2793" xr:uid="{00000000-0005-0000-0000-0000AA0A0000}"/>
    <cellStyle name="%_PRIMAX - DEUDA A OCT 2009 2" xfId="2794" xr:uid="{00000000-0005-0000-0000-0000AB0A0000}"/>
    <cellStyle name="%_PRIMAX - DEUDA A OCT 2010" xfId="2795" xr:uid="{00000000-0005-0000-0000-0000AC0A0000}"/>
    <cellStyle name="%_PRIMAX - DEUDA A SEP 2009" xfId="2796" xr:uid="{00000000-0005-0000-0000-0000AD0A0000}"/>
    <cellStyle name="%_PRIMAX - DEUDA A SEP 2009 2" xfId="2797" xr:uid="{00000000-0005-0000-0000-0000AE0A0000}"/>
    <cellStyle name="%_PRIMAX - FC AGO 09" xfId="2798" xr:uid="{00000000-0005-0000-0000-0000AF0A0000}"/>
    <cellStyle name="%_PRIMAX - FC AGO 09 2" xfId="2799" xr:uid="{00000000-0005-0000-0000-0000B00A0000}"/>
    <cellStyle name="%_PRIMAX - FC AGO 09 2 10" xfId="2800" xr:uid="{00000000-0005-0000-0000-0000B10A0000}"/>
    <cellStyle name="%_PRIMAX - FC AGO 09 2 11" xfId="2801" xr:uid="{00000000-0005-0000-0000-0000B20A0000}"/>
    <cellStyle name="%_PRIMAX - FC AGO 09 2 12" xfId="2802" xr:uid="{00000000-0005-0000-0000-0000B30A0000}"/>
    <cellStyle name="%_PRIMAX - FC AGO 09 2 13" xfId="2803" xr:uid="{00000000-0005-0000-0000-0000B40A0000}"/>
    <cellStyle name="%_PRIMAX - FC AGO 09 2 2" xfId="2804" xr:uid="{00000000-0005-0000-0000-0000B50A0000}"/>
    <cellStyle name="%_PRIMAX - FC AGO 09 2 3" xfId="2805" xr:uid="{00000000-0005-0000-0000-0000B60A0000}"/>
    <cellStyle name="%_PRIMAX - FC AGO 09 2 4" xfId="2806" xr:uid="{00000000-0005-0000-0000-0000B70A0000}"/>
    <cellStyle name="%_PRIMAX - FC AGO 09 2 5" xfId="2807" xr:uid="{00000000-0005-0000-0000-0000B80A0000}"/>
    <cellStyle name="%_PRIMAX - FC AGO 09 2 6" xfId="2808" xr:uid="{00000000-0005-0000-0000-0000B90A0000}"/>
    <cellStyle name="%_PRIMAX - FC AGO 09 2 7" xfId="2809" xr:uid="{00000000-0005-0000-0000-0000BA0A0000}"/>
    <cellStyle name="%_PRIMAX - FC AGO 09 2 8" xfId="2810" xr:uid="{00000000-0005-0000-0000-0000BB0A0000}"/>
    <cellStyle name="%_PRIMAX - FC AGO 09 2 9" xfId="2811" xr:uid="{00000000-0005-0000-0000-0000BC0A0000}"/>
    <cellStyle name="%_PRIMAX - FC AGO 09 3" xfId="2812" xr:uid="{00000000-0005-0000-0000-0000BD0A0000}"/>
    <cellStyle name="%_PRIMAX - FC AGO 09 3 10" xfId="2813" xr:uid="{00000000-0005-0000-0000-0000BE0A0000}"/>
    <cellStyle name="%_PRIMAX - FC AGO 09 3 11" xfId="2814" xr:uid="{00000000-0005-0000-0000-0000BF0A0000}"/>
    <cellStyle name="%_PRIMAX - FC AGO 09 3 12" xfId="2815" xr:uid="{00000000-0005-0000-0000-0000C00A0000}"/>
    <cellStyle name="%_PRIMAX - FC AGO 09 3 13" xfId="2816" xr:uid="{00000000-0005-0000-0000-0000C10A0000}"/>
    <cellStyle name="%_PRIMAX - FC AGO 09 3 2" xfId="2817" xr:uid="{00000000-0005-0000-0000-0000C20A0000}"/>
    <cellStyle name="%_PRIMAX - FC AGO 09 3 3" xfId="2818" xr:uid="{00000000-0005-0000-0000-0000C30A0000}"/>
    <cellStyle name="%_PRIMAX - FC AGO 09 3 4" xfId="2819" xr:uid="{00000000-0005-0000-0000-0000C40A0000}"/>
    <cellStyle name="%_PRIMAX - FC AGO 09 3 5" xfId="2820" xr:uid="{00000000-0005-0000-0000-0000C50A0000}"/>
    <cellStyle name="%_PRIMAX - FC AGO 09 3 6" xfId="2821" xr:uid="{00000000-0005-0000-0000-0000C60A0000}"/>
    <cellStyle name="%_PRIMAX - FC AGO 09 3 7" xfId="2822" xr:uid="{00000000-0005-0000-0000-0000C70A0000}"/>
    <cellStyle name="%_PRIMAX - FC AGO 09 3 8" xfId="2823" xr:uid="{00000000-0005-0000-0000-0000C80A0000}"/>
    <cellStyle name="%_PRIMAX - FC AGO 09 3 9" xfId="2824" xr:uid="{00000000-0005-0000-0000-0000C90A0000}"/>
    <cellStyle name="%_PRIMAX - FC AGO 09 4" xfId="2825" xr:uid="{00000000-0005-0000-0000-0000CA0A0000}"/>
    <cellStyle name="%_PRIMAX - FC AGO 09 4 10" xfId="2826" xr:uid="{00000000-0005-0000-0000-0000CB0A0000}"/>
    <cellStyle name="%_PRIMAX - FC AGO 09 4 11" xfId="2827" xr:uid="{00000000-0005-0000-0000-0000CC0A0000}"/>
    <cellStyle name="%_PRIMAX - FC AGO 09 4 12" xfId="2828" xr:uid="{00000000-0005-0000-0000-0000CD0A0000}"/>
    <cellStyle name="%_PRIMAX - FC AGO 09 4 13" xfId="2829" xr:uid="{00000000-0005-0000-0000-0000CE0A0000}"/>
    <cellStyle name="%_PRIMAX - FC AGO 09 4 2" xfId="2830" xr:uid="{00000000-0005-0000-0000-0000CF0A0000}"/>
    <cellStyle name="%_PRIMAX - FC AGO 09 4 3" xfId="2831" xr:uid="{00000000-0005-0000-0000-0000D00A0000}"/>
    <cellStyle name="%_PRIMAX - FC AGO 09 4 4" xfId="2832" xr:uid="{00000000-0005-0000-0000-0000D10A0000}"/>
    <cellStyle name="%_PRIMAX - FC AGO 09 4 5" xfId="2833" xr:uid="{00000000-0005-0000-0000-0000D20A0000}"/>
    <cellStyle name="%_PRIMAX - FC AGO 09 4 6" xfId="2834" xr:uid="{00000000-0005-0000-0000-0000D30A0000}"/>
    <cellStyle name="%_PRIMAX - FC AGO 09 4 7" xfId="2835" xr:uid="{00000000-0005-0000-0000-0000D40A0000}"/>
    <cellStyle name="%_PRIMAX - FC AGO 09 4 8" xfId="2836" xr:uid="{00000000-0005-0000-0000-0000D50A0000}"/>
    <cellStyle name="%_PRIMAX - FC AGO 09 4 9" xfId="2837" xr:uid="{00000000-0005-0000-0000-0000D60A0000}"/>
    <cellStyle name="%_PRIMAX - FC AGO 09 5" xfId="2838" xr:uid="{00000000-0005-0000-0000-0000D70A0000}"/>
    <cellStyle name="%_PRIMAX - FC AGO 09 5 10" xfId="2839" xr:uid="{00000000-0005-0000-0000-0000D80A0000}"/>
    <cellStyle name="%_PRIMAX - FC AGO 09 5 11" xfId="2840" xr:uid="{00000000-0005-0000-0000-0000D90A0000}"/>
    <cellStyle name="%_PRIMAX - FC AGO 09 5 12" xfId="2841" xr:uid="{00000000-0005-0000-0000-0000DA0A0000}"/>
    <cellStyle name="%_PRIMAX - FC AGO 09 5 13" xfId="2842" xr:uid="{00000000-0005-0000-0000-0000DB0A0000}"/>
    <cellStyle name="%_PRIMAX - FC AGO 09 5 2" xfId="2843" xr:uid="{00000000-0005-0000-0000-0000DC0A0000}"/>
    <cellStyle name="%_PRIMAX - FC AGO 09 5 3" xfId="2844" xr:uid="{00000000-0005-0000-0000-0000DD0A0000}"/>
    <cellStyle name="%_PRIMAX - FC AGO 09 5 4" xfId="2845" xr:uid="{00000000-0005-0000-0000-0000DE0A0000}"/>
    <cellStyle name="%_PRIMAX - FC AGO 09 5 5" xfId="2846" xr:uid="{00000000-0005-0000-0000-0000DF0A0000}"/>
    <cellStyle name="%_PRIMAX - FC AGO 09 5 6" xfId="2847" xr:uid="{00000000-0005-0000-0000-0000E00A0000}"/>
    <cellStyle name="%_PRIMAX - FC AGO 09 5 7" xfId="2848" xr:uid="{00000000-0005-0000-0000-0000E10A0000}"/>
    <cellStyle name="%_PRIMAX - FC AGO 09 5 8" xfId="2849" xr:uid="{00000000-0005-0000-0000-0000E20A0000}"/>
    <cellStyle name="%_PRIMAX - FC AGO 09 5 9" xfId="2850" xr:uid="{00000000-0005-0000-0000-0000E30A0000}"/>
    <cellStyle name="%_PRIMAX - FC AGO 09 6" xfId="2851" xr:uid="{00000000-0005-0000-0000-0000E40A0000}"/>
    <cellStyle name="%_PRIMAX - FC AGO 09 6 10" xfId="2852" xr:uid="{00000000-0005-0000-0000-0000E50A0000}"/>
    <cellStyle name="%_PRIMAX - FC AGO 09 6 11" xfId="2853" xr:uid="{00000000-0005-0000-0000-0000E60A0000}"/>
    <cellStyle name="%_PRIMAX - FC AGO 09 6 12" xfId="2854" xr:uid="{00000000-0005-0000-0000-0000E70A0000}"/>
    <cellStyle name="%_PRIMAX - FC AGO 09 6 13" xfId="2855" xr:uid="{00000000-0005-0000-0000-0000E80A0000}"/>
    <cellStyle name="%_PRIMAX - FC AGO 09 6 2" xfId="2856" xr:uid="{00000000-0005-0000-0000-0000E90A0000}"/>
    <cellStyle name="%_PRIMAX - FC AGO 09 6 3" xfId="2857" xr:uid="{00000000-0005-0000-0000-0000EA0A0000}"/>
    <cellStyle name="%_PRIMAX - FC AGO 09 6 4" xfId="2858" xr:uid="{00000000-0005-0000-0000-0000EB0A0000}"/>
    <cellStyle name="%_PRIMAX - FC AGO 09 6 5" xfId="2859" xr:uid="{00000000-0005-0000-0000-0000EC0A0000}"/>
    <cellStyle name="%_PRIMAX - FC AGO 09 6 6" xfId="2860" xr:uid="{00000000-0005-0000-0000-0000ED0A0000}"/>
    <cellStyle name="%_PRIMAX - FC AGO 09 6 7" xfId="2861" xr:uid="{00000000-0005-0000-0000-0000EE0A0000}"/>
    <cellStyle name="%_PRIMAX - FC AGO 09 6 8" xfId="2862" xr:uid="{00000000-0005-0000-0000-0000EF0A0000}"/>
    <cellStyle name="%_PRIMAX - FC AGO 09 6 9" xfId="2863" xr:uid="{00000000-0005-0000-0000-0000F00A0000}"/>
    <cellStyle name="%_PRIMAX - FC AGO 09 7" xfId="2864" xr:uid="{00000000-0005-0000-0000-0000F10A0000}"/>
    <cellStyle name="%_PRIMAX - FC AGO 09 7 10" xfId="2865" xr:uid="{00000000-0005-0000-0000-0000F20A0000}"/>
    <cellStyle name="%_PRIMAX - FC AGO 09 7 11" xfId="2866" xr:uid="{00000000-0005-0000-0000-0000F30A0000}"/>
    <cellStyle name="%_PRIMAX - FC AGO 09 7 12" xfId="2867" xr:uid="{00000000-0005-0000-0000-0000F40A0000}"/>
    <cellStyle name="%_PRIMAX - FC AGO 09 7 13" xfId="2868" xr:uid="{00000000-0005-0000-0000-0000F50A0000}"/>
    <cellStyle name="%_PRIMAX - FC AGO 09 7 2" xfId="2869" xr:uid="{00000000-0005-0000-0000-0000F60A0000}"/>
    <cellStyle name="%_PRIMAX - FC AGO 09 7 3" xfId="2870" xr:uid="{00000000-0005-0000-0000-0000F70A0000}"/>
    <cellStyle name="%_PRIMAX - FC AGO 09 7 4" xfId="2871" xr:uid="{00000000-0005-0000-0000-0000F80A0000}"/>
    <cellStyle name="%_PRIMAX - FC AGO 09 7 5" xfId="2872" xr:uid="{00000000-0005-0000-0000-0000F90A0000}"/>
    <cellStyle name="%_PRIMAX - FC AGO 09 7 6" xfId="2873" xr:uid="{00000000-0005-0000-0000-0000FA0A0000}"/>
    <cellStyle name="%_PRIMAX - FC AGO 09 7 7" xfId="2874" xr:uid="{00000000-0005-0000-0000-0000FB0A0000}"/>
    <cellStyle name="%_PRIMAX - FC AGO 09 7 8" xfId="2875" xr:uid="{00000000-0005-0000-0000-0000FC0A0000}"/>
    <cellStyle name="%_PRIMAX - FC AGO 09 7 9" xfId="2876" xr:uid="{00000000-0005-0000-0000-0000FD0A0000}"/>
    <cellStyle name="%_PRIMAX - FC AGO 09 8" xfId="2877" xr:uid="{00000000-0005-0000-0000-0000FE0A0000}"/>
    <cellStyle name="%_PRIMAX - FC AGO 09 8 10" xfId="2878" xr:uid="{00000000-0005-0000-0000-0000FF0A0000}"/>
    <cellStyle name="%_PRIMAX - FC AGO 09 8 11" xfId="2879" xr:uid="{00000000-0005-0000-0000-0000000B0000}"/>
    <cellStyle name="%_PRIMAX - FC AGO 09 8 12" xfId="2880" xr:uid="{00000000-0005-0000-0000-0000010B0000}"/>
    <cellStyle name="%_PRIMAX - FC AGO 09 8 13" xfId="2881" xr:uid="{00000000-0005-0000-0000-0000020B0000}"/>
    <cellStyle name="%_PRIMAX - FC AGO 09 8 2" xfId="2882" xr:uid="{00000000-0005-0000-0000-0000030B0000}"/>
    <cellStyle name="%_PRIMAX - FC AGO 09 8 3" xfId="2883" xr:uid="{00000000-0005-0000-0000-0000040B0000}"/>
    <cellStyle name="%_PRIMAX - FC AGO 09 8 4" xfId="2884" xr:uid="{00000000-0005-0000-0000-0000050B0000}"/>
    <cellStyle name="%_PRIMAX - FC AGO 09 8 5" xfId="2885" xr:uid="{00000000-0005-0000-0000-0000060B0000}"/>
    <cellStyle name="%_PRIMAX - FC AGO 09 8 6" xfId="2886" xr:uid="{00000000-0005-0000-0000-0000070B0000}"/>
    <cellStyle name="%_PRIMAX - FC AGO 09 8 7" xfId="2887" xr:uid="{00000000-0005-0000-0000-0000080B0000}"/>
    <cellStyle name="%_PRIMAX - FC AGO 09 8 8" xfId="2888" xr:uid="{00000000-0005-0000-0000-0000090B0000}"/>
    <cellStyle name="%_PRIMAX - FC AGO 09 8 9" xfId="2889" xr:uid="{00000000-0005-0000-0000-00000A0B0000}"/>
    <cellStyle name="%_PRIMAX - FC AGO 09_~0690845" xfId="2890" xr:uid="{00000000-0005-0000-0000-00000B0B0000}"/>
    <cellStyle name="%_PRIMAX - FC AGO 09_~9162688" xfId="2891" xr:uid="{00000000-0005-0000-0000-00000C0B0000}"/>
    <cellStyle name="%_PRIMAX - FC AGO 09_~9567759" xfId="2892" xr:uid="{00000000-0005-0000-0000-00000D0B0000}"/>
    <cellStyle name="%_PRIMAX - FC AGO 09_Diciembre 2010_PRIMAX" xfId="2893" xr:uid="{00000000-0005-0000-0000-00000E0B0000}"/>
    <cellStyle name="%_PRIMAX - FC AGO 09_Directorio Febrero 2011" xfId="2894" xr:uid="{00000000-0005-0000-0000-00000F0B0000}"/>
    <cellStyle name="%_PRIMAX - FC AGO 09_FLUJO CONSOLIDADO CAÑA BRAVA OCT 2010" xfId="2895" xr:uid="{00000000-0005-0000-0000-0000100B0000}"/>
    <cellStyle name="%_PRIMAX - FC AGO 09_GRUPO PALMAS FC Y DEUDA A DIC 2010" xfId="2896" xr:uid="{00000000-0005-0000-0000-0000110B0000}"/>
    <cellStyle name="%_PRIMAX - FC AGO 09_GRUPO PALMAS FC Y DEUDA NOV 2010" xfId="2897" xr:uid="{00000000-0005-0000-0000-0000120B0000}"/>
    <cellStyle name="%_PRIMAX - FC AGO 09_Limtek Enero  2011" xfId="2898" xr:uid="{00000000-0005-0000-0000-0000130B0000}"/>
    <cellStyle name="%_PRIMAX - FC AGO 09_Limtek Febrero 2011" xfId="2899" xr:uid="{00000000-0005-0000-0000-0000140B0000}"/>
    <cellStyle name="%_PRIMAX - FC AGO 09_Modelo Enero" xfId="2900" xr:uid="{00000000-0005-0000-0000-0000150B0000}"/>
    <cellStyle name="%_PRIMAX - FC AGO 09_Modelo Febrero" xfId="2901" xr:uid="{00000000-0005-0000-0000-0000160B0000}"/>
    <cellStyle name="%_PRIMAX - FC AGO 09_Noviembre 2010" xfId="2902" xr:uid="{00000000-0005-0000-0000-0000170B0000}"/>
    <cellStyle name="%_PRIMAX - FC AGO 09_Octubre 2010" xfId="2903" xr:uid="{00000000-0005-0000-0000-0000180B0000}"/>
    <cellStyle name="%_PRIMAX - FC AGO 09_PB. 2011 - Versión Final 30 Dic al Comité de Grencia" xfId="2904" xr:uid="{00000000-0005-0000-0000-0000190B0000}"/>
    <cellStyle name="%_PRIMAX - FC AGO 09_PRIMAX - DEUDA A ENE 2010" xfId="2905" xr:uid="{00000000-0005-0000-0000-00001A0B0000}"/>
    <cellStyle name="%_PRIMAX - FC AGO 09_PRIMAX Deuda Febrero 2011" xfId="2906" xr:uid="{00000000-0005-0000-0000-00001B0B0000}"/>
    <cellStyle name="%_PRIMAX - FC AGO 09_RT Enero Deuda" xfId="2907" xr:uid="{00000000-0005-0000-0000-00001C0B0000}"/>
    <cellStyle name="%_PRIMAX - FC ENE 10" xfId="2908" xr:uid="{00000000-0005-0000-0000-00001D0B0000}"/>
    <cellStyle name="%_PRIMAX - FC ENE 10 2" xfId="2909" xr:uid="{00000000-0005-0000-0000-00001E0B0000}"/>
    <cellStyle name="%_PRIMAX - FC ENE 10 2 2" xfId="2910" xr:uid="{00000000-0005-0000-0000-00001F0B0000}"/>
    <cellStyle name="%_PRIMAX - FC ENE 10 3" xfId="2911" xr:uid="{00000000-0005-0000-0000-0000200B0000}"/>
    <cellStyle name="%_PRIMAX - FC ENERO 09" xfId="2912" xr:uid="{00000000-0005-0000-0000-0000210B0000}"/>
    <cellStyle name="%_PRIMAX - FC ENERO 09 2" xfId="2913" xr:uid="{00000000-0005-0000-0000-0000220B0000}"/>
    <cellStyle name="%_PRIMAX - FC ENERO 09 2 10" xfId="2914" xr:uid="{00000000-0005-0000-0000-0000230B0000}"/>
    <cellStyle name="%_PRIMAX - FC ENERO 09 2 11" xfId="2915" xr:uid="{00000000-0005-0000-0000-0000240B0000}"/>
    <cellStyle name="%_PRIMAX - FC ENERO 09 2 12" xfId="2916" xr:uid="{00000000-0005-0000-0000-0000250B0000}"/>
    <cellStyle name="%_PRIMAX - FC ENERO 09 2 13" xfId="2917" xr:uid="{00000000-0005-0000-0000-0000260B0000}"/>
    <cellStyle name="%_PRIMAX - FC ENERO 09 2 2" xfId="2918" xr:uid="{00000000-0005-0000-0000-0000270B0000}"/>
    <cellStyle name="%_PRIMAX - FC ENERO 09 2 3" xfId="2919" xr:uid="{00000000-0005-0000-0000-0000280B0000}"/>
    <cellStyle name="%_PRIMAX - FC ENERO 09 2 4" xfId="2920" xr:uid="{00000000-0005-0000-0000-0000290B0000}"/>
    <cellStyle name="%_PRIMAX - FC ENERO 09 2 5" xfId="2921" xr:uid="{00000000-0005-0000-0000-00002A0B0000}"/>
    <cellStyle name="%_PRIMAX - FC ENERO 09 2 6" xfId="2922" xr:uid="{00000000-0005-0000-0000-00002B0B0000}"/>
    <cellStyle name="%_PRIMAX - FC ENERO 09 2 7" xfId="2923" xr:uid="{00000000-0005-0000-0000-00002C0B0000}"/>
    <cellStyle name="%_PRIMAX - FC ENERO 09 2 8" xfId="2924" xr:uid="{00000000-0005-0000-0000-00002D0B0000}"/>
    <cellStyle name="%_PRIMAX - FC ENERO 09 2 9" xfId="2925" xr:uid="{00000000-0005-0000-0000-00002E0B0000}"/>
    <cellStyle name="%_PRIMAX - FC ENERO 09 3" xfId="2926" xr:uid="{00000000-0005-0000-0000-00002F0B0000}"/>
    <cellStyle name="%_PRIMAX - FC ENERO 09 3 10" xfId="2927" xr:uid="{00000000-0005-0000-0000-0000300B0000}"/>
    <cellStyle name="%_PRIMAX - FC ENERO 09 3 11" xfId="2928" xr:uid="{00000000-0005-0000-0000-0000310B0000}"/>
    <cellStyle name="%_PRIMAX - FC ENERO 09 3 12" xfId="2929" xr:uid="{00000000-0005-0000-0000-0000320B0000}"/>
    <cellStyle name="%_PRIMAX - FC ENERO 09 3 13" xfId="2930" xr:uid="{00000000-0005-0000-0000-0000330B0000}"/>
    <cellStyle name="%_PRIMAX - FC ENERO 09 3 2" xfId="2931" xr:uid="{00000000-0005-0000-0000-0000340B0000}"/>
    <cellStyle name="%_PRIMAX - FC ENERO 09 3 3" xfId="2932" xr:uid="{00000000-0005-0000-0000-0000350B0000}"/>
    <cellStyle name="%_PRIMAX - FC ENERO 09 3 4" xfId="2933" xr:uid="{00000000-0005-0000-0000-0000360B0000}"/>
    <cellStyle name="%_PRIMAX - FC ENERO 09 3 5" xfId="2934" xr:uid="{00000000-0005-0000-0000-0000370B0000}"/>
    <cellStyle name="%_PRIMAX - FC ENERO 09 3 6" xfId="2935" xr:uid="{00000000-0005-0000-0000-0000380B0000}"/>
    <cellStyle name="%_PRIMAX - FC ENERO 09 3 7" xfId="2936" xr:uid="{00000000-0005-0000-0000-0000390B0000}"/>
    <cellStyle name="%_PRIMAX - FC ENERO 09 3 8" xfId="2937" xr:uid="{00000000-0005-0000-0000-00003A0B0000}"/>
    <cellStyle name="%_PRIMAX - FC ENERO 09 3 9" xfId="2938" xr:uid="{00000000-0005-0000-0000-00003B0B0000}"/>
    <cellStyle name="%_PRIMAX - FC ENERO 09 4" xfId="2939" xr:uid="{00000000-0005-0000-0000-00003C0B0000}"/>
    <cellStyle name="%_PRIMAX - FC ENERO 09 4 10" xfId="2940" xr:uid="{00000000-0005-0000-0000-00003D0B0000}"/>
    <cellStyle name="%_PRIMAX - FC ENERO 09 4 11" xfId="2941" xr:uid="{00000000-0005-0000-0000-00003E0B0000}"/>
    <cellStyle name="%_PRIMAX - FC ENERO 09 4 12" xfId="2942" xr:uid="{00000000-0005-0000-0000-00003F0B0000}"/>
    <cellStyle name="%_PRIMAX - FC ENERO 09 4 13" xfId="2943" xr:uid="{00000000-0005-0000-0000-0000400B0000}"/>
    <cellStyle name="%_PRIMAX - FC ENERO 09 4 2" xfId="2944" xr:uid="{00000000-0005-0000-0000-0000410B0000}"/>
    <cellStyle name="%_PRIMAX - FC ENERO 09 4 3" xfId="2945" xr:uid="{00000000-0005-0000-0000-0000420B0000}"/>
    <cellStyle name="%_PRIMAX - FC ENERO 09 4 4" xfId="2946" xr:uid="{00000000-0005-0000-0000-0000430B0000}"/>
    <cellStyle name="%_PRIMAX - FC ENERO 09 4 5" xfId="2947" xr:uid="{00000000-0005-0000-0000-0000440B0000}"/>
    <cellStyle name="%_PRIMAX - FC ENERO 09 4 6" xfId="2948" xr:uid="{00000000-0005-0000-0000-0000450B0000}"/>
    <cellStyle name="%_PRIMAX - FC ENERO 09 4 7" xfId="2949" xr:uid="{00000000-0005-0000-0000-0000460B0000}"/>
    <cellStyle name="%_PRIMAX - FC ENERO 09 4 8" xfId="2950" xr:uid="{00000000-0005-0000-0000-0000470B0000}"/>
    <cellStyle name="%_PRIMAX - FC ENERO 09 4 9" xfId="2951" xr:uid="{00000000-0005-0000-0000-0000480B0000}"/>
    <cellStyle name="%_PRIMAX - FC ENERO 09 5" xfId="2952" xr:uid="{00000000-0005-0000-0000-0000490B0000}"/>
    <cellStyle name="%_PRIMAX - FC ENERO 09 5 10" xfId="2953" xr:uid="{00000000-0005-0000-0000-00004A0B0000}"/>
    <cellStyle name="%_PRIMAX - FC ENERO 09 5 11" xfId="2954" xr:uid="{00000000-0005-0000-0000-00004B0B0000}"/>
    <cellStyle name="%_PRIMAX - FC ENERO 09 5 12" xfId="2955" xr:uid="{00000000-0005-0000-0000-00004C0B0000}"/>
    <cellStyle name="%_PRIMAX - FC ENERO 09 5 13" xfId="2956" xr:uid="{00000000-0005-0000-0000-00004D0B0000}"/>
    <cellStyle name="%_PRIMAX - FC ENERO 09 5 2" xfId="2957" xr:uid="{00000000-0005-0000-0000-00004E0B0000}"/>
    <cellStyle name="%_PRIMAX - FC ENERO 09 5 3" xfId="2958" xr:uid="{00000000-0005-0000-0000-00004F0B0000}"/>
    <cellStyle name="%_PRIMAX - FC ENERO 09 5 4" xfId="2959" xr:uid="{00000000-0005-0000-0000-0000500B0000}"/>
    <cellStyle name="%_PRIMAX - FC ENERO 09 5 5" xfId="2960" xr:uid="{00000000-0005-0000-0000-0000510B0000}"/>
    <cellStyle name="%_PRIMAX - FC ENERO 09 5 6" xfId="2961" xr:uid="{00000000-0005-0000-0000-0000520B0000}"/>
    <cellStyle name="%_PRIMAX - FC ENERO 09 5 7" xfId="2962" xr:uid="{00000000-0005-0000-0000-0000530B0000}"/>
    <cellStyle name="%_PRIMAX - FC ENERO 09 5 8" xfId="2963" xr:uid="{00000000-0005-0000-0000-0000540B0000}"/>
    <cellStyle name="%_PRIMAX - FC ENERO 09 5 9" xfId="2964" xr:uid="{00000000-0005-0000-0000-0000550B0000}"/>
    <cellStyle name="%_PRIMAX - FC ENERO 09 6" xfId="2965" xr:uid="{00000000-0005-0000-0000-0000560B0000}"/>
    <cellStyle name="%_PRIMAX - FC ENERO 09 6 10" xfId="2966" xr:uid="{00000000-0005-0000-0000-0000570B0000}"/>
    <cellStyle name="%_PRIMAX - FC ENERO 09 6 11" xfId="2967" xr:uid="{00000000-0005-0000-0000-0000580B0000}"/>
    <cellStyle name="%_PRIMAX - FC ENERO 09 6 12" xfId="2968" xr:uid="{00000000-0005-0000-0000-0000590B0000}"/>
    <cellStyle name="%_PRIMAX - FC ENERO 09 6 13" xfId="2969" xr:uid="{00000000-0005-0000-0000-00005A0B0000}"/>
    <cellStyle name="%_PRIMAX - FC ENERO 09 6 2" xfId="2970" xr:uid="{00000000-0005-0000-0000-00005B0B0000}"/>
    <cellStyle name="%_PRIMAX - FC ENERO 09 6 3" xfId="2971" xr:uid="{00000000-0005-0000-0000-00005C0B0000}"/>
    <cellStyle name="%_PRIMAX - FC ENERO 09 6 4" xfId="2972" xr:uid="{00000000-0005-0000-0000-00005D0B0000}"/>
    <cellStyle name="%_PRIMAX - FC ENERO 09 6 5" xfId="2973" xr:uid="{00000000-0005-0000-0000-00005E0B0000}"/>
    <cellStyle name="%_PRIMAX - FC ENERO 09 6 6" xfId="2974" xr:uid="{00000000-0005-0000-0000-00005F0B0000}"/>
    <cellStyle name="%_PRIMAX - FC ENERO 09 6 7" xfId="2975" xr:uid="{00000000-0005-0000-0000-0000600B0000}"/>
    <cellStyle name="%_PRIMAX - FC ENERO 09 6 8" xfId="2976" xr:uid="{00000000-0005-0000-0000-0000610B0000}"/>
    <cellStyle name="%_PRIMAX - FC ENERO 09 6 9" xfId="2977" xr:uid="{00000000-0005-0000-0000-0000620B0000}"/>
    <cellStyle name="%_PRIMAX - FC ENERO 09 7" xfId="2978" xr:uid="{00000000-0005-0000-0000-0000630B0000}"/>
    <cellStyle name="%_PRIMAX - FC ENERO 09 7 10" xfId="2979" xr:uid="{00000000-0005-0000-0000-0000640B0000}"/>
    <cellStyle name="%_PRIMAX - FC ENERO 09 7 11" xfId="2980" xr:uid="{00000000-0005-0000-0000-0000650B0000}"/>
    <cellStyle name="%_PRIMAX - FC ENERO 09 7 12" xfId="2981" xr:uid="{00000000-0005-0000-0000-0000660B0000}"/>
    <cellStyle name="%_PRIMAX - FC ENERO 09 7 13" xfId="2982" xr:uid="{00000000-0005-0000-0000-0000670B0000}"/>
    <cellStyle name="%_PRIMAX - FC ENERO 09 7 2" xfId="2983" xr:uid="{00000000-0005-0000-0000-0000680B0000}"/>
    <cellStyle name="%_PRIMAX - FC ENERO 09 7 3" xfId="2984" xr:uid="{00000000-0005-0000-0000-0000690B0000}"/>
    <cellStyle name="%_PRIMAX - FC ENERO 09 7 4" xfId="2985" xr:uid="{00000000-0005-0000-0000-00006A0B0000}"/>
    <cellStyle name="%_PRIMAX - FC ENERO 09 7 5" xfId="2986" xr:uid="{00000000-0005-0000-0000-00006B0B0000}"/>
    <cellStyle name="%_PRIMAX - FC ENERO 09 7 6" xfId="2987" xr:uid="{00000000-0005-0000-0000-00006C0B0000}"/>
    <cellStyle name="%_PRIMAX - FC ENERO 09 7 7" xfId="2988" xr:uid="{00000000-0005-0000-0000-00006D0B0000}"/>
    <cellStyle name="%_PRIMAX - FC ENERO 09 7 8" xfId="2989" xr:uid="{00000000-0005-0000-0000-00006E0B0000}"/>
    <cellStyle name="%_PRIMAX - FC ENERO 09 7 9" xfId="2990" xr:uid="{00000000-0005-0000-0000-00006F0B0000}"/>
    <cellStyle name="%_PRIMAX - FC ENERO 09 8" xfId="2991" xr:uid="{00000000-0005-0000-0000-0000700B0000}"/>
    <cellStyle name="%_PRIMAX - FC ENERO 09 8 10" xfId="2992" xr:uid="{00000000-0005-0000-0000-0000710B0000}"/>
    <cellStyle name="%_PRIMAX - FC ENERO 09 8 11" xfId="2993" xr:uid="{00000000-0005-0000-0000-0000720B0000}"/>
    <cellStyle name="%_PRIMAX - FC ENERO 09 8 12" xfId="2994" xr:uid="{00000000-0005-0000-0000-0000730B0000}"/>
    <cellStyle name="%_PRIMAX - FC ENERO 09 8 13" xfId="2995" xr:uid="{00000000-0005-0000-0000-0000740B0000}"/>
    <cellStyle name="%_PRIMAX - FC ENERO 09 8 2" xfId="2996" xr:uid="{00000000-0005-0000-0000-0000750B0000}"/>
    <cellStyle name="%_PRIMAX - FC ENERO 09 8 3" xfId="2997" xr:uid="{00000000-0005-0000-0000-0000760B0000}"/>
    <cellStyle name="%_PRIMAX - FC ENERO 09 8 4" xfId="2998" xr:uid="{00000000-0005-0000-0000-0000770B0000}"/>
    <cellStyle name="%_PRIMAX - FC ENERO 09 8 5" xfId="2999" xr:uid="{00000000-0005-0000-0000-0000780B0000}"/>
    <cellStyle name="%_PRIMAX - FC ENERO 09 8 6" xfId="3000" xr:uid="{00000000-0005-0000-0000-0000790B0000}"/>
    <cellStyle name="%_PRIMAX - FC ENERO 09 8 7" xfId="3001" xr:uid="{00000000-0005-0000-0000-00007A0B0000}"/>
    <cellStyle name="%_PRIMAX - FC ENERO 09 8 8" xfId="3002" xr:uid="{00000000-0005-0000-0000-00007B0B0000}"/>
    <cellStyle name="%_PRIMAX - FC ENERO 09 8 9" xfId="3003" xr:uid="{00000000-0005-0000-0000-00007C0B0000}"/>
    <cellStyle name="%_PRIMAX - FC ENERO 09_FLUJO CONSOLIDADO CAÑA BRAVA OCT 2010" xfId="3004" xr:uid="{00000000-0005-0000-0000-00007D0B0000}"/>
    <cellStyle name="%_PRIMAX - FC ENERO 09_Flujo de Caja Consolidado Setiembre 23.09.2010 - Ok" xfId="3005" xr:uid="{00000000-0005-0000-0000-00007E0B0000}"/>
    <cellStyle name="%_PRIMAX - FC ENERO 09_Libro2" xfId="3006" xr:uid="{00000000-0005-0000-0000-00007F0B0000}"/>
    <cellStyle name="%_PRIMAX - FC ENERO 09_PB. 2011 - Versión Final 30 Dic al Comité de Grencia" xfId="3007" xr:uid="{00000000-0005-0000-0000-0000800B0000}"/>
    <cellStyle name="%_PRIMAX - FC FEBRERO 09" xfId="3008" xr:uid="{00000000-0005-0000-0000-0000810B0000}"/>
    <cellStyle name="%_PRIMAX - FC FEBRERO 09 2" xfId="3009" xr:uid="{00000000-0005-0000-0000-0000820B0000}"/>
    <cellStyle name="%_PRIMAX - FC FEBRERO 09 2 10" xfId="3010" xr:uid="{00000000-0005-0000-0000-0000830B0000}"/>
    <cellStyle name="%_PRIMAX - FC FEBRERO 09 2 11" xfId="3011" xr:uid="{00000000-0005-0000-0000-0000840B0000}"/>
    <cellStyle name="%_PRIMAX - FC FEBRERO 09 2 12" xfId="3012" xr:uid="{00000000-0005-0000-0000-0000850B0000}"/>
    <cellStyle name="%_PRIMAX - FC FEBRERO 09 2 13" xfId="3013" xr:uid="{00000000-0005-0000-0000-0000860B0000}"/>
    <cellStyle name="%_PRIMAX - FC FEBRERO 09 2 2" xfId="3014" xr:uid="{00000000-0005-0000-0000-0000870B0000}"/>
    <cellStyle name="%_PRIMAX - FC FEBRERO 09 2 3" xfId="3015" xr:uid="{00000000-0005-0000-0000-0000880B0000}"/>
    <cellStyle name="%_PRIMAX - FC FEBRERO 09 2 4" xfId="3016" xr:uid="{00000000-0005-0000-0000-0000890B0000}"/>
    <cellStyle name="%_PRIMAX - FC FEBRERO 09 2 5" xfId="3017" xr:uid="{00000000-0005-0000-0000-00008A0B0000}"/>
    <cellStyle name="%_PRIMAX - FC FEBRERO 09 2 6" xfId="3018" xr:uid="{00000000-0005-0000-0000-00008B0B0000}"/>
    <cellStyle name="%_PRIMAX - FC FEBRERO 09 2 7" xfId="3019" xr:uid="{00000000-0005-0000-0000-00008C0B0000}"/>
    <cellStyle name="%_PRIMAX - FC FEBRERO 09 2 8" xfId="3020" xr:uid="{00000000-0005-0000-0000-00008D0B0000}"/>
    <cellStyle name="%_PRIMAX - FC FEBRERO 09 2 9" xfId="3021" xr:uid="{00000000-0005-0000-0000-00008E0B0000}"/>
    <cellStyle name="%_PRIMAX - FC FEBRERO 09 3" xfId="3022" xr:uid="{00000000-0005-0000-0000-00008F0B0000}"/>
    <cellStyle name="%_PRIMAX - FC FEBRERO 09 3 10" xfId="3023" xr:uid="{00000000-0005-0000-0000-0000900B0000}"/>
    <cellStyle name="%_PRIMAX - FC FEBRERO 09 3 11" xfId="3024" xr:uid="{00000000-0005-0000-0000-0000910B0000}"/>
    <cellStyle name="%_PRIMAX - FC FEBRERO 09 3 12" xfId="3025" xr:uid="{00000000-0005-0000-0000-0000920B0000}"/>
    <cellStyle name="%_PRIMAX - FC FEBRERO 09 3 13" xfId="3026" xr:uid="{00000000-0005-0000-0000-0000930B0000}"/>
    <cellStyle name="%_PRIMAX - FC FEBRERO 09 3 2" xfId="3027" xr:uid="{00000000-0005-0000-0000-0000940B0000}"/>
    <cellStyle name="%_PRIMAX - FC FEBRERO 09 3 3" xfId="3028" xr:uid="{00000000-0005-0000-0000-0000950B0000}"/>
    <cellStyle name="%_PRIMAX - FC FEBRERO 09 3 4" xfId="3029" xr:uid="{00000000-0005-0000-0000-0000960B0000}"/>
    <cellStyle name="%_PRIMAX - FC FEBRERO 09 3 5" xfId="3030" xr:uid="{00000000-0005-0000-0000-0000970B0000}"/>
    <cellStyle name="%_PRIMAX - FC FEBRERO 09 3 6" xfId="3031" xr:uid="{00000000-0005-0000-0000-0000980B0000}"/>
    <cellStyle name="%_PRIMAX - FC FEBRERO 09 3 7" xfId="3032" xr:uid="{00000000-0005-0000-0000-0000990B0000}"/>
    <cellStyle name="%_PRIMAX - FC FEBRERO 09 3 8" xfId="3033" xr:uid="{00000000-0005-0000-0000-00009A0B0000}"/>
    <cellStyle name="%_PRIMAX - FC FEBRERO 09 3 9" xfId="3034" xr:uid="{00000000-0005-0000-0000-00009B0B0000}"/>
    <cellStyle name="%_PRIMAX - FC FEBRERO 09 4" xfId="3035" xr:uid="{00000000-0005-0000-0000-00009C0B0000}"/>
    <cellStyle name="%_PRIMAX - FC FEBRERO 09 4 10" xfId="3036" xr:uid="{00000000-0005-0000-0000-00009D0B0000}"/>
    <cellStyle name="%_PRIMAX - FC FEBRERO 09 4 11" xfId="3037" xr:uid="{00000000-0005-0000-0000-00009E0B0000}"/>
    <cellStyle name="%_PRIMAX - FC FEBRERO 09 4 12" xfId="3038" xr:uid="{00000000-0005-0000-0000-00009F0B0000}"/>
    <cellStyle name="%_PRIMAX - FC FEBRERO 09 4 13" xfId="3039" xr:uid="{00000000-0005-0000-0000-0000A00B0000}"/>
    <cellStyle name="%_PRIMAX - FC FEBRERO 09 4 2" xfId="3040" xr:uid="{00000000-0005-0000-0000-0000A10B0000}"/>
    <cellStyle name="%_PRIMAX - FC FEBRERO 09 4 3" xfId="3041" xr:uid="{00000000-0005-0000-0000-0000A20B0000}"/>
    <cellStyle name="%_PRIMAX - FC FEBRERO 09 4 4" xfId="3042" xr:uid="{00000000-0005-0000-0000-0000A30B0000}"/>
    <cellStyle name="%_PRIMAX - FC FEBRERO 09 4 5" xfId="3043" xr:uid="{00000000-0005-0000-0000-0000A40B0000}"/>
    <cellStyle name="%_PRIMAX - FC FEBRERO 09 4 6" xfId="3044" xr:uid="{00000000-0005-0000-0000-0000A50B0000}"/>
    <cellStyle name="%_PRIMAX - FC FEBRERO 09 4 7" xfId="3045" xr:uid="{00000000-0005-0000-0000-0000A60B0000}"/>
    <cellStyle name="%_PRIMAX - FC FEBRERO 09 4 8" xfId="3046" xr:uid="{00000000-0005-0000-0000-0000A70B0000}"/>
    <cellStyle name="%_PRIMAX - FC FEBRERO 09 4 9" xfId="3047" xr:uid="{00000000-0005-0000-0000-0000A80B0000}"/>
    <cellStyle name="%_PRIMAX - FC FEBRERO 09 5" xfId="3048" xr:uid="{00000000-0005-0000-0000-0000A90B0000}"/>
    <cellStyle name="%_PRIMAX - FC FEBRERO 09 5 10" xfId="3049" xr:uid="{00000000-0005-0000-0000-0000AA0B0000}"/>
    <cellStyle name="%_PRIMAX - FC FEBRERO 09 5 11" xfId="3050" xr:uid="{00000000-0005-0000-0000-0000AB0B0000}"/>
    <cellStyle name="%_PRIMAX - FC FEBRERO 09 5 12" xfId="3051" xr:uid="{00000000-0005-0000-0000-0000AC0B0000}"/>
    <cellStyle name="%_PRIMAX - FC FEBRERO 09 5 13" xfId="3052" xr:uid="{00000000-0005-0000-0000-0000AD0B0000}"/>
    <cellStyle name="%_PRIMAX - FC FEBRERO 09 5 2" xfId="3053" xr:uid="{00000000-0005-0000-0000-0000AE0B0000}"/>
    <cellStyle name="%_PRIMAX - FC FEBRERO 09 5 3" xfId="3054" xr:uid="{00000000-0005-0000-0000-0000AF0B0000}"/>
    <cellStyle name="%_PRIMAX - FC FEBRERO 09 5 4" xfId="3055" xr:uid="{00000000-0005-0000-0000-0000B00B0000}"/>
    <cellStyle name="%_PRIMAX - FC FEBRERO 09 5 5" xfId="3056" xr:uid="{00000000-0005-0000-0000-0000B10B0000}"/>
    <cellStyle name="%_PRIMAX - FC FEBRERO 09 5 6" xfId="3057" xr:uid="{00000000-0005-0000-0000-0000B20B0000}"/>
    <cellStyle name="%_PRIMAX - FC FEBRERO 09 5 7" xfId="3058" xr:uid="{00000000-0005-0000-0000-0000B30B0000}"/>
    <cellStyle name="%_PRIMAX - FC FEBRERO 09 5 8" xfId="3059" xr:uid="{00000000-0005-0000-0000-0000B40B0000}"/>
    <cellStyle name="%_PRIMAX - FC FEBRERO 09 5 9" xfId="3060" xr:uid="{00000000-0005-0000-0000-0000B50B0000}"/>
    <cellStyle name="%_PRIMAX - FC FEBRERO 09 6" xfId="3061" xr:uid="{00000000-0005-0000-0000-0000B60B0000}"/>
    <cellStyle name="%_PRIMAX - FC FEBRERO 09 6 10" xfId="3062" xr:uid="{00000000-0005-0000-0000-0000B70B0000}"/>
    <cellStyle name="%_PRIMAX - FC FEBRERO 09 6 11" xfId="3063" xr:uid="{00000000-0005-0000-0000-0000B80B0000}"/>
    <cellStyle name="%_PRIMAX - FC FEBRERO 09 6 12" xfId="3064" xr:uid="{00000000-0005-0000-0000-0000B90B0000}"/>
    <cellStyle name="%_PRIMAX - FC FEBRERO 09 6 13" xfId="3065" xr:uid="{00000000-0005-0000-0000-0000BA0B0000}"/>
    <cellStyle name="%_PRIMAX - FC FEBRERO 09 6 2" xfId="3066" xr:uid="{00000000-0005-0000-0000-0000BB0B0000}"/>
    <cellStyle name="%_PRIMAX - FC FEBRERO 09 6 3" xfId="3067" xr:uid="{00000000-0005-0000-0000-0000BC0B0000}"/>
    <cellStyle name="%_PRIMAX - FC FEBRERO 09 6 4" xfId="3068" xr:uid="{00000000-0005-0000-0000-0000BD0B0000}"/>
    <cellStyle name="%_PRIMAX - FC FEBRERO 09 6 5" xfId="3069" xr:uid="{00000000-0005-0000-0000-0000BE0B0000}"/>
    <cellStyle name="%_PRIMAX - FC FEBRERO 09 6 6" xfId="3070" xr:uid="{00000000-0005-0000-0000-0000BF0B0000}"/>
    <cellStyle name="%_PRIMAX - FC FEBRERO 09 6 7" xfId="3071" xr:uid="{00000000-0005-0000-0000-0000C00B0000}"/>
    <cellStyle name="%_PRIMAX - FC FEBRERO 09 6 8" xfId="3072" xr:uid="{00000000-0005-0000-0000-0000C10B0000}"/>
    <cellStyle name="%_PRIMAX - FC FEBRERO 09 6 9" xfId="3073" xr:uid="{00000000-0005-0000-0000-0000C20B0000}"/>
    <cellStyle name="%_PRIMAX - FC FEBRERO 09 7" xfId="3074" xr:uid="{00000000-0005-0000-0000-0000C30B0000}"/>
    <cellStyle name="%_PRIMAX - FC FEBRERO 09 7 10" xfId="3075" xr:uid="{00000000-0005-0000-0000-0000C40B0000}"/>
    <cellStyle name="%_PRIMAX - FC FEBRERO 09 7 11" xfId="3076" xr:uid="{00000000-0005-0000-0000-0000C50B0000}"/>
    <cellStyle name="%_PRIMAX - FC FEBRERO 09 7 12" xfId="3077" xr:uid="{00000000-0005-0000-0000-0000C60B0000}"/>
    <cellStyle name="%_PRIMAX - FC FEBRERO 09 7 13" xfId="3078" xr:uid="{00000000-0005-0000-0000-0000C70B0000}"/>
    <cellStyle name="%_PRIMAX - FC FEBRERO 09 7 2" xfId="3079" xr:uid="{00000000-0005-0000-0000-0000C80B0000}"/>
    <cellStyle name="%_PRIMAX - FC FEBRERO 09 7 3" xfId="3080" xr:uid="{00000000-0005-0000-0000-0000C90B0000}"/>
    <cellStyle name="%_PRIMAX - FC FEBRERO 09 7 4" xfId="3081" xr:uid="{00000000-0005-0000-0000-0000CA0B0000}"/>
    <cellStyle name="%_PRIMAX - FC FEBRERO 09 7 5" xfId="3082" xr:uid="{00000000-0005-0000-0000-0000CB0B0000}"/>
    <cellStyle name="%_PRIMAX - FC FEBRERO 09 7 6" xfId="3083" xr:uid="{00000000-0005-0000-0000-0000CC0B0000}"/>
    <cellStyle name="%_PRIMAX - FC FEBRERO 09 7 7" xfId="3084" xr:uid="{00000000-0005-0000-0000-0000CD0B0000}"/>
    <cellStyle name="%_PRIMAX - FC FEBRERO 09 7 8" xfId="3085" xr:uid="{00000000-0005-0000-0000-0000CE0B0000}"/>
    <cellStyle name="%_PRIMAX - FC FEBRERO 09 7 9" xfId="3086" xr:uid="{00000000-0005-0000-0000-0000CF0B0000}"/>
    <cellStyle name="%_PRIMAX - FC FEBRERO 09 8" xfId="3087" xr:uid="{00000000-0005-0000-0000-0000D00B0000}"/>
    <cellStyle name="%_PRIMAX - FC FEBRERO 09 8 10" xfId="3088" xr:uid="{00000000-0005-0000-0000-0000D10B0000}"/>
    <cellStyle name="%_PRIMAX - FC FEBRERO 09 8 11" xfId="3089" xr:uid="{00000000-0005-0000-0000-0000D20B0000}"/>
    <cellStyle name="%_PRIMAX - FC FEBRERO 09 8 12" xfId="3090" xr:uid="{00000000-0005-0000-0000-0000D30B0000}"/>
    <cellStyle name="%_PRIMAX - FC FEBRERO 09 8 13" xfId="3091" xr:uid="{00000000-0005-0000-0000-0000D40B0000}"/>
    <cellStyle name="%_PRIMAX - FC FEBRERO 09 8 2" xfId="3092" xr:uid="{00000000-0005-0000-0000-0000D50B0000}"/>
    <cellStyle name="%_PRIMAX - FC FEBRERO 09 8 3" xfId="3093" xr:uid="{00000000-0005-0000-0000-0000D60B0000}"/>
    <cellStyle name="%_PRIMAX - FC FEBRERO 09 8 4" xfId="3094" xr:uid="{00000000-0005-0000-0000-0000D70B0000}"/>
    <cellStyle name="%_PRIMAX - FC FEBRERO 09 8 5" xfId="3095" xr:uid="{00000000-0005-0000-0000-0000D80B0000}"/>
    <cellStyle name="%_PRIMAX - FC FEBRERO 09 8 6" xfId="3096" xr:uid="{00000000-0005-0000-0000-0000D90B0000}"/>
    <cellStyle name="%_PRIMAX - FC FEBRERO 09 8 7" xfId="3097" xr:uid="{00000000-0005-0000-0000-0000DA0B0000}"/>
    <cellStyle name="%_PRIMAX - FC FEBRERO 09 8 8" xfId="3098" xr:uid="{00000000-0005-0000-0000-0000DB0B0000}"/>
    <cellStyle name="%_PRIMAX - FC FEBRERO 09 8 9" xfId="3099" xr:uid="{00000000-0005-0000-0000-0000DC0B0000}"/>
    <cellStyle name="%_PRIMAX - FC FEBRERO 09_FLUJO CONSOLIDADO CAÑA BRAVA OCT 2010" xfId="3100" xr:uid="{00000000-0005-0000-0000-0000DD0B0000}"/>
    <cellStyle name="%_PRIMAX - FC FEBRERO 09_Flujo de Caja Consolidado Setiembre 23.09.2010 - Ok" xfId="3101" xr:uid="{00000000-0005-0000-0000-0000DE0B0000}"/>
    <cellStyle name="%_PRIMAX - FC FEBRERO 09_Libro2" xfId="3102" xr:uid="{00000000-0005-0000-0000-0000DF0B0000}"/>
    <cellStyle name="%_PRIMAX - FC FEBRERO 09_PB. 2011 - Versión Final 30 Dic al Comité de Grencia" xfId="3103" xr:uid="{00000000-0005-0000-0000-0000E00B0000}"/>
    <cellStyle name="%_PRIMAX - FC JULIO 09" xfId="3104" xr:uid="{00000000-0005-0000-0000-0000E10B0000}"/>
    <cellStyle name="%_PRIMAX - FC JULIO 09 2" xfId="3105" xr:uid="{00000000-0005-0000-0000-0000E20B0000}"/>
    <cellStyle name="%_PRIMAX - FC JULIO 09 2 10" xfId="3106" xr:uid="{00000000-0005-0000-0000-0000E30B0000}"/>
    <cellStyle name="%_PRIMAX - FC JULIO 09 2 11" xfId="3107" xr:uid="{00000000-0005-0000-0000-0000E40B0000}"/>
    <cellStyle name="%_PRIMAX - FC JULIO 09 2 12" xfId="3108" xr:uid="{00000000-0005-0000-0000-0000E50B0000}"/>
    <cellStyle name="%_PRIMAX - FC JULIO 09 2 13" xfId="3109" xr:uid="{00000000-0005-0000-0000-0000E60B0000}"/>
    <cellStyle name="%_PRIMAX - FC JULIO 09 2 2" xfId="3110" xr:uid="{00000000-0005-0000-0000-0000E70B0000}"/>
    <cellStyle name="%_PRIMAX - FC JULIO 09 2 3" xfId="3111" xr:uid="{00000000-0005-0000-0000-0000E80B0000}"/>
    <cellStyle name="%_PRIMAX - FC JULIO 09 2 4" xfId="3112" xr:uid="{00000000-0005-0000-0000-0000E90B0000}"/>
    <cellStyle name="%_PRIMAX - FC JULIO 09 2 5" xfId="3113" xr:uid="{00000000-0005-0000-0000-0000EA0B0000}"/>
    <cellStyle name="%_PRIMAX - FC JULIO 09 2 6" xfId="3114" xr:uid="{00000000-0005-0000-0000-0000EB0B0000}"/>
    <cellStyle name="%_PRIMAX - FC JULIO 09 2 7" xfId="3115" xr:uid="{00000000-0005-0000-0000-0000EC0B0000}"/>
    <cellStyle name="%_PRIMAX - FC JULIO 09 2 8" xfId="3116" xr:uid="{00000000-0005-0000-0000-0000ED0B0000}"/>
    <cellStyle name="%_PRIMAX - FC JULIO 09 2 9" xfId="3117" xr:uid="{00000000-0005-0000-0000-0000EE0B0000}"/>
    <cellStyle name="%_PRIMAX - FC JULIO 09 3" xfId="3118" xr:uid="{00000000-0005-0000-0000-0000EF0B0000}"/>
    <cellStyle name="%_PRIMAX - FC JULIO 09 3 10" xfId="3119" xr:uid="{00000000-0005-0000-0000-0000F00B0000}"/>
    <cellStyle name="%_PRIMAX - FC JULIO 09 3 11" xfId="3120" xr:uid="{00000000-0005-0000-0000-0000F10B0000}"/>
    <cellStyle name="%_PRIMAX - FC JULIO 09 3 12" xfId="3121" xr:uid="{00000000-0005-0000-0000-0000F20B0000}"/>
    <cellStyle name="%_PRIMAX - FC JULIO 09 3 13" xfId="3122" xr:uid="{00000000-0005-0000-0000-0000F30B0000}"/>
    <cellStyle name="%_PRIMAX - FC JULIO 09 3 2" xfId="3123" xr:uid="{00000000-0005-0000-0000-0000F40B0000}"/>
    <cellStyle name="%_PRIMAX - FC JULIO 09 3 3" xfId="3124" xr:uid="{00000000-0005-0000-0000-0000F50B0000}"/>
    <cellStyle name="%_PRIMAX - FC JULIO 09 3 4" xfId="3125" xr:uid="{00000000-0005-0000-0000-0000F60B0000}"/>
    <cellStyle name="%_PRIMAX - FC JULIO 09 3 5" xfId="3126" xr:uid="{00000000-0005-0000-0000-0000F70B0000}"/>
    <cellStyle name="%_PRIMAX - FC JULIO 09 3 6" xfId="3127" xr:uid="{00000000-0005-0000-0000-0000F80B0000}"/>
    <cellStyle name="%_PRIMAX - FC JULIO 09 3 7" xfId="3128" xr:uid="{00000000-0005-0000-0000-0000F90B0000}"/>
    <cellStyle name="%_PRIMAX - FC JULIO 09 3 8" xfId="3129" xr:uid="{00000000-0005-0000-0000-0000FA0B0000}"/>
    <cellStyle name="%_PRIMAX - FC JULIO 09 3 9" xfId="3130" xr:uid="{00000000-0005-0000-0000-0000FB0B0000}"/>
    <cellStyle name="%_PRIMAX - FC JULIO 09 4" xfId="3131" xr:uid="{00000000-0005-0000-0000-0000FC0B0000}"/>
    <cellStyle name="%_PRIMAX - FC JULIO 09 4 10" xfId="3132" xr:uid="{00000000-0005-0000-0000-0000FD0B0000}"/>
    <cellStyle name="%_PRIMAX - FC JULIO 09 4 11" xfId="3133" xr:uid="{00000000-0005-0000-0000-0000FE0B0000}"/>
    <cellStyle name="%_PRIMAX - FC JULIO 09 4 12" xfId="3134" xr:uid="{00000000-0005-0000-0000-0000FF0B0000}"/>
    <cellStyle name="%_PRIMAX - FC JULIO 09 4 13" xfId="3135" xr:uid="{00000000-0005-0000-0000-0000000C0000}"/>
    <cellStyle name="%_PRIMAX - FC JULIO 09 4 2" xfId="3136" xr:uid="{00000000-0005-0000-0000-0000010C0000}"/>
    <cellStyle name="%_PRIMAX - FC JULIO 09 4 3" xfId="3137" xr:uid="{00000000-0005-0000-0000-0000020C0000}"/>
    <cellStyle name="%_PRIMAX - FC JULIO 09 4 4" xfId="3138" xr:uid="{00000000-0005-0000-0000-0000030C0000}"/>
    <cellStyle name="%_PRIMAX - FC JULIO 09 4 5" xfId="3139" xr:uid="{00000000-0005-0000-0000-0000040C0000}"/>
    <cellStyle name="%_PRIMAX - FC JULIO 09 4 6" xfId="3140" xr:uid="{00000000-0005-0000-0000-0000050C0000}"/>
    <cellStyle name="%_PRIMAX - FC JULIO 09 4 7" xfId="3141" xr:uid="{00000000-0005-0000-0000-0000060C0000}"/>
    <cellStyle name="%_PRIMAX - FC JULIO 09 4 8" xfId="3142" xr:uid="{00000000-0005-0000-0000-0000070C0000}"/>
    <cellStyle name="%_PRIMAX - FC JULIO 09 4 9" xfId="3143" xr:uid="{00000000-0005-0000-0000-0000080C0000}"/>
    <cellStyle name="%_PRIMAX - FC JULIO 09 5" xfId="3144" xr:uid="{00000000-0005-0000-0000-0000090C0000}"/>
    <cellStyle name="%_PRIMAX - FC JULIO 09 5 10" xfId="3145" xr:uid="{00000000-0005-0000-0000-00000A0C0000}"/>
    <cellStyle name="%_PRIMAX - FC JULIO 09 5 11" xfId="3146" xr:uid="{00000000-0005-0000-0000-00000B0C0000}"/>
    <cellStyle name="%_PRIMAX - FC JULIO 09 5 12" xfId="3147" xr:uid="{00000000-0005-0000-0000-00000C0C0000}"/>
    <cellStyle name="%_PRIMAX - FC JULIO 09 5 13" xfId="3148" xr:uid="{00000000-0005-0000-0000-00000D0C0000}"/>
    <cellStyle name="%_PRIMAX - FC JULIO 09 5 2" xfId="3149" xr:uid="{00000000-0005-0000-0000-00000E0C0000}"/>
    <cellStyle name="%_PRIMAX - FC JULIO 09 5 3" xfId="3150" xr:uid="{00000000-0005-0000-0000-00000F0C0000}"/>
    <cellStyle name="%_PRIMAX - FC JULIO 09 5 4" xfId="3151" xr:uid="{00000000-0005-0000-0000-0000100C0000}"/>
    <cellStyle name="%_PRIMAX - FC JULIO 09 5 5" xfId="3152" xr:uid="{00000000-0005-0000-0000-0000110C0000}"/>
    <cellStyle name="%_PRIMAX - FC JULIO 09 5 6" xfId="3153" xr:uid="{00000000-0005-0000-0000-0000120C0000}"/>
    <cellStyle name="%_PRIMAX - FC JULIO 09 5 7" xfId="3154" xr:uid="{00000000-0005-0000-0000-0000130C0000}"/>
    <cellStyle name="%_PRIMAX - FC JULIO 09 5 8" xfId="3155" xr:uid="{00000000-0005-0000-0000-0000140C0000}"/>
    <cellStyle name="%_PRIMAX - FC JULIO 09 5 9" xfId="3156" xr:uid="{00000000-0005-0000-0000-0000150C0000}"/>
    <cellStyle name="%_PRIMAX - FC JULIO 09 6" xfId="3157" xr:uid="{00000000-0005-0000-0000-0000160C0000}"/>
    <cellStyle name="%_PRIMAX - FC JULIO 09 6 10" xfId="3158" xr:uid="{00000000-0005-0000-0000-0000170C0000}"/>
    <cellStyle name="%_PRIMAX - FC JULIO 09 6 11" xfId="3159" xr:uid="{00000000-0005-0000-0000-0000180C0000}"/>
    <cellStyle name="%_PRIMAX - FC JULIO 09 6 12" xfId="3160" xr:uid="{00000000-0005-0000-0000-0000190C0000}"/>
    <cellStyle name="%_PRIMAX - FC JULIO 09 6 13" xfId="3161" xr:uid="{00000000-0005-0000-0000-00001A0C0000}"/>
    <cellStyle name="%_PRIMAX - FC JULIO 09 6 2" xfId="3162" xr:uid="{00000000-0005-0000-0000-00001B0C0000}"/>
    <cellStyle name="%_PRIMAX - FC JULIO 09 6 3" xfId="3163" xr:uid="{00000000-0005-0000-0000-00001C0C0000}"/>
    <cellStyle name="%_PRIMAX - FC JULIO 09 6 4" xfId="3164" xr:uid="{00000000-0005-0000-0000-00001D0C0000}"/>
    <cellStyle name="%_PRIMAX - FC JULIO 09 6 5" xfId="3165" xr:uid="{00000000-0005-0000-0000-00001E0C0000}"/>
    <cellStyle name="%_PRIMAX - FC JULIO 09 6 6" xfId="3166" xr:uid="{00000000-0005-0000-0000-00001F0C0000}"/>
    <cellStyle name="%_PRIMAX - FC JULIO 09 6 7" xfId="3167" xr:uid="{00000000-0005-0000-0000-0000200C0000}"/>
    <cellStyle name="%_PRIMAX - FC JULIO 09 6 8" xfId="3168" xr:uid="{00000000-0005-0000-0000-0000210C0000}"/>
    <cellStyle name="%_PRIMAX - FC JULIO 09 6 9" xfId="3169" xr:uid="{00000000-0005-0000-0000-0000220C0000}"/>
    <cellStyle name="%_PRIMAX - FC JULIO 09 7" xfId="3170" xr:uid="{00000000-0005-0000-0000-0000230C0000}"/>
    <cellStyle name="%_PRIMAX - FC JULIO 09 7 10" xfId="3171" xr:uid="{00000000-0005-0000-0000-0000240C0000}"/>
    <cellStyle name="%_PRIMAX - FC JULIO 09 7 11" xfId="3172" xr:uid="{00000000-0005-0000-0000-0000250C0000}"/>
    <cellStyle name="%_PRIMAX - FC JULIO 09 7 12" xfId="3173" xr:uid="{00000000-0005-0000-0000-0000260C0000}"/>
    <cellStyle name="%_PRIMAX - FC JULIO 09 7 13" xfId="3174" xr:uid="{00000000-0005-0000-0000-0000270C0000}"/>
    <cellStyle name="%_PRIMAX - FC JULIO 09 7 2" xfId="3175" xr:uid="{00000000-0005-0000-0000-0000280C0000}"/>
    <cellStyle name="%_PRIMAX - FC JULIO 09 7 3" xfId="3176" xr:uid="{00000000-0005-0000-0000-0000290C0000}"/>
    <cellStyle name="%_PRIMAX - FC JULIO 09 7 4" xfId="3177" xr:uid="{00000000-0005-0000-0000-00002A0C0000}"/>
    <cellStyle name="%_PRIMAX - FC JULIO 09 7 5" xfId="3178" xr:uid="{00000000-0005-0000-0000-00002B0C0000}"/>
    <cellStyle name="%_PRIMAX - FC JULIO 09 7 6" xfId="3179" xr:uid="{00000000-0005-0000-0000-00002C0C0000}"/>
    <cellStyle name="%_PRIMAX - FC JULIO 09 7 7" xfId="3180" xr:uid="{00000000-0005-0000-0000-00002D0C0000}"/>
    <cellStyle name="%_PRIMAX - FC JULIO 09 7 8" xfId="3181" xr:uid="{00000000-0005-0000-0000-00002E0C0000}"/>
    <cellStyle name="%_PRIMAX - FC JULIO 09 7 9" xfId="3182" xr:uid="{00000000-0005-0000-0000-00002F0C0000}"/>
    <cellStyle name="%_PRIMAX - FC JULIO 09 8" xfId="3183" xr:uid="{00000000-0005-0000-0000-0000300C0000}"/>
    <cellStyle name="%_PRIMAX - FC JULIO 09 8 10" xfId="3184" xr:uid="{00000000-0005-0000-0000-0000310C0000}"/>
    <cellStyle name="%_PRIMAX - FC JULIO 09 8 11" xfId="3185" xr:uid="{00000000-0005-0000-0000-0000320C0000}"/>
    <cellStyle name="%_PRIMAX - FC JULIO 09 8 12" xfId="3186" xr:uid="{00000000-0005-0000-0000-0000330C0000}"/>
    <cellStyle name="%_PRIMAX - FC JULIO 09 8 13" xfId="3187" xr:uid="{00000000-0005-0000-0000-0000340C0000}"/>
    <cellStyle name="%_PRIMAX - FC JULIO 09 8 2" xfId="3188" xr:uid="{00000000-0005-0000-0000-0000350C0000}"/>
    <cellStyle name="%_PRIMAX - FC JULIO 09 8 3" xfId="3189" xr:uid="{00000000-0005-0000-0000-0000360C0000}"/>
    <cellStyle name="%_PRIMAX - FC JULIO 09 8 4" xfId="3190" xr:uid="{00000000-0005-0000-0000-0000370C0000}"/>
    <cellStyle name="%_PRIMAX - FC JULIO 09 8 5" xfId="3191" xr:uid="{00000000-0005-0000-0000-0000380C0000}"/>
    <cellStyle name="%_PRIMAX - FC JULIO 09 8 6" xfId="3192" xr:uid="{00000000-0005-0000-0000-0000390C0000}"/>
    <cellStyle name="%_PRIMAX - FC JULIO 09 8 7" xfId="3193" xr:uid="{00000000-0005-0000-0000-00003A0C0000}"/>
    <cellStyle name="%_PRIMAX - FC JULIO 09 8 8" xfId="3194" xr:uid="{00000000-0005-0000-0000-00003B0C0000}"/>
    <cellStyle name="%_PRIMAX - FC JULIO 09 8 9" xfId="3195" xr:uid="{00000000-0005-0000-0000-00003C0C0000}"/>
    <cellStyle name="%_PRIMAX - FC JULIO 09_~0690845" xfId="3196" xr:uid="{00000000-0005-0000-0000-00003D0C0000}"/>
    <cellStyle name="%_PRIMAX - FC JULIO 09_~9162688" xfId="3197" xr:uid="{00000000-0005-0000-0000-00003E0C0000}"/>
    <cellStyle name="%_PRIMAX - FC JULIO 09_~9567759" xfId="3198" xr:uid="{00000000-0005-0000-0000-00003F0C0000}"/>
    <cellStyle name="%_PRIMAX - FC JULIO 09_Diciembre 2010_PRIMAX" xfId="3199" xr:uid="{00000000-0005-0000-0000-0000400C0000}"/>
    <cellStyle name="%_PRIMAX - FC JULIO 09_Directorio Febrero 2011" xfId="3200" xr:uid="{00000000-0005-0000-0000-0000410C0000}"/>
    <cellStyle name="%_PRIMAX - FC JULIO 09_FLUJO CONSOLIDADO CAÑA BRAVA OCT 2010" xfId="3201" xr:uid="{00000000-0005-0000-0000-0000420C0000}"/>
    <cellStyle name="%_PRIMAX - FC JULIO 09_GRUPO PALMAS FC Y DEUDA A DIC 2010" xfId="3202" xr:uid="{00000000-0005-0000-0000-0000430C0000}"/>
    <cellStyle name="%_PRIMAX - FC JULIO 09_GRUPO PALMAS FC Y DEUDA NOV 2010" xfId="3203" xr:uid="{00000000-0005-0000-0000-0000440C0000}"/>
    <cellStyle name="%_PRIMAX - FC JULIO 09_Limtek Enero  2011" xfId="3204" xr:uid="{00000000-0005-0000-0000-0000450C0000}"/>
    <cellStyle name="%_PRIMAX - FC JULIO 09_Limtek Febrero 2011" xfId="3205" xr:uid="{00000000-0005-0000-0000-0000460C0000}"/>
    <cellStyle name="%_PRIMAX - FC JULIO 09_Modelo Enero" xfId="3206" xr:uid="{00000000-0005-0000-0000-0000470C0000}"/>
    <cellStyle name="%_PRIMAX - FC JULIO 09_Modelo Febrero" xfId="3207" xr:uid="{00000000-0005-0000-0000-0000480C0000}"/>
    <cellStyle name="%_PRIMAX - FC JULIO 09_Noviembre 2010" xfId="3208" xr:uid="{00000000-0005-0000-0000-0000490C0000}"/>
    <cellStyle name="%_PRIMAX - FC JULIO 09_Octubre 2010" xfId="3209" xr:uid="{00000000-0005-0000-0000-00004A0C0000}"/>
    <cellStyle name="%_PRIMAX - FC JULIO 09_PB. 2011 - Versión Final 30 Dic al Comité de Grencia" xfId="3210" xr:uid="{00000000-0005-0000-0000-00004B0C0000}"/>
    <cellStyle name="%_PRIMAX - FC JULIO 09_PRIMAX - DEUDA A ENE 2010" xfId="3211" xr:uid="{00000000-0005-0000-0000-00004C0C0000}"/>
    <cellStyle name="%_PRIMAX - FC JULIO 09_PRIMAX Deuda Febrero 2011" xfId="3212" xr:uid="{00000000-0005-0000-0000-00004D0C0000}"/>
    <cellStyle name="%_PRIMAX - FC JULIO 09_RT Enero Deuda" xfId="3213" xr:uid="{00000000-0005-0000-0000-00004E0C0000}"/>
    <cellStyle name="%_PRIMAX - FC MARZO 09" xfId="3214" xr:uid="{00000000-0005-0000-0000-00004F0C0000}"/>
    <cellStyle name="%_PRIMAX - FC MARZO 09 2" xfId="3215" xr:uid="{00000000-0005-0000-0000-0000500C0000}"/>
    <cellStyle name="%_PRIMAX - FC MARZO 09 2 10" xfId="3216" xr:uid="{00000000-0005-0000-0000-0000510C0000}"/>
    <cellStyle name="%_PRIMAX - FC MARZO 09 2 11" xfId="3217" xr:uid="{00000000-0005-0000-0000-0000520C0000}"/>
    <cellStyle name="%_PRIMAX - FC MARZO 09 2 12" xfId="3218" xr:uid="{00000000-0005-0000-0000-0000530C0000}"/>
    <cellStyle name="%_PRIMAX - FC MARZO 09 2 13" xfId="3219" xr:uid="{00000000-0005-0000-0000-0000540C0000}"/>
    <cellStyle name="%_PRIMAX - FC MARZO 09 2 2" xfId="3220" xr:uid="{00000000-0005-0000-0000-0000550C0000}"/>
    <cellStyle name="%_PRIMAX - FC MARZO 09 2 3" xfId="3221" xr:uid="{00000000-0005-0000-0000-0000560C0000}"/>
    <cellStyle name="%_PRIMAX - FC MARZO 09 2 4" xfId="3222" xr:uid="{00000000-0005-0000-0000-0000570C0000}"/>
    <cellStyle name="%_PRIMAX - FC MARZO 09 2 5" xfId="3223" xr:uid="{00000000-0005-0000-0000-0000580C0000}"/>
    <cellStyle name="%_PRIMAX - FC MARZO 09 2 6" xfId="3224" xr:uid="{00000000-0005-0000-0000-0000590C0000}"/>
    <cellStyle name="%_PRIMAX - FC MARZO 09 2 7" xfId="3225" xr:uid="{00000000-0005-0000-0000-00005A0C0000}"/>
    <cellStyle name="%_PRIMAX - FC MARZO 09 2 8" xfId="3226" xr:uid="{00000000-0005-0000-0000-00005B0C0000}"/>
    <cellStyle name="%_PRIMAX - FC MARZO 09 2 9" xfId="3227" xr:uid="{00000000-0005-0000-0000-00005C0C0000}"/>
    <cellStyle name="%_PRIMAX - FC MARZO 09 3" xfId="3228" xr:uid="{00000000-0005-0000-0000-00005D0C0000}"/>
    <cellStyle name="%_PRIMAX - FC MARZO 09 3 10" xfId="3229" xr:uid="{00000000-0005-0000-0000-00005E0C0000}"/>
    <cellStyle name="%_PRIMAX - FC MARZO 09 3 11" xfId="3230" xr:uid="{00000000-0005-0000-0000-00005F0C0000}"/>
    <cellStyle name="%_PRIMAX - FC MARZO 09 3 12" xfId="3231" xr:uid="{00000000-0005-0000-0000-0000600C0000}"/>
    <cellStyle name="%_PRIMAX - FC MARZO 09 3 13" xfId="3232" xr:uid="{00000000-0005-0000-0000-0000610C0000}"/>
    <cellStyle name="%_PRIMAX - FC MARZO 09 3 2" xfId="3233" xr:uid="{00000000-0005-0000-0000-0000620C0000}"/>
    <cellStyle name="%_PRIMAX - FC MARZO 09 3 3" xfId="3234" xr:uid="{00000000-0005-0000-0000-0000630C0000}"/>
    <cellStyle name="%_PRIMAX - FC MARZO 09 3 4" xfId="3235" xr:uid="{00000000-0005-0000-0000-0000640C0000}"/>
    <cellStyle name="%_PRIMAX - FC MARZO 09 3 5" xfId="3236" xr:uid="{00000000-0005-0000-0000-0000650C0000}"/>
    <cellStyle name="%_PRIMAX - FC MARZO 09 3 6" xfId="3237" xr:uid="{00000000-0005-0000-0000-0000660C0000}"/>
    <cellStyle name="%_PRIMAX - FC MARZO 09 3 7" xfId="3238" xr:uid="{00000000-0005-0000-0000-0000670C0000}"/>
    <cellStyle name="%_PRIMAX - FC MARZO 09 3 8" xfId="3239" xr:uid="{00000000-0005-0000-0000-0000680C0000}"/>
    <cellStyle name="%_PRIMAX - FC MARZO 09 3 9" xfId="3240" xr:uid="{00000000-0005-0000-0000-0000690C0000}"/>
    <cellStyle name="%_PRIMAX - FC MARZO 09 4" xfId="3241" xr:uid="{00000000-0005-0000-0000-00006A0C0000}"/>
    <cellStyle name="%_PRIMAX - FC MARZO 09 4 10" xfId="3242" xr:uid="{00000000-0005-0000-0000-00006B0C0000}"/>
    <cellStyle name="%_PRIMAX - FC MARZO 09 4 11" xfId="3243" xr:uid="{00000000-0005-0000-0000-00006C0C0000}"/>
    <cellStyle name="%_PRIMAX - FC MARZO 09 4 12" xfId="3244" xr:uid="{00000000-0005-0000-0000-00006D0C0000}"/>
    <cellStyle name="%_PRIMAX - FC MARZO 09 4 13" xfId="3245" xr:uid="{00000000-0005-0000-0000-00006E0C0000}"/>
    <cellStyle name="%_PRIMAX - FC MARZO 09 4 2" xfId="3246" xr:uid="{00000000-0005-0000-0000-00006F0C0000}"/>
    <cellStyle name="%_PRIMAX - FC MARZO 09 4 3" xfId="3247" xr:uid="{00000000-0005-0000-0000-0000700C0000}"/>
    <cellStyle name="%_PRIMAX - FC MARZO 09 4 4" xfId="3248" xr:uid="{00000000-0005-0000-0000-0000710C0000}"/>
    <cellStyle name="%_PRIMAX - FC MARZO 09 4 5" xfId="3249" xr:uid="{00000000-0005-0000-0000-0000720C0000}"/>
    <cellStyle name="%_PRIMAX - FC MARZO 09 4 6" xfId="3250" xr:uid="{00000000-0005-0000-0000-0000730C0000}"/>
    <cellStyle name="%_PRIMAX - FC MARZO 09 4 7" xfId="3251" xr:uid="{00000000-0005-0000-0000-0000740C0000}"/>
    <cellStyle name="%_PRIMAX - FC MARZO 09 4 8" xfId="3252" xr:uid="{00000000-0005-0000-0000-0000750C0000}"/>
    <cellStyle name="%_PRIMAX - FC MARZO 09 4 9" xfId="3253" xr:uid="{00000000-0005-0000-0000-0000760C0000}"/>
    <cellStyle name="%_PRIMAX - FC MARZO 09 5" xfId="3254" xr:uid="{00000000-0005-0000-0000-0000770C0000}"/>
    <cellStyle name="%_PRIMAX - FC MARZO 09 5 10" xfId="3255" xr:uid="{00000000-0005-0000-0000-0000780C0000}"/>
    <cellStyle name="%_PRIMAX - FC MARZO 09 5 11" xfId="3256" xr:uid="{00000000-0005-0000-0000-0000790C0000}"/>
    <cellStyle name="%_PRIMAX - FC MARZO 09 5 12" xfId="3257" xr:uid="{00000000-0005-0000-0000-00007A0C0000}"/>
    <cellStyle name="%_PRIMAX - FC MARZO 09 5 13" xfId="3258" xr:uid="{00000000-0005-0000-0000-00007B0C0000}"/>
    <cellStyle name="%_PRIMAX - FC MARZO 09 5 2" xfId="3259" xr:uid="{00000000-0005-0000-0000-00007C0C0000}"/>
    <cellStyle name="%_PRIMAX - FC MARZO 09 5 3" xfId="3260" xr:uid="{00000000-0005-0000-0000-00007D0C0000}"/>
    <cellStyle name="%_PRIMAX - FC MARZO 09 5 4" xfId="3261" xr:uid="{00000000-0005-0000-0000-00007E0C0000}"/>
    <cellStyle name="%_PRIMAX - FC MARZO 09 5 5" xfId="3262" xr:uid="{00000000-0005-0000-0000-00007F0C0000}"/>
    <cellStyle name="%_PRIMAX - FC MARZO 09 5 6" xfId="3263" xr:uid="{00000000-0005-0000-0000-0000800C0000}"/>
    <cellStyle name="%_PRIMAX - FC MARZO 09 5 7" xfId="3264" xr:uid="{00000000-0005-0000-0000-0000810C0000}"/>
    <cellStyle name="%_PRIMAX - FC MARZO 09 5 8" xfId="3265" xr:uid="{00000000-0005-0000-0000-0000820C0000}"/>
    <cellStyle name="%_PRIMAX - FC MARZO 09 5 9" xfId="3266" xr:uid="{00000000-0005-0000-0000-0000830C0000}"/>
    <cellStyle name="%_PRIMAX - FC MARZO 09 6" xfId="3267" xr:uid="{00000000-0005-0000-0000-0000840C0000}"/>
    <cellStyle name="%_PRIMAX - FC MARZO 09 6 10" xfId="3268" xr:uid="{00000000-0005-0000-0000-0000850C0000}"/>
    <cellStyle name="%_PRIMAX - FC MARZO 09 6 11" xfId="3269" xr:uid="{00000000-0005-0000-0000-0000860C0000}"/>
    <cellStyle name="%_PRIMAX - FC MARZO 09 6 12" xfId="3270" xr:uid="{00000000-0005-0000-0000-0000870C0000}"/>
    <cellStyle name="%_PRIMAX - FC MARZO 09 6 13" xfId="3271" xr:uid="{00000000-0005-0000-0000-0000880C0000}"/>
    <cellStyle name="%_PRIMAX - FC MARZO 09 6 2" xfId="3272" xr:uid="{00000000-0005-0000-0000-0000890C0000}"/>
    <cellStyle name="%_PRIMAX - FC MARZO 09 6 3" xfId="3273" xr:uid="{00000000-0005-0000-0000-00008A0C0000}"/>
    <cellStyle name="%_PRIMAX - FC MARZO 09 6 4" xfId="3274" xr:uid="{00000000-0005-0000-0000-00008B0C0000}"/>
    <cellStyle name="%_PRIMAX - FC MARZO 09 6 5" xfId="3275" xr:uid="{00000000-0005-0000-0000-00008C0C0000}"/>
    <cellStyle name="%_PRIMAX - FC MARZO 09 6 6" xfId="3276" xr:uid="{00000000-0005-0000-0000-00008D0C0000}"/>
    <cellStyle name="%_PRIMAX - FC MARZO 09 6 7" xfId="3277" xr:uid="{00000000-0005-0000-0000-00008E0C0000}"/>
    <cellStyle name="%_PRIMAX - FC MARZO 09 6 8" xfId="3278" xr:uid="{00000000-0005-0000-0000-00008F0C0000}"/>
    <cellStyle name="%_PRIMAX - FC MARZO 09 6 9" xfId="3279" xr:uid="{00000000-0005-0000-0000-0000900C0000}"/>
    <cellStyle name="%_PRIMAX - FC MARZO 09 7" xfId="3280" xr:uid="{00000000-0005-0000-0000-0000910C0000}"/>
    <cellStyle name="%_PRIMAX - FC MARZO 09 7 10" xfId="3281" xr:uid="{00000000-0005-0000-0000-0000920C0000}"/>
    <cellStyle name="%_PRIMAX - FC MARZO 09 7 11" xfId="3282" xr:uid="{00000000-0005-0000-0000-0000930C0000}"/>
    <cellStyle name="%_PRIMAX - FC MARZO 09 7 12" xfId="3283" xr:uid="{00000000-0005-0000-0000-0000940C0000}"/>
    <cellStyle name="%_PRIMAX - FC MARZO 09 7 13" xfId="3284" xr:uid="{00000000-0005-0000-0000-0000950C0000}"/>
    <cellStyle name="%_PRIMAX - FC MARZO 09 7 2" xfId="3285" xr:uid="{00000000-0005-0000-0000-0000960C0000}"/>
    <cellStyle name="%_PRIMAX - FC MARZO 09 7 3" xfId="3286" xr:uid="{00000000-0005-0000-0000-0000970C0000}"/>
    <cellStyle name="%_PRIMAX - FC MARZO 09 7 4" xfId="3287" xr:uid="{00000000-0005-0000-0000-0000980C0000}"/>
    <cellStyle name="%_PRIMAX - FC MARZO 09 7 5" xfId="3288" xr:uid="{00000000-0005-0000-0000-0000990C0000}"/>
    <cellStyle name="%_PRIMAX - FC MARZO 09 7 6" xfId="3289" xr:uid="{00000000-0005-0000-0000-00009A0C0000}"/>
    <cellStyle name="%_PRIMAX - FC MARZO 09 7 7" xfId="3290" xr:uid="{00000000-0005-0000-0000-00009B0C0000}"/>
    <cellStyle name="%_PRIMAX - FC MARZO 09 7 8" xfId="3291" xr:uid="{00000000-0005-0000-0000-00009C0C0000}"/>
    <cellStyle name="%_PRIMAX - FC MARZO 09 7 9" xfId="3292" xr:uid="{00000000-0005-0000-0000-00009D0C0000}"/>
    <cellStyle name="%_PRIMAX - FC MARZO 09 8" xfId="3293" xr:uid="{00000000-0005-0000-0000-00009E0C0000}"/>
    <cellStyle name="%_PRIMAX - FC MARZO 09 8 10" xfId="3294" xr:uid="{00000000-0005-0000-0000-00009F0C0000}"/>
    <cellStyle name="%_PRIMAX - FC MARZO 09 8 11" xfId="3295" xr:uid="{00000000-0005-0000-0000-0000A00C0000}"/>
    <cellStyle name="%_PRIMAX - FC MARZO 09 8 12" xfId="3296" xr:uid="{00000000-0005-0000-0000-0000A10C0000}"/>
    <cellStyle name="%_PRIMAX - FC MARZO 09 8 13" xfId="3297" xr:uid="{00000000-0005-0000-0000-0000A20C0000}"/>
    <cellStyle name="%_PRIMAX - FC MARZO 09 8 2" xfId="3298" xr:uid="{00000000-0005-0000-0000-0000A30C0000}"/>
    <cellStyle name="%_PRIMAX - FC MARZO 09 8 3" xfId="3299" xr:uid="{00000000-0005-0000-0000-0000A40C0000}"/>
    <cellStyle name="%_PRIMAX - FC MARZO 09 8 4" xfId="3300" xr:uid="{00000000-0005-0000-0000-0000A50C0000}"/>
    <cellStyle name="%_PRIMAX - FC MARZO 09 8 5" xfId="3301" xr:uid="{00000000-0005-0000-0000-0000A60C0000}"/>
    <cellStyle name="%_PRIMAX - FC MARZO 09 8 6" xfId="3302" xr:uid="{00000000-0005-0000-0000-0000A70C0000}"/>
    <cellStyle name="%_PRIMAX - FC MARZO 09 8 7" xfId="3303" xr:uid="{00000000-0005-0000-0000-0000A80C0000}"/>
    <cellStyle name="%_PRIMAX - FC MARZO 09 8 8" xfId="3304" xr:uid="{00000000-0005-0000-0000-0000A90C0000}"/>
    <cellStyle name="%_PRIMAX - FC MARZO 09 8 9" xfId="3305" xr:uid="{00000000-0005-0000-0000-0000AA0C0000}"/>
    <cellStyle name="%_PRIMAX - FC MARZO 09_FLUJO CONSOLIDADO CAÑA BRAVA OCT 2010" xfId="3306" xr:uid="{00000000-0005-0000-0000-0000AB0C0000}"/>
    <cellStyle name="%_PRIMAX - FC MARZO 09_Flujo de Caja Consolidado Setiembre 23.09.2010 - Ok" xfId="3307" xr:uid="{00000000-0005-0000-0000-0000AC0C0000}"/>
    <cellStyle name="%_PRIMAX - FC MARZO 09_Libro2" xfId="3308" xr:uid="{00000000-0005-0000-0000-0000AD0C0000}"/>
    <cellStyle name="%_PRIMAX - FC MARZO 09_PB. 2011 - Versión Final 30 Dic al Comité de Grencia" xfId="3309" xr:uid="{00000000-0005-0000-0000-0000AE0C0000}"/>
    <cellStyle name="%_PRIMAX - FC NOV 09" xfId="3310" xr:uid="{00000000-0005-0000-0000-0000AF0C0000}"/>
    <cellStyle name="%_PRIMAX - FC NOV 09 2" xfId="3311" xr:uid="{00000000-0005-0000-0000-0000B00C0000}"/>
    <cellStyle name="%_PRIMAX - FC NOV 09 2 2" xfId="3312" xr:uid="{00000000-0005-0000-0000-0000B10C0000}"/>
    <cellStyle name="%_PRIMAX - FC NOV 09 3" xfId="3313" xr:uid="{00000000-0005-0000-0000-0000B20C0000}"/>
    <cellStyle name="%_Primax y Samtronics" xfId="3314" xr:uid="{00000000-0005-0000-0000-0000B30C0000}"/>
    <cellStyle name="%_Primax y Samtronics 2" xfId="3315" xr:uid="{00000000-0005-0000-0000-0000B40C0000}"/>
    <cellStyle name="%_Primax y Samtronics 2 10" xfId="3316" xr:uid="{00000000-0005-0000-0000-0000B50C0000}"/>
    <cellStyle name="%_Primax y Samtronics 2 11" xfId="3317" xr:uid="{00000000-0005-0000-0000-0000B60C0000}"/>
    <cellStyle name="%_Primax y Samtronics 2 12" xfId="3318" xr:uid="{00000000-0005-0000-0000-0000B70C0000}"/>
    <cellStyle name="%_Primax y Samtronics 2 13" xfId="3319" xr:uid="{00000000-0005-0000-0000-0000B80C0000}"/>
    <cellStyle name="%_Primax y Samtronics 2 2" xfId="3320" xr:uid="{00000000-0005-0000-0000-0000B90C0000}"/>
    <cellStyle name="%_Primax y Samtronics 2 3" xfId="3321" xr:uid="{00000000-0005-0000-0000-0000BA0C0000}"/>
    <cellStyle name="%_Primax y Samtronics 2 4" xfId="3322" xr:uid="{00000000-0005-0000-0000-0000BB0C0000}"/>
    <cellStyle name="%_Primax y Samtronics 2 5" xfId="3323" xr:uid="{00000000-0005-0000-0000-0000BC0C0000}"/>
    <cellStyle name="%_Primax y Samtronics 2 6" xfId="3324" xr:uid="{00000000-0005-0000-0000-0000BD0C0000}"/>
    <cellStyle name="%_Primax y Samtronics 2 7" xfId="3325" xr:uid="{00000000-0005-0000-0000-0000BE0C0000}"/>
    <cellStyle name="%_Primax y Samtronics 2 8" xfId="3326" xr:uid="{00000000-0005-0000-0000-0000BF0C0000}"/>
    <cellStyle name="%_Primax y Samtronics 2 9" xfId="3327" xr:uid="{00000000-0005-0000-0000-0000C00C0000}"/>
    <cellStyle name="%_Primax y Samtronics 3" xfId="3328" xr:uid="{00000000-0005-0000-0000-0000C10C0000}"/>
    <cellStyle name="%_Primax y Samtronics 3 10" xfId="3329" xr:uid="{00000000-0005-0000-0000-0000C20C0000}"/>
    <cellStyle name="%_Primax y Samtronics 3 11" xfId="3330" xr:uid="{00000000-0005-0000-0000-0000C30C0000}"/>
    <cellStyle name="%_Primax y Samtronics 3 12" xfId="3331" xr:uid="{00000000-0005-0000-0000-0000C40C0000}"/>
    <cellStyle name="%_Primax y Samtronics 3 13" xfId="3332" xr:uid="{00000000-0005-0000-0000-0000C50C0000}"/>
    <cellStyle name="%_Primax y Samtronics 3 2" xfId="3333" xr:uid="{00000000-0005-0000-0000-0000C60C0000}"/>
    <cellStyle name="%_Primax y Samtronics 3 3" xfId="3334" xr:uid="{00000000-0005-0000-0000-0000C70C0000}"/>
    <cellStyle name="%_Primax y Samtronics 3 4" xfId="3335" xr:uid="{00000000-0005-0000-0000-0000C80C0000}"/>
    <cellStyle name="%_Primax y Samtronics 3 5" xfId="3336" xr:uid="{00000000-0005-0000-0000-0000C90C0000}"/>
    <cellStyle name="%_Primax y Samtronics 3 6" xfId="3337" xr:uid="{00000000-0005-0000-0000-0000CA0C0000}"/>
    <cellStyle name="%_Primax y Samtronics 3 7" xfId="3338" xr:uid="{00000000-0005-0000-0000-0000CB0C0000}"/>
    <cellStyle name="%_Primax y Samtronics 3 8" xfId="3339" xr:uid="{00000000-0005-0000-0000-0000CC0C0000}"/>
    <cellStyle name="%_Primax y Samtronics 3 9" xfId="3340" xr:uid="{00000000-0005-0000-0000-0000CD0C0000}"/>
    <cellStyle name="%_Primax y Samtronics 4" xfId="3341" xr:uid="{00000000-0005-0000-0000-0000CE0C0000}"/>
    <cellStyle name="%_Primax y Samtronics 4 10" xfId="3342" xr:uid="{00000000-0005-0000-0000-0000CF0C0000}"/>
    <cellStyle name="%_Primax y Samtronics 4 11" xfId="3343" xr:uid="{00000000-0005-0000-0000-0000D00C0000}"/>
    <cellStyle name="%_Primax y Samtronics 4 12" xfId="3344" xr:uid="{00000000-0005-0000-0000-0000D10C0000}"/>
    <cellStyle name="%_Primax y Samtronics 4 13" xfId="3345" xr:uid="{00000000-0005-0000-0000-0000D20C0000}"/>
    <cellStyle name="%_Primax y Samtronics 4 2" xfId="3346" xr:uid="{00000000-0005-0000-0000-0000D30C0000}"/>
    <cellStyle name="%_Primax y Samtronics 4 3" xfId="3347" xr:uid="{00000000-0005-0000-0000-0000D40C0000}"/>
    <cellStyle name="%_Primax y Samtronics 4 4" xfId="3348" xr:uid="{00000000-0005-0000-0000-0000D50C0000}"/>
    <cellStyle name="%_Primax y Samtronics 4 5" xfId="3349" xr:uid="{00000000-0005-0000-0000-0000D60C0000}"/>
    <cellStyle name="%_Primax y Samtronics 4 6" xfId="3350" xr:uid="{00000000-0005-0000-0000-0000D70C0000}"/>
    <cellStyle name="%_Primax y Samtronics 4 7" xfId="3351" xr:uid="{00000000-0005-0000-0000-0000D80C0000}"/>
    <cellStyle name="%_Primax y Samtronics 4 8" xfId="3352" xr:uid="{00000000-0005-0000-0000-0000D90C0000}"/>
    <cellStyle name="%_Primax y Samtronics 4 9" xfId="3353" xr:uid="{00000000-0005-0000-0000-0000DA0C0000}"/>
    <cellStyle name="%_Primax y Samtronics 5" xfId="3354" xr:uid="{00000000-0005-0000-0000-0000DB0C0000}"/>
    <cellStyle name="%_Primax y Samtronics 5 10" xfId="3355" xr:uid="{00000000-0005-0000-0000-0000DC0C0000}"/>
    <cellStyle name="%_Primax y Samtronics 5 11" xfId="3356" xr:uid="{00000000-0005-0000-0000-0000DD0C0000}"/>
    <cellStyle name="%_Primax y Samtronics 5 12" xfId="3357" xr:uid="{00000000-0005-0000-0000-0000DE0C0000}"/>
    <cellStyle name="%_Primax y Samtronics 5 13" xfId="3358" xr:uid="{00000000-0005-0000-0000-0000DF0C0000}"/>
    <cellStyle name="%_Primax y Samtronics 5 2" xfId="3359" xr:uid="{00000000-0005-0000-0000-0000E00C0000}"/>
    <cellStyle name="%_Primax y Samtronics 5 3" xfId="3360" xr:uid="{00000000-0005-0000-0000-0000E10C0000}"/>
    <cellStyle name="%_Primax y Samtronics 5 4" xfId="3361" xr:uid="{00000000-0005-0000-0000-0000E20C0000}"/>
    <cellStyle name="%_Primax y Samtronics 5 5" xfId="3362" xr:uid="{00000000-0005-0000-0000-0000E30C0000}"/>
    <cellStyle name="%_Primax y Samtronics 5 6" xfId="3363" xr:uid="{00000000-0005-0000-0000-0000E40C0000}"/>
    <cellStyle name="%_Primax y Samtronics 5 7" xfId="3364" xr:uid="{00000000-0005-0000-0000-0000E50C0000}"/>
    <cellStyle name="%_Primax y Samtronics 5 8" xfId="3365" xr:uid="{00000000-0005-0000-0000-0000E60C0000}"/>
    <cellStyle name="%_Primax y Samtronics 5 9" xfId="3366" xr:uid="{00000000-0005-0000-0000-0000E70C0000}"/>
    <cellStyle name="%_Primax y Samtronics 6" xfId="3367" xr:uid="{00000000-0005-0000-0000-0000E80C0000}"/>
    <cellStyle name="%_Primax y Samtronics 6 10" xfId="3368" xr:uid="{00000000-0005-0000-0000-0000E90C0000}"/>
    <cellStyle name="%_Primax y Samtronics 6 11" xfId="3369" xr:uid="{00000000-0005-0000-0000-0000EA0C0000}"/>
    <cellStyle name="%_Primax y Samtronics 6 12" xfId="3370" xr:uid="{00000000-0005-0000-0000-0000EB0C0000}"/>
    <cellStyle name="%_Primax y Samtronics 6 13" xfId="3371" xr:uid="{00000000-0005-0000-0000-0000EC0C0000}"/>
    <cellStyle name="%_Primax y Samtronics 6 2" xfId="3372" xr:uid="{00000000-0005-0000-0000-0000ED0C0000}"/>
    <cellStyle name="%_Primax y Samtronics 6 3" xfId="3373" xr:uid="{00000000-0005-0000-0000-0000EE0C0000}"/>
    <cellStyle name="%_Primax y Samtronics 6 4" xfId="3374" xr:uid="{00000000-0005-0000-0000-0000EF0C0000}"/>
    <cellStyle name="%_Primax y Samtronics 6 5" xfId="3375" xr:uid="{00000000-0005-0000-0000-0000F00C0000}"/>
    <cellStyle name="%_Primax y Samtronics 6 6" xfId="3376" xr:uid="{00000000-0005-0000-0000-0000F10C0000}"/>
    <cellStyle name="%_Primax y Samtronics 6 7" xfId="3377" xr:uid="{00000000-0005-0000-0000-0000F20C0000}"/>
    <cellStyle name="%_Primax y Samtronics 6 8" xfId="3378" xr:uid="{00000000-0005-0000-0000-0000F30C0000}"/>
    <cellStyle name="%_Primax y Samtronics 6 9" xfId="3379" xr:uid="{00000000-0005-0000-0000-0000F40C0000}"/>
    <cellStyle name="%_Primax y Samtronics 7" xfId="3380" xr:uid="{00000000-0005-0000-0000-0000F50C0000}"/>
    <cellStyle name="%_Primax y Samtronics 7 10" xfId="3381" xr:uid="{00000000-0005-0000-0000-0000F60C0000}"/>
    <cellStyle name="%_Primax y Samtronics 7 11" xfId="3382" xr:uid="{00000000-0005-0000-0000-0000F70C0000}"/>
    <cellStyle name="%_Primax y Samtronics 7 12" xfId="3383" xr:uid="{00000000-0005-0000-0000-0000F80C0000}"/>
    <cellStyle name="%_Primax y Samtronics 7 13" xfId="3384" xr:uid="{00000000-0005-0000-0000-0000F90C0000}"/>
    <cellStyle name="%_Primax y Samtronics 7 2" xfId="3385" xr:uid="{00000000-0005-0000-0000-0000FA0C0000}"/>
    <cellStyle name="%_Primax y Samtronics 7 3" xfId="3386" xr:uid="{00000000-0005-0000-0000-0000FB0C0000}"/>
    <cellStyle name="%_Primax y Samtronics 7 4" xfId="3387" xr:uid="{00000000-0005-0000-0000-0000FC0C0000}"/>
    <cellStyle name="%_Primax y Samtronics 7 5" xfId="3388" xr:uid="{00000000-0005-0000-0000-0000FD0C0000}"/>
    <cellStyle name="%_Primax y Samtronics 7 6" xfId="3389" xr:uid="{00000000-0005-0000-0000-0000FE0C0000}"/>
    <cellStyle name="%_Primax y Samtronics 7 7" xfId="3390" xr:uid="{00000000-0005-0000-0000-0000FF0C0000}"/>
    <cellStyle name="%_Primax y Samtronics 7 8" xfId="3391" xr:uid="{00000000-0005-0000-0000-0000000D0000}"/>
    <cellStyle name="%_Primax y Samtronics 7 9" xfId="3392" xr:uid="{00000000-0005-0000-0000-0000010D0000}"/>
    <cellStyle name="%_Primax y Samtronics 8" xfId="3393" xr:uid="{00000000-0005-0000-0000-0000020D0000}"/>
    <cellStyle name="%_Primax y Samtronics 8 10" xfId="3394" xr:uid="{00000000-0005-0000-0000-0000030D0000}"/>
    <cellStyle name="%_Primax y Samtronics 8 11" xfId="3395" xr:uid="{00000000-0005-0000-0000-0000040D0000}"/>
    <cellStyle name="%_Primax y Samtronics 8 12" xfId="3396" xr:uid="{00000000-0005-0000-0000-0000050D0000}"/>
    <cellStyle name="%_Primax y Samtronics 8 13" xfId="3397" xr:uid="{00000000-0005-0000-0000-0000060D0000}"/>
    <cellStyle name="%_Primax y Samtronics 8 2" xfId="3398" xr:uid="{00000000-0005-0000-0000-0000070D0000}"/>
    <cellStyle name="%_Primax y Samtronics 8 3" xfId="3399" xr:uid="{00000000-0005-0000-0000-0000080D0000}"/>
    <cellStyle name="%_Primax y Samtronics 8 4" xfId="3400" xr:uid="{00000000-0005-0000-0000-0000090D0000}"/>
    <cellStyle name="%_Primax y Samtronics 8 5" xfId="3401" xr:uid="{00000000-0005-0000-0000-00000A0D0000}"/>
    <cellStyle name="%_Primax y Samtronics 8 6" xfId="3402" xr:uid="{00000000-0005-0000-0000-00000B0D0000}"/>
    <cellStyle name="%_Primax y Samtronics 8 7" xfId="3403" xr:uid="{00000000-0005-0000-0000-00000C0D0000}"/>
    <cellStyle name="%_Primax y Samtronics 8 8" xfId="3404" xr:uid="{00000000-0005-0000-0000-00000D0D0000}"/>
    <cellStyle name="%_Primax y Samtronics 8 9" xfId="3405" xr:uid="{00000000-0005-0000-0000-00000E0D0000}"/>
    <cellStyle name="%_Primax y Samtronics_FLUJO CONSOLIDADO CAÑA BRAVA OCT 2010" xfId="3406" xr:uid="{00000000-0005-0000-0000-00000F0D0000}"/>
    <cellStyle name="%_Primax y Samtronics_Flujo de Caja Consolidado Setiembre 23.09.2010 - Ok" xfId="3407" xr:uid="{00000000-0005-0000-0000-0000100D0000}"/>
    <cellStyle name="%_Primax y Samtronics_Libro2" xfId="3408" xr:uid="{00000000-0005-0000-0000-0000110D0000}"/>
    <cellStyle name="%_Primax y Samtronics_PB. 2011 - Versión Final 30 Dic al Comité de Grencia" xfId="3409" xr:uid="{00000000-0005-0000-0000-0000120D0000}"/>
    <cellStyle name="%_RT Abril" xfId="3410" xr:uid="{00000000-0005-0000-0000-0000130D0000}"/>
    <cellStyle name="%_RT Agosto" xfId="3411" xr:uid="{00000000-0005-0000-0000-0000140D0000}"/>
    <cellStyle name="%_RT Enero Deuda" xfId="3412" xr:uid="{00000000-0005-0000-0000-0000150D0000}"/>
    <cellStyle name="%_RT FC DIC 08" xfId="3413" xr:uid="{00000000-0005-0000-0000-0000160D0000}"/>
    <cellStyle name="%_RT FC DIC 08 2" xfId="3414" xr:uid="{00000000-0005-0000-0000-0000170D0000}"/>
    <cellStyle name="%_RT Febrero 18.02.10" xfId="3415" xr:uid="{00000000-0005-0000-0000-0000180D0000}"/>
    <cellStyle name="%_RT Junio" xfId="3416" xr:uid="{00000000-0005-0000-0000-0000190D0000}"/>
    <cellStyle name="%_RT Marzo" xfId="3417" xr:uid="{00000000-0005-0000-0000-00001A0D0000}"/>
    <cellStyle name="%_RT Mayo" xfId="3418" xr:uid="{00000000-0005-0000-0000-00001B0D0000}"/>
    <cellStyle name="%_RT Noviembre" xfId="3419" xr:uid="{00000000-0005-0000-0000-00001C0D0000}"/>
    <cellStyle name="%_RT Octubre" xfId="3420" xr:uid="{00000000-0005-0000-0000-00001D0D0000}"/>
    <cellStyle name="%_RT PRESUPUESTO EGPP 2009 v8" xfId="3421" xr:uid="{00000000-0005-0000-0000-00001E0D0000}"/>
    <cellStyle name="%_RT PRESUPUESTO EGPP 2009 v8 2" xfId="3422" xr:uid="{00000000-0005-0000-0000-00001F0D0000}"/>
    <cellStyle name="%_RT Septiembre" xfId="3423" xr:uid="{00000000-0005-0000-0000-0000200D0000}"/>
    <cellStyle name="%_SAMTRONICS - DEUDA A ABRIL 2009" xfId="3424" xr:uid="{00000000-0005-0000-0000-0000210D0000}"/>
    <cellStyle name="%_SAMTRONICS - DEUDA A ABRIL 2009 2" xfId="3425" xr:uid="{00000000-0005-0000-0000-0000220D0000}"/>
    <cellStyle name="%_SAMTRONICS - DEUDA A AGO 2009" xfId="3426" xr:uid="{00000000-0005-0000-0000-0000230D0000}"/>
    <cellStyle name="%_SAMTRONICS - DEUDA A AGO 2009 2" xfId="3427" xr:uid="{00000000-0005-0000-0000-0000240D0000}"/>
    <cellStyle name="%_SAMTRONICS - DEUDA A ENE 2010" xfId="3428" xr:uid="{00000000-0005-0000-0000-0000250D0000}"/>
    <cellStyle name="%_SAMTRONICS - DEUDA A JULIO 2009" xfId="3429" xr:uid="{00000000-0005-0000-0000-0000260D0000}"/>
    <cellStyle name="%_SAMTRONICS - DEUDA A JULIO 2009 2" xfId="3430" xr:uid="{00000000-0005-0000-0000-0000270D0000}"/>
    <cellStyle name="%_SAMTRONICS - DEUDA A JUNIO2009" xfId="3431" xr:uid="{00000000-0005-0000-0000-0000280D0000}"/>
    <cellStyle name="%_SAMTRONICS - DEUDA A JUNIO2009 2" xfId="3432" xr:uid="{00000000-0005-0000-0000-0000290D0000}"/>
    <cellStyle name="%_SAMTRONICS - DEUDA A MARZO 2009" xfId="3433" xr:uid="{00000000-0005-0000-0000-00002A0D0000}"/>
    <cellStyle name="%_SAMTRONICS - DEUDA A MARZO 2009 2" xfId="3434" xr:uid="{00000000-0005-0000-0000-00002B0D0000}"/>
    <cellStyle name="%_SAMTRONICS - DEUDA A MAYO 2009" xfId="3435" xr:uid="{00000000-0005-0000-0000-00002C0D0000}"/>
    <cellStyle name="%_SAMTRONICS - DEUDA A MAYO 2009 2" xfId="3436" xr:uid="{00000000-0005-0000-0000-00002D0D0000}"/>
    <cellStyle name="%_SITEL Febrero 2011" xfId="3437" xr:uid="{00000000-0005-0000-0000-00002E0D0000}"/>
    <cellStyle name="%_Stock Deuda Directorio Jul2009" xfId="3438" xr:uid="{00000000-0005-0000-0000-00002F0D0000}"/>
    <cellStyle name="%_Stock Deuda Directorio Jul2009 10" xfId="3439" xr:uid="{00000000-0005-0000-0000-0000300D0000}"/>
    <cellStyle name="%_Stock Deuda Directorio Jul2009 10 10" xfId="3440" xr:uid="{00000000-0005-0000-0000-0000310D0000}"/>
    <cellStyle name="%_Stock Deuda Directorio Jul2009 10 11" xfId="3441" xr:uid="{00000000-0005-0000-0000-0000320D0000}"/>
    <cellStyle name="%_Stock Deuda Directorio Jul2009 10 12" xfId="3442" xr:uid="{00000000-0005-0000-0000-0000330D0000}"/>
    <cellStyle name="%_Stock Deuda Directorio Jul2009 10 13" xfId="3443" xr:uid="{00000000-0005-0000-0000-0000340D0000}"/>
    <cellStyle name="%_Stock Deuda Directorio Jul2009 10 2" xfId="3444" xr:uid="{00000000-0005-0000-0000-0000350D0000}"/>
    <cellStyle name="%_Stock Deuda Directorio Jul2009 10 3" xfId="3445" xr:uid="{00000000-0005-0000-0000-0000360D0000}"/>
    <cellStyle name="%_Stock Deuda Directorio Jul2009 10 4" xfId="3446" xr:uid="{00000000-0005-0000-0000-0000370D0000}"/>
    <cellStyle name="%_Stock Deuda Directorio Jul2009 10 5" xfId="3447" xr:uid="{00000000-0005-0000-0000-0000380D0000}"/>
    <cellStyle name="%_Stock Deuda Directorio Jul2009 10 6" xfId="3448" xr:uid="{00000000-0005-0000-0000-0000390D0000}"/>
    <cellStyle name="%_Stock Deuda Directorio Jul2009 10 7" xfId="3449" xr:uid="{00000000-0005-0000-0000-00003A0D0000}"/>
    <cellStyle name="%_Stock Deuda Directorio Jul2009 10 8" xfId="3450" xr:uid="{00000000-0005-0000-0000-00003B0D0000}"/>
    <cellStyle name="%_Stock Deuda Directorio Jul2009 10 9" xfId="3451" xr:uid="{00000000-0005-0000-0000-00003C0D0000}"/>
    <cellStyle name="%_Stock Deuda Directorio Jul2009 11" xfId="3452" xr:uid="{00000000-0005-0000-0000-00003D0D0000}"/>
    <cellStyle name="%_Stock Deuda Directorio Jul2009 11 10" xfId="3453" xr:uid="{00000000-0005-0000-0000-00003E0D0000}"/>
    <cellStyle name="%_Stock Deuda Directorio Jul2009 11 11" xfId="3454" xr:uid="{00000000-0005-0000-0000-00003F0D0000}"/>
    <cellStyle name="%_Stock Deuda Directorio Jul2009 11 12" xfId="3455" xr:uid="{00000000-0005-0000-0000-0000400D0000}"/>
    <cellStyle name="%_Stock Deuda Directorio Jul2009 11 13" xfId="3456" xr:uid="{00000000-0005-0000-0000-0000410D0000}"/>
    <cellStyle name="%_Stock Deuda Directorio Jul2009 11 2" xfId="3457" xr:uid="{00000000-0005-0000-0000-0000420D0000}"/>
    <cellStyle name="%_Stock Deuda Directorio Jul2009 11 3" xfId="3458" xr:uid="{00000000-0005-0000-0000-0000430D0000}"/>
    <cellStyle name="%_Stock Deuda Directorio Jul2009 11 4" xfId="3459" xr:uid="{00000000-0005-0000-0000-0000440D0000}"/>
    <cellStyle name="%_Stock Deuda Directorio Jul2009 11 5" xfId="3460" xr:uid="{00000000-0005-0000-0000-0000450D0000}"/>
    <cellStyle name="%_Stock Deuda Directorio Jul2009 11 6" xfId="3461" xr:uid="{00000000-0005-0000-0000-0000460D0000}"/>
    <cellStyle name="%_Stock Deuda Directorio Jul2009 11 7" xfId="3462" xr:uid="{00000000-0005-0000-0000-0000470D0000}"/>
    <cellStyle name="%_Stock Deuda Directorio Jul2009 11 8" xfId="3463" xr:uid="{00000000-0005-0000-0000-0000480D0000}"/>
    <cellStyle name="%_Stock Deuda Directorio Jul2009 11 9" xfId="3464" xr:uid="{00000000-0005-0000-0000-0000490D0000}"/>
    <cellStyle name="%_Stock Deuda Directorio Jul2009 12" xfId="3465" xr:uid="{00000000-0005-0000-0000-00004A0D0000}"/>
    <cellStyle name="%_Stock Deuda Directorio Jul2009 12 10" xfId="3466" xr:uid="{00000000-0005-0000-0000-00004B0D0000}"/>
    <cellStyle name="%_Stock Deuda Directorio Jul2009 12 11" xfId="3467" xr:uid="{00000000-0005-0000-0000-00004C0D0000}"/>
    <cellStyle name="%_Stock Deuda Directorio Jul2009 12 12" xfId="3468" xr:uid="{00000000-0005-0000-0000-00004D0D0000}"/>
    <cellStyle name="%_Stock Deuda Directorio Jul2009 12 13" xfId="3469" xr:uid="{00000000-0005-0000-0000-00004E0D0000}"/>
    <cellStyle name="%_Stock Deuda Directorio Jul2009 12 2" xfId="3470" xr:uid="{00000000-0005-0000-0000-00004F0D0000}"/>
    <cellStyle name="%_Stock Deuda Directorio Jul2009 12 3" xfId="3471" xr:uid="{00000000-0005-0000-0000-0000500D0000}"/>
    <cellStyle name="%_Stock Deuda Directorio Jul2009 12 4" xfId="3472" xr:uid="{00000000-0005-0000-0000-0000510D0000}"/>
    <cellStyle name="%_Stock Deuda Directorio Jul2009 12 5" xfId="3473" xr:uid="{00000000-0005-0000-0000-0000520D0000}"/>
    <cellStyle name="%_Stock Deuda Directorio Jul2009 12 6" xfId="3474" xr:uid="{00000000-0005-0000-0000-0000530D0000}"/>
    <cellStyle name="%_Stock Deuda Directorio Jul2009 12 7" xfId="3475" xr:uid="{00000000-0005-0000-0000-0000540D0000}"/>
    <cellStyle name="%_Stock Deuda Directorio Jul2009 12 8" xfId="3476" xr:uid="{00000000-0005-0000-0000-0000550D0000}"/>
    <cellStyle name="%_Stock Deuda Directorio Jul2009 12 9" xfId="3477" xr:uid="{00000000-0005-0000-0000-0000560D0000}"/>
    <cellStyle name="%_Stock Deuda Directorio Jul2009 13" xfId="3478" xr:uid="{00000000-0005-0000-0000-0000570D0000}"/>
    <cellStyle name="%_Stock Deuda Directorio Jul2009 13 10" xfId="3479" xr:uid="{00000000-0005-0000-0000-0000580D0000}"/>
    <cellStyle name="%_Stock Deuda Directorio Jul2009 13 11" xfId="3480" xr:uid="{00000000-0005-0000-0000-0000590D0000}"/>
    <cellStyle name="%_Stock Deuda Directorio Jul2009 13 12" xfId="3481" xr:uid="{00000000-0005-0000-0000-00005A0D0000}"/>
    <cellStyle name="%_Stock Deuda Directorio Jul2009 13 13" xfId="3482" xr:uid="{00000000-0005-0000-0000-00005B0D0000}"/>
    <cellStyle name="%_Stock Deuda Directorio Jul2009 13 2" xfId="3483" xr:uid="{00000000-0005-0000-0000-00005C0D0000}"/>
    <cellStyle name="%_Stock Deuda Directorio Jul2009 13 3" xfId="3484" xr:uid="{00000000-0005-0000-0000-00005D0D0000}"/>
    <cellStyle name="%_Stock Deuda Directorio Jul2009 13 4" xfId="3485" xr:uid="{00000000-0005-0000-0000-00005E0D0000}"/>
    <cellStyle name="%_Stock Deuda Directorio Jul2009 13 5" xfId="3486" xr:uid="{00000000-0005-0000-0000-00005F0D0000}"/>
    <cellStyle name="%_Stock Deuda Directorio Jul2009 13 6" xfId="3487" xr:uid="{00000000-0005-0000-0000-0000600D0000}"/>
    <cellStyle name="%_Stock Deuda Directorio Jul2009 13 7" xfId="3488" xr:uid="{00000000-0005-0000-0000-0000610D0000}"/>
    <cellStyle name="%_Stock Deuda Directorio Jul2009 13 8" xfId="3489" xr:uid="{00000000-0005-0000-0000-0000620D0000}"/>
    <cellStyle name="%_Stock Deuda Directorio Jul2009 13 9" xfId="3490" xr:uid="{00000000-0005-0000-0000-0000630D0000}"/>
    <cellStyle name="%_Stock Deuda Directorio Jul2009 14" xfId="3491" xr:uid="{00000000-0005-0000-0000-0000640D0000}"/>
    <cellStyle name="%_Stock Deuda Directorio Jul2009 14 10" xfId="3492" xr:uid="{00000000-0005-0000-0000-0000650D0000}"/>
    <cellStyle name="%_Stock Deuda Directorio Jul2009 14 11" xfId="3493" xr:uid="{00000000-0005-0000-0000-0000660D0000}"/>
    <cellStyle name="%_Stock Deuda Directorio Jul2009 14 12" xfId="3494" xr:uid="{00000000-0005-0000-0000-0000670D0000}"/>
    <cellStyle name="%_Stock Deuda Directorio Jul2009 14 13" xfId="3495" xr:uid="{00000000-0005-0000-0000-0000680D0000}"/>
    <cellStyle name="%_Stock Deuda Directorio Jul2009 14 2" xfId="3496" xr:uid="{00000000-0005-0000-0000-0000690D0000}"/>
    <cellStyle name="%_Stock Deuda Directorio Jul2009 14 3" xfId="3497" xr:uid="{00000000-0005-0000-0000-00006A0D0000}"/>
    <cellStyle name="%_Stock Deuda Directorio Jul2009 14 4" xfId="3498" xr:uid="{00000000-0005-0000-0000-00006B0D0000}"/>
    <cellStyle name="%_Stock Deuda Directorio Jul2009 14 5" xfId="3499" xr:uid="{00000000-0005-0000-0000-00006C0D0000}"/>
    <cellStyle name="%_Stock Deuda Directorio Jul2009 14 6" xfId="3500" xr:uid="{00000000-0005-0000-0000-00006D0D0000}"/>
    <cellStyle name="%_Stock Deuda Directorio Jul2009 14 7" xfId="3501" xr:uid="{00000000-0005-0000-0000-00006E0D0000}"/>
    <cellStyle name="%_Stock Deuda Directorio Jul2009 14 8" xfId="3502" xr:uid="{00000000-0005-0000-0000-00006F0D0000}"/>
    <cellStyle name="%_Stock Deuda Directorio Jul2009 14 9" xfId="3503" xr:uid="{00000000-0005-0000-0000-0000700D0000}"/>
    <cellStyle name="%_Stock Deuda Directorio Jul2009 15" xfId="3504" xr:uid="{00000000-0005-0000-0000-0000710D0000}"/>
    <cellStyle name="%_Stock Deuda Directorio Jul2009 15 10" xfId="3505" xr:uid="{00000000-0005-0000-0000-0000720D0000}"/>
    <cellStyle name="%_Stock Deuda Directorio Jul2009 15 11" xfId="3506" xr:uid="{00000000-0005-0000-0000-0000730D0000}"/>
    <cellStyle name="%_Stock Deuda Directorio Jul2009 15 12" xfId="3507" xr:uid="{00000000-0005-0000-0000-0000740D0000}"/>
    <cellStyle name="%_Stock Deuda Directorio Jul2009 15 13" xfId="3508" xr:uid="{00000000-0005-0000-0000-0000750D0000}"/>
    <cellStyle name="%_Stock Deuda Directorio Jul2009 15 2" xfId="3509" xr:uid="{00000000-0005-0000-0000-0000760D0000}"/>
    <cellStyle name="%_Stock Deuda Directorio Jul2009 15 3" xfId="3510" xr:uid="{00000000-0005-0000-0000-0000770D0000}"/>
    <cellStyle name="%_Stock Deuda Directorio Jul2009 15 4" xfId="3511" xr:uid="{00000000-0005-0000-0000-0000780D0000}"/>
    <cellStyle name="%_Stock Deuda Directorio Jul2009 15 5" xfId="3512" xr:uid="{00000000-0005-0000-0000-0000790D0000}"/>
    <cellStyle name="%_Stock Deuda Directorio Jul2009 15 6" xfId="3513" xr:uid="{00000000-0005-0000-0000-00007A0D0000}"/>
    <cellStyle name="%_Stock Deuda Directorio Jul2009 15 7" xfId="3514" xr:uid="{00000000-0005-0000-0000-00007B0D0000}"/>
    <cellStyle name="%_Stock Deuda Directorio Jul2009 15 8" xfId="3515" xr:uid="{00000000-0005-0000-0000-00007C0D0000}"/>
    <cellStyle name="%_Stock Deuda Directorio Jul2009 15 9" xfId="3516" xr:uid="{00000000-0005-0000-0000-00007D0D0000}"/>
    <cellStyle name="%_Stock Deuda Directorio Jul2009 16" xfId="3517" xr:uid="{00000000-0005-0000-0000-00007E0D0000}"/>
    <cellStyle name="%_Stock Deuda Directorio Jul2009 16 10" xfId="3518" xr:uid="{00000000-0005-0000-0000-00007F0D0000}"/>
    <cellStyle name="%_Stock Deuda Directorio Jul2009 16 11" xfId="3519" xr:uid="{00000000-0005-0000-0000-0000800D0000}"/>
    <cellStyle name="%_Stock Deuda Directorio Jul2009 16 12" xfId="3520" xr:uid="{00000000-0005-0000-0000-0000810D0000}"/>
    <cellStyle name="%_Stock Deuda Directorio Jul2009 16 13" xfId="3521" xr:uid="{00000000-0005-0000-0000-0000820D0000}"/>
    <cellStyle name="%_Stock Deuda Directorio Jul2009 16 2" xfId="3522" xr:uid="{00000000-0005-0000-0000-0000830D0000}"/>
    <cellStyle name="%_Stock Deuda Directorio Jul2009 16 3" xfId="3523" xr:uid="{00000000-0005-0000-0000-0000840D0000}"/>
    <cellStyle name="%_Stock Deuda Directorio Jul2009 16 4" xfId="3524" xr:uid="{00000000-0005-0000-0000-0000850D0000}"/>
    <cellStyle name="%_Stock Deuda Directorio Jul2009 16 5" xfId="3525" xr:uid="{00000000-0005-0000-0000-0000860D0000}"/>
    <cellStyle name="%_Stock Deuda Directorio Jul2009 16 6" xfId="3526" xr:uid="{00000000-0005-0000-0000-0000870D0000}"/>
    <cellStyle name="%_Stock Deuda Directorio Jul2009 16 7" xfId="3527" xr:uid="{00000000-0005-0000-0000-0000880D0000}"/>
    <cellStyle name="%_Stock Deuda Directorio Jul2009 16 8" xfId="3528" xr:uid="{00000000-0005-0000-0000-0000890D0000}"/>
    <cellStyle name="%_Stock Deuda Directorio Jul2009 16 9" xfId="3529" xr:uid="{00000000-0005-0000-0000-00008A0D0000}"/>
    <cellStyle name="%_Stock Deuda Directorio Jul2009 2" xfId="3530" xr:uid="{00000000-0005-0000-0000-00008B0D0000}"/>
    <cellStyle name="%_Stock Deuda Directorio Jul2009 3" xfId="3531" xr:uid="{00000000-0005-0000-0000-00008C0D0000}"/>
    <cellStyle name="%_Stock Deuda Directorio Jul2009 4" xfId="3532" xr:uid="{00000000-0005-0000-0000-00008D0D0000}"/>
    <cellStyle name="%_Stock Deuda Directorio Jul2009 5" xfId="3533" xr:uid="{00000000-0005-0000-0000-00008E0D0000}"/>
    <cellStyle name="%_Stock Deuda Directorio Jul2009 6" xfId="3534" xr:uid="{00000000-0005-0000-0000-00008F0D0000}"/>
    <cellStyle name="%_Stock Deuda Directorio Jul2009 7" xfId="3535" xr:uid="{00000000-0005-0000-0000-0000900D0000}"/>
    <cellStyle name="%_Stock Deuda Directorio Jul2009 8" xfId="3536" xr:uid="{00000000-0005-0000-0000-0000910D0000}"/>
    <cellStyle name="%_Stock Deuda Directorio Jul2009 9" xfId="3537" xr:uid="{00000000-0005-0000-0000-0000920D0000}"/>
    <cellStyle name="%_Stock Deuda Directorio Jul2009_~0690845" xfId="3538" xr:uid="{00000000-0005-0000-0000-0000930D0000}"/>
    <cellStyle name="%_Stock Deuda Directorio Jul2009_~6265542" xfId="3539" xr:uid="{00000000-0005-0000-0000-0000940D0000}"/>
    <cellStyle name="%_Stock Deuda Directorio Jul2009_~9162688" xfId="3540" xr:uid="{00000000-0005-0000-0000-0000950D0000}"/>
    <cellStyle name="%_Stock Deuda Directorio Jul2009_~9567759" xfId="3541" xr:uid="{00000000-0005-0000-0000-0000960D0000}"/>
    <cellStyle name="%_Stock Deuda Directorio Jul2009_Diciembre 2010_PRIMAX" xfId="3542" xr:uid="{00000000-0005-0000-0000-0000970D0000}"/>
    <cellStyle name="%_Stock Deuda Directorio Jul2009_FLUJO CONSOLIDADO CAÑA BRAVA OCT 2010" xfId="3543" xr:uid="{00000000-0005-0000-0000-0000980D0000}"/>
    <cellStyle name="%_Stock Deuda Directorio Jul2009_GRUPO PALMAS FC Y DEUDA A DIC 2010" xfId="3544" xr:uid="{00000000-0005-0000-0000-0000990D0000}"/>
    <cellStyle name="%_Stock Deuda Directorio Jul2009_GRUPO PALMAS FC Y DEUDA NOV 2010" xfId="3545" xr:uid="{00000000-0005-0000-0000-00009A0D0000}"/>
    <cellStyle name="%_Stock Deuda Directorio Jul2009_Libro2" xfId="3546" xr:uid="{00000000-0005-0000-0000-00009B0D0000}"/>
    <cellStyle name="%_Stock Deuda Directorio Jul2009_Noviembre 2010" xfId="3547" xr:uid="{00000000-0005-0000-0000-00009C0D0000}"/>
    <cellStyle name="%_Stock Deuda Directorio Jul2009_Octubre 2010" xfId="3548" xr:uid="{00000000-0005-0000-0000-00009D0D0000}"/>
    <cellStyle name="%_Stock Deuda Directorio Jul2009_PB. 2011 - Versión Final 30 Dic al Comité de Grencia" xfId="3549" xr:uid="{00000000-0005-0000-0000-00009E0D0000}"/>
    <cellStyle name="%_Traffic BU IOP def valori" xfId="3550" xr:uid="{00000000-0005-0000-0000-00009F0D0000}"/>
    <cellStyle name="%0" xfId="3551" xr:uid="{00000000-0005-0000-0000-0000A00D0000}"/>
    <cellStyle name="%0 2" xfId="3552" xr:uid="{00000000-0005-0000-0000-0000A10D0000}"/>
    <cellStyle name="%0.0" xfId="3553" xr:uid="{00000000-0005-0000-0000-0000A20D0000}"/>
    <cellStyle name="%0.0 2" xfId="3554" xr:uid="{00000000-0005-0000-0000-0000A30D0000}"/>
    <cellStyle name="&amp;A" xfId="3555" xr:uid="{00000000-0005-0000-0000-0000A40D0000}"/>
    <cellStyle name="(4) STM-1 (LECT)_x000d__x000a_PL-4579-M-039-99_x000d__x000a_FALTA APE" xfId="3556" xr:uid="{00000000-0005-0000-0000-0000A50D0000}"/>
    <cellStyle name="(Lefting)" xfId="3557" xr:uid="{00000000-0005-0000-0000-0000A60D0000}"/>
    <cellStyle name=")" xfId="3558" xr:uid="{00000000-0005-0000-0000-0000A70D0000}"/>
    <cellStyle name=") 2" xfId="3559" xr:uid="{00000000-0005-0000-0000-0000A80D0000}"/>
    <cellStyle name="******************************************" xfId="3560" xr:uid="{00000000-0005-0000-0000-0000A90D0000}"/>
    <cellStyle name="****************************************** 2" xfId="3561" xr:uid="{00000000-0005-0000-0000-0000AA0D0000}"/>
    <cellStyle name="****************************************** 2 2" xfId="3562" xr:uid="{00000000-0005-0000-0000-0000AB0D0000}"/>
    <cellStyle name=";;;" xfId="3563" xr:uid="{00000000-0005-0000-0000-0000AC0D0000}"/>
    <cellStyle name=";;; 2" xfId="3564" xr:uid="{00000000-0005-0000-0000-0000AD0D0000}"/>
    <cellStyle name="??" xfId="3565" xr:uid="{00000000-0005-0000-0000-0000AE0D0000}"/>
    <cellStyle name="?? [0.00]_Analysis of Loans" xfId="3566" xr:uid="{00000000-0005-0000-0000-0000AF0D0000}"/>
    <cellStyle name="?? [0]_??" xfId="3567" xr:uid="{00000000-0005-0000-0000-0000B00D0000}"/>
    <cellStyle name="?? 2" xfId="3568" xr:uid="{00000000-0005-0000-0000-0000B10D0000}"/>
    <cellStyle name="?? 3" xfId="3569" xr:uid="{00000000-0005-0000-0000-0000B20D0000}"/>
    <cellStyle name="?? 4" xfId="3570" xr:uid="{00000000-0005-0000-0000-0000B30D0000}"/>
    <cellStyle name="?? 5" xfId="3571" xr:uid="{00000000-0005-0000-0000-0000B40D0000}"/>
    <cellStyle name="?? 6" xfId="3572" xr:uid="{00000000-0005-0000-0000-0000B50D0000}"/>
    <cellStyle name="???? [0.00]_Analysis of Loans" xfId="3573" xr:uid="{00000000-0005-0000-0000-0000B60D0000}"/>
    <cellStyle name="????_Analysis of Loans" xfId="3574" xr:uid="{00000000-0005-0000-0000-0000B70D0000}"/>
    <cellStyle name="??_?.????" xfId="3575" xr:uid="{00000000-0005-0000-0000-0000B80D0000}"/>
    <cellStyle name="_%(SignOnly)" xfId="3576" xr:uid="{00000000-0005-0000-0000-0000B90D0000}"/>
    <cellStyle name="_%(SignSpaceOnly)" xfId="3577" xr:uid="{00000000-0005-0000-0000-0000BA0D0000}"/>
    <cellStyle name="_~1072145" xfId="3578" xr:uid="{00000000-0005-0000-0000-0000BB0D0000}"/>
    <cellStyle name="_~1072145_Jaguar Model - 1CE  (04.13.10)" xfId="3579" xr:uid="{00000000-0005-0000-0000-0000BC0D0000}"/>
    <cellStyle name="_~1072145_Jaguar Model - 1CE  (04.13.10)_Fenix_Model__(08.30.10)  Lenders" xfId="3580" xr:uid="{00000000-0005-0000-0000-0000BD0D0000}"/>
    <cellStyle name="_~1072145_Jaguar Model - 1CE  (04.13.10)_Fenix_Model__(08.30.10)  Lenders_IDC" xfId="3581" xr:uid="{00000000-0005-0000-0000-0000BE0D0000}"/>
    <cellStyle name="_~1072145_Jaguar Model - 1CE  (04.13.10)_IDC" xfId="3582" xr:uid="{00000000-0005-0000-0000-0000BF0D0000}"/>
    <cellStyle name="_~1072145_Modelo Egechilca-v28" xfId="3583" xr:uid="{00000000-0005-0000-0000-0000C00D0000}"/>
    <cellStyle name="_~1072145_Modelo Egechilca-v28_Fenix_Model__(08.16.10)" xfId="3584" xr:uid="{00000000-0005-0000-0000-0000C10D0000}"/>
    <cellStyle name="_~1072145_Modelo Egechilca-v28_Fenix_Model__(08.18.10) Lenders" xfId="3585" xr:uid="{00000000-0005-0000-0000-0000C20D0000}"/>
    <cellStyle name="_~1072145_Modelo Egechilca-v28_Fenix_Model__(08.30.10)  Lenders" xfId="3586" xr:uid="{00000000-0005-0000-0000-0000C30D0000}"/>
    <cellStyle name="_~1072145_Modelo Egechilca-v28_IDC" xfId="3587" xr:uid="{00000000-0005-0000-0000-0000C40D0000}"/>
    <cellStyle name="_~1072145_Modelo Egechilca-v28_Modelo (Apr10)-v12" xfId="3588" xr:uid="{00000000-0005-0000-0000-0000C50D0000}"/>
    <cellStyle name="_~1072145_Modelo Egechilca-v28_Modelo (Apr10)-v12_Fenix_Model__(08.30.10)  Lenders" xfId="3589" xr:uid="{00000000-0005-0000-0000-0000C60D0000}"/>
    <cellStyle name="_~1072145_Modelo Egechilca-v28_Modelo (Apr10)-v12_Fenix_Model__(08.30.10)  Lenders_IDC" xfId="3590" xr:uid="{00000000-0005-0000-0000-0000C70D0000}"/>
    <cellStyle name="_~1072145_Modelo Egechilca-v28_Modelo (Apr10)-v12_IDC" xfId="3591" xr:uid="{00000000-0005-0000-0000-0000C80D0000}"/>
    <cellStyle name="_~1072145_Modelo Egechilca-v28_Modelo (Oct09)-v8" xfId="3592" xr:uid="{00000000-0005-0000-0000-0000C90D0000}"/>
    <cellStyle name="_~1072145_Modelo Egechilca-v28_Modelo (Oct09)-v8_Fenix_Model__(08.30.10)  Lenders" xfId="3593" xr:uid="{00000000-0005-0000-0000-0000CA0D0000}"/>
    <cellStyle name="_~1072145_Modelo Egechilca-v28_Modelo (Oct09)-v8_Fenix_Model__(08.30.10)  Lenders_IDC" xfId="3594" xr:uid="{00000000-0005-0000-0000-0000CB0D0000}"/>
    <cellStyle name="_~1072145_Modelo Egechilca-v28_Modelo (Oct09)-v8_IDC" xfId="3595" xr:uid="{00000000-0005-0000-0000-0000CC0D0000}"/>
    <cellStyle name="_~1072145_Modelo Egechilca-v28_Modelo_(May10)-v22" xfId="3596" xr:uid="{00000000-0005-0000-0000-0000CD0D0000}"/>
    <cellStyle name="_~1502101" xfId="3597" xr:uid="{00000000-0005-0000-0000-0000CE0D0000}"/>
    <cellStyle name="_~4029869" xfId="3598" xr:uid="{00000000-0005-0000-0000-0000CF0D0000}"/>
    <cellStyle name="_~4029869 2" xfId="3599" xr:uid="{00000000-0005-0000-0000-0000D00D0000}"/>
    <cellStyle name="_~4029869 2 2" xfId="3600" xr:uid="{00000000-0005-0000-0000-0000D10D0000}"/>
    <cellStyle name="_~4029869 3" xfId="3601" xr:uid="{00000000-0005-0000-0000-0000D20D0000}"/>
    <cellStyle name="_~7126856" xfId="3602" xr:uid="{00000000-0005-0000-0000-0000D30D0000}"/>
    <cellStyle name="_~MF3326" xfId="3603" xr:uid="{00000000-0005-0000-0000-0000D40D0000}"/>
    <cellStyle name="_~MF3326 2" xfId="3604" xr:uid="{00000000-0005-0000-0000-0000D50D0000}"/>
    <cellStyle name="_~MF3326_2" xfId="3605" xr:uid="{00000000-0005-0000-0000-0000D60D0000}"/>
    <cellStyle name="_~MF3326_4" xfId="3606" xr:uid="{00000000-0005-0000-0000-0000D70D0000}"/>
    <cellStyle name="_01 Itemizado Tottus La Polvora Lima rev@1" xfId="3607" xr:uid="{00000000-0005-0000-0000-0000D80D0000}"/>
    <cellStyle name="_07 Formatos Finanzas rev1" xfId="3608" xr:uid="{00000000-0005-0000-0000-0000D90D0000}"/>
    <cellStyle name="_15.05_JPSRegulatory_Dec62006" xfId="3609" xr:uid="{00000000-0005-0000-0000-0000DA0D0000}"/>
    <cellStyle name="_15.05_JPSRegulatory_Dec62006_IDC" xfId="3610" xr:uid="{00000000-0005-0000-0000-0000DB0D0000}"/>
    <cellStyle name="_27 Proyecto Caracas" xfId="3611" xr:uid="{00000000-0005-0000-0000-0000DC0D0000}"/>
    <cellStyle name="_30 - Revisión PPA Molinos-QESA 07-02-2008" xfId="3612" xr:uid="{00000000-0005-0000-0000-0000DD0D0000}"/>
    <cellStyle name="_30 Revisión PPA Apache 29-01-08 sensitivity" xfId="3613" xr:uid="{00000000-0005-0000-0000-0000DE0D0000}"/>
    <cellStyle name="_46 Modelo Marcas Disco - Vea 15-10-08" xfId="3614" xr:uid="{00000000-0005-0000-0000-0000DF0D0000}"/>
    <cellStyle name="_5111024" xfId="3615" xr:uid="{00000000-0005-0000-0000-0000E00D0000}"/>
    <cellStyle name="_5111024 2" xfId="3616" xr:uid="{00000000-0005-0000-0000-0000E10D0000}"/>
    <cellStyle name="_5111024 3" xfId="3617" xr:uid="{00000000-0005-0000-0000-0000E20D0000}"/>
    <cellStyle name="_Allbank Relationships &amp; Covenants V11" xfId="3618" xr:uid="{00000000-0005-0000-0000-0000E30D0000}"/>
    <cellStyle name="_Allbank Relationships &amp; Covenants V11 2" xfId="3619" xr:uid="{00000000-0005-0000-0000-0000E40D0000}"/>
    <cellStyle name="_Amount" xfId="3620" xr:uid="{00000000-0005-0000-0000-0000E50D0000}"/>
    <cellStyle name="_Amount_BU valuation" xfId="3621" xr:uid="{00000000-0005-0000-0000-0000E60D0000}"/>
    <cellStyle name="_Amount_CMD Model 2010 v5_13" xfId="3622" xr:uid="{00000000-0005-0000-0000-0000E70D0000}"/>
    <cellStyle name="_Amount_Multiples template" xfId="3623" xr:uid="{00000000-0005-0000-0000-0000E80D0000}"/>
    <cellStyle name="_Amount_TRS Dec" xfId="3624" xr:uid="{00000000-0005-0000-0000-0000E90D0000}"/>
    <cellStyle name="_Amount_Valuation" xfId="3625" xr:uid="{00000000-0005-0000-0000-0000EA0D0000}"/>
    <cellStyle name="_Amount_VendorData" xfId="3626" xr:uid="{00000000-0005-0000-0000-0000EB0D0000}"/>
    <cellStyle name="_Anticuamiento ctas por cobrar 31.10.07" xfId="3627" xr:uid="{00000000-0005-0000-0000-0000EC0D0000}"/>
    <cellStyle name="_BAD DEBT" xfId="3628" xr:uid="{00000000-0005-0000-0000-0000ED0D0000}"/>
    <cellStyle name="_BAL Y EGYP DICIEMBRE 2009 TORRE BLANCA I" xfId="3629" xr:uid="{00000000-0005-0000-0000-0000EE0D0000}"/>
    <cellStyle name="_Balances Ransa, Agencias, Casa, Módulos y Alma" xfId="3630" xr:uid="{00000000-0005-0000-0000-0000EF0D0000}"/>
    <cellStyle name="_BB GG  SITEL_ ENERO 2011" xfId="3631" xr:uid="{00000000-0005-0000-0000-0000F00D0000}"/>
    <cellStyle name="_BG" xfId="3632" xr:uid="{00000000-0005-0000-0000-0000F10D0000}"/>
    <cellStyle name="_Book2" xfId="3633" xr:uid="{00000000-0005-0000-0000-0000F20D0000}"/>
    <cellStyle name="_Book2 2" xfId="3634" xr:uid="{00000000-0005-0000-0000-0000F30D0000}"/>
    <cellStyle name="_Cálculo Logística" xfId="3635" xr:uid="{00000000-0005-0000-0000-0000F40D0000}"/>
    <cellStyle name="_Cálculo Logística 2" xfId="3636" xr:uid="{00000000-0005-0000-0000-0000F50D0000}"/>
    <cellStyle name="_Cálculo Logística 3" xfId="3637" xr:uid="{00000000-0005-0000-0000-0000F60D0000}"/>
    <cellStyle name="_Cálculo Logística Budget socios 2009 (2)" xfId="3638" xr:uid="{00000000-0005-0000-0000-0000F70D0000}"/>
    <cellStyle name="_Cálculo Logística Budget socios 2009 (2) 2" xfId="3639" xr:uid="{00000000-0005-0000-0000-0000F80D0000}"/>
    <cellStyle name="_Cálculo Logística Budget socios 2009 (2) 3" xfId="3640" xr:uid="{00000000-0005-0000-0000-0000F90D0000}"/>
    <cellStyle name="_Calculo previo Carlos Hurtado Rojo V5 Nueva" xfId="3641" xr:uid="{00000000-0005-0000-0000-0000FA0D0000}"/>
    <cellStyle name="_Calculo previo Carlos Hurtado Rojo V5 Nueva 2" xfId="3642" xr:uid="{00000000-0005-0000-0000-0000FB0D0000}"/>
    <cellStyle name="_Calculo previo Carlos Hurtado Rojo V5 Nueva 3" xfId="3643" xr:uid="{00000000-0005-0000-0000-0000FC0D0000}"/>
    <cellStyle name="_CAPEX" xfId="3644" xr:uid="{00000000-0005-0000-0000-0000FD0D0000}"/>
    <cellStyle name="_Capex Comercial EB" xfId="3645" xr:uid="{00000000-0005-0000-0000-0000FE0D0000}"/>
    <cellStyle name="_Capex Red 2006 Rev2 11Oct05" xfId="3646" xr:uid="{00000000-0005-0000-0000-0000FF0D0000}"/>
    <cellStyle name="_Capex Red UMTS_27 09 07 ff" xfId="3647" xr:uid="{00000000-0005-0000-0000-0000000E0000}"/>
    <cellStyle name="_Center" xfId="3648" xr:uid="{00000000-0005-0000-0000-0000010E0000}"/>
    <cellStyle name="_Center_BU valuation" xfId="3649" xr:uid="{00000000-0005-0000-0000-0000020E0000}"/>
    <cellStyle name="_Center_CMD Model 2010 v5_13" xfId="3650" xr:uid="{00000000-0005-0000-0000-0000030E0000}"/>
    <cellStyle name="_Center_Multiples template" xfId="3651" xr:uid="{00000000-0005-0000-0000-0000040E0000}"/>
    <cellStyle name="_Center_TRS Dec" xfId="3652" xr:uid="{00000000-0005-0000-0000-0000050E0000}"/>
    <cellStyle name="_Center_Valuation" xfId="3653" xr:uid="{00000000-0005-0000-0000-0000060E0000}"/>
    <cellStyle name="_Center_VendorData" xfId="3654" xr:uid="{00000000-0005-0000-0000-0000070E0000}"/>
    <cellStyle name="_Column1" xfId="3655" xr:uid="{00000000-0005-0000-0000-0000080E0000}"/>
    <cellStyle name="_Column1_Berechnung EOP Margen ohne Tantal other" xfId="3656" xr:uid="{00000000-0005-0000-0000-0000090E0000}"/>
    <cellStyle name="_Column1_Berechnung EOP Margen ohne Tantal other 2" xfId="3657" xr:uid="{00000000-0005-0000-0000-00000A0E0000}"/>
    <cellStyle name="_Column1_IDC" xfId="3658" xr:uid="{00000000-0005-0000-0000-00000B0E0000}"/>
    <cellStyle name="_Column1_Kons_IW_CF auf GF" xfId="3659" xr:uid="{00000000-0005-0000-0000-00000C0E0000}"/>
    <cellStyle name="_Column1_MDI Quartale (2)" xfId="3660" xr:uid="{00000000-0005-0000-0000-00000D0E0000}"/>
    <cellStyle name="_Column1_PPA HCST - Valuation IPRnD_Summary_220607_1100" xfId="3661" xr:uid="{00000000-0005-0000-0000-00000E0E0000}"/>
    <cellStyle name="_Column1_PPA HCST - Valuation IPRnD_Summary_220607_1100 2" xfId="3662" xr:uid="{00000000-0005-0000-0000-00000F0E0000}"/>
    <cellStyle name="_Column1_Vertriebsgesellschaften" xfId="3663" xr:uid="{00000000-0005-0000-0000-0000100E0000}"/>
    <cellStyle name="_Column2" xfId="3664" xr:uid="{00000000-0005-0000-0000-0000110E0000}"/>
    <cellStyle name="_Column2_Berechnung EOP Margen ohne Tantal other" xfId="3665" xr:uid="{00000000-0005-0000-0000-0000120E0000}"/>
    <cellStyle name="_Column2_Kons_IW_CF auf GF" xfId="3666" xr:uid="{00000000-0005-0000-0000-0000130E0000}"/>
    <cellStyle name="_Column2_MDI Quartale (2)" xfId="3667" xr:uid="{00000000-0005-0000-0000-0000140E0000}"/>
    <cellStyle name="_Column2_PPA HCST - Valuation IPRnD_Summary_220607_1100" xfId="3668" xr:uid="{00000000-0005-0000-0000-0000150E0000}"/>
    <cellStyle name="_Column2_Vertriebsgesellschaften" xfId="3669" xr:uid="{00000000-0005-0000-0000-0000160E0000}"/>
    <cellStyle name="_Column3" xfId="3670" xr:uid="{00000000-0005-0000-0000-0000170E0000}"/>
    <cellStyle name="_Column3_Berechnung EOP Margen ohne Tantal other" xfId="3671" xr:uid="{00000000-0005-0000-0000-0000180E0000}"/>
    <cellStyle name="_Column3_Kons_IW_CF auf GF" xfId="3672" xr:uid="{00000000-0005-0000-0000-0000190E0000}"/>
    <cellStyle name="_Column3_MDI Quartale (2)" xfId="3673" xr:uid="{00000000-0005-0000-0000-00001A0E0000}"/>
    <cellStyle name="_Column3_PPA HCST - Valuation IPRnD_Summary_220607_1100" xfId="3674" xr:uid="{00000000-0005-0000-0000-00001B0E0000}"/>
    <cellStyle name="_Column3_Vertriebsgesellschaften" xfId="3675" xr:uid="{00000000-0005-0000-0000-00001C0E0000}"/>
    <cellStyle name="_Column4" xfId="3676" xr:uid="{00000000-0005-0000-0000-00001D0E0000}"/>
    <cellStyle name="_Column4_Berechnung EOP Margen ohne Tantal other" xfId="3677" xr:uid="{00000000-0005-0000-0000-00001E0E0000}"/>
    <cellStyle name="_Column4_Kons_IW_CF auf GF" xfId="3678" xr:uid="{00000000-0005-0000-0000-00001F0E0000}"/>
    <cellStyle name="_Column4_MDI Quartale (2)" xfId="3679" xr:uid="{00000000-0005-0000-0000-0000200E0000}"/>
    <cellStyle name="_Column4_PPA HCST - Valuation IPRnD_Summary_220607_1100" xfId="3680" xr:uid="{00000000-0005-0000-0000-0000210E0000}"/>
    <cellStyle name="_Column4_Vertriebsgesellschaften" xfId="3681" xr:uid="{00000000-0005-0000-0000-0000220E0000}"/>
    <cellStyle name="_Column5" xfId="3682" xr:uid="{00000000-0005-0000-0000-0000230E0000}"/>
    <cellStyle name="_Column5_Berechnung EOP Margen ohne Tantal other" xfId="3683" xr:uid="{00000000-0005-0000-0000-0000240E0000}"/>
    <cellStyle name="_Column5_Kons_IW_CF auf GF" xfId="3684" xr:uid="{00000000-0005-0000-0000-0000250E0000}"/>
    <cellStyle name="_Column5_MDI Quartale (2)" xfId="3685" xr:uid="{00000000-0005-0000-0000-0000260E0000}"/>
    <cellStyle name="_Column5_PPA HCST - Valuation IPRnD_Summary_220607_1100" xfId="3686" xr:uid="{00000000-0005-0000-0000-0000270E0000}"/>
    <cellStyle name="_Column5_Vertriebsgesellschaften" xfId="3687" xr:uid="{00000000-0005-0000-0000-0000280E0000}"/>
    <cellStyle name="_Column6" xfId="3688" xr:uid="{00000000-0005-0000-0000-0000290E0000}"/>
    <cellStyle name="_Column6_Berechnung EOP Margen ohne Tantal other" xfId="3689" xr:uid="{00000000-0005-0000-0000-00002A0E0000}"/>
    <cellStyle name="_Column6_Kons_IW_CF auf GF" xfId="3690" xr:uid="{00000000-0005-0000-0000-00002B0E0000}"/>
    <cellStyle name="_Column6_MDI Quartale (2)" xfId="3691" xr:uid="{00000000-0005-0000-0000-00002C0E0000}"/>
    <cellStyle name="_Column6_PPA HCST - Valuation IPRnD_Summary_220607_1100" xfId="3692" xr:uid="{00000000-0005-0000-0000-00002D0E0000}"/>
    <cellStyle name="_Column6_Vertriebsgesellschaften" xfId="3693" xr:uid="{00000000-0005-0000-0000-00002E0E0000}"/>
    <cellStyle name="_Column7" xfId="3694" xr:uid="{00000000-0005-0000-0000-00002F0E0000}"/>
    <cellStyle name="_Column7_Berechnung EOP Margen ohne Tantal other" xfId="3695" xr:uid="{00000000-0005-0000-0000-0000300E0000}"/>
    <cellStyle name="_Column7_Fenix_Model__(08.16.10)" xfId="3696" xr:uid="{00000000-0005-0000-0000-0000310E0000}"/>
    <cellStyle name="_Column7_Fenix_Model__(08.18.10) Lenders" xfId="3697" xr:uid="{00000000-0005-0000-0000-0000320E0000}"/>
    <cellStyle name="_Column7_Fenix_Model__(08.30.10)  Lenders" xfId="3698" xr:uid="{00000000-0005-0000-0000-0000330E0000}"/>
    <cellStyle name="_Column7_IDC" xfId="3699" xr:uid="{00000000-0005-0000-0000-0000340E0000}"/>
    <cellStyle name="_Column7_Jaguar Model - 1CE  (04.13.10)" xfId="3700" xr:uid="{00000000-0005-0000-0000-0000350E0000}"/>
    <cellStyle name="_Column7_Modelo (Apr10)-v12" xfId="3701" xr:uid="{00000000-0005-0000-0000-0000360E0000}"/>
    <cellStyle name="_Column7_Modelo (Oct09)-v8" xfId="3702" xr:uid="{00000000-0005-0000-0000-0000370E0000}"/>
    <cellStyle name="_Column7_Modelo Egechilca-v28" xfId="3703" xr:uid="{00000000-0005-0000-0000-0000380E0000}"/>
    <cellStyle name="_Column7_Modelo_(May10)-v22" xfId="3704" xr:uid="{00000000-0005-0000-0000-0000390E0000}"/>
    <cellStyle name="_Column7_PPA HCST - Valuation IPRnD_Summary_220607_1100" xfId="3705" xr:uid="{00000000-0005-0000-0000-00003A0E0000}"/>
    <cellStyle name="_Column7_Tax Plan Model Fenix" xfId="3706" xr:uid="{00000000-0005-0000-0000-00003B0E0000}"/>
    <cellStyle name="_Comma" xfId="3707" xr:uid="{00000000-0005-0000-0000-00003C0E0000}"/>
    <cellStyle name="_x0013__Conolidated Finanacial Statements_v03" xfId="3708" xr:uid="{00000000-0005-0000-0000-00003D0E0000}"/>
    <cellStyle name="_x0013__Conolidated Finanacial Statements_v04 Altamira" xfId="3709" xr:uid="{00000000-0005-0000-0000-00003E0E0000}"/>
    <cellStyle name="_x0013__Conolidated Finanacial Statements_v04 GDR" xfId="3710" xr:uid="{00000000-0005-0000-0000-00003F0E0000}"/>
    <cellStyle name="_x0013__Conolidated Finanacial Statements_v04 RBII" xfId="3711" xr:uid="{00000000-0005-0000-0000-0000400E0000}"/>
    <cellStyle name="_x0013__Conolidated Finanacial Statements_v04 RBIII" xfId="3712" xr:uid="{00000000-0005-0000-0000-0000410E0000}"/>
    <cellStyle name="_x0013__Conolidated Finanacial Statements_v04 RBIV" xfId="3713" xr:uid="{00000000-0005-0000-0000-0000420E0000}"/>
    <cellStyle name="_x0013__Conolidated Finanacial Statements_v04 Saltillo" xfId="3714" xr:uid="{00000000-0005-0000-0000-0000430E0000}"/>
    <cellStyle name="_x0013__Cons_Fins_v02 All Plants" xfId="3715" xr:uid="{00000000-0005-0000-0000-0000440E0000}"/>
    <cellStyle name="_Consolidado  EEFF OCT 08" xfId="3716" xr:uid="{00000000-0005-0000-0000-0000450E0000}"/>
    <cellStyle name="_Consolidado final" xfId="3717" xr:uid="{00000000-0005-0000-0000-0000460E0000}"/>
    <cellStyle name="_Consolidado final (version 2)" xfId="3718" xr:uid="{00000000-0005-0000-0000-0000470E0000}"/>
    <cellStyle name="_CONSOLIDADO PALMAS Y RANSA A NOV 2010" xfId="3719" xr:uid="{00000000-0005-0000-0000-0000480E0000}"/>
    <cellStyle name="_Consolidado Ternium 2007 MASTER(271107) (2)" xfId="3720" xr:uid="{00000000-0005-0000-0000-0000490E0000}"/>
    <cellStyle name="_Consolidado Ternium 2007 MASTER(271107) (2) 2" xfId="3721" xr:uid="{00000000-0005-0000-0000-00004A0E0000}"/>
    <cellStyle name="_Consolidado Ternium 2007 MASTER(271107) (2) 3" xfId="3722" xr:uid="{00000000-0005-0000-0000-00004B0E0000}"/>
    <cellStyle name="_CONTROL DE FACTURACION A OCT 06" xfId="3723" xr:uid="{00000000-0005-0000-0000-00004C0E0000}"/>
    <cellStyle name="_Copy of TABLERO AUMENTOS ENE 09 LUNES 12 ENERO" xfId="3724" xr:uid="{00000000-0005-0000-0000-00004D0E0000}"/>
    <cellStyle name="_Copy of TABLERO AUMENTOS ENE 09 LUNES 12 ENERO 2" xfId="3725" xr:uid="{00000000-0005-0000-0000-00004E0E0000}"/>
    <cellStyle name="_Copy of TABLERO AUMENTOS ENE 09 LUNES 12 ENERO 3" xfId="3726" xr:uid="{00000000-0005-0000-0000-00004F0E0000}"/>
    <cellStyle name="_Currency" xfId="3727" xr:uid="{00000000-0005-0000-0000-0000500E0000}"/>
    <cellStyle name="_Currency 2" xfId="3728" xr:uid="{00000000-0005-0000-0000-0000510E0000}"/>
    <cellStyle name="_Currency_Databook library PPART" xfId="3729" xr:uid="{00000000-0005-0000-0000-0000520E0000}"/>
    <cellStyle name="_Currency_Databook library PPART 2" xfId="3730" xr:uid="{00000000-0005-0000-0000-0000530E0000}"/>
    <cellStyle name="_CurrencySpace" xfId="3731" xr:uid="{00000000-0005-0000-0000-0000540E0000}"/>
    <cellStyle name="_CurrencySpace 2" xfId="3732" xr:uid="{00000000-0005-0000-0000-0000550E0000}"/>
    <cellStyle name="_CXC ANTIGUEDAD X VENCIMIENTO OCT" xfId="3733" xr:uid="{00000000-0005-0000-0000-0000560E0000}"/>
    <cellStyle name="_Data" xfId="3734" xr:uid="{00000000-0005-0000-0000-0000570E0000}"/>
    <cellStyle name="_Data 2" xfId="3735" xr:uid="{00000000-0005-0000-0000-0000580E0000}"/>
    <cellStyle name="_Data_Berechnung EOP Margen ohne Tantal other" xfId="3736" xr:uid="{00000000-0005-0000-0000-0000590E0000}"/>
    <cellStyle name="_Data_Berechnung EOP Margen ohne Tantal other 2" xfId="3737" xr:uid="{00000000-0005-0000-0000-00005A0E0000}"/>
    <cellStyle name="_Data_DP02 - GF Aufteilung 0900 SP" xfId="3738" xr:uid="{00000000-0005-0000-0000-00005B0E0000}"/>
    <cellStyle name="_Data_DP02 - GF Aufteilung 0900 SP 2" xfId="3739" xr:uid="{00000000-0005-0000-0000-00005C0E0000}"/>
    <cellStyle name="_Data_IDC" xfId="3740" xr:uid="{00000000-0005-0000-0000-00005D0E0000}"/>
    <cellStyle name="_Data_Konsolidierung auf GF 05_2000" xfId="3741" xr:uid="{00000000-0005-0000-0000-00005E0E0000}"/>
    <cellStyle name="_Data_Konsolidierung auf GF 05_2000 2" xfId="3742" xr:uid="{00000000-0005-0000-0000-00005F0E0000}"/>
    <cellStyle name="_Data_Konsolidierung auf GF 12_2000_vorlaeufig" xfId="3743" xr:uid="{00000000-0005-0000-0000-0000600E0000}"/>
    <cellStyle name="_Data_Konsolidierung auf GF 12_2000_vorlaeufig 2" xfId="3744" xr:uid="{00000000-0005-0000-0000-0000610E0000}"/>
    <cellStyle name="_Data_Konsolidierung fuer GF 09_2000 vorlaeufig" xfId="3745" xr:uid="{00000000-0005-0000-0000-0000620E0000}"/>
    <cellStyle name="_Data_Konsolidierung fuer GF 09_2000 vorlaeufig 2" xfId="3746" xr:uid="{00000000-0005-0000-0000-0000630E0000}"/>
    <cellStyle name="_Data_MDI Quartale (2)" xfId="3747" xr:uid="{00000000-0005-0000-0000-0000640E0000}"/>
    <cellStyle name="_Data_PPA HCST - Valuation IPRnD_Summary_220607_1100" xfId="3748" xr:uid="{00000000-0005-0000-0000-0000650E0000}"/>
    <cellStyle name="_Data_PPA HCST - Valuation IPRnD_Summary_220607_1100 2" xfId="3749" xr:uid="{00000000-0005-0000-0000-0000660E0000}"/>
    <cellStyle name="_Data_SP_Konsmassnahmen in CF und IW 09_2000 UR" xfId="3750" xr:uid="{00000000-0005-0000-0000-0000670E0000}"/>
    <cellStyle name="_Data_SP_Konsmassnahmen in CF und IW 09_2000 UR 2" xfId="3751" xr:uid="{00000000-0005-0000-0000-0000680E0000}"/>
    <cellStyle name="_Data_Sunshine Apr 09 Reporting_(Hyp)" xfId="3752" xr:uid="{00000000-0005-0000-0000-0000690E0000}"/>
    <cellStyle name="_Data_Zwischengewinne SP 09-2000" xfId="3753" xr:uid="{00000000-0005-0000-0000-00006A0E0000}"/>
    <cellStyle name="_Data_Zwischengewinne SP 09-2000 2" xfId="3754" xr:uid="{00000000-0005-0000-0000-00006B0E0000}"/>
    <cellStyle name="_Databook library PPART" xfId="3755" xr:uid="{00000000-0005-0000-0000-00006C0E0000}"/>
    <cellStyle name="_Databook library PPART 2" xfId="3756" xr:uid="{00000000-0005-0000-0000-00006D0E0000}"/>
    <cellStyle name="_DEI Guatemala v1.1" xfId="3757" xr:uid="{00000000-0005-0000-0000-00006E0E0000}"/>
    <cellStyle name="_DEI Guatemala v1.1 2" xfId="3758" xr:uid="{00000000-0005-0000-0000-00006F0E0000}"/>
    <cellStyle name="_DEI Guatemala v1.1 2 10" xfId="3759" xr:uid="{00000000-0005-0000-0000-0000700E0000}"/>
    <cellStyle name="_DEI Guatemala v1.1 2 11" xfId="3760" xr:uid="{00000000-0005-0000-0000-0000710E0000}"/>
    <cellStyle name="_DEI Guatemala v1.1 2 2" xfId="3761" xr:uid="{00000000-0005-0000-0000-0000720E0000}"/>
    <cellStyle name="_DEI Guatemala v1.1 2 3" xfId="3762" xr:uid="{00000000-0005-0000-0000-0000730E0000}"/>
    <cellStyle name="_DEI Guatemala v1.1 2 4" xfId="3763" xr:uid="{00000000-0005-0000-0000-0000740E0000}"/>
    <cellStyle name="_DEI Guatemala v1.1 2 5" xfId="3764" xr:uid="{00000000-0005-0000-0000-0000750E0000}"/>
    <cellStyle name="_DEI Guatemala v1.1 2 6" xfId="3765" xr:uid="{00000000-0005-0000-0000-0000760E0000}"/>
    <cellStyle name="_DEI Guatemala v1.1 2 7" xfId="3766" xr:uid="{00000000-0005-0000-0000-0000770E0000}"/>
    <cellStyle name="_DEI Guatemala v1.1 2 8" xfId="3767" xr:uid="{00000000-0005-0000-0000-0000780E0000}"/>
    <cellStyle name="_DEI Guatemala v1.1 2 9" xfId="3768" xr:uid="{00000000-0005-0000-0000-0000790E0000}"/>
    <cellStyle name="_DEI Guatemala v1.1 3" xfId="3769" xr:uid="{00000000-0005-0000-0000-00007A0E0000}"/>
    <cellStyle name="_DEI Guatemala v1.1 3 2" xfId="3770" xr:uid="{00000000-0005-0000-0000-00007B0E0000}"/>
    <cellStyle name="_DEI Guatemala v1.1 3 3" xfId="3771" xr:uid="{00000000-0005-0000-0000-00007C0E0000}"/>
    <cellStyle name="_DEI Guatemala v1.1 4" xfId="3772" xr:uid="{00000000-0005-0000-0000-00007D0E0000}"/>
    <cellStyle name="_DEI Guatemala v1.1 4 2" xfId="3773" xr:uid="{00000000-0005-0000-0000-00007E0E0000}"/>
    <cellStyle name="_DEI Guatemala v1.1 4 3" xfId="3774" xr:uid="{00000000-0005-0000-0000-00007F0E0000}"/>
    <cellStyle name="_Demociones EneJun 2009 V2" xfId="3775" xr:uid="{00000000-0005-0000-0000-0000800E0000}"/>
    <cellStyle name="_Demociones EneJun 2009 V2 2" xfId="3776" xr:uid="{00000000-0005-0000-0000-0000810E0000}"/>
    <cellStyle name="_Demociones EneJun 2009 V2 3" xfId="3777" xr:uid="{00000000-0005-0000-0000-0000820E0000}"/>
    <cellStyle name="_Desc" xfId="3778" xr:uid="{00000000-0005-0000-0000-0000830E0000}"/>
    <cellStyle name="_Desc_BU valuation" xfId="3779" xr:uid="{00000000-0005-0000-0000-0000840E0000}"/>
    <cellStyle name="_Desc_CMD Model 2010 v5_13" xfId="3780" xr:uid="{00000000-0005-0000-0000-0000850E0000}"/>
    <cellStyle name="_Desc_Multiples template" xfId="3781" xr:uid="{00000000-0005-0000-0000-0000860E0000}"/>
    <cellStyle name="_Desc_TRS Dec" xfId="3782" xr:uid="{00000000-0005-0000-0000-0000870E0000}"/>
    <cellStyle name="_Desc_Valuation" xfId="3783" xr:uid="{00000000-0005-0000-0000-0000880E0000}"/>
    <cellStyle name="_Desc_VendorData" xfId="3784" xr:uid="{00000000-0005-0000-0000-0000890E0000}"/>
    <cellStyle name="_Detalle" xfId="3785" xr:uid="{00000000-0005-0000-0000-00008A0E0000}"/>
    <cellStyle name="_DETALLE PROVISION CAPEX 2006 (3)" xfId="3786" xr:uid="{00000000-0005-0000-0000-00008B0E0000}"/>
    <cellStyle name="_DETALLE PROVISION CAPEX 2006_EN" xfId="3787" xr:uid="{00000000-0005-0000-0000-00008C0E0000}"/>
    <cellStyle name="_Detalle Yside" xfId="3788" xr:uid="{00000000-0005-0000-0000-00008D0E0000}"/>
    <cellStyle name="_Diciembre2004-periodo 13FINAL" xfId="3789" xr:uid="{00000000-0005-0000-0000-00008E0E0000}"/>
    <cellStyle name="_Directorio a Julio" xfId="3790" xr:uid="{00000000-0005-0000-0000-00008F0E0000}"/>
    <cellStyle name="_DR Greenfield Guatemala 120307" xfId="3791" xr:uid="{00000000-0005-0000-0000-0000900E0000}"/>
    <cellStyle name="_ECPN" xfId="3792" xr:uid="{00000000-0005-0000-0000-0000910E0000}"/>
    <cellStyle name="_EDEGEL_Final1_balances al 30 de junio 2007" xfId="3793" xr:uid="{00000000-0005-0000-0000-0000920E0000}"/>
    <cellStyle name="_EDEGEL_Final1_balances al 30 de junio 2007 2" xfId="3794" xr:uid="{00000000-0005-0000-0000-0000930E0000}"/>
    <cellStyle name="_EEFF Consolidado Grupo Romero Nivel 1" xfId="3795" xr:uid="{00000000-0005-0000-0000-0000940E0000}"/>
    <cellStyle name="_ejemplos" xfId="3796" xr:uid="{00000000-0005-0000-0000-0000950E0000}"/>
    <cellStyle name="_ejemplos 2" xfId="3797" xr:uid="{00000000-0005-0000-0000-0000960E0000}"/>
    <cellStyle name="_ejemplos 3" xfId="3798" xr:uid="{00000000-0005-0000-0000-0000970E0000}"/>
    <cellStyle name="_Envío Diciembre09 (2)" xfId="3799" xr:uid="{00000000-0005-0000-0000-0000980E0000}"/>
    <cellStyle name="_Envío Diciembre09(2)" xfId="3800" xr:uid="{00000000-0005-0000-0000-0000990E0000}"/>
    <cellStyle name="_Envío Junio10" xfId="3801" xr:uid="{00000000-0005-0000-0000-00009A0E0000}"/>
    <cellStyle name="_Envío Marzo10" xfId="3802" xr:uid="{00000000-0005-0000-0000-00009B0E0000}"/>
    <cellStyle name="_Envío Setiembre09" xfId="3803" xr:uid="{00000000-0005-0000-0000-00009C0E0000}"/>
    <cellStyle name="_Envío Setiembre10" xfId="3804" xr:uid="{00000000-0005-0000-0000-00009D0E0000}"/>
    <cellStyle name="_Euro" xfId="3805" xr:uid="{00000000-0005-0000-0000-00009E0E0000}"/>
    <cellStyle name="_FC Directorio Dic 2010" xfId="3806" xr:uid="{00000000-0005-0000-0000-00009F0E0000}"/>
    <cellStyle name="_FC PE + IE + SH + CHIRA - ENE 2011 PESIMISTA" xfId="3807" xr:uid="{00000000-0005-0000-0000-0000A00E0000}"/>
    <cellStyle name="_FCL 2005" xfId="3808" xr:uid="{00000000-0005-0000-0000-0000A10E0000}"/>
    <cellStyle name="_FCST_111YSIDE" xfId="3809" xr:uid="{00000000-0005-0000-0000-0000A20E0000}"/>
    <cellStyle name="_Febrero 2010 - Samtronics" xfId="3810" xr:uid="{00000000-0005-0000-0000-0000A30E0000}"/>
    <cellStyle name="_Fixed assets Summary_fair values110106" xfId="3811" xr:uid="{00000000-0005-0000-0000-0000A40E0000}"/>
    <cellStyle name="_FLUJO CAJA 2009 v6" xfId="3812" xr:uid="{00000000-0005-0000-0000-0000A50E0000}"/>
    <cellStyle name="_FLUJO CAJA 2009 v6 2" xfId="3813" xr:uid="{00000000-0005-0000-0000-0000A60E0000}"/>
    <cellStyle name="_FLUJO CAJA 2009 v6 2 2" xfId="3814" xr:uid="{00000000-0005-0000-0000-0000A70E0000}"/>
    <cellStyle name="_FLUJO CAJA 2009 v6 3" xfId="3815" xr:uid="{00000000-0005-0000-0000-0000A80E0000}"/>
    <cellStyle name="_FLUJO CAJA 2009 v6 3 2" xfId="3816" xr:uid="{00000000-0005-0000-0000-0000A90E0000}"/>
    <cellStyle name="_FORMATO EAP OTHER INFO TRIMESTRAL ABR2004" xfId="3817" xr:uid="{00000000-0005-0000-0000-0000AA0E0000}"/>
    <cellStyle name="_FORMATO EAP OTHER INFO TRIMESTRAL FEB2004" xfId="3818" xr:uid="{00000000-0005-0000-0000-0000AB0E0000}"/>
    <cellStyle name="_FORMATO EAP OTHER INFO TRIMESTRAL MAR2004" xfId="3819" xr:uid="{00000000-0005-0000-0000-0000AC0E0000}"/>
    <cellStyle name="_x0013__Full Model 060409rev1 (2) - BNPP Debt Sizing - V3" xfId="3820" xr:uid="{00000000-0005-0000-0000-0000AD0E0000}"/>
    <cellStyle name="_G&amp;P" xfId="3821" xr:uid="{00000000-0005-0000-0000-0000AE0E0000}"/>
    <cellStyle name="_gastos e ingresos Enero 2005 nueva" xfId="3822" xr:uid="{00000000-0005-0000-0000-0000AF0E0000}"/>
    <cellStyle name="_GENERAL698" xfId="3823" xr:uid="{00000000-0005-0000-0000-0000B00E0000}"/>
    <cellStyle name="_GENERAL698 2" xfId="3824" xr:uid="{00000000-0005-0000-0000-0000B10E0000}"/>
    <cellStyle name="_GENERAL998" xfId="3825" xr:uid="{00000000-0005-0000-0000-0000B20E0000}"/>
    <cellStyle name="_GENERAL998 2" xfId="3826" xr:uid="{00000000-0005-0000-0000-0000B30E0000}"/>
    <cellStyle name="_GENERAL998_1" xfId="3827" xr:uid="{00000000-0005-0000-0000-0000B40E0000}"/>
    <cellStyle name="_GENERAL998_1 2" xfId="3828" xr:uid="{00000000-0005-0000-0000-0000B50E0000}"/>
    <cellStyle name="_GESTION" xfId="3829" xr:uid="{00000000-0005-0000-0000-0000B60E0000}"/>
    <cellStyle name="_GP 2005 MENSUALIZADO YTD SET05 finalv3" xfId="3830" xr:uid="{00000000-0005-0000-0000-0000B70E0000}"/>
    <cellStyle name="_GP 2006" xfId="3831" xr:uid="{00000000-0005-0000-0000-0000B80E0000}"/>
    <cellStyle name="_GRUPO PALMAS FC 2011-ENE REAL-ESCENARIO OPTIMISTA" xfId="3832" xr:uid="{00000000-0005-0000-0000-0000B90E0000}"/>
    <cellStyle name="_GRUPO PALMAS FC 2011-ENE REAL-ESCENARIO PESIMISTA" xfId="3833" xr:uid="{00000000-0005-0000-0000-0000BA0E0000}"/>
    <cellStyle name="_Gua_ELS Debt Schedule 110105" xfId="3834" xr:uid="{00000000-0005-0000-0000-0000BB0E0000}"/>
    <cellStyle name="_Gua_ELS Debt Schedule 110105 2" xfId="3835" xr:uid="{00000000-0005-0000-0000-0000BC0E0000}"/>
    <cellStyle name="_Gua_ELS Debt Schedule 110105 2 10" xfId="3836" xr:uid="{00000000-0005-0000-0000-0000BD0E0000}"/>
    <cellStyle name="_Gua_ELS Debt Schedule 110105 2 11" xfId="3837" xr:uid="{00000000-0005-0000-0000-0000BE0E0000}"/>
    <cellStyle name="_Gua_ELS Debt Schedule 110105 2 2" xfId="3838" xr:uid="{00000000-0005-0000-0000-0000BF0E0000}"/>
    <cellStyle name="_Gua_ELS Debt Schedule 110105 2 3" xfId="3839" xr:uid="{00000000-0005-0000-0000-0000C00E0000}"/>
    <cellStyle name="_Gua_ELS Debt Schedule 110105 2 4" xfId="3840" xr:uid="{00000000-0005-0000-0000-0000C10E0000}"/>
    <cellStyle name="_Gua_ELS Debt Schedule 110105 2 5" xfId="3841" xr:uid="{00000000-0005-0000-0000-0000C20E0000}"/>
    <cellStyle name="_Gua_ELS Debt Schedule 110105 2 6" xfId="3842" xr:uid="{00000000-0005-0000-0000-0000C30E0000}"/>
    <cellStyle name="_Gua_ELS Debt Schedule 110105 2 7" xfId="3843" xr:uid="{00000000-0005-0000-0000-0000C40E0000}"/>
    <cellStyle name="_Gua_ELS Debt Schedule 110105 2 8" xfId="3844" xr:uid="{00000000-0005-0000-0000-0000C50E0000}"/>
    <cellStyle name="_Gua_ELS Debt Schedule 110105 2 9" xfId="3845" xr:uid="{00000000-0005-0000-0000-0000C60E0000}"/>
    <cellStyle name="_Gua_ELS Debt Schedule 110105 3" xfId="3846" xr:uid="{00000000-0005-0000-0000-0000C70E0000}"/>
    <cellStyle name="_Gua_ELS Debt Schedule 110105 3 2" xfId="3847" xr:uid="{00000000-0005-0000-0000-0000C80E0000}"/>
    <cellStyle name="_Gua_ELS Debt Schedule 110105 3 3" xfId="3848" xr:uid="{00000000-0005-0000-0000-0000C90E0000}"/>
    <cellStyle name="_Gua_ELS Debt Schedule 110105 4" xfId="3849" xr:uid="{00000000-0005-0000-0000-0000CA0E0000}"/>
    <cellStyle name="_Gua_ELS Debt Schedule 110105 4 2" xfId="3850" xr:uid="{00000000-0005-0000-0000-0000CB0E0000}"/>
    <cellStyle name="_Gua_ELS Debt Schedule 110105 4 3" xfId="3851" xr:uid="{00000000-0005-0000-0000-0000CC0E0000}"/>
    <cellStyle name="_Header" xfId="3852" xr:uid="{00000000-0005-0000-0000-0000CD0E0000}"/>
    <cellStyle name="_Header_CF" xfId="3853" xr:uid="{00000000-0005-0000-0000-0000CE0E0000}"/>
    <cellStyle name="_Header_MDI Quartale" xfId="3854" xr:uid="{00000000-0005-0000-0000-0000CF0E0000}"/>
    <cellStyle name="_Header_PPA HCST - Valuation IPRnD" xfId="3855" xr:uid="{00000000-0005-0000-0000-0000D00E0000}"/>
    <cellStyle name="_Header_Quartale" xfId="3856" xr:uid="{00000000-0005-0000-0000-0000D10E0000}"/>
    <cellStyle name="_Heading" xfId="3857" xr:uid="{00000000-0005-0000-0000-0000D20E0000}"/>
    <cellStyle name="_Highlight" xfId="3858" xr:uid="{00000000-0005-0000-0000-0000D30E0000}"/>
    <cellStyle name="_Hoja1" xfId="3859" xr:uid="{00000000-0005-0000-0000-0000D40E0000}"/>
    <cellStyle name="_Indicadores Red - Septiembre 2005 " xfId="3860" xr:uid="{00000000-0005-0000-0000-0000D50E0000}"/>
    <cellStyle name="_Info para value partners 2" xfId="3861" xr:uid="{00000000-0005-0000-0000-0000D60E0000}"/>
    <cellStyle name="_info ventas" xfId="3862" xr:uid="{00000000-0005-0000-0000-0000D70E0000}"/>
    <cellStyle name="_Información a Mayo 2007 (2)" xfId="3863" xr:uid="{00000000-0005-0000-0000-0000D80E0000}"/>
    <cellStyle name="_Ingresos y Costo de Venta - Noviembre Final" xfId="3864" xr:uid="{00000000-0005-0000-0000-0000D90E0000}"/>
    <cellStyle name="_INVEST2jul00" xfId="3865" xr:uid="{00000000-0005-0000-0000-0000DA0E0000}"/>
    <cellStyle name="_INVEST2jul00 2" xfId="3866" xr:uid="{00000000-0005-0000-0000-0000DB0E0000}"/>
    <cellStyle name="_INVEST2mai00" xfId="3867" xr:uid="{00000000-0005-0000-0000-0000DC0E0000}"/>
    <cellStyle name="_INVEST2mai00 2" xfId="3868" xr:uid="{00000000-0005-0000-0000-0000DD0E0000}"/>
    <cellStyle name="_INVESTIMENTOS" xfId="3869" xr:uid="{00000000-0005-0000-0000-0000DE0E0000}"/>
    <cellStyle name="_INVESTIMENTOS 2" xfId="3870" xr:uid="{00000000-0005-0000-0000-0000DF0E0000}"/>
    <cellStyle name="_JPC Revenues Calculation v 011607 V 10.0" xfId="3871" xr:uid="{00000000-0005-0000-0000-0000E00E0000}"/>
    <cellStyle name="_JPC Revenues Calculation v 011607 V 10.0_IDC" xfId="3872" xr:uid="{00000000-0005-0000-0000-0000E10E0000}"/>
    <cellStyle name="_JPM_GBPC 0729_v2.0" xfId="3873" xr:uid="{00000000-0005-0000-0000-0000E20E0000}"/>
    <cellStyle name="_JPM_GBPC 0729b_v5.0" xfId="3874" xr:uid="{00000000-0005-0000-0000-0000E30E0000}"/>
    <cellStyle name="_Kpi Roaming" xfId="3875" xr:uid="{00000000-0005-0000-0000-0000E40E0000}"/>
    <cellStyle name="_Kpi Roaming - Ago07" xfId="3876" xr:uid="{00000000-0005-0000-0000-0000E50E0000}"/>
    <cellStyle name="_Kpi Roaming - Ago07 (2)" xfId="3877" xr:uid="{00000000-0005-0000-0000-0000E60E0000}"/>
    <cellStyle name="_Leura López Manuel Alejandro" xfId="3878" xr:uid="{00000000-0005-0000-0000-0000E70E0000}"/>
    <cellStyle name="_Leura López Manuel Alejandro 2" xfId="3879" xr:uid="{00000000-0005-0000-0000-0000E80E0000}"/>
    <cellStyle name="_Leura López Manuel Alejandro 3" xfId="3880" xr:uid="{00000000-0005-0000-0000-0000E90E0000}"/>
    <cellStyle name="_Libro1" xfId="3881" xr:uid="{00000000-0005-0000-0000-0000EA0E0000}"/>
    <cellStyle name="_Libro1_1" xfId="3882" xr:uid="{00000000-0005-0000-0000-0000EB0E0000}"/>
    <cellStyle name="_Libro2" xfId="3883" xr:uid="{00000000-0005-0000-0000-0000EC0E0000}"/>
    <cellStyle name="_Libro21" xfId="3884" xr:uid="{00000000-0005-0000-0000-0000ED0E0000}"/>
    <cellStyle name="_Libro22" xfId="3885" xr:uid="{00000000-0005-0000-0000-0000EE0E0000}"/>
    <cellStyle name="_Libro4" xfId="3886" xr:uid="{00000000-0005-0000-0000-0000EF0E0000}"/>
    <cellStyle name="_Libro5 (2)" xfId="3887" xr:uid="{00000000-0005-0000-0000-0000F00E0000}"/>
    <cellStyle name="_Libro6" xfId="3888" xr:uid="{00000000-0005-0000-0000-0000F10E0000}"/>
    <cellStyle name="_Limtek Julio 2010" xfId="3889" xr:uid="{00000000-0005-0000-0000-0000F20E0000}"/>
    <cellStyle name="_Limtek Julio 2010 2" xfId="3890" xr:uid="{00000000-0005-0000-0000-0000F30E0000}"/>
    <cellStyle name="_Limtek Julio 2010 2 2" xfId="3891" xr:uid="{00000000-0005-0000-0000-0000F40E0000}"/>
    <cellStyle name="_Limtek Julio 2010 3" xfId="3892" xr:uid="{00000000-0005-0000-0000-0000F50E0000}"/>
    <cellStyle name="_Limtek Julio 2010 3 2" xfId="3893" xr:uid="{00000000-0005-0000-0000-0000F60E0000}"/>
    <cellStyle name="_MARKET - Setiembre 05" xfId="3894" xr:uid="{00000000-0005-0000-0000-0000F70E0000}"/>
    <cellStyle name="_MARKET - Setiembre 05_Libro1" xfId="3895" xr:uid="{00000000-0005-0000-0000-0000F80E0000}"/>
    <cellStyle name="_MARKET - Setiembre 05_Tipo de Cambio (2)" xfId="3896" xr:uid="{00000000-0005-0000-0000-0000F90E0000}"/>
    <cellStyle name="_Matriz Hajj-2005 (Soles)" xfId="3897" xr:uid="{00000000-0005-0000-0000-0000FA0E0000}"/>
    <cellStyle name="_Meduse Valuation_v41 (status quo)" xfId="3898" xr:uid="{00000000-0005-0000-0000-0000FB0E0000}"/>
    <cellStyle name="_Meduse Valuation_v41 (status quo)_Jaguar Model - 1CE  (04.13.10)" xfId="3899" xr:uid="{00000000-0005-0000-0000-0000FC0E0000}"/>
    <cellStyle name="_Meduse Valuation_v41 (status quo)_Jaguar Model - 1CE  (04.13.10)_Fenix_Model__(08.30.10)  Lenders" xfId="3900" xr:uid="{00000000-0005-0000-0000-0000FD0E0000}"/>
    <cellStyle name="_Meduse Valuation_v41 (status quo)_Jaguar Model - 1CE  (04.13.10)_Fenix_Model__(08.30.10)  Lenders_IDC" xfId="3901" xr:uid="{00000000-0005-0000-0000-0000FE0E0000}"/>
    <cellStyle name="_Meduse Valuation_v41 (status quo)_Jaguar Model - 1CE  (04.13.10)_IDC" xfId="3902" xr:uid="{00000000-0005-0000-0000-0000FF0E0000}"/>
    <cellStyle name="_Meduse Valuation_v41 (status quo)_Modelo Egechilca-v28" xfId="3903" xr:uid="{00000000-0005-0000-0000-0000000F0000}"/>
    <cellStyle name="_Meduse Valuation_v41 (status quo)_Modelo Egechilca-v28_Fenix_Model__(08.16.10)" xfId="3904" xr:uid="{00000000-0005-0000-0000-0000010F0000}"/>
    <cellStyle name="_Meduse Valuation_v41 (status quo)_Modelo Egechilca-v28_Fenix_Model__(08.18.10) Lenders" xfId="3905" xr:uid="{00000000-0005-0000-0000-0000020F0000}"/>
    <cellStyle name="_Meduse Valuation_v41 (status quo)_Modelo Egechilca-v28_Fenix_Model__(08.30.10)  Lenders" xfId="3906" xr:uid="{00000000-0005-0000-0000-0000030F0000}"/>
    <cellStyle name="_Meduse Valuation_v41 (status quo)_Modelo Egechilca-v28_IDC" xfId="3907" xr:uid="{00000000-0005-0000-0000-0000040F0000}"/>
    <cellStyle name="_Meduse Valuation_v41 (status quo)_Modelo Egechilca-v28_Modelo (Apr10)-v12" xfId="3908" xr:uid="{00000000-0005-0000-0000-0000050F0000}"/>
    <cellStyle name="_Meduse Valuation_v41 (status quo)_Modelo Egechilca-v28_Modelo (Apr10)-v12_Fenix_Model__(08.30.10)  Lenders" xfId="3909" xr:uid="{00000000-0005-0000-0000-0000060F0000}"/>
    <cellStyle name="_Meduse Valuation_v41 (status quo)_Modelo Egechilca-v28_Modelo (Apr10)-v12_Fenix_Model__(08.30.10)  Lenders_IDC" xfId="3910" xr:uid="{00000000-0005-0000-0000-0000070F0000}"/>
    <cellStyle name="_Meduse Valuation_v41 (status quo)_Modelo Egechilca-v28_Modelo (Apr10)-v12_IDC" xfId="3911" xr:uid="{00000000-0005-0000-0000-0000080F0000}"/>
    <cellStyle name="_Meduse Valuation_v41 (status quo)_Modelo Egechilca-v28_Modelo (Oct09)-v8" xfId="3912" xr:uid="{00000000-0005-0000-0000-0000090F0000}"/>
    <cellStyle name="_Meduse Valuation_v41 (status quo)_Modelo Egechilca-v28_Modelo (Oct09)-v8_Fenix_Model__(08.30.10)  Lenders" xfId="3913" xr:uid="{00000000-0005-0000-0000-00000A0F0000}"/>
    <cellStyle name="_Meduse Valuation_v41 (status quo)_Modelo Egechilca-v28_Modelo (Oct09)-v8_Fenix_Model__(08.30.10)  Lenders_IDC" xfId="3914" xr:uid="{00000000-0005-0000-0000-00000B0F0000}"/>
    <cellStyle name="_Meduse Valuation_v41 (status quo)_Modelo Egechilca-v28_Modelo (Oct09)-v8_IDC" xfId="3915" xr:uid="{00000000-0005-0000-0000-00000C0F0000}"/>
    <cellStyle name="_Meduse Valuation_v41 (status quo)_Modelo Egechilca-v28_Modelo_(May10)-v22" xfId="3916" xr:uid="{00000000-0005-0000-0000-00000D0F0000}"/>
    <cellStyle name="_Meduse Valuation_v42 (Refinance)" xfId="3917" xr:uid="{00000000-0005-0000-0000-00000E0F0000}"/>
    <cellStyle name="_Meduse Valuation_v42 (Refinance)_Jaguar Model - 1CE  (04.13.10)" xfId="3918" xr:uid="{00000000-0005-0000-0000-00000F0F0000}"/>
    <cellStyle name="_Meduse Valuation_v42 (Refinance)_Jaguar Model - 1CE  (04.13.10)_Fenix_Model__(08.30.10)  Lenders" xfId="3919" xr:uid="{00000000-0005-0000-0000-0000100F0000}"/>
    <cellStyle name="_Meduse Valuation_v42 (Refinance)_Jaguar Model - 1CE  (04.13.10)_Fenix_Model__(08.30.10)  Lenders_IDC" xfId="3920" xr:uid="{00000000-0005-0000-0000-0000110F0000}"/>
    <cellStyle name="_Meduse Valuation_v42 (Refinance)_Jaguar Model - 1CE  (04.13.10)_IDC" xfId="3921" xr:uid="{00000000-0005-0000-0000-0000120F0000}"/>
    <cellStyle name="_Meduse Valuation_v42 (Refinance)_Modelo Egechilca-v28" xfId="3922" xr:uid="{00000000-0005-0000-0000-0000130F0000}"/>
    <cellStyle name="_Meduse Valuation_v42 (Refinance)_Modelo Egechilca-v28_Fenix_Model__(08.16.10)" xfId="3923" xr:uid="{00000000-0005-0000-0000-0000140F0000}"/>
    <cellStyle name="_Meduse Valuation_v42 (Refinance)_Modelo Egechilca-v28_Fenix_Model__(08.18.10) Lenders" xfId="3924" xr:uid="{00000000-0005-0000-0000-0000150F0000}"/>
    <cellStyle name="_Meduse Valuation_v42 (Refinance)_Modelo Egechilca-v28_Fenix_Model__(08.30.10)  Lenders" xfId="3925" xr:uid="{00000000-0005-0000-0000-0000160F0000}"/>
    <cellStyle name="_Meduse Valuation_v42 (Refinance)_Modelo Egechilca-v28_IDC" xfId="3926" xr:uid="{00000000-0005-0000-0000-0000170F0000}"/>
    <cellStyle name="_Meduse Valuation_v42 (Refinance)_Modelo Egechilca-v28_Modelo (Apr10)-v12" xfId="3927" xr:uid="{00000000-0005-0000-0000-0000180F0000}"/>
    <cellStyle name="_Meduse Valuation_v42 (Refinance)_Modelo Egechilca-v28_Modelo (Apr10)-v12_Fenix_Model__(08.30.10)  Lenders" xfId="3928" xr:uid="{00000000-0005-0000-0000-0000190F0000}"/>
    <cellStyle name="_Meduse Valuation_v42 (Refinance)_Modelo Egechilca-v28_Modelo (Apr10)-v12_Fenix_Model__(08.30.10)  Lenders_IDC" xfId="3929" xr:uid="{00000000-0005-0000-0000-00001A0F0000}"/>
    <cellStyle name="_Meduse Valuation_v42 (Refinance)_Modelo Egechilca-v28_Modelo (Apr10)-v12_IDC" xfId="3930" xr:uid="{00000000-0005-0000-0000-00001B0F0000}"/>
    <cellStyle name="_Meduse Valuation_v42 (Refinance)_Modelo Egechilca-v28_Modelo (Oct09)-v8" xfId="3931" xr:uid="{00000000-0005-0000-0000-00001C0F0000}"/>
    <cellStyle name="_Meduse Valuation_v42 (Refinance)_Modelo Egechilca-v28_Modelo (Oct09)-v8_Fenix_Model__(08.30.10)  Lenders" xfId="3932" xr:uid="{00000000-0005-0000-0000-00001D0F0000}"/>
    <cellStyle name="_Meduse Valuation_v42 (Refinance)_Modelo Egechilca-v28_Modelo (Oct09)-v8_Fenix_Model__(08.30.10)  Lenders_IDC" xfId="3933" xr:uid="{00000000-0005-0000-0000-00001E0F0000}"/>
    <cellStyle name="_Meduse Valuation_v42 (Refinance)_Modelo Egechilca-v28_Modelo (Oct09)-v8_IDC" xfId="3934" xr:uid="{00000000-0005-0000-0000-00001F0F0000}"/>
    <cellStyle name="_Meduse Valuation_v42 (Refinance)_Modelo Egechilca-v28_Modelo_(May10)-v22" xfId="3935" xr:uid="{00000000-0005-0000-0000-0000200F0000}"/>
    <cellStyle name="_MIR.ProjectSammy.PlantList.v01" xfId="3936" xr:uid="{00000000-0005-0000-0000-0000210F0000}"/>
    <cellStyle name="_MIR.ProjectSammy.PlantList.v01_Jaguar Model - 1CE  (04.13.10)" xfId="3937" xr:uid="{00000000-0005-0000-0000-0000220F0000}"/>
    <cellStyle name="_MIR.ProjectSammy.PlantList.v01_Jaguar Model - 1CE  (04.13.10)_Fenix_Model__(08.30.10)  Lenders" xfId="3938" xr:uid="{00000000-0005-0000-0000-0000230F0000}"/>
    <cellStyle name="_MIR.ProjectSammy.PlantList.v01_Jaguar Model - 1CE  (04.13.10)_Fenix_Model__(08.30.10)  Lenders_IDC" xfId="3939" xr:uid="{00000000-0005-0000-0000-0000240F0000}"/>
    <cellStyle name="_MIR.ProjectSammy.PlantList.v01_Jaguar Model - 1CE  (04.13.10)_IDC" xfId="3940" xr:uid="{00000000-0005-0000-0000-0000250F0000}"/>
    <cellStyle name="_MIR.ProjectSammy.PlantList.v01_Modelo Egechilca-v28" xfId="3941" xr:uid="{00000000-0005-0000-0000-0000260F0000}"/>
    <cellStyle name="_MIR.ProjectSammy.PlantList.v01_Modelo Egechilca-v28_Fenix_Model__(08.16.10)" xfId="3942" xr:uid="{00000000-0005-0000-0000-0000270F0000}"/>
    <cellStyle name="_MIR.ProjectSammy.PlantList.v01_Modelo Egechilca-v28_Fenix_Model__(08.18.10) Lenders" xfId="3943" xr:uid="{00000000-0005-0000-0000-0000280F0000}"/>
    <cellStyle name="_MIR.ProjectSammy.PlantList.v01_Modelo Egechilca-v28_Fenix_Model__(08.30.10)  Lenders" xfId="3944" xr:uid="{00000000-0005-0000-0000-0000290F0000}"/>
    <cellStyle name="_MIR.ProjectSammy.PlantList.v01_Modelo Egechilca-v28_IDC" xfId="3945" xr:uid="{00000000-0005-0000-0000-00002A0F0000}"/>
    <cellStyle name="_MIR.ProjectSammy.PlantList.v01_Modelo Egechilca-v28_Modelo (Apr10)-v12" xfId="3946" xr:uid="{00000000-0005-0000-0000-00002B0F0000}"/>
    <cellStyle name="_MIR.ProjectSammy.PlantList.v01_Modelo Egechilca-v28_Modelo (Apr10)-v12_Fenix_Model__(08.30.10)  Lenders" xfId="3947" xr:uid="{00000000-0005-0000-0000-00002C0F0000}"/>
    <cellStyle name="_MIR.ProjectSammy.PlantList.v01_Modelo Egechilca-v28_Modelo (Apr10)-v12_Fenix_Model__(08.30.10)  Lenders_IDC" xfId="3948" xr:uid="{00000000-0005-0000-0000-00002D0F0000}"/>
    <cellStyle name="_MIR.ProjectSammy.PlantList.v01_Modelo Egechilca-v28_Modelo (Apr10)-v12_IDC" xfId="3949" xr:uid="{00000000-0005-0000-0000-00002E0F0000}"/>
    <cellStyle name="_MIR.ProjectSammy.PlantList.v01_Modelo Egechilca-v28_Modelo (Oct09)-v8" xfId="3950" xr:uid="{00000000-0005-0000-0000-00002F0F0000}"/>
    <cellStyle name="_MIR.ProjectSammy.PlantList.v01_Modelo Egechilca-v28_Modelo (Oct09)-v8_Fenix_Model__(08.30.10)  Lenders" xfId="3951" xr:uid="{00000000-0005-0000-0000-0000300F0000}"/>
    <cellStyle name="_MIR.ProjectSammy.PlantList.v01_Modelo Egechilca-v28_Modelo (Oct09)-v8_Fenix_Model__(08.30.10)  Lenders_IDC" xfId="3952" xr:uid="{00000000-0005-0000-0000-0000310F0000}"/>
    <cellStyle name="_MIR.ProjectSammy.PlantList.v01_Modelo Egechilca-v28_Modelo (Oct09)-v8_IDC" xfId="3953" xr:uid="{00000000-0005-0000-0000-0000320F0000}"/>
    <cellStyle name="_MIR.ProjectSammy.PlantList.v01_Modelo Egechilca-v28_Modelo_(May10)-v22" xfId="3954" xr:uid="{00000000-0005-0000-0000-0000330F0000}"/>
    <cellStyle name="_Mirant - caribbean asset Val 102506" xfId="3955" xr:uid="{00000000-0005-0000-0000-0000340F0000}"/>
    <cellStyle name="_Mirant Caribbean Summary _111306" xfId="3956" xr:uid="{00000000-0005-0000-0000-0000350F0000}"/>
    <cellStyle name="_Mirant Caribbean Summary _111306_IDC" xfId="3957" xr:uid="{00000000-0005-0000-0000-0000360F0000}"/>
    <cellStyle name="_Mirant Disc Rate Analysis 0205071" xfId="3958" xr:uid="{00000000-0005-0000-0000-0000370F0000}"/>
    <cellStyle name="_Model 9" xfId="3959" xr:uid="{00000000-0005-0000-0000-0000380F0000}"/>
    <cellStyle name="_Modelo Final 2010 LIMTEK" xfId="3960" xr:uid="{00000000-0005-0000-0000-0000390F0000}"/>
    <cellStyle name="_Modelo Final 2010 LIMTEK - Ratios Anualizados" xfId="3961" xr:uid="{00000000-0005-0000-0000-00003A0F0000}"/>
    <cellStyle name="_Modelo Final 2010 LIMTEK - Ratios Anualizados 2" xfId="3962" xr:uid="{00000000-0005-0000-0000-00003B0F0000}"/>
    <cellStyle name="_Modelo Final 2010 LIMTEK - Ratios Anualizados 2 2" xfId="3963" xr:uid="{00000000-0005-0000-0000-00003C0F0000}"/>
    <cellStyle name="_Modelo Final 2010 LIMTEK - Ratios Anualizados 3" xfId="3964" xr:uid="{00000000-0005-0000-0000-00003D0F0000}"/>
    <cellStyle name="_Modelo Final 2010 LIMTEK - Ratios Anualizados 3 2" xfId="3965" xr:uid="{00000000-0005-0000-0000-00003E0F0000}"/>
    <cellStyle name="_Modelo Final 2010 LIMTEK 2" xfId="3966" xr:uid="{00000000-0005-0000-0000-00003F0F0000}"/>
    <cellStyle name="_Modelo Final 2010 LIMTEK 2 2" xfId="3967" xr:uid="{00000000-0005-0000-0000-0000400F0000}"/>
    <cellStyle name="_Modelo Final 2010 LIMTEK 3" xfId="3968" xr:uid="{00000000-0005-0000-0000-0000410F0000}"/>
    <cellStyle name="_Modelo Final 2010 LIMTEK 3 2" xfId="3969" xr:uid="{00000000-0005-0000-0000-0000420F0000}"/>
    <cellStyle name="_Modelo Financiero - ATN - July 2009 - FINAL - July 30 2009" xfId="3970" xr:uid="{00000000-0005-0000-0000-0000430F0000}"/>
    <cellStyle name="_MODELO PALMAS Y SHANUSI 2011-15 7 FEB 2" xfId="3971" xr:uid="{00000000-0005-0000-0000-0000440F0000}"/>
    <cellStyle name="_MODELO PALMAS Y SHANUSI 2011-15 7 FEB 2 2" xfId="3972" xr:uid="{00000000-0005-0000-0000-0000450F0000}"/>
    <cellStyle name="_MODELO PALMAS Y SHANUSI 2011-15 7 FEB 2 2 10" xfId="3973" xr:uid="{00000000-0005-0000-0000-0000460F0000}"/>
    <cellStyle name="_MODELO PALMAS Y SHANUSI 2011-15 7 FEB 2 2 11" xfId="3974" xr:uid="{00000000-0005-0000-0000-0000470F0000}"/>
    <cellStyle name="_MODELO PALMAS Y SHANUSI 2011-15 7 FEB 2 2 12" xfId="3975" xr:uid="{00000000-0005-0000-0000-0000480F0000}"/>
    <cellStyle name="_MODELO PALMAS Y SHANUSI 2011-15 7 FEB 2 2 13" xfId="3976" xr:uid="{00000000-0005-0000-0000-0000490F0000}"/>
    <cellStyle name="_MODELO PALMAS Y SHANUSI 2011-15 7 FEB 2 2 2" xfId="3977" xr:uid="{00000000-0005-0000-0000-00004A0F0000}"/>
    <cellStyle name="_MODELO PALMAS Y SHANUSI 2011-15 7 FEB 2 2 3" xfId="3978" xr:uid="{00000000-0005-0000-0000-00004B0F0000}"/>
    <cellStyle name="_MODELO PALMAS Y SHANUSI 2011-15 7 FEB 2 2 4" xfId="3979" xr:uid="{00000000-0005-0000-0000-00004C0F0000}"/>
    <cellStyle name="_MODELO PALMAS Y SHANUSI 2011-15 7 FEB 2 2 5" xfId="3980" xr:uid="{00000000-0005-0000-0000-00004D0F0000}"/>
    <cellStyle name="_MODELO PALMAS Y SHANUSI 2011-15 7 FEB 2 2 6" xfId="3981" xr:uid="{00000000-0005-0000-0000-00004E0F0000}"/>
    <cellStyle name="_MODELO PALMAS Y SHANUSI 2011-15 7 FEB 2 2 7" xfId="3982" xr:uid="{00000000-0005-0000-0000-00004F0F0000}"/>
    <cellStyle name="_MODELO PALMAS Y SHANUSI 2011-15 7 FEB 2 2 8" xfId="3983" xr:uid="{00000000-0005-0000-0000-0000500F0000}"/>
    <cellStyle name="_MODELO PALMAS Y SHANUSI 2011-15 7 FEB 2 2 9" xfId="3984" xr:uid="{00000000-0005-0000-0000-0000510F0000}"/>
    <cellStyle name="_MODELO PALMAS Y SHANUSI 2011-15 7 FEB 2 3" xfId="3985" xr:uid="{00000000-0005-0000-0000-0000520F0000}"/>
    <cellStyle name="_MODELO PALMAS Y SHANUSI 2011-15 7 FEB 2 3 10" xfId="3986" xr:uid="{00000000-0005-0000-0000-0000530F0000}"/>
    <cellStyle name="_MODELO PALMAS Y SHANUSI 2011-15 7 FEB 2 3 11" xfId="3987" xr:uid="{00000000-0005-0000-0000-0000540F0000}"/>
    <cellStyle name="_MODELO PALMAS Y SHANUSI 2011-15 7 FEB 2 3 12" xfId="3988" xr:uid="{00000000-0005-0000-0000-0000550F0000}"/>
    <cellStyle name="_MODELO PALMAS Y SHANUSI 2011-15 7 FEB 2 3 13" xfId="3989" xr:uid="{00000000-0005-0000-0000-0000560F0000}"/>
    <cellStyle name="_MODELO PALMAS Y SHANUSI 2011-15 7 FEB 2 3 2" xfId="3990" xr:uid="{00000000-0005-0000-0000-0000570F0000}"/>
    <cellStyle name="_MODELO PALMAS Y SHANUSI 2011-15 7 FEB 2 3 3" xfId="3991" xr:uid="{00000000-0005-0000-0000-0000580F0000}"/>
    <cellStyle name="_MODELO PALMAS Y SHANUSI 2011-15 7 FEB 2 3 4" xfId="3992" xr:uid="{00000000-0005-0000-0000-0000590F0000}"/>
    <cellStyle name="_MODELO PALMAS Y SHANUSI 2011-15 7 FEB 2 3 5" xfId="3993" xr:uid="{00000000-0005-0000-0000-00005A0F0000}"/>
    <cellStyle name="_MODELO PALMAS Y SHANUSI 2011-15 7 FEB 2 3 6" xfId="3994" xr:uid="{00000000-0005-0000-0000-00005B0F0000}"/>
    <cellStyle name="_MODELO PALMAS Y SHANUSI 2011-15 7 FEB 2 3 7" xfId="3995" xr:uid="{00000000-0005-0000-0000-00005C0F0000}"/>
    <cellStyle name="_MODELO PALMAS Y SHANUSI 2011-15 7 FEB 2 3 8" xfId="3996" xr:uid="{00000000-0005-0000-0000-00005D0F0000}"/>
    <cellStyle name="_MODELO PALMAS Y SHANUSI 2011-15 7 FEB 2 3 9" xfId="3997" xr:uid="{00000000-0005-0000-0000-00005E0F0000}"/>
    <cellStyle name="_MODELO PALMAS Y SHANUSI 2011-15 7 FEB 2 4" xfId="3998" xr:uid="{00000000-0005-0000-0000-00005F0F0000}"/>
    <cellStyle name="_MODELO PALMAS Y SHANUSI 2011-15 7 FEB 2 4 10" xfId="3999" xr:uid="{00000000-0005-0000-0000-0000600F0000}"/>
    <cellStyle name="_MODELO PALMAS Y SHANUSI 2011-15 7 FEB 2 4 11" xfId="4000" xr:uid="{00000000-0005-0000-0000-0000610F0000}"/>
    <cellStyle name="_MODELO PALMAS Y SHANUSI 2011-15 7 FEB 2 4 12" xfId="4001" xr:uid="{00000000-0005-0000-0000-0000620F0000}"/>
    <cellStyle name="_MODELO PALMAS Y SHANUSI 2011-15 7 FEB 2 4 13" xfId="4002" xr:uid="{00000000-0005-0000-0000-0000630F0000}"/>
    <cellStyle name="_MODELO PALMAS Y SHANUSI 2011-15 7 FEB 2 4 2" xfId="4003" xr:uid="{00000000-0005-0000-0000-0000640F0000}"/>
    <cellStyle name="_MODELO PALMAS Y SHANUSI 2011-15 7 FEB 2 4 3" xfId="4004" xr:uid="{00000000-0005-0000-0000-0000650F0000}"/>
    <cellStyle name="_MODELO PALMAS Y SHANUSI 2011-15 7 FEB 2 4 4" xfId="4005" xr:uid="{00000000-0005-0000-0000-0000660F0000}"/>
    <cellStyle name="_MODELO PALMAS Y SHANUSI 2011-15 7 FEB 2 4 5" xfId="4006" xr:uid="{00000000-0005-0000-0000-0000670F0000}"/>
    <cellStyle name="_MODELO PALMAS Y SHANUSI 2011-15 7 FEB 2 4 6" xfId="4007" xr:uid="{00000000-0005-0000-0000-0000680F0000}"/>
    <cellStyle name="_MODELO PALMAS Y SHANUSI 2011-15 7 FEB 2 4 7" xfId="4008" xr:uid="{00000000-0005-0000-0000-0000690F0000}"/>
    <cellStyle name="_MODELO PALMAS Y SHANUSI 2011-15 7 FEB 2 4 8" xfId="4009" xr:uid="{00000000-0005-0000-0000-00006A0F0000}"/>
    <cellStyle name="_MODELO PALMAS Y SHANUSI 2011-15 7 FEB 2 4 9" xfId="4010" xr:uid="{00000000-0005-0000-0000-00006B0F0000}"/>
    <cellStyle name="_MODELO PALMAS Y SHANUSI 2011-15 7 FEB 2 5" xfId="4011" xr:uid="{00000000-0005-0000-0000-00006C0F0000}"/>
    <cellStyle name="_MODELO PALMAS Y SHANUSI 2011-15 7 FEB 2 5 10" xfId="4012" xr:uid="{00000000-0005-0000-0000-00006D0F0000}"/>
    <cellStyle name="_MODELO PALMAS Y SHANUSI 2011-15 7 FEB 2 5 11" xfId="4013" xr:uid="{00000000-0005-0000-0000-00006E0F0000}"/>
    <cellStyle name="_MODELO PALMAS Y SHANUSI 2011-15 7 FEB 2 5 12" xfId="4014" xr:uid="{00000000-0005-0000-0000-00006F0F0000}"/>
    <cellStyle name="_MODELO PALMAS Y SHANUSI 2011-15 7 FEB 2 5 13" xfId="4015" xr:uid="{00000000-0005-0000-0000-0000700F0000}"/>
    <cellStyle name="_MODELO PALMAS Y SHANUSI 2011-15 7 FEB 2 5 2" xfId="4016" xr:uid="{00000000-0005-0000-0000-0000710F0000}"/>
    <cellStyle name="_MODELO PALMAS Y SHANUSI 2011-15 7 FEB 2 5 3" xfId="4017" xr:uid="{00000000-0005-0000-0000-0000720F0000}"/>
    <cellStyle name="_MODELO PALMAS Y SHANUSI 2011-15 7 FEB 2 5 4" xfId="4018" xr:uid="{00000000-0005-0000-0000-0000730F0000}"/>
    <cellStyle name="_MODELO PALMAS Y SHANUSI 2011-15 7 FEB 2 5 5" xfId="4019" xr:uid="{00000000-0005-0000-0000-0000740F0000}"/>
    <cellStyle name="_MODELO PALMAS Y SHANUSI 2011-15 7 FEB 2 5 6" xfId="4020" xr:uid="{00000000-0005-0000-0000-0000750F0000}"/>
    <cellStyle name="_MODELO PALMAS Y SHANUSI 2011-15 7 FEB 2 5 7" xfId="4021" xr:uid="{00000000-0005-0000-0000-0000760F0000}"/>
    <cellStyle name="_MODELO PALMAS Y SHANUSI 2011-15 7 FEB 2 5 8" xfId="4022" xr:uid="{00000000-0005-0000-0000-0000770F0000}"/>
    <cellStyle name="_MODELO PALMAS Y SHANUSI 2011-15 7 FEB 2 5 9" xfId="4023" xr:uid="{00000000-0005-0000-0000-0000780F0000}"/>
    <cellStyle name="_MODELO PALMAS Y SHANUSI 2011-15 7 FEB 2 6" xfId="4024" xr:uid="{00000000-0005-0000-0000-0000790F0000}"/>
    <cellStyle name="_MODELO PALMAS Y SHANUSI 2011-15 7 FEB 2 6 10" xfId="4025" xr:uid="{00000000-0005-0000-0000-00007A0F0000}"/>
    <cellStyle name="_MODELO PALMAS Y SHANUSI 2011-15 7 FEB 2 6 11" xfId="4026" xr:uid="{00000000-0005-0000-0000-00007B0F0000}"/>
    <cellStyle name="_MODELO PALMAS Y SHANUSI 2011-15 7 FEB 2 6 12" xfId="4027" xr:uid="{00000000-0005-0000-0000-00007C0F0000}"/>
    <cellStyle name="_MODELO PALMAS Y SHANUSI 2011-15 7 FEB 2 6 13" xfId="4028" xr:uid="{00000000-0005-0000-0000-00007D0F0000}"/>
    <cellStyle name="_MODELO PALMAS Y SHANUSI 2011-15 7 FEB 2 6 2" xfId="4029" xr:uid="{00000000-0005-0000-0000-00007E0F0000}"/>
    <cellStyle name="_MODELO PALMAS Y SHANUSI 2011-15 7 FEB 2 6 3" xfId="4030" xr:uid="{00000000-0005-0000-0000-00007F0F0000}"/>
    <cellStyle name="_MODELO PALMAS Y SHANUSI 2011-15 7 FEB 2 6 4" xfId="4031" xr:uid="{00000000-0005-0000-0000-0000800F0000}"/>
    <cellStyle name="_MODELO PALMAS Y SHANUSI 2011-15 7 FEB 2 6 5" xfId="4032" xr:uid="{00000000-0005-0000-0000-0000810F0000}"/>
    <cellStyle name="_MODELO PALMAS Y SHANUSI 2011-15 7 FEB 2 6 6" xfId="4033" xr:uid="{00000000-0005-0000-0000-0000820F0000}"/>
    <cellStyle name="_MODELO PALMAS Y SHANUSI 2011-15 7 FEB 2 6 7" xfId="4034" xr:uid="{00000000-0005-0000-0000-0000830F0000}"/>
    <cellStyle name="_MODELO PALMAS Y SHANUSI 2011-15 7 FEB 2 6 8" xfId="4035" xr:uid="{00000000-0005-0000-0000-0000840F0000}"/>
    <cellStyle name="_MODELO PALMAS Y SHANUSI 2011-15 7 FEB 2 6 9" xfId="4036" xr:uid="{00000000-0005-0000-0000-0000850F0000}"/>
    <cellStyle name="_MODELO PALMAS Y SHANUSI 2011-15 7 FEB 2 7" xfId="4037" xr:uid="{00000000-0005-0000-0000-0000860F0000}"/>
    <cellStyle name="_MODELO PALMAS Y SHANUSI 2011-15 7 FEB 2 7 10" xfId="4038" xr:uid="{00000000-0005-0000-0000-0000870F0000}"/>
    <cellStyle name="_MODELO PALMAS Y SHANUSI 2011-15 7 FEB 2 7 11" xfId="4039" xr:uid="{00000000-0005-0000-0000-0000880F0000}"/>
    <cellStyle name="_MODELO PALMAS Y SHANUSI 2011-15 7 FEB 2 7 12" xfId="4040" xr:uid="{00000000-0005-0000-0000-0000890F0000}"/>
    <cellStyle name="_MODELO PALMAS Y SHANUSI 2011-15 7 FEB 2 7 13" xfId="4041" xr:uid="{00000000-0005-0000-0000-00008A0F0000}"/>
    <cellStyle name="_MODELO PALMAS Y SHANUSI 2011-15 7 FEB 2 7 2" xfId="4042" xr:uid="{00000000-0005-0000-0000-00008B0F0000}"/>
    <cellStyle name="_MODELO PALMAS Y SHANUSI 2011-15 7 FEB 2 7 3" xfId="4043" xr:uid="{00000000-0005-0000-0000-00008C0F0000}"/>
    <cellStyle name="_MODELO PALMAS Y SHANUSI 2011-15 7 FEB 2 7 4" xfId="4044" xr:uid="{00000000-0005-0000-0000-00008D0F0000}"/>
    <cellStyle name="_MODELO PALMAS Y SHANUSI 2011-15 7 FEB 2 7 5" xfId="4045" xr:uid="{00000000-0005-0000-0000-00008E0F0000}"/>
    <cellStyle name="_MODELO PALMAS Y SHANUSI 2011-15 7 FEB 2 7 6" xfId="4046" xr:uid="{00000000-0005-0000-0000-00008F0F0000}"/>
    <cellStyle name="_MODELO PALMAS Y SHANUSI 2011-15 7 FEB 2 7 7" xfId="4047" xr:uid="{00000000-0005-0000-0000-0000900F0000}"/>
    <cellStyle name="_MODELO PALMAS Y SHANUSI 2011-15 7 FEB 2 7 8" xfId="4048" xr:uid="{00000000-0005-0000-0000-0000910F0000}"/>
    <cellStyle name="_MODELO PALMAS Y SHANUSI 2011-15 7 FEB 2 7 9" xfId="4049" xr:uid="{00000000-0005-0000-0000-0000920F0000}"/>
    <cellStyle name="_MODELO PALMAS Y SHANUSI 2011-15 7 FEB 2 8" xfId="4050" xr:uid="{00000000-0005-0000-0000-0000930F0000}"/>
    <cellStyle name="_MODELO PALMAS Y SHANUSI 2011-15 7 FEB 2 8 10" xfId="4051" xr:uid="{00000000-0005-0000-0000-0000940F0000}"/>
    <cellStyle name="_MODELO PALMAS Y SHANUSI 2011-15 7 FEB 2 8 11" xfId="4052" xr:uid="{00000000-0005-0000-0000-0000950F0000}"/>
    <cellStyle name="_MODELO PALMAS Y SHANUSI 2011-15 7 FEB 2 8 12" xfId="4053" xr:uid="{00000000-0005-0000-0000-0000960F0000}"/>
    <cellStyle name="_MODELO PALMAS Y SHANUSI 2011-15 7 FEB 2 8 13" xfId="4054" xr:uid="{00000000-0005-0000-0000-0000970F0000}"/>
    <cellStyle name="_MODELO PALMAS Y SHANUSI 2011-15 7 FEB 2 8 2" xfId="4055" xr:uid="{00000000-0005-0000-0000-0000980F0000}"/>
    <cellStyle name="_MODELO PALMAS Y SHANUSI 2011-15 7 FEB 2 8 3" xfId="4056" xr:uid="{00000000-0005-0000-0000-0000990F0000}"/>
    <cellStyle name="_MODELO PALMAS Y SHANUSI 2011-15 7 FEB 2 8 4" xfId="4057" xr:uid="{00000000-0005-0000-0000-00009A0F0000}"/>
    <cellStyle name="_MODELO PALMAS Y SHANUSI 2011-15 7 FEB 2 8 5" xfId="4058" xr:uid="{00000000-0005-0000-0000-00009B0F0000}"/>
    <cellStyle name="_MODELO PALMAS Y SHANUSI 2011-15 7 FEB 2 8 6" xfId="4059" xr:uid="{00000000-0005-0000-0000-00009C0F0000}"/>
    <cellStyle name="_MODELO PALMAS Y SHANUSI 2011-15 7 FEB 2 8 7" xfId="4060" xr:uid="{00000000-0005-0000-0000-00009D0F0000}"/>
    <cellStyle name="_MODELO PALMAS Y SHANUSI 2011-15 7 FEB 2 8 8" xfId="4061" xr:uid="{00000000-0005-0000-0000-00009E0F0000}"/>
    <cellStyle name="_MODELO PALMAS Y SHANUSI 2011-15 7 FEB 2 8 9" xfId="4062" xr:uid="{00000000-0005-0000-0000-00009F0F0000}"/>
    <cellStyle name="_Modelo RT 2010 4° Revisión - Ratios anualizados" xfId="4063" xr:uid="{00000000-0005-0000-0000-0000A00F0000}"/>
    <cellStyle name="_Modelo RT 2010 4° Revisión - Ratios anualizados 2" xfId="4064" xr:uid="{00000000-0005-0000-0000-0000A10F0000}"/>
    <cellStyle name="_Modelo RT 2010 4° Revisión - Ratios anualizados 2 2" xfId="4065" xr:uid="{00000000-0005-0000-0000-0000A20F0000}"/>
    <cellStyle name="_Modelo RT 2010 4° Revisión - Ratios anualizados 3" xfId="4066" xr:uid="{00000000-0005-0000-0000-0000A30F0000}"/>
    <cellStyle name="_Modelo RT 2010 4° Revisión - Ratios anualizados 3 2" xfId="4067" xr:uid="{00000000-0005-0000-0000-0000A40F0000}"/>
    <cellStyle name="_Modelo_Fcst75" xfId="4068" xr:uid="{00000000-0005-0000-0000-0000A50F0000}"/>
    <cellStyle name="_Movimiento de ACT FIJO" xfId="4069" xr:uid="{00000000-0005-0000-0000-0000A60F0000}"/>
    <cellStyle name="_Multiple" xfId="4070" xr:uid="{00000000-0005-0000-0000-0000A70F0000}"/>
    <cellStyle name="_Multiple 2" xfId="4071" xr:uid="{00000000-0005-0000-0000-0000A80F0000}"/>
    <cellStyle name="_MultipleSpace" xfId="4072" xr:uid="{00000000-0005-0000-0000-0000A90F0000}"/>
    <cellStyle name="_Ne00" xfId="4073" xr:uid="{00000000-0005-0000-0000-0000AA0F0000}"/>
    <cellStyle name="_Netvision final 1" xfId="4074" xr:uid="{00000000-0005-0000-0000-0000AB0F0000}"/>
    <cellStyle name="_OBRAS_normandia" xfId="4075" xr:uid="{00000000-0005-0000-0000-0000AC0F0000}"/>
    <cellStyle name="_Oficial Mexico Escala JPS (2008 Homologada)" xfId="4076" xr:uid="{00000000-0005-0000-0000-0000AD0F0000}"/>
    <cellStyle name="_Oficial Mexico Escala JPS (2008 Homologada) 2" xfId="4077" xr:uid="{00000000-0005-0000-0000-0000AE0F0000}"/>
    <cellStyle name="_Oficial Mexico Escala JPS (2008 Homologada) 3" xfId="4078" xr:uid="{00000000-0005-0000-0000-0000AF0F0000}"/>
    <cellStyle name="_Operac Vinculadas" xfId="4079" xr:uid="{00000000-0005-0000-0000-0000B00F0000}"/>
    <cellStyle name="_OPEX 2005" xfId="4080" xr:uid="{00000000-0005-0000-0000-0000B10F0000}"/>
    <cellStyle name="_Output" xfId="4081" xr:uid="{00000000-0005-0000-0000-0000B20F0000}"/>
    <cellStyle name="_P&amp;L 2005 NUEVA ESTRUCTvfinal" xfId="4082" xr:uid="{00000000-0005-0000-0000-0000B30F0000}"/>
    <cellStyle name="_P&amp;L Comercial 2005" xfId="4083" xr:uid="{00000000-0005-0000-0000-0000B40F0000}"/>
    <cellStyle name="_P&amp;L Enero-Febrero 2005 nuevo formato" xfId="4084" xr:uid="{00000000-0005-0000-0000-0000B50F0000}"/>
    <cellStyle name="_Palm_Valuation v30" xfId="4085" xr:uid="{00000000-0005-0000-0000-0000B60F0000}"/>
    <cellStyle name="_Palm_Valuation v30_IDC" xfId="4086" xr:uid="{00000000-0005-0000-0000-0000B70F0000}"/>
    <cellStyle name="_Para grupo ransa" xfId="4087" xr:uid="{00000000-0005-0000-0000-0000B80F0000}"/>
    <cellStyle name="_Parent level detailed G&amp;A" xfId="4088" xr:uid="{00000000-0005-0000-0000-0000B90F0000}"/>
    <cellStyle name="_Parent level detailed G&amp;A_Jaguar Model - 1CE  (04.13.10)" xfId="4089" xr:uid="{00000000-0005-0000-0000-0000BA0F0000}"/>
    <cellStyle name="_Parent level detailed G&amp;A_Jaguar Model - 1CE  (04.13.10)_Fenix_Model__(08.30.10)  Lenders" xfId="4090" xr:uid="{00000000-0005-0000-0000-0000BB0F0000}"/>
    <cellStyle name="_Parent level detailed G&amp;A_Jaguar Model - 1CE  (04.13.10)_Fenix_Model__(08.30.10)  Lenders_IDC" xfId="4091" xr:uid="{00000000-0005-0000-0000-0000BC0F0000}"/>
    <cellStyle name="_Parent level detailed G&amp;A_Jaguar Model - 1CE  (04.13.10)_IDC" xfId="4092" xr:uid="{00000000-0005-0000-0000-0000BD0F0000}"/>
    <cellStyle name="_Parent level detailed G&amp;A_Modelo Egechilca-v28" xfId="4093" xr:uid="{00000000-0005-0000-0000-0000BE0F0000}"/>
    <cellStyle name="_Parent level detailed G&amp;A_Modelo Egechilca-v28_Fenix_Model__(08.16.10)" xfId="4094" xr:uid="{00000000-0005-0000-0000-0000BF0F0000}"/>
    <cellStyle name="_Parent level detailed G&amp;A_Modelo Egechilca-v28_Fenix_Model__(08.18.10) Lenders" xfId="4095" xr:uid="{00000000-0005-0000-0000-0000C00F0000}"/>
    <cellStyle name="_Parent level detailed G&amp;A_Modelo Egechilca-v28_Fenix_Model__(08.30.10)  Lenders" xfId="4096" xr:uid="{00000000-0005-0000-0000-0000C10F0000}"/>
    <cellStyle name="_Parent level detailed G&amp;A_Modelo Egechilca-v28_IDC" xfId="4097" xr:uid="{00000000-0005-0000-0000-0000C20F0000}"/>
    <cellStyle name="_Parent level detailed G&amp;A_Modelo Egechilca-v28_Modelo (Apr10)-v12" xfId="4098" xr:uid="{00000000-0005-0000-0000-0000C30F0000}"/>
    <cellStyle name="_Parent level detailed G&amp;A_Modelo Egechilca-v28_Modelo (Apr10)-v12_Fenix_Model__(08.30.10)  Lenders" xfId="4099" xr:uid="{00000000-0005-0000-0000-0000C40F0000}"/>
    <cellStyle name="_Parent level detailed G&amp;A_Modelo Egechilca-v28_Modelo (Apr10)-v12_Fenix_Model__(08.30.10)  Lenders_IDC" xfId="4100" xr:uid="{00000000-0005-0000-0000-0000C50F0000}"/>
    <cellStyle name="_Parent level detailed G&amp;A_Modelo Egechilca-v28_Modelo (Apr10)-v12_IDC" xfId="4101" xr:uid="{00000000-0005-0000-0000-0000C60F0000}"/>
    <cellStyle name="_Parent level detailed G&amp;A_Modelo Egechilca-v28_Modelo (Oct09)-v8" xfId="4102" xr:uid="{00000000-0005-0000-0000-0000C70F0000}"/>
    <cellStyle name="_Parent level detailed G&amp;A_Modelo Egechilca-v28_Modelo (Oct09)-v8_Fenix_Model__(08.30.10)  Lenders" xfId="4103" xr:uid="{00000000-0005-0000-0000-0000C80F0000}"/>
    <cellStyle name="_Parent level detailed G&amp;A_Modelo Egechilca-v28_Modelo (Oct09)-v8_Fenix_Model__(08.30.10)  Lenders_IDC" xfId="4104" xr:uid="{00000000-0005-0000-0000-0000C90F0000}"/>
    <cellStyle name="_Parent level detailed G&amp;A_Modelo Egechilca-v28_Modelo (Oct09)-v8_IDC" xfId="4105" xr:uid="{00000000-0005-0000-0000-0000CA0F0000}"/>
    <cellStyle name="_Parent level detailed G&amp;A_Modelo Egechilca-v28_Modelo_(May10)-v22" xfId="4106" xr:uid="{00000000-0005-0000-0000-0000CB0F0000}"/>
    <cellStyle name="_PD Dic 10 Minka" xfId="4107" xr:uid="{00000000-0005-0000-0000-0000CC0F0000}"/>
    <cellStyle name="_PD NOV 2010 MINKA" xfId="4108" xr:uid="{00000000-0005-0000-0000-0000CD0F0000}"/>
    <cellStyle name="_Pensión Empresa Simulador Feb09 V1" xfId="4109" xr:uid="{00000000-0005-0000-0000-0000CE0F0000}"/>
    <cellStyle name="_Pensión Empresa Simulador Feb09 V1 2" xfId="4110" xr:uid="{00000000-0005-0000-0000-0000CF0F0000}"/>
    <cellStyle name="_Pensión Empresa Simulador Feb09 V1 3" xfId="4111" xr:uid="{00000000-0005-0000-0000-0000D00F0000}"/>
    <cellStyle name="_Percent" xfId="4112" xr:uid="{00000000-0005-0000-0000-0000D10F0000}"/>
    <cellStyle name="_Percent 2" xfId="4113" xr:uid="{00000000-0005-0000-0000-0000D20F0000}"/>
    <cellStyle name="_PERSONAL" xfId="4114" xr:uid="{00000000-0005-0000-0000-0000D30F0000}"/>
    <cellStyle name="_PL 2005 enero - marzol" xfId="4115" xr:uid="{00000000-0005-0000-0000-0000D40F0000}"/>
    <cellStyle name="_PL 2005 NUEVA ESTRUCTvfinal" xfId="4116" xr:uid="{00000000-0005-0000-0000-0000D50F0000}"/>
    <cellStyle name="_PL abril 2005" xfId="4117" xr:uid="{00000000-0005-0000-0000-0000D60F0000}"/>
    <cellStyle name="_PL Junio 2005" xfId="4118" xr:uid="{00000000-0005-0000-0000-0000D70F0000}"/>
    <cellStyle name="_PL Mayo 2005" xfId="4119" xr:uid="{00000000-0005-0000-0000-0000D80F0000}"/>
    <cellStyle name="_PL,Market,Traffic" xfId="4120" xr:uid="{00000000-0005-0000-0000-0000D90F0000}"/>
    <cellStyle name="_POS_DEU_MINKA OCTUBRE 2010" xfId="4121" xr:uid="{00000000-0005-0000-0000-0000DA0F0000}"/>
    <cellStyle name="_Powergen Model 020107" xfId="4122" xr:uid="{00000000-0005-0000-0000-0000DB0F0000}"/>
    <cellStyle name="_Powergen Model 020107_IDC" xfId="4123" xr:uid="{00000000-0005-0000-0000-0000DC0F0000}"/>
    <cellStyle name="_PPA Elster Group - SAP 25 G. Kromschröder AG" xfId="4124" xr:uid="{00000000-0005-0000-0000-0000DD0F0000}"/>
    <cellStyle name="_PPA H.C. Starck databook 07_05_22_1400" xfId="4125" xr:uid="{00000000-0005-0000-0000-0000DE0F0000}"/>
    <cellStyle name="_PPA H.C. Starck databook 07_05_22_1400 2" xfId="4126" xr:uid="{00000000-0005-0000-0000-0000DF0F0000}"/>
    <cellStyle name="_PPA H.C. Starck databook 07_06_05_1400" xfId="4127" xr:uid="{00000000-0005-0000-0000-0000E00F0000}"/>
    <cellStyle name="_PPA H.C. Starck databook 07_06_05_1400 2" xfId="4128" xr:uid="{00000000-0005-0000-0000-0000E10F0000}"/>
    <cellStyle name="_PPA H.C. Starck databook 07_06_14_1400" xfId="4129" xr:uid="{00000000-0005-0000-0000-0000E20F0000}"/>
    <cellStyle name="_PPA H.C. Starck databook 07_06_14_1400 2" xfId="4130" xr:uid="{00000000-0005-0000-0000-0000E30F0000}"/>
    <cellStyle name="_PPA H.C. Starck databook 07_06_20" xfId="4131" xr:uid="{00000000-0005-0000-0000-0000E40F0000}"/>
    <cellStyle name="_PPA H.C. Starck databook 07_06_20 2" xfId="4132" xr:uid="{00000000-0005-0000-0000-0000E50F0000}"/>
    <cellStyle name="_PPA HCST - Valuation IPRnD" xfId="4133" xr:uid="{00000000-0005-0000-0000-0000E60F0000}"/>
    <cellStyle name="_PPA HCST - Valuation IPRnD 2" xfId="4134" xr:uid="{00000000-0005-0000-0000-0000E70F0000}"/>
    <cellStyle name="_PPA HCST - Valuation of intangibles - CST_15.06.07_1400" xfId="4135" xr:uid="{00000000-0005-0000-0000-0000E80F0000}"/>
    <cellStyle name="_PPA HCST - Valuation of intangibles - HMC_26.06.07" xfId="4136" xr:uid="{00000000-0005-0000-0000-0000E90F0000}"/>
    <cellStyle name="_PPA HCST Gruppe_Bewertung Rohstoffe 04.07.07" xfId="4137" xr:uid="{00000000-0005-0000-0000-0000EA0F0000}"/>
    <cellStyle name="_PPA Model_LL_v4" xfId="4138" xr:uid="{00000000-0005-0000-0000-0000EB0F0000}"/>
    <cellStyle name="_PPA-Delta-Backlog" xfId="4139" xr:uid="{00000000-0005-0000-0000-0000EC0F0000}"/>
    <cellStyle name="_Presentación Directorio COGESA Marzo - Obligatorias" xfId="4140" xr:uid="{00000000-0005-0000-0000-0000ED0F0000}"/>
    <cellStyle name="_Presentación Directorio COGESA Marzo - Obligatorias 2" xfId="4141" xr:uid="{00000000-0005-0000-0000-0000EE0F0000}"/>
    <cellStyle name="_Presentación Directorio COGESA Marzo - Obligatorias 2 2" xfId="4142" xr:uid="{00000000-0005-0000-0000-0000EF0F0000}"/>
    <cellStyle name="_Presentación Directorio COGESA Marzo - Obligatorias 3" xfId="4143" xr:uid="{00000000-0005-0000-0000-0000F00F0000}"/>
    <cellStyle name="_Presentación Directorio COGESA Marzo - Obligatorias 3 2" xfId="4144" xr:uid="{00000000-0005-0000-0000-0000F10F0000}"/>
    <cellStyle name="_presupuesto 2011 PE+IE 2" xfId="4145" xr:uid="{00000000-0005-0000-0000-0000F20F0000}"/>
    <cellStyle name="_PRIMAX - FC ENE 10" xfId="4146" xr:uid="{00000000-0005-0000-0000-0000F30F0000}"/>
    <cellStyle name="_PRIMAX - FC ENE 10 2" xfId="4147" xr:uid="{00000000-0005-0000-0000-0000F40F0000}"/>
    <cellStyle name="_PRIMAX - FC ENE 10 2 2" xfId="4148" xr:uid="{00000000-0005-0000-0000-0000F50F0000}"/>
    <cellStyle name="_PRIMAX - FC ENE 10 3" xfId="4149" xr:uid="{00000000-0005-0000-0000-0000F60F0000}"/>
    <cellStyle name="_Propuesta Económica FC (05-2008) IMSA v2" xfId="4150" xr:uid="{00000000-0005-0000-0000-0000F70F0000}"/>
    <cellStyle name="_Propuesta Económica FC (05-2008) IMSA v2 2" xfId="4151" xr:uid="{00000000-0005-0000-0000-0000F80F0000}"/>
    <cellStyle name="_Propuesta Económica FC (05-2008) IMSA v2 3" xfId="4152" xr:uid="{00000000-0005-0000-0000-0000F90F0000}"/>
    <cellStyle name="_Provisiones de RED a julio 2007_EN" xfId="4153" xr:uid="{00000000-0005-0000-0000-0000FA0F0000}"/>
    <cellStyle name="_Proyeccion Altas" xfId="4154" xr:uid="{00000000-0005-0000-0000-0000FB0F0000}"/>
    <cellStyle name="_Proyeccion Comisiones" xfId="4155" xr:uid="{00000000-0005-0000-0000-0000FC0F0000}"/>
    <cellStyle name="_Proyecciones 2008" xfId="4156" xr:uid="{00000000-0005-0000-0000-0000FD0F0000}"/>
    <cellStyle name="_Proyecciones y ratios 2008-ene-25" xfId="4157" xr:uid="{00000000-0005-0000-0000-0000FE0F0000}"/>
    <cellStyle name="_Pulpo 01.30.07 v.2" xfId="4158" xr:uid="{00000000-0005-0000-0000-0000FF0F0000}"/>
    <cellStyle name="_Puntos de Venta" xfId="4159" xr:uid="{00000000-0005-0000-0000-000000100000}"/>
    <cellStyle name="_RangeData" xfId="4160" xr:uid="{00000000-0005-0000-0000-000001100000}"/>
    <cellStyle name="_RangeData_Apple_CMD Model_31 Aug 2010" xfId="4161" xr:uid="{00000000-0005-0000-0000-000002100000}"/>
    <cellStyle name="_RangeData_BU valuation" xfId="4162" xr:uid="{00000000-0005-0000-0000-000003100000}"/>
    <cellStyle name="_RangeData_CMD Model 2010 v5_13" xfId="4163" xr:uid="{00000000-0005-0000-0000-000004100000}"/>
    <cellStyle name="_RangeData_Multiples template" xfId="4164" xr:uid="{00000000-0005-0000-0000-000005100000}"/>
    <cellStyle name="_RangeData_TRS Dec" xfId="4165" xr:uid="{00000000-0005-0000-0000-000006100000}"/>
    <cellStyle name="_RangeData_Valuation" xfId="4166" xr:uid="{00000000-0005-0000-0000-000007100000}"/>
    <cellStyle name="_RangeData_VendorData" xfId="4167" xr:uid="{00000000-0005-0000-0000-000008100000}"/>
    <cellStyle name="_REAL VS PRESUPUESTO GP 2006" xfId="4168" xr:uid="{00000000-0005-0000-0000-000009100000}"/>
    <cellStyle name="_Recarga ene-ago 2005" xfId="4169" xr:uid="{00000000-0005-0000-0000-00000A100000}"/>
    <cellStyle name="_Red" xfId="4170" xr:uid="{00000000-0005-0000-0000-00000B100000}"/>
    <cellStyle name="_Reporte de Comisiones y penalidades-ENE - ABRIL 08" xfId="4171" xr:uid="{00000000-0005-0000-0000-00000C100000}"/>
    <cellStyle name="_Resumen" xfId="4172" xr:uid="{00000000-0005-0000-0000-00000D100000}"/>
    <cellStyle name="_Revisión Capex Red Rev 24AGO06 (12)" xfId="4173" xr:uid="{00000000-0005-0000-0000-00000E100000}"/>
    <cellStyle name="_Row1" xfId="4174" xr:uid="{00000000-0005-0000-0000-00000F100000}"/>
    <cellStyle name="_Row1 2" xfId="4175" xr:uid="{00000000-0005-0000-0000-000010100000}"/>
    <cellStyle name="_Row1_CF" xfId="4176" xr:uid="{00000000-0005-0000-0000-000011100000}"/>
    <cellStyle name="_Row1_IDC" xfId="4177" xr:uid="{00000000-0005-0000-0000-000012100000}"/>
    <cellStyle name="_Row1_MDI Quartale" xfId="4178" xr:uid="{00000000-0005-0000-0000-000013100000}"/>
    <cellStyle name="_Row1_PPA HCST - Valuation IPRnD" xfId="4179" xr:uid="{00000000-0005-0000-0000-000014100000}"/>
    <cellStyle name="_Row1_PPA HCST - Valuation IPRnD 2" xfId="4180" xr:uid="{00000000-0005-0000-0000-000015100000}"/>
    <cellStyle name="_Row1_Quartale" xfId="4181" xr:uid="{00000000-0005-0000-0000-000016100000}"/>
    <cellStyle name="_Row1_SP_Konsmassnahmen in CF und IW 06_2000 UR" xfId="4182" xr:uid="{00000000-0005-0000-0000-000017100000}"/>
    <cellStyle name="_Row1_Sunshine Apr 09 Reporting_(Hyp)" xfId="4183" xr:uid="{00000000-0005-0000-0000-000018100000}"/>
    <cellStyle name="_Row2" xfId="4184" xr:uid="{00000000-0005-0000-0000-000019100000}"/>
    <cellStyle name="_Row2_CF" xfId="4185" xr:uid="{00000000-0005-0000-0000-00001A100000}"/>
    <cellStyle name="_Row2_MDI Quartale" xfId="4186" xr:uid="{00000000-0005-0000-0000-00001B100000}"/>
    <cellStyle name="_Row2_PPA HCST - Valuation IPRnD" xfId="4187" xr:uid="{00000000-0005-0000-0000-00001C100000}"/>
    <cellStyle name="_Row2_Quartale" xfId="4188" xr:uid="{00000000-0005-0000-0000-00001D100000}"/>
    <cellStyle name="_Row3" xfId="4189" xr:uid="{00000000-0005-0000-0000-00001E100000}"/>
    <cellStyle name="_Row3_CF" xfId="4190" xr:uid="{00000000-0005-0000-0000-00001F100000}"/>
    <cellStyle name="_Row3_MDI Quartale" xfId="4191" xr:uid="{00000000-0005-0000-0000-000020100000}"/>
    <cellStyle name="_Row3_PPA HCST - Valuation IPRnD" xfId="4192" xr:uid="{00000000-0005-0000-0000-000021100000}"/>
    <cellStyle name="_Row3_Quartale" xfId="4193" xr:uid="{00000000-0005-0000-0000-000022100000}"/>
    <cellStyle name="_Row4" xfId="4194" xr:uid="{00000000-0005-0000-0000-000023100000}"/>
    <cellStyle name="_Row4_CF" xfId="4195" xr:uid="{00000000-0005-0000-0000-000024100000}"/>
    <cellStyle name="_Row4_MDI Quartale" xfId="4196" xr:uid="{00000000-0005-0000-0000-000025100000}"/>
    <cellStyle name="_Row4_PPA HCST - Valuation IPRnD" xfId="4197" xr:uid="{00000000-0005-0000-0000-000026100000}"/>
    <cellStyle name="_Row4_PPA HCST - Valuation IPRnD 2" xfId="4198" xr:uid="{00000000-0005-0000-0000-000027100000}"/>
    <cellStyle name="_Row4_Quartale" xfId="4199" xr:uid="{00000000-0005-0000-0000-000028100000}"/>
    <cellStyle name="_Row5" xfId="4200" xr:uid="{00000000-0005-0000-0000-000029100000}"/>
    <cellStyle name="_Row5_CF" xfId="4201" xr:uid="{00000000-0005-0000-0000-00002A100000}"/>
    <cellStyle name="_Row5_MDI Quartale" xfId="4202" xr:uid="{00000000-0005-0000-0000-00002B100000}"/>
    <cellStyle name="_Row5_PPA HCST - Valuation IPRnD" xfId="4203" xr:uid="{00000000-0005-0000-0000-00002C100000}"/>
    <cellStyle name="_Row5_Quartale" xfId="4204" xr:uid="{00000000-0005-0000-0000-00002D100000}"/>
    <cellStyle name="_Row6" xfId="4205" xr:uid="{00000000-0005-0000-0000-00002E100000}"/>
    <cellStyle name="_Row6_CF" xfId="4206" xr:uid="{00000000-0005-0000-0000-00002F100000}"/>
    <cellStyle name="_Row6_MDI Quartale" xfId="4207" xr:uid="{00000000-0005-0000-0000-000030100000}"/>
    <cellStyle name="_Row6_PPA HCST - Valuation IPRnD" xfId="4208" xr:uid="{00000000-0005-0000-0000-000031100000}"/>
    <cellStyle name="_Row6_Quartale" xfId="4209" xr:uid="{00000000-0005-0000-0000-000032100000}"/>
    <cellStyle name="_Row7" xfId="4210" xr:uid="{00000000-0005-0000-0000-000033100000}"/>
    <cellStyle name="_Row7_Fenix_Model__(08.16.10)" xfId="4211" xr:uid="{00000000-0005-0000-0000-000034100000}"/>
    <cellStyle name="_Row7_Fenix_Model__(08.18.10) Lenders" xfId="4212" xr:uid="{00000000-0005-0000-0000-000035100000}"/>
    <cellStyle name="_Row7_Fenix_Model__(08.30.10)  Lenders" xfId="4213" xr:uid="{00000000-0005-0000-0000-000036100000}"/>
    <cellStyle name="_Row7_IDC" xfId="4214" xr:uid="{00000000-0005-0000-0000-000037100000}"/>
    <cellStyle name="_Row7_Jaguar Model - 1CE  (04.13.10)" xfId="4215" xr:uid="{00000000-0005-0000-0000-000038100000}"/>
    <cellStyle name="_Row7_Modelo (Apr10)-v12" xfId="4216" xr:uid="{00000000-0005-0000-0000-000039100000}"/>
    <cellStyle name="_Row7_Modelo (Oct09)-v8" xfId="4217" xr:uid="{00000000-0005-0000-0000-00003A100000}"/>
    <cellStyle name="_Row7_Modelo Egechilca-v28" xfId="4218" xr:uid="{00000000-0005-0000-0000-00003B100000}"/>
    <cellStyle name="_Row7_Modelo_(May10)-v22" xfId="4219" xr:uid="{00000000-0005-0000-0000-00003C100000}"/>
    <cellStyle name="_Row7_PPA HCST - Valuation IPRnD" xfId="4220" xr:uid="{00000000-0005-0000-0000-00003D100000}"/>
    <cellStyle name="_Row7_Tax Plan Model Fenix" xfId="4221" xr:uid="{00000000-0005-0000-0000-00003E100000}"/>
    <cellStyle name="_Se00" xfId="4222" xr:uid="{00000000-0005-0000-0000-00003F100000}"/>
    <cellStyle name="_Se00 2" xfId="4223" xr:uid="{00000000-0005-0000-0000-000040100000}"/>
    <cellStyle name="_SEGUROS_201003" xfId="4224" xr:uid="{00000000-0005-0000-0000-000041100000}"/>
    <cellStyle name="_SEGUROS_201009" xfId="4225" xr:uid="{00000000-0005-0000-0000-000042100000}"/>
    <cellStyle name="_Sell in abril" xfId="4226" xr:uid="{00000000-0005-0000-0000-000043100000}"/>
    <cellStyle name="_Sell in marzo" xfId="4227" xr:uid="{00000000-0005-0000-0000-000044100000}"/>
    <cellStyle name="_SITEL Abril 2010" xfId="4228" xr:uid="{00000000-0005-0000-0000-000045100000}"/>
    <cellStyle name="_SITEL Diciembre 2010" xfId="4229" xr:uid="{00000000-0005-0000-0000-000046100000}"/>
    <cellStyle name="_SITEL Junio 2010" xfId="4230" xr:uid="{00000000-0005-0000-0000-000047100000}"/>
    <cellStyle name="_SITEL Marzo 2010" xfId="4231" xr:uid="{00000000-0005-0000-0000-000048100000}"/>
    <cellStyle name="_SITEL Mayo 2010" xfId="4232" xr:uid="{00000000-0005-0000-0000-000049100000}"/>
    <cellStyle name="_SITEL Noviembre 2010" xfId="4233" xr:uid="{00000000-0005-0000-0000-00004A100000}"/>
    <cellStyle name="_SITEL Octubre 2010" xfId="4234" xr:uid="{00000000-0005-0000-0000-00004B100000}"/>
    <cellStyle name="_SITEL Septiembre 2010" xfId="4235" xr:uid="{00000000-0005-0000-0000-00004C100000}"/>
    <cellStyle name="_SubHeading" xfId="4236" xr:uid="{00000000-0005-0000-0000-00004D100000}"/>
    <cellStyle name="_Subsidio sell in enero" xfId="4237" xr:uid="{00000000-0005-0000-0000-00004E100000}"/>
    <cellStyle name="_Subsidio sell in febrero TODO" xfId="4238" xr:uid="{00000000-0005-0000-0000-00004F100000}"/>
    <cellStyle name="_Tablas de Jubilacion V2" xfId="4239" xr:uid="{00000000-0005-0000-0000-000050100000}"/>
    <cellStyle name="_Tablas de Jubilacion V2 2" xfId="4240" xr:uid="{00000000-0005-0000-0000-000051100000}"/>
    <cellStyle name="_Tablas de Jubilacion V2 3" xfId="4241" xr:uid="{00000000-0005-0000-0000-000052100000}"/>
    <cellStyle name="_Table" xfId="4242" xr:uid="{00000000-0005-0000-0000-000053100000}"/>
    <cellStyle name="_Table 10" xfId="4243" xr:uid="{00000000-0005-0000-0000-000054100000}"/>
    <cellStyle name="_Table 10 10" xfId="4244" xr:uid="{00000000-0005-0000-0000-000055100000}"/>
    <cellStyle name="_Table 10 11" xfId="4245" xr:uid="{00000000-0005-0000-0000-000056100000}"/>
    <cellStyle name="_Table 10 12" xfId="4246" xr:uid="{00000000-0005-0000-0000-000057100000}"/>
    <cellStyle name="_Table 10 13" xfId="4247" xr:uid="{00000000-0005-0000-0000-000058100000}"/>
    <cellStyle name="_Table 10 2" xfId="4248" xr:uid="{00000000-0005-0000-0000-000059100000}"/>
    <cellStyle name="_Table 10 2 10" xfId="4249" xr:uid="{00000000-0005-0000-0000-00005A100000}"/>
    <cellStyle name="_Table 10 2 11" xfId="4250" xr:uid="{00000000-0005-0000-0000-00005B100000}"/>
    <cellStyle name="_Table 10 2 12" xfId="4251" xr:uid="{00000000-0005-0000-0000-00005C100000}"/>
    <cellStyle name="_Table 10 2 2" xfId="4252" xr:uid="{00000000-0005-0000-0000-00005D100000}"/>
    <cellStyle name="_Table 10 2 2 10" xfId="4253" xr:uid="{00000000-0005-0000-0000-00005E100000}"/>
    <cellStyle name="_Table 10 2 2 2" xfId="4254" xr:uid="{00000000-0005-0000-0000-00005F100000}"/>
    <cellStyle name="_Table 10 2 2 3" xfId="4255" xr:uid="{00000000-0005-0000-0000-000060100000}"/>
    <cellStyle name="_Table 10 2 2 4" xfId="4256" xr:uid="{00000000-0005-0000-0000-000061100000}"/>
    <cellStyle name="_Table 10 2 2 5" xfId="4257" xr:uid="{00000000-0005-0000-0000-000062100000}"/>
    <cellStyle name="_Table 10 2 2 6" xfId="4258" xr:uid="{00000000-0005-0000-0000-000063100000}"/>
    <cellStyle name="_Table 10 2 2 7" xfId="4259" xr:uid="{00000000-0005-0000-0000-000064100000}"/>
    <cellStyle name="_Table 10 2 2 8" xfId="4260" xr:uid="{00000000-0005-0000-0000-000065100000}"/>
    <cellStyle name="_Table 10 2 2 9" xfId="4261" xr:uid="{00000000-0005-0000-0000-000066100000}"/>
    <cellStyle name="_Table 10 2 3" xfId="4262" xr:uid="{00000000-0005-0000-0000-000067100000}"/>
    <cellStyle name="_Table 10 2 4" xfId="4263" xr:uid="{00000000-0005-0000-0000-000068100000}"/>
    <cellStyle name="_Table 10 2 5" xfId="4264" xr:uid="{00000000-0005-0000-0000-000069100000}"/>
    <cellStyle name="_Table 10 2 6" xfId="4265" xr:uid="{00000000-0005-0000-0000-00006A100000}"/>
    <cellStyle name="_Table 10 2 7" xfId="4266" xr:uid="{00000000-0005-0000-0000-00006B100000}"/>
    <cellStyle name="_Table 10 2 8" xfId="4267" xr:uid="{00000000-0005-0000-0000-00006C100000}"/>
    <cellStyle name="_Table 10 2 9" xfId="4268" xr:uid="{00000000-0005-0000-0000-00006D100000}"/>
    <cellStyle name="_Table 10 3" xfId="4269" xr:uid="{00000000-0005-0000-0000-00006E100000}"/>
    <cellStyle name="_Table 10 3 10" xfId="4270" xr:uid="{00000000-0005-0000-0000-00006F100000}"/>
    <cellStyle name="_Table 10 3 11" xfId="4271" xr:uid="{00000000-0005-0000-0000-000070100000}"/>
    <cellStyle name="_Table 10 3 2" xfId="4272" xr:uid="{00000000-0005-0000-0000-000071100000}"/>
    <cellStyle name="_Table 10 3 3" xfId="4273" xr:uid="{00000000-0005-0000-0000-000072100000}"/>
    <cellStyle name="_Table 10 3 4" xfId="4274" xr:uid="{00000000-0005-0000-0000-000073100000}"/>
    <cellStyle name="_Table 10 3 5" xfId="4275" xr:uid="{00000000-0005-0000-0000-000074100000}"/>
    <cellStyle name="_Table 10 3 6" xfId="4276" xr:uid="{00000000-0005-0000-0000-000075100000}"/>
    <cellStyle name="_Table 10 3 7" xfId="4277" xr:uid="{00000000-0005-0000-0000-000076100000}"/>
    <cellStyle name="_Table 10 3 8" xfId="4278" xr:uid="{00000000-0005-0000-0000-000077100000}"/>
    <cellStyle name="_Table 10 3 9" xfId="4279" xr:uid="{00000000-0005-0000-0000-000078100000}"/>
    <cellStyle name="_Table 10 4" xfId="4280" xr:uid="{00000000-0005-0000-0000-000079100000}"/>
    <cellStyle name="_Table 10 5" xfId="4281" xr:uid="{00000000-0005-0000-0000-00007A100000}"/>
    <cellStyle name="_Table 10 6" xfId="4282" xr:uid="{00000000-0005-0000-0000-00007B100000}"/>
    <cellStyle name="_Table 10 7" xfId="4283" xr:uid="{00000000-0005-0000-0000-00007C100000}"/>
    <cellStyle name="_Table 10 8" xfId="4284" xr:uid="{00000000-0005-0000-0000-00007D100000}"/>
    <cellStyle name="_Table 10 9" xfId="4285" xr:uid="{00000000-0005-0000-0000-00007E100000}"/>
    <cellStyle name="_Table 11" xfId="4286" xr:uid="{00000000-0005-0000-0000-00007F100000}"/>
    <cellStyle name="_Table 11 10" xfId="4287" xr:uid="{00000000-0005-0000-0000-000080100000}"/>
    <cellStyle name="_Table 11 11" xfId="4288" xr:uid="{00000000-0005-0000-0000-000081100000}"/>
    <cellStyle name="_Table 11 12" xfId="4289" xr:uid="{00000000-0005-0000-0000-000082100000}"/>
    <cellStyle name="_Table 11 13" xfId="4290" xr:uid="{00000000-0005-0000-0000-000083100000}"/>
    <cellStyle name="_Table 11 2" xfId="4291" xr:uid="{00000000-0005-0000-0000-000084100000}"/>
    <cellStyle name="_Table 11 2 10" xfId="4292" xr:uid="{00000000-0005-0000-0000-000085100000}"/>
    <cellStyle name="_Table 11 2 11" xfId="4293" xr:uid="{00000000-0005-0000-0000-000086100000}"/>
    <cellStyle name="_Table 11 2 12" xfId="4294" xr:uid="{00000000-0005-0000-0000-000087100000}"/>
    <cellStyle name="_Table 11 2 2" xfId="4295" xr:uid="{00000000-0005-0000-0000-000088100000}"/>
    <cellStyle name="_Table 11 2 2 10" xfId="4296" xr:uid="{00000000-0005-0000-0000-000089100000}"/>
    <cellStyle name="_Table 11 2 2 2" xfId="4297" xr:uid="{00000000-0005-0000-0000-00008A100000}"/>
    <cellStyle name="_Table 11 2 2 3" xfId="4298" xr:uid="{00000000-0005-0000-0000-00008B100000}"/>
    <cellStyle name="_Table 11 2 2 4" xfId="4299" xr:uid="{00000000-0005-0000-0000-00008C100000}"/>
    <cellStyle name="_Table 11 2 2 5" xfId="4300" xr:uid="{00000000-0005-0000-0000-00008D100000}"/>
    <cellStyle name="_Table 11 2 2 6" xfId="4301" xr:uid="{00000000-0005-0000-0000-00008E100000}"/>
    <cellStyle name="_Table 11 2 2 7" xfId="4302" xr:uid="{00000000-0005-0000-0000-00008F100000}"/>
    <cellStyle name="_Table 11 2 2 8" xfId="4303" xr:uid="{00000000-0005-0000-0000-000090100000}"/>
    <cellStyle name="_Table 11 2 2 9" xfId="4304" xr:uid="{00000000-0005-0000-0000-000091100000}"/>
    <cellStyle name="_Table 11 2 3" xfId="4305" xr:uid="{00000000-0005-0000-0000-000092100000}"/>
    <cellStyle name="_Table 11 2 4" xfId="4306" xr:uid="{00000000-0005-0000-0000-000093100000}"/>
    <cellStyle name="_Table 11 2 5" xfId="4307" xr:uid="{00000000-0005-0000-0000-000094100000}"/>
    <cellStyle name="_Table 11 2 6" xfId="4308" xr:uid="{00000000-0005-0000-0000-000095100000}"/>
    <cellStyle name="_Table 11 2 7" xfId="4309" xr:uid="{00000000-0005-0000-0000-000096100000}"/>
    <cellStyle name="_Table 11 2 8" xfId="4310" xr:uid="{00000000-0005-0000-0000-000097100000}"/>
    <cellStyle name="_Table 11 2 9" xfId="4311" xr:uid="{00000000-0005-0000-0000-000098100000}"/>
    <cellStyle name="_Table 11 3" xfId="4312" xr:uid="{00000000-0005-0000-0000-000099100000}"/>
    <cellStyle name="_Table 11 3 10" xfId="4313" xr:uid="{00000000-0005-0000-0000-00009A100000}"/>
    <cellStyle name="_Table 11 3 11" xfId="4314" xr:uid="{00000000-0005-0000-0000-00009B100000}"/>
    <cellStyle name="_Table 11 3 2" xfId="4315" xr:uid="{00000000-0005-0000-0000-00009C100000}"/>
    <cellStyle name="_Table 11 3 3" xfId="4316" xr:uid="{00000000-0005-0000-0000-00009D100000}"/>
    <cellStyle name="_Table 11 3 4" xfId="4317" xr:uid="{00000000-0005-0000-0000-00009E100000}"/>
    <cellStyle name="_Table 11 3 5" xfId="4318" xr:uid="{00000000-0005-0000-0000-00009F100000}"/>
    <cellStyle name="_Table 11 3 6" xfId="4319" xr:uid="{00000000-0005-0000-0000-0000A0100000}"/>
    <cellStyle name="_Table 11 3 7" xfId="4320" xr:uid="{00000000-0005-0000-0000-0000A1100000}"/>
    <cellStyle name="_Table 11 3 8" xfId="4321" xr:uid="{00000000-0005-0000-0000-0000A2100000}"/>
    <cellStyle name="_Table 11 3 9" xfId="4322" xr:uid="{00000000-0005-0000-0000-0000A3100000}"/>
    <cellStyle name="_Table 11 4" xfId="4323" xr:uid="{00000000-0005-0000-0000-0000A4100000}"/>
    <cellStyle name="_Table 11 5" xfId="4324" xr:uid="{00000000-0005-0000-0000-0000A5100000}"/>
    <cellStyle name="_Table 11 6" xfId="4325" xr:uid="{00000000-0005-0000-0000-0000A6100000}"/>
    <cellStyle name="_Table 11 7" xfId="4326" xr:uid="{00000000-0005-0000-0000-0000A7100000}"/>
    <cellStyle name="_Table 11 8" xfId="4327" xr:uid="{00000000-0005-0000-0000-0000A8100000}"/>
    <cellStyle name="_Table 11 9" xfId="4328" xr:uid="{00000000-0005-0000-0000-0000A9100000}"/>
    <cellStyle name="_Table 12" xfId="4329" xr:uid="{00000000-0005-0000-0000-0000AA100000}"/>
    <cellStyle name="_Table 12 10" xfId="4330" xr:uid="{00000000-0005-0000-0000-0000AB100000}"/>
    <cellStyle name="_Table 12 11" xfId="4331" xr:uid="{00000000-0005-0000-0000-0000AC100000}"/>
    <cellStyle name="_Table 12 12" xfId="4332" xr:uid="{00000000-0005-0000-0000-0000AD100000}"/>
    <cellStyle name="_Table 12 13" xfId="4333" xr:uid="{00000000-0005-0000-0000-0000AE100000}"/>
    <cellStyle name="_Table 12 2" xfId="4334" xr:uid="{00000000-0005-0000-0000-0000AF100000}"/>
    <cellStyle name="_Table 12 2 10" xfId="4335" xr:uid="{00000000-0005-0000-0000-0000B0100000}"/>
    <cellStyle name="_Table 12 2 11" xfId="4336" xr:uid="{00000000-0005-0000-0000-0000B1100000}"/>
    <cellStyle name="_Table 12 2 12" xfId="4337" xr:uid="{00000000-0005-0000-0000-0000B2100000}"/>
    <cellStyle name="_Table 12 2 2" xfId="4338" xr:uid="{00000000-0005-0000-0000-0000B3100000}"/>
    <cellStyle name="_Table 12 2 2 10" xfId="4339" xr:uid="{00000000-0005-0000-0000-0000B4100000}"/>
    <cellStyle name="_Table 12 2 2 2" xfId="4340" xr:uid="{00000000-0005-0000-0000-0000B5100000}"/>
    <cellStyle name="_Table 12 2 2 3" xfId="4341" xr:uid="{00000000-0005-0000-0000-0000B6100000}"/>
    <cellStyle name="_Table 12 2 2 4" xfId="4342" xr:uid="{00000000-0005-0000-0000-0000B7100000}"/>
    <cellStyle name="_Table 12 2 2 5" xfId="4343" xr:uid="{00000000-0005-0000-0000-0000B8100000}"/>
    <cellStyle name="_Table 12 2 2 6" xfId="4344" xr:uid="{00000000-0005-0000-0000-0000B9100000}"/>
    <cellStyle name="_Table 12 2 2 7" xfId="4345" xr:uid="{00000000-0005-0000-0000-0000BA100000}"/>
    <cellStyle name="_Table 12 2 2 8" xfId="4346" xr:uid="{00000000-0005-0000-0000-0000BB100000}"/>
    <cellStyle name="_Table 12 2 2 9" xfId="4347" xr:uid="{00000000-0005-0000-0000-0000BC100000}"/>
    <cellStyle name="_Table 12 2 3" xfId="4348" xr:uid="{00000000-0005-0000-0000-0000BD100000}"/>
    <cellStyle name="_Table 12 2 4" xfId="4349" xr:uid="{00000000-0005-0000-0000-0000BE100000}"/>
    <cellStyle name="_Table 12 2 5" xfId="4350" xr:uid="{00000000-0005-0000-0000-0000BF100000}"/>
    <cellStyle name="_Table 12 2 6" xfId="4351" xr:uid="{00000000-0005-0000-0000-0000C0100000}"/>
    <cellStyle name="_Table 12 2 7" xfId="4352" xr:uid="{00000000-0005-0000-0000-0000C1100000}"/>
    <cellStyle name="_Table 12 2 8" xfId="4353" xr:uid="{00000000-0005-0000-0000-0000C2100000}"/>
    <cellStyle name="_Table 12 2 9" xfId="4354" xr:uid="{00000000-0005-0000-0000-0000C3100000}"/>
    <cellStyle name="_Table 12 3" xfId="4355" xr:uid="{00000000-0005-0000-0000-0000C4100000}"/>
    <cellStyle name="_Table 12 3 10" xfId="4356" xr:uid="{00000000-0005-0000-0000-0000C5100000}"/>
    <cellStyle name="_Table 12 3 11" xfId="4357" xr:uid="{00000000-0005-0000-0000-0000C6100000}"/>
    <cellStyle name="_Table 12 3 2" xfId="4358" xr:uid="{00000000-0005-0000-0000-0000C7100000}"/>
    <cellStyle name="_Table 12 3 3" xfId="4359" xr:uid="{00000000-0005-0000-0000-0000C8100000}"/>
    <cellStyle name="_Table 12 3 4" xfId="4360" xr:uid="{00000000-0005-0000-0000-0000C9100000}"/>
    <cellStyle name="_Table 12 3 5" xfId="4361" xr:uid="{00000000-0005-0000-0000-0000CA100000}"/>
    <cellStyle name="_Table 12 3 6" xfId="4362" xr:uid="{00000000-0005-0000-0000-0000CB100000}"/>
    <cellStyle name="_Table 12 3 7" xfId="4363" xr:uid="{00000000-0005-0000-0000-0000CC100000}"/>
    <cellStyle name="_Table 12 3 8" xfId="4364" xr:uid="{00000000-0005-0000-0000-0000CD100000}"/>
    <cellStyle name="_Table 12 3 9" xfId="4365" xr:uid="{00000000-0005-0000-0000-0000CE100000}"/>
    <cellStyle name="_Table 12 4" xfId="4366" xr:uid="{00000000-0005-0000-0000-0000CF100000}"/>
    <cellStyle name="_Table 12 5" xfId="4367" xr:uid="{00000000-0005-0000-0000-0000D0100000}"/>
    <cellStyle name="_Table 12 6" xfId="4368" xr:uid="{00000000-0005-0000-0000-0000D1100000}"/>
    <cellStyle name="_Table 12 7" xfId="4369" xr:uid="{00000000-0005-0000-0000-0000D2100000}"/>
    <cellStyle name="_Table 12 8" xfId="4370" xr:uid="{00000000-0005-0000-0000-0000D3100000}"/>
    <cellStyle name="_Table 12 9" xfId="4371" xr:uid="{00000000-0005-0000-0000-0000D4100000}"/>
    <cellStyle name="_Table 13" xfId="4372" xr:uid="{00000000-0005-0000-0000-0000D5100000}"/>
    <cellStyle name="_Table 13 10" xfId="4373" xr:uid="{00000000-0005-0000-0000-0000D6100000}"/>
    <cellStyle name="_Table 13 11" xfId="4374" xr:uid="{00000000-0005-0000-0000-0000D7100000}"/>
    <cellStyle name="_Table 13 12" xfId="4375" xr:uid="{00000000-0005-0000-0000-0000D8100000}"/>
    <cellStyle name="_Table 13 2" xfId="4376" xr:uid="{00000000-0005-0000-0000-0000D9100000}"/>
    <cellStyle name="_Table 13 2 10" xfId="4377" xr:uid="{00000000-0005-0000-0000-0000DA100000}"/>
    <cellStyle name="_Table 13 2 2" xfId="4378" xr:uid="{00000000-0005-0000-0000-0000DB100000}"/>
    <cellStyle name="_Table 13 2 3" xfId="4379" xr:uid="{00000000-0005-0000-0000-0000DC100000}"/>
    <cellStyle name="_Table 13 2 4" xfId="4380" xr:uid="{00000000-0005-0000-0000-0000DD100000}"/>
    <cellStyle name="_Table 13 2 5" xfId="4381" xr:uid="{00000000-0005-0000-0000-0000DE100000}"/>
    <cellStyle name="_Table 13 2 6" xfId="4382" xr:uid="{00000000-0005-0000-0000-0000DF100000}"/>
    <cellStyle name="_Table 13 2 7" xfId="4383" xr:uid="{00000000-0005-0000-0000-0000E0100000}"/>
    <cellStyle name="_Table 13 2 8" xfId="4384" xr:uid="{00000000-0005-0000-0000-0000E1100000}"/>
    <cellStyle name="_Table 13 2 9" xfId="4385" xr:uid="{00000000-0005-0000-0000-0000E2100000}"/>
    <cellStyle name="_Table 13 3" xfId="4386" xr:uid="{00000000-0005-0000-0000-0000E3100000}"/>
    <cellStyle name="_Table 13 4" xfId="4387" xr:uid="{00000000-0005-0000-0000-0000E4100000}"/>
    <cellStyle name="_Table 13 5" xfId="4388" xr:uid="{00000000-0005-0000-0000-0000E5100000}"/>
    <cellStyle name="_Table 13 6" xfId="4389" xr:uid="{00000000-0005-0000-0000-0000E6100000}"/>
    <cellStyle name="_Table 13 7" xfId="4390" xr:uid="{00000000-0005-0000-0000-0000E7100000}"/>
    <cellStyle name="_Table 13 8" xfId="4391" xr:uid="{00000000-0005-0000-0000-0000E8100000}"/>
    <cellStyle name="_Table 13 9" xfId="4392" xr:uid="{00000000-0005-0000-0000-0000E9100000}"/>
    <cellStyle name="_Table 14" xfId="4393" xr:uid="{00000000-0005-0000-0000-0000EA100000}"/>
    <cellStyle name="_Table 14 10" xfId="4394" xr:uid="{00000000-0005-0000-0000-0000EB100000}"/>
    <cellStyle name="_Table 14 11" xfId="4395" xr:uid="{00000000-0005-0000-0000-0000EC100000}"/>
    <cellStyle name="_Table 14 2" xfId="4396" xr:uid="{00000000-0005-0000-0000-0000ED100000}"/>
    <cellStyle name="_Table 14 3" xfId="4397" xr:uid="{00000000-0005-0000-0000-0000EE100000}"/>
    <cellStyle name="_Table 14 4" xfId="4398" xr:uid="{00000000-0005-0000-0000-0000EF100000}"/>
    <cellStyle name="_Table 14 5" xfId="4399" xr:uid="{00000000-0005-0000-0000-0000F0100000}"/>
    <cellStyle name="_Table 14 6" xfId="4400" xr:uid="{00000000-0005-0000-0000-0000F1100000}"/>
    <cellStyle name="_Table 14 7" xfId="4401" xr:uid="{00000000-0005-0000-0000-0000F2100000}"/>
    <cellStyle name="_Table 14 8" xfId="4402" xr:uid="{00000000-0005-0000-0000-0000F3100000}"/>
    <cellStyle name="_Table 14 9" xfId="4403" xr:uid="{00000000-0005-0000-0000-0000F4100000}"/>
    <cellStyle name="_Table 15" xfId="4404" xr:uid="{00000000-0005-0000-0000-0000F5100000}"/>
    <cellStyle name="_Table 16" xfId="4405" xr:uid="{00000000-0005-0000-0000-0000F6100000}"/>
    <cellStyle name="_Table 17" xfId="4406" xr:uid="{00000000-0005-0000-0000-0000F7100000}"/>
    <cellStyle name="_Table 18" xfId="4407" xr:uid="{00000000-0005-0000-0000-0000F8100000}"/>
    <cellStyle name="_Table 19" xfId="4408" xr:uid="{00000000-0005-0000-0000-0000F9100000}"/>
    <cellStyle name="_Table 2" xfId="4409" xr:uid="{00000000-0005-0000-0000-0000FA100000}"/>
    <cellStyle name="_Table 2 10" xfId="4410" xr:uid="{00000000-0005-0000-0000-0000FB100000}"/>
    <cellStyle name="_Table 2 11" xfId="4411" xr:uid="{00000000-0005-0000-0000-0000FC100000}"/>
    <cellStyle name="_Table 2 12" xfId="4412" xr:uid="{00000000-0005-0000-0000-0000FD100000}"/>
    <cellStyle name="_Table 2 13" xfId="4413" xr:uid="{00000000-0005-0000-0000-0000FE100000}"/>
    <cellStyle name="_Table 2 2" xfId="4414" xr:uid="{00000000-0005-0000-0000-0000FF100000}"/>
    <cellStyle name="_Table 2 2 10" xfId="4415" xr:uid="{00000000-0005-0000-0000-000000110000}"/>
    <cellStyle name="_Table 2 2 11" xfId="4416" xr:uid="{00000000-0005-0000-0000-000001110000}"/>
    <cellStyle name="_Table 2 2 12" xfId="4417" xr:uid="{00000000-0005-0000-0000-000002110000}"/>
    <cellStyle name="_Table 2 2 2" xfId="4418" xr:uid="{00000000-0005-0000-0000-000003110000}"/>
    <cellStyle name="_Table 2 2 2 10" xfId="4419" xr:uid="{00000000-0005-0000-0000-000004110000}"/>
    <cellStyle name="_Table 2 2 2 2" xfId="4420" xr:uid="{00000000-0005-0000-0000-000005110000}"/>
    <cellStyle name="_Table 2 2 2 3" xfId="4421" xr:uid="{00000000-0005-0000-0000-000006110000}"/>
    <cellStyle name="_Table 2 2 2 4" xfId="4422" xr:uid="{00000000-0005-0000-0000-000007110000}"/>
    <cellStyle name="_Table 2 2 2 5" xfId="4423" xr:uid="{00000000-0005-0000-0000-000008110000}"/>
    <cellStyle name="_Table 2 2 2 6" xfId="4424" xr:uid="{00000000-0005-0000-0000-000009110000}"/>
    <cellStyle name="_Table 2 2 2 7" xfId="4425" xr:uid="{00000000-0005-0000-0000-00000A110000}"/>
    <cellStyle name="_Table 2 2 2 8" xfId="4426" xr:uid="{00000000-0005-0000-0000-00000B110000}"/>
    <cellStyle name="_Table 2 2 2 9" xfId="4427" xr:uid="{00000000-0005-0000-0000-00000C110000}"/>
    <cellStyle name="_Table 2 2 3" xfId="4428" xr:uid="{00000000-0005-0000-0000-00000D110000}"/>
    <cellStyle name="_Table 2 2 4" xfId="4429" xr:uid="{00000000-0005-0000-0000-00000E110000}"/>
    <cellStyle name="_Table 2 2 5" xfId="4430" xr:uid="{00000000-0005-0000-0000-00000F110000}"/>
    <cellStyle name="_Table 2 2 6" xfId="4431" xr:uid="{00000000-0005-0000-0000-000010110000}"/>
    <cellStyle name="_Table 2 2 7" xfId="4432" xr:uid="{00000000-0005-0000-0000-000011110000}"/>
    <cellStyle name="_Table 2 2 8" xfId="4433" xr:uid="{00000000-0005-0000-0000-000012110000}"/>
    <cellStyle name="_Table 2 2 9" xfId="4434" xr:uid="{00000000-0005-0000-0000-000013110000}"/>
    <cellStyle name="_Table 2 3" xfId="4435" xr:uid="{00000000-0005-0000-0000-000014110000}"/>
    <cellStyle name="_Table 2 3 10" xfId="4436" xr:uid="{00000000-0005-0000-0000-000015110000}"/>
    <cellStyle name="_Table 2 3 11" xfId="4437" xr:uid="{00000000-0005-0000-0000-000016110000}"/>
    <cellStyle name="_Table 2 3 2" xfId="4438" xr:uid="{00000000-0005-0000-0000-000017110000}"/>
    <cellStyle name="_Table 2 3 3" xfId="4439" xr:uid="{00000000-0005-0000-0000-000018110000}"/>
    <cellStyle name="_Table 2 3 4" xfId="4440" xr:uid="{00000000-0005-0000-0000-000019110000}"/>
    <cellStyle name="_Table 2 3 5" xfId="4441" xr:uid="{00000000-0005-0000-0000-00001A110000}"/>
    <cellStyle name="_Table 2 3 6" xfId="4442" xr:uid="{00000000-0005-0000-0000-00001B110000}"/>
    <cellStyle name="_Table 2 3 7" xfId="4443" xr:uid="{00000000-0005-0000-0000-00001C110000}"/>
    <cellStyle name="_Table 2 3 8" xfId="4444" xr:uid="{00000000-0005-0000-0000-00001D110000}"/>
    <cellStyle name="_Table 2 3 9" xfId="4445" xr:uid="{00000000-0005-0000-0000-00001E110000}"/>
    <cellStyle name="_Table 2 4" xfId="4446" xr:uid="{00000000-0005-0000-0000-00001F110000}"/>
    <cellStyle name="_Table 2 5" xfId="4447" xr:uid="{00000000-0005-0000-0000-000020110000}"/>
    <cellStyle name="_Table 2 6" xfId="4448" xr:uid="{00000000-0005-0000-0000-000021110000}"/>
    <cellStyle name="_Table 2 7" xfId="4449" xr:uid="{00000000-0005-0000-0000-000022110000}"/>
    <cellStyle name="_Table 2 8" xfId="4450" xr:uid="{00000000-0005-0000-0000-000023110000}"/>
    <cellStyle name="_Table 2 9" xfId="4451" xr:uid="{00000000-0005-0000-0000-000024110000}"/>
    <cellStyle name="_Table 20" xfId="4452" xr:uid="{00000000-0005-0000-0000-000025110000}"/>
    <cellStyle name="_Table 21" xfId="4453" xr:uid="{00000000-0005-0000-0000-000026110000}"/>
    <cellStyle name="_Table 22" xfId="4454" xr:uid="{00000000-0005-0000-0000-000027110000}"/>
    <cellStyle name="_Table 23" xfId="4455" xr:uid="{00000000-0005-0000-0000-000028110000}"/>
    <cellStyle name="_Table 24" xfId="4456" xr:uid="{00000000-0005-0000-0000-000029110000}"/>
    <cellStyle name="_Table 3" xfId="4457" xr:uid="{00000000-0005-0000-0000-00002A110000}"/>
    <cellStyle name="_Table 3 10" xfId="4458" xr:uid="{00000000-0005-0000-0000-00002B110000}"/>
    <cellStyle name="_Table 3 11" xfId="4459" xr:uid="{00000000-0005-0000-0000-00002C110000}"/>
    <cellStyle name="_Table 3 12" xfId="4460" xr:uid="{00000000-0005-0000-0000-00002D110000}"/>
    <cellStyle name="_Table 3 13" xfId="4461" xr:uid="{00000000-0005-0000-0000-00002E110000}"/>
    <cellStyle name="_Table 3 2" xfId="4462" xr:uid="{00000000-0005-0000-0000-00002F110000}"/>
    <cellStyle name="_Table 3 2 10" xfId="4463" xr:uid="{00000000-0005-0000-0000-000030110000}"/>
    <cellStyle name="_Table 3 2 11" xfId="4464" xr:uid="{00000000-0005-0000-0000-000031110000}"/>
    <cellStyle name="_Table 3 2 12" xfId="4465" xr:uid="{00000000-0005-0000-0000-000032110000}"/>
    <cellStyle name="_Table 3 2 2" xfId="4466" xr:uid="{00000000-0005-0000-0000-000033110000}"/>
    <cellStyle name="_Table 3 2 2 10" xfId="4467" xr:uid="{00000000-0005-0000-0000-000034110000}"/>
    <cellStyle name="_Table 3 2 2 2" xfId="4468" xr:uid="{00000000-0005-0000-0000-000035110000}"/>
    <cellStyle name="_Table 3 2 2 3" xfId="4469" xr:uid="{00000000-0005-0000-0000-000036110000}"/>
    <cellStyle name="_Table 3 2 2 4" xfId="4470" xr:uid="{00000000-0005-0000-0000-000037110000}"/>
    <cellStyle name="_Table 3 2 2 5" xfId="4471" xr:uid="{00000000-0005-0000-0000-000038110000}"/>
    <cellStyle name="_Table 3 2 2 6" xfId="4472" xr:uid="{00000000-0005-0000-0000-000039110000}"/>
    <cellStyle name="_Table 3 2 2 7" xfId="4473" xr:uid="{00000000-0005-0000-0000-00003A110000}"/>
    <cellStyle name="_Table 3 2 2 8" xfId="4474" xr:uid="{00000000-0005-0000-0000-00003B110000}"/>
    <cellStyle name="_Table 3 2 2 9" xfId="4475" xr:uid="{00000000-0005-0000-0000-00003C110000}"/>
    <cellStyle name="_Table 3 2 3" xfId="4476" xr:uid="{00000000-0005-0000-0000-00003D110000}"/>
    <cellStyle name="_Table 3 2 4" xfId="4477" xr:uid="{00000000-0005-0000-0000-00003E110000}"/>
    <cellStyle name="_Table 3 2 5" xfId="4478" xr:uid="{00000000-0005-0000-0000-00003F110000}"/>
    <cellStyle name="_Table 3 2 6" xfId="4479" xr:uid="{00000000-0005-0000-0000-000040110000}"/>
    <cellStyle name="_Table 3 2 7" xfId="4480" xr:uid="{00000000-0005-0000-0000-000041110000}"/>
    <cellStyle name="_Table 3 2 8" xfId="4481" xr:uid="{00000000-0005-0000-0000-000042110000}"/>
    <cellStyle name="_Table 3 2 9" xfId="4482" xr:uid="{00000000-0005-0000-0000-000043110000}"/>
    <cellStyle name="_Table 3 3" xfId="4483" xr:uid="{00000000-0005-0000-0000-000044110000}"/>
    <cellStyle name="_Table 3 3 10" xfId="4484" xr:uid="{00000000-0005-0000-0000-000045110000}"/>
    <cellStyle name="_Table 3 3 11" xfId="4485" xr:uid="{00000000-0005-0000-0000-000046110000}"/>
    <cellStyle name="_Table 3 3 2" xfId="4486" xr:uid="{00000000-0005-0000-0000-000047110000}"/>
    <cellStyle name="_Table 3 3 3" xfId="4487" xr:uid="{00000000-0005-0000-0000-000048110000}"/>
    <cellStyle name="_Table 3 3 4" xfId="4488" xr:uid="{00000000-0005-0000-0000-000049110000}"/>
    <cellStyle name="_Table 3 3 5" xfId="4489" xr:uid="{00000000-0005-0000-0000-00004A110000}"/>
    <cellStyle name="_Table 3 3 6" xfId="4490" xr:uid="{00000000-0005-0000-0000-00004B110000}"/>
    <cellStyle name="_Table 3 3 7" xfId="4491" xr:uid="{00000000-0005-0000-0000-00004C110000}"/>
    <cellStyle name="_Table 3 3 8" xfId="4492" xr:uid="{00000000-0005-0000-0000-00004D110000}"/>
    <cellStyle name="_Table 3 3 9" xfId="4493" xr:uid="{00000000-0005-0000-0000-00004E110000}"/>
    <cellStyle name="_Table 3 4" xfId="4494" xr:uid="{00000000-0005-0000-0000-00004F110000}"/>
    <cellStyle name="_Table 3 5" xfId="4495" xr:uid="{00000000-0005-0000-0000-000050110000}"/>
    <cellStyle name="_Table 3 6" xfId="4496" xr:uid="{00000000-0005-0000-0000-000051110000}"/>
    <cellStyle name="_Table 3 7" xfId="4497" xr:uid="{00000000-0005-0000-0000-000052110000}"/>
    <cellStyle name="_Table 3 8" xfId="4498" xr:uid="{00000000-0005-0000-0000-000053110000}"/>
    <cellStyle name="_Table 3 9" xfId="4499" xr:uid="{00000000-0005-0000-0000-000054110000}"/>
    <cellStyle name="_Table 4" xfId="4500" xr:uid="{00000000-0005-0000-0000-000055110000}"/>
    <cellStyle name="_Table 4 10" xfId="4501" xr:uid="{00000000-0005-0000-0000-000056110000}"/>
    <cellStyle name="_Table 4 11" xfId="4502" xr:uid="{00000000-0005-0000-0000-000057110000}"/>
    <cellStyle name="_Table 4 12" xfId="4503" xr:uid="{00000000-0005-0000-0000-000058110000}"/>
    <cellStyle name="_Table 4 13" xfId="4504" xr:uid="{00000000-0005-0000-0000-000059110000}"/>
    <cellStyle name="_Table 4 2" xfId="4505" xr:uid="{00000000-0005-0000-0000-00005A110000}"/>
    <cellStyle name="_Table 4 2 10" xfId="4506" xr:uid="{00000000-0005-0000-0000-00005B110000}"/>
    <cellStyle name="_Table 4 2 11" xfId="4507" xr:uid="{00000000-0005-0000-0000-00005C110000}"/>
    <cellStyle name="_Table 4 2 12" xfId="4508" xr:uid="{00000000-0005-0000-0000-00005D110000}"/>
    <cellStyle name="_Table 4 2 2" xfId="4509" xr:uid="{00000000-0005-0000-0000-00005E110000}"/>
    <cellStyle name="_Table 4 2 2 10" xfId="4510" xr:uid="{00000000-0005-0000-0000-00005F110000}"/>
    <cellStyle name="_Table 4 2 2 2" xfId="4511" xr:uid="{00000000-0005-0000-0000-000060110000}"/>
    <cellStyle name="_Table 4 2 2 3" xfId="4512" xr:uid="{00000000-0005-0000-0000-000061110000}"/>
    <cellStyle name="_Table 4 2 2 4" xfId="4513" xr:uid="{00000000-0005-0000-0000-000062110000}"/>
    <cellStyle name="_Table 4 2 2 5" xfId="4514" xr:uid="{00000000-0005-0000-0000-000063110000}"/>
    <cellStyle name="_Table 4 2 2 6" xfId="4515" xr:uid="{00000000-0005-0000-0000-000064110000}"/>
    <cellStyle name="_Table 4 2 2 7" xfId="4516" xr:uid="{00000000-0005-0000-0000-000065110000}"/>
    <cellStyle name="_Table 4 2 2 8" xfId="4517" xr:uid="{00000000-0005-0000-0000-000066110000}"/>
    <cellStyle name="_Table 4 2 2 9" xfId="4518" xr:uid="{00000000-0005-0000-0000-000067110000}"/>
    <cellStyle name="_Table 4 2 3" xfId="4519" xr:uid="{00000000-0005-0000-0000-000068110000}"/>
    <cellStyle name="_Table 4 2 4" xfId="4520" xr:uid="{00000000-0005-0000-0000-000069110000}"/>
    <cellStyle name="_Table 4 2 5" xfId="4521" xr:uid="{00000000-0005-0000-0000-00006A110000}"/>
    <cellStyle name="_Table 4 2 6" xfId="4522" xr:uid="{00000000-0005-0000-0000-00006B110000}"/>
    <cellStyle name="_Table 4 2 7" xfId="4523" xr:uid="{00000000-0005-0000-0000-00006C110000}"/>
    <cellStyle name="_Table 4 2 8" xfId="4524" xr:uid="{00000000-0005-0000-0000-00006D110000}"/>
    <cellStyle name="_Table 4 2 9" xfId="4525" xr:uid="{00000000-0005-0000-0000-00006E110000}"/>
    <cellStyle name="_Table 4 3" xfId="4526" xr:uid="{00000000-0005-0000-0000-00006F110000}"/>
    <cellStyle name="_Table 4 3 10" xfId="4527" xr:uid="{00000000-0005-0000-0000-000070110000}"/>
    <cellStyle name="_Table 4 3 11" xfId="4528" xr:uid="{00000000-0005-0000-0000-000071110000}"/>
    <cellStyle name="_Table 4 3 2" xfId="4529" xr:uid="{00000000-0005-0000-0000-000072110000}"/>
    <cellStyle name="_Table 4 3 3" xfId="4530" xr:uid="{00000000-0005-0000-0000-000073110000}"/>
    <cellStyle name="_Table 4 3 4" xfId="4531" xr:uid="{00000000-0005-0000-0000-000074110000}"/>
    <cellStyle name="_Table 4 3 5" xfId="4532" xr:uid="{00000000-0005-0000-0000-000075110000}"/>
    <cellStyle name="_Table 4 3 6" xfId="4533" xr:uid="{00000000-0005-0000-0000-000076110000}"/>
    <cellStyle name="_Table 4 3 7" xfId="4534" xr:uid="{00000000-0005-0000-0000-000077110000}"/>
    <cellStyle name="_Table 4 3 8" xfId="4535" xr:uid="{00000000-0005-0000-0000-000078110000}"/>
    <cellStyle name="_Table 4 3 9" xfId="4536" xr:uid="{00000000-0005-0000-0000-000079110000}"/>
    <cellStyle name="_Table 4 4" xfId="4537" xr:uid="{00000000-0005-0000-0000-00007A110000}"/>
    <cellStyle name="_Table 4 5" xfId="4538" xr:uid="{00000000-0005-0000-0000-00007B110000}"/>
    <cellStyle name="_Table 4 6" xfId="4539" xr:uid="{00000000-0005-0000-0000-00007C110000}"/>
    <cellStyle name="_Table 4 7" xfId="4540" xr:uid="{00000000-0005-0000-0000-00007D110000}"/>
    <cellStyle name="_Table 4 8" xfId="4541" xr:uid="{00000000-0005-0000-0000-00007E110000}"/>
    <cellStyle name="_Table 4 9" xfId="4542" xr:uid="{00000000-0005-0000-0000-00007F110000}"/>
    <cellStyle name="_Table 5" xfId="4543" xr:uid="{00000000-0005-0000-0000-000080110000}"/>
    <cellStyle name="_Table 5 10" xfId="4544" xr:uid="{00000000-0005-0000-0000-000081110000}"/>
    <cellStyle name="_Table 5 11" xfId="4545" xr:uid="{00000000-0005-0000-0000-000082110000}"/>
    <cellStyle name="_Table 5 12" xfId="4546" xr:uid="{00000000-0005-0000-0000-000083110000}"/>
    <cellStyle name="_Table 5 13" xfId="4547" xr:uid="{00000000-0005-0000-0000-000084110000}"/>
    <cellStyle name="_Table 5 2" xfId="4548" xr:uid="{00000000-0005-0000-0000-000085110000}"/>
    <cellStyle name="_Table 5 2 10" xfId="4549" xr:uid="{00000000-0005-0000-0000-000086110000}"/>
    <cellStyle name="_Table 5 2 11" xfId="4550" xr:uid="{00000000-0005-0000-0000-000087110000}"/>
    <cellStyle name="_Table 5 2 12" xfId="4551" xr:uid="{00000000-0005-0000-0000-000088110000}"/>
    <cellStyle name="_Table 5 2 2" xfId="4552" xr:uid="{00000000-0005-0000-0000-000089110000}"/>
    <cellStyle name="_Table 5 2 2 10" xfId="4553" xr:uid="{00000000-0005-0000-0000-00008A110000}"/>
    <cellStyle name="_Table 5 2 2 2" xfId="4554" xr:uid="{00000000-0005-0000-0000-00008B110000}"/>
    <cellStyle name="_Table 5 2 2 3" xfId="4555" xr:uid="{00000000-0005-0000-0000-00008C110000}"/>
    <cellStyle name="_Table 5 2 2 4" xfId="4556" xr:uid="{00000000-0005-0000-0000-00008D110000}"/>
    <cellStyle name="_Table 5 2 2 5" xfId="4557" xr:uid="{00000000-0005-0000-0000-00008E110000}"/>
    <cellStyle name="_Table 5 2 2 6" xfId="4558" xr:uid="{00000000-0005-0000-0000-00008F110000}"/>
    <cellStyle name="_Table 5 2 2 7" xfId="4559" xr:uid="{00000000-0005-0000-0000-000090110000}"/>
    <cellStyle name="_Table 5 2 2 8" xfId="4560" xr:uid="{00000000-0005-0000-0000-000091110000}"/>
    <cellStyle name="_Table 5 2 2 9" xfId="4561" xr:uid="{00000000-0005-0000-0000-000092110000}"/>
    <cellStyle name="_Table 5 2 3" xfId="4562" xr:uid="{00000000-0005-0000-0000-000093110000}"/>
    <cellStyle name="_Table 5 2 4" xfId="4563" xr:uid="{00000000-0005-0000-0000-000094110000}"/>
    <cellStyle name="_Table 5 2 5" xfId="4564" xr:uid="{00000000-0005-0000-0000-000095110000}"/>
    <cellStyle name="_Table 5 2 6" xfId="4565" xr:uid="{00000000-0005-0000-0000-000096110000}"/>
    <cellStyle name="_Table 5 2 7" xfId="4566" xr:uid="{00000000-0005-0000-0000-000097110000}"/>
    <cellStyle name="_Table 5 2 8" xfId="4567" xr:uid="{00000000-0005-0000-0000-000098110000}"/>
    <cellStyle name="_Table 5 2 9" xfId="4568" xr:uid="{00000000-0005-0000-0000-000099110000}"/>
    <cellStyle name="_Table 5 3" xfId="4569" xr:uid="{00000000-0005-0000-0000-00009A110000}"/>
    <cellStyle name="_Table 5 3 10" xfId="4570" xr:uid="{00000000-0005-0000-0000-00009B110000}"/>
    <cellStyle name="_Table 5 3 11" xfId="4571" xr:uid="{00000000-0005-0000-0000-00009C110000}"/>
    <cellStyle name="_Table 5 3 2" xfId="4572" xr:uid="{00000000-0005-0000-0000-00009D110000}"/>
    <cellStyle name="_Table 5 3 3" xfId="4573" xr:uid="{00000000-0005-0000-0000-00009E110000}"/>
    <cellStyle name="_Table 5 3 4" xfId="4574" xr:uid="{00000000-0005-0000-0000-00009F110000}"/>
    <cellStyle name="_Table 5 3 5" xfId="4575" xr:uid="{00000000-0005-0000-0000-0000A0110000}"/>
    <cellStyle name="_Table 5 3 6" xfId="4576" xr:uid="{00000000-0005-0000-0000-0000A1110000}"/>
    <cellStyle name="_Table 5 3 7" xfId="4577" xr:uid="{00000000-0005-0000-0000-0000A2110000}"/>
    <cellStyle name="_Table 5 3 8" xfId="4578" xr:uid="{00000000-0005-0000-0000-0000A3110000}"/>
    <cellStyle name="_Table 5 3 9" xfId="4579" xr:uid="{00000000-0005-0000-0000-0000A4110000}"/>
    <cellStyle name="_Table 5 4" xfId="4580" xr:uid="{00000000-0005-0000-0000-0000A5110000}"/>
    <cellStyle name="_Table 5 5" xfId="4581" xr:uid="{00000000-0005-0000-0000-0000A6110000}"/>
    <cellStyle name="_Table 5 6" xfId="4582" xr:uid="{00000000-0005-0000-0000-0000A7110000}"/>
    <cellStyle name="_Table 5 7" xfId="4583" xr:uid="{00000000-0005-0000-0000-0000A8110000}"/>
    <cellStyle name="_Table 5 8" xfId="4584" xr:uid="{00000000-0005-0000-0000-0000A9110000}"/>
    <cellStyle name="_Table 5 9" xfId="4585" xr:uid="{00000000-0005-0000-0000-0000AA110000}"/>
    <cellStyle name="_Table 6" xfId="4586" xr:uid="{00000000-0005-0000-0000-0000AB110000}"/>
    <cellStyle name="_Table 6 10" xfId="4587" xr:uid="{00000000-0005-0000-0000-0000AC110000}"/>
    <cellStyle name="_Table 6 11" xfId="4588" xr:uid="{00000000-0005-0000-0000-0000AD110000}"/>
    <cellStyle name="_Table 6 12" xfId="4589" xr:uid="{00000000-0005-0000-0000-0000AE110000}"/>
    <cellStyle name="_Table 6 13" xfId="4590" xr:uid="{00000000-0005-0000-0000-0000AF110000}"/>
    <cellStyle name="_Table 6 2" xfId="4591" xr:uid="{00000000-0005-0000-0000-0000B0110000}"/>
    <cellStyle name="_Table 6 2 10" xfId="4592" xr:uid="{00000000-0005-0000-0000-0000B1110000}"/>
    <cellStyle name="_Table 6 2 11" xfId="4593" xr:uid="{00000000-0005-0000-0000-0000B2110000}"/>
    <cellStyle name="_Table 6 2 12" xfId="4594" xr:uid="{00000000-0005-0000-0000-0000B3110000}"/>
    <cellStyle name="_Table 6 2 2" xfId="4595" xr:uid="{00000000-0005-0000-0000-0000B4110000}"/>
    <cellStyle name="_Table 6 2 2 10" xfId="4596" xr:uid="{00000000-0005-0000-0000-0000B5110000}"/>
    <cellStyle name="_Table 6 2 2 2" xfId="4597" xr:uid="{00000000-0005-0000-0000-0000B6110000}"/>
    <cellStyle name="_Table 6 2 2 3" xfId="4598" xr:uid="{00000000-0005-0000-0000-0000B7110000}"/>
    <cellStyle name="_Table 6 2 2 4" xfId="4599" xr:uid="{00000000-0005-0000-0000-0000B8110000}"/>
    <cellStyle name="_Table 6 2 2 5" xfId="4600" xr:uid="{00000000-0005-0000-0000-0000B9110000}"/>
    <cellStyle name="_Table 6 2 2 6" xfId="4601" xr:uid="{00000000-0005-0000-0000-0000BA110000}"/>
    <cellStyle name="_Table 6 2 2 7" xfId="4602" xr:uid="{00000000-0005-0000-0000-0000BB110000}"/>
    <cellStyle name="_Table 6 2 2 8" xfId="4603" xr:uid="{00000000-0005-0000-0000-0000BC110000}"/>
    <cellStyle name="_Table 6 2 2 9" xfId="4604" xr:uid="{00000000-0005-0000-0000-0000BD110000}"/>
    <cellStyle name="_Table 6 2 3" xfId="4605" xr:uid="{00000000-0005-0000-0000-0000BE110000}"/>
    <cellStyle name="_Table 6 2 4" xfId="4606" xr:uid="{00000000-0005-0000-0000-0000BF110000}"/>
    <cellStyle name="_Table 6 2 5" xfId="4607" xr:uid="{00000000-0005-0000-0000-0000C0110000}"/>
    <cellStyle name="_Table 6 2 6" xfId="4608" xr:uid="{00000000-0005-0000-0000-0000C1110000}"/>
    <cellStyle name="_Table 6 2 7" xfId="4609" xr:uid="{00000000-0005-0000-0000-0000C2110000}"/>
    <cellStyle name="_Table 6 2 8" xfId="4610" xr:uid="{00000000-0005-0000-0000-0000C3110000}"/>
    <cellStyle name="_Table 6 2 9" xfId="4611" xr:uid="{00000000-0005-0000-0000-0000C4110000}"/>
    <cellStyle name="_Table 6 3" xfId="4612" xr:uid="{00000000-0005-0000-0000-0000C5110000}"/>
    <cellStyle name="_Table 6 3 10" xfId="4613" xr:uid="{00000000-0005-0000-0000-0000C6110000}"/>
    <cellStyle name="_Table 6 3 11" xfId="4614" xr:uid="{00000000-0005-0000-0000-0000C7110000}"/>
    <cellStyle name="_Table 6 3 2" xfId="4615" xr:uid="{00000000-0005-0000-0000-0000C8110000}"/>
    <cellStyle name="_Table 6 3 3" xfId="4616" xr:uid="{00000000-0005-0000-0000-0000C9110000}"/>
    <cellStyle name="_Table 6 3 4" xfId="4617" xr:uid="{00000000-0005-0000-0000-0000CA110000}"/>
    <cellStyle name="_Table 6 3 5" xfId="4618" xr:uid="{00000000-0005-0000-0000-0000CB110000}"/>
    <cellStyle name="_Table 6 3 6" xfId="4619" xr:uid="{00000000-0005-0000-0000-0000CC110000}"/>
    <cellStyle name="_Table 6 3 7" xfId="4620" xr:uid="{00000000-0005-0000-0000-0000CD110000}"/>
    <cellStyle name="_Table 6 3 8" xfId="4621" xr:uid="{00000000-0005-0000-0000-0000CE110000}"/>
    <cellStyle name="_Table 6 3 9" xfId="4622" xr:uid="{00000000-0005-0000-0000-0000CF110000}"/>
    <cellStyle name="_Table 6 4" xfId="4623" xr:uid="{00000000-0005-0000-0000-0000D0110000}"/>
    <cellStyle name="_Table 6 5" xfId="4624" xr:uid="{00000000-0005-0000-0000-0000D1110000}"/>
    <cellStyle name="_Table 6 6" xfId="4625" xr:uid="{00000000-0005-0000-0000-0000D2110000}"/>
    <cellStyle name="_Table 6 7" xfId="4626" xr:uid="{00000000-0005-0000-0000-0000D3110000}"/>
    <cellStyle name="_Table 6 8" xfId="4627" xr:uid="{00000000-0005-0000-0000-0000D4110000}"/>
    <cellStyle name="_Table 6 9" xfId="4628" xr:uid="{00000000-0005-0000-0000-0000D5110000}"/>
    <cellStyle name="_Table 7" xfId="4629" xr:uid="{00000000-0005-0000-0000-0000D6110000}"/>
    <cellStyle name="_Table 7 10" xfId="4630" xr:uid="{00000000-0005-0000-0000-0000D7110000}"/>
    <cellStyle name="_Table 7 11" xfId="4631" xr:uid="{00000000-0005-0000-0000-0000D8110000}"/>
    <cellStyle name="_Table 7 12" xfId="4632" xr:uid="{00000000-0005-0000-0000-0000D9110000}"/>
    <cellStyle name="_Table 7 13" xfId="4633" xr:uid="{00000000-0005-0000-0000-0000DA110000}"/>
    <cellStyle name="_Table 7 2" xfId="4634" xr:uid="{00000000-0005-0000-0000-0000DB110000}"/>
    <cellStyle name="_Table 7 2 10" xfId="4635" xr:uid="{00000000-0005-0000-0000-0000DC110000}"/>
    <cellStyle name="_Table 7 2 11" xfId="4636" xr:uid="{00000000-0005-0000-0000-0000DD110000}"/>
    <cellStyle name="_Table 7 2 12" xfId="4637" xr:uid="{00000000-0005-0000-0000-0000DE110000}"/>
    <cellStyle name="_Table 7 2 2" xfId="4638" xr:uid="{00000000-0005-0000-0000-0000DF110000}"/>
    <cellStyle name="_Table 7 2 2 10" xfId="4639" xr:uid="{00000000-0005-0000-0000-0000E0110000}"/>
    <cellStyle name="_Table 7 2 2 2" xfId="4640" xr:uid="{00000000-0005-0000-0000-0000E1110000}"/>
    <cellStyle name="_Table 7 2 2 3" xfId="4641" xr:uid="{00000000-0005-0000-0000-0000E2110000}"/>
    <cellStyle name="_Table 7 2 2 4" xfId="4642" xr:uid="{00000000-0005-0000-0000-0000E3110000}"/>
    <cellStyle name="_Table 7 2 2 5" xfId="4643" xr:uid="{00000000-0005-0000-0000-0000E4110000}"/>
    <cellStyle name="_Table 7 2 2 6" xfId="4644" xr:uid="{00000000-0005-0000-0000-0000E5110000}"/>
    <cellStyle name="_Table 7 2 2 7" xfId="4645" xr:uid="{00000000-0005-0000-0000-0000E6110000}"/>
    <cellStyle name="_Table 7 2 2 8" xfId="4646" xr:uid="{00000000-0005-0000-0000-0000E7110000}"/>
    <cellStyle name="_Table 7 2 2 9" xfId="4647" xr:uid="{00000000-0005-0000-0000-0000E8110000}"/>
    <cellStyle name="_Table 7 2 3" xfId="4648" xr:uid="{00000000-0005-0000-0000-0000E9110000}"/>
    <cellStyle name="_Table 7 2 4" xfId="4649" xr:uid="{00000000-0005-0000-0000-0000EA110000}"/>
    <cellStyle name="_Table 7 2 5" xfId="4650" xr:uid="{00000000-0005-0000-0000-0000EB110000}"/>
    <cellStyle name="_Table 7 2 6" xfId="4651" xr:uid="{00000000-0005-0000-0000-0000EC110000}"/>
    <cellStyle name="_Table 7 2 7" xfId="4652" xr:uid="{00000000-0005-0000-0000-0000ED110000}"/>
    <cellStyle name="_Table 7 2 8" xfId="4653" xr:uid="{00000000-0005-0000-0000-0000EE110000}"/>
    <cellStyle name="_Table 7 2 9" xfId="4654" xr:uid="{00000000-0005-0000-0000-0000EF110000}"/>
    <cellStyle name="_Table 7 3" xfId="4655" xr:uid="{00000000-0005-0000-0000-0000F0110000}"/>
    <cellStyle name="_Table 7 3 10" xfId="4656" xr:uid="{00000000-0005-0000-0000-0000F1110000}"/>
    <cellStyle name="_Table 7 3 11" xfId="4657" xr:uid="{00000000-0005-0000-0000-0000F2110000}"/>
    <cellStyle name="_Table 7 3 2" xfId="4658" xr:uid="{00000000-0005-0000-0000-0000F3110000}"/>
    <cellStyle name="_Table 7 3 3" xfId="4659" xr:uid="{00000000-0005-0000-0000-0000F4110000}"/>
    <cellStyle name="_Table 7 3 4" xfId="4660" xr:uid="{00000000-0005-0000-0000-0000F5110000}"/>
    <cellStyle name="_Table 7 3 5" xfId="4661" xr:uid="{00000000-0005-0000-0000-0000F6110000}"/>
    <cellStyle name="_Table 7 3 6" xfId="4662" xr:uid="{00000000-0005-0000-0000-0000F7110000}"/>
    <cellStyle name="_Table 7 3 7" xfId="4663" xr:uid="{00000000-0005-0000-0000-0000F8110000}"/>
    <cellStyle name="_Table 7 3 8" xfId="4664" xr:uid="{00000000-0005-0000-0000-0000F9110000}"/>
    <cellStyle name="_Table 7 3 9" xfId="4665" xr:uid="{00000000-0005-0000-0000-0000FA110000}"/>
    <cellStyle name="_Table 7 4" xfId="4666" xr:uid="{00000000-0005-0000-0000-0000FB110000}"/>
    <cellStyle name="_Table 7 5" xfId="4667" xr:uid="{00000000-0005-0000-0000-0000FC110000}"/>
    <cellStyle name="_Table 7 6" xfId="4668" xr:uid="{00000000-0005-0000-0000-0000FD110000}"/>
    <cellStyle name="_Table 7 7" xfId="4669" xr:uid="{00000000-0005-0000-0000-0000FE110000}"/>
    <cellStyle name="_Table 7 8" xfId="4670" xr:uid="{00000000-0005-0000-0000-0000FF110000}"/>
    <cellStyle name="_Table 7 9" xfId="4671" xr:uid="{00000000-0005-0000-0000-000000120000}"/>
    <cellStyle name="_Table 8" xfId="4672" xr:uid="{00000000-0005-0000-0000-000001120000}"/>
    <cellStyle name="_Table 8 10" xfId="4673" xr:uid="{00000000-0005-0000-0000-000002120000}"/>
    <cellStyle name="_Table 8 11" xfId="4674" xr:uid="{00000000-0005-0000-0000-000003120000}"/>
    <cellStyle name="_Table 8 12" xfId="4675" xr:uid="{00000000-0005-0000-0000-000004120000}"/>
    <cellStyle name="_Table 8 13" xfId="4676" xr:uid="{00000000-0005-0000-0000-000005120000}"/>
    <cellStyle name="_Table 8 2" xfId="4677" xr:uid="{00000000-0005-0000-0000-000006120000}"/>
    <cellStyle name="_Table 8 2 10" xfId="4678" xr:uid="{00000000-0005-0000-0000-000007120000}"/>
    <cellStyle name="_Table 8 2 11" xfId="4679" xr:uid="{00000000-0005-0000-0000-000008120000}"/>
    <cellStyle name="_Table 8 2 12" xfId="4680" xr:uid="{00000000-0005-0000-0000-000009120000}"/>
    <cellStyle name="_Table 8 2 2" xfId="4681" xr:uid="{00000000-0005-0000-0000-00000A120000}"/>
    <cellStyle name="_Table 8 2 2 10" xfId="4682" xr:uid="{00000000-0005-0000-0000-00000B120000}"/>
    <cellStyle name="_Table 8 2 2 2" xfId="4683" xr:uid="{00000000-0005-0000-0000-00000C120000}"/>
    <cellStyle name="_Table 8 2 2 3" xfId="4684" xr:uid="{00000000-0005-0000-0000-00000D120000}"/>
    <cellStyle name="_Table 8 2 2 4" xfId="4685" xr:uid="{00000000-0005-0000-0000-00000E120000}"/>
    <cellStyle name="_Table 8 2 2 5" xfId="4686" xr:uid="{00000000-0005-0000-0000-00000F120000}"/>
    <cellStyle name="_Table 8 2 2 6" xfId="4687" xr:uid="{00000000-0005-0000-0000-000010120000}"/>
    <cellStyle name="_Table 8 2 2 7" xfId="4688" xr:uid="{00000000-0005-0000-0000-000011120000}"/>
    <cellStyle name="_Table 8 2 2 8" xfId="4689" xr:uid="{00000000-0005-0000-0000-000012120000}"/>
    <cellStyle name="_Table 8 2 2 9" xfId="4690" xr:uid="{00000000-0005-0000-0000-000013120000}"/>
    <cellStyle name="_Table 8 2 3" xfId="4691" xr:uid="{00000000-0005-0000-0000-000014120000}"/>
    <cellStyle name="_Table 8 2 4" xfId="4692" xr:uid="{00000000-0005-0000-0000-000015120000}"/>
    <cellStyle name="_Table 8 2 5" xfId="4693" xr:uid="{00000000-0005-0000-0000-000016120000}"/>
    <cellStyle name="_Table 8 2 6" xfId="4694" xr:uid="{00000000-0005-0000-0000-000017120000}"/>
    <cellStyle name="_Table 8 2 7" xfId="4695" xr:uid="{00000000-0005-0000-0000-000018120000}"/>
    <cellStyle name="_Table 8 2 8" xfId="4696" xr:uid="{00000000-0005-0000-0000-000019120000}"/>
    <cellStyle name="_Table 8 2 9" xfId="4697" xr:uid="{00000000-0005-0000-0000-00001A120000}"/>
    <cellStyle name="_Table 8 3" xfId="4698" xr:uid="{00000000-0005-0000-0000-00001B120000}"/>
    <cellStyle name="_Table 8 3 10" xfId="4699" xr:uid="{00000000-0005-0000-0000-00001C120000}"/>
    <cellStyle name="_Table 8 3 11" xfId="4700" xr:uid="{00000000-0005-0000-0000-00001D120000}"/>
    <cellStyle name="_Table 8 3 2" xfId="4701" xr:uid="{00000000-0005-0000-0000-00001E120000}"/>
    <cellStyle name="_Table 8 3 3" xfId="4702" xr:uid="{00000000-0005-0000-0000-00001F120000}"/>
    <cellStyle name="_Table 8 3 4" xfId="4703" xr:uid="{00000000-0005-0000-0000-000020120000}"/>
    <cellStyle name="_Table 8 3 5" xfId="4704" xr:uid="{00000000-0005-0000-0000-000021120000}"/>
    <cellStyle name="_Table 8 3 6" xfId="4705" xr:uid="{00000000-0005-0000-0000-000022120000}"/>
    <cellStyle name="_Table 8 3 7" xfId="4706" xr:uid="{00000000-0005-0000-0000-000023120000}"/>
    <cellStyle name="_Table 8 3 8" xfId="4707" xr:uid="{00000000-0005-0000-0000-000024120000}"/>
    <cellStyle name="_Table 8 3 9" xfId="4708" xr:uid="{00000000-0005-0000-0000-000025120000}"/>
    <cellStyle name="_Table 8 4" xfId="4709" xr:uid="{00000000-0005-0000-0000-000026120000}"/>
    <cellStyle name="_Table 8 5" xfId="4710" xr:uid="{00000000-0005-0000-0000-000027120000}"/>
    <cellStyle name="_Table 8 6" xfId="4711" xr:uid="{00000000-0005-0000-0000-000028120000}"/>
    <cellStyle name="_Table 8 7" xfId="4712" xr:uid="{00000000-0005-0000-0000-000029120000}"/>
    <cellStyle name="_Table 8 8" xfId="4713" xr:uid="{00000000-0005-0000-0000-00002A120000}"/>
    <cellStyle name="_Table 8 9" xfId="4714" xr:uid="{00000000-0005-0000-0000-00002B120000}"/>
    <cellStyle name="_Table 9" xfId="4715" xr:uid="{00000000-0005-0000-0000-00002C120000}"/>
    <cellStyle name="_Table 9 10" xfId="4716" xr:uid="{00000000-0005-0000-0000-00002D120000}"/>
    <cellStyle name="_Table 9 11" xfId="4717" xr:uid="{00000000-0005-0000-0000-00002E120000}"/>
    <cellStyle name="_Table 9 12" xfId="4718" xr:uid="{00000000-0005-0000-0000-00002F120000}"/>
    <cellStyle name="_Table 9 13" xfId="4719" xr:uid="{00000000-0005-0000-0000-000030120000}"/>
    <cellStyle name="_Table 9 2" xfId="4720" xr:uid="{00000000-0005-0000-0000-000031120000}"/>
    <cellStyle name="_Table 9 2 10" xfId="4721" xr:uid="{00000000-0005-0000-0000-000032120000}"/>
    <cellStyle name="_Table 9 2 11" xfId="4722" xr:uid="{00000000-0005-0000-0000-000033120000}"/>
    <cellStyle name="_Table 9 2 12" xfId="4723" xr:uid="{00000000-0005-0000-0000-000034120000}"/>
    <cellStyle name="_Table 9 2 2" xfId="4724" xr:uid="{00000000-0005-0000-0000-000035120000}"/>
    <cellStyle name="_Table 9 2 2 10" xfId="4725" xr:uid="{00000000-0005-0000-0000-000036120000}"/>
    <cellStyle name="_Table 9 2 2 2" xfId="4726" xr:uid="{00000000-0005-0000-0000-000037120000}"/>
    <cellStyle name="_Table 9 2 2 3" xfId="4727" xr:uid="{00000000-0005-0000-0000-000038120000}"/>
    <cellStyle name="_Table 9 2 2 4" xfId="4728" xr:uid="{00000000-0005-0000-0000-000039120000}"/>
    <cellStyle name="_Table 9 2 2 5" xfId="4729" xr:uid="{00000000-0005-0000-0000-00003A120000}"/>
    <cellStyle name="_Table 9 2 2 6" xfId="4730" xr:uid="{00000000-0005-0000-0000-00003B120000}"/>
    <cellStyle name="_Table 9 2 2 7" xfId="4731" xr:uid="{00000000-0005-0000-0000-00003C120000}"/>
    <cellStyle name="_Table 9 2 2 8" xfId="4732" xr:uid="{00000000-0005-0000-0000-00003D120000}"/>
    <cellStyle name="_Table 9 2 2 9" xfId="4733" xr:uid="{00000000-0005-0000-0000-00003E120000}"/>
    <cellStyle name="_Table 9 2 3" xfId="4734" xr:uid="{00000000-0005-0000-0000-00003F120000}"/>
    <cellStyle name="_Table 9 2 4" xfId="4735" xr:uid="{00000000-0005-0000-0000-000040120000}"/>
    <cellStyle name="_Table 9 2 5" xfId="4736" xr:uid="{00000000-0005-0000-0000-000041120000}"/>
    <cellStyle name="_Table 9 2 6" xfId="4737" xr:uid="{00000000-0005-0000-0000-000042120000}"/>
    <cellStyle name="_Table 9 2 7" xfId="4738" xr:uid="{00000000-0005-0000-0000-000043120000}"/>
    <cellStyle name="_Table 9 2 8" xfId="4739" xr:uid="{00000000-0005-0000-0000-000044120000}"/>
    <cellStyle name="_Table 9 2 9" xfId="4740" xr:uid="{00000000-0005-0000-0000-000045120000}"/>
    <cellStyle name="_Table 9 3" xfId="4741" xr:uid="{00000000-0005-0000-0000-000046120000}"/>
    <cellStyle name="_Table 9 3 10" xfId="4742" xr:uid="{00000000-0005-0000-0000-000047120000}"/>
    <cellStyle name="_Table 9 3 11" xfId="4743" xr:uid="{00000000-0005-0000-0000-000048120000}"/>
    <cellStyle name="_Table 9 3 2" xfId="4744" xr:uid="{00000000-0005-0000-0000-000049120000}"/>
    <cellStyle name="_Table 9 3 3" xfId="4745" xr:uid="{00000000-0005-0000-0000-00004A120000}"/>
    <cellStyle name="_Table 9 3 4" xfId="4746" xr:uid="{00000000-0005-0000-0000-00004B120000}"/>
    <cellStyle name="_Table 9 3 5" xfId="4747" xr:uid="{00000000-0005-0000-0000-00004C120000}"/>
    <cellStyle name="_Table 9 3 6" xfId="4748" xr:uid="{00000000-0005-0000-0000-00004D120000}"/>
    <cellStyle name="_Table 9 3 7" xfId="4749" xr:uid="{00000000-0005-0000-0000-00004E120000}"/>
    <cellStyle name="_Table 9 3 8" xfId="4750" xr:uid="{00000000-0005-0000-0000-00004F120000}"/>
    <cellStyle name="_Table 9 3 9" xfId="4751" xr:uid="{00000000-0005-0000-0000-000050120000}"/>
    <cellStyle name="_Table 9 4" xfId="4752" xr:uid="{00000000-0005-0000-0000-000051120000}"/>
    <cellStyle name="_Table 9 5" xfId="4753" xr:uid="{00000000-0005-0000-0000-000052120000}"/>
    <cellStyle name="_Table 9 6" xfId="4754" xr:uid="{00000000-0005-0000-0000-000053120000}"/>
    <cellStyle name="_Table 9 7" xfId="4755" xr:uid="{00000000-0005-0000-0000-000054120000}"/>
    <cellStyle name="_Table 9 8" xfId="4756" xr:uid="{00000000-0005-0000-0000-000055120000}"/>
    <cellStyle name="_Table 9 9" xfId="4757" xr:uid="{00000000-0005-0000-0000-000056120000}"/>
    <cellStyle name="_Table_Apple_CMD Model_31 Aug 2010" xfId="4758" xr:uid="{00000000-0005-0000-0000-000057120000}"/>
    <cellStyle name="_Table_Apple_CMD Model_31 Aug 2010 10" xfId="4759" xr:uid="{00000000-0005-0000-0000-000058120000}"/>
    <cellStyle name="_Table_Apple_CMD Model_31 Aug 2010 10 10" xfId="4760" xr:uid="{00000000-0005-0000-0000-000059120000}"/>
    <cellStyle name="_Table_Apple_CMD Model_31 Aug 2010 10 11" xfId="4761" xr:uid="{00000000-0005-0000-0000-00005A120000}"/>
    <cellStyle name="_Table_Apple_CMD Model_31 Aug 2010 10 12" xfId="4762" xr:uid="{00000000-0005-0000-0000-00005B120000}"/>
    <cellStyle name="_Table_Apple_CMD Model_31 Aug 2010 10 13" xfId="4763" xr:uid="{00000000-0005-0000-0000-00005C120000}"/>
    <cellStyle name="_Table_Apple_CMD Model_31 Aug 2010 10 2" xfId="4764" xr:uid="{00000000-0005-0000-0000-00005D120000}"/>
    <cellStyle name="_Table_Apple_CMD Model_31 Aug 2010 10 2 10" xfId="4765" xr:uid="{00000000-0005-0000-0000-00005E120000}"/>
    <cellStyle name="_Table_Apple_CMD Model_31 Aug 2010 10 2 11" xfId="4766" xr:uid="{00000000-0005-0000-0000-00005F120000}"/>
    <cellStyle name="_Table_Apple_CMD Model_31 Aug 2010 10 2 12" xfId="4767" xr:uid="{00000000-0005-0000-0000-000060120000}"/>
    <cellStyle name="_Table_Apple_CMD Model_31 Aug 2010 10 2 2" xfId="4768" xr:uid="{00000000-0005-0000-0000-000061120000}"/>
    <cellStyle name="_Table_Apple_CMD Model_31 Aug 2010 10 2 2 10" xfId="4769" xr:uid="{00000000-0005-0000-0000-000062120000}"/>
    <cellStyle name="_Table_Apple_CMD Model_31 Aug 2010 10 2 2 2" xfId="4770" xr:uid="{00000000-0005-0000-0000-000063120000}"/>
    <cellStyle name="_Table_Apple_CMD Model_31 Aug 2010 10 2 2 3" xfId="4771" xr:uid="{00000000-0005-0000-0000-000064120000}"/>
    <cellStyle name="_Table_Apple_CMD Model_31 Aug 2010 10 2 2 4" xfId="4772" xr:uid="{00000000-0005-0000-0000-000065120000}"/>
    <cellStyle name="_Table_Apple_CMD Model_31 Aug 2010 10 2 2 5" xfId="4773" xr:uid="{00000000-0005-0000-0000-000066120000}"/>
    <cellStyle name="_Table_Apple_CMD Model_31 Aug 2010 10 2 2 6" xfId="4774" xr:uid="{00000000-0005-0000-0000-000067120000}"/>
    <cellStyle name="_Table_Apple_CMD Model_31 Aug 2010 10 2 2 7" xfId="4775" xr:uid="{00000000-0005-0000-0000-000068120000}"/>
    <cellStyle name="_Table_Apple_CMD Model_31 Aug 2010 10 2 2 8" xfId="4776" xr:uid="{00000000-0005-0000-0000-000069120000}"/>
    <cellStyle name="_Table_Apple_CMD Model_31 Aug 2010 10 2 2 9" xfId="4777" xr:uid="{00000000-0005-0000-0000-00006A120000}"/>
    <cellStyle name="_Table_Apple_CMD Model_31 Aug 2010 10 2 3" xfId="4778" xr:uid="{00000000-0005-0000-0000-00006B120000}"/>
    <cellStyle name="_Table_Apple_CMD Model_31 Aug 2010 10 2 4" xfId="4779" xr:uid="{00000000-0005-0000-0000-00006C120000}"/>
    <cellStyle name="_Table_Apple_CMD Model_31 Aug 2010 10 2 5" xfId="4780" xr:uid="{00000000-0005-0000-0000-00006D120000}"/>
    <cellStyle name="_Table_Apple_CMD Model_31 Aug 2010 10 2 6" xfId="4781" xr:uid="{00000000-0005-0000-0000-00006E120000}"/>
    <cellStyle name="_Table_Apple_CMD Model_31 Aug 2010 10 2 7" xfId="4782" xr:uid="{00000000-0005-0000-0000-00006F120000}"/>
    <cellStyle name="_Table_Apple_CMD Model_31 Aug 2010 10 2 8" xfId="4783" xr:uid="{00000000-0005-0000-0000-000070120000}"/>
    <cellStyle name="_Table_Apple_CMD Model_31 Aug 2010 10 2 9" xfId="4784" xr:uid="{00000000-0005-0000-0000-000071120000}"/>
    <cellStyle name="_Table_Apple_CMD Model_31 Aug 2010 10 3" xfId="4785" xr:uid="{00000000-0005-0000-0000-000072120000}"/>
    <cellStyle name="_Table_Apple_CMD Model_31 Aug 2010 10 3 10" xfId="4786" xr:uid="{00000000-0005-0000-0000-000073120000}"/>
    <cellStyle name="_Table_Apple_CMD Model_31 Aug 2010 10 3 11" xfId="4787" xr:uid="{00000000-0005-0000-0000-000074120000}"/>
    <cellStyle name="_Table_Apple_CMD Model_31 Aug 2010 10 3 2" xfId="4788" xr:uid="{00000000-0005-0000-0000-000075120000}"/>
    <cellStyle name="_Table_Apple_CMD Model_31 Aug 2010 10 3 3" xfId="4789" xr:uid="{00000000-0005-0000-0000-000076120000}"/>
    <cellStyle name="_Table_Apple_CMD Model_31 Aug 2010 10 3 4" xfId="4790" xr:uid="{00000000-0005-0000-0000-000077120000}"/>
    <cellStyle name="_Table_Apple_CMD Model_31 Aug 2010 10 3 5" xfId="4791" xr:uid="{00000000-0005-0000-0000-000078120000}"/>
    <cellStyle name="_Table_Apple_CMD Model_31 Aug 2010 10 3 6" xfId="4792" xr:uid="{00000000-0005-0000-0000-000079120000}"/>
    <cellStyle name="_Table_Apple_CMD Model_31 Aug 2010 10 3 7" xfId="4793" xr:uid="{00000000-0005-0000-0000-00007A120000}"/>
    <cellStyle name="_Table_Apple_CMD Model_31 Aug 2010 10 3 8" xfId="4794" xr:uid="{00000000-0005-0000-0000-00007B120000}"/>
    <cellStyle name="_Table_Apple_CMD Model_31 Aug 2010 10 3 9" xfId="4795" xr:uid="{00000000-0005-0000-0000-00007C120000}"/>
    <cellStyle name="_Table_Apple_CMD Model_31 Aug 2010 10 4" xfId="4796" xr:uid="{00000000-0005-0000-0000-00007D120000}"/>
    <cellStyle name="_Table_Apple_CMD Model_31 Aug 2010 10 5" xfId="4797" xr:uid="{00000000-0005-0000-0000-00007E120000}"/>
    <cellStyle name="_Table_Apple_CMD Model_31 Aug 2010 10 6" xfId="4798" xr:uid="{00000000-0005-0000-0000-00007F120000}"/>
    <cellStyle name="_Table_Apple_CMD Model_31 Aug 2010 10 7" xfId="4799" xr:uid="{00000000-0005-0000-0000-000080120000}"/>
    <cellStyle name="_Table_Apple_CMD Model_31 Aug 2010 10 8" xfId="4800" xr:uid="{00000000-0005-0000-0000-000081120000}"/>
    <cellStyle name="_Table_Apple_CMD Model_31 Aug 2010 10 9" xfId="4801" xr:uid="{00000000-0005-0000-0000-000082120000}"/>
    <cellStyle name="_Table_Apple_CMD Model_31 Aug 2010 11" xfId="4802" xr:uid="{00000000-0005-0000-0000-000083120000}"/>
    <cellStyle name="_Table_Apple_CMD Model_31 Aug 2010 11 10" xfId="4803" xr:uid="{00000000-0005-0000-0000-000084120000}"/>
    <cellStyle name="_Table_Apple_CMD Model_31 Aug 2010 11 11" xfId="4804" xr:uid="{00000000-0005-0000-0000-000085120000}"/>
    <cellStyle name="_Table_Apple_CMD Model_31 Aug 2010 11 12" xfId="4805" xr:uid="{00000000-0005-0000-0000-000086120000}"/>
    <cellStyle name="_Table_Apple_CMD Model_31 Aug 2010 11 13" xfId="4806" xr:uid="{00000000-0005-0000-0000-000087120000}"/>
    <cellStyle name="_Table_Apple_CMD Model_31 Aug 2010 11 2" xfId="4807" xr:uid="{00000000-0005-0000-0000-000088120000}"/>
    <cellStyle name="_Table_Apple_CMD Model_31 Aug 2010 11 2 10" xfId="4808" xr:uid="{00000000-0005-0000-0000-000089120000}"/>
    <cellStyle name="_Table_Apple_CMD Model_31 Aug 2010 11 2 11" xfId="4809" xr:uid="{00000000-0005-0000-0000-00008A120000}"/>
    <cellStyle name="_Table_Apple_CMD Model_31 Aug 2010 11 2 12" xfId="4810" xr:uid="{00000000-0005-0000-0000-00008B120000}"/>
    <cellStyle name="_Table_Apple_CMD Model_31 Aug 2010 11 2 2" xfId="4811" xr:uid="{00000000-0005-0000-0000-00008C120000}"/>
    <cellStyle name="_Table_Apple_CMD Model_31 Aug 2010 11 2 2 10" xfId="4812" xr:uid="{00000000-0005-0000-0000-00008D120000}"/>
    <cellStyle name="_Table_Apple_CMD Model_31 Aug 2010 11 2 2 2" xfId="4813" xr:uid="{00000000-0005-0000-0000-00008E120000}"/>
    <cellStyle name="_Table_Apple_CMD Model_31 Aug 2010 11 2 2 3" xfId="4814" xr:uid="{00000000-0005-0000-0000-00008F120000}"/>
    <cellStyle name="_Table_Apple_CMD Model_31 Aug 2010 11 2 2 4" xfId="4815" xr:uid="{00000000-0005-0000-0000-000090120000}"/>
    <cellStyle name="_Table_Apple_CMD Model_31 Aug 2010 11 2 2 5" xfId="4816" xr:uid="{00000000-0005-0000-0000-000091120000}"/>
    <cellStyle name="_Table_Apple_CMD Model_31 Aug 2010 11 2 2 6" xfId="4817" xr:uid="{00000000-0005-0000-0000-000092120000}"/>
    <cellStyle name="_Table_Apple_CMD Model_31 Aug 2010 11 2 2 7" xfId="4818" xr:uid="{00000000-0005-0000-0000-000093120000}"/>
    <cellStyle name="_Table_Apple_CMD Model_31 Aug 2010 11 2 2 8" xfId="4819" xr:uid="{00000000-0005-0000-0000-000094120000}"/>
    <cellStyle name="_Table_Apple_CMD Model_31 Aug 2010 11 2 2 9" xfId="4820" xr:uid="{00000000-0005-0000-0000-000095120000}"/>
    <cellStyle name="_Table_Apple_CMD Model_31 Aug 2010 11 2 3" xfId="4821" xr:uid="{00000000-0005-0000-0000-000096120000}"/>
    <cellStyle name="_Table_Apple_CMD Model_31 Aug 2010 11 2 4" xfId="4822" xr:uid="{00000000-0005-0000-0000-000097120000}"/>
    <cellStyle name="_Table_Apple_CMD Model_31 Aug 2010 11 2 5" xfId="4823" xr:uid="{00000000-0005-0000-0000-000098120000}"/>
    <cellStyle name="_Table_Apple_CMD Model_31 Aug 2010 11 2 6" xfId="4824" xr:uid="{00000000-0005-0000-0000-000099120000}"/>
    <cellStyle name="_Table_Apple_CMD Model_31 Aug 2010 11 2 7" xfId="4825" xr:uid="{00000000-0005-0000-0000-00009A120000}"/>
    <cellStyle name="_Table_Apple_CMD Model_31 Aug 2010 11 2 8" xfId="4826" xr:uid="{00000000-0005-0000-0000-00009B120000}"/>
    <cellStyle name="_Table_Apple_CMD Model_31 Aug 2010 11 2 9" xfId="4827" xr:uid="{00000000-0005-0000-0000-00009C120000}"/>
    <cellStyle name="_Table_Apple_CMD Model_31 Aug 2010 11 3" xfId="4828" xr:uid="{00000000-0005-0000-0000-00009D120000}"/>
    <cellStyle name="_Table_Apple_CMD Model_31 Aug 2010 11 3 10" xfId="4829" xr:uid="{00000000-0005-0000-0000-00009E120000}"/>
    <cellStyle name="_Table_Apple_CMD Model_31 Aug 2010 11 3 11" xfId="4830" xr:uid="{00000000-0005-0000-0000-00009F120000}"/>
    <cellStyle name="_Table_Apple_CMD Model_31 Aug 2010 11 3 2" xfId="4831" xr:uid="{00000000-0005-0000-0000-0000A0120000}"/>
    <cellStyle name="_Table_Apple_CMD Model_31 Aug 2010 11 3 3" xfId="4832" xr:uid="{00000000-0005-0000-0000-0000A1120000}"/>
    <cellStyle name="_Table_Apple_CMD Model_31 Aug 2010 11 3 4" xfId="4833" xr:uid="{00000000-0005-0000-0000-0000A2120000}"/>
    <cellStyle name="_Table_Apple_CMD Model_31 Aug 2010 11 3 5" xfId="4834" xr:uid="{00000000-0005-0000-0000-0000A3120000}"/>
    <cellStyle name="_Table_Apple_CMD Model_31 Aug 2010 11 3 6" xfId="4835" xr:uid="{00000000-0005-0000-0000-0000A4120000}"/>
    <cellStyle name="_Table_Apple_CMD Model_31 Aug 2010 11 3 7" xfId="4836" xr:uid="{00000000-0005-0000-0000-0000A5120000}"/>
    <cellStyle name="_Table_Apple_CMD Model_31 Aug 2010 11 3 8" xfId="4837" xr:uid="{00000000-0005-0000-0000-0000A6120000}"/>
    <cellStyle name="_Table_Apple_CMD Model_31 Aug 2010 11 3 9" xfId="4838" xr:uid="{00000000-0005-0000-0000-0000A7120000}"/>
    <cellStyle name="_Table_Apple_CMD Model_31 Aug 2010 11 4" xfId="4839" xr:uid="{00000000-0005-0000-0000-0000A8120000}"/>
    <cellStyle name="_Table_Apple_CMD Model_31 Aug 2010 11 5" xfId="4840" xr:uid="{00000000-0005-0000-0000-0000A9120000}"/>
    <cellStyle name="_Table_Apple_CMD Model_31 Aug 2010 11 6" xfId="4841" xr:uid="{00000000-0005-0000-0000-0000AA120000}"/>
    <cellStyle name="_Table_Apple_CMD Model_31 Aug 2010 11 7" xfId="4842" xr:uid="{00000000-0005-0000-0000-0000AB120000}"/>
    <cellStyle name="_Table_Apple_CMD Model_31 Aug 2010 11 8" xfId="4843" xr:uid="{00000000-0005-0000-0000-0000AC120000}"/>
    <cellStyle name="_Table_Apple_CMD Model_31 Aug 2010 11 9" xfId="4844" xr:uid="{00000000-0005-0000-0000-0000AD120000}"/>
    <cellStyle name="_Table_Apple_CMD Model_31 Aug 2010 12" xfId="4845" xr:uid="{00000000-0005-0000-0000-0000AE120000}"/>
    <cellStyle name="_Table_Apple_CMD Model_31 Aug 2010 12 10" xfId="4846" xr:uid="{00000000-0005-0000-0000-0000AF120000}"/>
    <cellStyle name="_Table_Apple_CMD Model_31 Aug 2010 12 11" xfId="4847" xr:uid="{00000000-0005-0000-0000-0000B0120000}"/>
    <cellStyle name="_Table_Apple_CMD Model_31 Aug 2010 12 12" xfId="4848" xr:uid="{00000000-0005-0000-0000-0000B1120000}"/>
    <cellStyle name="_Table_Apple_CMD Model_31 Aug 2010 12 13" xfId="4849" xr:uid="{00000000-0005-0000-0000-0000B2120000}"/>
    <cellStyle name="_Table_Apple_CMD Model_31 Aug 2010 12 2" xfId="4850" xr:uid="{00000000-0005-0000-0000-0000B3120000}"/>
    <cellStyle name="_Table_Apple_CMD Model_31 Aug 2010 12 2 10" xfId="4851" xr:uid="{00000000-0005-0000-0000-0000B4120000}"/>
    <cellStyle name="_Table_Apple_CMD Model_31 Aug 2010 12 2 11" xfId="4852" xr:uid="{00000000-0005-0000-0000-0000B5120000}"/>
    <cellStyle name="_Table_Apple_CMD Model_31 Aug 2010 12 2 12" xfId="4853" xr:uid="{00000000-0005-0000-0000-0000B6120000}"/>
    <cellStyle name="_Table_Apple_CMD Model_31 Aug 2010 12 2 2" xfId="4854" xr:uid="{00000000-0005-0000-0000-0000B7120000}"/>
    <cellStyle name="_Table_Apple_CMD Model_31 Aug 2010 12 2 2 10" xfId="4855" xr:uid="{00000000-0005-0000-0000-0000B8120000}"/>
    <cellStyle name="_Table_Apple_CMD Model_31 Aug 2010 12 2 2 2" xfId="4856" xr:uid="{00000000-0005-0000-0000-0000B9120000}"/>
    <cellStyle name="_Table_Apple_CMD Model_31 Aug 2010 12 2 2 3" xfId="4857" xr:uid="{00000000-0005-0000-0000-0000BA120000}"/>
    <cellStyle name="_Table_Apple_CMD Model_31 Aug 2010 12 2 2 4" xfId="4858" xr:uid="{00000000-0005-0000-0000-0000BB120000}"/>
    <cellStyle name="_Table_Apple_CMD Model_31 Aug 2010 12 2 2 5" xfId="4859" xr:uid="{00000000-0005-0000-0000-0000BC120000}"/>
    <cellStyle name="_Table_Apple_CMD Model_31 Aug 2010 12 2 2 6" xfId="4860" xr:uid="{00000000-0005-0000-0000-0000BD120000}"/>
    <cellStyle name="_Table_Apple_CMD Model_31 Aug 2010 12 2 2 7" xfId="4861" xr:uid="{00000000-0005-0000-0000-0000BE120000}"/>
    <cellStyle name="_Table_Apple_CMD Model_31 Aug 2010 12 2 2 8" xfId="4862" xr:uid="{00000000-0005-0000-0000-0000BF120000}"/>
    <cellStyle name="_Table_Apple_CMD Model_31 Aug 2010 12 2 2 9" xfId="4863" xr:uid="{00000000-0005-0000-0000-0000C0120000}"/>
    <cellStyle name="_Table_Apple_CMD Model_31 Aug 2010 12 2 3" xfId="4864" xr:uid="{00000000-0005-0000-0000-0000C1120000}"/>
    <cellStyle name="_Table_Apple_CMD Model_31 Aug 2010 12 2 4" xfId="4865" xr:uid="{00000000-0005-0000-0000-0000C2120000}"/>
    <cellStyle name="_Table_Apple_CMD Model_31 Aug 2010 12 2 5" xfId="4866" xr:uid="{00000000-0005-0000-0000-0000C3120000}"/>
    <cellStyle name="_Table_Apple_CMD Model_31 Aug 2010 12 2 6" xfId="4867" xr:uid="{00000000-0005-0000-0000-0000C4120000}"/>
    <cellStyle name="_Table_Apple_CMD Model_31 Aug 2010 12 2 7" xfId="4868" xr:uid="{00000000-0005-0000-0000-0000C5120000}"/>
    <cellStyle name="_Table_Apple_CMD Model_31 Aug 2010 12 2 8" xfId="4869" xr:uid="{00000000-0005-0000-0000-0000C6120000}"/>
    <cellStyle name="_Table_Apple_CMD Model_31 Aug 2010 12 2 9" xfId="4870" xr:uid="{00000000-0005-0000-0000-0000C7120000}"/>
    <cellStyle name="_Table_Apple_CMD Model_31 Aug 2010 12 3" xfId="4871" xr:uid="{00000000-0005-0000-0000-0000C8120000}"/>
    <cellStyle name="_Table_Apple_CMD Model_31 Aug 2010 12 3 10" xfId="4872" xr:uid="{00000000-0005-0000-0000-0000C9120000}"/>
    <cellStyle name="_Table_Apple_CMD Model_31 Aug 2010 12 3 11" xfId="4873" xr:uid="{00000000-0005-0000-0000-0000CA120000}"/>
    <cellStyle name="_Table_Apple_CMD Model_31 Aug 2010 12 3 2" xfId="4874" xr:uid="{00000000-0005-0000-0000-0000CB120000}"/>
    <cellStyle name="_Table_Apple_CMD Model_31 Aug 2010 12 3 3" xfId="4875" xr:uid="{00000000-0005-0000-0000-0000CC120000}"/>
    <cellStyle name="_Table_Apple_CMD Model_31 Aug 2010 12 3 4" xfId="4876" xr:uid="{00000000-0005-0000-0000-0000CD120000}"/>
    <cellStyle name="_Table_Apple_CMD Model_31 Aug 2010 12 3 5" xfId="4877" xr:uid="{00000000-0005-0000-0000-0000CE120000}"/>
    <cellStyle name="_Table_Apple_CMD Model_31 Aug 2010 12 3 6" xfId="4878" xr:uid="{00000000-0005-0000-0000-0000CF120000}"/>
    <cellStyle name="_Table_Apple_CMD Model_31 Aug 2010 12 3 7" xfId="4879" xr:uid="{00000000-0005-0000-0000-0000D0120000}"/>
    <cellStyle name="_Table_Apple_CMD Model_31 Aug 2010 12 3 8" xfId="4880" xr:uid="{00000000-0005-0000-0000-0000D1120000}"/>
    <cellStyle name="_Table_Apple_CMD Model_31 Aug 2010 12 3 9" xfId="4881" xr:uid="{00000000-0005-0000-0000-0000D2120000}"/>
    <cellStyle name="_Table_Apple_CMD Model_31 Aug 2010 12 4" xfId="4882" xr:uid="{00000000-0005-0000-0000-0000D3120000}"/>
    <cellStyle name="_Table_Apple_CMD Model_31 Aug 2010 12 5" xfId="4883" xr:uid="{00000000-0005-0000-0000-0000D4120000}"/>
    <cellStyle name="_Table_Apple_CMD Model_31 Aug 2010 12 6" xfId="4884" xr:uid="{00000000-0005-0000-0000-0000D5120000}"/>
    <cellStyle name="_Table_Apple_CMD Model_31 Aug 2010 12 7" xfId="4885" xr:uid="{00000000-0005-0000-0000-0000D6120000}"/>
    <cellStyle name="_Table_Apple_CMD Model_31 Aug 2010 12 8" xfId="4886" xr:uid="{00000000-0005-0000-0000-0000D7120000}"/>
    <cellStyle name="_Table_Apple_CMD Model_31 Aug 2010 12 9" xfId="4887" xr:uid="{00000000-0005-0000-0000-0000D8120000}"/>
    <cellStyle name="_Table_Apple_CMD Model_31 Aug 2010 13" xfId="4888" xr:uid="{00000000-0005-0000-0000-0000D9120000}"/>
    <cellStyle name="_Table_Apple_CMD Model_31 Aug 2010 13 10" xfId="4889" xr:uid="{00000000-0005-0000-0000-0000DA120000}"/>
    <cellStyle name="_Table_Apple_CMD Model_31 Aug 2010 13 11" xfId="4890" xr:uid="{00000000-0005-0000-0000-0000DB120000}"/>
    <cellStyle name="_Table_Apple_CMD Model_31 Aug 2010 13 12" xfId="4891" xr:uid="{00000000-0005-0000-0000-0000DC120000}"/>
    <cellStyle name="_Table_Apple_CMD Model_31 Aug 2010 13 2" xfId="4892" xr:uid="{00000000-0005-0000-0000-0000DD120000}"/>
    <cellStyle name="_Table_Apple_CMD Model_31 Aug 2010 13 2 10" xfId="4893" xr:uid="{00000000-0005-0000-0000-0000DE120000}"/>
    <cellStyle name="_Table_Apple_CMD Model_31 Aug 2010 13 2 2" xfId="4894" xr:uid="{00000000-0005-0000-0000-0000DF120000}"/>
    <cellStyle name="_Table_Apple_CMD Model_31 Aug 2010 13 2 3" xfId="4895" xr:uid="{00000000-0005-0000-0000-0000E0120000}"/>
    <cellStyle name="_Table_Apple_CMD Model_31 Aug 2010 13 2 4" xfId="4896" xr:uid="{00000000-0005-0000-0000-0000E1120000}"/>
    <cellStyle name="_Table_Apple_CMD Model_31 Aug 2010 13 2 5" xfId="4897" xr:uid="{00000000-0005-0000-0000-0000E2120000}"/>
    <cellStyle name="_Table_Apple_CMD Model_31 Aug 2010 13 2 6" xfId="4898" xr:uid="{00000000-0005-0000-0000-0000E3120000}"/>
    <cellStyle name="_Table_Apple_CMD Model_31 Aug 2010 13 2 7" xfId="4899" xr:uid="{00000000-0005-0000-0000-0000E4120000}"/>
    <cellStyle name="_Table_Apple_CMD Model_31 Aug 2010 13 2 8" xfId="4900" xr:uid="{00000000-0005-0000-0000-0000E5120000}"/>
    <cellStyle name="_Table_Apple_CMD Model_31 Aug 2010 13 2 9" xfId="4901" xr:uid="{00000000-0005-0000-0000-0000E6120000}"/>
    <cellStyle name="_Table_Apple_CMD Model_31 Aug 2010 13 3" xfId="4902" xr:uid="{00000000-0005-0000-0000-0000E7120000}"/>
    <cellStyle name="_Table_Apple_CMD Model_31 Aug 2010 13 4" xfId="4903" xr:uid="{00000000-0005-0000-0000-0000E8120000}"/>
    <cellStyle name="_Table_Apple_CMD Model_31 Aug 2010 13 5" xfId="4904" xr:uid="{00000000-0005-0000-0000-0000E9120000}"/>
    <cellStyle name="_Table_Apple_CMD Model_31 Aug 2010 13 6" xfId="4905" xr:uid="{00000000-0005-0000-0000-0000EA120000}"/>
    <cellStyle name="_Table_Apple_CMD Model_31 Aug 2010 13 7" xfId="4906" xr:uid="{00000000-0005-0000-0000-0000EB120000}"/>
    <cellStyle name="_Table_Apple_CMD Model_31 Aug 2010 13 8" xfId="4907" xr:uid="{00000000-0005-0000-0000-0000EC120000}"/>
    <cellStyle name="_Table_Apple_CMD Model_31 Aug 2010 13 9" xfId="4908" xr:uid="{00000000-0005-0000-0000-0000ED120000}"/>
    <cellStyle name="_Table_Apple_CMD Model_31 Aug 2010 14" xfId="4909" xr:uid="{00000000-0005-0000-0000-0000EE120000}"/>
    <cellStyle name="_Table_Apple_CMD Model_31 Aug 2010 14 10" xfId="4910" xr:uid="{00000000-0005-0000-0000-0000EF120000}"/>
    <cellStyle name="_Table_Apple_CMD Model_31 Aug 2010 14 11" xfId="4911" xr:uid="{00000000-0005-0000-0000-0000F0120000}"/>
    <cellStyle name="_Table_Apple_CMD Model_31 Aug 2010 14 2" xfId="4912" xr:uid="{00000000-0005-0000-0000-0000F1120000}"/>
    <cellStyle name="_Table_Apple_CMD Model_31 Aug 2010 14 3" xfId="4913" xr:uid="{00000000-0005-0000-0000-0000F2120000}"/>
    <cellStyle name="_Table_Apple_CMD Model_31 Aug 2010 14 4" xfId="4914" xr:uid="{00000000-0005-0000-0000-0000F3120000}"/>
    <cellStyle name="_Table_Apple_CMD Model_31 Aug 2010 14 5" xfId="4915" xr:uid="{00000000-0005-0000-0000-0000F4120000}"/>
    <cellStyle name="_Table_Apple_CMD Model_31 Aug 2010 14 6" xfId="4916" xr:uid="{00000000-0005-0000-0000-0000F5120000}"/>
    <cellStyle name="_Table_Apple_CMD Model_31 Aug 2010 14 7" xfId="4917" xr:uid="{00000000-0005-0000-0000-0000F6120000}"/>
    <cellStyle name="_Table_Apple_CMD Model_31 Aug 2010 14 8" xfId="4918" xr:uid="{00000000-0005-0000-0000-0000F7120000}"/>
    <cellStyle name="_Table_Apple_CMD Model_31 Aug 2010 14 9" xfId="4919" xr:uid="{00000000-0005-0000-0000-0000F8120000}"/>
    <cellStyle name="_Table_Apple_CMD Model_31 Aug 2010 15" xfId="4920" xr:uid="{00000000-0005-0000-0000-0000F9120000}"/>
    <cellStyle name="_Table_Apple_CMD Model_31 Aug 2010 16" xfId="4921" xr:uid="{00000000-0005-0000-0000-0000FA120000}"/>
    <cellStyle name="_Table_Apple_CMD Model_31 Aug 2010 17" xfId="4922" xr:uid="{00000000-0005-0000-0000-0000FB120000}"/>
    <cellStyle name="_Table_Apple_CMD Model_31 Aug 2010 18" xfId="4923" xr:uid="{00000000-0005-0000-0000-0000FC120000}"/>
    <cellStyle name="_Table_Apple_CMD Model_31 Aug 2010 19" xfId="4924" xr:uid="{00000000-0005-0000-0000-0000FD120000}"/>
    <cellStyle name="_Table_Apple_CMD Model_31 Aug 2010 2" xfId="4925" xr:uid="{00000000-0005-0000-0000-0000FE120000}"/>
    <cellStyle name="_Table_Apple_CMD Model_31 Aug 2010 2 10" xfId="4926" xr:uid="{00000000-0005-0000-0000-0000FF120000}"/>
    <cellStyle name="_Table_Apple_CMD Model_31 Aug 2010 2 11" xfId="4927" xr:uid="{00000000-0005-0000-0000-000000130000}"/>
    <cellStyle name="_Table_Apple_CMD Model_31 Aug 2010 2 12" xfId="4928" xr:uid="{00000000-0005-0000-0000-000001130000}"/>
    <cellStyle name="_Table_Apple_CMD Model_31 Aug 2010 2 13" xfId="4929" xr:uid="{00000000-0005-0000-0000-000002130000}"/>
    <cellStyle name="_Table_Apple_CMD Model_31 Aug 2010 2 2" xfId="4930" xr:uid="{00000000-0005-0000-0000-000003130000}"/>
    <cellStyle name="_Table_Apple_CMD Model_31 Aug 2010 2 2 10" xfId="4931" xr:uid="{00000000-0005-0000-0000-000004130000}"/>
    <cellStyle name="_Table_Apple_CMD Model_31 Aug 2010 2 2 11" xfId="4932" xr:uid="{00000000-0005-0000-0000-000005130000}"/>
    <cellStyle name="_Table_Apple_CMD Model_31 Aug 2010 2 2 12" xfId="4933" xr:uid="{00000000-0005-0000-0000-000006130000}"/>
    <cellStyle name="_Table_Apple_CMD Model_31 Aug 2010 2 2 2" xfId="4934" xr:uid="{00000000-0005-0000-0000-000007130000}"/>
    <cellStyle name="_Table_Apple_CMD Model_31 Aug 2010 2 2 2 10" xfId="4935" xr:uid="{00000000-0005-0000-0000-000008130000}"/>
    <cellStyle name="_Table_Apple_CMD Model_31 Aug 2010 2 2 2 2" xfId="4936" xr:uid="{00000000-0005-0000-0000-000009130000}"/>
    <cellStyle name="_Table_Apple_CMD Model_31 Aug 2010 2 2 2 3" xfId="4937" xr:uid="{00000000-0005-0000-0000-00000A130000}"/>
    <cellStyle name="_Table_Apple_CMD Model_31 Aug 2010 2 2 2 4" xfId="4938" xr:uid="{00000000-0005-0000-0000-00000B130000}"/>
    <cellStyle name="_Table_Apple_CMD Model_31 Aug 2010 2 2 2 5" xfId="4939" xr:uid="{00000000-0005-0000-0000-00000C130000}"/>
    <cellStyle name="_Table_Apple_CMD Model_31 Aug 2010 2 2 2 6" xfId="4940" xr:uid="{00000000-0005-0000-0000-00000D130000}"/>
    <cellStyle name="_Table_Apple_CMD Model_31 Aug 2010 2 2 2 7" xfId="4941" xr:uid="{00000000-0005-0000-0000-00000E130000}"/>
    <cellStyle name="_Table_Apple_CMD Model_31 Aug 2010 2 2 2 8" xfId="4942" xr:uid="{00000000-0005-0000-0000-00000F130000}"/>
    <cellStyle name="_Table_Apple_CMD Model_31 Aug 2010 2 2 2 9" xfId="4943" xr:uid="{00000000-0005-0000-0000-000010130000}"/>
    <cellStyle name="_Table_Apple_CMD Model_31 Aug 2010 2 2 3" xfId="4944" xr:uid="{00000000-0005-0000-0000-000011130000}"/>
    <cellStyle name="_Table_Apple_CMD Model_31 Aug 2010 2 2 4" xfId="4945" xr:uid="{00000000-0005-0000-0000-000012130000}"/>
    <cellStyle name="_Table_Apple_CMD Model_31 Aug 2010 2 2 5" xfId="4946" xr:uid="{00000000-0005-0000-0000-000013130000}"/>
    <cellStyle name="_Table_Apple_CMD Model_31 Aug 2010 2 2 6" xfId="4947" xr:uid="{00000000-0005-0000-0000-000014130000}"/>
    <cellStyle name="_Table_Apple_CMD Model_31 Aug 2010 2 2 7" xfId="4948" xr:uid="{00000000-0005-0000-0000-000015130000}"/>
    <cellStyle name="_Table_Apple_CMD Model_31 Aug 2010 2 2 8" xfId="4949" xr:uid="{00000000-0005-0000-0000-000016130000}"/>
    <cellStyle name="_Table_Apple_CMD Model_31 Aug 2010 2 2 9" xfId="4950" xr:uid="{00000000-0005-0000-0000-000017130000}"/>
    <cellStyle name="_Table_Apple_CMD Model_31 Aug 2010 2 3" xfId="4951" xr:uid="{00000000-0005-0000-0000-000018130000}"/>
    <cellStyle name="_Table_Apple_CMD Model_31 Aug 2010 2 3 10" xfId="4952" xr:uid="{00000000-0005-0000-0000-000019130000}"/>
    <cellStyle name="_Table_Apple_CMD Model_31 Aug 2010 2 3 11" xfId="4953" xr:uid="{00000000-0005-0000-0000-00001A130000}"/>
    <cellStyle name="_Table_Apple_CMD Model_31 Aug 2010 2 3 2" xfId="4954" xr:uid="{00000000-0005-0000-0000-00001B130000}"/>
    <cellStyle name="_Table_Apple_CMD Model_31 Aug 2010 2 3 3" xfId="4955" xr:uid="{00000000-0005-0000-0000-00001C130000}"/>
    <cellStyle name="_Table_Apple_CMD Model_31 Aug 2010 2 3 4" xfId="4956" xr:uid="{00000000-0005-0000-0000-00001D130000}"/>
    <cellStyle name="_Table_Apple_CMD Model_31 Aug 2010 2 3 5" xfId="4957" xr:uid="{00000000-0005-0000-0000-00001E130000}"/>
    <cellStyle name="_Table_Apple_CMD Model_31 Aug 2010 2 3 6" xfId="4958" xr:uid="{00000000-0005-0000-0000-00001F130000}"/>
    <cellStyle name="_Table_Apple_CMD Model_31 Aug 2010 2 3 7" xfId="4959" xr:uid="{00000000-0005-0000-0000-000020130000}"/>
    <cellStyle name="_Table_Apple_CMD Model_31 Aug 2010 2 3 8" xfId="4960" xr:uid="{00000000-0005-0000-0000-000021130000}"/>
    <cellStyle name="_Table_Apple_CMD Model_31 Aug 2010 2 3 9" xfId="4961" xr:uid="{00000000-0005-0000-0000-000022130000}"/>
    <cellStyle name="_Table_Apple_CMD Model_31 Aug 2010 2 4" xfId="4962" xr:uid="{00000000-0005-0000-0000-000023130000}"/>
    <cellStyle name="_Table_Apple_CMD Model_31 Aug 2010 2 5" xfId="4963" xr:uid="{00000000-0005-0000-0000-000024130000}"/>
    <cellStyle name="_Table_Apple_CMD Model_31 Aug 2010 2 6" xfId="4964" xr:uid="{00000000-0005-0000-0000-000025130000}"/>
    <cellStyle name="_Table_Apple_CMD Model_31 Aug 2010 2 7" xfId="4965" xr:uid="{00000000-0005-0000-0000-000026130000}"/>
    <cellStyle name="_Table_Apple_CMD Model_31 Aug 2010 2 8" xfId="4966" xr:uid="{00000000-0005-0000-0000-000027130000}"/>
    <cellStyle name="_Table_Apple_CMD Model_31 Aug 2010 2 9" xfId="4967" xr:uid="{00000000-0005-0000-0000-000028130000}"/>
    <cellStyle name="_Table_Apple_CMD Model_31 Aug 2010 20" xfId="4968" xr:uid="{00000000-0005-0000-0000-000029130000}"/>
    <cellStyle name="_Table_Apple_CMD Model_31 Aug 2010 21" xfId="4969" xr:uid="{00000000-0005-0000-0000-00002A130000}"/>
    <cellStyle name="_Table_Apple_CMD Model_31 Aug 2010 22" xfId="4970" xr:uid="{00000000-0005-0000-0000-00002B130000}"/>
    <cellStyle name="_Table_Apple_CMD Model_31 Aug 2010 23" xfId="4971" xr:uid="{00000000-0005-0000-0000-00002C130000}"/>
    <cellStyle name="_Table_Apple_CMD Model_31 Aug 2010 24" xfId="4972" xr:uid="{00000000-0005-0000-0000-00002D130000}"/>
    <cellStyle name="_Table_Apple_CMD Model_31 Aug 2010 3" xfId="4973" xr:uid="{00000000-0005-0000-0000-00002E130000}"/>
    <cellStyle name="_Table_Apple_CMD Model_31 Aug 2010 3 10" xfId="4974" xr:uid="{00000000-0005-0000-0000-00002F130000}"/>
    <cellStyle name="_Table_Apple_CMD Model_31 Aug 2010 3 11" xfId="4975" xr:uid="{00000000-0005-0000-0000-000030130000}"/>
    <cellStyle name="_Table_Apple_CMD Model_31 Aug 2010 3 12" xfId="4976" xr:uid="{00000000-0005-0000-0000-000031130000}"/>
    <cellStyle name="_Table_Apple_CMD Model_31 Aug 2010 3 13" xfId="4977" xr:uid="{00000000-0005-0000-0000-000032130000}"/>
    <cellStyle name="_Table_Apple_CMD Model_31 Aug 2010 3 2" xfId="4978" xr:uid="{00000000-0005-0000-0000-000033130000}"/>
    <cellStyle name="_Table_Apple_CMD Model_31 Aug 2010 3 2 10" xfId="4979" xr:uid="{00000000-0005-0000-0000-000034130000}"/>
    <cellStyle name="_Table_Apple_CMD Model_31 Aug 2010 3 2 11" xfId="4980" xr:uid="{00000000-0005-0000-0000-000035130000}"/>
    <cellStyle name="_Table_Apple_CMD Model_31 Aug 2010 3 2 12" xfId="4981" xr:uid="{00000000-0005-0000-0000-000036130000}"/>
    <cellStyle name="_Table_Apple_CMD Model_31 Aug 2010 3 2 2" xfId="4982" xr:uid="{00000000-0005-0000-0000-000037130000}"/>
    <cellStyle name="_Table_Apple_CMD Model_31 Aug 2010 3 2 2 10" xfId="4983" xr:uid="{00000000-0005-0000-0000-000038130000}"/>
    <cellStyle name="_Table_Apple_CMD Model_31 Aug 2010 3 2 2 2" xfId="4984" xr:uid="{00000000-0005-0000-0000-000039130000}"/>
    <cellStyle name="_Table_Apple_CMD Model_31 Aug 2010 3 2 2 3" xfId="4985" xr:uid="{00000000-0005-0000-0000-00003A130000}"/>
    <cellStyle name="_Table_Apple_CMD Model_31 Aug 2010 3 2 2 4" xfId="4986" xr:uid="{00000000-0005-0000-0000-00003B130000}"/>
    <cellStyle name="_Table_Apple_CMD Model_31 Aug 2010 3 2 2 5" xfId="4987" xr:uid="{00000000-0005-0000-0000-00003C130000}"/>
    <cellStyle name="_Table_Apple_CMD Model_31 Aug 2010 3 2 2 6" xfId="4988" xr:uid="{00000000-0005-0000-0000-00003D130000}"/>
    <cellStyle name="_Table_Apple_CMD Model_31 Aug 2010 3 2 2 7" xfId="4989" xr:uid="{00000000-0005-0000-0000-00003E130000}"/>
    <cellStyle name="_Table_Apple_CMD Model_31 Aug 2010 3 2 2 8" xfId="4990" xr:uid="{00000000-0005-0000-0000-00003F130000}"/>
    <cellStyle name="_Table_Apple_CMD Model_31 Aug 2010 3 2 2 9" xfId="4991" xr:uid="{00000000-0005-0000-0000-000040130000}"/>
    <cellStyle name="_Table_Apple_CMD Model_31 Aug 2010 3 2 3" xfId="4992" xr:uid="{00000000-0005-0000-0000-000041130000}"/>
    <cellStyle name="_Table_Apple_CMD Model_31 Aug 2010 3 2 4" xfId="4993" xr:uid="{00000000-0005-0000-0000-000042130000}"/>
    <cellStyle name="_Table_Apple_CMD Model_31 Aug 2010 3 2 5" xfId="4994" xr:uid="{00000000-0005-0000-0000-000043130000}"/>
    <cellStyle name="_Table_Apple_CMD Model_31 Aug 2010 3 2 6" xfId="4995" xr:uid="{00000000-0005-0000-0000-000044130000}"/>
    <cellStyle name="_Table_Apple_CMD Model_31 Aug 2010 3 2 7" xfId="4996" xr:uid="{00000000-0005-0000-0000-000045130000}"/>
    <cellStyle name="_Table_Apple_CMD Model_31 Aug 2010 3 2 8" xfId="4997" xr:uid="{00000000-0005-0000-0000-000046130000}"/>
    <cellStyle name="_Table_Apple_CMD Model_31 Aug 2010 3 2 9" xfId="4998" xr:uid="{00000000-0005-0000-0000-000047130000}"/>
    <cellStyle name="_Table_Apple_CMD Model_31 Aug 2010 3 3" xfId="4999" xr:uid="{00000000-0005-0000-0000-000048130000}"/>
    <cellStyle name="_Table_Apple_CMD Model_31 Aug 2010 3 3 10" xfId="5000" xr:uid="{00000000-0005-0000-0000-000049130000}"/>
    <cellStyle name="_Table_Apple_CMD Model_31 Aug 2010 3 3 11" xfId="5001" xr:uid="{00000000-0005-0000-0000-00004A130000}"/>
    <cellStyle name="_Table_Apple_CMD Model_31 Aug 2010 3 3 2" xfId="5002" xr:uid="{00000000-0005-0000-0000-00004B130000}"/>
    <cellStyle name="_Table_Apple_CMD Model_31 Aug 2010 3 3 3" xfId="5003" xr:uid="{00000000-0005-0000-0000-00004C130000}"/>
    <cellStyle name="_Table_Apple_CMD Model_31 Aug 2010 3 3 4" xfId="5004" xr:uid="{00000000-0005-0000-0000-00004D130000}"/>
    <cellStyle name="_Table_Apple_CMD Model_31 Aug 2010 3 3 5" xfId="5005" xr:uid="{00000000-0005-0000-0000-00004E130000}"/>
    <cellStyle name="_Table_Apple_CMD Model_31 Aug 2010 3 3 6" xfId="5006" xr:uid="{00000000-0005-0000-0000-00004F130000}"/>
    <cellStyle name="_Table_Apple_CMD Model_31 Aug 2010 3 3 7" xfId="5007" xr:uid="{00000000-0005-0000-0000-000050130000}"/>
    <cellStyle name="_Table_Apple_CMD Model_31 Aug 2010 3 3 8" xfId="5008" xr:uid="{00000000-0005-0000-0000-000051130000}"/>
    <cellStyle name="_Table_Apple_CMD Model_31 Aug 2010 3 3 9" xfId="5009" xr:uid="{00000000-0005-0000-0000-000052130000}"/>
    <cellStyle name="_Table_Apple_CMD Model_31 Aug 2010 3 4" xfId="5010" xr:uid="{00000000-0005-0000-0000-000053130000}"/>
    <cellStyle name="_Table_Apple_CMD Model_31 Aug 2010 3 5" xfId="5011" xr:uid="{00000000-0005-0000-0000-000054130000}"/>
    <cellStyle name="_Table_Apple_CMD Model_31 Aug 2010 3 6" xfId="5012" xr:uid="{00000000-0005-0000-0000-000055130000}"/>
    <cellStyle name="_Table_Apple_CMD Model_31 Aug 2010 3 7" xfId="5013" xr:uid="{00000000-0005-0000-0000-000056130000}"/>
    <cellStyle name="_Table_Apple_CMD Model_31 Aug 2010 3 8" xfId="5014" xr:uid="{00000000-0005-0000-0000-000057130000}"/>
    <cellStyle name="_Table_Apple_CMD Model_31 Aug 2010 3 9" xfId="5015" xr:uid="{00000000-0005-0000-0000-000058130000}"/>
    <cellStyle name="_Table_Apple_CMD Model_31 Aug 2010 4" xfId="5016" xr:uid="{00000000-0005-0000-0000-000059130000}"/>
    <cellStyle name="_Table_Apple_CMD Model_31 Aug 2010 4 10" xfId="5017" xr:uid="{00000000-0005-0000-0000-00005A130000}"/>
    <cellStyle name="_Table_Apple_CMD Model_31 Aug 2010 4 11" xfId="5018" xr:uid="{00000000-0005-0000-0000-00005B130000}"/>
    <cellStyle name="_Table_Apple_CMD Model_31 Aug 2010 4 12" xfId="5019" xr:uid="{00000000-0005-0000-0000-00005C130000}"/>
    <cellStyle name="_Table_Apple_CMD Model_31 Aug 2010 4 13" xfId="5020" xr:uid="{00000000-0005-0000-0000-00005D130000}"/>
    <cellStyle name="_Table_Apple_CMD Model_31 Aug 2010 4 2" xfId="5021" xr:uid="{00000000-0005-0000-0000-00005E130000}"/>
    <cellStyle name="_Table_Apple_CMD Model_31 Aug 2010 4 2 10" xfId="5022" xr:uid="{00000000-0005-0000-0000-00005F130000}"/>
    <cellStyle name="_Table_Apple_CMD Model_31 Aug 2010 4 2 11" xfId="5023" xr:uid="{00000000-0005-0000-0000-000060130000}"/>
    <cellStyle name="_Table_Apple_CMD Model_31 Aug 2010 4 2 12" xfId="5024" xr:uid="{00000000-0005-0000-0000-000061130000}"/>
    <cellStyle name="_Table_Apple_CMD Model_31 Aug 2010 4 2 2" xfId="5025" xr:uid="{00000000-0005-0000-0000-000062130000}"/>
    <cellStyle name="_Table_Apple_CMD Model_31 Aug 2010 4 2 2 10" xfId="5026" xr:uid="{00000000-0005-0000-0000-000063130000}"/>
    <cellStyle name="_Table_Apple_CMD Model_31 Aug 2010 4 2 2 2" xfId="5027" xr:uid="{00000000-0005-0000-0000-000064130000}"/>
    <cellStyle name="_Table_Apple_CMD Model_31 Aug 2010 4 2 2 3" xfId="5028" xr:uid="{00000000-0005-0000-0000-000065130000}"/>
    <cellStyle name="_Table_Apple_CMD Model_31 Aug 2010 4 2 2 4" xfId="5029" xr:uid="{00000000-0005-0000-0000-000066130000}"/>
    <cellStyle name="_Table_Apple_CMD Model_31 Aug 2010 4 2 2 5" xfId="5030" xr:uid="{00000000-0005-0000-0000-000067130000}"/>
    <cellStyle name="_Table_Apple_CMD Model_31 Aug 2010 4 2 2 6" xfId="5031" xr:uid="{00000000-0005-0000-0000-000068130000}"/>
    <cellStyle name="_Table_Apple_CMD Model_31 Aug 2010 4 2 2 7" xfId="5032" xr:uid="{00000000-0005-0000-0000-000069130000}"/>
    <cellStyle name="_Table_Apple_CMD Model_31 Aug 2010 4 2 2 8" xfId="5033" xr:uid="{00000000-0005-0000-0000-00006A130000}"/>
    <cellStyle name="_Table_Apple_CMD Model_31 Aug 2010 4 2 2 9" xfId="5034" xr:uid="{00000000-0005-0000-0000-00006B130000}"/>
    <cellStyle name="_Table_Apple_CMD Model_31 Aug 2010 4 2 3" xfId="5035" xr:uid="{00000000-0005-0000-0000-00006C130000}"/>
    <cellStyle name="_Table_Apple_CMD Model_31 Aug 2010 4 2 4" xfId="5036" xr:uid="{00000000-0005-0000-0000-00006D130000}"/>
    <cellStyle name="_Table_Apple_CMD Model_31 Aug 2010 4 2 5" xfId="5037" xr:uid="{00000000-0005-0000-0000-00006E130000}"/>
    <cellStyle name="_Table_Apple_CMD Model_31 Aug 2010 4 2 6" xfId="5038" xr:uid="{00000000-0005-0000-0000-00006F130000}"/>
    <cellStyle name="_Table_Apple_CMD Model_31 Aug 2010 4 2 7" xfId="5039" xr:uid="{00000000-0005-0000-0000-000070130000}"/>
    <cellStyle name="_Table_Apple_CMD Model_31 Aug 2010 4 2 8" xfId="5040" xr:uid="{00000000-0005-0000-0000-000071130000}"/>
    <cellStyle name="_Table_Apple_CMD Model_31 Aug 2010 4 2 9" xfId="5041" xr:uid="{00000000-0005-0000-0000-000072130000}"/>
    <cellStyle name="_Table_Apple_CMD Model_31 Aug 2010 4 3" xfId="5042" xr:uid="{00000000-0005-0000-0000-000073130000}"/>
    <cellStyle name="_Table_Apple_CMD Model_31 Aug 2010 4 3 10" xfId="5043" xr:uid="{00000000-0005-0000-0000-000074130000}"/>
    <cellStyle name="_Table_Apple_CMD Model_31 Aug 2010 4 3 11" xfId="5044" xr:uid="{00000000-0005-0000-0000-000075130000}"/>
    <cellStyle name="_Table_Apple_CMD Model_31 Aug 2010 4 3 2" xfId="5045" xr:uid="{00000000-0005-0000-0000-000076130000}"/>
    <cellStyle name="_Table_Apple_CMD Model_31 Aug 2010 4 3 3" xfId="5046" xr:uid="{00000000-0005-0000-0000-000077130000}"/>
    <cellStyle name="_Table_Apple_CMD Model_31 Aug 2010 4 3 4" xfId="5047" xr:uid="{00000000-0005-0000-0000-000078130000}"/>
    <cellStyle name="_Table_Apple_CMD Model_31 Aug 2010 4 3 5" xfId="5048" xr:uid="{00000000-0005-0000-0000-000079130000}"/>
    <cellStyle name="_Table_Apple_CMD Model_31 Aug 2010 4 3 6" xfId="5049" xr:uid="{00000000-0005-0000-0000-00007A130000}"/>
    <cellStyle name="_Table_Apple_CMD Model_31 Aug 2010 4 3 7" xfId="5050" xr:uid="{00000000-0005-0000-0000-00007B130000}"/>
    <cellStyle name="_Table_Apple_CMD Model_31 Aug 2010 4 3 8" xfId="5051" xr:uid="{00000000-0005-0000-0000-00007C130000}"/>
    <cellStyle name="_Table_Apple_CMD Model_31 Aug 2010 4 3 9" xfId="5052" xr:uid="{00000000-0005-0000-0000-00007D130000}"/>
    <cellStyle name="_Table_Apple_CMD Model_31 Aug 2010 4 4" xfId="5053" xr:uid="{00000000-0005-0000-0000-00007E130000}"/>
    <cellStyle name="_Table_Apple_CMD Model_31 Aug 2010 4 5" xfId="5054" xr:uid="{00000000-0005-0000-0000-00007F130000}"/>
    <cellStyle name="_Table_Apple_CMD Model_31 Aug 2010 4 6" xfId="5055" xr:uid="{00000000-0005-0000-0000-000080130000}"/>
    <cellStyle name="_Table_Apple_CMD Model_31 Aug 2010 4 7" xfId="5056" xr:uid="{00000000-0005-0000-0000-000081130000}"/>
    <cellStyle name="_Table_Apple_CMD Model_31 Aug 2010 4 8" xfId="5057" xr:uid="{00000000-0005-0000-0000-000082130000}"/>
    <cellStyle name="_Table_Apple_CMD Model_31 Aug 2010 4 9" xfId="5058" xr:uid="{00000000-0005-0000-0000-000083130000}"/>
    <cellStyle name="_Table_Apple_CMD Model_31 Aug 2010 5" xfId="5059" xr:uid="{00000000-0005-0000-0000-000084130000}"/>
    <cellStyle name="_Table_Apple_CMD Model_31 Aug 2010 5 10" xfId="5060" xr:uid="{00000000-0005-0000-0000-000085130000}"/>
    <cellStyle name="_Table_Apple_CMD Model_31 Aug 2010 5 11" xfId="5061" xr:uid="{00000000-0005-0000-0000-000086130000}"/>
    <cellStyle name="_Table_Apple_CMD Model_31 Aug 2010 5 12" xfId="5062" xr:uid="{00000000-0005-0000-0000-000087130000}"/>
    <cellStyle name="_Table_Apple_CMD Model_31 Aug 2010 5 13" xfId="5063" xr:uid="{00000000-0005-0000-0000-000088130000}"/>
    <cellStyle name="_Table_Apple_CMD Model_31 Aug 2010 5 2" xfId="5064" xr:uid="{00000000-0005-0000-0000-000089130000}"/>
    <cellStyle name="_Table_Apple_CMD Model_31 Aug 2010 5 2 10" xfId="5065" xr:uid="{00000000-0005-0000-0000-00008A130000}"/>
    <cellStyle name="_Table_Apple_CMD Model_31 Aug 2010 5 2 11" xfId="5066" xr:uid="{00000000-0005-0000-0000-00008B130000}"/>
    <cellStyle name="_Table_Apple_CMD Model_31 Aug 2010 5 2 12" xfId="5067" xr:uid="{00000000-0005-0000-0000-00008C130000}"/>
    <cellStyle name="_Table_Apple_CMD Model_31 Aug 2010 5 2 2" xfId="5068" xr:uid="{00000000-0005-0000-0000-00008D130000}"/>
    <cellStyle name="_Table_Apple_CMD Model_31 Aug 2010 5 2 2 10" xfId="5069" xr:uid="{00000000-0005-0000-0000-00008E130000}"/>
    <cellStyle name="_Table_Apple_CMD Model_31 Aug 2010 5 2 2 2" xfId="5070" xr:uid="{00000000-0005-0000-0000-00008F130000}"/>
    <cellStyle name="_Table_Apple_CMD Model_31 Aug 2010 5 2 2 3" xfId="5071" xr:uid="{00000000-0005-0000-0000-000090130000}"/>
    <cellStyle name="_Table_Apple_CMD Model_31 Aug 2010 5 2 2 4" xfId="5072" xr:uid="{00000000-0005-0000-0000-000091130000}"/>
    <cellStyle name="_Table_Apple_CMD Model_31 Aug 2010 5 2 2 5" xfId="5073" xr:uid="{00000000-0005-0000-0000-000092130000}"/>
    <cellStyle name="_Table_Apple_CMD Model_31 Aug 2010 5 2 2 6" xfId="5074" xr:uid="{00000000-0005-0000-0000-000093130000}"/>
    <cellStyle name="_Table_Apple_CMD Model_31 Aug 2010 5 2 2 7" xfId="5075" xr:uid="{00000000-0005-0000-0000-000094130000}"/>
    <cellStyle name="_Table_Apple_CMD Model_31 Aug 2010 5 2 2 8" xfId="5076" xr:uid="{00000000-0005-0000-0000-000095130000}"/>
    <cellStyle name="_Table_Apple_CMD Model_31 Aug 2010 5 2 2 9" xfId="5077" xr:uid="{00000000-0005-0000-0000-000096130000}"/>
    <cellStyle name="_Table_Apple_CMD Model_31 Aug 2010 5 2 3" xfId="5078" xr:uid="{00000000-0005-0000-0000-000097130000}"/>
    <cellStyle name="_Table_Apple_CMD Model_31 Aug 2010 5 2 4" xfId="5079" xr:uid="{00000000-0005-0000-0000-000098130000}"/>
    <cellStyle name="_Table_Apple_CMD Model_31 Aug 2010 5 2 5" xfId="5080" xr:uid="{00000000-0005-0000-0000-000099130000}"/>
    <cellStyle name="_Table_Apple_CMD Model_31 Aug 2010 5 2 6" xfId="5081" xr:uid="{00000000-0005-0000-0000-00009A130000}"/>
    <cellStyle name="_Table_Apple_CMD Model_31 Aug 2010 5 2 7" xfId="5082" xr:uid="{00000000-0005-0000-0000-00009B130000}"/>
    <cellStyle name="_Table_Apple_CMD Model_31 Aug 2010 5 2 8" xfId="5083" xr:uid="{00000000-0005-0000-0000-00009C130000}"/>
    <cellStyle name="_Table_Apple_CMD Model_31 Aug 2010 5 2 9" xfId="5084" xr:uid="{00000000-0005-0000-0000-00009D130000}"/>
    <cellStyle name="_Table_Apple_CMD Model_31 Aug 2010 5 3" xfId="5085" xr:uid="{00000000-0005-0000-0000-00009E130000}"/>
    <cellStyle name="_Table_Apple_CMD Model_31 Aug 2010 5 3 10" xfId="5086" xr:uid="{00000000-0005-0000-0000-00009F130000}"/>
    <cellStyle name="_Table_Apple_CMD Model_31 Aug 2010 5 3 11" xfId="5087" xr:uid="{00000000-0005-0000-0000-0000A0130000}"/>
    <cellStyle name="_Table_Apple_CMD Model_31 Aug 2010 5 3 2" xfId="5088" xr:uid="{00000000-0005-0000-0000-0000A1130000}"/>
    <cellStyle name="_Table_Apple_CMD Model_31 Aug 2010 5 3 3" xfId="5089" xr:uid="{00000000-0005-0000-0000-0000A2130000}"/>
    <cellStyle name="_Table_Apple_CMD Model_31 Aug 2010 5 3 4" xfId="5090" xr:uid="{00000000-0005-0000-0000-0000A3130000}"/>
    <cellStyle name="_Table_Apple_CMD Model_31 Aug 2010 5 3 5" xfId="5091" xr:uid="{00000000-0005-0000-0000-0000A4130000}"/>
    <cellStyle name="_Table_Apple_CMD Model_31 Aug 2010 5 3 6" xfId="5092" xr:uid="{00000000-0005-0000-0000-0000A5130000}"/>
    <cellStyle name="_Table_Apple_CMD Model_31 Aug 2010 5 3 7" xfId="5093" xr:uid="{00000000-0005-0000-0000-0000A6130000}"/>
    <cellStyle name="_Table_Apple_CMD Model_31 Aug 2010 5 3 8" xfId="5094" xr:uid="{00000000-0005-0000-0000-0000A7130000}"/>
    <cellStyle name="_Table_Apple_CMD Model_31 Aug 2010 5 3 9" xfId="5095" xr:uid="{00000000-0005-0000-0000-0000A8130000}"/>
    <cellStyle name="_Table_Apple_CMD Model_31 Aug 2010 5 4" xfId="5096" xr:uid="{00000000-0005-0000-0000-0000A9130000}"/>
    <cellStyle name="_Table_Apple_CMD Model_31 Aug 2010 5 5" xfId="5097" xr:uid="{00000000-0005-0000-0000-0000AA130000}"/>
    <cellStyle name="_Table_Apple_CMD Model_31 Aug 2010 5 6" xfId="5098" xr:uid="{00000000-0005-0000-0000-0000AB130000}"/>
    <cellStyle name="_Table_Apple_CMD Model_31 Aug 2010 5 7" xfId="5099" xr:uid="{00000000-0005-0000-0000-0000AC130000}"/>
    <cellStyle name="_Table_Apple_CMD Model_31 Aug 2010 5 8" xfId="5100" xr:uid="{00000000-0005-0000-0000-0000AD130000}"/>
    <cellStyle name="_Table_Apple_CMD Model_31 Aug 2010 5 9" xfId="5101" xr:uid="{00000000-0005-0000-0000-0000AE130000}"/>
    <cellStyle name="_Table_Apple_CMD Model_31 Aug 2010 6" xfId="5102" xr:uid="{00000000-0005-0000-0000-0000AF130000}"/>
    <cellStyle name="_Table_Apple_CMD Model_31 Aug 2010 6 10" xfId="5103" xr:uid="{00000000-0005-0000-0000-0000B0130000}"/>
    <cellStyle name="_Table_Apple_CMD Model_31 Aug 2010 6 11" xfId="5104" xr:uid="{00000000-0005-0000-0000-0000B1130000}"/>
    <cellStyle name="_Table_Apple_CMD Model_31 Aug 2010 6 12" xfId="5105" xr:uid="{00000000-0005-0000-0000-0000B2130000}"/>
    <cellStyle name="_Table_Apple_CMD Model_31 Aug 2010 6 13" xfId="5106" xr:uid="{00000000-0005-0000-0000-0000B3130000}"/>
    <cellStyle name="_Table_Apple_CMD Model_31 Aug 2010 6 2" xfId="5107" xr:uid="{00000000-0005-0000-0000-0000B4130000}"/>
    <cellStyle name="_Table_Apple_CMD Model_31 Aug 2010 6 2 10" xfId="5108" xr:uid="{00000000-0005-0000-0000-0000B5130000}"/>
    <cellStyle name="_Table_Apple_CMD Model_31 Aug 2010 6 2 11" xfId="5109" xr:uid="{00000000-0005-0000-0000-0000B6130000}"/>
    <cellStyle name="_Table_Apple_CMD Model_31 Aug 2010 6 2 12" xfId="5110" xr:uid="{00000000-0005-0000-0000-0000B7130000}"/>
    <cellStyle name="_Table_Apple_CMD Model_31 Aug 2010 6 2 2" xfId="5111" xr:uid="{00000000-0005-0000-0000-0000B8130000}"/>
    <cellStyle name="_Table_Apple_CMD Model_31 Aug 2010 6 2 2 10" xfId="5112" xr:uid="{00000000-0005-0000-0000-0000B9130000}"/>
    <cellStyle name="_Table_Apple_CMD Model_31 Aug 2010 6 2 2 2" xfId="5113" xr:uid="{00000000-0005-0000-0000-0000BA130000}"/>
    <cellStyle name="_Table_Apple_CMD Model_31 Aug 2010 6 2 2 3" xfId="5114" xr:uid="{00000000-0005-0000-0000-0000BB130000}"/>
    <cellStyle name="_Table_Apple_CMD Model_31 Aug 2010 6 2 2 4" xfId="5115" xr:uid="{00000000-0005-0000-0000-0000BC130000}"/>
    <cellStyle name="_Table_Apple_CMD Model_31 Aug 2010 6 2 2 5" xfId="5116" xr:uid="{00000000-0005-0000-0000-0000BD130000}"/>
    <cellStyle name="_Table_Apple_CMD Model_31 Aug 2010 6 2 2 6" xfId="5117" xr:uid="{00000000-0005-0000-0000-0000BE130000}"/>
    <cellStyle name="_Table_Apple_CMD Model_31 Aug 2010 6 2 2 7" xfId="5118" xr:uid="{00000000-0005-0000-0000-0000BF130000}"/>
    <cellStyle name="_Table_Apple_CMD Model_31 Aug 2010 6 2 2 8" xfId="5119" xr:uid="{00000000-0005-0000-0000-0000C0130000}"/>
    <cellStyle name="_Table_Apple_CMD Model_31 Aug 2010 6 2 2 9" xfId="5120" xr:uid="{00000000-0005-0000-0000-0000C1130000}"/>
    <cellStyle name="_Table_Apple_CMD Model_31 Aug 2010 6 2 3" xfId="5121" xr:uid="{00000000-0005-0000-0000-0000C2130000}"/>
    <cellStyle name="_Table_Apple_CMD Model_31 Aug 2010 6 2 4" xfId="5122" xr:uid="{00000000-0005-0000-0000-0000C3130000}"/>
    <cellStyle name="_Table_Apple_CMD Model_31 Aug 2010 6 2 5" xfId="5123" xr:uid="{00000000-0005-0000-0000-0000C4130000}"/>
    <cellStyle name="_Table_Apple_CMD Model_31 Aug 2010 6 2 6" xfId="5124" xr:uid="{00000000-0005-0000-0000-0000C5130000}"/>
    <cellStyle name="_Table_Apple_CMD Model_31 Aug 2010 6 2 7" xfId="5125" xr:uid="{00000000-0005-0000-0000-0000C6130000}"/>
    <cellStyle name="_Table_Apple_CMD Model_31 Aug 2010 6 2 8" xfId="5126" xr:uid="{00000000-0005-0000-0000-0000C7130000}"/>
    <cellStyle name="_Table_Apple_CMD Model_31 Aug 2010 6 2 9" xfId="5127" xr:uid="{00000000-0005-0000-0000-0000C8130000}"/>
    <cellStyle name="_Table_Apple_CMD Model_31 Aug 2010 6 3" xfId="5128" xr:uid="{00000000-0005-0000-0000-0000C9130000}"/>
    <cellStyle name="_Table_Apple_CMD Model_31 Aug 2010 6 3 10" xfId="5129" xr:uid="{00000000-0005-0000-0000-0000CA130000}"/>
    <cellStyle name="_Table_Apple_CMD Model_31 Aug 2010 6 3 11" xfId="5130" xr:uid="{00000000-0005-0000-0000-0000CB130000}"/>
    <cellStyle name="_Table_Apple_CMD Model_31 Aug 2010 6 3 2" xfId="5131" xr:uid="{00000000-0005-0000-0000-0000CC130000}"/>
    <cellStyle name="_Table_Apple_CMD Model_31 Aug 2010 6 3 3" xfId="5132" xr:uid="{00000000-0005-0000-0000-0000CD130000}"/>
    <cellStyle name="_Table_Apple_CMD Model_31 Aug 2010 6 3 4" xfId="5133" xr:uid="{00000000-0005-0000-0000-0000CE130000}"/>
    <cellStyle name="_Table_Apple_CMD Model_31 Aug 2010 6 3 5" xfId="5134" xr:uid="{00000000-0005-0000-0000-0000CF130000}"/>
    <cellStyle name="_Table_Apple_CMD Model_31 Aug 2010 6 3 6" xfId="5135" xr:uid="{00000000-0005-0000-0000-0000D0130000}"/>
    <cellStyle name="_Table_Apple_CMD Model_31 Aug 2010 6 3 7" xfId="5136" xr:uid="{00000000-0005-0000-0000-0000D1130000}"/>
    <cellStyle name="_Table_Apple_CMD Model_31 Aug 2010 6 3 8" xfId="5137" xr:uid="{00000000-0005-0000-0000-0000D2130000}"/>
    <cellStyle name="_Table_Apple_CMD Model_31 Aug 2010 6 3 9" xfId="5138" xr:uid="{00000000-0005-0000-0000-0000D3130000}"/>
    <cellStyle name="_Table_Apple_CMD Model_31 Aug 2010 6 4" xfId="5139" xr:uid="{00000000-0005-0000-0000-0000D4130000}"/>
    <cellStyle name="_Table_Apple_CMD Model_31 Aug 2010 6 5" xfId="5140" xr:uid="{00000000-0005-0000-0000-0000D5130000}"/>
    <cellStyle name="_Table_Apple_CMD Model_31 Aug 2010 6 6" xfId="5141" xr:uid="{00000000-0005-0000-0000-0000D6130000}"/>
    <cellStyle name="_Table_Apple_CMD Model_31 Aug 2010 6 7" xfId="5142" xr:uid="{00000000-0005-0000-0000-0000D7130000}"/>
    <cellStyle name="_Table_Apple_CMD Model_31 Aug 2010 6 8" xfId="5143" xr:uid="{00000000-0005-0000-0000-0000D8130000}"/>
    <cellStyle name="_Table_Apple_CMD Model_31 Aug 2010 6 9" xfId="5144" xr:uid="{00000000-0005-0000-0000-0000D9130000}"/>
    <cellStyle name="_Table_Apple_CMD Model_31 Aug 2010 7" xfId="5145" xr:uid="{00000000-0005-0000-0000-0000DA130000}"/>
    <cellStyle name="_Table_Apple_CMD Model_31 Aug 2010 7 10" xfId="5146" xr:uid="{00000000-0005-0000-0000-0000DB130000}"/>
    <cellStyle name="_Table_Apple_CMD Model_31 Aug 2010 7 11" xfId="5147" xr:uid="{00000000-0005-0000-0000-0000DC130000}"/>
    <cellStyle name="_Table_Apple_CMD Model_31 Aug 2010 7 12" xfId="5148" xr:uid="{00000000-0005-0000-0000-0000DD130000}"/>
    <cellStyle name="_Table_Apple_CMD Model_31 Aug 2010 7 13" xfId="5149" xr:uid="{00000000-0005-0000-0000-0000DE130000}"/>
    <cellStyle name="_Table_Apple_CMD Model_31 Aug 2010 7 2" xfId="5150" xr:uid="{00000000-0005-0000-0000-0000DF130000}"/>
    <cellStyle name="_Table_Apple_CMD Model_31 Aug 2010 7 2 10" xfId="5151" xr:uid="{00000000-0005-0000-0000-0000E0130000}"/>
    <cellStyle name="_Table_Apple_CMD Model_31 Aug 2010 7 2 11" xfId="5152" xr:uid="{00000000-0005-0000-0000-0000E1130000}"/>
    <cellStyle name="_Table_Apple_CMD Model_31 Aug 2010 7 2 12" xfId="5153" xr:uid="{00000000-0005-0000-0000-0000E2130000}"/>
    <cellStyle name="_Table_Apple_CMD Model_31 Aug 2010 7 2 2" xfId="5154" xr:uid="{00000000-0005-0000-0000-0000E3130000}"/>
    <cellStyle name="_Table_Apple_CMD Model_31 Aug 2010 7 2 2 10" xfId="5155" xr:uid="{00000000-0005-0000-0000-0000E4130000}"/>
    <cellStyle name="_Table_Apple_CMD Model_31 Aug 2010 7 2 2 2" xfId="5156" xr:uid="{00000000-0005-0000-0000-0000E5130000}"/>
    <cellStyle name="_Table_Apple_CMD Model_31 Aug 2010 7 2 2 3" xfId="5157" xr:uid="{00000000-0005-0000-0000-0000E6130000}"/>
    <cellStyle name="_Table_Apple_CMD Model_31 Aug 2010 7 2 2 4" xfId="5158" xr:uid="{00000000-0005-0000-0000-0000E7130000}"/>
    <cellStyle name="_Table_Apple_CMD Model_31 Aug 2010 7 2 2 5" xfId="5159" xr:uid="{00000000-0005-0000-0000-0000E8130000}"/>
    <cellStyle name="_Table_Apple_CMD Model_31 Aug 2010 7 2 2 6" xfId="5160" xr:uid="{00000000-0005-0000-0000-0000E9130000}"/>
    <cellStyle name="_Table_Apple_CMD Model_31 Aug 2010 7 2 2 7" xfId="5161" xr:uid="{00000000-0005-0000-0000-0000EA130000}"/>
    <cellStyle name="_Table_Apple_CMD Model_31 Aug 2010 7 2 2 8" xfId="5162" xr:uid="{00000000-0005-0000-0000-0000EB130000}"/>
    <cellStyle name="_Table_Apple_CMD Model_31 Aug 2010 7 2 2 9" xfId="5163" xr:uid="{00000000-0005-0000-0000-0000EC130000}"/>
    <cellStyle name="_Table_Apple_CMD Model_31 Aug 2010 7 2 3" xfId="5164" xr:uid="{00000000-0005-0000-0000-0000ED130000}"/>
    <cellStyle name="_Table_Apple_CMD Model_31 Aug 2010 7 2 4" xfId="5165" xr:uid="{00000000-0005-0000-0000-0000EE130000}"/>
    <cellStyle name="_Table_Apple_CMD Model_31 Aug 2010 7 2 5" xfId="5166" xr:uid="{00000000-0005-0000-0000-0000EF130000}"/>
    <cellStyle name="_Table_Apple_CMD Model_31 Aug 2010 7 2 6" xfId="5167" xr:uid="{00000000-0005-0000-0000-0000F0130000}"/>
    <cellStyle name="_Table_Apple_CMD Model_31 Aug 2010 7 2 7" xfId="5168" xr:uid="{00000000-0005-0000-0000-0000F1130000}"/>
    <cellStyle name="_Table_Apple_CMD Model_31 Aug 2010 7 2 8" xfId="5169" xr:uid="{00000000-0005-0000-0000-0000F2130000}"/>
    <cellStyle name="_Table_Apple_CMD Model_31 Aug 2010 7 2 9" xfId="5170" xr:uid="{00000000-0005-0000-0000-0000F3130000}"/>
    <cellStyle name="_Table_Apple_CMD Model_31 Aug 2010 7 3" xfId="5171" xr:uid="{00000000-0005-0000-0000-0000F4130000}"/>
    <cellStyle name="_Table_Apple_CMD Model_31 Aug 2010 7 3 10" xfId="5172" xr:uid="{00000000-0005-0000-0000-0000F5130000}"/>
    <cellStyle name="_Table_Apple_CMD Model_31 Aug 2010 7 3 11" xfId="5173" xr:uid="{00000000-0005-0000-0000-0000F6130000}"/>
    <cellStyle name="_Table_Apple_CMD Model_31 Aug 2010 7 3 2" xfId="5174" xr:uid="{00000000-0005-0000-0000-0000F7130000}"/>
    <cellStyle name="_Table_Apple_CMD Model_31 Aug 2010 7 3 3" xfId="5175" xr:uid="{00000000-0005-0000-0000-0000F8130000}"/>
    <cellStyle name="_Table_Apple_CMD Model_31 Aug 2010 7 3 4" xfId="5176" xr:uid="{00000000-0005-0000-0000-0000F9130000}"/>
    <cellStyle name="_Table_Apple_CMD Model_31 Aug 2010 7 3 5" xfId="5177" xr:uid="{00000000-0005-0000-0000-0000FA130000}"/>
    <cellStyle name="_Table_Apple_CMD Model_31 Aug 2010 7 3 6" xfId="5178" xr:uid="{00000000-0005-0000-0000-0000FB130000}"/>
    <cellStyle name="_Table_Apple_CMD Model_31 Aug 2010 7 3 7" xfId="5179" xr:uid="{00000000-0005-0000-0000-0000FC130000}"/>
    <cellStyle name="_Table_Apple_CMD Model_31 Aug 2010 7 3 8" xfId="5180" xr:uid="{00000000-0005-0000-0000-0000FD130000}"/>
    <cellStyle name="_Table_Apple_CMD Model_31 Aug 2010 7 3 9" xfId="5181" xr:uid="{00000000-0005-0000-0000-0000FE130000}"/>
    <cellStyle name="_Table_Apple_CMD Model_31 Aug 2010 7 4" xfId="5182" xr:uid="{00000000-0005-0000-0000-0000FF130000}"/>
    <cellStyle name="_Table_Apple_CMD Model_31 Aug 2010 7 5" xfId="5183" xr:uid="{00000000-0005-0000-0000-000000140000}"/>
    <cellStyle name="_Table_Apple_CMD Model_31 Aug 2010 7 6" xfId="5184" xr:uid="{00000000-0005-0000-0000-000001140000}"/>
    <cellStyle name="_Table_Apple_CMD Model_31 Aug 2010 7 7" xfId="5185" xr:uid="{00000000-0005-0000-0000-000002140000}"/>
    <cellStyle name="_Table_Apple_CMD Model_31 Aug 2010 7 8" xfId="5186" xr:uid="{00000000-0005-0000-0000-000003140000}"/>
    <cellStyle name="_Table_Apple_CMD Model_31 Aug 2010 7 9" xfId="5187" xr:uid="{00000000-0005-0000-0000-000004140000}"/>
    <cellStyle name="_Table_Apple_CMD Model_31 Aug 2010 8" xfId="5188" xr:uid="{00000000-0005-0000-0000-000005140000}"/>
    <cellStyle name="_Table_Apple_CMD Model_31 Aug 2010 8 10" xfId="5189" xr:uid="{00000000-0005-0000-0000-000006140000}"/>
    <cellStyle name="_Table_Apple_CMD Model_31 Aug 2010 8 11" xfId="5190" xr:uid="{00000000-0005-0000-0000-000007140000}"/>
    <cellStyle name="_Table_Apple_CMD Model_31 Aug 2010 8 12" xfId="5191" xr:uid="{00000000-0005-0000-0000-000008140000}"/>
    <cellStyle name="_Table_Apple_CMD Model_31 Aug 2010 8 13" xfId="5192" xr:uid="{00000000-0005-0000-0000-000009140000}"/>
    <cellStyle name="_Table_Apple_CMD Model_31 Aug 2010 8 2" xfId="5193" xr:uid="{00000000-0005-0000-0000-00000A140000}"/>
    <cellStyle name="_Table_Apple_CMD Model_31 Aug 2010 8 2 10" xfId="5194" xr:uid="{00000000-0005-0000-0000-00000B140000}"/>
    <cellStyle name="_Table_Apple_CMD Model_31 Aug 2010 8 2 11" xfId="5195" xr:uid="{00000000-0005-0000-0000-00000C140000}"/>
    <cellStyle name="_Table_Apple_CMD Model_31 Aug 2010 8 2 12" xfId="5196" xr:uid="{00000000-0005-0000-0000-00000D140000}"/>
    <cellStyle name="_Table_Apple_CMD Model_31 Aug 2010 8 2 2" xfId="5197" xr:uid="{00000000-0005-0000-0000-00000E140000}"/>
    <cellStyle name="_Table_Apple_CMD Model_31 Aug 2010 8 2 2 10" xfId="5198" xr:uid="{00000000-0005-0000-0000-00000F140000}"/>
    <cellStyle name="_Table_Apple_CMD Model_31 Aug 2010 8 2 2 2" xfId="5199" xr:uid="{00000000-0005-0000-0000-000010140000}"/>
    <cellStyle name="_Table_Apple_CMD Model_31 Aug 2010 8 2 2 3" xfId="5200" xr:uid="{00000000-0005-0000-0000-000011140000}"/>
    <cellStyle name="_Table_Apple_CMD Model_31 Aug 2010 8 2 2 4" xfId="5201" xr:uid="{00000000-0005-0000-0000-000012140000}"/>
    <cellStyle name="_Table_Apple_CMD Model_31 Aug 2010 8 2 2 5" xfId="5202" xr:uid="{00000000-0005-0000-0000-000013140000}"/>
    <cellStyle name="_Table_Apple_CMD Model_31 Aug 2010 8 2 2 6" xfId="5203" xr:uid="{00000000-0005-0000-0000-000014140000}"/>
    <cellStyle name="_Table_Apple_CMD Model_31 Aug 2010 8 2 2 7" xfId="5204" xr:uid="{00000000-0005-0000-0000-000015140000}"/>
    <cellStyle name="_Table_Apple_CMD Model_31 Aug 2010 8 2 2 8" xfId="5205" xr:uid="{00000000-0005-0000-0000-000016140000}"/>
    <cellStyle name="_Table_Apple_CMD Model_31 Aug 2010 8 2 2 9" xfId="5206" xr:uid="{00000000-0005-0000-0000-000017140000}"/>
    <cellStyle name="_Table_Apple_CMD Model_31 Aug 2010 8 2 3" xfId="5207" xr:uid="{00000000-0005-0000-0000-000018140000}"/>
    <cellStyle name="_Table_Apple_CMD Model_31 Aug 2010 8 2 4" xfId="5208" xr:uid="{00000000-0005-0000-0000-000019140000}"/>
    <cellStyle name="_Table_Apple_CMD Model_31 Aug 2010 8 2 5" xfId="5209" xr:uid="{00000000-0005-0000-0000-00001A140000}"/>
    <cellStyle name="_Table_Apple_CMD Model_31 Aug 2010 8 2 6" xfId="5210" xr:uid="{00000000-0005-0000-0000-00001B140000}"/>
    <cellStyle name="_Table_Apple_CMD Model_31 Aug 2010 8 2 7" xfId="5211" xr:uid="{00000000-0005-0000-0000-00001C140000}"/>
    <cellStyle name="_Table_Apple_CMD Model_31 Aug 2010 8 2 8" xfId="5212" xr:uid="{00000000-0005-0000-0000-00001D140000}"/>
    <cellStyle name="_Table_Apple_CMD Model_31 Aug 2010 8 2 9" xfId="5213" xr:uid="{00000000-0005-0000-0000-00001E140000}"/>
    <cellStyle name="_Table_Apple_CMD Model_31 Aug 2010 8 3" xfId="5214" xr:uid="{00000000-0005-0000-0000-00001F140000}"/>
    <cellStyle name="_Table_Apple_CMD Model_31 Aug 2010 8 3 10" xfId="5215" xr:uid="{00000000-0005-0000-0000-000020140000}"/>
    <cellStyle name="_Table_Apple_CMD Model_31 Aug 2010 8 3 11" xfId="5216" xr:uid="{00000000-0005-0000-0000-000021140000}"/>
    <cellStyle name="_Table_Apple_CMD Model_31 Aug 2010 8 3 2" xfId="5217" xr:uid="{00000000-0005-0000-0000-000022140000}"/>
    <cellStyle name="_Table_Apple_CMD Model_31 Aug 2010 8 3 3" xfId="5218" xr:uid="{00000000-0005-0000-0000-000023140000}"/>
    <cellStyle name="_Table_Apple_CMD Model_31 Aug 2010 8 3 4" xfId="5219" xr:uid="{00000000-0005-0000-0000-000024140000}"/>
    <cellStyle name="_Table_Apple_CMD Model_31 Aug 2010 8 3 5" xfId="5220" xr:uid="{00000000-0005-0000-0000-000025140000}"/>
    <cellStyle name="_Table_Apple_CMD Model_31 Aug 2010 8 3 6" xfId="5221" xr:uid="{00000000-0005-0000-0000-000026140000}"/>
    <cellStyle name="_Table_Apple_CMD Model_31 Aug 2010 8 3 7" xfId="5222" xr:uid="{00000000-0005-0000-0000-000027140000}"/>
    <cellStyle name="_Table_Apple_CMD Model_31 Aug 2010 8 3 8" xfId="5223" xr:uid="{00000000-0005-0000-0000-000028140000}"/>
    <cellStyle name="_Table_Apple_CMD Model_31 Aug 2010 8 3 9" xfId="5224" xr:uid="{00000000-0005-0000-0000-000029140000}"/>
    <cellStyle name="_Table_Apple_CMD Model_31 Aug 2010 8 4" xfId="5225" xr:uid="{00000000-0005-0000-0000-00002A140000}"/>
    <cellStyle name="_Table_Apple_CMD Model_31 Aug 2010 8 5" xfId="5226" xr:uid="{00000000-0005-0000-0000-00002B140000}"/>
    <cellStyle name="_Table_Apple_CMD Model_31 Aug 2010 8 6" xfId="5227" xr:uid="{00000000-0005-0000-0000-00002C140000}"/>
    <cellStyle name="_Table_Apple_CMD Model_31 Aug 2010 8 7" xfId="5228" xr:uid="{00000000-0005-0000-0000-00002D140000}"/>
    <cellStyle name="_Table_Apple_CMD Model_31 Aug 2010 8 8" xfId="5229" xr:uid="{00000000-0005-0000-0000-00002E140000}"/>
    <cellStyle name="_Table_Apple_CMD Model_31 Aug 2010 8 9" xfId="5230" xr:uid="{00000000-0005-0000-0000-00002F140000}"/>
    <cellStyle name="_Table_Apple_CMD Model_31 Aug 2010 9" xfId="5231" xr:uid="{00000000-0005-0000-0000-000030140000}"/>
    <cellStyle name="_Table_Apple_CMD Model_31 Aug 2010 9 10" xfId="5232" xr:uid="{00000000-0005-0000-0000-000031140000}"/>
    <cellStyle name="_Table_Apple_CMD Model_31 Aug 2010 9 11" xfId="5233" xr:uid="{00000000-0005-0000-0000-000032140000}"/>
    <cellStyle name="_Table_Apple_CMD Model_31 Aug 2010 9 12" xfId="5234" xr:uid="{00000000-0005-0000-0000-000033140000}"/>
    <cellStyle name="_Table_Apple_CMD Model_31 Aug 2010 9 13" xfId="5235" xr:uid="{00000000-0005-0000-0000-000034140000}"/>
    <cellStyle name="_Table_Apple_CMD Model_31 Aug 2010 9 2" xfId="5236" xr:uid="{00000000-0005-0000-0000-000035140000}"/>
    <cellStyle name="_Table_Apple_CMD Model_31 Aug 2010 9 2 10" xfId="5237" xr:uid="{00000000-0005-0000-0000-000036140000}"/>
    <cellStyle name="_Table_Apple_CMD Model_31 Aug 2010 9 2 11" xfId="5238" xr:uid="{00000000-0005-0000-0000-000037140000}"/>
    <cellStyle name="_Table_Apple_CMD Model_31 Aug 2010 9 2 12" xfId="5239" xr:uid="{00000000-0005-0000-0000-000038140000}"/>
    <cellStyle name="_Table_Apple_CMD Model_31 Aug 2010 9 2 2" xfId="5240" xr:uid="{00000000-0005-0000-0000-000039140000}"/>
    <cellStyle name="_Table_Apple_CMD Model_31 Aug 2010 9 2 2 10" xfId="5241" xr:uid="{00000000-0005-0000-0000-00003A140000}"/>
    <cellStyle name="_Table_Apple_CMD Model_31 Aug 2010 9 2 2 2" xfId="5242" xr:uid="{00000000-0005-0000-0000-00003B140000}"/>
    <cellStyle name="_Table_Apple_CMD Model_31 Aug 2010 9 2 2 3" xfId="5243" xr:uid="{00000000-0005-0000-0000-00003C140000}"/>
    <cellStyle name="_Table_Apple_CMD Model_31 Aug 2010 9 2 2 4" xfId="5244" xr:uid="{00000000-0005-0000-0000-00003D140000}"/>
    <cellStyle name="_Table_Apple_CMD Model_31 Aug 2010 9 2 2 5" xfId="5245" xr:uid="{00000000-0005-0000-0000-00003E140000}"/>
    <cellStyle name="_Table_Apple_CMD Model_31 Aug 2010 9 2 2 6" xfId="5246" xr:uid="{00000000-0005-0000-0000-00003F140000}"/>
    <cellStyle name="_Table_Apple_CMD Model_31 Aug 2010 9 2 2 7" xfId="5247" xr:uid="{00000000-0005-0000-0000-000040140000}"/>
    <cellStyle name="_Table_Apple_CMD Model_31 Aug 2010 9 2 2 8" xfId="5248" xr:uid="{00000000-0005-0000-0000-000041140000}"/>
    <cellStyle name="_Table_Apple_CMD Model_31 Aug 2010 9 2 2 9" xfId="5249" xr:uid="{00000000-0005-0000-0000-000042140000}"/>
    <cellStyle name="_Table_Apple_CMD Model_31 Aug 2010 9 2 3" xfId="5250" xr:uid="{00000000-0005-0000-0000-000043140000}"/>
    <cellStyle name="_Table_Apple_CMD Model_31 Aug 2010 9 2 4" xfId="5251" xr:uid="{00000000-0005-0000-0000-000044140000}"/>
    <cellStyle name="_Table_Apple_CMD Model_31 Aug 2010 9 2 5" xfId="5252" xr:uid="{00000000-0005-0000-0000-000045140000}"/>
    <cellStyle name="_Table_Apple_CMD Model_31 Aug 2010 9 2 6" xfId="5253" xr:uid="{00000000-0005-0000-0000-000046140000}"/>
    <cellStyle name="_Table_Apple_CMD Model_31 Aug 2010 9 2 7" xfId="5254" xr:uid="{00000000-0005-0000-0000-000047140000}"/>
    <cellStyle name="_Table_Apple_CMD Model_31 Aug 2010 9 2 8" xfId="5255" xr:uid="{00000000-0005-0000-0000-000048140000}"/>
    <cellStyle name="_Table_Apple_CMD Model_31 Aug 2010 9 2 9" xfId="5256" xr:uid="{00000000-0005-0000-0000-000049140000}"/>
    <cellStyle name="_Table_Apple_CMD Model_31 Aug 2010 9 3" xfId="5257" xr:uid="{00000000-0005-0000-0000-00004A140000}"/>
    <cellStyle name="_Table_Apple_CMD Model_31 Aug 2010 9 3 10" xfId="5258" xr:uid="{00000000-0005-0000-0000-00004B140000}"/>
    <cellStyle name="_Table_Apple_CMD Model_31 Aug 2010 9 3 11" xfId="5259" xr:uid="{00000000-0005-0000-0000-00004C140000}"/>
    <cellStyle name="_Table_Apple_CMD Model_31 Aug 2010 9 3 2" xfId="5260" xr:uid="{00000000-0005-0000-0000-00004D140000}"/>
    <cellStyle name="_Table_Apple_CMD Model_31 Aug 2010 9 3 3" xfId="5261" xr:uid="{00000000-0005-0000-0000-00004E140000}"/>
    <cellStyle name="_Table_Apple_CMD Model_31 Aug 2010 9 3 4" xfId="5262" xr:uid="{00000000-0005-0000-0000-00004F140000}"/>
    <cellStyle name="_Table_Apple_CMD Model_31 Aug 2010 9 3 5" xfId="5263" xr:uid="{00000000-0005-0000-0000-000050140000}"/>
    <cellStyle name="_Table_Apple_CMD Model_31 Aug 2010 9 3 6" xfId="5264" xr:uid="{00000000-0005-0000-0000-000051140000}"/>
    <cellStyle name="_Table_Apple_CMD Model_31 Aug 2010 9 3 7" xfId="5265" xr:uid="{00000000-0005-0000-0000-000052140000}"/>
    <cellStyle name="_Table_Apple_CMD Model_31 Aug 2010 9 3 8" xfId="5266" xr:uid="{00000000-0005-0000-0000-000053140000}"/>
    <cellStyle name="_Table_Apple_CMD Model_31 Aug 2010 9 3 9" xfId="5267" xr:uid="{00000000-0005-0000-0000-000054140000}"/>
    <cellStyle name="_Table_Apple_CMD Model_31 Aug 2010 9 4" xfId="5268" xr:uid="{00000000-0005-0000-0000-000055140000}"/>
    <cellStyle name="_Table_Apple_CMD Model_31 Aug 2010 9 5" xfId="5269" xr:uid="{00000000-0005-0000-0000-000056140000}"/>
    <cellStyle name="_Table_Apple_CMD Model_31 Aug 2010 9 6" xfId="5270" xr:uid="{00000000-0005-0000-0000-000057140000}"/>
    <cellStyle name="_Table_Apple_CMD Model_31 Aug 2010 9 7" xfId="5271" xr:uid="{00000000-0005-0000-0000-000058140000}"/>
    <cellStyle name="_Table_Apple_CMD Model_31 Aug 2010 9 8" xfId="5272" xr:uid="{00000000-0005-0000-0000-000059140000}"/>
    <cellStyle name="_Table_Apple_CMD Model_31 Aug 2010 9 9" xfId="5273" xr:uid="{00000000-0005-0000-0000-00005A140000}"/>
    <cellStyle name="_TableHead" xfId="5274" xr:uid="{00000000-0005-0000-0000-00005B140000}"/>
    <cellStyle name="_TableHead_Apple_CMD Model_31 Aug 2010" xfId="5275" xr:uid="{00000000-0005-0000-0000-00005C140000}"/>
    <cellStyle name="_TableRowHead" xfId="5276" xr:uid="{00000000-0005-0000-0000-00005D140000}"/>
    <cellStyle name="_TableSuperHead" xfId="5277" xr:uid="{00000000-0005-0000-0000-00005E140000}"/>
    <cellStyle name="_Tax Plan Model Fenix" xfId="5278" xr:uid="{00000000-0005-0000-0000-00005F140000}"/>
    <cellStyle name="_Tax Plan Model Fenix_Fenix_Model__(08.16.10)" xfId="5279" xr:uid="{00000000-0005-0000-0000-000060140000}"/>
    <cellStyle name="_Tax Plan Model Fenix_Fenix_Model__(08.18.10) Lenders" xfId="5280" xr:uid="{00000000-0005-0000-0000-000061140000}"/>
    <cellStyle name="_Tax Plan Model Fenix_Fenix_Model__(08.30.10)  Lenders" xfId="5281" xr:uid="{00000000-0005-0000-0000-000062140000}"/>
    <cellStyle name="_Tax Plan Model Fenix_IDC" xfId="5282" xr:uid="{00000000-0005-0000-0000-000063140000}"/>
    <cellStyle name="_Tax Plan Model Fenix_Modelo (Apr10)-v12" xfId="5283" xr:uid="{00000000-0005-0000-0000-000064140000}"/>
    <cellStyle name="_Tax Plan Model Fenix_Modelo (Apr10)-v12_Fenix_Model__(08.30.10)  Lenders" xfId="5284" xr:uid="{00000000-0005-0000-0000-000065140000}"/>
    <cellStyle name="_Tax Plan Model Fenix_Modelo (Apr10)-v12_Fenix_Model__(08.30.10)  Lenders_IDC" xfId="5285" xr:uid="{00000000-0005-0000-0000-000066140000}"/>
    <cellStyle name="_Tax Plan Model Fenix_Modelo (Apr10)-v12_IDC" xfId="5286" xr:uid="{00000000-0005-0000-0000-000067140000}"/>
    <cellStyle name="_Tax Plan Model Fenix_Modelo (Oct09)-v8" xfId="5287" xr:uid="{00000000-0005-0000-0000-000068140000}"/>
    <cellStyle name="_Tax Plan Model Fenix_Modelo (Oct09)-v8_Fenix_Model__(08.30.10)  Lenders" xfId="5288" xr:uid="{00000000-0005-0000-0000-000069140000}"/>
    <cellStyle name="_Tax Plan Model Fenix_Modelo (Oct09)-v8_Fenix_Model__(08.30.10)  Lenders_IDC" xfId="5289" xr:uid="{00000000-0005-0000-0000-00006A140000}"/>
    <cellStyle name="_Tax Plan Model Fenix_Modelo (Oct09)-v8_IDC" xfId="5290" xr:uid="{00000000-0005-0000-0000-00006B140000}"/>
    <cellStyle name="_Tax Plan Model Fenix_Modelo_(May10)-v22" xfId="5291" xr:uid="{00000000-0005-0000-0000-00006C140000}"/>
    <cellStyle name="_Tipo de Cambio (2)" xfId="5292" xr:uid="{00000000-0005-0000-0000-00006D140000}"/>
    <cellStyle name="_TPI Assets Template" xfId="5293" xr:uid="{00000000-0005-0000-0000-00006E140000}"/>
    <cellStyle name="_TPI Assets Template 10" xfId="5294" xr:uid="{00000000-0005-0000-0000-00006F140000}"/>
    <cellStyle name="_TPI Assets Template 11" xfId="5295" xr:uid="{00000000-0005-0000-0000-000070140000}"/>
    <cellStyle name="_TPI Assets Template 12" xfId="5296" xr:uid="{00000000-0005-0000-0000-000071140000}"/>
    <cellStyle name="_TPI Assets Template 13" xfId="5297" xr:uid="{00000000-0005-0000-0000-000072140000}"/>
    <cellStyle name="_TPI Assets Template 14" xfId="5298" xr:uid="{00000000-0005-0000-0000-000073140000}"/>
    <cellStyle name="_TPI Assets Template 15" xfId="5299" xr:uid="{00000000-0005-0000-0000-000074140000}"/>
    <cellStyle name="_TPI Assets Template 16" xfId="5300" xr:uid="{00000000-0005-0000-0000-000075140000}"/>
    <cellStyle name="_TPI Assets Template 17" xfId="5301" xr:uid="{00000000-0005-0000-0000-000076140000}"/>
    <cellStyle name="_TPI Assets Template 18" xfId="5302" xr:uid="{00000000-0005-0000-0000-000077140000}"/>
    <cellStyle name="_TPI Assets Template 19" xfId="5303" xr:uid="{00000000-0005-0000-0000-000078140000}"/>
    <cellStyle name="_TPI Assets Template 2" xfId="5304" xr:uid="{00000000-0005-0000-0000-000079140000}"/>
    <cellStyle name="_TPI Assets Template 20" xfId="5305" xr:uid="{00000000-0005-0000-0000-00007A140000}"/>
    <cellStyle name="_TPI Assets Template 21" xfId="5306" xr:uid="{00000000-0005-0000-0000-00007B140000}"/>
    <cellStyle name="_TPI Assets Template 22" xfId="5307" xr:uid="{00000000-0005-0000-0000-00007C140000}"/>
    <cellStyle name="_TPI Assets Template 23" xfId="5308" xr:uid="{00000000-0005-0000-0000-00007D140000}"/>
    <cellStyle name="_TPI Assets Template 24" xfId="5309" xr:uid="{00000000-0005-0000-0000-00007E140000}"/>
    <cellStyle name="_TPI Assets Template 25" xfId="5310" xr:uid="{00000000-0005-0000-0000-00007F140000}"/>
    <cellStyle name="_TPI Assets Template 26" xfId="5311" xr:uid="{00000000-0005-0000-0000-000080140000}"/>
    <cellStyle name="_TPI Assets Template 27" xfId="5312" xr:uid="{00000000-0005-0000-0000-000081140000}"/>
    <cellStyle name="_TPI Assets Template 28" xfId="5313" xr:uid="{00000000-0005-0000-0000-000082140000}"/>
    <cellStyle name="_TPI Assets Template 29" xfId="5314" xr:uid="{00000000-0005-0000-0000-000083140000}"/>
    <cellStyle name="_TPI Assets Template 3" xfId="5315" xr:uid="{00000000-0005-0000-0000-000084140000}"/>
    <cellStyle name="_TPI Assets Template 30" xfId="5316" xr:uid="{00000000-0005-0000-0000-000085140000}"/>
    <cellStyle name="_TPI Assets Template 31" xfId="5317" xr:uid="{00000000-0005-0000-0000-000086140000}"/>
    <cellStyle name="_TPI Assets Template 32" xfId="5318" xr:uid="{00000000-0005-0000-0000-000087140000}"/>
    <cellStyle name="_TPI Assets Template 33" xfId="5319" xr:uid="{00000000-0005-0000-0000-000088140000}"/>
    <cellStyle name="_TPI Assets Template 34" xfId="5320" xr:uid="{00000000-0005-0000-0000-000089140000}"/>
    <cellStyle name="_TPI Assets Template 35" xfId="5321" xr:uid="{00000000-0005-0000-0000-00008A140000}"/>
    <cellStyle name="_TPI Assets Template 36" xfId="5322" xr:uid="{00000000-0005-0000-0000-00008B140000}"/>
    <cellStyle name="_TPI Assets Template 37" xfId="5323" xr:uid="{00000000-0005-0000-0000-00008C140000}"/>
    <cellStyle name="_TPI Assets Template 38" xfId="5324" xr:uid="{00000000-0005-0000-0000-00008D140000}"/>
    <cellStyle name="_TPI Assets Template 4" xfId="5325" xr:uid="{00000000-0005-0000-0000-00008E140000}"/>
    <cellStyle name="_TPI Assets Template 5" xfId="5326" xr:uid="{00000000-0005-0000-0000-00008F140000}"/>
    <cellStyle name="_TPI Assets Template 6" xfId="5327" xr:uid="{00000000-0005-0000-0000-000090140000}"/>
    <cellStyle name="_TPI Assets Template 7" xfId="5328" xr:uid="{00000000-0005-0000-0000-000091140000}"/>
    <cellStyle name="_TPI Assets Template 8" xfId="5329" xr:uid="{00000000-0005-0000-0000-000092140000}"/>
    <cellStyle name="_TPI Assets Template 9" xfId="5330" xr:uid="{00000000-0005-0000-0000-000093140000}"/>
    <cellStyle name="_TPI Assets Template_Copy of Capex 2009B" xfId="5331" xr:uid="{00000000-0005-0000-0000-000094140000}"/>
    <cellStyle name="_TPI Assets Template_soporte Capex 2009B" xfId="5332" xr:uid="{00000000-0005-0000-0000-000095140000}"/>
    <cellStyle name="_Val_Sum021307a1" xfId="5333" xr:uid="{00000000-0005-0000-0000-000096140000}"/>
    <cellStyle name="_Val_Sum021307a1_IDC" xfId="5334" xr:uid="{00000000-0005-0000-0000-000097140000}"/>
    <cellStyle name="_Valuation of Assembled Workforce" xfId="5335" xr:uid="{00000000-0005-0000-0000-000098140000}"/>
    <cellStyle name="_Valuation of Assembled Workforce 2" xfId="5336" xr:uid="{00000000-0005-0000-0000-000099140000}"/>
    <cellStyle name="_Valuation of Assembled Workforce_18.06.07_1900" xfId="5337" xr:uid="{00000000-0005-0000-0000-00009A140000}"/>
    <cellStyle name="_Valuation of Assembled Workforce_18.06.07_1900 2" xfId="5338" xr:uid="{00000000-0005-0000-0000-00009B140000}"/>
    <cellStyle name="_Voucher Nokia Vs Aplicacion 07" xfId="5339" xr:uid="{00000000-0005-0000-0000-00009C140000}"/>
    <cellStyle name="_הוון מימון (2)" xfId="5340" xr:uid="{00000000-0005-0000-0000-00009D140000}"/>
    <cellStyle name="_הוון מימון (2) 2" xfId="5341" xr:uid="{00000000-0005-0000-0000-00009E140000}"/>
    <cellStyle name="_הוצאות הנפקה (2)" xfId="5342" xr:uid="{00000000-0005-0000-0000-00009F140000}"/>
    <cellStyle name="_הוצאות הנפקה (2) 2" xfId="5343" xr:uid="{00000000-0005-0000-0000-0000A0140000}"/>
    <cellStyle name="_הפחתת הוצאות נדחות (2)" xfId="5344" xr:uid="{00000000-0005-0000-0000-0000A1140000}"/>
    <cellStyle name="_הפחתת הוצאות נדחות (2) 2" xfId="5345" xr:uid="{00000000-0005-0000-0000-0000A2140000}"/>
    <cellStyle name="_נכסים בלתי מוחשיים" xfId="5346" xr:uid="{00000000-0005-0000-0000-0000A3140000}"/>
    <cellStyle name="_רווחי אקווטי" xfId="5347" xr:uid="{00000000-0005-0000-0000-0000A4140000}"/>
    <cellStyle name="_רווחי אקווטי 2" xfId="5348" xr:uid="{00000000-0005-0000-0000-0000A5140000}"/>
    <cellStyle name="£ BP" xfId="5349" xr:uid="{00000000-0005-0000-0000-0000A6140000}"/>
    <cellStyle name="£/GJ" xfId="5350" xr:uid="{00000000-0005-0000-0000-0000A7140000}"/>
    <cellStyle name="£/t" xfId="5351" xr:uid="{00000000-0005-0000-0000-0000A8140000}"/>
    <cellStyle name="£Currency [0]" xfId="5352" xr:uid="{00000000-0005-0000-0000-0000A9140000}"/>
    <cellStyle name="£Currency [1]" xfId="5353" xr:uid="{00000000-0005-0000-0000-0000AA140000}"/>
    <cellStyle name="£Currency [2]" xfId="5354" xr:uid="{00000000-0005-0000-0000-0000AB140000}"/>
    <cellStyle name="£Currency [p]" xfId="5355" xr:uid="{00000000-0005-0000-0000-0000AC140000}"/>
    <cellStyle name="£Currency [p2]" xfId="5356" xr:uid="{00000000-0005-0000-0000-0000AD140000}"/>
    <cellStyle name="£Pounds" xfId="5357" xr:uid="{00000000-0005-0000-0000-0000AE140000}"/>
    <cellStyle name="_x0004_¥" xfId="5358" xr:uid="{00000000-0005-0000-0000-0000AF140000}"/>
    <cellStyle name="_x0004_¥ 2" xfId="5359" xr:uid="{00000000-0005-0000-0000-0000B0140000}"/>
    <cellStyle name="¥ JY" xfId="5360" xr:uid="{00000000-0005-0000-0000-0000B1140000}"/>
    <cellStyle name="+" xfId="5361" xr:uid="{00000000-0005-0000-0000-0000B2140000}"/>
    <cellStyle name="=C:\WINNT\SYSTEM32\COMMAND.COM" xfId="5362" xr:uid="{00000000-0005-0000-0000-0000B3140000}"/>
    <cellStyle name="=C:\WINNT\SYSTEM32\COMMAND.COM 2" xfId="5363" xr:uid="{00000000-0005-0000-0000-0000B4140000}"/>
    <cellStyle name="=C:\WINNT\SYSTEM32\COMMAND.COM 3" xfId="5364" xr:uid="{00000000-0005-0000-0000-0000B5140000}"/>
    <cellStyle name="=C:\WINNT35\SYSTEM32\COMMAND.COM" xfId="5365" xr:uid="{00000000-0005-0000-0000-0000B6140000}"/>
    <cellStyle name="=C:\WINNT35\SYSTEM32\COMMAND.COM 2" xfId="5366" xr:uid="{00000000-0005-0000-0000-0000B7140000}"/>
    <cellStyle name="=C:\WINNT35\SYSTEM32\COMMAND.COM 2 2" xfId="5367" xr:uid="{00000000-0005-0000-0000-0000B8140000}"/>
    <cellStyle name="=C:\WINNT35\SYSTEM32\COMMAND.COM 3" xfId="5368" xr:uid="{00000000-0005-0000-0000-0000B9140000}"/>
    <cellStyle name="=C:\WINNT35\SYSTEM32\COMMAND.COM 4" xfId="5369" xr:uid="{00000000-0005-0000-0000-0000BA140000}"/>
    <cellStyle name="=C:\WINNT35\SYSTEM32\COMMAND.COM 5" xfId="5370" xr:uid="{00000000-0005-0000-0000-0000BB140000}"/>
    <cellStyle name="=C:\WINNT35\SYSTEM32\COMMAND.COM 6" xfId="5371" xr:uid="{00000000-0005-0000-0000-0000BC140000}"/>
    <cellStyle name="=C:\WINNT35\SYSTEM32\COMMAND.COM 7" xfId="5372" xr:uid="{00000000-0005-0000-0000-0000BD140000}"/>
    <cellStyle name="=C:\WINNT35\SYSTEM32\COMMAND.COM 8" xfId="5373" xr:uid="{00000000-0005-0000-0000-0000BE140000}"/>
    <cellStyle name="=C:\WINNT35\SYSTEM32\COMMAND.COM 9" xfId="5374" xr:uid="{00000000-0005-0000-0000-0000BF140000}"/>
    <cellStyle name="=C:\WINNT35\SYSTEM32\COMMAND.COM_Full Model 060409rev1 (2) - BNPP Debt Sizing - V3" xfId="5375" xr:uid="{00000000-0005-0000-0000-0000C0140000}"/>
    <cellStyle name="᪺_x0012_⥈ʂ᫊_x0012_䐬ʂ᫚_x0012_䑠ʂ᫪_x0012_䒘ʂ᫺_x0012_䒰ʂᬊ_x0012_䓜ʂᬚ_x0012_⥰ʂᬪ_x0012_⦬ʂᬺ_x0012_⧌ʂᭊ_x0012_⧬ʂ᭚_x0012_⨈ʂ᭪_x0012_䔐ʂ᭺_x0012_䔰ʂᮊ_x0012_䕈ʂᮚ_x0012_䕤ʂ᮪_x0012_䖐´_x0012_䒠R-Line per Staff" xfId="5376" xr:uid="{00000000-0005-0000-0000-0000C1140000}"/>
    <cellStyle name="°" xfId="5377" xr:uid="{00000000-0005-0000-0000-0000C2140000}"/>
    <cellStyle name="°_Ass" xfId="5378" xr:uid="{00000000-0005-0000-0000-0000C3140000}"/>
    <cellStyle name="°_Ass_Meduse Valuation_v09" xfId="5379" xr:uid="{00000000-0005-0000-0000-0000C4140000}"/>
    <cellStyle name="°_Ass_Meduse Valuation_v09_IDC" xfId="5380" xr:uid="{00000000-0005-0000-0000-0000C5140000}"/>
    <cellStyle name="°_Curves" xfId="5381" xr:uid="{00000000-0005-0000-0000-0000C6140000}"/>
    <cellStyle name="°_Curves_Meduse Valuation_v09" xfId="5382" xr:uid="{00000000-0005-0000-0000-0000C7140000}"/>
    <cellStyle name="°_Curves_Meduse Valuation_v09_IDC" xfId="5383" xr:uid="{00000000-0005-0000-0000-0000C8140000}"/>
    <cellStyle name="°_ENS Economic Model 070802 v4" xfId="5384" xr:uid="{00000000-0005-0000-0000-0000C9140000}"/>
    <cellStyle name="°_ENS Economic Model 070802 v4_Meduse Valuation_v09" xfId="5385" xr:uid="{00000000-0005-0000-0000-0000CA140000}"/>
    <cellStyle name="°_ENS Economic Model 070802 v4_Meduse Valuation_v09_IDC" xfId="5386" xr:uid="{00000000-0005-0000-0000-0000CB140000}"/>
    <cellStyle name="°_ENS EGAS Plan2002-07 061202 Final" xfId="5387" xr:uid="{00000000-0005-0000-0000-0000CC140000}"/>
    <cellStyle name="°_ENS EGAS Plan2002-07 061202 Final_Meduse Valuation_v09" xfId="5388" xr:uid="{00000000-0005-0000-0000-0000CD140000}"/>
    <cellStyle name="°_ENS EGAS Plan2002-07 061202 Final_Meduse Valuation_v09_IDC" xfId="5389" xr:uid="{00000000-0005-0000-0000-0000CE140000}"/>
    <cellStyle name="°_ENS model052704_Internal with RRA 30112004" xfId="5390" xr:uid="{00000000-0005-0000-0000-0000CF140000}"/>
    <cellStyle name="°_ENS model052704_Internal with RRA 30112004_Meduse Valuation_v09" xfId="5391" xr:uid="{00000000-0005-0000-0000-0000D0140000}"/>
    <cellStyle name="°_ENS model052704_Internal with RRA 30112004_Meduse Valuation_v09_IDC" xfId="5392" xr:uid="{00000000-0005-0000-0000-0000D1140000}"/>
    <cellStyle name="°_Meduse Valuation_v09" xfId="5393" xr:uid="{00000000-0005-0000-0000-0000D2140000}"/>
    <cellStyle name="°_Meduse Valuation_v09_IDC" xfId="5394" xr:uid="{00000000-0005-0000-0000-0000D3140000}"/>
    <cellStyle name="°_Plant" xfId="5395" xr:uid="{00000000-0005-0000-0000-0000D4140000}"/>
    <cellStyle name="°_Plant_Meduse Valuation_v09" xfId="5396" xr:uid="{00000000-0005-0000-0000-0000D5140000}"/>
    <cellStyle name="°_Plant_Meduse Valuation_v09_IDC" xfId="5397" xr:uid="{00000000-0005-0000-0000-0000D6140000}"/>
    <cellStyle name="°_Tax" xfId="5398" xr:uid="{00000000-0005-0000-0000-0000D7140000}"/>
    <cellStyle name="°_Tax_Meduse Valuation_v09" xfId="5399" xr:uid="{00000000-0005-0000-0000-0000D8140000}"/>
    <cellStyle name="°_Tax_Meduse Valuation_v09_IDC" xfId="5400" xr:uid="{00000000-0005-0000-0000-0000D9140000}"/>
    <cellStyle name="°_Template_111504c" xfId="5401" xr:uid="{00000000-0005-0000-0000-0000DA140000}"/>
    <cellStyle name="°_Template_111504c_Meduse Valuation_v09" xfId="5402" xr:uid="{00000000-0005-0000-0000-0000DB140000}"/>
    <cellStyle name="°_Template_111504c_Meduse Valuation_v09_IDC" xfId="5403" xr:uid="{00000000-0005-0000-0000-0000DC140000}"/>
    <cellStyle name="_x0002_" xfId="5404" xr:uid="{00000000-0005-0000-0000-0000DD140000}"/>
    <cellStyle name="0" xfId="5405" xr:uid="{00000000-0005-0000-0000-0000DE140000}"/>
    <cellStyle name="0 2" xfId="5406" xr:uid="{00000000-0005-0000-0000-0000DF140000}"/>
    <cellStyle name="0,0_x000d__x000a_NA_x000d__x000a__השפעתחב בפוע וללא (2)" xfId="5407" xr:uid="{00000000-0005-0000-0000-0000E0140000}"/>
    <cellStyle name="0.0" xfId="5408" xr:uid="{00000000-0005-0000-0000-0000E1140000}"/>
    <cellStyle name="0.0 2" xfId="5409" xr:uid="{00000000-0005-0000-0000-0000E2140000}"/>
    <cellStyle name="0.00" xfId="5410" xr:uid="{00000000-0005-0000-0000-0000E3140000}"/>
    <cellStyle name="0.00 2" xfId="5411" xr:uid="{00000000-0005-0000-0000-0000E4140000}"/>
    <cellStyle name="0_Big graph_Page 1f" xfId="5412" xr:uid="{00000000-0005-0000-0000-0000E5140000}"/>
    <cellStyle name="0_Big graph_Page 1f 2" xfId="5413" xr:uid="{00000000-0005-0000-0000-0000E6140000}"/>
    <cellStyle name="0_Sub B" xfId="5414" xr:uid="{00000000-0005-0000-0000-0000E7140000}"/>
    <cellStyle name="0_Sub B 2" xfId="5415" xr:uid="{00000000-0005-0000-0000-0000E8140000}"/>
    <cellStyle name="0_Sub B_1_Page 1f" xfId="5416" xr:uid="{00000000-0005-0000-0000-0000E9140000}"/>
    <cellStyle name="0_Sub B_1_Page 1f 2" xfId="5417" xr:uid="{00000000-0005-0000-0000-0000EA140000}"/>
    <cellStyle name="0000" xfId="5418" xr:uid="{00000000-0005-0000-0000-0000EB140000}"/>
    <cellStyle name="000000" xfId="5419" xr:uid="{00000000-0005-0000-0000-0000EC140000}"/>
    <cellStyle name="01" xfId="5420" xr:uid="{00000000-0005-0000-0000-0000ED140000}"/>
    <cellStyle name="06" xfId="5421" xr:uid="{00000000-0005-0000-0000-0000EE140000}"/>
    <cellStyle name="06 F" xfId="5422" xr:uid="{00000000-0005-0000-0000-0000EF140000}"/>
    <cellStyle name="07" xfId="5423" xr:uid="{00000000-0005-0000-0000-0000F0140000}"/>
    <cellStyle name="07 F" xfId="5424" xr:uid="{00000000-0005-0000-0000-0000F1140000}"/>
    <cellStyle name="08" xfId="5425" xr:uid="{00000000-0005-0000-0000-0000F2140000}"/>
    <cellStyle name="08 F" xfId="5426" xr:uid="{00000000-0005-0000-0000-0000F3140000}"/>
    <cellStyle name="08 FK" xfId="5427" xr:uid="{00000000-0005-0000-0000-0000F4140000}"/>
    <cellStyle name="08 K" xfId="5428" xr:uid="{00000000-0005-0000-0000-0000F5140000}"/>
    <cellStyle name="09" xfId="5429" xr:uid="{00000000-0005-0000-0000-0000F6140000}"/>
    <cellStyle name="09 F" xfId="5430" xr:uid="{00000000-0005-0000-0000-0000F7140000}"/>
    <cellStyle name="09 FK" xfId="5431" xr:uid="{00000000-0005-0000-0000-0000F8140000}"/>
    <cellStyle name="09 FS" xfId="5432" xr:uid="{00000000-0005-0000-0000-0000F9140000}"/>
    <cellStyle name="09 FU" xfId="5433" xr:uid="{00000000-0005-0000-0000-0000FA140000}"/>
    <cellStyle name="0dp" xfId="5434" xr:uid="{00000000-0005-0000-0000-0000FB140000}"/>
    <cellStyle name="1" xfId="5435" xr:uid="{00000000-0005-0000-0000-0000FC140000}"/>
    <cellStyle name="-1" xfId="5436" xr:uid="{00000000-0005-0000-0000-0000FD140000}"/>
    <cellStyle name="-1 10" xfId="5437" xr:uid="{00000000-0005-0000-0000-0000FE140000}"/>
    <cellStyle name="-1 10 10" xfId="5438" xr:uid="{00000000-0005-0000-0000-0000FF140000}"/>
    <cellStyle name="-1 10 11" xfId="5439" xr:uid="{00000000-0005-0000-0000-000000150000}"/>
    <cellStyle name="-1 10 12" xfId="5440" xr:uid="{00000000-0005-0000-0000-000001150000}"/>
    <cellStyle name="-1 10 13" xfId="5441" xr:uid="{00000000-0005-0000-0000-000002150000}"/>
    <cellStyle name="-1 10 2" xfId="5442" xr:uid="{00000000-0005-0000-0000-000003150000}"/>
    <cellStyle name="-1 10 2 10" xfId="5443" xr:uid="{00000000-0005-0000-0000-000004150000}"/>
    <cellStyle name="-1 10 2 11" xfId="5444" xr:uid="{00000000-0005-0000-0000-000005150000}"/>
    <cellStyle name="-1 10 2 12" xfId="5445" xr:uid="{00000000-0005-0000-0000-000006150000}"/>
    <cellStyle name="-1 10 2 2" xfId="5446" xr:uid="{00000000-0005-0000-0000-000007150000}"/>
    <cellStyle name="-1 10 2 2 10" xfId="5447" xr:uid="{00000000-0005-0000-0000-000008150000}"/>
    <cellStyle name="-1 10 2 2 2" xfId="5448" xr:uid="{00000000-0005-0000-0000-000009150000}"/>
    <cellStyle name="-1 10 2 2 3" xfId="5449" xr:uid="{00000000-0005-0000-0000-00000A150000}"/>
    <cellStyle name="-1 10 2 2 4" xfId="5450" xr:uid="{00000000-0005-0000-0000-00000B150000}"/>
    <cellStyle name="-1 10 2 2 5" xfId="5451" xr:uid="{00000000-0005-0000-0000-00000C150000}"/>
    <cellStyle name="-1 10 2 2 6" xfId="5452" xr:uid="{00000000-0005-0000-0000-00000D150000}"/>
    <cellStyle name="-1 10 2 2 7" xfId="5453" xr:uid="{00000000-0005-0000-0000-00000E150000}"/>
    <cellStyle name="-1 10 2 2 8" xfId="5454" xr:uid="{00000000-0005-0000-0000-00000F150000}"/>
    <cellStyle name="-1 10 2 2 9" xfId="5455" xr:uid="{00000000-0005-0000-0000-000010150000}"/>
    <cellStyle name="-1 10 2 3" xfId="5456" xr:uid="{00000000-0005-0000-0000-000011150000}"/>
    <cellStyle name="-1 10 2 4" xfId="5457" xr:uid="{00000000-0005-0000-0000-000012150000}"/>
    <cellStyle name="-1 10 2 5" xfId="5458" xr:uid="{00000000-0005-0000-0000-000013150000}"/>
    <cellStyle name="-1 10 2 6" xfId="5459" xr:uid="{00000000-0005-0000-0000-000014150000}"/>
    <cellStyle name="-1 10 2 7" xfId="5460" xr:uid="{00000000-0005-0000-0000-000015150000}"/>
    <cellStyle name="-1 10 2 8" xfId="5461" xr:uid="{00000000-0005-0000-0000-000016150000}"/>
    <cellStyle name="-1 10 2 9" xfId="5462" xr:uid="{00000000-0005-0000-0000-000017150000}"/>
    <cellStyle name="-1 10 3" xfId="5463" xr:uid="{00000000-0005-0000-0000-000018150000}"/>
    <cellStyle name="-1 10 3 10" xfId="5464" xr:uid="{00000000-0005-0000-0000-000019150000}"/>
    <cellStyle name="-1 10 3 11" xfId="5465" xr:uid="{00000000-0005-0000-0000-00001A150000}"/>
    <cellStyle name="-1 10 3 2" xfId="5466" xr:uid="{00000000-0005-0000-0000-00001B150000}"/>
    <cellStyle name="-1 10 3 3" xfId="5467" xr:uid="{00000000-0005-0000-0000-00001C150000}"/>
    <cellStyle name="-1 10 3 4" xfId="5468" xr:uid="{00000000-0005-0000-0000-00001D150000}"/>
    <cellStyle name="-1 10 3 5" xfId="5469" xr:uid="{00000000-0005-0000-0000-00001E150000}"/>
    <cellStyle name="-1 10 3 6" xfId="5470" xr:uid="{00000000-0005-0000-0000-00001F150000}"/>
    <cellStyle name="-1 10 3 7" xfId="5471" xr:uid="{00000000-0005-0000-0000-000020150000}"/>
    <cellStyle name="-1 10 3 8" xfId="5472" xr:uid="{00000000-0005-0000-0000-000021150000}"/>
    <cellStyle name="-1 10 3 9" xfId="5473" xr:uid="{00000000-0005-0000-0000-000022150000}"/>
    <cellStyle name="-1 10 4" xfId="5474" xr:uid="{00000000-0005-0000-0000-000023150000}"/>
    <cellStyle name="-1 10 5" xfId="5475" xr:uid="{00000000-0005-0000-0000-000024150000}"/>
    <cellStyle name="-1 10 6" xfId="5476" xr:uid="{00000000-0005-0000-0000-000025150000}"/>
    <cellStyle name="-1 10 7" xfId="5477" xr:uid="{00000000-0005-0000-0000-000026150000}"/>
    <cellStyle name="-1 10 8" xfId="5478" xr:uid="{00000000-0005-0000-0000-000027150000}"/>
    <cellStyle name="-1 10 9" xfId="5479" xr:uid="{00000000-0005-0000-0000-000028150000}"/>
    <cellStyle name="-1 11" xfId="5480" xr:uid="{00000000-0005-0000-0000-000029150000}"/>
    <cellStyle name="-1 11 10" xfId="5481" xr:uid="{00000000-0005-0000-0000-00002A150000}"/>
    <cellStyle name="-1 11 11" xfId="5482" xr:uid="{00000000-0005-0000-0000-00002B150000}"/>
    <cellStyle name="-1 11 12" xfId="5483" xr:uid="{00000000-0005-0000-0000-00002C150000}"/>
    <cellStyle name="-1 11 13" xfId="5484" xr:uid="{00000000-0005-0000-0000-00002D150000}"/>
    <cellStyle name="-1 11 2" xfId="5485" xr:uid="{00000000-0005-0000-0000-00002E150000}"/>
    <cellStyle name="-1 11 2 10" xfId="5486" xr:uid="{00000000-0005-0000-0000-00002F150000}"/>
    <cellStyle name="-1 11 2 11" xfId="5487" xr:uid="{00000000-0005-0000-0000-000030150000}"/>
    <cellStyle name="-1 11 2 12" xfId="5488" xr:uid="{00000000-0005-0000-0000-000031150000}"/>
    <cellStyle name="-1 11 2 2" xfId="5489" xr:uid="{00000000-0005-0000-0000-000032150000}"/>
    <cellStyle name="-1 11 2 2 10" xfId="5490" xr:uid="{00000000-0005-0000-0000-000033150000}"/>
    <cellStyle name="-1 11 2 2 2" xfId="5491" xr:uid="{00000000-0005-0000-0000-000034150000}"/>
    <cellStyle name="-1 11 2 2 3" xfId="5492" xr:uid="{00000000-0005-0000-0000-000035150000}"/>
    <cellStyle name="-1 11 2 2 4" xfId="5493" xr:uid="{00000000-0005-0000-0000-000036150000}"/>
    <cellStyle name="-1 11 2 2 5" xfId="5494" xr:uid="{00000000-0005-0000-0000-000037150000}"/>
    <cellStyle name="-1 11 2 2 6" xfId="5495" xr:uid="{00000000-0005-0000-0000-000038150000}"/>
    <cellStyle name="-1 11 2 2 7" xfId="5496" xr:uid="{00000000-0005-0000-0000-000039150000}"/>
    <cellStyle name="-1 11 2 2 8" xfId="5497" xr:uid="{00000000-0005-0000-0000-00003A150000}"/>
    <cellStyle name="-1 11 2 2 9" xfId="5498" xr:uid="{00000000-0005-0000-0000-00003B150000}"/>
    <cellStyle name="-1 11 2 3" xfId="5499" xr:uid="{00000000-0005-0000-0000-00003C150000}"/>
    <cellStyle name="-1 11 2 4" xfId="5500" xr:uid="{00000000-0005-0000-0000-00003D150000}"/>
    <cellStyle name="-1 11 2 5" xfId="5501" xr:uid="{00000000-0005-0000-0000-00003E150000}"/>
    <cellStyle name="-1 11 2 6" xfId="5502" xr:uid="{00000000-0005-0000-0000-00003F150000}"/>
    <cellStyle name="-1 11 2 7" xfId="5503" xr:uid="{00000000-0005-0000-0000-000040150000}"/>
    <cellStyle name="-1 11 2 8" xfId="5504" xr:uid="{00000000-0005-0000-0000-000041150000}"/>
    <cellStyle name="-1 11 2 9" xfId="5505" xr:uid="{00000000-0005-0000-0000-000042150000}"/>
    <cellStyle name="-1 11 3" xfId="5506" xr:uid="{00000000-0005-0000-0000-000043150000}"/>
    <cellStyle name="-1 11 3 10" xfId="5507" xr:uid="{00000000-0005-0000-0000-000044150000}"/>
    <cellStyle name="-1 11 3 11" xfId="5508" xr:uid="{00000000-0005-0000-0000-000045150000}"/>
    <cellStyle name="-1 11 3 2" xfId="5509" xr:uid="{00000000-0005-0000-0000-000046150000}"/>
    <cellStyle name="-1 11 3 3" xfId="5510" xr:uid="{00000000-0005-0000-0000-000047150000}"/>
    <cellStyle name="-1 11 3 4" xfId="5511" xr:uid="{00000000-0005-0000-0000-000048150000}"/>
    <cellStyle name="-1 11 3 5" xfId="5512" xr:uid="{00000000-0005-0000-0000-000049150000}"/>
    <cellStyle name="-1 11 3 6" xfId="5513" xr:uid="{00000000-0005-0000-0000-00004A150000}"/>
    <cellStyle name="-1 11 3 7" xfId="5514" xr:uid="{00000000-0005-0000-0000-00004B150000}"/>
    <cellStyle name="-1 11 3 8" xfId="5515" xr:uid="{00000000-0005-0000-0000-00004C150000}"/>
    <cellStyle name="-1 11 3 9" xfId="5516" xr:uid="{00000000-0005-0000-0000-00004D150000}"/>
    <cellStyle name="-1 11 4" xfId="5517" xr:uid="{00000000-0005-0000-0000-00004E150000}"/>
    <cellStyle name="-1 11 5" xfId="5518" xr:uid="{00000000-0005-0000-0000-00004F150000}"/>
    <cellStyle name="-1 11 6" xfId="5519" xr:uid="{00000000-0005-0000-0000-000050150000}"/>
    <cellStyle name="-1 11 7" xfId="5520" xr:uid="{00000000-0005-0000-0000-000051150000}"/>
    <cellStyle name="-1 11 8" xfId="5521" xr:uid="{00000000-0005-0000-0000-000052150000}"/>
    <cellStyle name="-1 11 9" xfId="5522" xr:uid="{00000000-0005-0000-0000-000053150000}"/>
    <cellStyle name="-1 12" xfId="5523" xr:uid="{00000000-0005-0000-0000-000054150000}"/>
    <cellStyle name="-1 12 10" xfId="5524" xr:uid="{00000000-0005-0000-0000-000055150000}"/>
    <cellStyle name="-1 12 11" xfId="5525" xr:uid="{00000000-0005-0000-0000-000056150000}"/>
    <cellStyle name="-1 12 12" xfId="5526" xr:uid="{00000000-0005-0000-0000-000057150000}"/>
    <cellStyle name="-1 12 13" xfId="5527" xr:uid="{00000000-0005-0000-0000-000058150000}"/>
    <cellStyle name="-1 12 2" xfId="5528" xr:uid="{00000000-0005-0000-0000-000059150000}"/>
    <cellStyle name="-1 12 2 10" xfId="5529" xr:uid="{00000000-0005-0000-0000-00005A150000}"/>
    <cellStyle name="-1 12 2 11" xfId="5530" xr:uid="{00000000-0005-0000-0000-00005B150000}"/>
    <cellStyle name="-1 12 2 12" xfId="5531" xr:uid="{00000000-0005-0000-0000-00005C150000}"/>
    <cellStyle name="-1 12 2 2" xfId="5532" xr:uid="{00000000-0005-0000-0000-00005D150000}"/>
    <cellStyle name="-1 12 2 2 10" xfId="5533" xr:uid="{00000000-0005-0000-0000-00005E150000}"/>
    <cellStyle name="-1 12 2 2 2" xfId="5534" xr:uid="{00000000-0005-0000-0000-00005F150000}"/>
    <cellStyle name="-1 12 2 2 3" xfId="5535" xr:uid="{00000000-0005-0000-0000-000060150000}"/>
    <cellStyle name="-1 12 2 2 4" xfId="5536" xr:uid="{00000000-0005-0000-0000-000061150000}"/>
    <cellStyle name="-1 12 2 2 5" xfId="5537" xr:uid="{00000000-0005-0000-0000-000062150000}"/>
    <cellStyle name="-1 12 2 2 6" xfId="5538" xr:uid="{00000000-0005-0000-0000-000063150000}"/>
    <cellStyle name="-1 12 2 2 7" xfId="5539" xr:uid="{00000000-0005-0000-0000-000064150000}"/>
    <cellStyle name="-1 12 2 2 8" xfId="5540" xr:uid="{00000000-0005-0000-0000-000065150000}"/>
    <cellStyle name="-1 12 2 2 9" xfId="5541" xr:uid="{00000000-0005-0000-0000-000066150000}"/>
    <cellStyle name="-1 12 2 3" xfId="5542" xr:uid="{00000000-0005-0000-0000-000067150000}"/>
    <cellStyle name="-1 12 2 4" xfId="5543" xr:uid="{00000000-0005-0000-0000-000068150000}"/>
    <cellStyle name="-1 12 2 5" xfId="5544" xr:uid="{00000000-0005-0000-0000-000069150000}"/>
    <cellStyle name="-1 12 2 6" xfId="5545" xr:uid="{00000000-0005-0000-0000-00006A150000}"/>
    <cellStyle name="-1 12 2 7" xfId="5546" xr:uid="{00000000-0005-0000-0000-00006B150000}"/>
    <cellStyle name="-1 12 2 8" xfId="5547" xr:uid="{00000000-0005-0000-0000-00006C150000}"/>
    <cellStyle name="-1 12 2 9" xfId="5548" xr:uid="{00000000-0005-0000-0000-00006D150000}"/>
    <cellStyle name="-1 12 3" xfId="5549" xr:uid="{00000000-0005-0000-0000-00006E150000}"/>
    <cellStyle name="-1 12 3 10" xfId="5550" xr:uid="{00000000-0005-0000-0000-00006F150000}"/>
    <cellStyle name="-1 12 3 11" xfId="5551" xr:uid="{00000000-0005-0000-0000-000070150000}"/>
    <cellStyle name="-1 12 3 2" xfId="5552" xr:uid="{00000000-0005-0000-0000-000071150000}"/>
    <cellStyle name="-1 12 3 3" xfId="5553" xr:uid="{00000000-0005-0000-0000-000072150000}"/>
    <cellStyle name="-1 12 3 4" xfId="5554" xr:uid="{00000000-0005-0000-0000-000073150000}"/>
    <cellStyle name="-1 12 3 5" xfId="5555" xr:uid="{00000000-0005-0000-0000-000074150000}"/>
    <cellStyle name="-1 12 3 6" xfId="5556" xr:uid="{00000000-0005-0000-0000-000075150000}"/>
    <cellStyle name="-1 12 3 7" xfId="5557" xr:uid="{00000000-0005-0000-0000-000076150000}"/>
    <cellStyle name="-1 12 3 8" xfId="5558" xr:uid="{00000000-0005-0000-0000-000077150000}"/>
    <cellStyle name="-1 12 3 9" xfId="5559" xr:uid="{00000000-0005-0000-0000-000078150000}"/>
    <cellStyle name="-1 12 4" xfId="5560" xr:uid="{00000000-0005-0000-0000-000079150000}"/>
    <cellStyle name="-1 12 5" xfId="5561" xr:uid="{00000000-0005-0000-0000-00007A150000}"/>
    <cellStyle name="-1 12 6" xfId="5562" xr:uid="{00000000-0005-0000-0000-00007B150000}"/>
    <cellStyle name="-1 12 7" xfId="5563" xr:uid="{00000000-0005-0000-0000-00007C150000}"/>
    <cellStyle name="-1 12 8" xfId="5564" xr:uid="{00000000-0005-0000-0000-00007D150000}"/>
    <cellStyle name="-1 12 9" xfId="5565" xr:uid="{00000000-0005-0000-0000-00007E150000}"/>
    <cellStyle name="-1 13" xfId="5566" xr:uid="{00000000-0005-0000-0000-00007F150000}"/>
    <cellStyle name="-1 13 10" xfId="5567" xr:uid="{00000000-0005-0000-0000-000080150000}"/>
    <cellStyle name="-1 13 11" xfId="5568" xr:uid="{00000000-0005-0000-0000-000081150000}"/>
    <cellStyle name="-1 13 12" xfId="5569" xr:uid="{00000000-0005-0000-0000-000082150000}"/>
    <cellStyle name="-1 13 2" xfId="5570" xr:uid="{00000000-0005-0000-0000-000083150000}"/>
    <cellStyle name="-1 13 2 10" xfId="5571" xr:uid="{00000000-0005-0000-0000-000084150000}"/>
    <cellStyle name="-1 13 2 2" xfId="5572" xr:uid="{00000000-0005-0000-0000-000085150000}"/>
    <cellStyle name="-1 13 2 3" xfId="5573" xr:uid="{00000000-0005-0000-0000-000086150000}"/>
    <cellStyle name="-1 13 2 4" xfId="5574" xr:uid="{00000000-0005-0000-0000-000087150000}"/>
    <cellStyle name="-1 13 2 5" xfId="5575" xr:uid="{00000000-0005-0000-0000-000088150000}"/>
    <cellStyle name="-1 13 2 6" xfId="5576" xr:uid="{00000000-0005-0000-0000-000089150000}"/>
    <cellStyle name="-1 13 2 7" xfId="5577" xr:uid="{00000000-0005-0000-0000-00008A150000}"/>
    <cellStyle name="-1 13 2 8" xfId="5578" xr:uid="{00000000-0005-0000-0000-00008B150000}"/>
    <cellStyle name="-1 13 2 9" xfId="5579" xr:uid="{00000000-0005-0000-0000-00008C150000}"/>
    <cellStyle name="-1 13 3" xfId="5580" xr:uid="{00000000-0005-0000-0000-00008D150000}"/>
    <cellStyle name="-1 13 4" xfId="5581" xr:uid="{00000000-0005-0000-0000-00008E150000}"/>
    <cellStyle name="-1 13 5" xfId="5582" xr:uid="{00000000-0005-0000-0000-00008F150000}"/>
    <cellStyle name="-1 13 6" xfId="5583" xr:uid="{00000000-0005-0000-0000-000090150000}"/>
    <cellStyle name="-1 13 7" xfId="5584" xr:uid="{00000000-0005-0000-0000-000091150000}"/>
    <cellStyle name="-1 13 8" xfId="5585" xr:uid="{00000000-0005-0000-0000-000092150000}"/>
    <cellStyle name="-1 13 9" xfId="5586" xr:uid="{00000000-0005-0000-0000-000093150000}"/>
    <cellStyle name="-1 14" xfId="5587" xr:uid="{00000000-0005-0000-0000-000094150000}"/>
    <cellStyle name="-1 14 10" xfId="5588" xr:uid="{00000000-0005-0000-0000-000095150000}"/>
    <cellStyle name="-1 14 11" xfId="5589" xr:uid="{00000000-0005-0000-0000-000096150000}"/>
    <cellStyle name="-1 14 2" xfId="5590" xr:uid="{00000000-0005-0000-0000-000097150000}"/>
    <cellStyle name="-1 14 3" xfId="5591" xr:uid="{00000000-0005-0000-0000-000098150000}"/>
    <cellStyle name="-1 14 4" xfId="5592" xr:uid="{00000000-0005-0000-0000-000099150000}"/>
    <cellStyle name="-1 14 5" xfId="5593" xr:uid="{00000000-0005-0000-0000-00009A150000}"/>
    <cellStyle name="-1 14 6" xfId="5594" xr:uid="{00000000-0005-0000-0000-00009B150000}"/>
    <cellStyle name="-1 14 7" xfId="5595" xr:uid="{00000000-0005-0000-0000-00009C150000}"/>
    <cellStyle name="-1 14 8" xfId="5596" xr:uid="{00000000-0005-0000-0000-00009D150000}"/>
    <cellStyle name="-1 14 9" xfId="5597" xr:uid="{00000000-0005-0000-0000-00009E150000}"/>
    <cellStyle name="-1 15" xfId="5598" xr:uid="{00000000-0005-0000-0000-00009F150000}"/>
    <cellStyle name="-1 16" xfId="5599" xr:uid="{00000000-0005-0000-0000-0000A0150000}"/>
    <cellStyle name="-1 17" xfId="5600" xr:uid="{00000000-0005-0000-0000-0000A1150000}"/>
    <cellStyle name="-1 18" xfId="5601" xr:uid="{00000000-0005-0000-0000-0000A2150000}"/>
    <cellStyle name="-1 19" xfId="5602" xr:uid="{00000000-0005-0000-0000-0000A3150000}"/>
    <cellStyle name="1 2" xfId="5603" xr:uid="{00000000-0005-0000-0000-0000A4150000}"/>
    <cellStyle name="-1 2" xfId="5604" xr:uid="{00000000-0005-0000-0000-0000A5150000}"/>
    <cellStyle name="-1 2 10" xfId="5605" xr:uid="{00000000-0005-0000-0000-0000A6150000}"/>
    <cellStyle name="-1 2 11" xfId="5606" xr:uid="{00000000-0005-0000-0000-0000A7150000}"/>
    <cellStyle name="-1 2 12" xfId="5607" xr:uid="{00000000-0005-0000-0000-0000A8150000}"/>
    <cellStyle name="-1 2 13" xfId="5608" xr:uid="{00000000-0005-0000-0000-0000A9150000}"/>
    <cellStyle name="-1 2 2" xfId="5609" xr:uid="{00000000-0005-0000-0000-0000AA150000}"/>
    <cellStyle name="-1 2 2 10" xfId="5610" xr:uid="{00000000-0005-0000-0000-0000AB150000}"/>
    <cellStyle name="-1 2 2 11" xfId="5611" xr:uid="{00000000-0005-0000-0000-0000AC150000}"/>
    <cellStyle name="-1 2 2 12" xfId="5612" xr:uid="{00000000-0005-0000-0000-0000AD150000}"/>
    <cellStyle name="-1 2 2 2" xfId="5613" xr:uid="{00000000-0005-0000-0000-0000AE150000}"/>
    <cellStyle name="-1 2 2 2 10" xfId="5614" xr:uid="{00000000-0005-0000-0000-0000AF150000}"/>
    <cellStyle name="-1 2 2 2 2" xfId="5615" xr:uid="{00000000-0005-0000-0000-0000B0150000}"/>
    <cellStyle name="-1 2 2 2 3" xfId="5616" xr:uid="{00000000-0005-0000-0000-0000B1150000}"/>
    <cellStyle name="-1 2 2 2 4" xfId="5617" xr:uid="{00000000-0005-0000-0000-0000B2150000}"/>
    <cellStyle name="-1 2 2 2 5" xfId="5618" xr:uid="{00000000-0005-0000-0000-0000B3150000}"/>
    <cellStyle name="-1 2 2 2 6" xfId="5619" xr:uid="{00000000-0005-0000-0000-0000B4150000}"/>
    <cellStyle name="-1 2 2 2 7" xfId="5620" xr:uid="{00000000-0005-0000-0000-0000B5150000}"/>
    <cellStyle name="-1 2 2 2 8" xfId="5621" xr:uid="{00000000-0005-0000-0000-0000B6150000}"/>
    <cellStyle name="-1 2 2 2 9" xfId="5622" xr:uid="{00000000-0005-0000-0000-0000B7150000}"/>
    <cellStyle name="-1 2 2 3" xfId="5623" xr:uid="{00000000-0005-0000-0000-0000B8150000}"/>
    <cellStyle name="-1 2 2 4" xfId="5624" xr:uid="{00000000-0005-0000-0000-0000B9150000}"/>
    <cellStyle name="-1 2 2 5" xfId="5625" xr:uid="{00000000-0005-0000-0000-0000BA150000}"/>
    <cellStyle name="-1 2 2 6" xfId="5626" xr:uid="{00000000-0005-0000-0000-0000BB150000}"/>
    <cellStyle name="-1 2 2 7" xfId="5627" xr:uid="{00000000-0005-0000-0000-0000BC150000}"/>
    <cellStyle name="-1 2 2 8" xfId="5628" xr:uid="{00000000-0005-0000-0000-0000BD150000}"/>
    <cellStyle name="-1 2 2 9" xfId="5629" xr:uid="{00000000-0005-0000-0000-0000BE150000}"/>
    <cellStyle name="-1 2 3" xfId="5630" xr:uid="{00000000-0005-0000-0000-0000BF150000}"/>
    <cellStyle name="-1 2 3 10" xfId="5631" xr:uid="{00000000-0005-0000-0000-0000C0150000}"/>
    <cellStyle name="-1 2 3 11" xfId="5632" xr:uid="{00000000-0005-0000-0000-0000C1150000}"/>
    <cellStyle name="-1 2 3 2" xfId="5633" xr:uid="{00000000-0005-0000-0000-0000C2150000}"/>
    <cellStyle name="-1 2 3 3" xfId="5634" xr:uid="{00000000-0005-0000-0000-0000C3150000}"/>
    <cellStyle name="-1 2 3 4" xfId="5635" xr:uid="{00000000-0005-0000-0000-0000C4150000}"/>
    <cellStyle name="-1 2 3 5" xfId="5636" xr:uid="{00000000-0005-0000-0000-0000C5150000}"/>
    <cellStyle name="-1 2 3 6" xfId="5637" xr:uid="{00000000-0005-0000-0000-0000C6150000}"/>
    <cellStyle name="-1 2 3 7" xfId="5638" xr:uid="{00000000-0005-0000-0000-0000C7150000}"/>
    <cellStyle name="-1 2 3 8" xfId="5639" xr:uid="{00000000-0005-0000-0000-0000C8150000}"/>
    <cellStyle name="-1 2 3 9" xfId="5640" xr:uid="{00000000-0005-0000-0000-0000C9150000}"/>
    <cellStyle name="-1 2 4" xfId="5641" xr:uid="{00000000-0005-0000-0000-0000CA150000}"/>
    <cellStyle name="-1 2 5" xfId="5642" xr:uid="{00000000-0005-0000-0000-0000CB150000}"/>
    <cellStyle name="-1 2 6" xfId="5643" xr:uid="{00000000-0005-0000-0000-0000CC150000}"/>
    <cellStyle name="-1 2 7" xfId="5644" xr:uid="{00000000-0005-0000-0000-0000CD150000}"/>
    <cellStyle name="-1 2 8" xfId="5645" xr:uid="{00000000-0005-0000-0000-0000CE150000}"/>
    <cellStyle name="-1 2 9" xfId="5646" xr:uid="{00000000-0005-0000-0000-0000CF150000}"/>
    <cellStyle name="-1 20" xfId="5647" xr:uid="{00000000-0005-0000-0000-0000D0150000}"/>
    <cellStyle name="-1 21" xfId="5648" xr:uid="{00000000-0005-0000-0000-0000D1150000}"/>
    <cellStyle name="-1 22" xfId="5649" xr:uid="{00000000-0005-0000-0000-0000D2150000}"/>
    <cellStyle name="-1 23" xfId="5650" xr:uid="{00000000-0005-0000-0000-0000D3150000}"/>
    <cellStyle name="-1 24" xfId="5651" xr:uid="{00000000-0005-0000-0000-0000D4150000}"/>
    <cellStyle name="1 3" xfId="5652" xr:uid="{00000000-0005-0000-0000-0000D5150000}"/>
    <cellStyle name="-1 3" xfId="5653" xr:uid="{00000000-0005-0000-0000-0000D6150000}"/>
    <cellStyle name="-1 3 10" xfId="5654" xr:uid="{00000000-0005-0000-0000-0000D7150000}"/>
    <cellStyle name="-1 3 11" xfId="5655" xr:uid="{00000000-0005-0000-0000-0000D8150000}"/>
    <cellStyle name="-1 3 12" xfId="5656" xr:uid="{00000000-0005-0000-0000-0000D9150000}"/>
    <cellStyle name="-1 3 13" xfId="5657" xr:uid="{00000000-0005-0000-0000-0000DA150000}"/>
    <cellStyle name="-1 3 2" xfId="5658" xr:uid="{00000000-0005-0000-0000-0000DB150000}"/>
    <cellStyle name="-1 3 2 10" xfId="5659" xr:uid="{00000000-0005-0000-0000-0000DC150000}"/>
    <cellStyle name="-1 3 2 11" xfId="5660" xr:uid="{00000000-0005-0000-0000-0000DD150000}"/>
    <cellStyle name="-1 3 2 12" xfId="5661" xr:uid="{00000000-0005-0000-0000-0000DE150000}"/>
    <cellStyle name="-1 3 2 2" xfId="5662" xr:uid="{00000000-0005-0000-0000-0000DF150000}"/>
    <cellStyle name="-1 3 2 2 10" xfId="5663" xr:uid="{00000000-0005-0000-0000-0000E0150000}"/>
    <cellStyle name="-1 3 2 2 2" xfId="5664" xr:uid="{00000000-0005-0000-0000-0000E1150000}"/>
    <cellStyle name="-1 3 2 2 3" xfId="5665" xr:uid="{00000000-0005-0000-0000-0000E2150000}"/>
    <cellStyle name="-1 3 2 2 4" xfId="5666" xr:uid="{00000000-0005-0000-0000-0000E3150000}"/>
    <cellStyle name="-1 3 2 2 5" xfId="5667" xr:uid="{00000000-0005-0000-0000-0000E4150000}"/>
    <cellStyle name="-1 3 2 2 6" xfId="5668" xr:uid="{00000000-0005-0000-0000-0000E5150000}"/>
    <cellStyle name="-1 3 2 2 7" xfId="5669" xr:uid="{00000000-0005-0000-0000-0000E6150000}"/>
    <cellStyle name="-1 3 2 2 8" xfId="5670" xr:uid="{00000000-0005-0000-0000-0000E7150000}"/>
    <cellStyle name="-1 3 2 2 9" xfId="5671" xr:uid="{00000000-0005-0000-0000-0000E8150000}"/>
    <cellStyle name="-1 3 2 3" xfId="5672" xr:uid="{00000000-0005-0000-0000-0000E9150000}"/>
    <cellStyle name="-1 3 2 4" xfId="5673" xr:uid="{00000000-0005-0000-0000-0000EA150000}"/>
    <cellStyle name="-1 3 2 5" xfId="5674" xr:uid="{00000000-0005-0000-0000-0000EB150000}"/>
    <cellStyle name="-1 3 2 6" xfId="5675" xr:uid="{00000000-0005-0000-0000-0000EC150000}"/>
    <cellStyle name="-1 3 2 7" xfId="5676" xr:uid="{00000000-0005-0000-0000-0000ED150000}"/>
    <cellStyle name="-1 3 2 8" xfId="5677" xr:uid="{00000000-0005-0000-0000-0000EE150000}"/>
    <cellStyle name="-1 3 2 9" xfId="5678" xr:uid="{00000000-0005-0000-0000-0000EF150000}"/>
    <cellStyle name="-1 3 3" xfId="5679" xr:uid="{00000000-0005-0000-0000-0000F0150000}"/>
    <cellStyle name="-1 3 3 10" xfId="5680" xr:uid="{00000000-0005-0000-0000-0000F1150000}"/>
    <cellStyle name="-1 3 3 11" xfId="5681" xr:uid="{00000000-0005-0000-0000-0000F2150000}"/>
    <cellStyle name="-1 3 3 2" xfId="5682" xr:uid="{00000000-0005-0000-0000-0000F3150000}"/>
    <cellStyle name="-1 3 3 3" xfId="5683" xr:uid="{00000000-0005-0000-0000-0000F4150000}"/>
    <cellStyle name="-1 3 3 4" xfId="5684" xr:uid="{00000000-0005-0000-0000-0000F5150000}"/>
    <cellStyle name="-1 3 3 5" xfId="5685" xr:uid="{00000000-0005-0000-0000-0000F6150000}"/>
    <cellStyle name="-1 3 3 6" xfId="5686" xr:uid="{00000000-0005-0000-0000-0000F7150000}"/>
    <cellStyle name="-1 3 3 7" xfId="5687" xr:uid="{00000000-0005-0000-0000-0000F8150000}"/>
    <cellStyle name="-1 3 3 8" xfId="5688" xr:uid="{00000000-0005-0000-0000-0000F9150000}"/>
    <cellStyle name="-1 3 3 9" xfId="5689" xr:uid="{00000000-0005-0000-0000-0000FA150000}"/>
    <cellStyle name="-1 3 4" xfId="5690" xr:uid="{00000000-0005-0000-0000-0000FB150000}"/>
    <cellStyle name="-1 3 5" xfId="5691" xr:uid="{00000000-0005-0000-0000-0000FC150000}"/>
    <cellStyle name="-1 3 6" xfId="5692" xr:uid="{00000000-0005-0000-0000-0000FD150000}"/>
    <cellStyle name="-1 3 7" xfId="5693" xr:uid="{00000000-0005-0000-0000-0000FE150000}"/>
    <cellStyle name="-1 3 8" xfId="5694" xr:uid="{00000000-0005-0000-0000-0000FF150000}"/>
    <cellStyle name="-1 3 9" xfId="5695" xr:uid="{00000000-0005-0000-0000-000000160000}"/>
    <cellStyle name="1 4" xfId="5696" xr:uid="{00000000-0005-0000-0000-000001160000}"/>
    <cellStyle name="-1 4" xfId="5697" xr:uid="{00000000-0005-0000-0000-000002160000}"/>
    <cellStyle name="-1 4 10" xfId="5698" xr:uid="{00000000-0005-0000-0000-000003160000}"/>
    <cellStyle name="-1 4 11" xfId="5699" xr:uid="{00000000-0005-0000-0000-000004160000}"/>
    <cellStyle name="-1 4 12" xfId="5700" xr:uid="{00000000-0005-0000-0000-000005160000}"/>
    <cellStyle name="-1 4 13" xfId="5701" xr:uid="{00000000-0005-0000-0000-000006160000}"/>
    <cellStyle name="-1 4 2" xfId="5702" xr:uid="{00000000-0005-0000-0000-000007160000}"/>
    <cellStyle name="-1 4 2 10" xfId="5703" xr:uid="{00000000-0005-0000-0000-000008160000}"/>
    <cellStyle name="-1 4 2 11" xfId="5704" xr:uid="{00000000-0005-0000-0000-000009160000}"/>
    <cellStyle name="-1 4 2 12" xfId="5705" xr:uid="{00000000-0005-0000-0000-00000A160000}"/>
    <cellStyle name="-1 4 2 2" xfId="5706" xr:uid="{00000000-0005-0000-0000-00000B160000}"/>
    <cellStyle name="-1 4 2 2 10" xfId="5707" xr:uid="{00000000-0005-0000-0000-00000C160000}"/>
    <cellStyle name="-1 4 2 2 2" xfId="5708" xr:uid="{00000000-0005-0000-0000-00000D160000}"/>
    <cellStyle name="-1 4 2 2 3" xfId="5709" xr:uid="{00000000-0005-0000-0000-00000E160000}"/>
    <cellStyle name="-1 4 2 2 4" xfId="5710" xr:uid="{00000000-0005-0000-0000-00000F160000}"/>
    <cellStyle name="-1 4 2 2 5" xfId="5711" xr:uid="{00000000-0005-0000-0000-000010160000}"/>
    <cellStyle name="-1 4 2 2 6" xfId="5712" xr:uid="{00000000-0005-0000-0000-000011160000}"/>
    <cellStyle name="-1 4 2 2 7" xfId="5713" xr:uid="{00000000-0005-0000-0000-000012160000}"/>
    <cellStyle name="-1 4 2 2 8" xfId="5714" xr:uid="{00000000-0005-0000-0000-000013160000}"/>
    <cellStyle name="-1 4 2 2 9" xfId="5715" xr:uid="{00000000-0005-0000-0000-000014160000}"/>
    <cellStyle name="-1 4 2 3" xfId="5716" xr:uid="{00000000-0005-0000-0000-000015160000}"/>
    <cellStyle name="-1 4 2 4" xfId="5717" xr:uid="{00000000-0005-0000-0000-000016160000}"/>
    <cellStyle name="-1 4 2 5" xfId="5718" xr:uid="{00000000-0005-0000-0000-000017160000}"/>
    <cellStyle name="-1 4 2 6" xfId="5719" xr:uid="{00000000-0005-0000-0000-000018160000}"/>
    <cellStyle name="-1 4 2 7" xfId="5720" xr:uid="{00000000-0005-0000-0000-000019160000}"/>
    <cellStyle name="-1 4 2 8" xfId="5721" xr:uid="{00000000-0005-0000-0000-00001A160000}"/>
    <cellStyle name="-1 4 2 9" xfId="5722" xr:uid="{00000000-0005-0000-0000-00001B160000}"/>
    <cellStyle name="-1 4 3" xfId="5723" xr:uid="{00000000-0005-0000-0000-00001C160000}"/>
    <cellStyle name="-1 4 3 10" xfId="5724" xr:uid="{00000000-0005-0000-0000-00001D160000}"/>
    <cellStyle name="-1 4 3 11" xfId="5725" xr:uid="{00000000-0005-0000-0000-00001E160000}"/>
    <cellStyle name="-1 4 3 2" xfId="5726" xr:uid="{00000000-0005-0000-0000-00001F160000}"/>
    <cellStyle name="-1 4 3 3" xfId="5727" xr:uid="{00000000-0005-0000-0000-000020160000}"/>
    <cellStyle name="-1 4 3 4" xfId="5728" xr:uid="{00000000-0005-0000-0000-000021160000}"/>
    <cellStyle name="-1 4 3 5" xfId="5729" xr:uid="{00000000-0005-0000-0000-000022160000}"/>
    <cellStyle name="-1 4 3 6" xfId="5730" xr:uid="{00000000-0005-0000-0000-000023160000}"/>
    <cellStyle name="-1 4 3 7" xfId="5731" xr:uid="{00000000-0005-0000-0000-000024160000}"/>
    <cellStyle name="-1 4 3 8" xfId="5732" xr:uid="{00000000-0005-0000-0000-000025160000}"/>
    <cellStyle name="-1 4 3 9" xfId="5733" xr:uid="{00000000-0005-0000-0000-000026160000}"/>
    <cellStyle name="-1 4 4" xfId="5734" xr:uid="{00000000-0005-0000-0000-000027160000}"/>
    <cellStyle name="-1 4 5" xfId="5735" xr:uid="{00000000-0005-0000-0000-000028160000}"/>
    <cellStyle name="-1 4 6" xfId="5736" xr:uid="{00000000-0005-0000-0000-000029160000}"/>
    <cellStyle name="-1 4 7" xfId="5737" xr:uid="{00000000-0005-0000-0000-00002A160000}"/>
    <cellStyle name="-1 4 8" xfId="5738" xr:uid="{00000000-0005-0000-0000-00002B160000}"/>
    <cellStyle name="-1 4 9" xfId="5739" xr:uid="{00000000-0005-0000-0000-00002C160000}"/>
    <cellStyle name="1 5" xfId="5740" xr:uid="{00000000-0005-0000-0000-00002D160000}"/>
    <cellStyle name="-1 5" xfId="5741" xr:uid="{00000000-0005-0000-0000-00002E160000}"/>
    <cellStyle name="-1 5 10" xfId="5742" xr:uid="{00000000-0005-0000-0000-00002F160000}"/>
    <cellStyle name="-1 5 11" xfId="5743" xr:uid="{00000000-0005-0000-0000-000030160000}"/>
    <cellStyle name="-1 5 12" xfId="5744" xr:uid="{00000000-0005-0000-0000-000031160000}"/>
    <cellStyle name="-1 5 13" xfId="5745" xr:uid="{00000000-0005-0000-0000-000032160000}"/>
    <cellStyle name="-1 5 2" xfId="5746" xr:uid="{00000000-0005-0000-0000-000033160000}"/>
    <cellStyle name="-1 5 2 10" xfId="5747" xr:uid="{00000000-0005-0000-0000-000034160000}"/>
    <cellStyle name="-1 5 2 11" xfId="5748" xr:uid="{00000000-0005-0000-0000-000035160000}"/>
    <cellStyle name="-1 5 2 12" xfId="5749" xr:uid="{00000000-0005-0000-0000-000036160000}"/>
    <cellStyle name="-1 5 2 2" xfId="5750" xr:uid="{00000000-0005-0000-0000-000037160000}"/>
    <cellStyle name="-1 5 2 2 10" xfId="5751" xr:uid="{00000000-0005-0000-0000-000038160000}"/>
    <cellStyle name="-1 5 2 2 2" xfId="5752" xr:uid="{00000000-0005-0000-0000-000039160000}"/>
    <cellStyle name="-1 5 2 2 3" xfId="5753" xr:uid="{00000000-0005-0000-0000-00003A160000}"/>
    <cellStyle name="-1 5 2 2 4" xfId="5754" xr:uid="{00000000-0005-0000-0000-00003B160000}"/>
    <cellStyle name="-1 5 2 2 5" xfId="5755" xr:uid="{00000000-0005-0000-0000-00003C160000}"/>
    <cellStyle name="-1 5 2 2 6" xfId="5756" xr:uid="{00000000-0005-0000-0000-00003D160000}"/>
    <cellStyle name="-1 5 2 2 7" xfId="5757" xr:uid="{00000000-0005-0000-0000-00003E160000}"/>
    <cellStyle name="-1 5 2 2 8" xfId="5758" xr:uid="{00000000-0005-0000-0000-00003F160000}"/>
    <cellStyle name="-1 5 2 2 9" xfId="5759" xr:uid="{00000000-0005-0000-0000-000040160000}"/>
    <cellStyle name="-1 5 2 3" xfId="5760" xr:uid="{00000000-0005-0000-0000-000041160000}"/>
    <cellStyle name="-1 5 2 4" xfId="5761" xr:uid="{00000000-0005-0000-0000-000042160000}"/>
    <cellStyle name="-1 5 2 5" xfId="5762" xr:uid="{00000000-0005-0000-0000-000043160000}"/>
    <cellStyle name="-1 5 2 6" xfId="5763" xr:uid="{00000000-0005-0000-0000-000044160000}"/>
    <cellStyle name="-1 5 2 7" xfId="5764" xr:uid="{00000000-0005-0000-0000-000045160000}"/>
    <cellStyle name="-1 5 2 8" xfId="5765" xr:uid="{00000000-0005-0000-0000-000046160000}"/>
    <cellStyle name="-1 5 2 9" xfId="5766" xr:uid="{00000000-0005-0000-0000-000047160000}"/>
    <cellStyle name="-1 5 3" xfId="5767" xr:uid="{00000000-0005-0000-0000-000048160000}"/>
    <cellStyle name="-1 5 3 10" xfId="5768" xr:uid="{00000000-0005-0000-0000-000049160000}"/>
    <cellStyle name="-1 5 3 11" xfId="5769" xr:uid="{00000000-0005-0000-0000-00004A160000}"/>
    <cellStyle name="-1 5 3 2" xfId="5770" xr:uid="{00000000-0005-0000-0000-00004B160000}"/>
    <cellStyle name="-1 5 3 3" xfId="5771" xr:uid="{00000000-0005-0000-0000-00004C160000}"/>
    <cellStyle name="-1 5 3 4" xfId="5772" xr:uid="{00000000-0005-0000-0000-00004D160000}"/>
    <cellStyle name="-1 5 3 5" xfId="5773" xr:uid="{00000000-0005-0000-0000-00004E160000}"/>
    <cellStyle name="-1 5 3 6" xfId="5774" xr:uid="{00000000-0005-0000-0000-00004F160000}"/>
    <cellStyle name="-1 5 3 7" xfId="5775" xr:uid="{00000000-0005-0000-0000-000050160000}"/>
    <cellStyle name="-1 5 3 8" xfId="5776" xr:uid="{00000000-0005-0000-0000-000051160000}"/>
    <cellStyle name="-1 5 3 9" xfId="5777" xr:uid="{00000000-0005-0000-0000-000052160000}"/>
    <cellStyle name="-1 5 4" xfId="5778" xr:uid="{00000000-0005-0000-0000-000053160000}"/>
    <cellStyle name="-1 5 5" xfId="5779" xr:uid="{00000000-0005-0000-0000-000054160000}"/>
    <cellStyle name="-1 5 6" xfId="5780" xr:uid="{00000000-0005-0000-0000-000055160000}"/>
    <cellStyle name="-1 5 7" xfId="5781" xr:uid="{00000000-0005-0000-0000-000056160000}"/>
    <cellStyle name="-1 5 8" xfId="5782" xr:uid="{00000000-0005-0000-0000-000057160000}"/>
    <cellStyle name="-1 5 9" xfId="5783" xr:uid="{00000000-0005-0000-0000-000058160000}"/>
    <cellStyle name="1 6" xfId="5784" xr:uid="{00000000-0005-0000-0000-000059160000}"/>
    <cellStyle name="-1 6" xfId="5785" xr:uid="{00000000-0005-0000-0000-00005A160000}"/>
    <cellStyle name="-1 6 10" xfId="5786" xr:uid="{00000000-0005-0000-0000-00005B160000}"/>
    <cellStyle name="-1 6 11" xfId="5787" xr:uid="{00000000-0005-0000-0000-00005C160000}"/>
    <cellStyle name="-1 6 12" xfId="5788" xr:uid="{00000000-0005-0000-0000-00005D160000}"/>
    <cellStyle name="-1 6 13" xfId="5789" xr:uid="{00000000-0005-0000-0000-00005E160000}"/>
    <cellStyle name="-1 6 2" xfId="5790" xr:uid="{00000000-0005-0000-0000-00005F160000}"/>
    <cellStyle name="-1 6 2 10" xfId="5791" xr:uid="{00000000-0005-0000-0000-000060160000}"/>
    <cellStyle name="-1 6 2 11" xfId="5792" xr:uid="{00000000-0005-0000-0000-000061160000}"/>
    <cellStyle name="-1 6 2 12" xfId="5793" xr:uid="{00000000-0005-0000-0000-000062160000}"/>
    <cellStyle name="-1 6 2 2" xfId="5794" xr:uid="{00000000-0005-0000-0000-000063160000}"/>
    <cellStyle name="-1 6 2 2 10" xfId="5795" xr:uid="{00000000-0005-0000-0000-000064160000}"/>
    <cellStyle name="-1 6 2 2 2" xfId="5796" xr:uid="{00000000-0005-0000-0000-000065160000}"/>
    <cellStyle name="-1 6 2 2 3" xfId="5797" xr:uid="{00000000-0005-0000-0000-000066160000}"/>
    <cellStyle name="-1 6 2 2 4" xfId="5798" xr:uid="{00000000-0005-0000-0000-000067160000}"/>
    <cellStyle name="-1 6 2 2 5" xfId="5799" xr:uid="{00000000-0005-0000-0000-000068160000}"/>
    <cellStyle name="-1 6 2 2 6" xfId="5800" xr:uid="{00000000-0005-0000-0000-000069160000}"/>
    <cellStyle name="-1 6 2 2 7" xfId="5801" xr:uid="{00000000-0005-0000-0000-00006A160000}"/>
    <cellStyle name="-1 6 2 2 8" xfId="5802" xr:uid="{00000000-0005-0000-0000-00006B160000}"/>
    <cellStyle name="-1 6 2 2 9" xfId="5803" xr:uid="{00000000-0005-0000-0000-00006C160000}"/>
    <cellStyle name="-1 6 2 3" xfId="5804" xr:uid="{00000000-0005-0000-0000-00006D160000}"/>
    <cellStyle name="-1 6 2 4" xfId="5805" xr:uid="{00000000-0005-0000-0000-00006E160000}"/>
    <cellStyle name="-1 6 2 5" xfId="5806" xr:uid="{00000000-0005-0000-0000-00006F160000}"/>
    <cellStyle name="-1 6 2 6" xfId="5807" xr:uid="{00000000-0005-0000-0000-000070160000}"/>
    <cellStyle name="-1 6 2 7" xfId="5808" xr:uid="{00000000-0005-0000-0000-000071160000}"/>
    <cellStyle name="-1 6 2 8" xfId="5809" xr:uid="{00000000-0005-0000-0000-000072160000}"/>
    <cellStyle name="-1 6 2 9" xfId="5810" xr:uid="{00000000-0005-0000-0000-000073160000}"/>
    <cellStyle name="-1 6 3" xfId="5811" xr:uid="{00000000-0005-0000-0000-000074160000}"/>
    <cellStyle name="-1 6 3 10" xfId="5812" xr:uid="{00000000-0005-0000-0000-000075160000}"/>
    <cellStyle name="-1 6 3 11" xfId="5813" xr:uid="{00000000-0005-0000-0000-000076160000}"/>
    <cellStyle name="-1 6 3 2" xfId="5814" xr:uid="{00000000-0005-0000-0000-000077160000}"/>
    <cellStyle name="-1 6 3 3" xfId="5815" xr:uid="{00000000-0005-0000-0000-000078160000}"/>
    <cellStyle name="-1 6 3 4" xfId="5816" xr:uid="{00000000-0005-0000-0000-000079160000}"/>
    <cellStyle name="-1 6 3 5" xfId="5817" xr:uid="{00000000-0005-0000-0000-00007A160000}"/>
    <cellStyle name="-1 6 3 6" xfId="5818" xr:uid="{00000000-0005-0000-0000-00007B160000}"/>
    <cellStyle name="-1 6 3 7" xfId="5819" xr:uid="{00000000-0005-0000-0000-00007C160000}"/>
    <cellStyle name="-1 6 3 8" xfId="5820" xr:uid="{00000000-0005-0000-0000-00007D160000}"/>
    <cellStyle name="-1 6 3 9" xfId="5821" xr:uid="{00000000-0005-0000-0000-00007E160000}"/>
    <cellStyle name="-1 6 4" xfId="5822" xr:uid="{00000000-0005-0000-0000-00007F160000}"/>
    <cellStyle name="-1 6 5" xfId="5823" xr:uid="{00000000-0005-0000-0000-000080160000}"/>
    <cellStyle name="-1 6 6" xfId="5824" xr:uid="{00000000-0005-0000-0000-000081160000}"/>
    <cellStyle name="-1 6 7" xfId="5825" xr:uid="{00000000-0005-0000-0000-000082160000}"/>
    <cellStyle name="-1 6 8" xfId="5826" xr:uid="{00000000-0005-0000-0000-000083160000}"/>
    <cellStyle name="-1 6 9" xfId="5827" xr:uid="{00000000-0005-0000-0000-000084160000}"/>
    <cellStyle name="-1 7" xfId="5828" xr:uid="{00000000-0005-0000-0000-000085160000}"/>
    <cellStyle name="-1 7 10" xfId="5829" xr:uid="{00000000-0005-0000-0000-000086160000}"/>
    <cellStyle name="-1 7 11" xfId="5830" xr:uid="{00000000-0005-0000-0000-000087160000}"/>
    <cellStyle name="-1 7 12" xfId="5831" xr:uid="{00000000-0005-0000-0000-000088160000}"/>
    <cellStyle name="-1 7 13" xfId="5832" xr:uid="{00000000-0005-0000-0000-000089160000}"/>
    <cellStyle name="-1 7 2" xfId="5833" xr:uid="{00000000-0005-0000-0000-00008A160000}"/>
    <cellStyle name="-1 7 2 10" xfId="5834" xr:uid="{00000000-0005-0000-0000-00008B160000}"/>
    <cellStyle name="-1 7 2 11" xfId="5835" xr:uid="{00000000-0005-0000-0000-00008C160000}"/>
    <cellStyle name="-1 7 2 12" xfId="5836" xr:uid="{00000000-0005-0000-0000-00008D160000}"/>
    <cellStyle name="-1 7 2 2" xfId="5837" xr:uid="{00000000-0005-0000-0000-00008E160000}"/>
    <cellStyle name="-1 7 2 2 10" xfId="5838" xr:uid="{00000000-0005-0000-0000-00008F160000}"/>
    <cellStyle name="-1 7 2 2 2" xfId="5839" xr:uid="{00000000-0005-0000-0000-000090160000}"/>
    <cellStyle name="-1 7 2 2 3" xfId="5840" xr:uid="{00000000-0005-0000-0000-000091160000}"/>
    <cellStyle name="-1 7 2 2 4" xfId="5841" xr:uid="{00000000-0005-0000-0000-000092160000}"/>
    <cellStyle name="-1 7 2 2 5" xfId="5842" xr:uid="{00000000-0005-0000-0000-000093160000}"/>
    <cellStyle name="-1 7 2 2 6" xfId="5843" xr:uid="{00000000-0005-0000-0000-000094160000}"/>
    <cellStyle name="-1 7 2 2 7" xfId="5844" xr:uid="{00000000-0005-0000-0000-000095160000}"/>
    <cellStyle name="-1 7 2 2 8" xfId="5845" xr:uid="{00000000-0005-0000-0000-000096160000}"/>
    <cellStyle name="-1 7 2 2 9" xfId="5846" xr:uid="{00000000-0005-0000-0000-000097160000}"/>
    <cellStyle name="-1 7 2 3" xfId="5847" xr:uid="{00000000-0005-0000-0000-000098160000}"/>
    <cellStyle name="-1 7 2 4" xfId="5848" xr:uid="{00000000-0005-0000-0000-000099160000}"/>
    <cellStyle name="-1 7 2 5" xfId="5849" xr:uid="{00000000-0005-0000-0000-00009A160000}"/>
    <cellStyle name="-1 7 2 6" xfId="5850" xr:uid="{00000000-0005-0000-0000-00009B160000}"/>
    <cellStyle name="-1 7 2 7" xfId="5851" xr:uid="{00000000-0005-0000-0000-00009C160000}"/>
    <cellStyle name="-1 7 2 8" xfId="5852" xr:uid="{00000000-0005-0000-0000-00009D160000}"/>
    <cellStyle name="-1 7 2 9" xfId="5853" xr:uid="{00000000-0005-0000-0000-00009E160000}"/>
    <cellStyle name="-1 7 3" xfId="5854" xr:uid="{00000000-0005-0000-0000-00009F160000}"/>
    <cellStyle name="-1 7 3 10" xfId="5855" xr:uid="{00000000-0005-0000-0000-0000A0160000}"/>
    <cellStyle name="-1 7 3 11" xfId="5856" xr:uid="{00000000-0005-0000-0000-0000A1160000}"/>
    <cellStyle name="-1 7 3 2" xfId="5857" xr:uid="{00000000-0005-0000-0000-0000A2160000}"/>
    <cellStyle name="-1 7 3 3" xfId="5858" xr:uid="{00000000-0005-0000-0000-0000A3160000}"/>
    <cellStyle name="-1 7 3 4" xfId="5859" xr:uid="{00000000-0005-0000-0000-0000A4160000}"/>
    <cellStyle name="-1 7 3 5" xfId="5860" xr:uid="{00000000-0005-0000-0000-0000A5160000}"/>
    <cellStyle name="-1 7 3 6" xfId="5861" xr:uid="{00000000-0005-0000-0000-0000A6160000}"/>
    <cellStyle name="-1 7 3 7" xfId="5862" xr:uid="{00000000-0005-0000-0000-0000A7160000}"/>
    <cellStyle name="-1 7 3 8" xfId="5863" xr:uid="{00000000-0005-0000-0000-0000A8160000}"/>
    <cellStyle name="-1 7 3 9" xfId="5864" xr:uid="{00000000-0005-0000-0000-0000A9160000}"/>
    <cellStyle name="-1 7 4" xfId="5865" xr:uid="{00000000-0005-0000-0000-0000AA160000}"/>
    <cellStyle name="-1 7 5" xfId="5866" xr:uid="{00000000-0005-0000-0000-0000AB160000}"/>
    <cellStyle name="-1 7 6" xfId="5867" xr:uid="{00000000-0005-0000-0000-0000AC160000}"/>
    <cellStyle name="-1 7 7" xfId="5868" xr:uid="{00000000-0005-0000-0000-0000AD160000}"/>
    <cellStyle name="-1 7 8" xfId="5869" xr:uid="{00000000-0005-0000-0000-0000AE160000}"/>
    <cellStyle name="-1 7 9" xfId="5870" xr:uid="{00000000-0005-0000-0000-0000AF160000}"/>
    <cellStyle name="-1 8" xfId="5871" xr:uid="{00000000-0005-0000-0000-0000B0160000}"/>
    <cellStyle name="-1 8 10" xfId="5872" xr:uid="{00000000-0005-0000-0000-0000B1160000}"/>
    <cellStyle name="-1 8 11" xfId="5873" xr:uid="{00000000-0005-0000-0000-0000B2160000}"/>
    <cellStyle name="-1 8 12" xfId="5874" xr:uid="{00000000-0005-0000-0000-0000B3160000}"/>
    <cellStyle name="-1 8 13" xfId="5875" xr:uid="{00000000-0005-0000-0000-0000B4160000}"/>
    <cellStyle name="-1 8 2" xfId="5876" xr:uid="{00000000-0005-0000-0000-0000B5160000}"/>
    <cellStyle name="-1 8 2 10" xfId="5877" xr:uid="{00000000-0005-0000-0000-0000B6160000}"/>
    <cellStyle name="-1 8 2 11" xfId="5878" xr:uid="{00000000-0005-0000-0000-0000B7160000}"/>
    <cellStyle name="-1 8 2 12" xfId="5879" xr:uid="{00000000-0005-0000-0000-0000B8160000}"/>
    <cellStyle name="-1 8 2 2" xfId="5880" xr:uid="{00000000-0005-0000-0000-0000B9160000}"/>
    <cellStyle name="-1 8 2 2 10" xfId="5881" xr:uid="{00000000-0005-0000-0000-0000BA160000}"/>
    <cellStyle name="-1 8 2 2 2" xfId="5882" xr:uid="{00000000-0005-0000-0000-0000BB160000}"/>
    <cellStyle name="-1 8 2 2 3" xfId="5883" xr:uid="{00000000-0005-0000-0000-0000BC160000}"/>
    <cellStyle name="-1 8 2 2 4" xfId="5884" xr:uid="{00000000-0005-0000-0000-0000BD160000}"/>
    <cellStyle name="-1 8 2 2 5" xfId="5885" xr:uid="{00000000-0005-0000-0000-0000BE160000}"/>
    <cellStyle name="-1 8 2 2 6" xfId="5886" xr:uid="{00000000-0005-0000-0000-0000BF160000}"/>
    <cellStyle name="-1 8 2 2 7" xfId="5887" xr:uid="{00000000-0005-0000-0000-0000C0160000}"/>
    <cellStyle name="-1 8 2 2 8" xfId="5888" xr:uid="{00000000-0005-0000-0000-0000C1160000}"/>
    <cellStyle name="-1 8 2 2 9" xfId="5889" xr:uid="{00000000-0005-0000-0000-0000C2160000}"/>
    <cellStyle name="-1 8 2 3" xfId="5890" xr:uid="{00000000-0005-0000-0000-0000C3160000}"/>
    <cellStyle name="-1 8 2 4" xfId="5891" xr:uid="{00000000-0005-0000-0000-0000C4160000}"/>
    <cellStyle name="-1 8 2 5" xfId="5892" xr:uid="{00000000-0005-0000-0000-0000C5160000}"/>
    <cellStyle name="-1 8 2 6" xfId="5893" xr:uid="{00000000-0005-0000-0000-0000C6160000}"/>
    <cellStyle name="-1 8 2 7" xfId="5894" xr:uid="{00000000-0005-0000-0000-0000C7160000}"/>
    <cellStyle name="-1 8 2 8" xfId="5895" xr:uid="{00000000-0005-0000-0000-0000C8160000}"/>
    <cellStyle name="-1 8 2 9" xfId="5896" xr:uid="{00000000-0005-0000-0000-0000C9160000}"/>
    <cellStyle name="-1 8 3" xfId="5897" xr:uid="{00000000-0005-0000-0000-0000CA160000}"/>
    <cellStyle name="-1 8 3 10" xfId="5898" xr:uid="{00000000-0005-0000-0000-0000CB160000}"/>
    <cellStyle name="-1 8 3 11" xfId="5899" xr:uid="{00000000-0005-0000-0000-0000CC160000}"/>
    <cellStyle name="-1 8 3 2" xfId="5900" xr:uid="{00000000-0005-0000-0000-0000CD160000}"/>
    <cellStyle name="-1 8 3 3" xfId="5901" xr:uid="{00000000-0005-0000-0000-0000CE160000}"/>
    <cellStyle name="-1 8 3 4" xfId="5902" xr:uid="{00000000-0005-0000-0000-0000CF160000}"/>
    <cellStyle name="-1 8 3 5" xfId="5903" xr:uid="{00000000-0005-0000-0000-0000D0160000}"/>
    <cellStyle name="-1 8 3 6" xfId="5904" xr:uid="{00000000-0005-0000-0000-0000D1160000}"/>
    <cellStyle name="-1 8 3 7" xfId="5905" xr:uid="{00000000-0005-0000-0000-0000D2160000}"/>
    <cellStyle name="-1 8 3 8" xfId="5906" xr:uid="{00000000-0005-0000-0000-0000D3160000}"/>
    <cellStyle name="-1 8 3 9" xfId="5907" xr:uid="{00000000-0005-0000-0000-0000D4160000}"/>
    <cellStyle name="-1 8 4" xfId="5908" xr:uid="{00000000-0005-0000-0000-0000D5160000}"/>
    <cellStyle name="-1 8 5" xfId="5909" xr:uid="{00000000-0005-0000-0000-0000D6160000}"/>
    <cellStyle name="-1 8 6" xfId="5910" xr:uid="{00000000-0005-0000-0000-0000D7160000}"/>
    <cellStyle name="-1 8 7" xfId="5911" xr:uid="{00000000-0005-0000-0000-0000D8160000}"/>
    <cellStyle name="-1 8 8" xfId="5912" xr:uid="{00000000-0005-0000-0000-0000D9160000}"/>
    <cellStyle name="-1 8 9" xfId="5913" xr:uid="{00000000-0005-0000-0000-0000DA160000}"/>
    <cellStyle name="-1 9" xfId="5914" xr:uid="{00000000-0005-0000-0000-0000DB160000}"/>
    <cellStyle name="-1 9 10" xfId="5915" xr:uid="{00000000-0005-0000-0000-0000DC160000}"/>
    <cellStyle name="-1 9 11" xfId="5916" xr:uid="{00000000-0005-0000-0000-0000DD160000}"/>
    <cellStyle name="-1 9 12" xfId="5917" xr:uid="{00000000-0005-0000-0000-0000DE160000}"/>
    <cellStyle name="-1 9 13" xfId="5918" xr:uid="{00000000-0005-0000-0000-0000DF160000}"/>
    <cellStyle name="-1 9 2" xfId="5919" xr:uid="{00000000-0005-0000-0000-0000E0160000}"/>
    <cellStyle name="-1 9 2 10" xfId="5920" xr:uid="{00000000-0005-0000-0000-0000E1160000}"/>
    <cellStyle name="-1 9 2 11" xfId="5921" xr:uid="{00000000-0005-0000-0000-0000E2160000}"/>
    <cellStyle name="-1 9 2 12" xfId="5922" xr:uid="{00000000-0005-0000-0000-0000E3160000}"/>
    <cellStyle name="-1 9 2 2" xfId="5923" xr:uid="{00000000-0005-0000-0000-0000E4160000}"/>
    <cellStyle name="-1 9 2 2 10" xfId="5924" xr:uid="{00000000-0005-0000-0000-0000E5160000}"/>
    <cellStyle name="-1 9 2 2 2" xfId="5925" xr:uid="{00000000-0005-0000-0000-0000E6160000}"/>
    <cellStyle name="-1 9 2 2 3" xfId="5926" xr:uid="{00000000-0005-0000-0000-0000E7160000}"/>
    <cellStyle name="-1 9 2 2 4" xfId="5927" xr:uid="{00000000-0005-0000-0000-0000E8160000}"/>
    <cellStyle name="-1 9 2 2 5" xfId="5928" xr:uid="{00000000-0005-0000-0000-0000E9160000}"/>
    <cellStyle name="-1 9 2 2 6" xfId="5929" xr:uid="{00000000-0005-0000-0000-0000EA160000}"/>
    <cellStyle name="-1 9 2 2 7" xfId="5930" xr:uid="{00000000-0005-0000-0000-0000EB160000}"/>
    <cellStyle name="-1 9 2 2 8" xfId="5931" xr:uid="{00000000-0005-0000-0000-0000EC160000}"/>
    <cellStyle name="-1 9 2 2 9" xfId="5932" xr:uid="{00000000-0005-0000-0000-0000ED160000}"/>
    <cellStyle name="-1 9 2 3" xfId="5933" xr:uid="{00000000-0005-0000-0000-0000EE160000}"/>
    <cellStyle name="-1 9 2 4" xfId="5934" xr:uid="{00000000-0005-0000-0000-0000EF160000}"/>
    <cellStyle name="-1 9 2 5" xfId="5935" xr:uid="{00000000-0005-0000-0000-0000F0160000}"/>
    <cellStyle name="-1 9 2 6" xfId="5936" xr:uid="{00000000-0005-0000-0000-0000F1160000}"/>
    <cellStyle name="-1 9 2 7" xfId="5937" xr:uid="{00000000-0005-0000-0000-0000F2160000}"/>
    <cellStyle name="-1 9 2 8" xfId="5938" xr:uid="{00000000-0005-0000-0000-0000F3160000}"/>
    <cellStyle name="-1 9 2 9" xfId="5939" xr:uid="{00000000-0005-0000-0000-0000F4160000}"/>
    <cellStyle name="-1 9 3" xfId="5940" xr:uid="{00000000-0005-0000-0000-0000F5160000}"/>
    <cellStyle name="-1 9 3 10" xfId="5941" xr:uid="{00000000-0005-0000-0000-0000F6160000}"/>
    <cellStyle name="-1 9 3 11" xfId="5942" xr:uid="{00000000-0005-0000-0000-0000F7160000}"/>
    <cellStyle name="-1 9 3 2" xfId="5943" xr:uid="{00000000-0005-0000-0000-0000F8160000}"/>
    <cellStyle name="-1 9 3 3" xfId="5944" xr:uid="{00000000-0005-0000-0000-0000F9160000}"/>
    <cellStyle name="-1 9 3 4" xfId="5945" xr:uid="{00000000-0005-0000-0000-0000FA160000}"/>
    <cellStyle name="-1 9 3 5" xfId="5946" xr:uid="{00000000-0005-0000-0000-0000FB160000}"/>
    <cellStyle name="-1 9 3 6" xfId="5947" xr:uid="{00000000-0005-0000-0000-0000FC160000}"/>
    <cellStyle name="-1 9 3 7" xfId="5948" xr:uid="{00000000-0005-0000-0000-0000FD160000}"/>
    <cellStyle name="-1 9 3 8" xfId="5949" xr:uid="{00000000-0005-0000-0000-0000FE160000}"/>
    <cellStyle name="-1 9 3 9" xfId="5950" xr:uid="{00000000-0005-0000-0000-0000FF160000}"/>
    <cellStyle name="-1 9 4" xfId="5951" xr:uid="{00000000-0005-0000-0000-000000170000}"/>
    <cellStyle name="-1 9 5" xfId="5952" xr:uid="{00000000-0005-0000-0000-000001170000}"/>
    <cellStyle name="-1 9 6" xfId="5953" xr:uid="{00000000-0005-0000-0000-000002170000}"/>
    <cellStyle name="-1 9 7" xfId="5954" xr:uid="{00000000-0005-0000-0000-000003170000}"/>
    <cellStyle name="-1 9 8" xfId="5955" xr:uid="{00000000-0005-0000-0000-000004170000}"/>
    <cellStyle name="-1 9 9" xfId="5956" xr:uid="{00000000-0005-0000-0000-000005170000}"/>
    <cellStyle name="1 Decimal" xfId="5957" xr:uid="{00000000-0005-0000-0000-000006170000}"/>
    <cellStyle name="1 Decimal 2" xfId="5958" xr:uid="{00000000-0005-0000-0000-000007170000}"/>
    <cellStyle name="1 Decimal 3" xfId="5959" xr:uid="{00000000-0005-0000-0000-000008170000}"/>
    <cellStyle name="1.0 TITLE" xfId="5960" xr:uid="{00000000-0005-0000-0000-000009170000}"/>
    <cellStyle name="1.000/(1,000)" xfId="5961" xr:uid="{00000000-0005-0000-0000-00000A170000}"/>
    <cellStyle name="1.000/(1,000) 2" xfId="5962" xr:uid="{00000000-0005-0000-0000-00000B170000}"/>
    <cellStyle name="1.1 TITLE" xfId="5963" xr:uid="{00000000-0005-0000-0000-00000C170000}"/>
    <cellStyle name="1_Databook library PPART" xfId="5964" xr:uid="{00000000-0005-0000-0000-00000D170000}"/>
    <cellStyle name="1_Databook library PPART 2" xfId="5965" xr:uid="{00000000-0005-0000-0000-00000E170000}"/>
    <cellStyle name="10" xfId="5966" xr:uid="{00000000-0005-0000-0000-00000F170000}"/>
    <cellStyle name="10 2" xfId="5967" xr:uid="{00000000-0005-0000-0000-000010170000}"/>
    <cellStyle name="10 F" xfId="5968" xr:uid="{00000000-0005-0000-0000-000011170000}"/>
    <cellStyle name="10 FK" xfId="5969" xr:uid="{00000000-0005-0000-0000-000012170000}"/>
    <cellStyle name="10 FU" xfId="5970" xr:uid="{00000000-0005-0000-0000-000013170000}"/>
    <cellStyle name="1000/- %" xfId="5971" xr:uid="{00000000-0005-0000-0000-000014170000}"/>
    <cellStyle name="1000/- % 2" xfId="5972" xr:uid="{00000000-0005-0000-0000-000015170000}"/>
    <cellStyle name="10d0_SGNAYTD" xfId="5973" xr:uid="{00000000-0005-0000-0000-000016170000}"/>
    <cellStyle name="10Text" xfId="5974" xr:uid="{00000000-0005-0000-0000-000017170000}"/>
    <cellStyle name="11" xfId="5975" xr:uid="{00000000-0005-0000-0000-000018170000}"/>
    <cellStyle name="11 F" xfId="5976" xr:uid="{00000000-0005-0000-0000-000019170000}"/>
    <cellStyle name="11 FK" xfId="5977" xr:uid="{00000000-0005-0000-0000-00001A170000}"/>
    <cellStyle name="11 FU" xfId="5978" xr:uid="{00000000-0005-0000-0000-00001B170000}"/>
    <cellStyle name="12" xfId="5979" xr:uid="{00000000-0005-0000-0000-00001C170000}"/>
    <cellStyle name="12 F" xfId="5980" xr:uid="{00000000-0005-0000-0000-00001D170000}"/>
    <cellStyle name="12 FK" xfId="5981" xr:uid="{00000000-0005-0000-0000-00001E170000}"/>
    <cellStyle name="12 FU" xfId="5982" xr:uid="{00000000-0005-0000-0000-00001F170000}"/>
    <cellStyle name="12Text" xfId="5983" xr:uid="{00000000-0005-0000-0000-000020170000}"/>
    <cellStyle name="14 F" xfId="5984" xr:uid="{00000000-0005-0000-0000-000021170000}"/>
    <cellStyle name="14 FK" xfId="5985" xr:uid="{00000000-0005-0000-0000-000022170000}"/>
    <cellStyle name="14 FU" xfId="5986" xr:uid="{00000000-0005-0000-0000-000023170000}"/>
    <cellStyle name="14Text" xfId="5987" xr:uid="{00000000-0005-0000-0000-000024170000}"/>
    <cellStyle name="16 F" xfId="5988" xr:uid="{00000000-0005-0000-0000-000025170000}"/>
    <cellStyle name="16 FK" xfId="5989" xr:uid="{00000000-0005-0000-0000-000026170000}"/>
    <cellStyle name="16 FU" xfId="5990" xr:uid="{00000000-0005-0000-0000-000027170000}"/>
    <cellStyle name="18 F" xfId="5991" xr:uid="{00000000-0005-0000-0000-000028170000}"/>
    <cellStyle name="18 FK" xfId="5992" xr:uid="{00000000-0005-0000-0000-000029170000}"/>
    <cellStyle name="18 FU" xfId="5993" xr:uid="{00000000-0005-0000-0000-00002A170000}"/>
    <cellStyle name="18Text" xfId="5994" xr:uid="{00000000-0005-0000-0000-00002B170000}"/>
    <cellStyle name="1Normal" xfId="5995" xr:uid="{00000000-0005-0000-0000-00002C170000}"/>
    <cellStyle name="2" xfId="5996" xr:uid="{00000000-0005-0000-0000-00002D170000}"/>
    <cellStyle name="2 Decimal Places" xfId="5997" xr:uid="{00000000-0005-0000-0000-00002E170000}"/>
    <cellStyle name="20% - Accent1" xfId="5998" xr:uid="{00000000-0005-0000-0000-00002F170000}"/>
    <cellStyle name="20% - Accent1 10" xfId="5999" xr:uid="{00000000-0005-0000-0000-000030170000}"/>
    <cellStyle name="20% - Accent1 11" xfId="6000" xr:uid="{00000000-0005-0000-0000-000031170000}"/>
    <cellStyle name="20% - Accent1 12" xfId="6001" xr:uid="{00000000-0005-0000-0000-000032170000}"/>
    <cellStyle name="20% - Accent1 13" xfId="6002" xr:uid="{00000000-0005-0000-0000-000033170000}"/>
    <cellStyle name="20% - Accent1 14" xfId="6003" xr:uid="{00000000-0005-0000-0000-000034170000}"/>
    <cellStyle name="20% - Accent1 15" xfId="6004" xr:uid="{00000000-0005-0000-0000-000035170000}"/>
    <cellStyle name="20% - Accent1 2" xfId="6005" xr:uid="{00000000-0005-0000-0000-000036170000}"/>
    <cellStyle name="20% - Accent1 3" xfId="6006" xr:uid="{00000000-0005-0000-0000-000037170000}"/>
    <cellStyle name="20% - Accent1 4" xfId="6007" xr:uid="{00000000-0005-0000-0000-000038170000}"/>
    <cellStyle name="20% - Accent1 5" xfId="6008" xr:uid="{00000000-0005-0000-0000-000039170000}"/>
    <cellStyle name="20% - Accent1 6" xfId="6009" xr:uid="{00000000-0005-0000-0000-00003A170000}"/>
    <cellStyle name="20% - Accent1 7" xfId="6010" xr:uid="{00000000-0005-0000-0000-00003B170000}"/>
    <cellStyle name="20% - Accent1 8" xfId="6011" xr:uid="{00000000-0005-0000-0000-00003C170000}"/>
    <cellStyle name="20% - Accent1 9" xfId="6012" xr:uid="{00000000-0005-0000-0000-00003D170000}"/>
    <cellStyle name="20% - Accent2" xfId="6013" xr:uid="{00000000-0005-0000-0000-00003E170000}"/>
    <cellStyle name="20% - Accent2 10" xfId="6014" xr:uid="{00000000-0005-0000-0000-00003F170000}"/>
    <cellStyle name="20% - Accent2 11" xfId="6015" xr:uid="{00000000-0005-0000-0000-000040170000}"/>
    <cellStyle name="20% - Accent2 12" xfId="6016" xr:uid="{00000000-0005-0000-0000-000041170000}"/>
    <cellStyle name="20% - Accent2 13" xfId="6017" xr:uid="{00000000-0005-0000-0000-000042170000}"/>
    <cellStyle name="20% - Accent2 14" xfId="6018" xr:uid="{00000000-0005-0000-0000-000043170000}"/>
    <cellStyle name="20% - Accent2 15" xfId="6019" xr:uid="{00000000-0005-0000-0000-000044170000}"/>
    <cellStyle name="20% - Accent2 2" xfId="6020" xr:uid="{00000000-0005-0000-0000-000045170000}"/>
    <cellStyle name="20% - Accent2 3" xfId="6021" xr:uid="{00000000-0005-0000-0000-000046170000}"/>
    <cellStyle name="20% - Accent2 4" xfId="6022" xr:uid="{00000000-0005-0000-0000-000047170000}"/>
    <cellStyle name="20% - Accent2 5" xfId="6023" xr:uid="{00000000-0005-0000-0000-000048170000}"/>
    <cellStyle name="20% - Accent2 6" xfId="6024" xr:uid="{00000000-0005-0000-0000-000049170000}"/>
    <cellStyle name="20% - Accent2 7" xfId="6025" xr:uid="{00000000-0005-0000-0000-00004A170000}"/>
    <cellStyle name="20% - Accent2 8" xfId="6026" xr:uid="{00000000-0005-0000-0000-00004B170000}"/>
    <cellStyle name="20% - Accent2 9" xfId="6027" xr:uid="{00000000-0005-0000-0000-00004C170000}"/>
    <cellStyle name="20% - Accent3" xfId="6028" xr:uid="{00000000-0005-0000-0000-00004D170000}"/>
    <cellStyle name="20% - Accent3 10" xfId="6029" xr:uid="{00000000-0005-0000-0000-00004E170000}"/>
    <cellStyle name="20% - Accent3 11" xfId="6030" xr:uid="{00000000-0005-0000-0000-00004F170000}"/>
    <cellStyle name="20% - Accent3 12" xfId="6031" xr:uid="{00000000-0005-0000-0000-000050170000}"/>
    <cellStyle name="20% - Accent3 13" xfId="6032" xr:uid="{00000000-0005-0000-0000-000051170000}"/>
    <cellStyle name="20% - Accent3 14" xfId="6033" xr:uid="{00000000-0005-0000-0000-000052170000}"/>
    <cellStyle name="20% - Accent3 15" xfId="6034" xr:uid="{00000000-0005-0000-0000-000053170000}"/>
    <cellStyle name="20% - Accent3 2" xfId="6035" xr:uid="{00000000-0005-0000-0000-000054170000}"/>
    <cellStyle name="20% - Accent3 3" xfId="6036" xr:uid="{00000000-0005-0000-0000-000055170000}"/>
    <cellStyle name="20% - Accent3 4" xfId="6037" xr:uid="{00000000-0005-0000-0000-000056170000}"/>
    <cellStyle name="20% - Accent3 5" xfId="6038" xr:uid="{00000000-0005-0000-0000-000057170000}"/>
    <cellStyle name="20% - Accent3 6" xfId="6039" xr:uid="{00000000-0005-0000-0000-000058170000}"/>
    <cellStyle name="20% - Accent3 7" xfId="6040" xr:uid="{00000000-0005-0000-0000-000059170000}"/>
    <cellStyle name="20% - Accent3 8" xfId="6041" xr:uid="{00000000-0005-0000-0000-00005A170000}"/>
    <cellStyle name="20% - Accent3 9" xfId="6042" xr:uid="{00000000-0005-0000-0000-00005B170000}"/>
    <cellStyle name="20% - Accent4" xfId="6043" xr:uid="{00000000-0005-0000-0000-00005C170000}"/>
    <cellStyle name="20% - Accent4 10" xfId="6044" xr:uid="{00000000-0005-0000-0000-00005D170000}"/>
    <cellStyle name="20% - Accent4 11" xfId="6045" xr:uid="{00000000-0005-0000-0000-00005E170000}"/>
    <cellStyle name="20% - Accent4 12" xfId="6046" xr:uid="{00000000-0005-0000-0000-00005F170000}"/>
    <cellStyle name="20% - Accent4 13" xfId="6047" xr:uid="{00000000-0005-0000-0000-000060170000}"/>
    <cellStyle name="20% - Accent4 14" xfId="6048" xr:uid="{00000000-0005-0000-0000-000061170000}"/>
    <cellStyle name="20% - Accent4 15" xfId="6049" xr:uid="{00000000-0005-0000-0000-000062170000}"/>
    <cellStyle name="20% - Accent4 2" xfId="6050" xr:uid="{00000000-0005-0000-0000-000063170000}"/>
    <cellStyle name="20% - Accent4 3" xfId="6051" xr:uid="{00000000-0005-0000-0000-000064170000}"/>
    <cellStyle name="20% - Accent4 4" xfId="6052" xr:uid="{00000000-0005-0000-0000-000065170000}"/>
    <cellStyle name="20% - Accent4 5" xfId="6053" xr:uid="{00000000-0005-0000-0000-000066170000}"/>
    <cellStyle name="20% - Accent4 6" xfId="6054" xr:uid="{00000000-0005-0000-0000-000067170000}"/>
    <cellStyle name="20% - Accent4 7" xfId="6055" xr:uid="{00000000-0005-0000-0000-000068170000}"/>
    <cellStyle name="20% - Accent4 8" xfId="6056" xr:uid="{00000000-0005-0000-0000-000069170000}"/>
    <cellStyle name="20% - Accent4 9" xfId="6057" xr:uid="{00000000-0005-0000-0000-00006A170000}"/>
    <cellStyle name="20% - Accent5" xfId="6058" xr:uid="{00000000-0005-0000-0000-00006B170000}"/>
    <cellStyle name="20% - Accent5 10" xfId="6059" xr:uid="{00000000-0005-0000-0000-00006C170000}"/>
    <cellStyle name="20% - Accent5 11" xfId="6060" xr:uid="{00000000-0005-0000-0000-00006D170000}"/>
    <cellStyle name="20% - Accent5 12" xfId="6061" xr:uid="{00000000-0005-0000-0000-00006E170000}"/>
    <cellStyle name="20% - Accent5 13" xfId="6062" xr:uid="{00000000-0005-0000-0000-00006F170000}"/>
    <cellStyle name="20% - Accent5 14" xfId="6063" xr:uid="{00000000-0005-0000-0000-000070170000}"/>
    <cellStyle name="20% - Accent5 15" xfId="6064" xr:uid="{00000000-0005-0000-0000-000071170000}"/>
    <cellStyle name="20% - Accent5 2" xfId="6065" xr:uid="{00000000-0005-0000-0000-000072170000}"/>
    <cellStyle name="20% - Accent5 3" xfId="6066" xr:uid="{00000000-0005-0000-0000-000073170000}"/>
    <cellStyle name="20% - Accent5 4" xfId="6067" xr:uid="{00000000-0005-0000-0000-000074170000}"/>
    <cellStyle name="20% - Accent5 5" xfId="6068" xr:uid="{00000000-0005-0000-0000-000075170000}"/>
    <cellStyle name="20% - Accent5 6" xfId="6069" xr:uid="{00000000-0005-0000-0000-000076170000}"/>
    <cellStyle name="20% - Accent5 7" xfId="6070" xr:uid="{00000000-0005-0000-0000-000077170000}"/>
    <cellStyle name="20% - Accent5 8" xfId="6071" xr:uid="{00000000-0005-0000-0000-000078170000}"/>
    <cellStyle name="20% - Accent5 9" xfId="6072" xr:uid="{00000000-0005-0000-0000-000079170000}"/>
    <cellStyle name="20% - Accent6" xfId="6073" xr:uid="{00000000-0005-0000-0000-00007A170000}"/>
    <cellStyle name="20% - Accent6 10" xfId="6074" xr:uid="{00000000-0005-0000-0000-00007B170000}"/>
    <cellStyle name="20% - Accent6 11" xfId="6075" xr:uid="{00000000-0005-0000-0000-00007C170000}"/>
    <cellStyle name="20% - Accent6 12" xfId="6076" xr:uid="{00000000-0005-0000-0000-00007D170000}"/>
    <cellStyle name="20% - Accent6 13" xfId="6077" xr:uid="{00000000-0005-0000-0000-00007E170000}"/>
    <cellStyle name="20% - Accent6 14" xfId="6078" xr:uid="{00000000-0005-0000-0000-00007F170000}"/>
    <cellStyle name="20% - Accent6 15" xfId="6079" xr:uid="{00000000-0005-0000-0000-000080170000}"/>
    <cellStyle name="20% - Accent6 2" xfId="6080" xr:uid="{00000000-0005-0000-0000-000081170000}"/>
    <cellStyle name="20% - Accent6 3" xfId="6081" xr:uid="{00000000-0005-0000-0000-000082170000}"/>
    <cellStyle name="20% - Accent6 4" xfId="6082" xr:uid="{00000000-0005-0000-0000-000083170000}"/>
    <cellStyle name="20% - Accent6 5" xfId="6083" xr:uid="{00000000-0005-0000-0000-000084170000}"/>
    <cellStyle name="20% - Accent6 6" xfId="6084" xr:uid="{00000000-0005-0000-0000-000085170000}"/>
    <cellStyle name="20% - Accent6 7" xfId="6085" xr:uid="{00000000-0005-0000-0000-000086170000}"/>
    <cellStyle name="20% - Accent6 8" xfId="6086" xr:uid="{00000000-0005-0000-0000-000087170000}"/>
    <cellStyle name="20% - Accent6 9" xfId="6087" xr:uid="{00000000-0005-0000-0000-000088170000}"/>
    <cellStyle name="20% - Énfasis1" xfId="1" builtinId="30" customBuiltin="1"/>
    <cellStyle name="20% - Énfasis1 10" xfId="6088" xr:uid="{00000000-0005-0000-0000-00008A170000}"/>
    <cellStyle name="20% - Énfasis1 10 2" xfId="6089" xr:uid="{00000000-0005-0000-0000-00008B170000}"/>
    <cellStyle name="20% - Énfasis1 10 2 2" xfId="6090" xr:uid="{00000000-0005-0000-0000-00008C170000}"/>
    <cellStyle name="20% - Énfasis1 10 3" xfId="6091" xr:uid="{00000000-0005-0000-0000-00008D170000}"/>
    <cellStyle name="20% - Énfasis1 10 3 2" xfId="6092" xr:uid="{00000000-0005-0000-0000-00008E170000}"/>
    <cellStyle name="20% - Énfasis1 10 4" xfId="6093" xr:uid="{00000000-0005-0000-0000-00008F170000}"/>
    <cellStyle name="20% - Énfasis1 11" xfId="6094" xr:uid="{00000000-0005-0000-0000-000090170000}"/>
    <cellStyle name="20% - Énfasis1 11 2" xfId="6095" xr:uid="{00000000-0005-0000-0000-000091170000}"/>
    <cellStyle name="20% - Énfasis1 12" xfId="6096" xr:uid="{00000000-0005-0000-0000-000092170000}"/>
    <cellStyle name="20% - Énfasis1 12 2" xfId="6097" xr:uid="{00000000-0005-0000-0000-000093170000}"/>
    <cellStyle name="20% - Énfasis1 13" xfId="6098" xr:uid="{00000000-0005-0000-0000-000094170000}"/>
    <cellStyle name="20% - Énfasis1 14" xfId="6099" xr:uid="{00000000-0005-0000-0000-000095170000}"/>
    <cellStyle name="20% - Énfasis1 15" xfId="6100" xr:uid="{00000000-0005-0000-0000-000096170000}"/>
    <cellStyle name="20% - Énfasis1 16" xfId="6101" xr:uid="{00000000-0005-0000-0000-000097170000}"/>
    <cellStyle name="20% - Énfasis1 2" xfId="2" xr:uid="{00000000-0005-0000-0000-000098170000}"/>
    <cellStyle name="20% - Énfasis1 2 10" xfId="6102" xr:uid="{00000000-0005-0000-0000-000099170000}"/>
    <cellStyle name="20% - Énfasis1 2 11" xfId="6103" xr:uid="{00000000-0005-0000-0000-00009A170000}"/>
    <cellStyle name="20% - Énfasis1 2 12" xfId="6104" xr:uid="{00000000-0005-0000-0000-00009B170000}"/>
    <cellStyle name="20% - Énfasis1 2 13" xfId="6105" xr:uid="{00000000-0005-0000-0000-00009C170000}"/>
    <cellStyle name="20% - Énfasis1 2 14" xfId="6106" xr:uid="{00000000-0005-0000-0000-00009D170000}"/>
    <cellStyle name="20% - Énfasis1 2 15" xfId="6107" xr:uid="{00000000-0005-0000-0000-00009E170000}"/>
    <cellStyle name="20% - Énfasis1 2 16" xfId="6108" xr:uid="{00000000-0005-0000-0000-00009F170000}"/>
    <cellStyle name="20% - Énfasis1 2 17" xfId="6109" xr:uid="{00000000-0005-0000-0000-0000A0170000}"/>
    <cellStyle name="20% - Énfasis1 2 18" xfId="6110" xr:uid="{00000000-0005-0000-0000-0000A1170000}"/>
    <cellStyle name="20% - Énfasis1 2 19" xfId="6111" xr:uid="{00000000-0005-0000-0000-0000A2170000}"/>
    <cellStyle name="20% - Énfasis1 2 2" xfId="6112" xr:uid="{00000000-0005-0000-0000-0000A3170000}"/>
    <cellStyle name="20% - Énfasis1 2 2 2" xfId="6113" xr:uid="{00000000-0005-0000-0000-0000A4170000}"/>
    <cellStyle name="20% - Énfasis1 2 2 2 2" xfId="6114" xr:uid="{00000000-0005-0000-0000-0000A5170000}"/>
    <cellStyle name="20% - Énfasis1 2 2 2 2 2" xfId="6115" xr:uid="{00000000-0005-0000-0000-0000A6170000}"/>
    <cellStyle name="20% - Énfasis1 2 2 2 2 2 2" xfId="6116" xr:uid="{00000000-0005-0000-0000-0000A7170000}"/>
    <cellStyle name="20% - Énfasis1 2 2 2 2 3" xfId="6117" xr:uid="{00000000-0005-0000-0000-0000A8170000}"/>
    <cellStyle name="20% - Énfasis1 2 2 2 2 3 2" xfId="6118" xr:uid="{00000000-0005-0000-0000-0000A9170000}"/>
    <cellStyle name="20% - Énfasis1 2 2 2 2 4" xfId="6119" xr:uid="{00000000-0005-0000-0000-0000AA170000}"/>
    <cellStyle name="20% - Énfasis1 2 2 2 3" xfId="6120" xr:uid="{00000000-0005-0000-0000-0000AB170000}"/>
    <cellStyle name="20% - Énfasis1 2 2 2 3 2" xfId="6121" xr:uid="{00000000-0005-0000-0000-0000AC170000}"/>
    <cellStyle name="20% - Énfasis1 2 2 2 4" xfId="6122" xr:uid="{00000000-0005-0000-0000-0000AD170000}"/>
    <cellStyle name="20% - Énfasis1 2 2 2 4 2" xfId="6123" xr:uid="{00000000-0005-0000-0000-0000AE170000}"/>
    <cellStyle name="20% - Énfasis1 2 2 2 5" xfId="6124" xr:uid="{00000000-0005-0000-0000-0000AF170000}"/>
    <cellStyle name="20% - Énfasis1 2 2 3" xfId="6125" xr:uid="{00000000-0005-0000-0000-0000B0170000}"/>
    <cellStyle name="20% - Énfasis1 2 2 3 2" xfId="6126" xr:uid="{00000000-0005-0000-0000-0000B1170000}"/>
    <cellStyle name="20% - Énfasis1 2 2 3 2 2" xfId="6127" xr:uid="{00000000-0005-0000-0000-0000B2170000}"/>
    <cellStyle name="20% - Énfasis1 2 2 3 3" xfId="6128" xr:uid="{00000000-0005-0000-0000-0000B3170000}"/>
    <cellStyle name="20% - Énfasis1 2 2 3 3 2" xfId="6129" xr:uid="{00000000-0005-0000-0000-0000B4170000}"/>
    <cellStyle name="20% - Énfasis1 2 2 3 4" xfId="6130" xr:uid="{00000000-0005-0000-0000-0000B5170000}"/>
    <cellStyle name="20% - Énfasis1 2 2 4" xfId="6131" xr:uid="{00000000-0005-0000-0000-0000B6170000}"/>
    <cellStyle name="20% - Énfasis1 2 2 4 2" xfId="6132" xr:uid="{00000000-0005-0000-0000-0000B7170000}"/>
    <cellStyle name="20% - Énfasis1 2 2 5" xfId="6133" xr:uid="{00000000-0005-0000-0000-0000B8170000}"/>
    <cellStyle name="20% - Énfasis1 2 2 5 2" xfId="6134" xr:uid="{00000000-0005-0000-0000-0000B9170000}"/>
    <cellStyle name="20% - Énfasis1 2 2 6" xfId="6135" xr:uid="{00000000-0005-0000-0000-0000BA170000}"/>
    <cellStyle name="20% - Énfasis1 2 20" xfId="6136" xr:uid="{00000000-0005-0000-0000-0000BB170000}"/>
    <cellStyle name="20% - Énfasis1 2 21" xfId="6137" xr:uid="{00000000-0005-0000-0000-0000BC170000}"/>
    <cellStyle name="20% - Énfasis1 2 22" xfId="6138" xr:uid="{00000000-0005-0000-0000-0000BD170000}"/>
    <cellStyle name="20% - Énfasis1 2 23" xfId="6139" xr:uid="{00000000-0005-0000-0000-0000BE170000}"/>
    <cellStyle name="20% - Énfasis1 2 24" xfId="6140" xr:uid="{00000000-0005-0000-0000-0000BF170000}"/>
    <cellStyle name="20% - Énfasis1 2 25" xfId="6141" xr:uid="{00000000-0005-0000-0000-0000C0170000}"/>
    <cellStyle name="20% - Énfasis1 2 26" xfId="6142" xr:uid="{00000000-0005-0000-0000-0000C1170000}"/>
    <cellStyle name="20% - Énfasis1 2 27" xfId="6143" xr:uid="{00000000-0005-0000-0000-0000C2170000}"/>
    <cellStyle name="20% - Énfasis1 2 28" xfId="6144" xr:uid="{00000000-0005-0000-0000-0000C3170000}"/>
    <cellStyle name="20% - Énfasis1 2 29" xfId="6145" xr:uid="{00000000-0005-0000-0000-0000C4170000}"/>
    <cellStyle name="20% - Énfasis1 2 3" xfId="6146" xr:uid="{00000000-0005-0000-0000-0000C5170000}"/>
    <cellStyle name="20% - Énfasis1 2 3 2" xfId="6147" xr:uid="{00000000-0005-0000-0000-0000C6170000}"/>
    <cellStyle name="20% - Énfasis1 2 3 2 2" xfId="6148" xr:uid="{00000000-0005-0000-0000-0000C7170000}"/>
    <cellStyle name="20% - Énfasis1 2 3 2 2 2" xfId="6149" xr:uid="{00000000-0005-0000-0000-0000C8170000}"/>
    <cellStyle name="20% - Énfasis1 2 3 2 3" xfId="6150" xr:uid="{00000000-0005-0000-0000-0000C9170000}"/>
    <cellStyle name="20% - Énfasis1 2 3 2 3 2" xfId="6151" xr:uid="{00000000-0005-0000-0000-0000CA170000}"/>
    <cellStyle name="20% - Énfasis1 2 3 2 4" xfId="6152" xr:uid="{00000000-0005-0000-0000-0000CB170000}"/>
    <cellStyle name="20% - Énfasis1 2 3 3" xfId="6153" xr:uid="{00000000-0005-0000-0000-0000CC170000}"/>
    <cellStyle name="20% - Énfasis1 2 3 3 2" xfId="6154" xr:uid="{00000000-0005-0000-0000-0000CD170000}"/>
    <cellStyle name="20% - Énfasis1 2 3 4" xfId="6155" xr:uid="{00000000-0005-0000-0000-0000CE170000}"/>
    <cellStyle name="20% - Énfasis1 2 3 4 2" xfId="6156" xr:uid="{00000000-0005-0000-0000-0000CF170000}"/>
    <cellStyle name="20% - Énfasis1 2 3 5" xfId="6157" xr:uid="{00000000-0005-0000-0000-0000D0170000}"/>
    <cellStyle name="20% - Énfasis1 2 30" xfId="6158" xr:uid="{00000000-0005-0000-0000-0000D1170000}"/>
    <cellStyle name="20% - Énfasis1 2 31" xfId="6159" xr:uid="{00000000-0005-0000-0000-0000D2170000}"/>
    <cellStyle name="20% - Énfasis1 2 32" xfId="6160" xr:uid="{00000000-0005-0000-0000-0000D3170000}"/>
    <cellStyle name="20% - Énfasis1 2 33" xfId="6161" xr:uid="{00000000-0005-0000-0000-0000D4170000}"/>
    <cellStyle name="20% - Énfasis1 2 34" xfId="6162" xr:uid="{00000000-0005-0000-0000-0000D5170000}"/>
    <cellStyle name="20% - Énfasis1 2 35" xfId="6163" xr:uid="{00000000-0005-0000-0000-0000D6170000}"/>
    <cellStyle name="20% - Énfasis1 2 36" xfId="6164" xr:uid="{00000000-0005-0000-0000-0000D7170000}"/>
    <cellStyle name="20% - Énfasis1 2 37" xfId="6165" xr:uid="{00000000-0005-0000-0000-0000D8170000}"/>
    <cellStyle name="20% - Énfasis1 2 4" xfId="6166" xr:uid="{00000000-0005-0000-0000-0000D9170000}"/>
    <cellStyle name="20% - Énfasis1 2 4 2" xfId="6167" xr:uid="{00000000-0005-0000-0000-0000DA170000}"/>
    <cellStyle name="20% - Énfasis1 2 4 2 2" xfId="6168" xr:uid="{00000000-0005-0000-0000-0000DB170000}"/>
    <cellStyle name="20% - Énfasis1 2 4 3" xfId="6169" xr:uid="{00000000-0005-0000-0000-0000DC170000}"/>
    <cellStyle name="20% - Énfasis1 2 4 3 2" xfId="6170" xr:uid="{00000000-0005-0000-0000-0000DD170000}"/>
    <cellStyle name="20% - Énfasis1 2 4 4" xfId="6171" xr:uid="{00000000-0005-0000-0000-0000DE170000}"/>
    <cellStyle name="20% - Énfasis1 2 5" xfId="6172" xr:uid="{00000000-0005-0000-0000-0000DF170000}"/>
    <cellStyle name="20% - Énfasis1 2 5 2" xfId="6173" xr:uid="{00000000-0005-0000-0000-0000E0170000}"/>
    <cellStyle name="20% - Énfasis1 2 6" xfId="6174" xr:uid="{00000000-0005-0000-0000-0000E1170000}"/>
    <cellStyle name="20% - Énfasis1 2 6 2" xfId="6175" xr:uid="{00000000-0005-0000-0000-0000E2170000}"/>
    <cellStyle name="20% - Énfasis1 2 7" xfId="6176" xr:uid="{00000000-0005-0000-0000-0000E3170000}"/>
    <cellStyle name="20% - Énfasis1 2 8" xfId="6177" xr:uid="{00000000-0005-0000-0000-0000E4170000}"/>
    <cellStyle name="20% - Énfasis1 2 9" xfId="6178" xr:uid="{00000000-0005-0000-0000-0000E5170000}"/>
    <cellStyle name="20% - Énfasis1 3" xfId="6179" xr:uid="{00000000-0005-0000-0000-0000E6170000}"/>
    <cellStyle name="20% - Énfasis1 3 10" xfId="6180" xr:uid="{00000000-0005-0000-0000-0000E7170000}"/>
    <cellStyle name="20% - Énfasis1 3 11" xfId="6181" xr:uid="{00000000-0005-0000-0000-0000E8170000}"/>
    <cellStyle name="20% - Énfasis1 3 12" xfId="6182" xr:uid="{00000000-0005-0000-0000-0000E9170000}"/>
    <cellStyle name="20% - Énfasis1 3 13" xfId="6183" xr:uid="{00000000-0005-0000-0000-0000EA170000}"/>
    <cellStyle name="20% - Énfasis1 3 14" xfId="6184" xr:uid="{00000000-0005-0000-0000-0000EB170000}"/>
    <cellStyle name="20% - Énfasis1 3 15" xfId="6185" xr:uid="{00000000-0005-0000-0000-0000EC170000}"/>
    <cellStyle name="20% - Énfasis1 3 16" xfId="6186" xr:uid="{00000000-0005-0000-0000-0000ED170000}"/>
    <cellStyle name="20% - Énfasis1 3 17" xfId="6187" xr:uid="{00000000-0005-0000-0000-0000EE170000}"/>
    <cellStyle name="20% - Énfasis1 3 18" xfId="6188" xr:uid="{00000000-0005-0000-0000-0000EF170000}"/>
    <cellStyle name="20% - Énfasis1 3 19" xfId="6189" xr:uid="{00000000-0005-0000-0000-0000F0170000}"/>
    <cellStyle name="20% - Énfasis1 3 2" xfId="6190" xr:uid="{00000000-0005-0000-0000-0000F1170000}"/>
    <cellStyle name="20% - Énfasis1 3 2 2" xfId="6191" xr:uid="{00000000-0005-0000-0000-0000F2170000}"/>
    <cellStyle name="20% - Énfasis1 3 2 2 2" xfId="6192" xr:uid="{00000000-0005-0000-0000-0000F3170000}"/>
    <cellStyle name="20% - Énfasis1 3 2 2 2 2" xfId="6193" xr:uid="{00000000-0005-0000-0000-0000F4170000}"/>
    <cellStyle name="20% - Énfasis1 3 2 2 2 2 2" xfId="6194" xr:uid="{00000000-0005-0000-0000-0000F5170000}"/>
    <cellStyle name="20% - Énfasis1 3 2 2 2 3" xfId="6195" xr:uid="{00000000-0005-0000-0000-0000F6170000}"/>
    <cellStyle name="20% - Énfasis1 3 2 2 2 3 2" xfId="6196" xr:uid="{00000000-0005-0000-0000-0000F7170000}"/>
    <cellStyle name="20% - Énfasis1 3 2 2 2 4" xfId="6197" xr:uid="{00000000-0005-0000-0000-0000F8170000}"/>
    <cellStyle name="20% - Énfasis1 3 2 2 3" xfId="6198" xr:uid="{00000000-0005-0000-0000-0000F9170000}"/>
    <cellStyle name="20% - Énfasis1 3 2 2 3 2" xfId="6199" xr:uid="{00000000-0005-0000-0000-0000FA170000}"/>
    <cellStyle name="20% - Énfasis1 3 2 2 4" xfId="6200" xr:uid="{00000000-0005-0000-0000-0000FB170000}"/>
    <cellStyle name="20% - Énfasis1 3 2 2 4 2" xfId="6201" xr:uid="{00000000-0005-0000-0000-0000FC170000}"/>
    <cellStyle name="20% - Énfasis1 3 2 2 5" xfId="6202" xr:uid="{00000000-0005-0000-0000-0000FD170000}"/>
    <cellStyle name="20% - Énfasis1 3 2 3" xfId="6203" xr:uid="{00000000-0005-0000-0000-0000FE170000}"/>
    <cellStyle name="20% - Énfasis1 3 2 3 2" xfId="6204" xr:uid="{00000000-0005-0000-0000-0000FF170000}"/>
    <cellStyle name="20% - Énfasis1 3 2 3 2 2" xfId="6205" xr:uid="{00000000-0005-0000-0000-000000180000}"/>
    <cellStyle name="20% - Énfasis1 3 2 3 3" xfId="6206" xr:uid="{00000000-0005-0000-0000-000001180000}"/>
    <cellStyle name="20% - Énfasis1 3 2 3 3 2" xfId="6207" xr:uid="{00000000-0005-0000-0000-000002180000}"/>
    <cellStyle name="20% - Énfasis1 3 2 3 4" xfId="6208" xr:uid="{00000000-0005-0000-0000-000003180000}"/>
    <cellStyle name="20% - Énfasis1 3 2 4" xfId="6209" xr:uid="{00000000-0005-0000-0000-000004180000}"/>
    <cellStyle name="20% - Énfasis1 3 2 4 2" xfId="6210" xr:uid="{00000000-0005-0000-0000-000005180000}"/>
    <cellStyle name="20% - Énfasis1 3 2 5" xfId="6211" xr:uid="{00000000-0005-0000-0000-000006180000}"/>
    <cellStyle name="20% - Énfasis1 3 2 5 2" xfId="6212" xr:uid="{00000000-0005-0000-0000-000007180000}"/>
    <cellStyle name="20% - Énfasis1 3 2 6" xfId="6213" xr:uid="{00000000-0005-0000-0000-000008180000}"/>
    <cellStyle name="20% - Énfasis1 3 20" xfId="6214" xr:uid="{00000000-0005-0000-0000-000009180000}"/>
    <cellStyle name="20% - Énfasis1 3 21" xfId="6215" xr:uid="{00000000-0005-0000-0000-00000A180000}"/>
    <cellStyle name="20% - Énfasis1 3 22" xfId="6216" xr:uid="{00000000-0005-0000-0000-00000B180000}"/>
    <cellStyle name="20% - Énfasis1 3 23" xfId="6217" xr:uid="{00000000-0005-0000-0000-00000C180000}"/>
    <cellStyle name="20% - Énfasis1 3 24" xfId="6218" xr:uid="{00000000-0005-0000-0000-00000D180000}"/>
    <cellStyle name="20% - Énfasis1 3 25" xfId="6219" xr:uid="{00000000-0005-0000-0000-00000E180000}"/>
    <cellStyle name="20% - Énfasis1 3 26" xfId="6220" xr:uid="{00000000-0005-0000-0000-00000F180000}"/>
    <cellStyle name="20% - Énfasis1 3 27" xfId="6221" xr:uid="{00000000-0005-0000-0000-000010180000}"/>
    <cellStyle name="20% - Énfasis1 3 28" xfId="6222" xr:uid="{00000000-0005-0000-0000-000011180000}"/>
    <cellStyle name="20% - Énfasis1 3 29" xfId="6223" xr:uid="{00000000-0005-0000-0000-000012180000}"/>
    <cellStyle name="20% - Énfasis1 3 3" xfId="6224" xr:uid="{00000000-0005-0000-0000-000013180000}"/>
    <cellStyle name="20% - Énfasis1 3 3 2" xfId="6225" xr:uid="{00000000-0005-0000-0000-000014180000}"/>
    <cellStyle name="20% - Énfasis1 3 3 2 2" xfId="6226" xr:uid="{00000000-0005-0000-0000-000015180000}"/>
    <cellStyle name="20% - Énfasis1 3 3 2 2 2" xfId="6227" xr:uid="{00000000-0005-0000-0000-000016180000}"/>
    <cellStyle name="20% - Énfasis1 3 3 2 3" xfId="6228" xr:uid="{00000000-0005-0000-0000-000017180000}"/>
    <cellStyle name="20% - Énfasis1 3 3 2 3 2" xfId="6229" xr:uid="{00000000-0005-0000-0000-000018180000}"/>
    <cellStyle name="20% - Énfasis1 3 3 2 4" xfId="6230" xr:uid="{00000000-0005-0000-0000-000019180000}"/>
    <cellStyle name="20% - Énfasis1 3 3 3" xfId="6231" xr:uid="{00000000-0005-0000-0000-00001A180000}"/>
    <cellStyle name="20% - Énfasis1 3 3 3 2" xfId="6232" xr:uid="{00000000-0005-0000-0000-00001B180000}"/>
    <cellStyle name="20% - Énfasis1 3 3 4" xfId="6233" xr:uid="{00000000-0005-0000-0000-00001C180000}"/>
    <cellStyle name="20% - Énfasis1 3 3 4 2" xfId="6234" xr:uid="{00000000-0005-0000-0000-00001D180000}"/>
    <cellStyle name="20% - Énfasis1 3 3 5" xfId="6235" xr:uid="{00000000-0005-0000-0000-00001E180000}"/>
    <cellStyle name="20% - Énfasis1 3 30" xfId="6236" xr:uid="{00000000-0005-0000-0000-00001F180000}"/>
    <cellStyle name="20% - Énfasis1 3 31" xfId="6237" xr:uid="{00000000-0005-0000-0000-000020180000}"/>
    <cellStyle name="20% - Énfasis1 3 32" xfId="6238" xr:uid="{00000000-0005-0000-0000-000021180000}"/>
    <cellStyle name="20% - Énfasis1 3 33" xfId="6239" xr:uid="{00000000-0005-0000-0000-000022180000}"/>
    <cellStyle name="20% - Énfasis1 3 34" xfId="6240" xr:uid="{00000000-0005-0000-0000-000023180000}"/>
    <cellStyle name="20% - Énfasis1 3 4" xfId="6241" xr:uid="{00000000-0005-0000-0000-000024180000}"/>
    <cellStyle name="20% - Énfasis1 3 4 2" xfId="6242" xr:uid="{00000000-0005-0000-0000-000025180000}"/>
    <cellStyle name="20% - Énfasis1 3 4 2 2" xfId="6243" xr:uid="{00000000-0005-0000-0000-000026180000}"/>
    <cellStyle name="20% - Énfasis1 3 4 3" xfId="6244" xr:uid="{00000000-0005-0000-0000-000027180000}"/>
    <cellStyle name="20% - Énfasis1 3 4 3 2" xfId="6245" xr:uid="{00000000-0005-0000-0000-000028180000}"/>
    <cellStyle name="20% - Énfasis1 3 4 4" xfId="6246" xr:uid="{00000000-0005-0000-0000-000029180000}"/>
    <cellStyle name="20% - Énfasis1 3 5" xfId="6247" xr:uid="{00000000-0005-0000-0000-00002A180000}"/>
    <cellStyle name="20% - Énfasis1 3 5 2" xfId="6248" xr:uid="{00000000-0005-0000-0000-00002B180000}"/>
    <cellStyle name="20% - Énfasis1 3 6" xfId="6249" xr:uid="{00000000-0005-0000-0000-00002C180000}"/>
    <cellStyle name="20% - Énfasis1 3 6 2" xfId="6250" xr:uid="{00000000-0005-0000-0000-00002D180000}"/>
    <cellStyle name="20% - Énfasis1 3 7" xfId="6251" xr:uid="{00000000-0005-0000-0000-00002E180000}"/>
    <cellStyle name="20% - Énfasis1 3 8" xfId="6252" xr:uid="{00000000-0005-0000-0000-00002F180000}"/>
    <cellStyle name="20% - Énfasis1 3 9" xfId="6253" xr:uid="{00000000-0005-0000-0000-000030180000}"/>
    <cellStyle name="20% - Énfasis1 4" xfId="6254" xr:uid="{00000000-0005-0000-0000-000031180000}"/>
    <cellStyle name="20% - Énfasis1 4 2" xfId="6255" xr:uid="{00000000-0005-0000-0000-000032180000}"/>
    <cellStyle name="20% - Énfasis1 4 2 2" xfId="6256" xr:uid="{00000000-0005-0000-0000-000033180000}"/>
    <cellStyle name="20% - Énfasis1 4 2 2 2" xfId="6257" xr:uid="{00000000-0005-0000-0000-000034180000}"/>
    <cellStyle name="20% - Énfasis1 4 2 2 2 2" xfId="6258" xr:uid="{00000000-0005-0000-0000-000035180000}"/>
    <cellStyle name="20% - Énfasis1 4 2 2 2 2 2" xfId="6259" xr:uid="{00000000-0005-0000-0000-000036180000}"/>
    <cellStyle name="20% - Énfasis1 4 2 2 2 3" xfId="6260" xr:uid="{00000000-0005-0000-0000-000037180000}"/>
    <cellStyle name="20% - Énfasis1 4 2 2 2 3 2" xfId="6261" xr:uid="{00000000-0005-0000-0000-000038180000}"/>
    <cellStyle name="20% - Énfasis1 4 2 2 2 4" xfId="6262" xr:uid="{00000000-0005-0000-0000-000039180000}"/>
    <cellStyle name="20% - Énfasis1 4 2 2 3" xfId="6263" xr:uid="{00000000-0005-0000-0000-00003A180000}"/>
    <cellStyle name="20% - Énfasis1 4 2 2 3 2" xfId="6264" xr:uid="{00000000-0005-0000-0000-00003B180000}"/>
    <cellStyle name="20% - Énfasis1 4 2 2 4" xfId="6265" xr:uid="{00000000-0005-0000-0000-00003C180000}"/>
    <cellStyle name="20% - Énfasis1 4 2 2 4 2" xfId="6266" xr:uid="{00000000-0005-0000-0000-00003D180000}"/>
    <cellStyle name="20% - Énfasis1 4 2 2 5" xfId="6267" xr:uid="{00000000-0005-0000-0000-00003E180000}"/>
    <cellStyle name="20% - Énfasis1 4 2 3" xfId="6268" xr:uid="{00000000-0005-0000-0000-00003F180000}"/>
    <cellStyle name="20% - Énfasis1 4 2 3 2" xfId="6269" xr:uid="{00000000-0005-0000-0000-000040180000}"/>
    <cellStyle name="20% - Énfasis1 4 2 3 2 2" xfId="6270" xr:uid="{00000000-0005-0000-0000-000041180000}"/>
    <cellStyle name="20% - Énfasis1 4 2 3 3" xfId="6271" xr:uid="{00000000-0005-0000-0000-000042180000}"/>
    <cellStyle name="20% - Énfasis1 4 2 3 3 2" xfId="6272" xr:uid="{00000000-0005-0000-0000-000043180000}"/>
    <cellStyle name="20% - Énfasis1 4 2 3 4" xfId="6273" xr:uid="{00000000-0005-0000-0000-000044180000}"/>
    <cellStyle name="20% - Énfasis1 4 2 4" xfId="6274" xr:uid="{00000000-0005-0000-0000-000045180000}"/>
    <cellStyle name="20% - Énfasis1 4 2 4 2" xfId="6275" xr:uid="{00000000-0005-0000-0000-000046180000}"/>
    <cellStyle name="20% - Énfasis1 4 2 5" xfId="6276" xr:uid="{00000000-0005-0000-0000-000047180000}"/>
    <cellStyle name="20% - Énfasis1 4 2 5 2" xfId="6277" xr:uid="{00000000-0005-0000-0000-000048180000}"/>
    <cellStyle name="20% - Énfasis1 4 2 6" xfId="6278" xr:uid="{00000000-0005-0000-0000-000049180000}"/>
    <cellStyle name="20% - Énfasis1 4 3" xfId="6279" xr:uid="{00000000-0005-0000-0000-00004A180000}"/>
    <cellStyle name="20% - Énfasis1 4 3 2" xfId="6280" xr:uid="{00000000-0005-0000-0000-00004B180000}"/>
    <cellStyle name="20% - Énfasis1 4 3 2 2" xfId="6281" xr:uid="{00000000-0005-0000-0000-00004C180000}"/>
    <cellStyle name="20% - Énfasis1 4 3 2 2 2" xfId="6282" xr:uid="{00000000-0005-0000-0000-00004D180000}"/>
    <cellStyle name="20% - Énfasis1 4 3 2 3" xfId="6283" xr:uid="{00000000-0005-0000-0000-00004E180000}"/>
    <cellStyle name="20% - Énfasis1 4 3 2 3 2" xfId="6284" xr:uid="{00000000-0005-0000-0000-00004F180000}"/>
    <cellStyle name="20% - Énfasis1 4 3 2 4" xfId="6285" xr:uid="{00000000-0005-0000-0000-000050180000}"/>
    <cellStyle name="20% - Énfasis1 4 3 3" xfId="6286" xr:uid="{00000000-0005-0000-0000-000051180000}"/>
    <cellStyle name="20% - Énfasis1 4 3 3 2" xfId="6287" xr:uid="{00000000-0005-0000-0000-000052180000}"/>
    <cellStyle name="20% - Énfasis1 4 3 4" xfId="6288" xr:uid="{00000000-0005-0000-0000-000053180000}"/>
    <cellStyle name="20% - Énfasis1 4 3 4 2" xfId="6289" xr:uid="{00000000-0005-0000-0000-000054180000}"/>
    <cellStyle name="20% - Énfasis1 4 3 5" xfId="6290" xr:uid="{00000000-0005-0000-0000-000055180000}"/>
    <cellStyle name="20% - Énfasis1 4 4" xfId="6291" xr:uid="{00000000-0005-0000-0000-000056180000}"/>
    <cellStyle name="20% - Énfasis1 4 4 2" xfId="6292" xr:uid="{00000000-0005-0000-0000-000057180000}"/>
    <cellStyle name="20% - Énfasis1 4 4 2 2" xfId="6293" xr:uid="{00000000-0005-0000-0000-000058180000}"/>
    <cellStyle name="20% - Énfasis1 4 4 3" xfId="6294" xr:uid="{00000000-0005-0000-0000-000059180000}"/>
    <cellStyle name="20% - Énfasis1 4 4 3 2" xfId="6295" xr:uid="{00000000-0005-0000-0000-00005A180000}"/>
    <cellStyle name="20% - Énfasis1 4 4 4" xfId="6296" xr:uid="{00000000-0005-0000-0000-00005B180000}"/>
    <cellStyle name="20% - Énfasis1 4 5" xfId="6297" xr:uid="{00000000-0005-0000-0000-00005C180000}"/>
    <cellStyle name="20% - Énfasis1 4 5 2" xfId="6298" xr:uid="{00000000-0005-0000-0000-00005D180000}"/>
    <cellStyle name="20% - Énfasis1 4 6" xfId="6299" xr:uid="{00000000-0005-0000-0000-00005E180000}"/>
    <cellStyle name="20% - Énfasis1 4 6 2" xfId="6300" xr:uid="{00000000-0005-0000-0000-00005F180000}"/>
    <cellStyle name="20% - Énfasis1 4 7" xfId="6301" xr:uid="{00000000-0005-0000-0000-000060180000}"/>
    <cellStyle name="20% - Énfasis1 4 8" xfId="6302" xr:uid="{00000000-0005-0000-0000-000061180000}"/>
    <cellStyle name="20% - Énfasis1 5" xfId="6303" xr:uid="{00000000-0005-0000-0000-000062180000}"/>
    <cellStyle name="20% - Énfasis1 5 2" xfId="6304" xr:uid="{00000000-0005-0000-0000-000063180000}"/>
    <cellStyle name="20% - Énfasis1 5 2 2" xfId="6305" xr:uid="{00000000-0005-0000-0000-000064180000}"/>
    <cellStyle name="20% - Énfasis1 5 2 2 2" xfId="6306" xr:uid="{00000000-0005-0000-0000-000065180000}"/>
    <cellStyle name="20% - Énfasis1 5 2 2 2 2" xfId="6307" xr:uid="{00000000-0005-0000-0000-000066180000}"/>
    <cellStyle name="20% - Énfasis1 5 2 2 2 2 2" xfId="6308" xr:uid="{00000000-0005-0000-0000-000067180000}"/>
    <cellStyle name="20% - Énfasis1 5 2 2 2 3" xfId="6309" xr:uid="{00000000-0005-0000-0000-000068180000}"/>
    <cellStyle name="20% - Énfasis1 5 2 2 2 3 2" xfId="6310" xr:uid="{00000000-0005-0000-0000-000069180000}"/>
    <cellStyle name="20% - Énfasis1 5 2 2 2 4" xfId="6311" xr:uid="{00000000-0005-0000-0000-00006A180000}"/>
    <cellStyle name="20% - Énfasis1 5 2 2 3" xfId="6312" xr:uid="{00000000-0005-0000-0000-00006B180000}"/>
    <cellStyle name="20% - Énfasis1 5 2 2 3 2" xfId="6313" xr:uid="{00000000-0005-0000-0000-00006C180000}"/>
    <cellStyle name="20% - Énfasis1 5 2 2 4" xfId="6314" xr:uid="{00000000-0005-0000-0000-00006D180000}"/>
    <cellStyle name="20% - Énfasis1 5 2 2 4 2" xfId="6315" xr:uid="{00000000-0005-0000-0000-00006E180000}"/>
    <cellStyle name="20% - Énfasis1 5 2 2 5" xfId="6316" xr:uid="{00000000-0005-0000-0000-00006F180000}"/>
    <cellStyle name="20% - Énfasis1 5 2 3" xfId="6317" xr:uid="{00000000-0005-0000-0000-000070180000}"/>
    <cellStyle name="20% - Énfasis1 5 2 3 2" xfId="6318" xr:uid="{00000000-0005-0000-0000-000071180000}"/>
    <cellStyle name="20% - Énfasis1 5 2 3 2 2" xfId="6319" xr:uid="{00000000-0005-0000-0000-000072180000}"/>
    <cellStyle name="20% - Énfasis1 5 2 3 3" xfId="6320" xr:uid="{00000000-0005-0000-0000-000073180000}"/>
    <cellStyle name="20% - Énfasis1 5 2 3 3 2" xfId="6321" xr:uid="{00000000-0005-0000-0000-000074180000}"/>
    <cellStyle name="20% - Énfasis1 5 2 3 4" xfId="6322" xr:uid="{00000000-0005-0000-0000-000075180000}"/>
    <cellStyle name="20% - Énfasis1 5 2 4" xfId="6323" xr:uid="{00000000-0005-0000-0000-000076180000}"/>
    <cellStyle name="20% - Énfasis1 5 2 4 2" xfId="6324" xr:uid="{00000000-0005-0000-0000-000077180000}"/>
    <cellStyle name="20% - Énfasis1 5 2 5" xfId="6325" xr:uid="{00000000-0005-0000-0000-000078180000}"/>
    <cellStyle name="20% - Énfasis1 5 2 5 2" xfId="6326" xr:uid="{00000000-0005-0000-0000-000079180000}"/>
    <cellStyle name="20% - Énfasis1 5 2 6" xfId="6327" xr:uid="{00000000-0005-0000-0000-00007A180000}"/>
    <cellStyle name="20% - Énfasis1 5 3" xfId="6328" xr:uid="{00000000-0005-0000-0000-00007B180000}"/>
    <cellStyle name="20% - Énfasis1 5 3 2" xfId="6329" xr:uid="{00000000-0005-0000-0000-00007C180000}"/>
    <cellStyle name="20% - Énfasis1 5 3 2 2" xfId="6330" xr:uid="{00000000-0005-0000-0000-00007D180000}"/>
    <cellStyle name="20% - Énfasis1 5 3 2 2 2" xfId="6331" xr:uid="{00000000-0005-0000-0000-00007E180000}"/>
    <cellStyle name="20% - Énfasis1 5 3 2 3" xfId="6332" xr:uid="{00000000-0005-0000-0000-00007F180000}"/>
    <cellStyle name="20% - Énfasis1 5 3 2 3 2" xfId="6333" xr:uid="{00000000-0005-0000-0000-000080180000}"/>
    <cellStyle name="20% - Énfasis1 5 3 2 4" xfId="6334" xr:uid="{00000000-0005-0000-0000-000081180000}"/>
    <cellStyle name="20% - Énfasis1 5 3 3" xfId="6335" xr:uid="{00000000-0005-0000-0000-000082180000}"/>
    <cellStyle name="20% - Énfasis1 5 3 3 2" xfId="6336" xr:uid="{00000000-0005-0000-0000-000083180000}"/>
    <cellStyle name="20% - Énfasis1 5 3 4" xfId="6337" xr:uid="{00000000-0005-0000-0000-000084180000}"/>
    <cellStyle name="20% - Énfasis1 5 3 4 2" xfId="6338" xr:uid="{00000000-0005-0000-0000-000085180000}"/>
    <cellStyle name="20% - Énfasis1 5 3 5" xfId="6339" xr:uid="{00000000-0005-0000-0000-000086180000}"/>
    <cellStyle name="20% - Énfasis1 5 4" xfId="6340" xr:uid="{00000000-0005-0000-0000-000087180000}"/>
    <cellStyle name="20% - Énfasis1 5 4 2" xfId="6341" xr:uid="{00000000-0005-0000-0000-000088180000}"/>
    <cellStyle name="20% - Énfasis1 5 4 2 2" xfId="6342" xr:uid="{00000000-0005-0000-0000-000089180000}"/>
    <cellStyle name="20% - Énfasis1 5 4 3" xfId="6343" xr:uid="{00000000-0005-0000-0000-00008A180000}"/>
    <cellStyle name="20% - Énfasis1 5 4 3 2" xfId="6344" xr:uid="{00000000-0005-0000-0000-00008B180000}"/>
    <cellStyle name="20% - Énfasis1 5 4 4" xfId="6345" xr:uid="{00000000-0005-0000-0000-00008C180000}"/>
    <cellStyle name="20% - Énfasis1 5 5" xfId="6346" xr:uid="{00000000-0005-0000-0000-00008D180000}"/>
    <cellStyle name="20% - Énfasis1 5 5 2" xfId="6347" xr:uid="{00000000-0005-0000-0000-00008E180000}"/>
    <cellStyle name="20% - Énfasis1 5 6" xfId="6348" xr:uid="{00000000-0005-0000-0000-00008F180000}"/>
    <cellStyle name="20% - Énfasis1 5 6 2" xfId="6349" xr:uid="{00000000-0005-0000-0000-000090180000}"/>
    <cellStyle name="20% - Énfasis1 5 7" xfId="6350" xr:uid="{00000000-0005-0000-0000-000091180000}"/>
    <cellStyle name="20% - Énfasis1 6" xfId="6351" xr:uid="{00000000-0005-0000-0000-000092180000}"/>
    <cellStyle name="20% - Énfasis1 6 2" xfId="6352" xr:uid="{00000000-0005-0000-0000-000093180000}"/>
    <cellStyle name="20% - Énfasis1 6 2 2" xfId="6353" xr:uid="{00000000-0005-0000-0000-000094180000}"/>
    <cellStyle name="20% - Énfasis1 6 2 2 2" xfId="6354" xr:uid="{00000000-0005-0000-0000-000095180000}"/>
    <cellStyle name="20% - Énfasis1 6 2 2 2 2" xfId="6355" xr:uid="{00000000-0005-0000-0000-000096180000}"/>
    <cellStyle name="20% - Énfasis1 6 2 2 2 2 2" xfId="6356" xr:uid="{00000000-0005-0000-0000-000097180000}"/>
    <cellStyle name="20% - Énfasis1 6 2 2 2 3" xfId="6357" xr:uid="{00000000-0005-0000-0000-000098180000}"/>
    <cellStyle name="20% - Énfasis1 6 2 2 2 3 2" xfId="6358" xr:uid="{00000000-0005-0000-0000-000099180000}"/>
    <cellStyle name="20% - Énfasis1 6 2 2 2 4" xfId="6359" xr:uid="{00000000-0005-0000-0000-00009A180000}"/>
    <cellStyle name="20% - Énfasis1 6 2 2 3" xfId="6360" xr:uid="{00000000-0005-0000-0000-00009B180000}"/>
    <cellStyle name="20% - Énfasis1 6 2 2 3 2" xfId="6361" xr:uid="{00000000-0005-0000-0000-00009C180000}"/>
    <cellStyle name="20% - Énfasis1 6 2 2 4" xfId="6362" xr:uid="{00000000-0005-0000-0000-00009D180000}"/>
    <cellStyle name="20% - Énfasis1 6 2 2 4 2" xfId="6363" xr:uid="{00000000-0005-0000-0000-00009E180000}"/>
    <cellStyle name="20% - Énfasis1 6 2 2 5" xfId="6364" xr:uid="{00000000-0005-0000-0000-00009F180000}"/>
    <cellStyle name="20% - Énfasis1 6 2 3" xfId="6365" xr:uid="{00000000-0005-0000-0000-0000A0180000}"/>
    <cellStyle name="20% - Énfasis1 6 2 3 2" xfId="6366" xr:uid="{00000000-0005-0000-0000-0000A1180000}"/>
    <cellStyle name="20% - Énfasis1 6 2 3 2 2" xfId="6367" xr:uid="{00000000-0005-0000-0000-0000A2180000}"/>
    <cellStyle name="20% - Énfasis1 6 2 3 3" xfId="6368" xr:uid="{00000000-0005-0000-0000-0000A3180000}"/>
    <cellStyle name="20% - Énfasis1 6 2 3 3 2" xfId="6369" xr:uid="{00000000-0005-0000-0000-0000A4180000}"/>
    <cellStyle name="20% - Énfasis1 6 2 3 4" xfId="6370" xr:uid="{00000000-0005-0000-0000-0000A5180000}"/>
    <cellStyle name="20% - Énfasis1 6 2 4" xfId="6371" xr:uid="{00000000-0005-0000-0000-0000A6180000}"/>
    <cellStyle name="20% - Énfasis1 6 2 4 2" xfId="6372" xr:uid="{00000000-0005-0000-0000-0000A7180000}"/>
    <cellStyle name="20% - Énfasis1 6 2 5" xfId="6373" xr:uid="{00000000-0005-0000-0000-0000A8180000}"/>
    <cellStyle name="20% - Énfasis1 6 2 5 2" xfId="6374" xr:uid="{00000000-0005-0000-0000-0000A9180000}"/>
    <cellStyle name="20% - Énfasis1 6 2 6" xfId="6375" xr:uid="{00000000-0005-0000-0000-0000AA180000}"/>
    <cellStyle name="20% - Énfasis1 6 3" xfId="6376" xr:uid="{00000000-0005-0000-0000-0000AB180000}"/>
    <cellStyle name="20% - Énfasis1 6 3 2" xfId="6377" xr:uid="{00000000-0005-0000-0000-0000AC180000}"/>
    <cellStyle name="20% - Énfasis1 6 3 2 2" xfId="6378" xr:uid="{00000000-0005-0000-0000-0000AD180000}"/>
    <cellStyle name="20% - Énfasis1 6 3 2 2 2" xfId="6379" xr:uid="{00000000-0005-0000-0000-0000AE180000}"/>
    <cellStyle name="20% - Énfasis1 6 3 2 3" xfId="6380" xr:uid="{00000000-0005-0000-0000-0000AF180000}"/>
    <cellStyle name="20% - Énfasis1 6 3 2 3 2" xfId="6381" xr:uid="{00000000-0005-0000-0000-0000B0180000}"/>
    <cellStyle name="20% - Énfasis1 6 3 2 4" xfId="6382" xr:uid="{00000000-0005-0000-0000-0000B1180000}"/>
    <cellStyle name="20% - Énfasis1 6 3 3" xfId="6383" xr:uid="{00000000-0005-0000-0000-0000B2180000}"/>
    <cellStyle name="20% - Énfasis1 6 3 3 2" xfId="6384" xr:uid="{00000000-0005-0000-0000-0000B3180000}"/>
    <cellStyle name="20% - Énfasis1 6 3 4" xfId="6385" xr:uid="{00000000-0005-0000-0000-0000B4180000}"/>
    <cellStyle name="20% - Énfasis1 6 3 4 2" xfId="6386" xr:uid="{00000000-0005-0000-0000-0000B5180000}"/>
    <cellStyle name="20% - Énfasis1 6 3 5" xfId="6387" xr:uid="{00000000-0005-0000-0000-0000B6180000}"/>
    <cellStyle name="20% - Énfasis1 6 4" xfId="6388" xr:uid="{00000000-0005-0000-0000-0000B7180000}"/>
    <cellStyle name="20% - Énfasis1 6 4 2" xfId="6389" xr:uid="{00000000-0005-0000-0000-0000B8180000}"/>
    <cellStyle name="20% - Énfasis1 6 4 2 2" xfId="6390" xr:uid="{00000000-0005-0000-0000-0000B9180000}"/>
    <cellStyle name="20% - Énfasis1 6 4 3" xfId="6391" xr:uid="{00000000-0005-0000-0000-0000BA180000}"/>
    <cellStyle name="20% - Énfasis1 6 4 3 2" xfId="6392" xr:uid="{00000000-0005-0000-0000-0000BB180000}"/>
    <cellStyle name="20% - Énfasis1 6 4 4" xfId="6393" xr:uid="{00000000-0005-0000-0000-0000BC180000}"/>
    <cellStyle name="20% - Énfasis1 6 5" xfId="6394" xr:uid="{00000000-0005-0000-0000-0000BD180000}"/>
    <cellStyle name="20% - Énfasis1 6 5 2" xfId="6395" xr:uid="{00000000-0005-0000-0000-0000BE180000}"/>
    <cellStyle name="20% - Énfasis1 6 6" xfId="6396" xr:uid="{00000000-0005-0000-0000-0000BF180000}"/>
    <cellStyle name="20% - Énfasis1 6 6 2" xfId="6397" xr:uid="{00000000-0005-0000-0000-0000C0180000}"/>
    <cellStyle name="20% - Énfasis1 6 7" xfId="6398" xr:uid="{00000000-0005-0000-0000-0000C1180000}"/>
    <cellStyle name="20% - Énfasis1 7" xfId="6399" xr:uid="{00000000-0005-0000-0000-0000C2180000}"/>
    <cellStyle name="20% - Énfasis1 7 2" xfId="6400" xr:uid="{00000000-0005-0000-0000-0000C3180000}"/>
    <cellStyle name="20% - Énfasis1 7 2 2" xfId="6401" xr:uid="{00000000-0005-0000-0000-0000C4180000}"/>
    <cellStyle name="20% - Énfasis1 7 2 2 2" xfId="6402" xr:uid="{00000000-0005-0000-0000-0000C5180000}"/>
    <cellStyle name="20% - Énfasis1 7 2 2 2 2" xfId="6403" xr:uid="{00000000-0005-0000-0000-0000C6180000}"/>
    <cellStyle name="20% - Énfasis1 7 2 2 3" xfId="6404" xr:uid="{00000000-0005-0000-0000-0000C7180000}"/>
    <cellStyle name="20% - Énfasis1 7 2 2 3 2" xfId="6405" xr:uid="{00000000-0005-0000-0000-0000C8180000}"/>
    <cellStyle name="20% - Énfasis1 7 2 2 4" xfId="6406" xr:uid="{00000000-0005-0000-0000-0000C9180000}"/>
    <cellStyle name="20% - Énfasis1 7 2 3" xfId="6407" xr:uid="{00000000-0005-0000-0000-0000CA180000}"/>
    <cellStyle name="20% - Énfasis1 7 2 3 2" xfId="6408" xr:uid="{00000000-0005-0000-0000-0000CB180000}"/>
    <cellStyle name="20% - Énfasis1 7 2 4" xfId="6409" xr:uid="{00000000-0005-0000-0000-0000CC180000}"/>
    <cellStyle name="20% - Énfasis1 7 2 4 2" xfId="6410" xr:uid="{00000000-0005-0000-0000-0000CD180000}"/>
    <cellStyle name="20% - Énfasis1 7 2 5" xfId="6411" xr:uid="{00000000-0005-0000-0000-0000CE180000}"/>
    <cellStyle name="20% - Énfasis1 7 3" xfId="6412" xr:uid="{00000000-0005-0000-0000-0000CF180000}"/>
    <cellStyle name="20% - Énfasis1 7 3 2" xfId="6413" xr:uid="{00000000-0005-0000-0000-0000D0180000}"/>
    <cellStyle name="20% - Énfasis1 7 3 2 2" xfId="6414" xr:uid="{00000000-0005-0000-0000-0000D1180000}"/>
    <cellStyle name="20% - Énfasis1 7 3 3" xfId="6415" xr:uid="{00000000-0005-0000-0000-0000D2180000}"/>
    <cellStyle name="20% - Énfasis1 7 3 3 2" xfId="6416" xr:uid="{00000000-0005-0000-0000-0000D3180000}"/>
    <cellStyle name="20% - Énfasis1 7 3 4" xfId="6417" xr:uid="{00000000-0005-0000-0000-0000D4180000}"/>
    <cellStyle name="20% - Énfasis1 7 4" xfId="6418" xr:uid="{00000000-0005-0000-0000-0000D5180000}"/>
    <cellStyle name="20% - Énfasis1 7 4 2" xfId="6419" xr:uid="{00000000-0005-0000-0000-0000D6180000}"/>
    <cellStyle name="20% - Énfasis1 7 5" xfId="6420" xr:uid="{00000000-0005-0000-0000-0000D7180000}"/>
    <cellStyle name="20% - Énfasis1 7 5 2" xfId="6421" xr:uid="{00000000-0005-0000-0000-0000D8180000}"/>
    <cellStyle name="20% - Énfasis1 7 6" xfId="6422" xr:uid="{00000000-0005-0000-0000-0000D9180000}"/>
    <cellStyle name="20% - Énfasis1 8" xfId="6423" xr:uid="{00000000-0005-0000-0000-0000DA180000}"/>
    <cellStyle name="20% - Énfasis1 8 2" xfId="6424" xr:uid="{00000000-0005-0000-0000-0000DB180000}"/>
    <cellStyle name="20% - Énfasis1 8 2 2" xfId="6425" xr:uid="{00000000-0005-0000-0000-0000DC180000}"/>
    <cellStyle name="20% - Énfasis1 8 2 2 2" xfId="6426" xr:uid="{00000000-0005-0000-0000-0000DD180000}"/>
    <cellStyle name="20% - Énfasis1 8 2 2 2 2" xfId="6427" xr:uid="{00000000-0005-0000-0000-0000DE180000}"/>
    <cellStyle name="20% - Énfasis1 8 2 2 3" xfId="6428" xr:uid="{00000000-0005-0000-0000-0000DF180000}"/>
    <cellStyle name="20% - Énfasis1 8 2 2 3 2" xfId="6429" xr:uid="{00000000-0005-0000-0000-0000E0180000}"/>
    <cellStyle name="20% - Énfasis1 8 2 2 4" xfId="6430" xr:uid="{00000000-0005-0000-0000-0000E1180000}"/>
    <cellStyle name="20% - Énfasis1 8 2 3" xfId="6431" xr:uid="{00000000-0005-0000-0000-0000E2180000}"/>
    <cellStyle name="20% - Énfasis1 8 2 3 2" xfId="6432" xr:uid="{00000000-0005-0000-0000-0000E3180000}"/>
    <cellStyle name="20% - Énfasis1 8 2 4" xfId="6433" xr:uid="{00000000-0005-0000-0000-0000E4180000}"/>
    <cellStyle name="20% - Énfasis1 8 2 4 2" xfId="6434" xr:uid="{00000000-0005-0000-0000-0000E5180000}"/>
    <cellStyle name="20% - Énfasis1 8 2 5" xfId="6435" xr:uid="{00000000-0005-0000-0000-0000E6180000}"/>
    <cellStyle name="20% - Énfasis1 8 3" xfId="6436" xr:uid="{00000000-0005-0000-0000-0000E7180000}"/>
    <cellStyle name="20% - Énfasis1 8 3 2" xfId="6437" xr:uid="{00000000-0005-0000-0000-0000E8180000}"/>
    <cellStyle name="20% - Énfasis1 8 3 2 2" xfId="6438" xr:uid="{00000000-0005-0000-0000-0000E9180000}"/>
    <cellStyle name="20% - Énfasis1 8 3 3" xfId="6439" xr:uid="{00000000-0005-0000-0000-0000EA180000}"/>
    <cellStyle name="20% - Énfasis1 8 3 3 2" xfId="6440" xr:uid="{00000000-0005-0000-0000-0000EB180000}"/>
    <cellStyle name="20% - Énfasis1 8 3 4" xfId="6441" xr:uid="{00000000-0005-0000-0000-0000EC180000}"/>
    <cellStyle name="20% - Énfasis1 8 4" xfId="6442" xr:uid="{00000000-0005-0000-0000-0000ED180000}"/>
    <cellStyle name="20% - Énfasis1 8 4 2" xfId="6443" xr:uid="{00000000-0005-0000-0000-0000EE180000}"/>
    <cellStyle name="20% - Énfasis1 8 5" xfId="6444" xr:uid="{00000000-0005-0000-0000-0000EF180000}"/>
    <cellStyle name="20% - Énfasis1 8 5 2" xfId="6445" xr:uid="{00000000-0005-0000-0000-0000F0180000}"/>
    <cellStyle name="20% - Énfasis1 8 6" xfId="6446" xr:uid="{00000000-0005-0000-0000-0000F1180000}"/>
    <cellStyle name="20% - Énfasis1 9" xfId="6447" xr:uid="{00000000-0005-0000-0000-0000F2180000}"/>
    <cellStyle name="20% - Énfasis1 9 2" xfId="6448" xr:uid="{00000000-0005-0000-0000-0000F3180000}"/>
    <cellStyle name="20% - Énfasis1 9 2 2" xfId="6449" xr:uid="{00000000-0005-0000-0000-0000F4180000}"/>
    <cellStyle name="20% - Énfasis1 9 2 2 2" xfId="6450" xr:uid="{00000000-0005-0000-0000-0000F5180000}"/>
    <cellStyle name="20% - Énfasis1 9 2 3" xfId="6451" xr:uid="{00000000-0005-0000-0000-0000F6180000}"/>
    <cellStyle name="20% - Énfasis1 9 2 3 2" xfId="6452" xr:uid="{00000000-0005-0000-0000-0000F7180000}"/>
    <cellStyle name="20% - Énfasis1 9 2 4" xfId="6453" xr:uid="{00000000-0005-0000-0000-0000F8180000}"/>
    <cellStyle name="20% - Énfasis1 9 3" xfId="6454" xr:uid="{00000000-0005-0000-0000-0000F9180000}"/>
    <cellStyle name="20% - Énfasis1 9 3 2" xfId="6455" xr:uid="{00000000-0005-0000-0000-0000FA180000}"/>
    <cellStyle name="20% - Énfasis1 9 4" xfId="6456" xr:uid="{00000000-0005-0000-0000-0000FB180000}"/>
    <cellStyle name="20% - Énfasis1 9 4 2" xfId="6457" xr:uid="{00000000-0005-0000-0000-0000FC180000}"/>
    <cellStyle name="20% - Énfasis1 9 5" xfId="6458" xr:uid="{00000000-0005-0000-0000-0000FD180000}"/>
    <cellStyle name="20% - Énfasis2" xfId="3" builtinId="34" customBuiltin="1"/>
    <cellStyle name="20% - Énfasis2 10" xfId="6459" xr:uid="{00000000-0005-0000-0000-0000FF180000}"/>
    <cellStyle name="20% - Énfasis2 10 2" xfId="6460" xr:uid="{00000000-0005-0000-0000-000000190000}"/>
    <cellStyle name="20% - Énfasis2 10 2 2" xfId="6461" xr:uid="{00000000-0005-0000-0000-000001190000}"/>
    <cellStyle name="20% - Énfasis2 10 3" xfId="6462" xr:uid="{00000000-0005-0000-0000-000002190000}"/>
    <cellStyle name="20% - Énfasis2 10 3 2" xfId="6463" xr:uid="{00000000-0005-0000-0000-000003190000}"/>
    <cellStyle name="20% - Énfasis2 10 4" xfId="6464" xr:uid="{00000000-0005-0000-0000-000004190000}"/>
    <cellStyle name="20% - Énfasis2 11" xfId="6465" xr:uid="{00000000-0005-0000-0000-000005190000}"/>
    <cellStyle name="20% - Énfasis2 11 2" xfId="6466" xr:uid="{00000000-0005-0000-0000-000006190000}"/>
    <cellStyle name="20% - Énfasis2 12" xfId="6467" xr:uid="{00000000-0005-0000-0000-000007190000}"/>
    <cellStyle name="20% - Énfasis2 12 2" xfId="6468" xr:uid="{00000000-0005-0000-0000-000008190000}"/>
    <cellStyle name="20% - Énfasis2 13" xfId="6469" xr:uid="{00000000-0005-0000-0000-000009190000}"/>
    <cellStyle name="20% - Énfasis2 14" xfId="6470" xr:uid="{00000000-0005-0000-0000-00000A190000}"/>
    <cellStyle name="20% - Énfasis2 15" xfId="6471" xr:uid="{00000000-0005-0000-0000-00000B190000}"/>
    <cellStyle name="20% - Énfasis2 16" xfId="6472" xr:uid="{00000000-0005-0000-0000-00000C190000}"/>
    <cellStyle name="20% - Énfasis2 2" xfId="4" xr:uid="{00000000-0005-0000-0000-00000D190000}"/>
    <cellStyle name="20% - Énfasis2 2 10" xfId="6473" xr:uid="{00000000-0005-0000-0000-00000E190000}"/>
    <cellStyle name="20% - Énfasis2 2 11" xfId="6474" xr:uid="{00000000-0005-0000-0000-00000F190000}"/>
    <cellStyle name="20% - Énfasis2 2 12" xfId="6475" xr:uid="{00000000-0005-0000-0000-000010190000}"/>
    <cellStyle name="20% - Énfasis2 2 13" xfId="6476" xr:uid="{00000000-0005-0000-0000-000011190000}"/>
    <cellStyle name="20% - Énfasis2 2 14" xfId="6477" xr:uid="{00000000-0005-0000-0000-000012190000}"/>
    <cellStyle name="20% - Énfasis2 2 15" xfId="6478" xr:uid="{00000000-0005-0000-0000-000013190000}"/>
    <cellStyle name="20% - Énfasis2 2 16" xfId="6479" xr:uid="{00000000-0005-0000-0000-000014190000}"/>
    <cellStyle name="20% - Énfasis2 2 17" xfId="6480" xr:uid="{00000000-0005-0000-0000-000015190000}"/>
    <cellStyle name="20% - Énfasis2 2 18" xfId="6481" xr:uid="{00000000-0005-0000-0000-000016190000}"/>
    <cellStyle name="20% - Énfasis2 2 19" xfId="6482" xr:uid="{00000000-0005-0000-0000-000017190000}"/>
    <cellStyle name="20% - Énfasis2 2 2" xfId="6483" xr:uid="{00000000-0005-0000-0000-000018190000}"/>
    <cellStyle name="20% - Énfasis2 2 2 2" xfId="6484" xr:uid="{00000000-0005-0000-0000-000019190000}"/>
    <cellStyle name="20% - Énfasis2 2 2 2 2" xfId="6485" xr:uid="{00000000-0005-0000-0000-00001A190000}"/>
    <cellStyle name="20% - Énfasis2 2 2 2 2 2" xfId="6486" xr:uid="{00000000-0005-0000-0000-00001B190000}"/>
    <cellStyle name="20% - Énfasis2 2 2 2 2 2 2" xfId="6487" xr:uid="{00000000-0005-0000-0000-00001C190000}"/>
    <cellStyle name="20% - Énfasis2 2 2 2 2 3" xfId="6488" xr:uid="{00000000-0005-0000-0000-00001D190000}"/>
    <cellStyle name="20% - Énfasis2 2 2 2 2 3 2" xfId="6489" xr:uid="{00000000-0005-0000-0000-00001E190000}"/>
    <cellStyle name="20% - Énfasis2 2 2 2 2 4" xfId="6490" xr:uid="{00000000-0005-0000-0000-00001F190000}"/>
    <cellStyle name="20% - Énfasis2 2 2 2 3" xfId="6491" xr:uid="{00000000-0005-0000-0000-000020190000}"/>
    <cellStyle name="20% - Énfasis2 2 2 2 3 2" xfId="6492" xr:uid="{00000000-0005-0000-0000-000021190000}"/>
    <cellStyle name="20% - Énfasis2 2 2 2 4" xfId="6493" xr:uid="{00000000-0005-0000-0000-000022190000}"/>
    <cellStyle name="20% - Énfasis2 2 2 2 4 2" xfId="6494" xr:uid="{00000000-0005-0000-0000-000023190000}"/>
    <cellStyle name="20% - Énfasis2 2 2 2 5" xfId="6495" xr:uid="{00000000-0005-0000-0000-000024190000}"/>
    <cellStyle name="20% - Énfasis2 2 2 3" xfId="6496" xr:uid="{00000000-0005-0000-0000-000025190000}"/>
    <cellStyle name="20% - Énfasis2 2 2 3 2" xfId="6497" xr:uid="{00000000-0005-0000-0000-000026190000}"/>
    <cellStyle name="20% - Énfasis2 2 2 3 2 2" xfId="6498" xr:uid="{00000000-0005-0000-0000-000027190000}"/>
    <cellStyle name="20% - Énfasis2 2 2 3 3" xfId="6499" xr:uid="{00000000-0005-0000-0000-000028190000}"/>
    <cellStyle name="20% - Énfasis2 2 2 3 3 2" xfId="6500" xr:uid="{00000000-0005-0000-0000-000029190000}"/>
    <cellStyle name="20% - Énfasis2 2 2 3 4" xfId="6501" xr:uid="{00000000-0005-0000-0000-00002A190000}"/>
    <cellStyle name="20% - Énfasis2 2 2 4" xfId="6502" xr:uid="{00000000-0005-0000-0000-00002B190000}"/>
    <cellStyle name="20% - Énfasis2 2 2 4 2" xfId="6503" xr:uid="{00000000-0005-0000-0000-00002C190000}"/>
    <cellStyle name="20% - Énfasis2 2 2 5" xfId="6504" xr:uid="{00000000-0005-0000-0000-00002D190000}"/>
    <cellStyle name="20% - Énfasis2 2 2 5 2" xfId="6505" xr:uid="{00000000-0005-0000-0000-00002E190000}"/>
    <cellStyle name="20% - Énfasis2 2 2 6" xfId="6506" xr:uid="{00000000-0005-0000-0000-00002F190000}"/>
    <cellStyle name="20% - Énfasis2 2 20" xfId="6507" xr:uid="{00000000-0005-0000-0000-000030190000}"/>
    <cellStyle name="20% - Énfasis2 2 21" xfId="6508" xr:uid="{00000000-0005-0000-0000-000031190000}"/>
    <cellStyle name="20% - Énfasis2 2 22" xfId="6509" xr:uid="{00000000-0005-0000-0000-000032190000}"/>
    <cellStyle name="20% - Énfasis2 2 23" xfId="6510" xr:uid="{00000000-0005-0000-0000-000033190000}"/>
    <cellStyle name="20% - Énfasis2 2 24" xfId="6511" xr:uid="{00000000-0005-0000-0000-000034190000}"/>
    <cellStyle name="20% - Énfasis2 2 25" xfId="6512" xr:uid="{00000000-0005-0000-0000-000035190000}"/>
    <cellStyle name="20% - Énfasis2 2 26" xfId="6513" xr:uid="{00000000-0005-0000-0000-000036190000}"/>
    <cellStyle name="20% - Énfasis2 2 27" xfId="6514" xr:uid="{00000000-0005-0000-0000-000037190000}"/>
    <cellStyle name="20% - Énfasis2 2 28" xfId="6515" xr:uid="{00000000-0005-0000-0000-000038190000}"/>
    <cellStyle name="20% - Énfasis2 2 29" xfId="6516" xr:uid="{00000000-0005-0000-0000-000039190000}"/>
    <cellStyle name="20% - Énfasis2 2 3" xfId="6517" xr:uid="{00000000-0005-0000-0000-00003A190000}"/>
    <cellStyle name="20% - Énfasis2 2 3 2" xfId="6518" xr:uid="{00000000-0005-0000-0000-00003B190000}"/>
    <cellStyle name="20% - Énfasis2 2 3 2 2" xfId="6519" xr:uid="{00000000-0005-0000-0000-00003C190000}"/>
    <cellStyle name="20% - Énfasis2 2 3 2 2 2" xfId="6520" xr:uid="{00000000-0005-0000-0000-00003D190000}"/>
    <cellStyle name="20% - Énfasis2 2 3 2 3" xfId="6521" xr:uid="{00000000-0005-0000-0000-00003E190000}"/>
    <cellStyle name="20% - Énfasis2 2 3 2 3 2" xfId="6522" xr:uid="{00000000-0005-0000-0000-00003F190000}"/>
    <cellStyle name="20% - Énfasis2 2 3 2 4" xfId="6523" xr:uid="{00000000-0005-0000-0000-000040190000}"/>
    <cellStyle name="20% - Énfasis2 2 3 3" xfId="6524" xr:uid="{00000000-0005-0000-0000-000041190000}"/>
    <cellStyle name="20% - Énfasis2 2 3 3 2" xfId="6525" xr:uid="{00000000-0005-0000-0000-000042190000}"/>
    <cellStyle name="20% - Énfasis2 2 3 4" xfId="6526" xr:uid="{00000000-0005-0000-0000-000043190000}"/>
    <cellStyle name="20% - Énfasis2 2 3 4 2" xfId="6527" xr:uid="{00000000-0005-0000-0000-000044190000}"/>
    <cellStyle name="20% - Énfasis2 2 3 5" xfId="6528" xr:uid="{00000000-0005-0000-0000-000045190000}"/>
    <cellStyle name="20% - Énfasis2 2 30" xfId="6529" xr:uid="{00000000-0005-0000-0000-000046190000}"/>
    <cellStyle name="20% - Énfasis2 2 31" xfId="6530" xr:uid="{00000000-0005-0000-0000-000047190000}"/>
    <cellStyle name="20% - Énfasis2 2 32" xfId="6531" xr:uid="{00000000-0005-0000-0000-000048190000}"/>
    <cellStyle name="20% - Énfasis2 2 33" xfId="6532" xr:uid="{00000000-0005-0000-0000-000049190000}"/>
    <cellStyle name="20% - Énfasis2 2 34" xfId="6533" xr:uid="{00000000-0005-0000-0000-00004A190000}"/>
    <cellStyle name="20% - Énfasis2 2 35" xfId="6534" xr:uid="{00000000-0005-0000-0000-00004B190000}"/>
    <cellStyle name="20% - Énfasis2 2 36" xfId="6535" xr:uid="{00000000-0005-0000-0000-00004C190000}"/>
    <cellStyle name="20% - Énfasis2 2 37" xfId="6536" xr:uid="{00000000-0005-0000-0000-00004D190000}"/>
    <cellStyle name="20% - Énfasis2 2 4" xfId="6537" xr:uid="{00000000-0005-0000-0000-00004E190000}"/>
    <cellStyle name="20% - Énfasis2 2 4 2" xfId="6538" xr:uid="{00000000-0005-0000-0000-00004F190000}"/>
    <cellStyle name="20% - Énfasis2 2 4 2 2" xfId="6539" xr:uid="{00000000-0005-0000-0000-000050190000}"/>
    <cellStyle name="20% - Énfasis2 2 4 3" xfId="6540" xr:uid="{00000000-0005-0000-0000-000051190000}"/>
    <cellStyle name="20% - Énfasis2 2 4 3 2" xfId="6541" xr:uid="{00000000-0005-0000-0000-000052190000}"/>
    <cellStyle name="20% - Énfasis2 2 4 4" xfId="6542" xr:uid="{00000000-0005-0000-0000-000053190000}"/>
    <cellStyle name="20% - Énfasis2 2 5" xfId="6543" xr:uid="{00000000-0005-0000-0000-000054190000}"/>
    <cellStyle name="20% - Énfasis2 2 5 2" xfId="6544" xr:uid="{00000000-0005-0000-0000-000055190000}"/>
    <cellStyle name="20% - Énfasis2 2 6" xfId="6545" xr:uid="{00000000-0005-0000-0000-000056190000}"/>
    <cellStyle name="20% - Énfasis2 2 6 2" xfId="6546" xr:uid="{00000000-0005-0000-0000-000057190000}"/>
    <cellStyle name="20% - Énfasis2 2 7" xfId="6547" xr:uid="{00000000-0005-0000-0000-000058190000}"/>
    <cellStyle name="20% - Énfasis2 2 8" xfId="6548" xr:uid="{00000000-0005-0000-0000-000059190000}"/>
    <cellStyle name="20% - Énfasis2 2 9" xfId="6549" xr:uid="{00000000-0005-0000-0000-00005A190000}"/>
    <cellStyle name="20% - Énfasis2 3" xfId="6550" xr:uid="{00000000-0005-0000-0000-00005B190000}"/>
    <cellStyle name="20% - Énfasis2 3 10" xfId="6551" xr:uid="{00000000-0005-0000-0000-00005C190000}"/>
    <cellStyle name="20% - Énfasis2 3 11" xfId="6552" xr:uid="{00000000-0005-0000-0000-00005D190000}"/>
    <cellStyle name="20% - Énfasis2 3 12" xfId="6553" xr:uid="{00000000-0005-0000-0000-00005E190000}"/>
    <cellStyle name="20% - Énfasis2 3 13" xfId="6554" xr:uid="{00000000-0005-0000-0000-00005F190000}"/>
    <cellStyle name="20% - Énfasis2 3 14" xfId="6555" xr:uid="{00000000-0005-0000-0000-000060190000}"/>
    <cellStyle name="20% - Énfasis2 3 15" xfId="6556" xr:uid="{00000000-0005-0000-0000-000061190000}"/>
    <cellStyle name="20% - Énfasis2 3 16" xfId="6557" xr:uid="{00000000-0005-0000-0000-000062190000}"/>
    <cellStyle name="20% - Énfasis2 3 17" xfId="6558" xr:uid="{00000000-0005-0000-0000-000063190000}"/>
    <cellStyle name="20% - Énfasis2 3 18" xfId="6559" xr:uid="{00000000-0005-0000-0000-000064190000}"/>
    <cellStyle name="20% - Énfasis2 3 19" xfId="6560" xr:uid="{00000000-0005-0000-0000-000065190000}"/>
    <cellStyle name="20% - Énfasis2 3 2" xfId="6561" xr:uid="{00000000-0005-0000-0000-000066190000}"/>
    <cellStyle name="20% - Énfasis2 3 2 2" xfId="6562" xr:uid="{00000000-0005-0000-0000-000067190000}"/>
    <cellStyle name="20% - Énfasis2 3 2 2 2" xfId="6563" xr:uid="{00000000-0005-0000-0000-000068190000}"/>
    <cellStyle name="20% - Énfasis2 3 2 2 2 2" xfId="6564" xr:uid="{00000000-0005-0000-0000-000069190000}"/>
    <cellStyle name="20% - Énfasis2 3 2 2 2 2 2" xfId="6565" xr:uid="{00000000-0005-0000-0000-00006A190000}"/>
    <cellStyle name="20% - Énfasis2 3 2 2 2 3" xfId="6566" xr:uid="{00000000-0005-0000-0000-00006B190000}"/>
    <cellStyle name="20% - Énfasis2 3 2 2 2 3 2" xfId="6567" xr:uid="{00000000-0005-0000-0000-00006C190000}"/>
    <cellStyle name="20% - Énfasis2 3 2 2 2 4" xfId="6568" xr:uid="{00000000-0005-0000-0000-00006D190000}"/>
    <cellStyle name="20% - Énfasis2 3 2 2 3" xfId="6569" xr:uid="{00000000-0005-0000-0000-00006E190000}"/>
    <cellStyle name="20% - Énfasis2 3 2 2 3 2" xfId="6570" xr:uid="{00000000-0005-0000-0000-00006F190000}"/>
    <cellStyle name="20% - Énfasis2 3 2 2 4" xfId="6571" xr:uid="{00000000-0005-0000-0000-000070190000}"/>
    <cellStyle name="20% - Énfasis2 3 2 2 4 2" xfId="6572" xr:uid="{00000000-0005-0000-0000-000071190000}"/>
    <cellStyle name="20% - Énfasis2 3 2 2 5" xfId="6573" xr:uid="{00000000-0005-0000-0000-000072190000}"/>
    <cellStyle name="20% - Énfasis2 3 2 3" xfId="6574" xr:uid="{00000000-0005-0000-0000-000073190000}"/>
    <cellStyle name="20% - Énfasis2 3 2 3 2" xfId="6575" xr:uid="{00000000-0005-0000-0000-000074190000}"/>
    <cellStyle name="20% - Énfasis2 3 2 3 2 2" xfId="6576" xr:uid="{00000000-0005-0000-0000-000075190000}"/>
    <cellStyle name="20% - Énfasis2 3 2 3 3" xfId="6577" xr:uid="{00000000-0005-0000-0000-000076190000}"/>
    <cellStyle name="20% - Énfasis2 3 2 3 3 2" xfId="6578" xr:uid="{00000000-0005-0000-0000-000077190000}"/>
    <cellStyle name="20% - Énfasis2 3 2 3 4" xfId="6579" xr:uid="{00000000-0005-0000-0000-000078190000}"/>
    <cellStyle name="20% - Énfasis2 3 2 4" xfId="6580" xr:uid="{00000000-0005-0000-0000-000079190000}"/>
    <cellStyle name="20% - Énfasis2 3 2 4 2" xfId="6581" xr:uid="{00000000-0005-0000-0000-00007A190000}"/>
    <cellStyle name="20% - Énfasis2 3 2 5" xfId="6582" xr:uid="{00000000-0005-0000-0000-00007B190000}"/>
    <cellStyle name="20% - Énfasis2 3 2 5 2" xfId="6583" xr:uid="{00000000-0005-0000-0000-00007C190000}"/>
    <cellStyle name="20% - Énfasis2 3 2 6" xfId="6584" xr:uid="{00000000-0005-0000-0000-00007D190000}"/>
    <cellStyle name="20% - Énfasis2 3 20" xfId="6585" xr:uid="{00000000-0005-0000-0000-00007E190000}"/>
    <cellStyle name="20% - Énfasis2 3 21" xfId="6586" xr:uid="{00000000-0005-0000-0000-00007F190000}"/>
    <cellStyle name="20% - Énfasis2 3 22" xfId="6587" xr:uid="{00000000-0005-0000-0000-000080190000}"/>
    <cellStyle name="20% - Énfasis2 3 23" xfId="6588" xr:uid="{00000000-0005-0000-0000-000081190000}"/>
    <cellStyle name="20% - Énfasis2 3 24" xfId="6589" xr:uid="{00000000-0005-0000-0000-000082190000}"/>
    <cellStyle name="20% - Énfasis2 3 25" xfId="6590" xr:uid="{00000000-0005-0000-0000-000083190000}"/>
    <cellStyle name="20% - Énfasis2 3 26" xfId="6591" xr:uid="{00000000-0005-0000-0000-000084190000}"/>
    <cellStyle name="20% - Énfasis2 3 27" xfId="6592" xr:uid="{00000000-0005-0000-0000-000085190000}"/>
    <cellStyle name="20% - Énfasis2 3 28" xfId="6593" xr:uid="{00000000-0005-0000-0000-000086190000}"/>
    <cellStyle name="20% - Énfasis2 3 29" xfId="6594" xr:uid="{00000000-0005-0000-0000-000087190000}"/>
    <cellStyle name="20% - Énfasis2 3 3" xfId="6595" xr:uid="{00000000-0005-0000-0000-000088190000}"/>
    <cellStyle name="20% - Énfasis2 3 3 2" xfId="6596" xr:uid="{00000000-0005-0000-0000-000089190000}"/>
    <cellStyle name="20% - Énfasis2 3 3 2 2" xfId="6597" xr:uid="{00000000-0005-0000-0000-00008A190000}"/>
    <cellStyle name="20% - Énfasis2 3 3 2 2 2" xfId="6598" xr:uid="{00000000-0005-0000-0000-00008B190000}"/>
    <cellStyle name="20% - Énfasis2 3 3 2 3" xfId="6599" xr:uid="{00000000-0005-0000-0000-00008C190000}"/>
    <cellStyle name="20% - Énfasis2 3 3 2 3 2" xfId="6600" xr:uid="{00000000-0005-0000-0000-00008D190000}"/>
    <cellStyle name="20% - Énfasis2 3 3 2 4" xfId="6601" xr:uid="{00000000-0005-0000-0000-00008E190000}"/>
    <cellStyle name="20% - Énfasis2 3 3 3" xfId="6602" xr:uid="{00000000-0005-0000-0000-00008F190000}"/>
    <cellStyle name="20% - Énfasis2 3 3 3 2" xfId="6603" xr:uid="{00000000-0005-0000-0000-000090190000}"/>
    <cellStyle name="20% - Énfasis2 3 3 4" xfId="6604" xr:uid="{00000000-0005-0000-0000-000091190000}"/>
    <cellStyle name="20% - Énfasis2 3 3 4 2" xfId="6605" xr:uid="{00000000-0005-0000-0000-000092190000}"/>
    <cellStyle name="20% - Énfasis2 3 3 5" xfId="6606" xr:uid="{00000000-0005-0000-0000-000093190000}"/>
    <cellStyle name="20% - Énfasis2 3 30" xfId="6607" xr:uid="{00000000-0005-0000-0000-000094190000}"/>
    <cellStyle name="20% - Énfasis2 3 31" xfId="6608" xr:uid="{00000000-0005-0000-0000-000095190000}"/>
    <cellStyle name="20% - Énfasis2 3 32" xfId="6609" xr:uid="{00000000-0005-0000-0000-000096190000}"/>
    <cellStyle name="20% - Énfasis2 3 33" xfId="6610" xr:uid="{00000000-0005-0000-0000-000097190000}"/>
    <cellStyle name="20% - Énfasis2 3 34" xfId="6611" xr:uid="{00000000-0005-0000-0000-000098190000}"/>
    <cellStyle name="20% - Énfasis2 3 4" xfId="6612" xr:uid="{00000000-0005-0000-0000-000099190000}"/>
    <cellStyle name="20% - Énfasis2 3 4 2" xfId="6613" xr:uid="{00000000-0005-0000-0000-00009A190000}"/>
    <cellStyle name="20% - Énfasis2 3 4 2 2" xfId="6614" xr:uid="{00000000-0005-0000-0000-00009B190000}"/>
    <cellStyle name="20% - Énfasis2 3 4 3" xfId="6615" xr:uid="{00000000-0005-0000-0000-00009C190000}"/>
    <cellStyle name="20% - Énfasis2 3 4 3 2" xfId="6616" xr:uid="{00000000-0005-0000-0000-00009D190000}"/>
    <cellStyle name="20% - Énfasis2 3 4 4" xfId="6617" xr:uid="{00000000-0005-0000-0000-00009E190000}"/>
    <cellStyle name="20% - Énfasis2 3 5" xfId="6618" xr:uid="{00000000-0005-0000-0000-00009F190000}"/>
    <cellStyle name="20% - Énfasis2 3 5 2" xfId="6619" xr:uid="{00000000-0005-0000-0000-0000A0190000}"/>
    <cellStyle name="20% - Énfasis2 3 6" xfId="6620" xr:uid="{00000000-0005-0000-0000-0000A1190000}"/>
    <cellStyle name="20% - Énfasis2 3 6 2" xfId="6621" xr:uid="{00000000-0005-0000-0000-0000A2190000}"/>
    <cellStyle name="20% - Énfasis2 3 7" xfId="6622" xr:uid="{00000000-0005-0000-0000-0000A3190000}"/>
    <cellStyle name="20% - Énfasis2 3 8" xfId="6623" xr:uid="{00000000-0005-0000-0000-0000A4190000}"/>
    <cellStyle name="20% - Énfasis2 3 9" xfId="6624" xr:uid="{00000000-0005-0000-0000-0000A5190000}"/>
    <cellStyle name="20% - Énfasis2 4" xfId="6625" xr:uid="{00000000-0005-0000-0000-0000A6190000}"/>
    <cellStyle name="20% - Énfasis2 4 2" xfId="6626" xr:uid="{00000000-0005-0000-0000-0000A7190000}"/>
    <cellStyle name="20% - Énfasis2 4 2 2" xfId="6627" xr:uid="{00000000-0005-0000-0000-0000A8190000}"/>
    <cellStyle name="20% - Énfasis2 4 2 2 2" xfId="6628" xr:uid="{00000000-0005-0000-0000-0000A9190000}"/>
    <cellStyle name="20% - Énfasis2 4 2 2 2 2" xfId="6629" xr:uid="{00000000-0005-0000-0000-0000AA190000}"/>
    <cellStyle name="20% - Énfasis2 4 2 2 2 2 2" xfId="6630" xr:uid="{00000000-0005-0000-0000-0000AB190000}"/>
    <cellStyle name="20% - Énfasis2 4 2 2 2 3" xfId="6631" xr:uid="{00000000-0005-0000-0000-0000AC190000}"/>
    <cellStyle name="20% - Énfasis2 4 2 2 2 3 2" xfId="6632" xr:uid="{00000000-0005-0000-0000-0000AD190000}"/>
    <cellStyle name="20% - Énfasis2 4 2 2 2 4" xfId="6633" xr:uid="{00000000-0005-0000-0000-0000AE190000}"/>
    <cellStyle name="20% - Énfasis2 4 2 2 3" xfId="6634" xr:uid="{00000000-0005-0000-0000-0000AF190000}"/>
    <cellStyle name="20% - Énfasis2 4 2 2 3 2" xfId="6635" xr:uid="{00000000-0005-0000-0000-0000B0190000}"/>
    <cellStyle name="20% - Énfasis2 4 2 2 4" xfId="6636" xr:uid="{00000000-0005-0000-0000-0000B1190000}"/>
    <cellStyle name="20% - Énfasis2 4 2 2 4 2" xfId="6637" xr:uid="{00000000-0005-0000-0000-0000B2190000}"/>
    <cellStyle name="20% - Énfasis2 4 2 2 5" xfId="6638" xr:uid="{00000000-0005-0000-0000-0000B3190000}"/>
    <cellStyle name="20% - Énfasis2 4 2 3" xfId="6639" xr:uid="{00000000-0005-0000-0000-0000B4190000}"/>
    <cellStyle name="20% - Énfasis2 4 2 3 2" xfId="6640" xr:uid="{00000000-0005-0000-0000-0000B5190000}"/>
    <cellStyle name="20% - Énfasis2 4 2 3 2 2" xfId="6641" xr:uid="{00000000-0005-0000-0000-0000B6190000}"/>
    <cellStyle name="20% - Énfasis2 4 2 3 3" xfId="6642" xr:uid="{00000000-0005-0000-0000-0000B7190000}"/>
    <cellStyle name="20% - Énfasis2 4 2 3 3 2" xfId="6643" xr:uid="{00000000-0005-0000-0000-0000B8190000}"/>
    <cellStyle name="20% - Énfasis2 4 2 3 4" xfId="6644" xr:uid="{00000000-0005-0000-0000-0000B9190000}"/>
    <cellStyle name="20% - Énfasis2 4 2 4" xfId="6645" xr:uid="{00000000-0005-0000-0000-0000BA190000}"/>
    <cellStyle name="20% - Énfasis2 4 2 4 2" xfId="6646" xr:uid="{00000000-0005-0000-0000-0000BB190000}"/>
    <cellStyle name="20% - Énfasis2 4 2 5" xfId="6647" xr:uid="{00000000-0005-0000-0000-0000BC190000}"/>
    <cellStyle name="20% - Énfasis2 4 2 5 2" xfId="6648" xr:uid="{00000000-0005-0000-0000-0000BD190000}"/>
    <cellStyle name="20% - Énfasis2 4 2 6" xfId="6649" xr:uid="{00000000-0005-0000-0000-0000BE190000}"/>
    <cellStyle name="20% - Énfasis2 4 3" xfId="6650" xr:uid="{00000000-0005-0000-0000-0000BF190000}"/>
    <cellStyle name="20% - Énfasis2 4 3 2" xfId="6651" xr:uid="{00000000-0005-0000-0000-0000C0190000}"/>
    <cellStyle name="20% - Énfasis2 4 3 2 2" xfId="6652" xr:uid="{00000000-0005-0000-0000-0000C1190000}"/>
    <cellStyle name="20% - Énfasis2 4 3 2 2 2" xfId="6653" xr:uid="{00000000-0005-0000-0000-0000C2190000}"/>
    <cellStyle name="20% - Énfasis2 4 3 2 3" xfId="6654" xr:uid="{00000000-0005-0000-0000-0000C3190000}"/>
    <cellStyle name="20% - Énfasis2 4 3 2 3 2" xfId="6655" xr:uid="{00000000-0005-0000-0000-0000C4190000}"/>
    <cellStyle name="20% - Énfasis2 4 3 2 4" xfId="6656" xr:uid="{00000000-0005-0000-0000-0000C5190000}"/>
    <cellStyle name="20% - Énfasis2 4 3 3" xfId="6657" xr:uid="{00000000-0005-0000-0000-0000C6190000}"/>
    <cellStyle name="20% - Énfasis2 4 3 3 2" xfId="6658" xr:uid="{00000000-0005-0000-0000-0000C7190000}"/>
    <cellStyle name="20% - Énfasis2 4 3 4" xfId="6659" xr:uid="{00000000-0005-0000-0000-0000C8190000}"/>
    <cellStyle name="20% - Énfasis2 4 3 4 2" xfId="6660" xr:uid="{00000000-0005-0000-0000-0000C9190000}"/>
    <cellStyle name="20% - Énfasis2 4 3 5" xfId="6661" xr:uid="{00000000-0005-0000-0000-0000CA190000}"/>
    <cellStyle name="20% - Énfasis2 4 4" xfId="6662" xr:uid="{00000000-0005-0000-0000-0000CB190000}"/>
    <cellStyle name="20% - Énfasis2 4 4 2" xfId="6663" xr:uid="{00000000-0005-0000-0000-0000CC190000}"/>
    <cellStyle name="20% - Énfasis2 4 4 2 2" xfId="6664" xr:uid="{00000000-0005-0000-0000-0000CD190000}"/>
    <cellStyle name="20% - Énfasis2 4 4 3" xfId="6665" xr:uid="{00000000-0005-0000-0000-0000CE190000}"/>
    <cellStyle name="20% - Énfasis2 4 4 3 2" xfId="6666" xr:uid="{00000000-0005-0000-0000-0000CF190000}"/>
    <cellStyle name="20% - Énfasis2 4 4 4" xfId="6667" xr:uid="{00000000-0005-0000-0000-0000D0190000}"/>
    <cellStyle name="20% - Énfasis2 4 5" xfId="6668" xr:uid="{00000000-0005-0000-0000-0000D1190000}"/>
    <cellStyle name="20% - Énfasis2 4 5 2" xfId="6669" xr:uid="{00000000-0005-0000-0000-0000D2190000}"/>
    <cellStyle name="20% - Énfasis2 4 6" xfId="6670" xr:uid="{00000000-0005-0000-0000-0000D3190000}"/>
    <cellStyle name="20% - Énfasis2 4 6 2" xfId="6671" xr:uid="{00000000-0005-0000-0000-0000D4190000}"/>
    <cellStyle name="20% - Énfasis2 4 7" xfId="6672" xr:uid="{00000000-0005-0000-0000-0000D5190000}"/>
    <cellStyle name="20% - Énfasis2 4 8" xfId="6673" xr:uid="{00000000-0005-0000-0000-0000D6190000}"/>
    <cellStyle name="20% - Énfasis2 5" xfId="6674" xr:uid="{00000000-0005-0000-0000-0000D7190000}"/>
    <cellStyle name="20% - Énfasis2 5 2" xfId="6675" xr:uid="{00000000-0005-0000-0000-0000D8190000}"/>
    <cellStyle name="20% - Énfasis2 5 2 2" xfId="6676" xr:uid="{00000000-0005-0000-0000-0000D9190000}"/>
    <cellStyle name="20% - Énfasis2 5 2 2 2" xfId="6677" xr:uid="{00000000-0005-0000-0000-0000DA190000}"/>
    <cellStyle name="20% - Énfasis2 5 2 2 2 2" xfId="6678" xr:uid="{00000000-0005-0000-0000-0000DB190000}"/>
    <cellStyle name="20% - Énfasis2 5 2 2 2 2 2" xfId="6679" xr:uid="{00000000-0005-0000-0000-0000DC190000}"/>
    <cellStyle name="20% - Énfasis2 5 2 2 2 3" xfId="6680" xr:uid="{00000000-0005-0000-0000-0000DD190000}"/>
    <cellStyle name="20% - Énfasis2 5 2 2 2 3 2" xfId="6681" xr:uid="{00000000-0005-0000-0000-0000DE190000}"/>
    <cellStyle name="20% - Énfasis2 5 2 2 2 4" xfId="6682" xr:uid="{00000000-0005-0000-0000-0000DF190000}"/>
    <cellStyle name="20% - Énfasis2 5 2 2 3" xfId="6683" xr:uid="{00000000-0005-0000-0000-0000E0190000}"/>
    <cellStyle name="20% - Énfasis2 5 2 2 3 2" xfId="6684" xr:uid="{00000000-0005-0000-0000-0000E1190000}"/>
    <cellStyle name="20% - Énfasis2 5 2 2 4" xfId="6685" xr:uid="{00000000-0005-0000-0000-0000E2190000}"/>
    <cellStyle name="20% - Énfasis2 5 2 2 4 2" xfId="6686" xr:uid="{00000000-0005-0000-0000-0000E3190000}"/>
    <cellStyle name="20% - Énfasis2 5 2 2 5" xfId="6687" xr:uid="{00000000-0005-0000-0000-0000E4190000}"/>
    <cellStyle name="20% - Énfasis2 5 2 3" xfId="6688" xr:uid="{00000000-0005-0000-0000-0000E5190000}"/>
    <cellStyle name="20% - Énfasis2 5 2 3 2" xfId="6689" xr:uid="{00000000-0005-0000-0000-0000E6190000}"/>
    <cellStyle name="20% - Énfasis2 5 2 3 2 2" xfId="6690" xr:uid="{00000000-0005-0000-0000-0000E7190000}"/>
    <cellStyle name="20% - Énfasis2 5 2 3 3" xfId="6691" xr:uid="{00000000-0005-0000-0000-0000E8190000}"/>
    <cellStyle name="20% - Énfasis2 5 2 3 3 2" xfId="6692" xr:uid="{00000000-0005-0000-0000-0000E9190000}"/>
    <cellStyle name="20% - Énfasis2 5 2 3 4" xfId="6693" xr:uid="{00000000-0005-0000-0000-0000EA190000}"/>
    <cellStyle name="20% - Énfasis2 5 2 4" xfId="6694" xr:uid="{00000000-0005-0000-0000-0000EB190000}"/>
    <cellStyle name="20% - Énfasis2 5 2 4 2" xfId="6695" xr:uid="{00000000-0005-0000-0000-0000EC190000}"/>
    <cellStyle name="20% - Énfasis2 5 2 5" xfId="6696" xr:uid="{00000000-0005-0000-0000-0000ED190000}"/>
    <cellStyle name="20% - Énfasis2 5 2 5 2" xfId="6697" xr:uid="{00000000-0005-0000-0000-0000EE190000}"/>
    <cellStyle name="20% - Énfasis2 5 2 6" xfId="6698" xr:uid="{00000000-0005-0000-0000-0000EF190000}"/>
    <cellStyle name="20% - Énfasis2 5 3" xfId="6699" xr:uid="{00000000-0005-0000-0000-0000F0190000}"/>
    <cellStyle name="20% - Énfasis2 5 3 2" xfId="6700" xr:uid="{00000000-0005-0000-0000-0000F1190000}"/>
    <cellStyle name="20% - Énfasis2 5 3 2 2" xfId="6701" xr:uid="{00000000-0005-0000-0000-0000F2190000}"/>
    <cellStyle name="20% - Énfasis2 5 3 2 2 2" xfId="6702" xr:uid="{00000000-0005-0000-0000-0000F3190000}"/>
    <cellStyle name="20% - Énfasis2 5 3 2 3" xfId="6703" xr:uid="{00000000-0005-0000-0000-0000F4190000}"/>
    <cellStyle name="20% - Énfasis2 5 3 2 3 2" xfId="6704" xr:uid="{00000000-0005-0000-0000-0000F5190000}"/>
    <cellStyle name="20% - Énfasis2 5 3 2 4" xfId="6705" xr:uid="{00000000-0005-0000-0000-0000F6190000}"/>
    <cellStyle name="20% - Énfasis2 5 3 3" xfId="6706" xr:uid="{00000000-0005-0000-0000-0000F7190000}"/>
    <cellStyle name="20% - Énfasis2 5 3 3 2" xfId="6707" xr:uid="{00000000-0005-0000-0000-0000F8190000}"/>
    <cellStyle name="20% - Énfasis2 5 3 4" xfId="6708" xr:uid="{00000000-0005-0000-0000-0000F9190000}"/>
    <cellStyle name="20% - Énfasis2 5 3 4 2" xfId="6709" xr:uid="{00000000-0005-0000-0000-0000FA190000}"/>
    <cellStyle name="20% - Énfasis2 5 3 5" xfId="6710" xr:uid="{00000000-0005-0000-0000-0000FB190000}"/>
    <cellStyle name="20% - Énfasis2 5 4" xfId="6711" xr:uid="{00000000-0005-0000-0000-0000FC190000}"/>
    <cellStyle name="20% - Énfasis2 5 4 2" xfId="6712" xr:uid="{00000000-0005-0000-0000-0000FD190000}"/>
    <cellStyle name="20% - Énfasis2 5 4 2 2" xfId="6713" xr:uid="{00000000-0005-0000-0000-0000FE190000}"/>
    <cellStyle name="20% - Énfasis2 5 4 3" xfId="6714" xr:uid="{00000000-0005-0000-0000-0000FF190000}"/>
    <cellStyle name="20% - Énfasis2 5 4 3 2" xfId="6715" xr:uid="{00000000-0005-0000-0000-0000001A0000}"/>
    <cellStyle name="20% - Énfasis2 5 4 4" xfId="6716" xr:uid="{00000000-0005-0000-0000-0000011A0000}"/>
    <cellStyle name="20% - Énfasis2 5 5" xfId="6717" xr:uid="{00000000-0005-0000-0000-0000021A0000}"/>
    <cellStyle name="20% - Énfasis2 5 5 2" xfId="6718" xr:uid="{00000000-0005-0000-0000-0000031A0000}"/>
    <cellStyle name="20% - Énfasis2 5 6" xfId="6719" xr:uid="{00000000-0005-0000-0000-0000041A0000}"/>
    <cellStyle name="20% - Énfasis2 5 6 2" xfId="6720" xr:uid="{00000000-0005-0000-0000-0000051A0000}"/>
    <cellStyle name="20% - Énfasis2 5 7" xfId="6721" xr:uid="{00000000-0005-0000-0000-0000061A0000}"/>
    <cellStyle name="20% - Énfasis2 6" xfId="6722" xr:uid="{00000000-0005-0000-0000-0000071A0000}"/>
    <cellStyle name="20% - Énfasis2 6 2" xfId="6723" xr:uid="{00000000-0005-0000-0000-0000081A0000}"/>
    <cellStyle name="20% - Énfasis2 6 2 2" xfId="6724" xr:uid="{00000000-0005-0000-0000-0000091A0000}"/>
    <cellStyle name="20% - Énfasis2 6 2 2 2" xfId="6725" xr:uid="{00000000-0005-0000-0000-00000A1A0000}"/>
    <cellStyle name="20% - Énfasis2 6 2 2 2 2" xfId="6726" xr:uid="{00000000-0005-0000-0000-00000B1A0000}"/>
    <cellStyle name="20% - Énfasis2 6 2 2 2 2 2" xfId="6727" xr:uid="{00000000-0005-0000-0000-00000C1A0000}"/>
    <cellStyle name="20% - Énfasis2 6 2 2 2 3" xfId="6728" xr:uid="{00000000-0005-0000-0000-00000D1A0000}"/>
    <cellStyle name="20% - Énfasis2 6 2 2 2 3 2" xfId="6729" xr:uid="{00000000-0005-0000-0000-00000E1A0000}"/>
    <cellStyle name="20% - Énfasis2 6 2 2 2 4" xfId="6730" xr:uid="{00000000-0005-0000-0000-00000F1A0000}"/>
    <cellStyle name="20% - Énfasis2 6 2 2 3" xfId="6731" xr:uid="{00000000-0005-0000-0000-0000101A0000}"/>
    <cellStyle name="20% - Énfasis2 6 2 2 3 2" xfId="6732" xr:uid="{00000000-0005-0000-0000-0000111A0000}"/>
    <cellStyle name="20% - Énfasis2 6 2 2 4" xfId="6733" xr:uid="{00000000-0005-0000-0000-0000121A0000}"/>
    <cellStyle name="20% - Énfasis2 6 2 2 4 2" xfId="6734" xr:uid="{00000000-0005-0000-0000-0000131A0000}"/>
    <cellStyle name="20% - Énfasis2 6 2 2 5" xfId="6735" xr:uid="{00000000-0005-0000-0000-0000141A0000}"/>
    <cellStyle name="20% - Énfasis2 6 2 3" xfId="6736" xr:uid="{00000000-0005-0000-0000-0000151A0000}"/>
    <cellStyle name="20% - Énfasis2 6 2 3 2" xfId="6737" xr:uid="{00000000-0005-0000-0000-0000161A0000}"/>
    <cellStyle name="20% - Énfasis2 6 2 3 2 2" xfId="6738" xr:uid="{00000000-0005-0000-0000-0000171A0000}"/>
    <cellStyle name="20% - Énfasis2 6 2 3 3" xfId="6739" xr:uid="{00000000-0005-0000-0000-0000181A0000}"/>
    <cellStyle name="20% - Énfasis2 6 2 3 3 2" xfId="6740" xr:uid="{00000000-0005-0000-0000-0000191A0000}"/>
    <cellStyle name="20% - Énfasis2 6 2 3 4" xfId="6741" xr:uid="{00000000-0005-0000-0000-00001A1A0000}"/>
    <cellStyle name="20% - Énfasis2 6 2 4" xfId="6742" xr:uid="{00000000-0005-0000-0000-00001B1A0000}"/>
    <cellStyle name="20% - Énfasis2 6 2 4 2" xfId="6743" xr:uid="{00000000-0005-0000-0000-00001C1A0000}"/>
    <cellStyle name="20% - Énfasis2 6 2 5" xfId="6744" xr:uid="{00000000-0005-0000-0000-00001D1A0000}"/>
    <cellStyle name="20% - Énfasis2 6 2 5 2" xfId="6745" xr:uid="{00000000-0005-0000-0000-00001E1A0000}"/>
    <cellStyle name="20% - Énfasis2 6 2 6" xfId="6746" xr:uid="{00000000-0005-0000-0000-00001F1A0000}"/>
    <cellStyle name="20% - Énfasis2 6 3" xfId="6747" xr:uid="{00000000-0005-0000-0000-0000201A0000}"/>
    <cellStyle name="20% - Énfasis2 6 3 2" xfId="6748" xr:uid="{00000000-0005-0000-0000-0000211A0000}"/>
    <cellStyle name="20% - Énfasis2 6 3 2 2" xfId="6749" xr:uid="{00000000-0005-0000-0000-0000221A0000}"/>
    <cellStyle name="20% - Énfasis2 6 3 2 2 2" xfId="6750" xr:uid="{00000000-0005-0000-0000-0000231A0000}"/>
    <cellStyle name="20% - Énfasis2 6 3 2 3" xfId="6751" xr:uid="{00000000-0005-0000-0000-0000241A0000}"/>
    <cellStyle name="20% - Énfasis2 6 3 2 3 2" xfId="6752" xr:uid="{00000000-0005-0000-0000-0000251A0000}"/>
    <cellStyle name="20% - Énfasis2 6 3 2 4" xfId="6753" xr:uid="{00000000-0005-0000-0000-0000261A0000}"/>
    <cellStyle name="20% - Énfasis2 6 3 3" xfId="6754" xr:uid="{00000000-0005-0000-0000-0000271A0000}"/>
    <cellStyle name="20% - Énfasis2 6 3 3 2" xfId="6755" xr:uid="{00000000-0005-0000-0000-0000281A0000}"/>
    <cellStyle name="20% - Énfasis2 6 3 4" xfId="6756" xr:uid="{00000000-0005-0000-0000-0000291A0000}"/>
    <cellStyle name="20% - Énfasis2 6 3 4 2" xfId="6757" xr:uid="{00000000-0005-0000-0000-00002A1A0000}"/>
    <cellStyle name="20% - Énfasis2 6 3 5" xfId="6758" xr:uid="{00000000-0005-0000-0000-00002B1A0000}"/>
    <cellStyle name="20% - Énfasis2 6 4" xfId="6759" xr:uid="{00000000-0005-0000-0000-00002C1A0000}"/>
    <cellStyle name="20% - Énfasis2 6 4 2" xfId="6760" xr:uid="{00000000-0005-0000-0000-00002D1A0000}"/>
    <cellStyle name="20% - Énfasis2 6 4 2 2" xfId="6761" xr:uid="{00000000-0005-0000-0000-00002E1A0000}"/>
    <cellStyle name="20% - Énfasis2 6 4 3" xfId="6762" xr:uid="{00000000-0005-0000-0000-00002F1A0000}"/>
    <cellStyle name="20% - Énfasis2 6 4 3 2" xfId="6763" xr:uid="{00000000-0005-0000-0000-0000301A0000}"/>
    <cellStyle name="20% - Énfasis2 6 4 4" xfId="6764" xr:uid="{00000000-0005-0000-0000-0000311A0000}"/>
    <cellStyle name="20% - Énfasis2 6 5" xfId="6765" xr:uid="{00000000-0005-0000-0000-0000321A0000}"/>
    <cellStyle name="20% - Énfasis2 6 5 2" xfId="6766" xr:uid="{00000000-0005-0000-0000-0000331A0000}"/>
    <cellStyle name="20% - Énfasis2 6 6" xfId="6767" xr:uid="{00000000-0005-0000-0000-0000341A0000}"/>
    <cellStyle name="20% - Énfasis2 6 6 2" xfId="6768" xr:uid="{00000000-0005-0000-0000-0000351A0000}"/>
    <cellStyle name="20% - Énfasis2 6 7" xfId="6769" xr:uid="{00000000-0005-0000-0000-0000361A0000}"/>
    <cellStyle name="20% - Énfasis2 7" xfId="6770" xr:uid="{00000000-0005-0000-0000-0000371A0000}"/>
    <cellStyle name="20% - Énfasis2 7 2" xfId="6771" xr:uid="{00000000-0005-0000-0000-0000381A0000}"/>
    <cellStyle name="20% - Énfasis2 7 2 2" xfId="6772" xr:uid="{00000000-0005-0000-0000-0000391A0000}"/>
    <cellStyle name="20% - Énfasis2 7 2 2 2" xfId="6773" xr:uid="{00000000-0005-0000-0000-00003A1A0000}"/>
    <cellStyle name="20% - Énfasis2 7 2 2 2 2" xfId="6774" xr:uid="{00000000-0005-0000-0000-00003B1A0000}"/>
    <cellStyle name="20% - Énfasis2 7 2 2 3" xfId="6775" xr:uid="{00000000-0005-0000-0000-00003C1A0000}"/>
    <cellStyle name="20% - Énfasis2 7 2 2 3 2" xfId="6776" xr:uid="{00000000-0005-0000-0000-00003D1A0000}"/>
    <cellStyle name="20% - Énfasis2 7 2 2 4" xfId="6777" xr:uid="{00000000-0005-0000-0000-00003E1A0000}"/>
    <cellStyle name="20% - Énfasis2 7 2 3" xfId="6778" xr:uid="{00000000-0005-0000-0000-00003F1A0000}"/>
    <cellStyle name="20% - Énfasis2 7 2 3 2" xfId="6779" xr:uid="{00000000-0005-0000-0000-0000401A0000}"/>
    <cellStyle name="20% - Énfasis2 7 2 4" xfId="6780" xr:uid="{00000000-0005-0000-0000-0000411A0000}"/>
    <cellStyle name="20% - Énfasis2 7 2 4 2" xfId="6781" xr:uid="{00000000-0005-0000-0000-0000421A0000}"/>
    <cellStyle name="20% - Énfasis2 7 2 5" xfId="6782" xr:uid="{00000000-0005-0000-0000-0000431A0000}"/>
    <cellStyle name="20% - Énfasis2 7 3" xfId="6783" xr:uid="{00000000-0005-0000-0000-0000441A0000}"/>
    <cellStyle name="20% - Énfasis2 7 3 2" xfId="6784" xr:uid="{00000000-0005-0000-0000-0000451A0000}"/>
    <cellStyle name="20% - Énfasis2 7 3 2 2" xfId="6785" xr:uid="{00000000-0005-0000-0000-0000461A0000}"/>
    <cellStyle name="20% - Énfasis2 7 3 3" xfId="6786" xr:uid="{00000000-0005-0000-0000-0000471A0000}"/>
    <cellStyle name="20% - Énfasis2 7 3 3 2" xfId="6787" xr:uid="{00000000-0005-0000-0000-0000481A0000}"/>
    <cellStyle name="20% - Énfasis2 7 3 4" xfId="6788" xr:uid="{00000000-0005-0000-0000-0000491A0000}"/>
    <cellStyle name="20% - Énfasis2 7 4" xfId="6789" xr:uid="{00000000-0005-0000-0000-00004A1A0000}"/>
    <cellStyle name="20% - Énfasis2 7 4 2" xfId="6790" xr:uid="{00000000-0005-0000-0000-00004B1A0000}"/>
    <cellStyle name="20% - Énfasis2 7 5" xfId="6791" xr:uid="{00000000-0005-0000-0000-00004C1A0000}"/>
    <cellStyle name="20% - Énfasis2 7 5 2" xfId="6792" xr:uid="{00000000-0005-0000-0000-00004D1A0000}"/>
    <cellStyle name="20% - Énfasis2 7 6" xfId="6793" xr:uid="{00000000-0005-0000-0000-00004E1A0000}"/>
    <cellStyle name="20% - Énfasis2 8" xfId="6794" xr:uid="{00000000-0005-0000-0000-00004F1A0000}"/>
    <cellStyle name="20% - Énfasis2 8 2" xfId="6795" xr:uid="{00000000-0005-0000-0000-0000501A0000}"/>
    <cellStyle name="20% - Énfasis2 8 2 2" xfId="6796" xr:uid="{00000000-0005-0000-0000-0000511A0000}"/>
    <cellStyle name="20% - Énfasis2 8 2 2 2" xfId="6797" xr:uid="{00000000-0005-0000-0000-0000521A0000}"/>
    <cellStyle name="20% - Énfasis2 8 2 2 2 2" xfId="6798" xr:uid="{00000000-0005-0000-0000-0000531A0000}"/>
    <cellStyle name="20% - Énfasis2 8 2 2 3" xfId="6799" xr:uid="{00000000-0005-0000-0000-0000541A0000}"/>
    <cellStyle name="20% - Énfasis2 8 2 2 3 2" xfId="6800" xr:uid="{00000000-0005-0000-0000-0000551A0000}"/>
    <cellStyle name="20% - Énfasis2 8 2 2 4" xfId="6801" xr:uid="{00000000-0005-0000-0000-0000561A0000}"/>
    <cellStyle name="20% - Énfasis2 8 2 3" xfId="6802" xr:uid="{00000000-0005-0000-0000-0000571A0000}"/>
    <cellStyle name="20% - Énfasis2 8 2 3 2" xfId="6803" xr:uid="{00000000-0005-0000-0000-0000581A0000}"/>
    <cellStyle name="20% - Énfasis2 8 2 4" xfId="6804" xr:uid="{00000000-0005-0000-0000-0000591A0000}"/>
    <cellStyle name="20% - Énfasis2 8 2 4 2" xfId="6805" xr:uid="{00000000-0005-0000-0000-00005A1A0000}"/>
    <cellStyle name="20% - Énfasis2 8 2 5" xfId="6806" xr:uid="{00000000-0005-0000-0000-00005B1A0000}"/>
    <cellStyle name="20% - Énfasis2 8 3" xfId="6807" xr:uid="{00000000-0005-0000-0000-00005C1A0000}"/>
    <cellStyle name="20% - Énfasis2 8 3 2" xfId="6808" xr:uid="{00000000-0005-0000-0000-00005D1A0000}"/>
    <cellStyle name="20% - Énfasis2 8 3 2 2" xfId="6809" xr:uid="{00000000-0005-0000-0000-00005E1A0000}"/>
    <cellStyle name="20% - Énfasis2 8 3 3" xfId="6810" xr:uid="{00000000-0005-0000-0000-00005F1A0000}"/>
    <cellStyle name="20% - Énfasis2 8 3 3 2" xfId="6811" xr:uid="{00000000-0005-0000-0000-0000601A0000}"/>
    <cellStyle name="20% - Énfasis2 8 3 4" xfId="6812" xr:uid="{00000000-0005-0000-0000-0000611A0000}"/>
    <cellStyle name="20% - Énfasis2 8 4" xfId="6813" xr:uid="{00000000-0005-0000-0000-0000621A0000}"/>
    <cellStyle name="20% - Énfasis2 8 4 2" xfId="6814" xr:uid="{00000000-0005-0000-0000-0000631A0000}"/>
    <cellStyle name="20% - Énfasis2 8 5" xfId="6815" xr:uid="{00000000-0005-0000-0000-0000641A0000}"/>
    <cellStyle name="20% - Énfasis2 8 5 2" xfId="6816" xr:uid="{00000000-0005-0000-0000-0000651A0000}"/>
    <cellStyle name="20% - Énfasis2 8 6" xfId="6817" xr:uid="{00000000-0005-0000-0000-0000661A0000}"/>
    <cellStyle name="20% - Énfasis2 9" xfId="6818" xr:uid="{00000000-0005-0000-0000-0000671A0000}"/>
    <cellStyle name="20% - Énfasis2 9 2" xfId="6819" xr:uid="{00000000-0005-0000-0000-0000681A0000}"/>
    <cellStyle name="20% - Énfasis2 9 2 2" xfId="6820" xr:uid="{00000000-0005-0000-0000-0000691A0000}"/>
    <cellStyle name="20% - Énfasis2 9 2 2 2" xfId="6821" xr:uid="{00000000-0005-0000-0000-00006A1A0000}"/>
    <cellStyle name="20% - Énfasis2 9 2 3" xfId="6822" xr:uid="{00000000-0005-0000-0000-00006B1A0000}"/>
    <cellStyle name="20% - Énfasis2 9 2 3 2" xfId="6823" xr:uid="{00000000-0005-0000-0000-00006C1A0000}"/>
    <cellStyle name="20% - Énfasis2 9 2 4" xfId="6824" xr:uid="{00000000-0005-0000-0000-00006D1A0000}"/>
    <cellStyle name="20% - Énfasis2 9 3" xfId="6825" xr:uid="{00000000-0005-0000-0000-00006E1A0000}"/>
    <cellStyle name="20% - Énfasis2 9 3 2" xfId="6826" xr:uid="{00000000-0005-0000-0000-00006F1A0000}"/>
    <cellStyle name="20% - Énfasis2 9 4" xfId="6827" xr:uid="{00000000-0005-0000-0000-0000701A0000}"/>
    <cellStyle name="20% - Énfasis2 9 4 2" xfId="6828" xr:uid="{00000000-0005-0000-0000-0000711A0000}"/>
    <cellStyle name="20% - Énfasis2 9 5" xfId="6829" xr:uid="{00000000-0005-0000-0000-0000721A0000}"/>
    <cellStyle name="20% - Énfasis3" xfId="5" builtinId="38" customBuiltin="1"/>
    <cellStyle name="20% - Énfasis3 10" xfId="6830" xr:uid="{00000000-0005-0000-0000-0000741A0000}"/>
    <cellStyle name="20% - Énfasis3 10 2" xfId="6831" xr:uid="{00000000-0005-0000-0000-0000751A0000}"/>
    <cellStyle name="20% - Énfasis3 10 2 2" xfId="6832" xr:uid="{00000000-0005-0000-0000-0000761A0000}"/>
    <cellStyle name="20% - Énfasis3 10 3" xfId="6833" xr:uid="{00000000-0005-0000-0000-0000771A0000}"/>
    <cellStyle name="20% - Énfasis3 10 3 2" xfId="6834" xr:uid="{00000000-0005-0000-0000-0000781A0000}"/>
    <cellStyle name="20% - Énfasis3 10 4" xfId="6835" xr:uid="{00000000-0005-0000-0000-0000791A0000}"/>
    <cellStyle name="20% - Énfasis3 11" xfId="6836" xr:uid="{00000000-0005-0000-0000-00007A1A0000}"/>
    <cellStyle name="20% - Énfasis3 11 2" xfId="6837" xr:uid="{00000000-0005-0000-0000-00007B1A0000}"/>
    <cellStyle name="20% - Énfasis3 12" xfId="6838" xr:uid="{00000000-0005-0000-0000-00007C1A0000}"/>
    <cellStyle name="20% - Énfasis3 12 2" xfId="6839" xr:uid="{00000000-0005-0000-0000-00007D1A0000}"/>
    <cellStyle name="20% - Énfasis3 13" xfId="6840" xr:uid="{00000000-0005-0000-0000-00007E1A0000}"/>
    <cellStyle name="20% - Énfasis3 14" xfId="6841" xr:uid="{00000000-0005-0000-0000-00007F1A0000}"/>
    <cellStyle name="20% - Énfasis3 15" xfId="6842" xr:uid="{00000000-0005-0000-0000-0000801A0000}"/>
    <cellStyle name="20% - Énfasis3 16" xfId="6843" xr:uid="{00000000-0005-0000-0000-0000811A0000}"/>
    <cellStyle name="20% - Énfasis3 2" xfId="6" xr:uid="{00000000-0005-0000-0000-0000821A0000}"/>
    <cellStyle name="20% - Énfasis3 2 10" xfId="6844" xr:uid="{00000000-0005-0000-0000-0000831A0000}"/>
    <cellStyle name="20% - Énfasis3 2 11" xfId="6845" xr:uid="{00000000-0005-0000-0000-0000841A0000}"/>
    <cellStyle name="20% - Énfasis3 2 12" xfId="6846" xr:uid="{00000000-0005-0000-0000-0000851A0000}"/>
    <cellStyle name="20% - Énfasis3 2 13" xfId="6847" xr:uid="{00000000-0005-0000-0000-0000861A0000}"/>
    <cellStyle name="20% - Énfasis3 2 14" xfId="6848" xr:uid="{00000000-0005-0000-0000-0000871A0000}"/>
    <cellStyle name="20% - Énfasis3 2 15" xfId="6849" xr:uid="{00000000-0005-0000-0000-0000881A0000}"/>
    <cellStyle name="20% - Énfasis3 2 16" xfId="6850" xr:uid="{00000000-0005-0000-0000-0000891A0000}"/>
    <cellStyle name="20% - Énfasis3 2 17" xfId="6851" xr:uid="{00000000-0005-0000-0000-00008A1A0000}"/>
    <cellStyle name="20% - Énfasis3 2 18" xfId="6852" xr:uid="{00000000-0005-0000-0000-00008B1A0000}"/>
    <cellStyle name="20% - Énfasis3 2 19" xfId="6853" xr:uid="{00000000-0005-0000-0000-00008C1A0000}"/>
    <cellStyle name="20% - Énfasis3 2 2" xfId="6854" xr:uid="{00000000-0005-0000-0000-00008D1A0000}"/>
    <cellStyle name="20% - Énfasis3 2 2 2" xfId="6855" xr:uid="{00000000-0005-0000-0000-00008E1A0000}"/>
    <cellStyle name="20% - Énfasis3 2 2 2 2" xfId="6856" xr:uid="{00000000-0005-0000-0000-00008F1A0000}"/>
    <cellStyle name="20% - Énfasis3 2 2 2 2 2" xfId="6857" xr:uid="{00000000-0005-0000-0000-0000901A0000}"/>
    <cellStyle name="20% - Énfasis3 2 2 2 2 2 2" xfId="6858" xr:uid="{00000000-0005-0000-0000-0000911A0000}"/>
    <cellStyle name="20% - Énfasis3 2 2 2 2 3" xfId="6859" xr:uid="{00000000-0005-0000-0000-0000921A0000}"/>
    <cellStyle name="20% - Énfasis3 2 2 2 2 3 2" xfId="6860" xr:uid="{00000000-0005-0000-0000-0000931A0000}"/>
    <cellStyle name="20% - Énfasis3 2 2 2 2 4" xfId="6861" xr:uid="{00000000-0005-0000-0000-0000941A0000}"/>
    <cellStyle name="20% - Énfasis3 2 2 2 3" xfId="6862" xr:uid="{00000000-0005-0000-0000-0000951A0000}"/>
    <cellStyle name="20% - Énfasis3 2 2 2 3 2" xfId="6863" xr:uid="{00000000-0005-0000-0000-0000961A0000}"/>
    <cellStyle name="20% - Énfasis3 2 2 2 4" xfId="6864" xr:uid="{00000000-0005-0000-0000-0000971A0000}"/>
    <cellStyle name="20% - Énfasis3 2 2 2 4 2" xfId="6865" xr:uid="{00000000-0005-0000-0000-0000981A0000}"/>
    <cellStyle name="20% - Énfasis3 2 2 2 5" xfId="6866" xr:uid="{00000000-0005-0000-0000-0000991A0000}"/>
    <cellStyle name="20% - Énfasis3 2 2 3" xfId="6867" xr:uid="{00000000-0005-0000-0000-00009A1A0000}"/>
    <cellStyle name="20% - Énfasis3 2 2 3 2" xfId="6868" xr:uid="{00000000-0005-0000-0000-00009B1A0000}"/>
    <cellStyle name="20% - Énfasis3 2 2 3 2 2" xfId="6869" xr:uid="{00000000-0005-0000-0000-00009C1A0000}"/>
    <cellStyle name="20% - Énfasis3 2 2 3 3" xfId="6870" xr:uid="{00000000-0005-0000-0000-00009D1A0000}"/>
    <cellStyle name="20% - Énfasis3 2 2 3 3 2" xfId="6871" xr:uid="{00000000-0005-0000-0000-00009E1A0000}"/>
    <cellStyle name="20% - Énfasis3 2 2 3 4" xfId="6872" xr:uid="{00000000-0005-0000-0000-00009F1A0000}"/>
    <cellStyle name="20% - Énfasis3 2 2 4" xfId="6873" xr:uid="{00000000-0005-0000-0000-0000A01A0000}"/>
    <cellStyle name="20% - Énfasis3 2 2 4 2" xfId="6874" xr:uid="{00000000-0005-0000-0000-0000A11A0000}"/>
    <cellStyle name="20% - Énfasis3 2 2 5" xfId="6875" xr:uid="{00000000-0005-0000-0000-0000A21A0000}"/>
    <cellStyle name="20% - Énfasis3 2 2 5 2" xfId="6876" xr:uid="{00000000-0005-0000-0000-0000A31A0000}"/>
    <cellStyle name="20% - Énfasis3 2 2 6" xfId="6877" xr:uid="{00000000-0005-0000-0000-0000A41A0000}"/>
    <cellStyle name="20% - Énfasis3 2 20" xfId="6878" xr:uid="{00000000-0005-0000-0000-0000A51A0000}"/>
    <cellStyle name="20% - Énfasis3 2 21" xfId="6879" xr:uid="{00000000-0005-0000-0000-0000A61A0000}"/>
    <cellStyle name="20% - Énfasis3 2 22" xfId="6880" xr:uid="{00000000-0005-0000-0000-0000A71A0000}"/>
    <cellStyle name="20% - Énfasis3 2 23" xfId="6881" xr:uid="{00000000-0005-0000-0000-0000A81A0000}"/>
    <cellStyle name="20% - Énfasis3 2 24" xfId="6882" xr:uid="{00000000-0005-0000-0000-0000A91A0000}"/>
    <cellStyle name="20% - Énfasis3 2 25" xfId="6883" xr:uid="{00000000-0005-0000-0000-0000AA1A0000}"/>
    <cellStyle name="20% - Énfasis3 2 26" xfId="6884" xr:uid="{00000000-0005-0000-0000-0000AB1A0000}"/>
    <cellStyle name="20% - Énfasis3 2 27" xfId="6885" xr:uid="{00000000-0005-0000-0000-0000AC1A0000}"/>
    <cellStyle name="20% - Énfasis3 2 28" xfId="6886" xr:uid="{00000000-0005-0000-0000-0000AD1A0000}"/>
    <cellStyle name="20% - Énfasis3 2 29" xfId="6887" xr:uid="{00000000-0005-0000-0000-0000AE1A0000}"/>
    <cellStyle name="20% - Énfasis3 2 3" xfId="6888" xr:uid="{00000000-0005-0000-0000-0000AF1A0000}"/>
    <cellStyle name="20% - Énfasis3 2 3 2" xfId="6889" xr:uid="{00000000-0005-0000-0000-0000B01A0000}"/>
    <cellStyle name="20% - Énfasis3 2 3 2 2" xfId="6890" xr:uid="{00000000-0005-0000-0000-0000B11A0000}"/>
    <cellStyle name="20% - Énfasis3 2 3 2 2 2" xfId="6891" xr:uid="{00000000-0005-0000-0000-0000B21A0000}"/>
    <cellStyle name="20% - Énfasis3 2 3 2 3" xfId="6892" xr:uid="{00000000-0005-0000-0000-0000B31A0000}"/>
    <cellStyle name="20% - Énfasis3 2 3 2 3 2" xfId="6893" xr:uid="{00000000-0005-0000-0000-0000B41A0000}"/>
    <cellStyle name="20% - Énfasis3 2 3 2 4" xfId="6894" xr:uid="{00000000-0005-0000-0000-0000B51A0000}"/>
    <cellStyle name="20% - Énfasis3 2 3 3" xfId="6895" xr:uid="{00000000-0005-0000-0000-0000B61A0000}"/>
    <cellStyle name="20% - Énfasis3 2 3 3 2" xfId="6896" xr:uid="{00000000-0005-0000-0000-0000B71A0000}"/>
    <cellStyle name="20% - Énfasis3 2 3 4" xfId="6897" xr:uid="{00000000-0005-0000-0000-0000B81A0000}"/>
    <cellStyle name="20% - Énfasis3 2 3 4 2" xfId="6898" xr:uid="{00000000-0005-0000-0000-0000B91A0000}"/>
    <cellStyle name="20% - Énfasis3 2 3 5" xfId="6899" xr:uid="{00000000-0005-0000-0000-0000BA1A0000}"/>
    <cellStyle name="20% - Énfasis3 2 30" xfId="6900" xr:uid="{00000000-0005-0000-0000-0000BB1A0000}"/>
    <cellStyle name="20% - Énfasis3 2 31" xfId="6901" xr:uid="{00000000-0005-0000-0000-0000BC1A0000}"/>
    <cellStyle name="20% - Énfasis3 2 32" xfId="6902" xr:uid="{00000000-0005-0000-0000-0000BD1A0000}"/>
    <cellStyle name="20% - Énfasis3 2 33" xfId="6903" xr:uid="{00000000-0005-0000-0000-0000BE1A0000}"/>
    <cellStyle name="20% - Énfasis3 2 34" xfId="6904" xr:uid="{00000000-0005-0000-0000-0000BF1A0000}"/>
    <cellStyle name="20% - Énfasis3 2 35" xfId="6905" xr:uid="{00000000-0005-0000-0000-0000C01A0000}"/>
    <cellStyle name="20% - Énfasis3 2 36" xfId="6906" xr:uid="{00000000-0005-0000-0000-0000C11A0000}"/>
    <cellStyle name="20% - Énfasis3 2 37" xfId="6907" xr:uid="{00000000-0005-0000-0000-0000C21A0000}"/>
    <cellStyle name="20% - Énfasis3 2 4" xfId="6908" xr:uid="{00000000-0005-0000-0000-0000C31A0000}"/>
    <cellStyle name="20% - Énfasis3 2 4 2" xfId="6909" xr:uid="{00000000-0005-0000-0000-0000C41A0000}"/>
    <cellStyle name="20% - Énfasis3 2 4 2 2" xfId="6910" xr:uid="{00000000-0005-0000-0000-0000C51A0000}"/>
    <cellStyle name="20% - Énfasis3 2 4 3" xfId="6911" xr:uid="{00000000-0005-0000-0000-0000C61A0000}"/>
    <cellStyle name="20% - Énfasis3 2 4 3 2" xfId="6912" xr:uid="{00000000-0005-0000-0000-0000C71A0000}"/>
    <cellStyle name="20% - Énfasis3 2 4 4" xfId="6913" xr:uid="{00000000-0005-0000-0000-0000C81A0000}"/>
    <cellStyle name="20% - Énfasis3 2 5" xfId="6914" xr:uid="{00000000-0005-0000-0000-0000C91A0000}"/>
    <cellStyle name="20% - Énfasis3 2 5 2" xfId="6915" xr:uid="{00000000-0005-0000-0000-0000CA1A0000}"/>
    <cellStyle name="20% - Énfasis3 2 6" xfId="6916" xr:uid="{00000000-0005-0000-0000-0000CB1A0000}"/>
    <cellStyle name="20% - Énfasis3 2 6 2" xfId="6917" xr:uid="{00000000-0005-0000-0000-0000CC1A0000}"/>
    <cellStyle name="20% - Énfasis3 2 7" xfId="6918" xr:uid="{00000000-0005-0000-0000-0000CD1A0000}"/>
    <cellStyle name="20% - Énfasis3 2 8" xfId="6919" xr:uid="{00000000-0005-0000-0000-0000CE1A0000}"/>
    <cellStyle name="20% - Énfasis3 2 9" xfId="6920" xr:uid="{00000000-0005-0000-0000-0000CF1A0000}"/>
    <cellStyle name="20% - Énfasis3 3" xfId="6921" xr:uid="{00000000-0005-0000-0000-0000D01A0000}"/>
    <cellStyle name="20% - Énfasis3 3 10" xfId="6922" xr:uid="{00000000-0005-0000-0000-0000D11A0000}"/>
    <cellStyle name="20% - Énfasis3 3 11" xfId="6923" xr:uid="{00000000-0005-0000-0000-0000D21A0000}"/>
    <cellStyle name="20% - Énfasis3 3 12" xfId="6924" xr:uid="{00000000-0005-0000-0000-0000D31A0000}"/>
    <cellStyle name="20% - Énfasis3 3 13" xfId="6925" xr:uid="{00000000-0005-0000-0000-0000D41A0000}"/>
    <cellStyle name="20% - Énfasis3 3 14" xfId="6926" xr:uid="{00000000-0005-0000-0000-0000D51A0000}"/>
    <cellStyle name="20% - Énfasis3 3 15" xfId="6927" xr:uid="{00000000-0005-0000-0000-0000D61A0000}"/>
    <cellStyle name="20% - Énfasis3 3 16" xfId="6928" xr:uid="{00000000-0005-0000-0000-0000D71A0000}"/>
    <cellStyle name="20% - Énfasis3 3 17" xfId="6929" xr:uid="{00000000-0005-0000-0000-0000D81A0000}"/>
    <cellStyle name="20% - Énfasis3 3 18" xfId="6930" xr:uid="{00000000-0005-0000-0000-0000D91A0000}"/>
    <cellStyle name="20% - Énfasis3 3 19" xfId="6931" xr:uid="{00000000-0005-0000-0000-0000DA1A0000}"/>
    <cellStyle name="20% - Énfasis3 3 2" xfId="6932" xr:uid="{00000000-0005-0000-0000-0000DB1A0000}"/>
    <cellStyle name="20% - Énfasis3 3 2 2" xfId="6933" xr:uid="{00000000-0005-0000-0000-0000DC1A0000}"/>
    <cellStyle name="20% - Énfasis3 3 2 2 2" xfId="6934" xr:uid="{00000000-0005-0000-0000-0000DD1A0000}"/>
    <cellStyle name="20% - Énfasis3 3 2 2 2 2" xfId="6935" xr:uid="{00000000-0005-0000-0000-0000DE1A0000}"/>
    <cellStyle name="20% - Énfasis3 3 2 2 2 2 2" xfId="6936" xr:uid="{00000000-0005-0000-0000-0000DF1A0000}"/>
    <cellStyle name="20% - Énfasis3 3 2 2 2 3" xfId="6937" xr:uid="{00000000-0005-0000-0000-0000E01A0000}"/>
    <cellStyle name="20% - Énfasis3 3 2 2 2 3 2" xfId="6938" xr:uid="{00000000-0005-0000-0000-0000E11A0000}"/>
    <cellStyle name="20% - Énfasis3 3 2 2 2 4" xfId="6939" xr:uid="{00000000-0005-0000-0000-0000E21A0000}"/>
    <cellStyle name="20% - Énfasis3 3 2 2 3" xfId="6940" xr:uid="{00000000-0005-0000-0000-0000E31A0000}"/>
    <cellStyle name="20% - Énfasis3 3 2 2 3 2" xfId="6941" xr:uid="{00000000-0005-0000-0000-0000E41A0000}"/>
    <cellStyle name="20% - Énfasis3 3 2 2 4" xfId="6942" xr:uid="{00000000-0005-0000-0000-0000E51A0000}"/>
    <cellStyle name="20% - Énfasis3 3 2 2 4 2" xfId="6943" xr:uid="{00000000-0005-0000-0000-0000E61A0000}"/>
    <cellStyle name="20% - Énfasis3 3 2 2 5" xfId="6944" xr:uid="{00000000-0005-0000-0000-0000E71A0000}"/>
    <cellStyle name="20% - Énfasis3 3 2 3" xfId="6945" xr:uid="{00000000-0005-0000-0000-0000E81A0000}"/>
    <cellStyle name="20% - Énfasis3 3 2 3 2" xfId="6946" xr:uid="{00000000-0005-0000-0000-0000E91A0000}"/>
    <cellStyle name="20% - Énfasis3 3 2 3 2 2" xfId="6947" xr:uid="{00000000-0005-0000-0000-0000EA1A0000}"/>
    <cellStyle name="20% - Énfasis3 3 2 3 3" xfId="6948" xr:uid="{00000000-0005-0000-0000-0000EB1A0000}"/>
    <cellStyle name="20% - Énfasis3 3 2 3 3 2" xfId="6949" xr:uid="{00000000-0005-0000-0000-0000EC1A0000}"/>
    <cellStyle name="20% - Énfasis3 3 2 3 4" xfId="6950" xr:uid="{00000000-0005-0000-0000-0000ED1A0000}"/>
    <cellStyle name="20% - Énfasis3 3 2 4" xfId="6951" xr:uid="{00000000-0005-0000-0000-0000EE1A0000}"/>
    <cellStyle name="20% - Énfasis3 3 2 4 2" xfId="6952" xr:uid="{00000000-0005-0000-0000-0000EF1A0000}"/>
    <cellStyle name="20% - Énfasis3 3 2 5" xfId="6953" xr:uid="{00000000-0005-0000-0000-0000F01A0000}"/>
    <cellStyle name="20% - Énfasis3 3 2 5 2" xfId="6954" xr:uid="{00000000-0005-0000-0000-0000F11A0000}"/>
    <cellStyle name="20% - Énfasis3 3 2 6" xfId="6955" xr:uid="{00000000-0005-0000-0000-0000F21A0000}"/>
    <cellStyle name="20% - Énfasis3 3 20" xfId="6956" xr:uid="{00000000-0005-0000-0000-0000F31A0000}"/>
    <cellStyle name="20% - Énfasis3 3 21" xfId="6957" xr:uid="{00000000-0005-0000-0000-0000F41A0000}"/>
    <cellStyle name="20% - Énfasis3 3 22" xfId="6958" xr:uid="{00000000-0005-0000-0000-0000F51A0000}"/>
    <cellStyle name="20% - Énfasis3 3 23" xfId="6959" xr:uid="{00000000-0005-0000-0000-0000F61A0000}"/>
    <cellStyle name="20% - Énfasis3 3 24" xfId="6960" xr:uid="{00000000-0005-0000-0000-0000F71A0000}"/>
    <cellStyle name="20% - Énfasis3 3 25" xfId="6961" xr:uid="{00000000-0005-0000-0000-0000F81A0000}"/>
    <cellStyle name="20% - Énfasis3 3 26" xfId="6962" xr:uid="{00000000-0005-0000-0000-0000F91A0000}"/>
    <cellStyle name="20% - Énfasis3 3 27" xfId="6963" xr:uid="{00000000-0005-0000-0000-0000FA1A0000}"/>
    <cellStyle name="20% - Énfasis3 3 28" xfId="6964" xr:uid="{00000000-0005-0000-0000-0000FB1A0000}"/>
    <cellStyle name="20% - Énfasis3 3 29" xfId="6965" xr:uid="{00000000-0005-0000-0000-0000FC1A0000}"/>
    <cellStyle name="20% - Énfasis3 3 3" xfId="6966" xr:uid="{00000000-0005-0000-0000-0000FD1A0000}"/>
    <cellStyle name="20% - Énfasis3 3 3 2" xfId="6967" xr:uid="{00000000-0005-0000-0000-0000FE1A0000}"/>
    <cellStyle name="20% - Énfasis3 3 3 2 2" xfId="6968" xr:uid="{00000000-0005-0000-0000-0000FF1A0000}"/>
    <cellStyle name="20% - Énfasis3 3 3 2 2 2" xfId="6969" xr:uid="{00000000-0005-0000-0000-0000001B0000}"/>
    <cellStyle name="20% - Énfasis3 3 3 2 3" xfId="6970" xr:uid="{00000000-0005-0000-0000-0000011B0000}"/>
    <cellStyle name="20% - Énfasis3 3 3 2 3 2" xfId="6971" xr:uid="{00000000-0005-0000-0000-0000021B0000}"/>
    <cellStyle name="20% - Énfasis3 3 3 2 4" xfId="6972" xr:uid="{00000000-0005-0000-0000-0000031B0000}"/>
    <cellStyle name="20% - Énfasis3 3 3 3" xfId="6973" xr:uid="{00000000-0005-0000-0000-0000041B0000}"/>
    <cellStyle name="20% - Énfasis3 3 3 3 2" xfId="6974" xr:uid="{00000000-0005-0000-0000-0000051B0000}"/>
    <cellStyle name="20% - Énfasis3 3 3 4" xfId="6975" xr:uid="{00000000-0005-0000-0000-0000061B0000}"/>
    <cellStyle name="20% - Énfasis3 3 3 4 2" xfId="6976" xr:uid="{00000000-0005-0000-0000-0000071B0000}"/>
    <cellStyle name="20% - Énfasis3 3 3 5" xfId="6977" xr:uid="{00000000-0005-0000-0000-0000081B0000}"/>
    <cellStyle name="20% - Énfasis3 3 30" xfId="6978" xr:uid="{00000000-0005-0000-0000-0000091B0000}"/>
    <cellStyle name="20% - Énfasis3 3 31" xfId="6979" xr:uid="{00000000-0005-0000-0000-00000A1B0000}"/>
    <cellStyle name="20% - Énfasis3 3 32" xfId="6980" xr:uid="{00000000-0005-0000-0000-00000B1B0000}"/>
    <cellStyle name="20% - Énfasis3 3 33" xfId="6981" xr:uid="{00000000-0005-0000-0000-00000C1B0000}"/>
    <cellStyle name="20% - Énfasis3 3 34" xfId="6982" xr:uid="{00000000-0005-0000-0000-00000D1B0000}"/>
    <cellStyle name="20% - Énfasis3 3 4" xfId="6983" xr:uid="{00000000-0005-0000-0000-00000E1B0000}"/>
    <cellStyle name="20% - Énfasis3 3 4 2" xfId="6984" xr:uid="{00000000-0005-0000-0000-00000F1B0000}"/>
    <cellStyle name="20% - Énfasis3 3 4 2 2" xfId="6985" xr:uid="{00000000-0005-0000-0000-0000101B0000}"/>
    <cellStyle name="20% - Énfasis3 3 4 3" xfId="6986" xr:uid="{00000000-0005-0000-0000-0000111B0000}"/>
    <cellStyle name="20% - Énfasis3 3 4 3 2" xfId="6987" xr:uid="{00000000-0005-0000-0000-0000121B0000}"/>
    <cellStyle name="20% - Énfasis3 3 4 4" xfId="6988" xr:uid="{00000000-0005-0000-0000-0000131B0000}"/>
    <cellStyle name="20% - Énfasis3 3 5" xfId="6989" xr:uid="{00000000-0005-0000-0000-0000141B0000}"/>
    <cellStyle name="20% - Énfasis3 3 5 2" xfId="6990" xr:uid="{00000000-0005-0000-0000-0000151B0000}"/>
    <cellStyle name="20% - Énfasis3 3 6" xfId="6991" xr:uid="{00000000-0005-0000-0000-0000161B0000}"/>
    <cellStyle name="20% - Énfasis3 3 6 2" xfId="6992" xr:uid="{00000000-0005-0000-0000-0000171B0000}"/>
    <cellStyle name="20% - Énfasis3 3 7" xfId="6993" xr:uid="{00000000-0005-0000-0000-0000181B0000}"/>
    <cellStyle name="20% - Énfasis3 3 8" xfId="6994" xr:uid="{00000000-0005-0000-0000-0000191B0000}"/>
    <cellStyle name="20% - Énfasis3 3 9" xfId="6995" xr:uid="{00000000-0005-0000-0000-00001A1B0000}"/>
    <cellStyle name="20% - Énfasis3 4" xfId="6996" xr:uid="{00000000-0005-0000-0000-00001B1B0000}"/>
    <cellStyle name="20% - Énfasis3 4 2" xfId="6997" xr:uid="{00000000-0005-0000-0000-00001C1B0000}"/>
    <cellStyle name="20% - Énfasis3 4 2 2" xfId="6998" xr:uid="{00000000-0005-0000-0000-00001D1B0000}"/>
    <cellStyle name="20% - Énfasis3 4 2 2 2" xfId="6999" xr:uid="{00000000-0005-0000-0000-00001E1B0000}"/>
    <cellStyle name="20% - Énfasis3 4 2 2 2 2" xfId="7000" xr:uid="{00000000-0005-0000-0000-00001F1B0000}"/>
    <cellStyle name="20% - Énfasis3 4 2 2 2 2 2" xfId="7001" xr:uid="{00000000-0005-0000-0000-0000201B0000}"/>
    <cellStyle name="20% - Énfasis3 4 2 2 2 3" xfId="7002" xr:uid="{00000000-0005-0000-0000-0000211B0000}"/>
    <cellStyle name="20% - Énfasis3 4 2 2 2 3 2" xfId="7003" xr:uid="{00000000-0005-0000-0000-0000221B0000}"/>
    <cellStyle name="20% - Énfasis3 4 2 2 2 4" xfId="7004" xr:uid="{00000000-0005-0000-0000-0000231B0000}"/>
    <cellStyle name="20% - Énfasis3 4 2 2 3" xfId="7005" xr:uid="{00000000-0005-0000-0000-0000241B0000}"/>
    <cellStyle name="20% - Énfasis3 4 2 2 3 2" xfId="7006" xr:uid="{00000000-0005-0000-0000-0000251B0000}"/>
    <cellStyle name="20% - Énfasis3 4 2 2 4" xfId="7007" xr:uid="{00000000-0005-0000-0000-0000261B0000}"/>
    <cellStyle name="20% - Énfasis3 4 2 2 4 2" xfId="7008" xr:uid="{00000000-0005-0000-0000-0000271B0000}"/>
    <cellStyle name="20% - Énfasis3 4 2 2 5" xfId="7009" xr:uid="{00000000-0005-0000-0000-0000281B0000}"/>
    <cellStyle name="20% - Énfasis3 4 2 3" xfId="7010" xr:uid="{00000000-0005-0000-0000-0000291B0000}"/>
    <cellStyle name="20% - Énfasis3 4 2 3 2" xfId="7011" xr:uid="{00000000-0005-0000-0000-00002A1B0000}"/>
    <cellStyle name="20% - Énfasis3 4 2 3 2 2" xfId="7012" xr:uid="{00000000-0005-0000-0000-00002B1B0000}"/>
    <cellStyle name="20% - Énfasis3 4 2 3 3" xfId="7013" xr:uid="{00000000-0005-0000-0000-00002C1B0000}"/>
    <cellStyle name="20% - Énfasis3 4 2 3 3 2" xfId="7014" xr:uid="{00000000-0005-0000-0000-00002D1B0000}"/>
    <cellStyle name="20% - Énfasis3 4 2 3 4" xfId="7015" xr:uid="{00000000-0005-0000-0000-00002E1B0000}"/>
    <cellStyle name="20% - Énfasis3 4 2 4" xfId="7016" xr:uid="{00000000-0005-0000-0000-00002F1B0000}"/>
    <cellStyle name="20% - Énfasis3 4 2 4 2" xfId="7017" xr:uid="{00000000-0005-0000-0000-0000301B0000}"/>
    <cellStyle name="20% - Énfasis3 4 2 5" xfId="7018" xr:uid="{00000000-0005-0000-0000-0000311B0000}"/>
    <cellStyle name="20% - Énfasis3 4 2 5 2" xfId="7019" xr:uid="{00000000-0005-0000-0000-0000321B0000}"/>
    <cellStyle name="20% - Énfasis3 4 2 6" xfId="7020" xr:uid="{00000000-0005-0000-0000-0000331B0000}"/>
    <cellStyle name="20% - Énfasis3 4 3" xfId="7021" xr:uid="{00000000-0005-0000-0000-0000341B0000}"/>
    <cellStyle name="20% - Énfasis3 4 3 2" xfId="7022" xr:uid="{00000000-0005-0000-0000-0000351B0000}"/>
    <cellStyle name="20% - Énfasis3 4 3 2 2" xfId="7023" xr:uid="{00000000-0005-0000-0000-0000361B0000}"/>
    <cellStyle name="20% - Énfasis3 4 3 2 2 2" xfId="7024" xr:uid="{00000000-0005-0000-0000-0000371B0000}"/>
    <cellStyle name="20% - Énfasis3 4 3 2 3" xfId="7025" xr:uid="{00000000-0005-0000-0000-0000381B0000}"/>
    <cellStyle name="20% - Énfasis3 4 3 2 3 2" xfId="7026" xr:uid="{00000000-0005-0000-0000-0000391B0000}"/>
    <cellStyle name="20% - Énfasis3 4 3 2 4" xfId="7027" xr:uid="{00000000-0005-0000-0000-00003A1B0000}"/>
    <cellStyle name="20% - Énfasis3 4 3 3" xfId="7028" xr:uid="{00000000-0005-0000-0000-00003B1B0000}"/>
    <cellStyle name="20% - Énfasis3 4 3 3 2" xfId="7029" xr:uid="{00000000-0005-0000-0000-00003C1B0000}"/>
    <cellStyle name="20% - Énfasis3 4 3 4" xfId="7030" xr:uid="{00000000-0005-0000-0000-00003D1B0000}"/>
    <cellStyle name="20% - Énfasis3 4 3 4 2" xfId="7031" xr:uid="{00000000-0005-0000-0000-00003E1B0000}"/>
    <cellStyle name="20% - Énfasis3 4 3 5" xfId="7032" xr:uid="{00000000-0005-0000-0000-00003F1B0000}"/>
    <cellStyle name="20% - Énfasis3 4 4" xfId="7033" xr:uid="{00000000-0005-0000-0000-0000401B0000}"/>
    <cellStyle name="20% - Énfasis3 4 4 2" xfId="7034" xr:uid="{00000000-0005-0000-0000-0000411B0000}"/>
    <cellStyle name="20% - Énfasis3 4 4 2 2" xfId="7035" xr:uid="{00000000-0005-0000-0000-0000421B0000}"/>
    <cellStyle name="20% - Énfasis3 4 4 3" xfId="7036" xr:uid="{00000000-0005-0000-0000-0000431B0000}"/>
    <cellStyle name="20% - Énfasis3 4 4 3 2" xfId="7037" xr:uid="{00000000-0005-0000-0000-0000441B0000}"/>
    <cellStyle name="20% - Énfasis3 4 4 4" xfId="7038" xr:uid="{00000000-0005-0000-0000-0000451B0000}"/>
    <cellStyle name="20% - Énfasis3 4 5" xfId="7039" xr:uid="{00000000-0005-0000-0000-0000461B0000}"/>
    <cellStyle name="20% - Énfasis3 4 5 2" xfId="7040" xr:uid="{00000000-0005-0000-0000-0000471B0000}"/>
    <cellStyle name="20% - Énfasis3 4 6" xfId="7041" xr:uid="{00000000-0005-0000-0000-0000481B0000}"/>
    <cellStyle name="20% - Énfasis3 4 6 2" xfId="7042" xr:uid="{00000000-0005-0000-0000-0000491B0000}"/>
    <cellStyle name="20% - Énfasis3 4 7" xfId="7043" xr:uid="{00000000-0005-0000-0000-00004A1B0000}"/>
    <cellStyle name="20% - Énfasis3 4 8" xfId="7044" xr:uid="{00000000-0005-0000-0000-00004B1B0000}"/>
    <cellStyle name="20% - Énfasis3 5" xfId="7045" xr:uid="{00000000-0005-0000-0000-00004C1B0000}"/>
    <cellStyle name="20% - Énfasis3 5 2" xfId="7046" xr:uid="{00000000-0005-0000-0000-00004D1B0000}"/>
    <cellStyle name="20% - Énfasis3 5 2 2" xfId="7047" xr:uid="{00000000-0005-0000-0000-00004E1B0000}"/>
    <cellStyle name="20% - Énfasis3 5 2 2 2" xfId="7048" xr:uid="{00000000-0005-0000-0000-00004F1B0000}"/>
    <cellStyle name="20% - Énfasis3 5 2 2 2 2" xfId="7049" xr:uid="{00000000-0005-0000-0000-0000501B0000}"/>
    <cellStyle name="20% - Énfasis3 5 2 2 2 2 2" xfId="7050" xr:uid="{00000000-0005-0000-0000-0000511B0000}"/>
    <cellStyle name="20% - Énfasis3 5 2 2 2 3" xfId="7051" xr:uid="{00000000-0005-0000-0000-0000521B0000}"/>
    <cellStyle name="20% - Énfasis3 5 2 2 2 3 2" xfId="7052" xr:uid="{00000000-0005-0000-0000-0000531B0000}"/>
    <cellStyle name="20% - Énfasis3 5 2 2 2 4" xfId="7053" xr:uid="{00000000-0005-0000-0000-0000541B0000}"/>
    <cellStyle name="20% - Énfasis3 5 2 2 3" xfId="7054" xr:uid="{00000000-0005-0000-0000-0000551B0000}"/>
    <cellStyle name="20% - Énfasis3 5 2 2 3 2" xfId="7055" xr:uid="{00000000-0005-0000-0000-0000561B0000}"/>
    <cellStyle name="20% - Énfasis3 5 2 2 4" xfId="7056" xr:uid="{00000000-0005-0000-0000-0000571B0000}"/>
    <cellStyle name="20% - Énfasis3 5 2 2 4 2" xfId="7057" xr:uid="{00000000-0005-0000-0000-0000581B0000}"/>
    <cellStyle name="20% - Énfasis3 5 2 2 5" xfId="7058" xr:uid="{00000000-0005-0000-0000-0000591B0000}"/>
    <cellStyle name="20% - Énfasis3 5 2 3" xfId="7059" xr:uid="{00000000-0005-0000-0000-00005A1B0000}"/>
    <cellStyle name="20% - Énfasis3 5 2 3 2" xfId="7060" xr:uid="{00000000-0005-0000-0000-00005B1B0000}"/>
    <cellStyle name="20% - Énfasis3 5 2 3 2 2" xfId="7061" xr:uid="{00000000-0005-0000-0000-00005C1B0000}"/>
    <cellStyle name="20% - Énfasis3 5 2 3 3" xfId="7062" xr:uid="{00000000-0005-0000-0000-00005D1B0000}"/>
    <cellStyle name="20% - Énfasis3 5 2 3 3 2" xfId="7063" xr:uid="{00000000-0005-0000-0000-00005E1B0000}"/>
    <cellStyle name="20% - Énfasis3 5 2 3 4" xfId="7064" xr:uid="{00000000-0005-0000-0000-00005F1B0000}"/>
    <cellStyle name="20% - Énfasis3 5 2 4" xfId="7065" xr:uid="{00000000-0005-0000-0000-0000601B0000}"/>
    <cellStyle name="20% - Énfasis3 5 2 4 2" xfId="7066" xr:uid="{00000000-0005-0000-0000-0000611B0000}"/>
    <cellStyle name="20% - Énfasis3 5 2 5" xfId="7067" xr:uid="{00000000-0005-0000-0000-0000621B0000}"/>
    <cellStyle name="20% - Énfasis3 5 2 5 2" xfId="7068" xr:uid="{00000000-0005-0000-0000-0000631B0000}"/>
    <cellStyle name="20% - Énfasis3 5 2 6" xfId="7069" xr:uid="{00000000-0005-0000-0000-0000641B0000}"/>
    <cellStyle name="20% - Énfasis3 5 3" xfId="7070" xr:uid="{00000000-0005-0000-0000-0000651B0000}"/>
    <cellStyle name="20% - Énfasis3 5 3 2" xfId="7071" xr:uid="{00000000-0005-0000-0000-0000661B0000}"/>
    <cellStyle name="20% - Énfasis3 5 3 2 2" xfId="7072" xr:uid="{00000000-0005-0000-0000-0000671B0000}"/>
    <cellStyle name="20% - Énfasis3 5 3 2 2 2" xfId="7073" xr:uid="{00000000-0005-0000-0000-0000681B0000}"/>
    <cellStyle name="20% - Énfasis3 5 3 2 3" xfId="7074" xr:uid="{00000000-0005-0000-0000-0000691B0000}"/>
    <cellStyle name="20% - Énfasis3 5 3 2 3 2" xfId="7075" xr:uid="{00000000-0005-0000-0000-00006A1B0000}"/>
    <cellStyle name="20% - Énfasis3 5 3 2 4" xfId="7076" xr:uid="{00000000-0005-0000-0000-00006B1B0000}"/>
    <cellStyle name="20% - Énfasis3 5 3 3" xfId="7077" xr:uid="{00000000-0005-0000-0000-00006C1B0000}"/>
    <cellStyle name="20% - Énfasis3 5 3 3 2" xfId="7078" xr:uid="{00000000-0005-0000-0000-00006D1B0000}"/>
    <cellStyle name="20% - Énfasis3 5 3 4" xfId="7079" xr:uid="{00000000-0005-0000-0000-00006E1B0000}"/>
    <cellStyle name="20% - Énfasis3 5 3 4 2" xfId="7080" xr:uid="{00000000-0005-0000-0000-00006F1B0000}"/>
    <cellStyle name="20% - Énfasis3 5 3 5" xfId="7081" xr:uid="{00000000-0005-0000-0000-0000701B0000}"/>
    <cellStyle name="20% - Énfasis3 5 4" xfId="7082" xr:uid="{00000000-0005-0000-0000-0000711B0000}"/>
    <cellStyle name="20% - Énfasis3 5 4 2" xfId="7083" xr:uid="{00000000-0005-0000-0000-0000721B0000}"/>
    <cellStyle name="20% - Énfasis3 5 4 2 2" xfId="7084" xr:uid="{00000000-0005-0000-0000-0000731B0000}"/>
    <cellStyle name="20% - Énfasis3 5 4 3" xfId="7085" xr:uid="{00000000-0005-0000-0000-0000741B0000}"/>
    <cellStyle name="20% - Énfasis3 5 4 3 2" xfId="7086" xr:uid="{00000000-0005-0000-0000-0000751B0000}"/>
    <cellStyle name="20% - Énfasis3 5 4 4" xfId="7087" xr:uid="{00000000-0005-0000-0000-0000761B0000}"/>
    <cellStyle name="20% - Énfasis3 5 5" xfId="7088" xr:uid="{00000000-0005-0000-0000-0000771B0000}"/>
    <cellStyle name="20% - Énfasis3 5 5 2" xfId="7089" xr:uid="{00000000-0005-0000-0000-0000781B0000}"/>
    <cellStyle name="20% - Énfasis3 5 6" xfId="7090" xr:uid="{00000000-0005-0000-0000-0000791B0000}"/>
    <cellStyle name="20% - Énfasis3 5 6 2" xfId="7091" xr:uid="{00000000-0005-0000-0000-00007A1B0000}"/>
    <cellStyle name="20% - Énfasis3 5 7" xfId="7092" xr:uid="{00000000-0005-0000-0000-00007B1B0000}"/>
    <cellStyle name="20% - Énfasis3 6" xfId="7093" xr:uid="{00000000-0005-0000-0000-00007C1B0000}"/>
    <cellStyle name="20% - Énfasis3 6 2" xfId="7094" xr:uid="{00000000-0005-0000-0000-00007D1B0000}"/>
    <cellStyle name="20% - Énfasis3 6 2 2" xfId="7095" xr:uid="{00000000-0005-0000-0000-00007E1B0000}"/>
    <cellStyle name="20% - Énfasis3 6 2 2 2" xfId="7096" xr:uid="{00000000-0005-0000-0000-00007F1B0000}"/>
    <cellStyle name="20% - Énfasis3 6 2 2 2 2" xfId="7097" xr:uid="{00000000-0005-0000-0000-0000801B0000}"/>
    <cellStyle name="20% - Énfasis3 6 2 2 2 2 2" xfId="7098" xr:uid="{00000000-0005-0000-0000-0000811B0000}"/>
    <cellStyle name="20% - Énfasis3 6 2 2 2 3" xfId="7099" xr:uid="{00000000-0005-0000-0000-0000821B0000}"/>
    <cellStyle name="20% - Énfasis3 6 2 2 2 3 2" xfId="7100" xr:uid="{00000000-0005-0000-0000-0000831B0000}"/>
    <cellStyle name="20% - Énfasis3 6 2 2 2 4" xfId="7101" xr:uid="{00000000-0005-0000-0000-0000841B0000}"/>
    <cellStyle name="20% - Énfasis3 6 2 2 3" xfId="7102" xr:uid="{00000000-0005-0000-0000-0000851B0000}"/>
    <cellStyle name="20% - Énfasis3 6 2 2 3 2" xfId="7103" xr:uid="{00000000-0005-0000-0000-0000861B0000}"/>
    <cellStyle name="20% - Énfasis3 6 2 2 4" xfId="7104" xr:uid="{00000000-0005-0000-0000-0000871B0000}"/>
    <cellStyle name="20% - Énfasis3 6 2 2 4 2" xfId="7105" xr:uid="{00000000-0005-0000-0000-0000881B0000}"/>
    <cellStyle name="20% - Énfasis3 6 2 2 5" xfId="7106" xr:uid="{00000000-0005-0000-0000-0000891B0000}"/>
    <cellStyle name="20% - Énfasis3 6 2 3" xfId="7107" xr:uid="{00000000-0005-0000-0000-00008A1B0000}"/>
    <cellStyle name="20% - Énfasis3 6 2 3 2" xfId="7108" xr:uid="{00000000-0005-0000-0000-00008B1B0000}"/>
    <cellStyle name="20% - Énfasis3 6 2 3 2 2" xfId="7109" xr:uid="{00000000-0005-0000-0000-00008C1B0000}"/>
    <cellStyle name="20% - Énfasis3 6 2 3 3" xfId="7110" xr:uid="{00000000-0005-0000-0000-00008D1B0000}"/>
    <cellStyle name="20% - Énfasis3 6 2 3 3 2" xfId="7111" xr:uid="{00000000-0005-0000-0000-00008E1B0000}"/>
    <cellStyle name="20% - Énfasis3 6 2 3 4" xfId="7112" xr:uid="{00000000-0005-0000-0000-00008F1B0000}"/>
    <cellStyle name="20% - Énfasis3 6 2 4" xfId="7113" xr:uid="{00000000-0005-0000-0000-0000901B0000}"/>
    <cellStyle name="20% - Énfasis3 6 2 4 2" xfId="7114" xr:uid="{00000000-0005-0000-0000-0000911B0000}"/>
    <cellStyle name="20% - Énfasis3 6 2 5" xfId="7115" xr:uid="{00000000-0005-0000-0000-0000921B0000}"/>
    <cellStyle name="20% - Énfasis3 6 2 5 2" xfId="7116" xr:uid="{00000000-0005-0000-0000-0000931B0000}"/>
    <cellStyle name="20% - Énfasis3 6 2 6" xfId="7117" xr:uid="{00000000-0005-0000-0000-0000941B0000}"/>
    <cellStyle name="20% - Énfasis3 6 3" xfId="7118" xr:uid="{00000000-0005-0000-0000-0000951B0000}"/>
    <cellStyle name="20% - Énfasis3 6 3 2" xfId="7119" xr:uid="{00000000-0005-0000-0000-0000961B0000}"/>
    <cellStyle name="20% - Énfasis3 6 3 2 2" xfId="7120" xr:uid="{00000000-0005-0000-0000-0000971B0000}"/>
    <cellStyle name="20% - Énfasis3 6 3 2 2 2" xfId="7121" xr:uid="{00000000-0005-0000-0000-0000981B0000}"/>
    <cellStyle name="20% - Énfasis3 6 3 2 3" xfId="7122" xr:uid="{00000000-0005-0000-0000-0000991B0000}"/>
    <cellStyle name="20% - Énfasis3 6 3 2 3 2" xfId="7123" xr:uid="{00000000-0005-0000-0000-00009A1B0000}"/>
    <cellStyle name="20% - Énfasis3 6 3 2 4" xfId="7124" xr:uid="{00000000-0005-0000-0000-00009B1B0000}"/>
    <cellStyle name="20% - Énfasis3 6 3 3" xfId="7125" xr:uid="{00000000-0005-0000-0000-00009C1B0000}"/>
    <cellStyle name="20% - Énfasis3 6 3 3 2" xfId="7126" xr:uid="{00000000-0005-0000-0000-00009D1B0000}"/>
    <cellStyle name="20% - Énfasis3 6 3 4" xfId="7127" xr:uid="{00000000-0005-0000-0000-00009E1B0000}"/>
    <cellStyle name="20% - Énfasis3 6 3 4 2" xfId="7128" xr:uid="{00000000-0005-0000-0000-00009F1B0000}"/>
    <cellStyle name="20% - Énfasis3 6 3 5" xfId="7129" xr:uid="{00000000-0005-0000-0000-0000A01B0000}"/>
    <cellStyle name="20% - Énfasis3 6 4" xfId="7130" xr:uid="{00000000-0005-0000-0000-0000A11B0000}"/>
    <cellStyle name="20% - Énfasis3 6 4 2" xfId="7131" xr:uid="{00000000-0005-0000-0000-0000A21B0000}"/>
    <cellStyle name="20% - Énfasis3 6 4 2 2" xfId="7132" xr:uid="{00000000-0005-0000-0000-0000A31B0000}"/>
    <cellStyle name="20% - Énfasis3 6 4 3" xfId="7133" xr:uid="{00000000-0005-0000-0000-0000A41B0000}"/>
    <cellStyle name="20% - Énfasis3 6 4 3 2" xfId="7134" xr:uid="{00000000-0005-0000-0000-0000A51B0000}"/>
    <cellStyle name="20% - Énfasis3 6 4 4" xfId="7135" xr:uid="{00000000-0005-0000-0000-0000A61B0000}"/>
    <cellStyle name="20% - Énfasis3 6 5" xfId="7136" xr:uid="{00000000-0005-0000-0000-0000A71B0000}"/>
    <cellStyle name="20% - Énfasis3 6 5 2" xfId="7137" xr:uid="{00000000-0005-0000-0000-0000A81B0000}"/>
    <cellStyle name="20% - Énfasis3 6 6" xfId="7138" xr:uid="{00000000-0005-0000-0000-0000A91B0000}"/>
    <cellStyle name="20% - Énfasis3 6 6 2" xfId="7139" xr:uid="{00000000-0005-0000-0000-0000AA1B0000}"/>
    <cellStyle name="20% - Énfasis3 6 7" xfId="7140" xr:uid="{00000000-0005-0000-0000-0000AB1B0000}"/>
    <cellStyle name="20% - Énfasis3 7" xfId="7141" xr:uid="{00000000-0005-0000-0000-0000AC1B0000}"/>
    <cellStyle name="20% - Énfasis3 7 2" xfId="7142" xr:uid="{00000000-0005-0000-0000-0000AD1B0000}"/>
    <cellStyle name="20% - Énfasis3 7 2 2" xfId="7143" xr:uid="{00000000-0005-0000-0000-0000AE1B0000}"/>
    <cellStyle name="20% - Énfasis3 7 2 2 2" xfId="7144" xr:uid="{00000000-0005-0000-0000-0000AF1B0000}"/>
    <cellStyle name="20% - Énfasis3 7 2 2 2 2" xfId="7145" xr:uid="{00000000-0005-0000-0000-0000B01B0000}"/>
    <cellStyle name="20% - Énfasis3 7 2 2 3" xfId="7146" xr:uid="{00000000-0005-0000-0000-0000B11B0000}"/>
    <cellStyle name="20% - Énfasis3 7 2 2 3 2" xfId="7147" xr:uid="{00000000-0005-0000-0000-0000B21B0000}"/>
    <cellStyle name="20% - Énfasis3 7 2 2 4" xfId="7148" xr:uid="{00000000-0005-0000-0000-0000B31B0000}"/>
    <cellStyle name="20% - Énfasis3 7 2 3" xfId="7149" xr:uid="{00000000-0005-0000-0000-0000B41B0000}"/>
    <cellStyle name="20% - Énfasis3 7 2 3 2" xfId="7150" xr:uid="{00000000-0005-0000-0000-0000B51B0000}"/>
    <cellStyle name="20% - Énfasis3 7 2 4" xfId="7151" xr:uid="{00000000-0005-0000-0000-0000B61B0000}"/>
    <cellStyle name="20% - Énfasis3 7 2 4 2" xfId="7152" xr:uid="{00000000-0005-0000-0000-0000B71B0000}"/>
    <cellStyle name="20% - Énfasis3 7 2 5" xfId="7153" xr:uid="{00000000-0005-0000-0000-0000B81B0000}"/>
    <cellStyle name="20% - Énfasis3 7 3" xfId="7154" xr:uid="{00000000-0005-0000-0000-0000B91B0000}"/>
    <cellStyle name="20% - Énfasis3 7 3 2" xfId="7155" xr:uid="{00000000-0005-0000-0000-0000BA1B0000}"/>
    <cellStyle name="20% - Énfasis3 7 3 2 2" xfId="7156" xr:uid="{00000000-0005-0000-0000-0000BB1B0000}"/>
    <cellStyle name="20% - Énfasis3 7 3 3" xfId="7157" xr:uid="{00000000-0005-0000-0000-0000BC1B0000}"/>
    <cellStyle name="20% - Énfasis3 7 3 3 2" xfId="7158" xr:uid="{00000000-0005-0000-0000-0000BD1B0000}"/>
    <cellStyle name="20% - Énfasis3 7 3 4" xfId="7159" xr:uid="{00000000-0005-0000-0000-0000BE1B0000}"/>
    <cellStyle name="20% - Énfasis3 7 4" xfId="7160" xr:uid="{00000000-0005-0000-0000-0000BF1B0000}"/>
    <cellStyle name="20% - Énfasis3 7 4 2" xfId="7161" xr:uid="{00000000-0005-0000-0000-0000C01B0000}"/>
    <cellStyle name="20% - Énfasis3 7 5" xfId="7162" xr:uid="{00000000-0005-0000-0000-0000C11B0000}"/>
    <cellStyle name="20% - Énfasis3 7 5 2" xfId="7163" xr:uid="{00000000-0005-0000-0000-0000C21B0000}"/>
    <cellStyle name="20% - Énfasis3 7 6" xfId="7164" xr:uid="{00000000-0005-0000-0000-0000C31B0000}"/>
    <cellStyle name="20% - Énfasis3 8" xfId="7165" xr:uid="{00000000-0005-0000-0000-0000C41B0000}"/>
    <cellStyle name="20% - Énfasis3 8 2" xfId="7166" xr:uid="{00000000-0005-0000-0000-0000C51B0000}"/>
    <cellStyle name="20% - Énfasis3 8 2 2" xfId="7167" xr:uid="{00000000-0005-0000-0000-0000C61B0000}"/>
    <cellStyle name="20% - Énfasis3 8 2 2 2" xfId="7168" xr:uid="{00000000-0005-0000-0000-0000C71B0000}"/>
    <cellStyle name="20% - Énfasis3 8 2 2 2 2" xfId="7169" xr:uid="{00000000-0005-0000-0000-0000C81B0000}"/>
    <cellStyle name="20% - Énfasis3 8 2 2 3" xfId="7170" xr:uid="{00000000-0005-0000-0000-0000C91B0000}"/>
    <cellStyle name="20% - Énfasis3 8 2 2 3 2" xfId="7171" xr:uid="{00000000-0005-0000-0000-0000CA1B0000}"/>
    <cellStyle name="20% - Énfasis3 8 2 2 4" xfId="7172" xr:uid="{00000000-0005-0000-0000-0000CB1B0000}"/>
    <cellStyle name="20% - Énfasis3 8 2 3" xfId="7173" xr:uid="{00000000-0005-0000-0000-0000CC1B0000}"/>
    <cellStyle name="20% - Énfasis3 8 2 3 2" xfId="7174" xr:uid="{00000000-0005-0000-0000-0000CD1B0000}"/>
    <cellStyle name="20% - Énfasis3 8 2 4" xfId="7175" xr:uid="{00000000-0005-0000-0000-0000CE1B0000}"/>
    <cellStyle name="20% - Énfasis3 8 2 4 2" xfId="7176" xr:uid="{00000000-0005-0000-0000-0000CF1B0000}"/>
    <cellStyle name="20% - Énfasis3 8 2 5" xfId="7177" xr:uid="{00000000-0005-0000-0000-0000D01B0000}"/>
    <cellStyle name="20% - Énfasis3 8 3" xfId="7178" xr:uid="{00000000-0005-0000-0000-0000D11B0000}"/>
    <cellStyle name="20% - Énfasis3 8 3 2" xfId="7179" xr:uid="{00000000-0005-0000-0000-0000D21B0000}"/>
    <cellStyle name="20% - Énfasis3 8 3 2 2" xfId="7180" xr:uid="{00000000-0005-0000-0000-0000D31B0000}"/>
    <cellStyle name="20% - Énfasis3 8 3 3" xfId="7181" xr:uid="{00000000-0005-0000-0000-0000D41B0000}"/>
    <cellStyle name="20% - Énfasis3 8 3 3 2" xfId="7182" xr:uid="{00000000-0005-0000-0000-0000D51B0000}"/>
    <cellStyle name="20% - Énfasis3 8 3 4" xfId="7183" xr:uid="{00000000-0005-0000-0000-0000D61B0000}"/>
    <cellStyle name="20% - Énfasis3 8 4" xfId="7184" xr:uid="{00000000-0005-0000-0000-0000D71B0000}"/>
    <cellStyle name="20% - Énfasis3 8 4 2" xfId="7185" xr:uid="{00000000-0005-0000-0000-0000D81B0000}"/>
    <cellStyle name="20% - Énfasis3 8 5" xfId="7186" xr:uid="{00000000-0005-0000-0000-0000D91B0000}"/>
    <cellStyle name="20% - Énfasis3 8 5 2" xfId="7187" xr:uid="{00000000-0005-0000-0000-0000DA1B0000}"/>
    <cellStyle name="20% - Énfasis3 8 6" xfId="7188" xr:uid="{00000000-0005-0000-0000-0000DB1B0000}"/>
    <cellStyle name="20% - Énfasis3 9" xfId="7189" xr:uid="{00000000-0005-0000-0000-0000DC1B0000}"/>
    <cellStyle name="20% - Énfasis3 9 2" xfId="7190" xr:uid="{00000000-0005-0000-0000-0000DD1B0000}"/>
    <cellStyle name="20% - Énfasis3 9 2 2" xfId="7191" xr:uid="{00000000-0005-0000-0000-0000DE1B0000}"/>
    <cellStyle name="20% - Énfasis3 9 2 2 2" xfId="7192" xr:uid="{00000000-0005-0000-0000-0000DF1B0000}"/>
    <cellStyle name="20% - Énfasis3 9 2 3" xfId="7193" xr:uid="{00000000-0005-0000-0000-0000E01B0000}"/>
    <cellStyle name="20% - Énfasis3 9 2 3 2" xfId="7194" xr:uid="{00000000-0005-0000-0000-0000E11B0000}"/>
    <cellStyle name="20% - Énfasis3 9 2 4" xfId="7195" xr:uid="{00000000-0005-0000-0000-0000E21B0000}"/>
    <cellStyle name="20% - Énfasis3 9 3" xfId="7196" xr:uid="{00000000-0005-0000-0000-0000E31B0000}"/>
    <cellStyle name="20% - Énfasis3 9 3 2" xfId="7197" xr:uid="{00000000-0005-0000-0000-0000E41B0000}"/>
    <cellStyle name="20% - Énfasis3 9 4" xfId="7198" xr:uid="{00000000-0005-0000-0000-0000E51B0000}"/>
    <cellStyle name="20% - Énfasis3 9 4 2" xfId="7199" xr:uid="{00000000-0005-0000-0000-0000E61B0000}"/>
    <cellStyle name="20% - Énfasis3 9 5" xfId="7200" xr:uid="{00000000-0005-0000-0000-0000E71B0000}"/>
    <cellStyle name="20% - Énfasis4" xfId="7" builtinId="42" customBuiltin="1"/>
    <cellStyle name="20% - Énfasis4 10" xfId="7201" xr:uid="{00000000-0005-0000-0000-0000E91B0000}"/>
    <cellStyle name="20% - Énfasis4 10 2" xfId="7202" xr:uid="{00000000-0005-0000-0000-0000EA1B0000}"/>
    <cellStyle name="20% - Énfasis4 10 2 2" xfId="7203" xr:uid="{00000000-0005-0000-0000-0000EB1B0000}"/>
    <cellStyle name="20% - Énfasis4 10 3" xfId="7204" xr:uid="{00000000-0005-0000-0000-0000EC1B0000}"/>
    <cellStyle name="20% - Énfasis4 10 3 2" xfId="7205" xr:uid="{00000000-0005-0000-0000-0000ED1B0000}"/>
    <cellStyle name="20% - Énfasis4 10 4" xfId="7206" xr:uid="{00000000-0005-0000-0000-0000EE1B0000}"/>
    <cellStyle name="20% - Énfasis4 11" xfId="7207" xr:uid="{00000000-0005-0000-0000-0000EF1B0000}"/>
    <cellStyle name="20% - Énfasis4 11 2" xfId="7208" xr:uid="{00000000-0005-0000-0000-0000F01B0000}"/>
    <cellStyle name="20% - Énfasis4 12" xfId="7209" xr:uid="{00000000-0005-0000-0000-0000F11B0000}"/>
    <cellStyle name="20% - Énfasis4 12 2" xfId="7210" xr:uid="{00000000-0005-0000-0000-0000F21B0000}"/>
    <cellStyle name="20% - Énfasis4 13" xfId="7211" xr:uid="{00000000-0005-0000-0000-0000F31B0000}"/>
    <cellStyle name="20% - Énfasis4 14" xfId="7212" xr:uid="{00000000-0005-0000-0000-0000F41B0000}"/>
    <cellStyle name="20% - Énfasis4 15" xfId="7213" xr:uid="{00000000-0005-0000-0000-0000F51B0000}"/>
    <cellStyle name="20% - Énfasis4 16" xfId="7214" xr:uid="{00000000-0005-0000-0000-0000F61B0000}"/>
    <cellStyle name="20% - Énfasis4 2" xfId="8" xr:uid="{00000000-0005-0000-0000-0000F71B0000}"/>
    <cellStyle name="20% - Énfasis4 2 10" xfId="7215" xr:uid="{00000000-0005-0000-0000-0000F81B0000}"/>
    <cellStyle name="20% - Énfasis4 2 11" xfId="7216" xr:uid="{00000000-0005-0000-0000-0000F91B0000}"/>
    <cellStyle name="20% - Énfasis4 2 12" xfId="7217" xr:uid="{00000000-0005-0000-0000-0000FA1B0000}"/>
    <cellStyle name="20% - Énfasis4 2 13" xfId="7218" xr:uid="{00000000-0005-0000-0000-0000FB1B0000}"/>
    <cellStyle name="20% - Énfasis4 2 14" xfId="7219" xr:uid="{00000000-0005-0000-0000-0000FC1B0000}"/>
    <cellStyle name="20% - Énfasis4 2 15" xfId="7220" xr:uid="{00000000-0005-0000-0000-0000FD1B0000}"/>
    <cellStyle name="20% - Énfasis4 2 16" xfId="7221" xr:uid="{00000000-0005-0000-0000-0000FE1B0000}"/>
    <cellStyle name="20% - Énfasis4 2 17" xfId="7222" xr:uid="{00000000-0005-0000-0000-0000FF1B0000}"/>
    <cellStyle name="20% - Énfasis4 2 18" xfId="7223" xr:uid="{00000000-0005-0000-0000-0000001C0000}"/>
    <cellStyle name="20% - Énfasis4 2 19" xfId="7224" xr:uid="{00000000-0005-0000-0000-0000011C0000}"/>
    <cellStyle name="20% - Énfasis4 2 2" xfId="7225" xr:uid="{00000000-0005-0000-0000-0000021C0000}"/>
    <cellStyle name="20% - Énfasis4 2 2 2" xfId="7226" xr:uid="{00000000-0005-0000-0000-0000031C0000}"/>
    <cellStyle name="20% - Énfasis4 2 2 2 2" xfId="7227" xr:uid="{00000000-0005-0000-0000-0000041C0000}"/>
    <cellStyle name="20% - Énfasis4 2 2 2 2 2" xfId="7228" xr:uid="{00000000-0005-0000-0000-0000051C0000}"/>
    <cellStyle name="20% - Énfasis4 2 2 2 2 2 2" xfId="7229" xr:uid="{00000000-0005-0000-0000-0000061C0000}"/>
    <cellStyle name="20% - Énfasis4 2 2 2 2 3" xfId="7230" xr:uid="{00000000-0005-0000-0000-0000071C0000}"/>
    <cellStyle name="20% - Énfasis4 2 2 2 2 3 2" xfId="7231" xr:uid="{00000000-0005-0000-0000-0000081C0000}"/>
    <cellStyle name="20% - Énfasis4 2 2 2 2 4" xfId="7232" xr:uid="{00000000-0005-0000-0000-0000091C0000}"/>
    <cellStyle name="20% - Énfasis4 2 2 2 3" xfId="7233" xr:uid="{00000000-0005-0000-0000-00000A1C0000}"/>
    <cellStyle name="20% - Énfasis4 2 2 2 3 2" xfId="7234" xr:uid="{00000000-0005-0000-0000-00000B1C0000}"/>
    <cellStyle name="20% - Énfasis4 2 2 2 4" xfId="7235" xr:uid="{00000000-0005-0000-0000-00000C1C0000}"/>
    <cellStyle name="20% - Énfasis4 2 2 2 4 2" xfId="7236" xr:uid="{00000000-0005-0000-0000-00000D1C0000}"/>
    <cellStyle name="20% - Énfasis4 2 2 2 5" xfId="7237" xr:uid="{00000000-0005-0000-0000-00000E1C0000}"/>
    <cellStyle name="20% - Énfasis4 2 2 3" xfId="7238" xr:uid="{00000000-0005-0000-0000-00000F1C0000}"/>
    <cellStyle name="20% - Énfasis4 2 2 3 2" xfId="7239" xr:uid="{00000000-0005-0000-0000-0000101C0000}"/>
    <cellStyle name="20% - Énfasis4 2 2 3 2 2" xfId="7240" xr:uid="{00000000-0005-0000-0000-0000111C0000}"/>
    <cellStyle name="20% - Énfasis4 2 2 3 3" xfId="7241" xr:uid="{00000000-0005-0000-0000-0000121C0000}"/>
    <cellStyle name="20% - Énfasis4 2 2 3 3 2" xfId="7242" xr:uid="{00000000-0005-0000-0000-0000131C0000}"/>
    <cellStyle name="20% - Énfasis4 2 2 3 4" xfId="7243" xr:uid="{00000000-0005-0000-0000-0000141C0000}"/>
    <cellStyle name="20% - Énfasis4 2 2 4" xfId="7244" xr:uid="{00000000-0005-0000-0000-0000151C0000}"/>
    <cellStyle name="20% - Énfasis4 2 2 4 2" xfId="7245" xr:uid="{00000000-0005-0000-0000-0000161C0000}"/>
    <cellStyle name="20% - Énfasis4 2 2 5" xfId="7246" xr:uid="{00000000-0005-0000-0000-0000171C0000}"/>
    <cellStyle name="20% - Énfasis4 2 2 5 2" xfId="7247" xr:uid="{00000000-0005-0000-0000-0000181C0000}"/>
    <cellStyle name="20% - Énfasis4 2 2 6" xfId="7248" xr:uid="{00000000-0005-0000-0000-0000191C0000}"/>
    <cellStyle name="20% - Énfasis4 2 20" xfId="7249" xr:uid="{00000000-0005-0000-0000-00001A1C0000}"/>
    <cellStyle name="20% - Énfasis4 2 21" xfId="7250" xr:uid="{00000000-0005-0000-0000-00001B1C0000}"/>
    <cellStyle name="20% - Énfasis4 2 22" xfId="7251" xr:uid="{00000000-0005-0000-0000-00001C1C0000}"/>
    <cellStyle name="20% - Énfasis4 2 23" xfId="7252" xr:uid="{00000000-0005-0000-0000-00001D1C0000}"/>
    <cellStyle name="20% - Énfasis4 2 24" xfId="7253" xr:uid="{00000000-0005-0000-0000-00001E1C0000}"/>
    <cellStyle name="20% - Énfasis4 2 25" xfId="7254" xr:uid="{00000000-0005-0000-0000-00001F1C0000}"/>
    <cellStyle name="20% - Énfasis4 2 26" xfId="7255" xr:uid="{00000000-0005-0000-0000-0000201C0000}"/>
    <cellStyle name="20% - Énfasis4 2 27" xfId="7256" xr:uid="{00000000-0005-0000-0000-0000211C0000}"/>
    <cellStyle name="20% - Énfasis4 2 28" xfId="7257" xr:uid="{00000000-0005-0000-0000-0000221C0000}"/>
    <cellStyle name="20% - Énfasis4 2 29" xfId="7258" xr:uid="{00000000-0005-0000-0000-0000231C0000}"/>
    <cellStyle name="20% - Énfasis4 2 3" xfId="7259" xr:uid="{00000000-0005-0000-0000-0000241C0000}"/>
    <cellStyle name="20% - Énfasis4 2 3 2" xfId="7260" xr:uid="{00000000-0005-0000-0000-0000251C0000}"/>
    <cellStyle name="20% - Énfasis4 2 3 2 2" xfId="7261" xr:uid="{00000000-0005-0000-0000-0000261C0000}"/>
    <cellStyle name="20% - Énfasis4 2 3 2 2 2" xfId="7262" xr:uid="{00000000-0005-0000-0000-0000271C0000}"/>
    <cellStyle name="20% - Énfasis4 2 3 2 3" xfId="7263" xr:uid="{00000000-0005-0000-0000-0000281C0000}"/>
    <cellStyle name="20% - Énfasis4 2 3 2 3 2" xfId="7264" xr:uid="{00000000-0005-0000-0000-0000291C0000}"/>
    <cellStyle name="20% - Énfasis4 2 3 2 4" xfId="7265" xr:uid="{00000000-0005-0000-0000-00002A1C0000}"/>
    <cellStyle name="20% - Énfasis4 2 3 3" xfId="7266" xr:uid="{00000000-0005-0000-0000-00002B1C0000}"/>
    <cellStyle name="20% - Énfasis4 2 3 3 2" xfId="7267" xr:uid="{00000000-0005-0000-0000-00002C1C0000}"/>
    <cellStyle name="20% - Énfasis4 2 3 4" xfId="7268" xr:uid="{00000000-0005-0000-0000-00002D1C0000}"/>
    <cellStyle name="20% - Énfasis4 2 3 4 2" xfId="7269" xr:uid="{00000000-0005-0000-0000-00002E1C0000}"/>
    <cellStyle name="20% - Énfasis4 2 3 5" xfId="7270" xr:uid="{00000000-0005-0000-0000-00002F1C0000}"/>
    <cellStyle name="20% - Énfasis4 2 30" xfId="7271" xr:uid="{00000000-0005-0000-0000-0000301C0000}"/>
    <cellStyle name="20% - Énfasis4 2 31" xfId="7272" xr:uid="{00000000-0005-0000-0000-0000311C0000}"/>
    <cellStyle name="20% - Énfasis4 2 32" xfId="7273" xr:uid="{00000000-0005-0000-0000-0000321C0000}"/>
    <cellStyle name="20% - Énfasis4 2 33" xfId="7274" xr:uid="{00000000-0005-0000-0000-0000331C0000}"/>
    <cellStyle name="20% - Énfasis4 2 34" xfId="7275" xr:uid="{00000000-0005-0000-0000-0000341C0000}"/>
    <cellStyle name="20% - Énfasis4 2 35" xfId="7276" xr:uid="{00000000-0005-0000-0000-0000351C0000}"/>
    <cellStyle name="20% - Énfasis4 2 36" xfId="7277" xr:uid="{00000000-0005-0000-0000-0000361C0000}"/>
    <cellStyle name="20% - Énfasis4 2 37" xfId="7278" xr:uid="{00000000-0005-0000-0000-0000371C0000}"/>
    <cellStyle name="20% - Énfasis4 2 4" xfId="7279" xr:uid="{00000000-0005-0000-0000-0000381C0000}"/>
    <cellStyle name="20% - Énfasis4 2 4 2" xfId="7280" xr:uid="{00000000-0005-0000-0000-0000391C0000}"/>
    <cellStyle name="20% - Énfasis4 2 4 2 2" xfId="7281" xr:uid="{00000000-0005-0000-0000-00003A1C0000}"/>
    <cellStyle name="20% - Énfasis4 2 4 3" xfId="7282" xr:uid="{00000000-0005-0000-0000-00003B1C0000}"/>
    <cellStyle name="20% - Énfasis4 2 4 3 2" xfId="7283" xr:uid="{00000000-0005-0000-0000-00003C1C0000}"/>
    <cellStyle name="20% - Énfasis4 2 4 4" xfId="7284" xr:uid="{00000000-0005-0000-0000-00003D1C0000}"/>
    <cellStyle name="20% - Énfasis4 2 5" xfId="7285" xr:uid="{00000000-0005-0000-0000-00003E1C0000}"/>
    <cellStyle name="20% - Énfasis4 2 5 2" xfId="7286" xr:uid="{00000000-0005-0000-0000-00003F1C0000}"/>
    <cellStyle name="20% - Énfasis4 2 6" xfId="7287" xr:uid="{00000000-0005-0000-0000-0000401C0000}"/>
    <cellStyle name="20% - Énfasis4 2 6 2" xfId="7288" xr:uid="{00000000-0005-0000-0000-0000411C0000}"/>
    <cellStyle name="20% - Énfasis4 2 7" xfId="7289" xr:uid="{00000000-0005-0000-0000-0000421C0000}"/>
    <cellStyle name="20% - Énfasis4 2 8" xfId="7290" xr:uid="{00000000-0005-0000-0000-0000431C0000}"/>
    <cellStyle name="20% - Énfasis4 2 9" xfId="7291" xr:uid="{00000000-0005-0000-0000-0000441C0000}"/>
    <cellStyle name="20% - Énfasis4 3" xfId="7292" xr:uid="{00000000-0005-0000-0000-0000451C0000}"/>
    <cellStyle name="20% - Énfasis4 3 10" xfId="7293" xr:uid="{00000000-0005-0000-0000-0000461C0000}"/>
    <cellStyle name="20% - Énfasis4 3 11" xfId="7294" xr:uid="{00000000-0005-0000-0000-0000471C0000}"/>
    <cellStyle name="20% - Énfasis4 3 12" xfId="7295" xr:uid="{00000000-0005-0000-0000-0000481C0000}"/>
    <cellStyle name="20% - Énfasis4 3 13" xfId="7296" xr:uid="{00000000-0005-0000-0000-0000491C0000}"/>
    <cellStyle name="20% - Énfasis4 3 14" xfId="7297" xr:uid="{00000000-0005-0000-0000-00004A1C0000}"/>
    <cellStyle name="20% - Énfasis4 3 15" xfId="7298" xr:uid="{00000000-0005-0000-0000-00004B1C0000}"/>
    <cellStyle name="20% - Énfasis4 3 16" xfId="7299" xr:uid="{00000000-0005-0000-0000-00004C1C0000}"/>
    <cellStyle name="20% - Énfasis4 3 17" xfId="7300" xr:uid="{00000000-0005-0000-0000-00004D1C0000}"/>
    <cellStyle name="20% - Énfasis4 3 18" xfId="7301" xr:uid="{00000000-0005-0000-0000-00004E1C0000}"/>
    <cellStyle name="20% - Énfasis4 3 19" xfId="7302" xr:uid="{00000000-0005-0000-0000-00004F1C0000}"/>
    <cellStyle name="20% - Énfasis4 3 2" xfId="7303" xr:uid="{00000000-0005-0000-0000-0000501C0000}"/>
    <cellStyle name="20% - Énfasis4 3 2 2" xfId="7304" xr:uid="{00000000-0005-0000-0000-0000511C0000}"/>
    <cellStyle name="20% - Énfasis4 3 2 2 2" xfId="7305" xr:uid="{00000000-0005-0000-0000-0000521C0000}"/>
    <cellStyle name="20% - Énfasis4 3 2 2 2 2" xfId="7306" xr:uid="{00000000-0005-0000-0000-0000531C0000}"/>
    <cellStyle name="20% - Énfasis4 3 2 2 2 2 2" xfId="7307" xr:uid="{00000000-0005-0000-0000-0000541C0000}"/>
    <cellStyle name="20% - Énfasis4 3 2 2 2 3" xfId="7308" xr:uid="{00000000-0005-0000-0000-0000551C0000}"/>
    <cellStyle name="20% - Énfasis4 3 2 2 2 3 2" xfId="7309" xr:uid="{00000000-0005-0000-0000-0000561C0000}"/>
    <cellStyle name="20% - Énfasis4 3 2 2 2 4" xfId="7310" xr:uid="{00000000-0005-0000-0000-0000571C0000}"/>
    <cellStyle name="20% - Énfasis4 3 2 2 3" xfId="7311" xr:uid="{00000000-0005-0000-0000-0000581C0000}"/>
    <cellStyle name="20% - Énfasis4 3 2 2 3 2" xfId="7312" xr:uid="{00000000-0005-0000-0000-0000591C0000}"/>
    <cellStyle name="20% - Énfasis4 3 2 2 4" xfId="7313" xr:uid="{00000000-0005-0000-0000-00005A1C0000}"/>
    <cellStyle name="20% - Énfasis4 3 2 2 4 2" xfId="7314" xr:uid="{00000000-0005-0000-0000-00005B1C0000}"/>
    <cellStyle name="20% - Énfasis4 3 2 2 5" xfId="7315" xr:uid="{00000000-0005-0000-0000-00005C1C0000}"/>
    <cellStyle name="20% - Énfasis4 3 2 3" xfId="7316" xr:uid="{00000000-0005-0000-0000-00005D1C0000}"/>
    <cellStyle name="20% - Énfasis4 3 2 3 2" xfId="7317" xr:uid="{00000000-0005-0000-0000-00005E1C0000}"/>
    <cellStyle name="20% - Énfasis4 3 2 3 2 2" xfId="7318" xr:uid="{00000000-0005-0000-0000-00005F1C0000}"/>
    <cellStyle name="20% - Énfasis4 3 2 3 3" xfId="7319" xr:uid="{00000000-0005-0000-0000-0000601C0000}"/>
    <cellStyle name="20% - Énfasis4 3 2 3 3 2" xfId="7320" xr:uid="{00000000-0005-0000-0000-0000611C0000}"/>
    <cellStyle name="20% - Énfasis4 3 2 3 4" xfId="7321" xr:uid="{00000000-0005-0000-0000-0000621C0000}"/>
    <cellStyle name="20% - Énfasis4 3 2 4" xfId="7322" xr:uid="{00000000-0005-0000-0000-0000631C0000}"/>
    <cellStyle name="20% - Énfasis4 3 2 4 2" xfId="7323" xr:uid="{00000000-0005-0000-0000-0000641C0000}"/>
    <cellStyle name="20% - Énfasis4 3 2 5" xfId="7324" xr:uid="{00000000-0005-0000-0000-0000651C0000}"/>
    <cellStyle name="20% - Énfasis4 3 2 5 2" xfId="7325" xr:uid="{00000000-0005-0000-0000-0000661C0000}"/>
    <cellStyle name="20% - Énfasis4 3 2 6" xfId="7326" xr:uid="{00000000-0005-0000-0000-0000671C0000}"/>
    <cellStyle name="20% - Énfasis4 3 20" xfId="7327" xr:uid="{00000000-0005-0000-0000-0000681C0000}"/>
    <cellStyle name="20% - Énfasis4 3 21" xfId="7328" xr:uid="{00000000-0005-0000-0000-0000691C0000}"/>
    <cellStyle name="20% - Énfasis4 3 22" xfId="7329" xr:uid="{00000000-0005-0000-0000-00006A1C0000}"/>
    <cellStyle name="20% - Énfasis4 3 23" xfId="7330" xr:uid="{00000000-0005-0000-0000-00006B1C0000}"/>
    <cellStyle name="20% - Énfasis4 3 24" xfId="7331" xr:uid="{00000000-0005-0000-0000-00006C1C0000}"/>
    <cellStyle name="20% - Énfasis4 3 25" xfId="7332" xr:uid="{00000000-0005-0000-0000-00006D1C0000}"/>
    <cellStyle name="20% - Énfasis4 3 26" xfId="7333" xr:uid="{00000000-0005-0000-0000-00006E1C0000}"/>
    <cellStyle name="20% - Énfasis4 3 27" xfId="7334" xr:uid="{00000000-0005-0000-0000-00006F1C0000}"/>
    <cellStyle name="20% - Énfasis4 3 28" xfId="7335" xr:uid="{00000000-0005-0000-0000-0000701C0000}"/>
    <cellStyle name="20% - Énfasis4 3 29" xfId="7336" xr:uid="{00000000-0005-0000-0000-0000711C0000}"/>
    <cellStyle name="20% - Énfasis4 3 3" xfId="7337" xr:uid="{00000000-0005-0000-0000-0000721C0000}"/>
    <cellStyle name="20% - Énfasis4 3 3 2" xfId="7338" xr:uid="{00000000-0005-0000-0000-0000731C0000}"/>
    <cellStyle name="20% - Énfasis4 3 3 2 2" xfId="7339" xr:uid="{00000000-0005-0000-0000-0000741C0000}"/>
    <cellStyle name="20% - Énfasis4 3 3 2 2 2" xfId="7340" xr:uid="{00000000-0005-0000-0000-0000751C0000}"/>
    <cellStyle name="20% - Énfasis4 3 3 2 3" xfId="7341" xr:uid="{00000000-0005-0000-0000-0000761C0000}"/>
    <cellStyle name="20% - Énfasis4 3 3 2 3 2" xfId="7342" xr:uid="{00000000-0005-0000-0000-0000771C0000}"/>
    <cellStyle name="20% - Énfasis4 3 3 2 4" xfId="7343" xr:uid="{00000000-0005-0000-0000-0000781C0000}"/>
    <cellStyle name="20% - Énfasis4 3 3 3" xfId="7344" xr:uid="{00000000-0005-0000-0000-0000791C0000}"/>
    <cellStyle name="20% - Énfasis4 3 3 3 2" xfId="7345" xr:uid="{00000000-0005-0000-0000-00007A1C0000}"/>
    <cellStyle name="20% - Énfasis4 3 3 4" xfId="7346" xr:uid="{00000000-0005-0000-0000-00007B1C0000}"/>
    <cellStyle name="20% - Énfasis4 3 3 4 2" xfId="7347" xr:uid="{00000000-0005-0000-0000-00007C1C0000}"/>
    <cellStyle name="20% - Énfasis4 3 3 5" xfId="7348" xr:uid="{00000000-0005-0000-0000-00007D1C0000}"/>
    <cellStyle name="20% - Énfasis4 3 30" xfId="7349" xr:uid="{00000000-0005-0000-0000-00007E1C0000}"/>
    <cellStyle name="20% - Énfasis4 3 31" xfId="7350" xr:uid="{00000000-0005-0000-0000-00007F1C0000}"/>
    <cellStyle name="20% - Énfasis4 3 32" xfId="7351" xr:uid="{00000000-0005-0000-0000-0000801C0000}"/>
    <cellStyle name="20% - Énfasis4 3 33" xfId="7352" xr:uid="{00000000-0005-0000-0000-0000811C0000}"/>
    <cellStyle name="20% - Énfasis4 3 34" xfId="7353" xr:uid="{00000000-0005-0000-0000-0000821C0000}"/>
    <cellStyle name="20% - Énfasis4 3 4" xfId="7354" xr:uid="{00000000-0005-0000-0000-0000831C0000}"/>
    <cellStyle name="20% - Énfasis4 3 4 2" xfId="7355" xr:uid="{00000000-0005-0000-0000-0000841C0000}"/>
    <cellStyle name="20% - Énfasis4 3 4 2 2" xfId="7356" xr:uid="{00000000-0005-0000-0000-0000851C0000}"/>
    <cellStyle name="20% - Énfasis4 3 4 3" xfId="7357" xr:uid="{00000000-0005-0000-0000-0000861C0000}"/>
    <cellStyle name="20% - Énfasis4 3 4 3 2" xfId="7358" xr:uid="{00000000-0005-0000-0000-0000871C0000}"/>
    <cellStyle name="20% - Énfasis4 3 4 4" xfId="7359" xr:uid="{00000000-0005-0000-0000-0000881C0000}"/>
    <cellStyle name="20% - Énfasis4 3 5" xfId="7360" xr:uid="{00000000-0005-0000-0000-0000891C0000}"/>
    <cellStyle name="20% - Énfasis4 3 5 2" xfId="7361" xr:uid="{00000000-0005-0000-0000-00008A1C0000}"/>
    <cellStyle name="20% - Énfasis4 3 6" xfId="7362" xr:uid="{00000000-0005-0000-0000-00008B1C0000}"/>
    <cellStyle name="20% - Énfasis4 3 6 2" xfId="7363" xr:uid="{00000000-0005-0000-0000-00008C1C0000}"/>
    <cellStyle name="20% - Énfasis4 3 7" xfId="7364" xr:uid="{00000000-0005-0000-0000-00008D1C0000}"/>
    <cellStyle name="20% - Énfasis4 3 8" xfId="7365" xr:uid="{00000000-0005-0000-0000-00008E1C0000}"/>
    <cellStyle name="20% - Énfasis4 3 9" xfId="7366" xr:uid="{00000000-0005-0000-0000-00008F1C0000}"/>
    <cellStyle name="20% - Énfasis4 4" xfId="7367" xr:uid="{00000000-0005-0000-0000-0000901C0000}"/>
    <cellStyle name="20% - Énfasis4 4 2" xfId="7368" xr:uid="{00000000-0005-0000-0000-0000911C0000}"/>
    <cellStyle name="20% - Énfasis4 4 2 2" xfId="7369" xr:uid="{00000000-0005-0000-0000-0000921C0000}"/>
    <cellStyle name="20% - Énfasis4 4 2 2 2" xfId="7370" xr:uid="{00000000-0005-0000-0000-0000931C0000}"/>
    <cellStyle name="20% - Énfasis4 4 2 2 2 2" xfId="7371" xr:uid="{00000000-0005-0000-0000-0000941C0000}"/>
    <cellStyle name="20% - Énfasis4 4 2 2 2 2 2" xfId="7372" xr:uid="{00000000-0005-0000-0000-0000951C0000}"/>
    <cellStyle name="20% - Énfasis4 4 2 2 2 3" xfId="7373" xr:uid="{00000000-0005-0000-0000-0000961C0000}"/>
    <cellStyle name="20% - Énfasis4 4 2 2 2 3 2" xfId="7374" xr:uid="{00000000-0005-0000-0000-0000971C0000}"/>
    <cellStyle name="20% - Énfasis4 4 2 2 2 4" xfId="7375" xr:uid="{00000000-0005-0000-0000-0000981C0000}"/>
    <cellStyle name="20% - Énfasis4 4 2 2 3" xfId="7376" xr:uid="{00000000-0005-0000-0000-0000991C0000}"/>
    <cellStyle name="20% - Énfasis4 4 2 2 3 2" xfId="7377" xr:uid="{00000000-0005-0000-0000-00009A1C0000}"/>
    <cellStyle name="20% - Énfasis4 4 2 2 4" xfId="7378" xr:uid="{00000000-0005-0000-0000-00009B1C0000}"/>
    <cellStyle name="20% - Énfasis4 4 2 2 4 2" xfId="7379" xr:uid="{00000000-0005-0000-0000-00009C1C0000}"/>
    <cellStyle name="20% - Énfasis4 4 2 2 5" xfId="7380" xr:uid="{00000000-0005-0000-0000-00009D1C0000}"/>
    <cellStyle name="20% - Énfasis4 4 2 3" xfId="7381" xr:uid="{00000000-0005-0000-0000-00009E1C0000}"/>
    <cellStyle name="20% - Énfasis4 4 2 3 2" xfId="7382" xr:uid="{00000000-0005-0000-0000-00009F1C0000}"/>
    <cellStyle name="20% - Énfasis4 4 2 3 2 2" xfId="7383" xr:uid="{00000000-0005-0000-0000-0000A01C0000}"/>
    <cellStyle name="20% - Énfasis4 4 2 3 3" xfId="7384" xr:uid="{00000000-0005-0000-0000-0000A11C0000}"/>
    <cellStyle name="20% - Énfasis4 4 2 3 3 2" xfId="7385" xr:uid="{00000000-0005-0000-0000-0000A21C0000}"/>
    <cellStyle name="20% - Énfasis4 4 2 3 4" xfId="7386" xr:uid="{00000000-0005-0000-0000-0000A31C0000}"/>
    <cellStyle name="20% - Énfasis4 4 2 4" xfId="7387" xr:uid="{00000000-0005-0000-0000-0000A41C0000}"/>
    <cellStyle name="20% - Énfasis4 4 2 4 2" xfId="7388" xr:uid="{00000000-0005-0000-0000-0000A51C0000}"/>
    <cellStyle name="20% - Énfasis4 4 2 5" xfId="7389" xr:uid="{00000000-0005-0000-0000-0000A61C0000}"/>
    <cellStyle name="20% - Énfasis4 4 2 5 2" xfId="7390" xr:uid="{00000000-0005-0000-0000-0000A71C0000}"/>
    <cellStyle name="20% - Énfasis4 4 2 6" xfId="7391" xr:uid="{00000000-0005-0000-0000-0000A81C0000}"/>
    <cellStyle name="20% - Énfasis4 4 3" xfId="7392" xr:uid="{00000000-0005-0000-0000-0000A91C0000}"/>
    <cellStyle name="20% - Énfasis4 4 3 2" xfId="7393" xr:uid="{00000000-0005-0000-0000-0000AA1C0000}"/>
    <cellStyle name="20% - Énfasis4 4 3 2 2" xfId="7394" xr:uid="{00000000-0005-0000-0000-0000AB1C0000}"/>
    <cellStyle name="20% - Énfasis4 4 3 2 2 2" xfId="7395" xr:uid="{00000000-0005-0000-0000-0000AC1C0000}"/>
    <cellStyle name="20% - Énfasis4 4 3 2 3" xfId="7396" xr:uid="{00000000-0005-0000-0000-0000AD1C0000}"/>
    <cellStyle name="20% - Énfasis4 4 3 2 3 2" xfId="7397" xr:uid="{00000000-0005-0000-0000-0000AE1C0000}"/>
    <cellStyle name="20% - Énfasis4 4 3 2 4" xfId="7398" xr:uid="{00000000-0005-0000-0000-0000AF1C0000}"/>
    <cellStyle name="20% - Énfasis4 4 3 3" xfId="7399" xr:uid="{00000000-0005-0000-0000-0000B01C0000}"/>
    <cellStyle name="20% - Énfasis4 4 3 3 2" xfId="7400" xr:uid="{00000000-0005-0000-0000-0000B11C0000}"/>
    <cellStyle name="20% - Énfasis4 4 3 4" xfId="7401" xr:uid="{00000000-0005-0000-0000-0000B21C0000}"/>
    <cellStyle name="20% - Énfasis4 4 3 4 2" xfId="7402" xr:uid="{00000000-0005-0000-0000-0000B31C0000}"/>
    <cellStyle name="20% - Énfasis4 4 3 5" xfId="7403" xr:uid="{00000000-0005-0000-0000-0000B41C0000}"/>
    <cellStyle name="20% - Énfasis4 4 4" xfId="7404" xr:uid="{00000000-0005-0000-0000-0000B51C0000}"/>
    <cellStyle name="20% - Énfasis4 4 4 2" xfId="7405" xr:uid="{00000000-0005-0000-0000-0000B61C0000}"/>
    <cellStyle name="20% - Énfasis4 4 4 2 2" xfId="7406" xr:uid="{00000000-0005-0000-0000-0000B71C0000}"/>
    <cellStyle name="20% - Énfasis4 4 4 3" xfId="7407" xr:uid="{00000000-0005-0000-0000-0000B81C0000}"/>
    <cellStyle name="20% - Énfasis4 4 4 3 2" xfId="7408" xr:uid="{00000000-0005-0000-0000-0000B91C0000}"/>
    <cellStyle name="20% - Énfasis4 4 4 4" xfId="7409" xr:uid="{00000000-0005-0000-0000-0000BA1C0000}"/>
    <cellStyle name="20% - Énfasis4 4 5" xfId="7410" xr:uid="{00000000-0005-0000-0000-0000BB1C0000}"/>
    <cellStyle name="20% - Énfasis4 4 5 2" xfId="7411" xr:uid="{00000000-0005-0000-0000-0000BC1C0000}"/>
    <cellStyle name="20% - Énfasis4 4 6" xfId="7412" xr:uid="{00000000-0005-0000-0000-0000BD1C0000}"/>
    <cellStyle name="20% - Énfasis4 4 6 2" xfId="7413" xr:uid="{00000000-0005-0000-0000-0000BE1C0000}"/>
    <cellStyle name="20% - Énfasis4 4 7" xfId="7414" xr:uid="{00000000-0005-0000-0000-0000BF1C0000}"/>
    <cellStyle name="20% - Énfasis4 4 8" xfId="7415" xr:uid="{00000000-0005-0000-0000-0000C01C0000}"/>
    <cellStyle name="20% - Énfasis4 5" xfId="7416" xr:uid="{00000000-0005-0000-0000-0000C11C0000}"/>
    <cellStyle name="20% - Énfasis4 5 2" xfId="7417" xr:uid="{00000000-0005-0000-0000-0000C21C0000}"/>
    <cellStyle name="20% - Énfasis4 5 2 2" xfId="7418" xr:uid="{00000000-0005-0000-0000-0000C31C0000}"/>
    <cellStyle name="20% - Énfasis4 5 2 2 2" xfId="7419" xr:uid="{00000000-0005-0000-0000-0000C41C0000}"/>
    <cellStyle name="20% - Énfasis4 5 2 2 2 2" xfId="7420" xr:uid="{00000000-0005-0000-0000-0000C51C0000}"/>
    <cellStyle name="20% - Énfasis4 5 2 2 2 2 2" xfId="7421" xr:uid="{00000000-0005-0000-0000-0000C61C0000}"/>
    <cellStyle name="20% - Énfasis4 5 2 2 2 3" xfId="7422" xr:uid="{00000000-0005-0000-0000-0000C71C0000}"/>
    <cellStyle name="20% - Énfasis4 5 2 2 2 3 2" xfId="7423" xr:uid="{00000000-0005-0000-0000-0000C81C0000}"/>
    <cellStyle name="20% - Énfasis4 5 2 2 2 4" xfId="7424" xr:uid="{00000000-0005-0000-0000-0000C91C0000}"/>
    <cellStyle name="20% - Énfasis4 5 2 2 3" xfId="7425" xr:uid="{00000000-0005-0000-0000-0000CA1C0000}"/>
    <cellStyle name="20% - Énfasis4 5 2 2 3 2" xfId="7426" xr:uid="{00000000-0005-0000-0000-0000CB1C0000}"/>
    <cellStyle name="20% - Énfasis4 5 2 2 4" xfId="7427" xr:uid="{00000000-0005-0000-0000-0000CC1C0000}"/>
    <cellStyle name="20% - Énfasis4 5 2 2 4 2" xfId="7428" xr:uid="{00000000-0005-0000-0000-0000CD1C0000}"/>
    <cellStyle name="20% - Énfasis4 5 2 2 5" xfId="7429" xr:uid="{00000000-0005-0000-0000-0000CE1C0000}"/>
    <cellStyle name="20% - Énfasis4 5 2 3" xfId="7430" xr:uid="{00000000-0005-0000-0000-0000CF1C0000}"/>
    <cellStyle name="20% - Énfasis4 5 2 3 2" xfId="7431" xr:uid="{00000000-0005-0000-0000-0000D01C0000}"/>
    <cellStyle name="20% - Énfasis4 5 2 3 2 2" xfId="7432" xr:uid="{00000000-0005-0000-0000-0000D11C0000}"/>
    <cellStyle name="20% - Énfasis4 5 2 3 3" xfId="7433" xr:uid="{00000000-0005-0000-0000-0000D21C0000}"/>
    <cellStyle name="20% - Énfasis4 5 2 3 3 2" xfId="7434" xr:uid="{00000000-0005-0000-0000-0000D31C0000}"/>
    <cellStyle name="20% - Énfasis4 5 2 3 4" xfId="7435" xr:uid="{00000000-0005-0000-0000-0000D41C0000}"/>
    <cellStyle name="20% - Énfasis4 5 2 4" xfId="7436" xr:uid="{00000000-0005-0000-0000-0000D51C0000}"/>
    <cellStyle name="20% - Énfasis4 5 2 4 2" xfId="7437" xr:uid="{00000000-0005-0000-0000-0000D61C0000}"/>
    <cellStyle name="20% - Énfasis4 5 2 5" xfId="7438" xr:uid="{00000000-0005-0000-0000-0000D71C0000}"/>
    <cellStyle name="20% - Énfasis4 5 2 5 2" xfId="7439" xr:uid="{00000000-0005-0000-0000-0000D81C0000}"/>
    <cellStyle name="20% - Énfasis4 5 2 6" xfId="7440" xr:uid="{00000000-0005-0000-0000-0000D91C0000}"/>
    <cellStyle name="20% - Énfasis4 5 3" xfId="7441" xr:uid="{00000000-0005-0000-0000-0000DA1C0000}"/>
    <cellStyle name="20% - Énfasis4 5 3 2" xfId="7442" xr:uid="{00000000-0005-0000-0000-0000DB1C0000}"/>
    <cellStyle name="20% - Énfasis4 5 3 2 2" xfId="7443" xr:uid="{00000000-0005-0000-0000-0000DC1C0000}"/>
    <cellStyle name="20% - Énfasis4 5 3 2 2 2" xfId="7444" xr:uid="{00000000-0005-0000-0000-0000DD1C0000}"/>
    <cellStyle name="20% - Énfasis4 5 3 2 3" xfId="7445" xr:uid="{00000000-0005-0000-0000-0000DE1C0000}"/>
    <cellStyle name="20% - Énfasis4 5 3 2 3 2" xfId="7446" xr:uid="{00000000-0005-0000-0000-0000DF1C0000}"/>
    <cellStyle name="20% - Énfasis4 5 3 2 4" xfId="7447" xr:uid="{00000000-0005-0000-0000-0000E01C0000}"/>
    <cellStyle name="20% - Énfasis4 5 3 3" xfId="7448" xr:uid="{00000000-0005-0000-0000-0000E11C0000}"/>
    <cellStyle name="20% - Énfasis4 5 3 3 2" xfId="7449" xr:uid="{00000000-0005-0000-0000-0000E21C0000}"/>
    <cellStyle name="20% - Énfasis4 5 3 4" xfId="7450" xr:uid="{00000000-0005-0000-0000-0000E31C0000}"/>
    <cellStyle name="20% - Énfasis4 5 3 4 2" xfId="7451" xr:uid="{00000000-0005-0000-0000-0000E41C0000}"/>
    <cellStyle name="20% - Énfasis4 5 3 5" xfId="7452" xr:uid="{00000000-0005-0000-0000-0000E51C0000}"/>
    <cellStyle name="20% - Énfasis4 5 4" xfId="7453" xr:uid="{00000000-0005-0000-0000-0000E61C0000}"/>
    <cellStyle name="20% - Énfasis4 5 4 2" xfId="7454" xr:uid="{00000000-0005-0000-0000-0000E71C0000}"/>
    <cellStyle name="20% - Énfasis4 5 4 2 2" xfId="7455" xr:uid="{00000000-0005-0000-0000-0000E81C0000}"/>
    <cellStyle name="20% - Énfasis4 5 4 3" xfId="7456" xr:uid="{00000000-0005-0000-0000-0000E91C0000}"/>
    <cellStyle name="20% - Énfasis4 5 4 3 2" xfId="7457" xr:uid="{00000000-0005-0000-0000-0000EA1C0000}"/>
    <cellStyle name="20% - Énfasis4 5 4 4" xfId="7458" xr:uid="{00000000-0005-0000-0000-0000EB1C0000}"/>
    <cellStyle name="20% - Énfasis4 5 5" xfId="7459" xr:uid="{00000000-0005-0000-0000-0000EC1C0000}"/>
    <cellStyle name="20% - Énfasis4 5 5 2" xfId="7460" xr:uid="{00000000-0005-0000-0000-0000ED1C0000}"/>
    <cellStyle name="20% - Énfasis4 5 6" xfId="7461" xr:uid="{00000000-0005-0000-0000-0000EE1C0000}"/>
    <cellStyle name="20% - Énfasis4 5 6 2" xfId="7462" xr:uid="{00000000-0005-0000-0000-0000EF1C0000}"/>
    <cellStyle name="20% - Énfasis4 5 7" xfId="7463" xr:uid="{00000000-0005-0000-0000-0000F01C0000}"/>
    <cellStyle name="20% - Énfasis4 6" xfId="7464" xr:uid="{00000000-0005-0000-0000-0000F11C0000}"/>
    <cellStyle name="20% - Énfasis4 6 2" xfId="7465" xr:uid="{00000000-0005-0000-0000-0000F21C0000}"/>
    <cellStyle name="20% - Énfasis4 6 2 2" xfId="7466" xr:uid="{00000000-0005-0000-0000-0000F31C0000}"/>
    <cellStyle name="20% - Énfasis4 6 2 2 2" xfId="7467" xr:uid="{00000000-0005-0000-0000-0000F41C0000}"/>
    <cellStyle name="20% - Énfasis4 6 2 2 2 2" xfId="7468" xr:uid="{00000000-0005-0000-0000-0000F51C0000}"/>
    <cellStyle name="20% - Énfasis4 6 2 2 2 2 2" xfId="7469" xr:uid="{00000000-0005-0000-0000-0000F61C0000}"/>
    <cellStyle name="20% - Énfasis4 6 2 2 2 3" xfId="7470" xr:uid="{00000000-0005-0000-0000-0000F71C0000}"/>
    <cellStyle name="20% - Énfasis4 6 2 2 2 3 2" xfId="7471" xr:uid="{00000000-0005-0000-0000-0000F81C0000}"/>
    <cellStyle name="20% - Énfasis4 6 2 2 2 4" xfId="7472" xr:uid="{00000000-0005-0000-0000-0000F91C0000}"/>
    <cellStyle name="20% - Énfasis4 6 2 2 3" xfId="7473" xr:uid="{00000000-0005-0000-0000-0000FA1C0000}"/>
    <cellStyle name="20% - Énfasis4 6 2 2 3 2" xfId="7474" xr:uid="{00000000-0005-0000-0000-0000FB1C0000}"/>
    <cellStyle name="20% - Énfasis4 6 2 2 4" xfId="7475" xr:uid="{00000000-0005-0000-0000-0000FC1C0000}"/>
    <cellStyle name="20% - Énfasis4 6 2 2 4 2" xfId="7476" xr:uid="{00000000-0005-0000-0000-0000FD1C0000}"/>
    <cellStyle name="20% - Énfasis4 6 2 2 5" xfId="7477" xr:uid="{00000000-0005-0000-0000-0000FE1C0000}"/>
    <cellStyle name="20% - Énfasis4 6 2 3" xfId="7478" xr:uid="{00000000-0005-0000-0000-0000FF1C0000}"/>
    <cellStyle name="20% - Énfasis4 6 2 3 2" xfId="7479" xr:uid="{00000000-0005-0000-0000-0000001D0000}"/>
    <cellStyle name="20% - Énfasis4 6 2 3 2 2" xfId="7480" xr:uid="{00000000-0005-0000-0000-0000011D0000}"/>
    <cellStyle name="20% - Énfasis4 6 2 3 3" xfId="7481" xr:uid="{00000000-0005-0000-0000-0000021D0000}"/>
    <cellStyle name="20% - Énfasis4 6 2 3 3 2" xfId="7482" xr:uid="{00000000-0005-0000-0000-0000031D0000}"/>
    <cellStyle name="20% - Énfasis4 6 2 3 4" xfId="7483" xr:uid="{00000000-0005-0000-0000-0000041D0000}"/>
    <cellStyle name="20% - Énfasis4 6 2 4" xfId="7484" xr:uid="{00000000-0005-0000-0000-0000051D0000}"/>
    <cellStyle name="20% - Énfasis4 6 2 4 2" xfId="7485" xr:uid="{00000000-0005-0000-0000-0000061D0000}"/>
    <cellStyle name="20% - Énfasis4 6 2 5" xfId="7486" xr:uid="{00000000-0005-0000-0000-0000071D0000}"/>
    <cellStyle name="20% - Énfasis4 6 2 5 2" xfId="7487" xr:uid="{00000000-0005-0000-0000-0000081D0000}"/>
    <cellStyle name="20% - Énfasis4 6 2 6" xfId="7488" xr:uid="{00000000-0005-0000-0000-0000091D0000}"/>
    <cellStyle name="20% - Énfasis4 6 3" xfId="7489" xr:uid="{00000000-0005-0000-0000-00000A1D0000}"/>
    <cellStyle name="20% - Énfasis4 6 3 2" xfId="7490" xr:uid="{00000000-0005-0000-0000-00000B1D0000}"/>
    <cellStyle name="20% - Énfasis4 6 3 2 2" xfId="7491" xr:uid="{00000000-0005-0000-0000-00000C1D0000}"/>
    <cellStyle name="20% - Énfasis4 6 3 2 2 2" xfId="7492" xr:uid="{00000000-0005-0000-0000-00000D1D0000}"/>
    <cellStyle name="20% - Énfasis4 6 3 2 3" xfId="7493" xr:uid="{00000000-0005-0000-0000-00000E1D0000}"/>
    <cellStyle name="20% - Énfasis4 6 3 2 3 2" xfId="7494" xr:uid="{00000000-0005-0000-0000-00000F1D0000}"/>
    <cellStyle name="20% - Énfasis4 6 3 2 4" xfId="7495" xr:uid="{00000000-0005-0000-0000-0000101D0000}"/>
    <cellStyle name="20% - Énfasis4 6 3 3" xfId="7496" xr:uid="{00000000-0005-0000-0000-0000111D0000}"/>
    <cellStyle name="20% - Énfasis4 6 3 3 2" xfId="7497" xr:uid="{00000000-0005-0000-0000-0000121D0000}"/>
    <cellStyle name="20% - Énfasis4 6 3 4" xfId="7498" xr:uid="{00000000-0005-0000-0000-0000131D0000}"/>
    <cellStyle name="20% - Énfasis4 6 3 4 2" xfId="7499" xr:uid="{00000000-0005-0000-0000-0000141D0000}"/>
    <cellStyle name="20% - Énfasis4 6 3 5" xfId="7500" xr:uid="{00000000-0005-0000-0000-0000151D0000}"/>
    <cellStyle name="20% - Énfasis4 6 4" xfId="7501" xr:uid="{00000000-0005-0000-0000-0000161D0000}"/>
    <cellStyle name="20% - Énfasis4 6 4 2" xfId="7502" xr:uid="{00000000-0005-0000-0000-0000171D0000}"/>
    <cellStyle name="20% - Énfasis4 6 4 2 2" xfId="7503" xr:uid="{00000000-0005-0000-0000-0000181D0000}"/>
    <cellStyle name="20% - Énfasis4 6 4 3" xfId="7504" xr:uid="{00000000-0005-0000-0000-0000191D0000}"/>
    <cellStyle name="20% - Énfasis4 6 4 3 2" xfId="7505" xr:uid="{00000000-0005-0000-0000-00001A1D0000}"/>
    <cellStyle name="20% - Énfasis4 6 4 4" xfId="7506" xr:uid="{00000000-0005-0000-0000-00001B1D0000}"/>
    <cellStyle name="20% - Énfasis4 6 5" xfId="7507" xr:uid="{00000000-0005-0000-0000-00001C1D0000}"/>
    <cellStyle name="20% - Énfasis4 6 5 2" xfId="7508" xr:uid="{00000000-0005-0000-0000-00001D1D0000}"/>
    <cellStyle name="20% - Énfasis4 6 6" xfId="7509" xr:uid="{00000000-0005-0000-0000-00001E1D0000}"/>
    <cellStyle name="20% - Énfasis4 6 6 2" xfId="7510" xr:uid="{00000000-0005-0000-0000-00001F1D0000}"/>
    <cellStyle name="20% - Énfasis4 6 7" xfId="7511" xr:uid="{00000000-0005-0000-0000-0000201D0000}"/>
    <cellStyle name="20% - Énfasis4 7" xfId="7512" xr:uid="{00000000-0005-0000-0000-0000211D0000}"/>
    <cellStyle name="20% - Énfasis4 7 2" xfId="7513" xr:uid="{00000000-0005-0000-0000-0000221D0000}"/>
    <cellStyle name="20% - Énfasis4 7 2 2" xfId="7514" xr:uid="{00000000-0005-0000-0000-0000231D0000}"/>
    <cellStyle name="20% - Énfasis4 7 2 2 2" xfId="7515" xr:uid="{00000000-0005-0000-0000-0000241D0000}"/>
    <cellStyle name="20% - Énfasis4 7 2 2 2 2" xfId="7516" xr:uid="{00000000-0005-0000-0000-0000251D0000}"/>
    <cellStyle name="20% - Énfasis4 7 2 2 3" xfId="7517" xr:uid="{00000000-0005-0000-0000-0000261D0000}"/>
    <cellStyle name="20% - Énfasis4 7 2 2 3 2" xfId="7518" xr:uid="{00000000-0005-0000-0000-0000271D0000}"/>
    <cellStyle name="20% - Énfasis4 7 2 2 4" xfId="7519" xr:uid="{00000000-0005-0000-0000-0000281D0000}"/>
    <cellStyle name="20% - Énfasis4 7 2 3" xfId="7520" xr:uid="{00000000-0005-0000-0000-0000291D0000}"/>
    <cellStyle name="20% - Énfasis4 7 2 3 2" xfId="7521" xr:uid="{00000000-0005-0000-0000-00002A1D0000}"/>
    <cellStyle name="20% - Énfasis4 7 2 4" xfId="7522" xr:uid="{00000000-0005-0000-0000-00002B1D0000}"/>
    <cellStyle name="20% - Énfasis4 7 2 4 2" xfId="7523" xr:uid="{00000000-0005-0000-0000-00002C1D0000}"/>
    <cellStyle name="20% - Énfasis4 7 2 5" xfId="7524" xr:uid="{00000000-0005-0000-0000-00002D1D0000}"/>
    <cellStyle name="20% - Énfasis4 7 3" xfId="7525" xr:uid="{00000000-0005-0000-0000-00002E1D0000}"/>
    <cellStyle name="20% - Énfasis4 7 3 2" xfId="7526" xr:uid="{00000000-0005-0000-0000-00002F1D0000}"/>
    <cellStyle name="20% - Énfasis4 7 3 2 2" xfId="7527" xr:uid="{00000000-0005-0000-0000-0000301D0000}"/>
    <cellStyle name="20% - Énfasis4 7 3 3" xfId="7528" xr:uid="{00000000-0005-0000-0000-0000311D0000}"/>
    <cellStyle name="20% - Énfasis4 7 3 3 2" xfId="7529" xr:uid="{00000000-0005-0000-0000-0000321D0000}"/>
    <cellStyle name="20% - Énfasis4 7 3 4" xfId="7530" xr:uid="{00000000-0005-0000-0000-0000331D0000}"/>
    <cellStyle name="20% - Énfasis4 7 4" xfId="7531" xr:uid="{00000000-0005-0000-0000-0000341D0000}"/>
    <cellStyle name="20% - Énfasis4 7 4 2" xfId="7532" xr:uid="{00000000-0005-0000-0000-0000351D0000}"/>
    <cellStyle name="20% - Énfasis4 7 5" xfId="7533" xr:uid="{00000000-0005-0000-0000-0000361D0000}"/>
    <cellStyle name="20% - Énfasis4 7 5 2" xfId="7534" xr:uid="{00000000-0005-0000-0000-0000371D0000}"/>
    <cellStyle name="20% - Énfasis4 7 6" xfId="7535" xr:uid="{00000000-0005-0000-0000-0000381D0000}"/>
    <cellStyle name="20% - Énfasis4 8" xfId="7536" xr:uid="{00000000-0005-0000-0000-0000391D0000}"/>
    <cellStyle name="20% - Énfasis4 8 2" xfId="7537" xr:uid="{00000000-0005-0000-0000-00003A1D0000}"/>
    <cellStyle name="20% - Énfasis4 8 2 2" xfId="7538" xr:uid="{00000000-0005-0000-0000-00003B1D0000}"/>
    <cellStyle name="20% - Énfasis4 8 2 2 2" xfId="7539" xr:uid="{00000000-0005-0000-0000-00003C1D0000}"/>
    <cellStyle name="20% - Énfasis4 8 2 2 2 2" xfId="7540" xr:uid="{00000000-0005-0000-0000-00003D1D0000}"/>
    <cellStyle name="20% - Énfasis4 8 2 2 3" xfId="7541" xr:uid="{00000000-0005-0000-0000-00003E1D0000}"/>
    <cellStyle name="20% - Énfasis4 8 2 2 3 2" xfId="7542" xr:uid="{00000000-0005-0000-0000-00003F1D0000}"/>
    <cellStyle name="20% - Énfasis4 8 2 2 4" xfId="7543" xr:uid="{00000000-0005-0000-0000-0000401D0000}"/>
    <cellStyle name="20% - Énfasis4 8 2 3" xfId="7544" xr:uid="{00000000-0005-0000-0000-0000411D0000}"/>
    <cellStyle name="20% - Énfasis4 8 2 3 2" xfId="7545" xr:uid="{00000000-0005-0000-0000-0000421D0000}"/>
    <cellStyle name="20% - Énfasis4 8 2 4" xfId="7546" xr:uid="{00000000-0005-0000-0000-0000431D0000}"/>
    <cellStyle name="20% - Énfasis4 8 2 4 2" xfId="7547" xr:uid="{00000000-0005-0000-0000-0000441D0000}"/>
    <cellStyle name="20% - Énfasis4 8 2 5" xfId="7548" xr:uid="{00000000-0005-0000-0000-0000451D0000}"/>
    <cellStyle name="20% - Énfasis4 8 3" xfId="7549" xr:uid="{00000000-0005-0000-0000-0000461D0000}"/>
    <cellStyle name="20% - Énfasis4 8 3 2" xfId="7550" xr:uid="{00000000-0005-0000-0000-0000471D0000}"/>
    <cellStyle name="20% - Énfasis4 8 3 2 2" xfId="7551" xr:uid="{00000000-0005-0000-0000-0000481D0000}"/>
    <cellStyle name="20% - Énfasis4 8 3 3" xfId="7552" xr:uid="{00000000-0005-0000-0000-0000491D0000}"/>
    <cellStyle name="20% - Énfasis4 8 3 3 2" xfId="7553" xr:uid="{00000000-0005-0000-0000-00004A1D0000}"/>
    <cellStyle name="20% - Énfasis4 8 3 4" xfId="7554" xr:uid="{00000000-0005-0000-0000-00004B1D0000}"/>
    <cellStyle name="20% - Énfasis4 8 4" xfId="7555" xr:uid="{00000000-0005-0000-0000-00004C1D0000}"/>
    <cellStyle name="20% - Énfasis4 8 4 2" xfId="7556" xr:uid="{00000000-0005-0000-0000-00004D1D0000}"/>
    <cellStyle name="20% - Énfasis4 8 5" xfId="7557" xr:uid="{00000000-0005-0000-0000-00004E1D0000}"/>
    <cellStyle name="20% - Énfasis4 8 5 2" xfId="7558" xr:uid="{00000000-0005-0000-0000-00004F1D0000}"/>
    <cellStyle name="20% - Énfasis4 8 6" xfId="7559" xr:uid="{00000000-0005-0000-0000-0000501D0000}"/>
    <cellStyle name="20% - Énfasis4 9" xfId="7560" xr:uid="{00000000-0005-0000-0000-0000511D0000}"/>
    <cellStyle name="20% - Énfasis4 9 2" xfId="7561" xr:uid="{00000000-0005-0000-0000-0000521D0000}"/>
    <cellStyle name="20% - Énfasis4 9 2 2" xfId="7562" xr:uid="{00000000-0005-0000-0000-0000531D0000}"/>
    <cellStyle name="20% - Énfasis4 9 2 2 2" xfId="7563" xr:uid="{00000000-0005-0000-0000-0000541D0000}"/>
    <cellStyle name="20% - Énfasis4 9 2 3" xfId="7564" xr:uid="{00000000-0005-0000-0000-0000551D0000}"/>
    <cellStyle name="20% - Énfasis4 9 2 3 2" xfId="7565" xr:uid="{00000000-0005-0000-0000-0000561D0000}"/>
    <cellStyle name="20% - Énfasis4 9 2 4" xfId="7566" xr:uid="{00000000-0005-0000-0000-0000571D0000}"/>
    <cellStyle name="20% - Énfasis4 9 3" xfId="7567" xr:uid="{00000000-0005-0000-0000-0000581D0000}"/>
    <cellStyle name="20% - Énfasis4 9 3 2" xfId="7568" xr:uid="{00000000-0005-0000-0000-0000591D0000}"/>
    <cellStyle name="20% - Énfasis4 9 4" xfId="7569" xr:uid="{00000000-0005-0000-0000-00005A1D0000}"/>
    <cellStyle name="20% - Énfasis4 9 4 2" xfId="7570" xr:uid="{00000000-0005-0000-0000-00005B1D0000}"/>
    <cellStyle name="20% - Énfasis4 9 5" xfId="7571" xr:uid="{00000000-0005-0000-0000-00005C1D0000}"/>
    <cellStyle name="20% - Énfasis5" xfId="9" builtinId="46" customBuiltin="1"/>
    <cellStyle name="20% - Énfasis5 10" xfId="7572" xr:uid="{00000000-0005-0000-0000-00005E1D0000}"/>
    <cellStyle name="20% - Énfasis5 10 2" xfId="7573" xr:uid="{00000000-0005-0000-0000-00005F1D0000}"/>
    <cellStyle name="20% - Énfasis5 10 2 2" xfId="7574" xr:uid="{00000000-0005-0000-0000-0000601D0000}"/>
    <cellStyle name="20% - Énfasis5 10 3" xfId="7575" xr:uid="{00000000-0005-0000-0000-0000611D0000}"/>
    <cellStyle name="20% - Énfasis5 10 3 2" xfId="7576" xr:uid="{00000000-0005-0000-0000-0000621D0000}"/>
    <cellStyle name="20% - Énfasis5 10 4" xfId="7577" xr:uid="{00000000-0005-0000-0000-0000631D0000}"/>
    <cellStyle name="20% - Énfasis5 11" xfId="7578" xr:uid="{00000000-0005-0000-0000-0000641D0000}"/>
    <cellStyle name="20% - Énfasis5 11 2" xfId="7579" xr:uid="{00000000-0005-0000-0000-0000651D0000}"/>
    <cellStyle name="20% - Énfasis5 12" xfId="7580" xr:uid="{00000000-0005-0000-0000-0000661D0000}"/>
    <cellStyle name="20% - Énfasis5 12 2" xfId="7581" xr:uid="{00000000-0005-0000-0000-0000671D0000}"/>
    <cellStyle name="20% - Énfasis5 13" xfId="7582" xr:uid="{00000000-0005-0000-0000-0000681D0000}"/>
    <cellStyle name="20% - Énfasis5 14" xfId="7583" xr:uid="{00000000-0005-0000-0000-0000691D0000}"/>
    <cellStyle name="20% - Énfasis5 15" xfId="7584" xr:uid="{00000000-0005-0000-0000-00006A1D0000}"/>
    <cellStyle name="20% - Énfasis5 16" xfId="7585" xr:uid="{00000000-0005-0000-0000-00006B1D0000}"/>
    <cellStyle name="20% - Énfasis5 2" xfId="10" xr:uid="{00000000-0005-0000-0000-00006C1D0000}"/>
    <cellStyle name="20% - Énfasis5 2 10" xfId="7586" xr:uid="{00000000-0005-0000-0000-00006D1D0000}"/>
    <cellStyle name="20% - Énfasis5 2 11" xfId="7587" xr:uid="{00000000-0005-0000-0000-00006E1D0000}"/>
    <cellStyle name="20% - Énfasis5 2 12" xfId="7588" xr:uid="{00000000-0005-0000-0000-00006F1D0000}"/>
    <cellStyle name="20% - Énfasis5 2 13" xfId="7589" xr:uid="{00000000-0005-0000-0000-0000701D0000}"/>
    <cellStyle name="20% - Énfasis5 2 14" xfId="7590" xr:uid="{00000000-0005-0000-0000-0000711D0000}"/>
    <cellStyle name="20% - Énfasis5 2 15" xfId="7591" xr:uid="{00000000-0005-0000-0000-0000721D0000}"/>
    <cellStyle name="20% - Énfasis5 2 16" xfId="7592" xr:uid="{00000000-0005-0000-0000-0000731D0000}"/>
    <cellStyle name="20% - Énfasis5 2 17" xfId="7593" xr:uid="{00000000-0005-0000-0000-0000741D0000}"/>
    <cellStyle name="20% - Énfasis5 2 18" xfId="7594" xr:uid="{00000000-0005-0000-0000-0000751D0000}"/>
    <cellStyle name="20% - Énfasis5 2 19" xfId="7595" xr:uid="{00000000-0005-0000-0000-0000761D0000}"/>
    <cellStyle name="20% - Énfasis5 2 2" xfId="7596" xr:uid="{00000000-0005-0000-0000-0000771D0000}"/>
    <cellStyle name="20% - Énfasis5 2 2 2" xfId="7597" xr:uid="{00000000-0005-0000-0000-0000781D0000}"/>
    <cellStyle name="20% - Énfasis5 2 2 2 2" xfId="7598" xr:uid="{00000000-0005-0000-0000-0000791D0000}"/>
    <cellStyle name="20% - Énfasis5 2 2 2 2 2" xfId="7599" xr:uid="{00000000-0005-0000-0000-00007A1D0000}"/>
    <cellStyle name="20% - Énfasis5 2 2 2 2 2 2" xfId="7600" xr:uid="{00000000-0005-0000-0000-00007B1D0000}"/>
    <cellStyle name="20% - Énfasis5 2 2 2 2 3" xfId="7601" xr:uid="{00000000-0005-0000-0000-00007C1D0000}"/>
    <cellStyle name="20% - Énfasis5 2 2 2 2 3 2" xfId="7602" xr:uid="{00000000-0005-0000-0000-00007D1D0000}"/>
    <cellStyle name="20% - Énfasis5 2 2 2 2 4" xfId="7603" xr:uid="{00000000-0005-0000-0000-00007E1D0000}"/>
    <cellStyle name="20% - Énfasis5 2 2 2 3" xfId="7604" xr:uid="{00000000-0005-0000-0000-00007F1D0000}"/>
    <cellStyle name="20% - Énfasis5 2 2 2 3 2" xfId="7605" xr:uid="{00000000-0005-0000-0000-0000801D0000}"/>
    <cellStyle name="20% - Énfasis5 2 2 2 4" xfId="7606" xr:uid="{00000000-0005-0000-0000-0000811D0000}"/>
    <cellStyle name="20% - Énfasis5 2 2 2 4 2" xfId="7607" xr:uid="{00000000-0005-0000-0000-0000821D0000}"/>
    <cellStyle name="20% - Énfasis5 2 2 2 5" xfId="7608" xr:uid="{00000000-0005-0000-0000-0000831D0000}"/>
    <cellStyle name="20% - Énfasis5 2 2 3" xfId="7609" xr:uid="{00000000-0005-0000-0000-0000841D0000}"/>
    <cellStyle name="20% - Énfasis5 2 2 3 2" xfId="7610" xr:uid="{00000000-0005-0000-0000-0000851D0000}"/>
    <cellStyle name="20% - Énfasis5 2 2 3 2 2" xfId="7611" xr:uid="{00000000-0005-0000-0000-0000861D0000}"/>
    <cellStyle name="20% - Énfasis5 2 2 3 3" xfId="7612" xr:uid="{00000000-0005-0000-0000-0000871D0000}"/>
    <cellStyle name="20% - Énfasis5 2 2 3 3 2" xfId="7613" xr:uid="{00000000-0005-0000-0000-0000881D0000}"/>
    <cellStyle name="20% - Énfasis5 2 2 3 4" xfId="7614" xr:uid="{00000000-0005-0000-0000-0000891D0000}"/>
    <cellStyle name="20% - Énfasis5 2 2 4" xfId="7615" xr:uid="{00000000-0005-0000-0000-00008A1D0000}"/>
    <cellStyle name="20% - Énfasis5 2 2 4 2" xfId="7616" xr:uid="{00000000-0005-0000-0000-00008B1D0000}"/>
    <cellStyle name="20% - Énfasis5 2 2 5" xfId="7617" xr:uid="{00000000-0005-0000-0000-00008C1D0000}"/>
    <cellStyle name="20% - Énfasis5 2 2 5 2" xfId="7618" xr:uid="{00000000-0005-0000-0000-00008D1D0000}"/>
    <cellStyle name="20% - Énfasis5 2 2 6" xfId="7619" xr:uid="{00000000-0005-0000-0000-00008E1D0000}"/>
    <cellStyle name="20% - Énfasis5 2 20" xfId="7620" xr:uid="{00000000-0005-0000-0000-00008F1D0000}"/>
    <cellStyle name="20% - Énfasis5 2 21" xfId="7621" xr:uid="{00000000-0005-0000-0000-0000901D0000}"/>
    <cellStyle name="20% - Énfasis5 2 22" xfId="7622" xr:uid="{00000000-0005-0000-0000-0000911D0000}"/>
    <cellStyle name="20% - Énfasis5 2 23" xfId="7623" xr:uid="{00000000-0005-0000-0000-0000921D0000}"/>
    <cellStyle name="20% - Énfasis5 2 24" xfId="7624" xr:uid="{00000000-0005-0000-0000-0000931D0000}"/>
    <cellStyle name="20% - Énfasis5 2 25" xfId="7625" xr:uid="{00000000-0005-0000-0000-0000941D0000}"/>
    <cellStyle name="20% - Énfasis5 2 26" xfId="7626" xr:uid="{00000000-0005-0000-0000-0000951D0000}"/>
    <cellStyle name="20% - Énfasis5 2 27" xfId="7627" xr:uid="{00000000-0005-0000-0000-0000961D0000}"/>
    <cellStyle name="20% - Énfasis5 2 28" xfId="7628" xr:uid="{00000000-0005-0000-0000-0000971D0000}"/>
    <cellStyle name="20% - Énfasis5 2 29" xfId="7629" xr:uid="{00000000-0005-0000-0000-0000981D0000}"/>
    <cellStyle name="20% - Énfasis5 2 3" xfId="7630" xr:uid="{00000000-0005-0000-0000-0000991D0000}"/>
    <cellStyle name="20% - Énfasis5 2 3 2" xfId="7631" xr:uid="{00000000-0005-0000-0000-00009A1D0000}"/>
    <cellStyle name="20% - Énfasis5 2 3 2 2" xfId="7632" xr:uid="{00000000-0005-0000-0000-00009B1D0000}"/>
    <cellStyle name="20% - Énfasis5 2 3 2 2 2" xfId="7633" xr:uid="{00000000-0005-0000-0000-00009C1D0000}"/>
    <cellStyle name="20% - Énfasis5 2 3 2 3" xfId="7634" xr:uid="{00000000-0005-0000-0000-00009D1D0000}"/>
    <cellStyle name="20% - Énfasis5 2 3 2 3 2" xfId="7635" xr:uid="{00000000-0005-0000-0000-00009E1D0000}"/>
    <cellStyle name="20% - Énfasis5 2 3 2 4" xfId="7636" xr:uid="{00000000-0005-0000-0000-00009F1D0000}"/>
    <cellStyle name="20% - Énfasis5 2 3 3" xfId="7637" xr:uid="{00000000-0005-0000-0000-0000A01D0000}"/>
    <cellStyle name="20% - Énfasis5 2 3 3 2" xfId="7638" xr:uid="{00000000-0005-0000-0000-0000A11D0000}"/>
    <cellStyle name="20% - Énfasis5 2 3 4" xfId="7639" xr:uid="{00000000-0005-0000-0000-0000A21D0000}"/>
    <cellStyle name="20% - Énfasis5 2 3 4 2" xfId="7640" xr:uid="{00000000-0005-0000-0000-0000A31D0000}"/>
    <cellStyle name="20% - Énfasis5 2 3 5" xfId="7641" xr:uid="{00000000-0005-0000-0000-0000A41D0000}"/>
    <cellStyle name="20% - Énfasis5 2 30" xfId="7642" xr:uid="{00000000-0005-0000-0000-0000A51D0000}"/>
    <cellStyle name="20% - Énfasis5 2 31" xfId="7643" xr:uid="{00000000-0005-0000-0000-0000A61D0000}"/>
    <cellStyle name="20% - Énfasis5 2 32" xfId="7644" xr:uid="{00000000-0005-0000-0000-0000A71D0000}"/>
    <cellStyle name="20% - Énfasis5 2 33" xfId="7645" xr:uid="{00000000-0005-0000-0000-0000A81D0000}"/>
    <cellStyle name="20% - Énfasis5 2 34" xfId="7646" xr:uid="{00000000-0005-0000-0000-0000A91D0000}"/>
    <cellStyle name="20% - Énfasis5 2 35" xfId="7647" xr:uid="{00000000-0005-0000-0000-0000AA1D0000}"/>
    <cellStyle name="20% - Énfasis5 2 36" xfId="7648" xr:uid="{00000000-0005-0000-0000-0000AB1D0000}"/>
    <cellStyle name="20% - Énfasis5 2 37" xfId="7649" xr:uid="{00000000-0005-0000-0000-0000AC1D0000}"/>
    <cellStyle name="20% - Énfasis5 2 38" xfId="7650" xr:uid="{00000000-0005-0000-0000-0000AD1D0000}"/>
    <cellStyle name="20% - Énfasis5 2 4" xfId="7651" xr:uid="{00000000-0005-0000-0000-0000AE1D0000}"/>
    <cellStyle name="20% - Énfasis5 2 4 2" xfId="7652" xr:uid="{00000000-0005-0000-0000-0000AF1D0000}"/>
    <cellStyle name="20% - Énfasis5 2 4 2 2" xfId="7653" xr:uid="{00000000-0005-0000-0000-0000B01D0000}"/>
    <cellStyle name="20% - Énfasis5 2 4 3" xfId="7654" xr:uid="{00000000-0005-0000-0000-0000B11D0000}"/>
    <cellStyle name="20% - Énfasis5 2 4 3 2" xfId="7655" xr:uid="{00000000-0005-0000-0000-0000B21D0000}"/>
    <cellStyle name="20% - Énfasis5 2 4 4" xfId="7656" xr:uid="{00000000-0005-0000-0000-0000B31D0000}"/>
    <cellStyle name="20% - Énfasis5 2 5" xfId="7657" xr:uid="{00000000-0005-0000-0000-0000B41D0000}"/>
    <cellStyle name="20% - Énfasis5 2 5 2" xfId="7658" xr:uid="{00000000-0005-0000-0000-0000B51D0000}"/>
    <cellStyle name="20% - Énfasis5 2 6" xfId="7659" xr:uid="{00000000-0005-0000-0000-0000B61D0000}"/>
    <cellStyle name="20% - Énfasis5 2 6 2" xfId="7660" xr:uid="{00000000-0005-0000-0000-0000B71D0000}"/>
    <cellStyle name="20% - Énfasis5 2 7" xfId="7661" xr:uid="{00000000-0005-0000-0000-0000B81D0000}"/>
    <cellStyle name="20% - Énfasis5 2 8" xfId="7662" xr:uid="{00000000-0005-0000-0000-0000B91D0000}"/>
    <cellStyle name="20% - Énfasis5 2 9" xfId="7663" xr:uid="{00000000-0005-0000-0000-0000BA1D0000}"/>
    <cellStyle name="20% - Énfasis5 3" xfId="7664" xr:uid="{00000000-0005-0000-0000-0000BB1D0000}"/>
    <cellStyle name="20% - Énfasis5 3 10" xfId="7665" xr:uid="{00000000-0005-0000-0000-0000BC1D0000}"/>
    <cellStyle name="20% - Énfasis5 3 11" xfId="7666" xr:uid="{00000000-0005-0000-0000-0000BD1D0000}"/>
    <cellStyle name="20% - Énfasis5 3 12" xfId="7667" xr:uid="{00000000-0005-0000-0000-0000BE1D0000}"/>
    <cellStyle name="20% - Énfasis5 3 13" xfId="7668" xr:uid="{00000000-0005-0000-0000-0000BF1D0000}"/>
    <cellStyle name="20% - Énfasis5 3 14" xfId="7669" xr:uid="{00000000-0005-0000-0000-0000C01D0000}"/>
    <cellStyle name="20% - Énfasis5 3 15" xfId="7670" xr:uid="{00000000-0005-0000-0000-0000C11D0000}"/>
    <cellStyle name="20% - Énfasis5 3 16" xfId="7671" xr:uid="{00000000-0005-0000-0000-0000C21D0000}"/>
    <cellStyle name="20% - Énfasis5 3 17" xfId="7672" xr:uid="{00000000-0005-0000-0000-0000C31D0000}"/>
    <cellStyle name="20% - Énfasis5 3 18" xfId="7673" xr:uid="{00000000-0005-0000-0000-0000C41D0000}"/>
    <cellStyle name="20% - Énfasis5 3 19" xfId="7674" xr:uid="{00000000-0005-0000-0000-0000C51D0000}"/>
    <cellStyle name="20% - Énfasis5 3 2" xfId="7675" xr:uid="{00000000-0005-0000-0000-0000C61D0000}"/>
    <cellStyle name="20% - Énfasis5 3 2 2" xfId="7676" xr:uid="{00000000-0005-0000-0000-0000C71D0000}"/>
    <cellStyle name="20% - Énfasis5 3 2 2 2" xfId="7677" xr:uid="{00000000-0005-0000-0000-0000C81D0000}"/>
    <cellStyle name="20% - Énfasis5 3 2 2 2 2" xfId="7678" xr:uid="{00000000-0005-0000-0000-0000C91D0000}"/>
    <cellStyle name="20% - Énfasis5 3 2 2 2 2 2" xfId="7679" xr:uid="{00000000-0005-0000-0000-0000CA1D0000}"/>
    <cellStyle name="20% - Énfasis5 3 2 2 2 3" xfId="7680" xr:uid="{00000000-0005-0000-0000-0000CB1D0000}"/>
    <cellStyle name="20% - Énfasis5 3 2 2 2 3 2" xfId="7681" xr:uid="{00000000-0005-0000-0000-0000CC1D0000}"/>
    <cellStyle name="20% - Énfasis5 3 2 2 2 4" xfId="7682" xr:uid="{00000000-0005-0000-0000-0000CD1D0000}"/>
    <cellStyle name="20% - Énfasis5 3 2 2 3" xfId="7683" xr:uid="{00000000-0005-0000-0000-0000CE1D0000}"/>
    <cellStyle name="20% - Énfasis5 3 2 2 3 2" xfId="7684" xr:uid="{00000000-0005-0000-0000-0000CF1D0000}"/>
    <cellStyle name="20% - Énfasis5 3 2 2 4" xfId="7685" xr:uid="{00000000-0005-0000-0000-0000D01D0000}"/>
    <cellStyle name="20% - Énfasis5 3 2 2 4 2" xfId="7686" xr:uid="{00000000-0005-0000-0000-0000D11D0000}"/>
    <cellStyle name="20% - Énfasis5 3 2 2 5" xfId="7687" xr:uid="{00000000-0005-0000-0000-0000D21D0000}"/>
    <cellStyle name="20% - Énfasis5 3 2 3" xfId="7688" xr:uid="{00000000-0005-0000-0000-0000D31D0000}"/>
    <cellStyle name="20% - Énfasis5 3 2 3 2" xfId="7689" xr:uid="{00000000-0005-0000-0000-0000D41D0000}"/>
    <cellStyle name="20% - Énfasis5 3 2 3 2 2" xfId="7690" xr:uid="{00000000-0005-0000-0000-0000D51D0000}"/>
    <cellStyle name="20% - Énfasis5 3 2 3 3" xfId="7691" xr:uid="{00000000-0005-0000-0000-0000D61D0000}"/>
    <cellStyle name="20% - Énfasis5 3 2 3 3 2" xfId="7692" xr:uid="{00000000-0005-0000-0000-0000D71D0000}"/>
    <cellStyle name="20% - Énfasis5 3 2 3 4" xfId="7693" xr:uid="{00000000-0005-0000-0000-0000D81D0000}"/>
    <cellStyle name="20% - Énfasis5 3 2 4" xfId="7694" xr:uid="{00000000-0005-0000-0000-0000D91D0000}"/>
    <cellStyle name="20% - Énfasis5 3 2 4 2" xfId="7695" xr:uid="{00000000-0005-0000-0000-0000DA1D0000}"/>
    <cellStyle name="20% - Énfasis5 3 2 5" xfId="7696" xr:uid="{00000000-0005-0000-0000-0000DB1D0000}"/>
    <cellStyle name="20% - Énfasis5 3 2 5 2" xfId="7697" xr:uid="{00000000-0005-0000-0000-0000DC1D0000}"/>
    <cellStyle name="20% - Énfasis5 3 2 6" xfId="7698" xr:uid="{00000000-0005-0000-0000-0000DD1D0000}"/>
    <cellStyle name="20% - Énfasis5 3 20" xfId="7699" xr:uid="{00000000-0005-0000-0000-0000DE1D0000}"/>
    <cellStyle name="20% - Énfasis5 3 21" xfId="7700" xr:uid="{00000000-0005-0000-0000-0000DF1D0000}"/>
    <cellStyle name="20% - Énfasis5 3 22" xfId="7701" xr:uid="{00000000-0005-0000-0000-0000E01D0000}"/>
    <cellStyle name="20% - Énfasis5 3 23" xfId="7702" xr:uid="{00000000-0005-0000-0000-0000E11D0000}"/>
    <cellStyle name="20% - Énfasis5 3 24" xfId="7703" xr:uid="{00000000-0005-0000-0000-0000E21D0000}"/>
    <cellStyle name="20% - Énfasis5 3 25" xfId="7704" xr:uid="{00000000-0005-0000-0000-0000E31D0000}"/>
    <cellStyle name="20% - Énfasis5 3 26" xfId="7705" xr:uid="{00000000-0005-0000-0000-0000E41D0000}"/>
    <cellStyle name="20% - Énfasis5 3 27" xfId="7706" xr:uid="{00000000-0005-0000-0000-0000E51D0000}"/>
    <cellStyle name="20% - Énfasis5 3 28" xfId="7707" xr:uid="{00000000-0005-0000-0000-0000E61D0000}"/>
    <cellStyle name="20% - Énfasis5 3 29" xfId="7708" xr:uid="{00000000-0005-0000-0000-0000E71D0000}"/>
    <cellStyle name="20% - Énfasis5 3 3" xfId="7709" xr:uid="{00000000-0005-0000-0000-0000E81D0000}"/>
    <cellStyle name="20% - Énfasis5 3 3 2" xfId="7710" xr:uid="{00000000-0005-0000-0000-0000E91D0000}"/>
    <cellStyle name="20% - Énfasis5 3 3 2 2" xfId="7711" xr:uid="{00000000-0005-0000-0000-0000EA1D0000}"/>
    <cellStyle name="20% - Énfasis5 3 3 2 2 2" xfId="7712" xr:uid="{00000000-0005-0000-0000-0000EB1D0000}"/>
    <cellStyle name="20% - Énfasis5 3 3 2 3" xfId="7713" xr:uid="{00000000-0005-0000-0000-0000EC1D0000}"/>
    <cellStyle name="20% - Énfasis5 3 3 2 3 2" xfId="7714" xr:uid="{00000000-0005-0000-0000-0000ED1D0000}"/>
    <cellStyle name="20% - Énfasis5 3 3 2 4" xfId="7715" xr:uid="{00000000-0005-0000-0000-0000EE1D0000}"/>
    <cellStyle name="20% - Énfasis5 3 3 3" xfId="7716" xr:uid="{00000000-0005-0000-0000-0000EF1D0000}"/>
    <cellStyle name="20% - Énfasis5 3 3 3 2" xfId="7717" xr:uid="{00000000-0005-0000-0000-0000F01D0000}"/>
    <cellStyle name="20% - Énfasis5 3 3 4" xfId="7718" xr:uid="{00000000-0005-0000-0000-0000F11D0000}"/>
    <cellStyle name="20% - Énfasis5 3 3 4 2" xfId="7719" xr:uid="{00000000-0005-0000-0000-0000F21D0000}"/>
    <cellStyle name="20% - Énfasis5 3 3 5" xfId="7720" xr:uid="{00000000-0005-0000-0000-0000F31D0000}"/>
    <cellStyle name="20% - Énfasis5 3 30" xfId="7721" xr:uid="{00000000-0005-0000-0000-0000F41D0000}"/>
    <cellStyle name="20% - Énfasis5 3 31" xfId="7722" xr:uid="{00000000-0005-0000-0000-0000F51D0000}"/>
    <cellStyle name="20% - Énfasis5 3 32" xfId="7723" xr:uid="{00000000-0005-0000-0000-0000F61D0000}"/>
    <cellStyle name="20% - Énfasis5 3 33" xfId="7724" xr:uid="{00000000-0005-0000-0000-0000F71D0000}"/>
    <cellStyle name="20% - Énfasis5 3 34" xfId="7725" xr:uid="{00000000-0005-0000-0000-0000F81D0000}"/>
    <cellStyle name="20% - Énfasis5 3 4" xfId="7726" xr:uid="{00000000-0005-0000-0000-0000F91D0000}"/>
    <cellStyle name="20% - Énfasis5 3 4 2" xfId="7727" xr:uid="{00000000-0005-0000-0000-0000FA1D0000}"/>
    <cellStyle name="20% - Énfasis5 3 4 2 2" xfId="7728" xr:uid="{00000000-0005-0000-0000-0000FB1D0000}"/>
    <cellStyle name="20% - Énfasis5 3 4 3" xfId="7729" xr:uid="{00000000-0005-0000-0000-0000FC1D0000}"/>
    <cellStyle name="20% - Énfasis5 3 4 3 2" xfId="7730" xr:uid="{00000000-0005-0000-0000-0000FD1D0000}"/>
    <cellStyle name="20% - Énfasis5 3 4 4" xfId="7731" xr:uid="{00000000-0005-0000-0000-0000FE1D0000}"/>
    <cellStyle name="20% - Énfasis5 3 5" xfId="7732" xr:uid="{00000000-0005-0000-0000-0000FF1D0000}"/>
    <cellStyle name="20% - Énfasis5 3 5 2" xfId="7733" xr:uid="{00000000-0005-0000-0000-0000001E0000}"/>
    <cellStyle name="20% - Énfasis5 3 6" xfId="7734" xr:uid="{00000000-0005-0000-0000-0000011E0000}"/>
    <cellStyle name="20% - Énfasis5 3 6 2" xfId="7735" xr:uid="{00000000-0005-0000-0000-0000021E0000}"/>
    <cellStyle name="20% - Énfasis5 3 7" xfId="7736" xr:uid="{00000000-0005-0000-0000-0000031E0000}"/>
    <cellStyle name="20% - Énfasis5 3 8" xfId="7737" xr:uid="{00000000-0005-0000-0000-0000041E0000}"/>
    <cellStyle name="20% - Énfasis5 3 9" xfId="7738" xr:uid="{00000000-0005-0000-0000-0000051E0000}"/>
    <cellStyle name="20% - Énfasis5 4" xfId="7739" xr:uid="{00000000-0005-0000-0000-0000061E0000}"/>
    <cellStyle name="20% - Énfasis5 4 2" xfId="7740" xr:uid="{00000000-0005-0000-0000-0000071E0000}"/>
    <cellStyle name="20% - Énfasis5 4 2 2" xfId="7741" xr:uid="{00000000-0005-0000-0000-0000081E0000}"/>
    <cellStyle name="20% - Énfasis5 4 2 2 2" xfId="7742" xr:uid="{00000000-0005-0000-0000-0000091E0000}"/>
    <cellStyle name="20% - Énfasis5 4 2 2 2 2" xfId="7743" xr:uid="{00000000-0005-0000-0000-00000A1E0000}"/>
    <cellStyle name="20% - Énfasis5 4 2 2 2 2 2" xfId="7744" xr:uid="{00000000-0005-0000-0000-00000B1E0000}"/>
    <cellStyle name="20% - Énfasis5 4 2 2 2 3" xfId="7745" xr:uid="{00000000-0005-0000-0000-00000C1E0000}"/>
    <cellStyle name="20% - Énfasis5 4 2 2 2 3 2" xfId="7746" xr:uid="{00000000-0005-0000-0000-00000D1E0000}"/>
    <cellStyle name="20% - Énfasis5 4 2 2 2 4" xfId="7747" xr:uid="{00000000-0005-0000-0000-00000E1E0000}"/>
    <cellStyle name="20% - Énfasis5 4 2 2 3" xfId="7748" xr:uid="{00000000-0005-0000-0000-00000F1E0000}"/>
    <cellStyle name="20% - Énfasis5 4 2 2 3 2" xfId="7749" xr:uid="{00000000-0005-0000-0000-0000101E0000}"/>
    <cellStyle name="20% - Énfasis5 4 2 2 4" xfId="7750" xr:uid="{00000000-0005-0000-0000-0000111E0000}"/>
    <cellStyle name="20% - Énfasis5 4 2 2 4 2" xfId="7751" xr:uid="{00000000-0005-0000-0000-0000121E0000}"/>
    <cellStyle name="20% - Énfasis5 4 2 2 5" xfId="7752" xr:uid="{00000000-0005-0000-0000-0000131E0000}"/>
    <cellStyle name="20% - Énfasis5 4 2 3" xfId="7753" xr:uid="{00000000-0005-0000-0000-0000141E0000}"/>
    <cellStyle name="20% - Énfasis5 4 2 3 2" xfId="7754" xr:uid="{00000000-0005-0000-0000-0000151E0000}"/>
    <cellStyle name="20% - Énfasis5 4 2 3 2 2" xfId="7755" xr:uid="{00000000-0005-0000-0000-0000161E0000}"/>
    <cellStyle name="20% - Énfasis5 4 2 3 3" xfId="7756" xr:uid="{00000000-0005-0000-0000-0000171E0000}"/>
    <cellStyle name="20% - Énfasis5 4 2 3 3 2" xfId="7757" xr:uid="{00000000-0005-0000-0000-0000181E0000}"/>
    <cellStyle name="20% - Énfasis5 4 2 3 4" xfId="7758" xr:uid="{00000000-0005-0000-0000-0000191E0000}"/>
    <cellStyle name="20% - Énfasis5 4 2 4" xfId="7759" xr:uid="{00000000-0005-0000-0000-00001A1E0000}"/>
    <cellStyle name="20% - Énfasis5 4 2 4 2" xfId="7760" xr:uid="{00000000-0005-0000-0000-00001B1E0000}"/>
    <cellStyle name="20% - Énfasis5 4 2 5" xfId="7761" xr:uid="{00000000-0005-0000-0000-00001C1E0000}"/>
    <cellStyle name="20% - Énfasis5 4 2 5 2" xfId="7762" xr:uid="{00000000-0005-0000-0000-00001D1E0000}"/>
    <cellStyle name="20% - Énfasis5 4 2 6" xfId="7763" xr:uid="{00000000-0005-0000-0000-00001E1E0000}"/>
    <cellStyle name="20% - Énfasis5 4 3" xfId="7764" xr:uid="{00000000-0005-0000-0000-00001F1E0000}"/>
    <cellStyle name="20% - Énfasis5 4 3 2" xfId="7765" xr:uid="{00000000-0005-0000-0000-0000201E0000}"/>
    <cellStyle name="20% - Énfasis5 4 3 2 2" xfId="7766" xr:uid="{00000000-0005-0000-0000-0000211E0000}"/>
    <cellStyle name="20% - Énfasis5 4 3 2 2 2" xfId="7767" xr:uid="{00000000-0005-0000-0000-0000221E0000}"/>
    <cellStyle name="20% - Énfasis5 4 3 2 3" xfId="7768" xr:uid="{00000000-0005-0000-0000-0000231E0000}"/>
    <cellStyle name="20% - Énfasis5 4 3 2 3 2" xfId="7769" xr:uid="{00000000-0005-0000-0000-0000241E0000}"/>
    <cellStyle name="20% - Énfasis5 4 3 2 4" xfId="7770" xr:uid="{00000000-0005-0000-0000-0000251E0000}"/>
    <cellStyle name="20% - Énfasis5 4 3 3" xfId="7771" xr:uid="{00000000-0005-0000-0000-0000261E0000}"/>
    <cellStyle name="20% - Énfasis5 4 3 3 2" xfId="7772" xr:uid="{00000000-0005-0000-0000-0000271E0000}"/>
    <cellStyle name="20% - Énfasis5 4 3 4" xfId="7773" xr:uid="{00000000-0005-0000-0000-0000281E0000}"/>
    <cellStyle name="20% - Énfasis5 4 3 4 2" xfId="7774" xr:uid="{00000000-0005-0000-0000-0000291E0000}"/>
    <cellStyle name="20% - Énfasis5 4 3 5" xfId="7775" xr:uid="{00000000-0005-0000-0000-00002A1E0000}"/>
    <cellStyle name="20% - Énfasis5 4 4" xfId="7776" xr:uid="{00000000-0005-0000-0000-00002B1E0000}"/>
    <cellStyle name="20% - Énfasis5 4 4 2" xfId="7777" xr:uid="{00000000-0005-0000-0000-00002C1E0000}"/>
    <cellStyle name="20% - Énfasis5 4 4 2 2" xfId="7778" xr:uid="{00000000-0005-0000-0000-00002D1E0000}"/>
    <cellStyle name="20% - Énfasis5 4 4 3" xfId="7779" xr:uid="{00000000-0005-0000-0000-00002E1E0000}"/>
    <cellStyle name="20% - Énfasis5 4 4 3 2" xfId="7780" xr:uid="{00000000-0005-0000-0000-00002F1E0000}"/>
    <cellStyle name="20% - Énfasis5 4 4 4" xfId="7781" xr:uid="{00000000-0005-0000-0000-0000301E0000}"/>
    <cellStyle name="20% - Énfasis5 4 5" xfId="7782" xr:uid="{00000000-0005-0000-0000-0000311E0000}"/>
    <cellStyle name="20% - Énfasis5 4 5 2" xfId="7783" xr:uid="{00000000-0005-0000-0000-0000321E0000}"/>
    <cellStyle name="20% - Énfasis5 4 6" xfId="7784" xr:uid="{00000000-0005-0000-0000-0000331E0000}"/>
    <cellStyle name="20% - Énfasis5 4 6 2" xfId="7785" xr:uid="{00000000-0005-0000-0000-0000341E0000}"/>
    <cellStyle name="20% - Énfasis5 4 7" xfId="7786" xr:uid="{00000000-0005-0000-0000-0000351E0000}"/>
    <cellStyle name="20% - Énfasis5 4 8" xfId="7787" xr:uid="{00000000-0005-0000-0000-0000361E0000}"/>
    <cellStyle name="20% - Énfasis5 5" xfId="7788" xr:uid="{00000000-0005-0000-0000-0000371E0000}"/>
    <cellStyle name="20% - Énfasis5 5 2" xfId="7789" xr:uid="{00000000-0005-0000-0000-0000381E0000}"/>
    <cellStyle name="20% - Énfasis5 5 2 2" xfId="7790" xr:uid="{00000000-0005-0000-0000-0000391E0000}"/>
    <cellStyle name="20% - Énfasis5 5 2 2 2" xfId="7791" xr:uid="{00000000-0005-0000-0000-00003A1E0000}"/>
    <cellStyle name="20% - Énfasis5 5 2 2 2 2" xfId="7792" xr:uid="{00000000-0005-0000-0000-00003B1E0000}"/>
    <cellStyle name="20% - Énfasis5 5 2 2 2 2 2" xfId="7793" xr:uid="{00000000-0005-0000-0000-00003C1E0000}"/>
    <cellStyle name="20% - Énfasis5 5 2 2 2 3" xfId="7794" xr:uid="{00000000-0005-0000-0000-00003D1E0000}"/>
    <cellStyle name="20% - Énfasis5 5 2 2 2 3 2" xfId="7795" xr:uid="{00000000-0005-0000-0000-00003E1E0000}"/>
    <cellStyle name="20% - Énfasis5 5 2 2 2 4" xfId="7796" xr:uid="{00000000-0005-0000-0000-00003F1E0000}"/>
    <cellStyle name="20% - Énfasis5 5 2 2 3" xfId="7797" xr:uid="{00000000-0005-0000-0000-0000401E0000}"/>
    <cellStyle name="20% - Énfasis5 5 2 2 3 2" xfId="7798" xr:uid="{00000000-0005-0000-0000-0000411E0000}"/>
    <cellStyle name="20% - Énfasis5 5 2 2 4" xfId="7799" xr:uid="{00000000-0005-0000-0000-0000421E0000}"/>
    <cellStyle name="20% - Énfasis5 5 2 2 4 2" xfId="7800" xr:uid="{00000000-0005-0000-0000-0000431E0000}"/>
    <cellStyle name="20% - Énfasis5 5 2 2 5" xfId="7801" xr:uid="{00000000-0005-0000-0000-0000441E0000}"/>
    <cellStyle name="20% - Énfasis5 5 2 3" xfId="7802" xr:uid="{00000000-0005-0000-0000-0000451E0000}"/>
    <cellStyle name="20% - Énfasis5 5 2 3 2" xfId="7803" xr:uid="{00000000-0005-0000-0000-0000461E0000}"/>
    <cellStyle name="20% - Énfasis5 5 2 3 2 2" xfId="7804" xr:uid="{00000000-0005-0000-0000-0000471E0000}"/>
    <cellStyle name="20% - Énfasis5 5 2 3 3" xfId="7805" xr:uid="{00000000-0005-0000-0000-0000481E0000}"/>
    <cellStyle name="20% - Énfasis5 5 2 3 3 2" xfId="7806" xr:uid="{00000000-0005-0000-0000-0000491E0000}"/>
    <cellStyle name="20% - Énfasis5 5 2 3 4" xfId="7807" xr:uid="{00000000-0005-0000-0000-00004A1E0000}"/>
    <cellStyle name="20% - Énfasis5 5 2 4" xfId="7808" xr:uid="{00000000-0005-0000-0000-00004B1E0000}"/>
    <cellStyle name="20% - Énfasis5 5 2 4 2" xfId="7809" xr:uid="{00000000-0005-0000-0000-00004C1E0000}"/>
    <cellStyle name="20% - Énfasis5 5 2 5" xfId="7810" xr:uid="{00000000-0005-0000-0000-00004D1E0000}"/>
    <cellStyle name="20% - Énfasis5 5 2 5 2" xfId="7811" xr:uid="{00000000-0005-0000-0000-00004E1E0000}"/>
    <cellStyle name="20% - Énfasis5 5 2 6" xfId="7812" xr:uid="{00000000-0005-0000-0000-00004F1E0000}"/>
    <cellStyle name="20% - Énfasis5 5 3" xfId="7813" xr:uid="{00000000-0005-0000-0000-0000501E0000}"/>
    <cellStyle name="20% - Énfasis5 5 3 2" xfId="7814" xr:uid="{00000000-0005-0000-0000-0000511E0000}"/>
    <cellStyle name="20% - Énfasis5 5 3 2 2" xfId="7815" xr:uid="{00000000-0005-0000-0000-0000521E0000}"/>
    <cellStyle name="20% - Énfasis5 5 3 2 2 2" xfId="7816" xr:uid="{00000000-0005-0000-0000-0000531E0000}"/>
    <cellStyle name="20% - Énfasis5 5 3 2 3" xfId="7817" xr:uid="{00000000-0005-0000-0000-0000541E0000}"/>
    <cellStyle name="20% - Énfasis5 5 3 2 3 2" xfId="7818" xr:uid="{00000000-0005-0000-0000-0000551E0000}"/>
    <cellStyle name="20% - Énfasis5 5 3 2 4" xfId="7819" xr:uid="{00000000-0005-0000-0000-0000561E0000}"/>
    <cellStyle name="20% - Énfasis5 5 3 3" xfId="7820" xr:uid="{00000000-0005-0000-0000-0000571E0000}"/>
    <cellStyle name="20% - Énfasis5 5 3 3 2" xfId="7821" xr:uid="{00000000-0005-0000-0000-0000581E0000}"/>
    <cellStyle name="20% - Énfasis5 5 3 4" xfId="7822" xr:uid="{00000000-0005-0000-0000-0000591E0000}"/>
    <cellStyle name="20% - Énfasis5 5 3 4 2" xfId="7823" xr:uid="{00000000-0005-0000-0000-00005A1E0000}"/>
    <cellStyle name="20% - Énfasis5 5 3 5" xfId="7824" xr:uid="{00000000-0005-0000-0000-00005B1E0000}"/>
    <cellStyle name="20% - Énfasis5 5 4" xfId="7825" xr:uid="{00000000-0005-0000-0000-00005C1E0000}"/>
    <cellStyle name="20% - Énfasis5 5 4 2" xfId="7826" xr:uid="{00000000-0005-0000-0000-00005D1E0000}"/>
    <cellStyle name="20% - Énfasis5 5 4 2 2" xfId="7827" xr:uid="{00000000-0005-0000-0000-00005E1E0000}"/>
    <cellStyle name="20% - Énfasis5 5 4 3" xfId="7828" xr:uid="{00000000-0005-0000-0000-00005F1E0000}"/>
    <cellStyle name="20% - Énfasis5 5 4 3 2" xfId="7829" xr:uid="{00000000-0005-0000-0000-0000601E0000}"/>
    <cellStyle name="20% - Énfasis5 5 4 4" xfId="7830" xr:uid="{00000000-0005-0000-0000-0000611E0000}"/>
    <cellStyle name="20% - Énfasis5 5 5" xfId="7831" xr:uid="{00000000-0005-0000-0000-0000621E0000}"/>
    <cellStyle name="20% - Énfasis5 5 5 2" xfId="7832" xr:uid="{00000000-0005-0000-0000-0000631E0000}"/>
    <cellStyle name="20% - Énfasis5 5 6" xfId="7833" xr:uid="{00000000-0005-0000-0000-0000641E0000}"/>
    <cellStyle name="20% - Énfasis5 5 6 2" xfId="7834" xr:uid="{00000000-0005-0000-0000-0000651E0000}"/>
    <cellStyle name="20% - Énfasis5 5 7" xfId="7835" xr:uid="{00000000-0005-0000-0000-0000661E0000}"/>
    <cellStyle name="20% - Énfasis5 6" xfId="7836" xr:uid="{00000000-0005-0000-0000-0000671E0000}"/>
    <cellStyle name="20% - Énfasis5 6 2" xfId="7837" xr:uid="{00000000-0005-0000-0000-0000681E0000}"/>
    <cellStyle name="20% - Énfasis5 6 2 2" xfId="7838" xr:uid="{00000000-0005-0000-0000-0000691E0000}"/>
    <cellStyle name="20% - Énfasis5 6 2 2 2" xfId="7839" xr:uid="{00000000-0005-0000-0000-00006A1E0000}"/>
    <cellStyle name="20% - Énfasis5 6 2 2 2 2" xfId="7840" xr:uid="{00000000-0005-0000-0000-00006B1E0000}"/>
    <cellStyle name="20% - Énfasis5 6 2 2 2 2 2" xfId="7841" xr:uid="{00000000-0005-0000-0000-00006C1E0000}"/>
    <cellStyle name="20% - Énfasis5 6 2 2 2 3" xfId="7842" xr:uid="{00000000-0005-0000-0000-00006D1E0000}"/>
    <cellStyle name="20% - Énfasis5 6 2 2 2 3 2" xfId="7843" xr:uid="{00000000-0005-0000-0000-00006E1E0000}"/>
    <cellStyle name="20% - Énfasis5 6 2 2 2 4" xfId="7844" xr:uid="{00000000-0005-0000-0000-00006F1E0000}"/>
    <cellStyle name="20% - Énfasis5 6 2 2 3" xfId="7845" xr:uid="{00000000-0005-0000-0000-0000701E0000}"/>
    <cellStyle name="20% - Énfasis5 6 2 2 3 2" xfId="7846" xr:uid="{00000000-0005-0000-0000-0000711E0000}"/>
    <cellStyle name="20% - Énfasis5 6 2 2 4" xfId="7847" xr:uid="{00000000-0005-0000-0000-0000721E0000}"/>
    <cellStyle name="20% - Énfasis5 6 2 2 4 2" xfId="7848" xr:uid="{00000000-0005-0000-0000-0000731E0000}"/>
    <cellStyle name="20% - Énfasis5 6 2 2 5" xfId="7849" xr:uid="{00000000-0005-0000-0000-0000741E0000}"/>
    <cellStyle name="20% - Énfasis5 6 2 3" xfId="7850" xr:uid="{00000000-0005-0000-0000-0000751E0000}"/>
    <cellStyle name="20% - Énfasis5 6 2 3 2" xfId="7851" xr:uid="{00000000-0005-0000-0000-0000761E0000}"/>
    <cellStyle name="20% - Énfasis5 6 2 3 2 2" xfId="7852" xr:uid="{00000000-0005-0000-0000-0000771E0000}"/>
    <cellStyle name="20% - Énfasis5 6 2 3 3" xfId="7853" xr:uid="{00000000-0005-0000-0000-0000781E0000}"/>
    <cellStyle name="20% - Énfasis5 6 2 3 3 2" xfId="7854" xr:uid="{00000000-0005-0000-0000-0000791E0000}"/>
    <cellStyle name="20% - Énfasis5 6 2 3 4" xfId="7855" xr:uid="{00000000-0005-0000-0000-00007A1E0000}"/>
    <cellStyle name="20% - Énfasis5 6 2 4" xfId="7856" xr:uid="{00000000-0005-0000-0000-00007B1E0000}"/>
    <cellStyle name="20% - Énfasis5 6 2 4 2" xfId="7857" xr:uid="{00000000-0005-0000-0000-00007C1E0000}"/>
    <cellStyle name="20% - Énfasis5 6 2 5" xfId="7858" xr:uid="{00000000-0005-0000-0000-00007D1E0000}"/>
    <cellStyle name="20% - Énfasis5 6 2 5 2" xfId="7859" xr:uid="{00000000-0005-0000-0000-00007E1E0000}"/>
    <cellStyle name="20% - Énfasis5 6 2 6" xfId="7860" xr:uid="{00000000-0005-0000-0000-00007F1E0000}"/>
    <cellStyle name="20% - Énfasis5 6 3" xfId="7861" xr:uid="{00000000-0005-0000-0000-0000801E0000}"/>
    <cellStyle name="20% - Énfasis5 6 3 2" xfId="7862" xr:uid="{00000000-0005-0000-0000-0000811E0000}"/>
    <cellStyle name="20% - Énfasis5 6 3 2 2" xfId="7863" xr:uid="{00000000-0005-0000-0000-0000821E0000}"/>
    <cellStyle name="20% - Énfasis5 6 3 2 2 2" xfId="7864" xr:uid="{00000000-0005-0000-0000-0000831E0000}"/>
    <cellStyle name="20% - Énfasis5 6 3 2 3" xfId="7865" xr:uid="{00000000-0005-0000-0000-0000841E0000}"/>
    <cellStyle name="20% - Énfasis5 6 3 2 3 2" xfId="7866" xr:uid="{00000000-0005-0000-0000-0000851E0000}"/>
    <cellStyle name="20% - Énfasis5 6 3 2 4" xfId="7867" xr:uid="{00000000-0005-0000-0000-0000861E0000}"/>
    <cellStyle name="20% - Énfasis5 6 3 3" xfId="7868" xr:uid="{00000000-0005-0000-0000-0000871E0000}"/>
    <cellStyle name="20% - Énfasis5 6 3 3 2" xfId="7869" xr:uid="{00000000-0005-0000-0000-0000881E0000}"/>
    <cellStyle name="20% - Énfasis5 6 3 4" xfId="7870" xr:uid="{00000000-0005-0000-0000-0000891E0000}"/>
    <cellStyle name="20% - Énfasis5 6 3 4 2" xfId="7871" xr:uid="{00000000-0005-0000-0000-00008A1E0000}"/>
    <cellStyle name="20% - Énfasis5 6 3 5" xfId="7872" xr:uid="{00000000-0005-0000-0000-00008B1E0000}"/>
    <cellStyle name="20% - Énfasis5 6 4" xfId="7873" xr:uid="{00000000-0005-0000-0000-00008C1E0000}"/>
    <cellStyle name="20% - Énfasis5 6 4 2" xfId="7874" xr:uid="{00000000-0005-0000-0000-00008D1E0000}"/>
    <cellStyle name="20% - Énfasis5 6 4 2 2" xfId="7875" xr:uid="{00000000-0005-0000-0000-00008E1E0000}"/>
    <cellStyle name="20% - Énfasis5 6 4 3" xfId="7876" xr:uid="{00000000-0005-0000-0000-00008F1E0000}"/>
    <cellStyle name="20% - Énfasis5 6 4 3 2" xfId="7877" xr:uid="{00000000-0005-0000-0000-0000901E0000}"/>
    <cellStyle name="20% - Énfasis5 6 4 4" xfId="7878" xr:uid="{00000000-0005-0000-0000-0000911E0000}"/>
    <cellStyle name="20% - Énfasis5 6 5" xfId="7879" xr:uid="{00000000-0005-0000-0000-0000921E0000}"/>
    <cellStyle name="20% - Énfasis5 6 5 2" xfId="7880" xr:uid="{00000000-0005-0000-0000-0000931E0000}"/>
    <cellStyle name="20% - Énfasis5 6 6" xfId="7881" xr:uid="{00000000-0005-0000-0000-0000941E0000}"/>
    <cellStyle name="20% - Énfasis5 6 6 2" xfId="7882" xr:uid="{00000000-0005-0000-0000-0000951E0000}"/>
    <cellStyle name="20% - Énfasis5 6 7" xfId="7883" xr:uid="{00000000-0005-0000-0000-0000961E0000}"/>
    <cellStyle name="20% - Énfasis5 7" xfId="7884" xr:uid="{00000000-0005-0000-0000-0000971E0000}"/>
    <cellStyle name="20% - Énfasis5 7 2" xfId="7885" xr:uid="{00000000-0005-0000-0000-0000981E0000}"/>
    <cellStyle name="20% - Énfasis5 7 2 2" xfId="7886" xr:uid="{00000000-0005-0000-0000-0000991E0000}"/>
    <cellStyle name="20% - Énfasis5 7 2 2 2" xfId="7887" xr:uid="{00000000-0005-0000-0000-00009A1E0000}"/>
    <cellStyle name="20% - Énfasis5 7 2 2 2 2" xfId="7888" xr:uid="{00000000-0005-0000-0000-00009B1E0000}"/>
    <cellStyle name="20% - Énfasis5 7 2 2 3" xfId="7889" xr:uid="{00000000-0005-0000-0000-00009C1E0000}"/>
    <cellStyle name="20% - Énfasis5 7 2 2 3 2" xfId="7890" xr:uid="{00000000-0005-0000-0000-00009D1E0000}"/>
    <cellStyle name="20% - Énfasis5 7 2 2 4" xfId="7891" xr:uid="{00000000-0005-0000-0000-00009E1E0000}"/>
    <cellStyle name="20% - Énfasis5 7 2 3" xfId="7892" xr:uid="{00000000-0005-0000-0000-00009F1E0000}"/>
    <cellStyle name="20% - Énfasis5 7 2 3 2" xfId="7893" xr:uid="{00000000-0005-0000-0000-0000A01E0000}"/>
    <cellStyle name="20% - Énfasis5 7 2 4" xfId="7894" xr:uid="{00000000-0005-0000-0000-0000A11E0000}"/>
    <cellStyle name="20% - Énfasis5 7 2 4 2" xfId="7895" xr:uid="{00000000-0005-0000-0000-0000A21E0000}"/>
    <cellStyle name="20% - Énfasis5 7 2 5" xfId="7896" xr:uid="{00000000-0005-0000-0000-0000A31E0000}"/>
    <cellStyle name="20% - Énfasis5 7 3" xfId="7897" xr:uid="{00000000-0005-0000-0000-0000A41E0000}"/>
    <cellStyle name="20% - Énfasis5 7 3 2" xfId="7898" xr:uid="{00000000-0005-0000-0000-0000A51E0000}"/>
    <cellStyle name="20% - Énfasis5 7 3 2 2" xfId="7899" xr:uid="{00000000-0005-0000-0000-0000A61E0000}"/>
    <cellStyle name="20% - Énfasis5 7 3 3" xfId="7900" xr:uid="{00000000-0005-0000-0000-0000A71E0000}"/>
    <cellStyle name="20% - Énfasis5 7 3 3 2" xfId="7901" xr:uid="{00000000-0005-0000-0000-0000A81E0000}"/>
    <cellStyle name="20% - Énfasis5 7 3 4" xfId="7902" xr:uid="{00000000-0005-0000-0000-0000A91E0000}"/>
    <cellStyle name="20% - Énfasis5 7 4" xfId="7903" xr:uid="{00000000-0005-0000-0000-0000AA1E0000}"/>
    <cellStyle name="20% - Énfasis5 7 4 2" xfId="7904" xr:uid="{00000000-0005-0000-0000-0000AB1E0000}"/>
    <cellStyle name="20% - Énfasis5 7 5" xfId="7905" xr:uid="{00000000-0005-0000-0000-0000AC1E0000}"/>
    <cellStyle name="20% - Énfasis5 7 5 2" xfId="7906" xr:uid="{00000000-0005-0000-0000-0000AD1E0000}"/>
    <cellStyle name="20% - Énfasis5 7 6" xfId="7907" xr:uid="{00000000-0005-0000-0000-0000AE1E0000}"/>
    <cellStyle name="20% - Énfasis5 8" xfId="7908" xr:uid="{00000000-0005-0000-0000-0000AF1E0000}"/>
    <cellStyle name="20% - Énfasis5 8 2" xfId="7909" xr:uid="{00000000-0005-0000-0000-0000B01E0000}"/>
    <cellStyle name="20% - Énfasis5 8 2 2" xfId="7910" xr:uid="{00000000-0005-0000-0000-0000B11E0000}"/>
    <cellStyle name="20% - Énfasis5 8 2 2 2" xfId="7911" xr:uid="{00000000-0005-0000-0000-0000B21E0000}"/>
    <cellStyle name="20% - Énfasis5 8 2 2 2 2" xfId="7912" xr:uid="{00000000-0005-0000-0000-0000B31E0000}"/>
    <cellStyle name="20% - Énfasis5 8 2 2 3" xfId="7913" xr:uid="{00000000-0005-0000-0000-0000B41E0000}"/>
    <cellStyle name="20% - Énfasis5 8 2 2 3 2" xfId="7914" xr:uid="{00000000-0005-0000-0000-0000B51E0000}"/>
    <cellStyle name="20% - Énfasis5 8 2 2 4" xfId="7915" xr:uid="{00000000-0005-0000-0000-0000B61E0000}"/>
    <cellStyle name="20% - Énfasis5 8 2 3" xfId="7916" xr:uid="{00000000-0005-0000-0000-0000B71E0000}"/>
    <cellStyle name="20% - Énfasis5 8 2 3 2" xfId="7917" xr:uid="{00000000-0005-0000-0000-0000B81E0000}"/>
    <cellStyle name="20% - Énfasis5 8 2 4" xfId="7918" xr:uid="{00000000-0005-0000-0000-0000B91E0000}"/>
    <cellStyle name="20% - Énfasis5 8 2 4 2" xfId="7919" xr:uid="{00000000-0005-0000-0000-0000BA1E0000}"/>
    <cellStyle name="20% - Énfasis5 8 2 5" xfId="7920" xr:uid="{00000000-0005-0000-0000-0000BB1E0000}"/>
    <cellStyle name="20% - Énfasis5 8 3" xfId="7921" xr:uid="{00000000-0005-0000-0000-0000BC1E0000}"/>
    <cellStyle name="20% - Énfasis5 8 3 2" xfId="7922" xr:uid="{00000000-0005-0000-0000-0000BD1E0000}"/>
    <cellStyle name="20% - Énfasis5 8 3 2 2" xfId="7923" xr:uid="{00000000-0005-0000-0000-0000BE1E0000}"/>
    <cellStyle name="20% - Énfasis5 8 3 3" xfId="7924" xr:uid="{00000000-0005-0000-0000-0000BF1E0000}"/>
    <cellStyle name="20% - Énfasis5 8 3 3 2" xfId="7925" xr:uid="{00000000-0005-0000-0000-0000C01E0000}"/>
    <cellStyle name="20% - Énfasis5 8 3 4" xfId="7926" xr:uid="{00000000-0005-0000-0000-0000C11E0000}"/>
    <cellStyle name="20% - Énfasis5 8 4" xfId="7927" xr:uid="{00000000-0005-0000-0000-0000C21E0000}"/>
    <cellStyle name="20% - Énfasis5 8 4 2" xfId="7928" xr:uid="{00000000-0005-0000-0000-0000C31E0000}"/>
    <cellStyle name="20% - Énfasis5 8 5" xfId="7929" xr:uid="{00000000-0005-0000-0000-0000C41E0000}"/>
    <cellStyle name="20% - Énfasis5 8 5 2" xfId="7930" xr:uid="{00000000-0005-0000-0000-0000C51E0000}"/>
    <cellStyle name="20% - Énfasis5 8 6" xfId="7931" xr:uid="{00000000-0005-0000-0000-0000C61E0000}"/>
    <cellStyle name="20% - Énfasis5 9" xfId="7932" xr:uid="{00000000-0005-0000-0000-0000C71E0000}"/>
    <cellStyle name="20% - Énfasis5 9 2" xfId="7933" xr:uid="{00000000-0005-0000-0000-0000C81E0000}"/>
    <cellStyle name="20% - Énfasis5 9 2 2" xfId="7934" xr:uid="{00000000-0005-0000-0000-0000C91E0000}"/>
    <cellStyle name="20% - Énfasis5 9 2 2 2" xfId="7935" xr:uid="{00000000-0005-0000-0000-0000CA1E0000}"/>
    <cellStyle name="20% - Énfasis5 9 2 3" xfId="7936" xr:uid="{00000000-0005-0000-0000-0000CB1E0000}"/>
    <cellStyle name="20% - Énfasis5 9 2 3 2" xfId="7937" xr:uid="{00000000-0005-0000-0000-0000CC1E0000}"/>
    <cellStyle name="20% - Énfasis5 9 2 4" xfId="7938" xr:uid="{00000000-0005-0000-0000-0000CD1E0000}"/>
    <cellStyle name="20% - Énfasis5 9 3" xfId="7939" xr:uid="{00000000-0005-0000-0000-0000CE1E0000}"/>
    <cellStyle name="20% - Énfasis5 9 3 2" xfId="7940" xr:uid="{00000000-0005-0000-0000-0000CF1E0000}"/>
    <cellStyle name="20% - Énfasis5 9 4" xfId="7941" xr:uid="{00000000-0005-0000-0000-0000D01E0000}"/>
    <cellStyle name="20% - Énfasis5 9 4 2" xfId="7942" xr:uid="{00000000-0005-0000-0000-0000D11E0000}"/>
    <cellStyle name="20% - Énfasis5 9 5" xfId="7943" xr:uid="{00000000-0005-0000-0000-0000D21E0000}"/>
    <cellStyle name="20% - Énfasis6" xfId="11" builtinId="50" customBuiltin="1"/>
    <cellStyle name="20% - Énfasis6 10" xfId="7944" xr:uid="{00000000-0005-0000-0000-0000D41E0000}"/>
    <cellStyle name="20% - Énfasis6 10 2" xfId="7945" xr:uid="{00000000-0005-0000-0000-0000D51E0000}"/>
    <cellStyle name="20% - Énfasis6 10 2 2" xfId="7946" xr:uid="{00000000-0005-0000-0000-0000D61E0000}"/>
    <cellStyle name="20% - Énfasis6 10 3" xfId="7947" xr:uid="{00000000-0005-0000-0000-0000D71E0000}"/>
    <cellStyle name="20% - Énfasis6 10 3 2" xfId="7948" xr:uid="{00000000-0005-0000-0000-0000D81E0000}"/>
    <cellStyle name="20% - Énfasis6 10 4" xfId="7949" xr:uid="{00000000-0005-0000-0000-0000D91E0000}"/>
    <cellStyle name="20% - Énfasis6 11" xfId="7950" xr:uid="{00000000-0005-0000-0000-0000DA1E0000}"/>
    <cellStyle name="20% - Énfasis6 11 2" xfId="7951" xr:uid="{00000000-0005-0000-0000-0000DB1E0000}"/>
    <cellStyle name="20% - Énfasis6 12" xfId="7952" xr:uid="{00000000-0005-0000-0000-0000DC1E0000}"/>
    <cellStyle name="20% - Énfasis6 12 2" xfId="7953" xr:uid="{00000000-0005-0000-0000-0000DD1E0000}"/>
    <cellStyle name="20% - Énfasis6 13" xfId="7954" xr:uid="{00000000-0005-0000-0000-0000DE1E0000}"/>
    <cellStyle name="20% - Énfasis6 14" xfId="7955" xr:uid="{00000000-0005-0000-0000-0000DF1E0000}"/>
    <cellStyle name="20% - Énfasis6 15" xfId="7956" xr:uid="{00000000-0005-0000-0000-0000E01E0000}"/>
    <cellStyle name="20% - Énfasis6 16" xfId="7957" xr:uid="{00000000-0005-0000-0000-0000E11E0000}"/>
    <cellStyle name="20% - Énfasis6 2" xfId="12" xr:uid="{00000000-0005-0000-0000-0000E21E0000}"/>
    <cellStyle name="20% - Énfasis6 2 10" xfId="7958" xr:uid="{00000000-0005-0000-0000-0000E31E0000}"/>
    <cellStyle name="20% - Énfasis6 2 11" xfId="7959" xr:uid="{00000000-0005-0000-0000-0000E41E0000}"/>
    <cellStyle name="20% - Énfasis6 2 12" xfId="7960" xr:uid="{00000000-0005-0000-0000-0000E51E0000}"/>
    <cellStyle name="20% - Énfasis6 2 13" xfId="7961" xr:uid="{00000000-0005-0000-0000-0000E61E0000}"/>
    <cellStyle name="20% - Énfasis6 2 14" xfId="7962" xr:uid="{00000000-0005-0000-0000-0000E71E0000}"/>
    <cellStyle name="20% - Énfasis6 2 15" xfId="7963" xr:uid="{00000000-0005-0000-0000-0000E81E0000}"/>
    <cellStyle name="20% - Énfasis6 2 16" xfId="7964" xr:uid="{00000000-0005-0000-0000-0000E91E0000}"/>
    <cellStyle name="20% - Énfasis6 2 17" xfId="7965" xr:uid="{00000000-0005-0000-0000-0000EA1E0000}"/>
    <cellStyle name="20% - Énfasis6 2 18" xfId="7966" xr:uid="{00000000-0005-0000-0000-0000EB1E0000}"/>
    <cellStyle name="20% - Énfasis6 2 19" xfId="7967" xr:uid="{00000000-0005-0000-0000-0000EC1E0000}"/>
    <cellStyle name="20% - Énfasis6 2 2" xfId="7968" xr:uid="{00000000-0005-0000-0000-0000ED1E0000}"/>
    <cellStyle name="20% - Énfasis6 2 2 2" xfId="7969" xr:uid="{00000000-0005-0000-0000-0000EE1E0000}"/>
    <cellStyle name="20% - Énfasis6 2 2 2 2" xfId="7970" xr:uid="{00000000-0005-0000-0000-0000EF1E0000}"/>
    <cellStyle name="20% - Énfasis6 2 2 2 2 2" xfId="7971" xr:uid="{00000000-0005-0000-0000-0000F01E0000}"/>
    <cellStyle name="20% - Énfasis6 2 2 2 2 2 2" xfId="7972" xr:uid="{00000000-0005-0000-0000-0000F11E0000}"/>
    <cellStyle name="20% - Énfasis6 2 2 2 2 3" xfId="7973" xr:uid="{00000000-0005-0000-0000-0000F21E0000}"/>
    <cellStyle name="20% - Énfasis6 2 2 2 2 3 2" xfId="7974" xr:uid="{00000000-0005-0000-0000-0000F31E0000}"/>
    <cellStyle name="20% - Énfasis6 2 2 2 2 4" xfId="7975" xr:uid="{00000000-0005-0000-0000-0000F41E0000}"/>
    <cellStyle name="20% - Énfasis6 2 2 2 3" xfId="7976" xr:uid="{00000000-0005-0000-0000-0000F51E0000}"/>
    <cellStyle name="20% - Énfasis6 2 2 2 3 2" xfId="7977" xr:uid="{00000000-0005-0000-0000-0000F61E0000}"/>
    <cellStyle name="20% - Énfasis6 2 2 2 4" xfId="7978" xr:uid="{00000000-0005-0000-0000-0000F71E0000}"/>
    <cellStyle name="20% - Énfasis6 2 2 2 4 2" xfId="7979" xr:uid="{00000000-0005-0000-0000-0000F81E0000}"/>
    <cellStyle name="20% - Énfasis6 2 2 2 5" xfId="7980" xr:uid="{00000000-0005-0000-0000-0000F91E0000}"/>
    <cellStyle name="20% - Énfasis6 2 2 3" xfId="7981" xr:uid="{00000000-0005-0000-0000-0000FA1E0000}"/>
    <cellStyle name="20% - Énfasis6 2 2 3 2" xfId="7982" xr:uid="{00000000-0005-0000-0000-0000FB1E0000}"/>
    <cellStyle name="20% - Énfasis6 2 2 3 2 2" xfId="7983" xr:uid="{00000000-0005-0000-0000-0000FC1E0000}"/>
    <cellStyle name="20% - Énfasis6 2 2 3 3" xfId="7984" xr:uid="{00000000-0005-0000-0000-0000FD1E0000}"/>
    <cellStyle name="20% - Énfasis6 2 2 3 3 2" xfId="7985" xr:uid="{00000000-0005-0000-0000-0000FE1E0000}"/>
    <cellStyle name="20% - Énfasis6 2 2 3 4" xfId="7986" xr:uid="{00000000-0005-0000-0000-0000FF1E0000}"/>
    <cellStyle name="20% - Énfasis6 2 2 4" xfId="7987" xr:uid="{00000000-0005-0000-0000-0000001F0000}"/>
    <cellStyle name="20% - Énfasis6 2 2 4 2" xfId="7988" xr:uid="{00000000-0005-0000-0000-0000011F0000}"/>
    <cellStyle name="20% - Énfasis6 2 2 5" xfId="7989" xr:uid="{00000000-0005-0000-0000-0000021F0000}"/>
    <cellStyle name="20% - Énfasis6 2 2 5 2" xfId="7990" xr:uid="{00000000-0005-0000-0000-0000031F0000}"/>
    <cellStyle name="20% - Énfasis6 2 2 6" xfId="7991" xr:uid="{00000000-0005-0000-0000-0000041F0000}"/>
    <cellStyle name="20% - Énfasis6 2 20" xfId="7992" xr:uid="{00000000-0005-0000-0000-0000051F0000}"/>
    <cellStyle name="20% - Énfasis6 2 21" xfId="7993" xr:uid="{00000000-0005-0000-0000-0000061F0000}"/>
    <cellStyle name="20% - Énfasis6 2 22" xfId="7994" xr:uid="{00000000-0005-0000-0000-0000071F0000}"/>
    <cellStyle name="20% - Énfasis6 2 23" xfId="7995" xr:uid="{00000000-0005-0000-0000-0000081F0000}"/>
    <cellStyle name="20% - Énfasis6 2 24" xfId="7996" xr:uid="{00000000-0005-0000-0000-0000091F0000}"/>
    <cellStyle name="20% - Énfasis6 2 25" xfId="7997" xr:uid="{00000000-0005-0000-0000-00000A1F0000}"/>
    <cellStyle name="20% - Énfasis6 2 26" xfId="7998" xr:uid="{00000000-0005-0000-0000-00000B1F0000}"/>
    <cellStyle name="20% - Énfasis6 2 27" xfId="7999" xr:uid="{00000000-0005-0000-0000-00000C1F0000}"/>
    <cellStyle name="20% - Énfasis6 2 28" xfId="8000" xr:uid="{00000000-0005-0000-0000-00000D1F0000}"/>
    <cellStyle name="20% - Énfasis6 2 29" xfId="8001" xr:uid="{00000000-0005-0000-0000-00000E1F0000}"/>
    <cellStyle name="20% - Énfasis6 2 3" xfId="8002" xr:uid="{00000000-0005-0000-0000-00000F1F0000}"/>
    <cellStyle name="20% - Énfasis6 2 3 2" xfId="8003" xr:uid="{00000000-0005-0000-0000-0000101F0000}"/>
    <cellStyle name="20% - Énfasis6 2 3 2 2" xfId="8004" xr:uid="{00000000-0005-0000-0000-0000111F0000}"/>
    <cellStyle name="20% - Énfasis6 2 3 2 2 2" xfId="8005" xr:uid="{00000000-0005-0000-0000-0000121F0000}"/>
    <cellStyle name="20% - Énfasis6 2 3 2 3" xfId="8006" xr:uid="{00000000-0005-0000-0000-0000131F0000}"/>
    <cellStyle name="20% - Énfasis6 2 3 2 3 2" xfId="8007" xr:uid="{00000000-0005-0000-0000-0000141F0000}"/>
    <cellStyle name="20% - Énfasis6 2 3 2 4" xfId="8008" xr:uid="{00000000-0005-0000-0000-0000151F0000}"/>
    <cellStyle name="20% - Énfasis6 2 3 3" xfId="8009" xr:uid="{00000000-0005-0000-0000-0000161F0000}"/>
    <cellStyle name="20% - Énfasis6 2 3 3 2" xfId="8010" xr:uid="{00000000-0005-0000-0000-0000171F0000}"/>
    <cellStyle name="20% - Énfasis6 2 3 4" xfId="8011" xr:uid="{00000000-0005-0000-0000-0000181F0000}"/>
    <cellStyle name="20% - Énfasis6 2 3 4 2" xfId="8012" xr:uid="{00000000-0005-0000-0000-0000191F0000}"/>
    <cellStyle name="20% - Énfasis6 2 3 5" xfId="8013" xr:uid="{00000000-0005-0000-0000-00001A1F0000}"/>
    <cellStyle name="20% - Énfasis6 2 30" xfId="8014" xr:uid="{00000000-0005-0000-0000-00001B1F0000}"/>
    <cellStyle name="20% - Énfasis6 2 31" xfId="8015" xr:uid="{00000000-0005-0000-0000-00001C1F0000}"/>
    <cellStyle name="20% - Énfasis6 2 32" xfId="8016" xr:uid="{00000000-0005-0000-0000-00001D1F0000}"/>
    <cellStyle name="20% - Énfasis6 2 33" xfId="8017" xr:uid="{00000000-0005-0000-0000-00001E1F0000}"/>
    <cellStyle name="20% - Énfasis6 2 34" xfId="8018" xr:uid="{00000000-0005-0000-0000-00001F1F0000}"/>
    <cellStyle name="20% - Énfasis6 2 35" xfId="8019" xr:uid="{00000000-0005-0000-0000-0000201F0000}"/>
    <cellStyle name="20% - Énfasis6 2 36" xfId="8020" xr:uid="{00000000-0005-0000-0000-0000211F0000}"/>
    <cellStyle name="20% - Énfasis6 2 37" xfId="8021" xr:uid="{00000000-0005-0000-0000-0000221F0000}"/>
    <cellStyle name="20% - Énfasis6 2 38" xfId="8022" xr:uid="{00000000-0005-0000-0000-0000231F0000}"/>
    <cellStyle name="20% - Énfasis6 2 4" xfId="8023" xr:uid="{00000000-0005-0000-0000-0000241F0000}"/>
    <cellStyle name="20% - Énfasis6 2 4 2" xfId="8024" xr:uid="{00000000-0005-0000-0000-0000251F0000}"/>
    <cellStyle name="20% - Énfasis6 2 4 2 2" xfId="8025" xr:uid="{00000000-0005-0000-0000-0000261F0000}"/>
    <cellStyle name="20% - Énfasis6 2 4 3" xfId="8026" xr:uid="{00000000-0005-0000-0000-0000271F0000}"/>
    <cellStyle name="20% - Énfasis6 2 4 3 2" xfId="8027" xr:uid="{00000000-0005-0000-0000-0000281F0000}"/>
    <cellStyle name="20% - Énfasis6 2 4 4" xfId="8028" xr:uid="{00000000-0005-0000-0000-0000291F0000}"/>
    <cellStyle name="20% - Énfasis6 2 5" xfId="8029" xr:uid="{00000000-0005-0000-0000-00002A1F0000}"/>
    <cellStyle name="20% - Énfasis6 2 5 2" xfId="8030" xr:uid="{00000000-0005-0000-0000-00002B1F0000}"/>
    <cellStyle name="20% - Énfasis6 2 6" xfId="8031" xr:uid="{00000000-0005-0000-0000-00002C1F0000}"/>
    <cellStyle name="20% - Énfasis6 2 6 2" xfId="8032" xr:uid="{00000000-0005-0000-0000-00002D1F0000}"/>
    <cellStyle name="20% - Énfasis6 2 7" xfId="8033" xr:uid="{00000000-0005-0000-0000-00002E1F0000}"/>
    <cellStyle name="20% - Énfasis6 2 8" xfId="8034" xr:uid="{00000000-0005-0000-0000-00002F1F0000}"/>
    <cellStyle name="20% - Énfasis6 2 9" xfId="8035" xr:uid="{00000000-0005-0000-0000-0000301F0000}"/>
    <cellStyle name="20% - Énfasis6 3" xfId="8036" xr:uid="{00000000-0005-0000-0000-0000311F0000}"/>
    <cellStyle name="20% - Énfasis6 3 10" xfId="8037" xr:uid="{00000000-0005-0000-0000-0000321F0000}"/>
    <cellStyle name="20% - Énfasis6 3 11" xfId="8038" xr:uid="{00000000-0005-0000-0000-0000331F0000}"/>
    <cellStyle name="20% - Énfasis6 3 12" xfId="8039" xr:uid="{00000000-0005-0000-0000-0000341F0000}"/>
    <cellStyle name="20% - Énfasis6 3 13" xfId="8040" xr:uid="{00000000-0005-0000-0000-0000351F0000}"/>
    <cellStyle name="20% - Énfasis6 3 14" xfId="8041" xr:uid="{00000000-0005-0000-0000-0000361F0000}"/>
    <cellStyle name="20% - Énfasis6 3 15" xfId="8042" xr:uid="{00000000-0005-0000-0000-0000371F0000}"/>
    <cellStyle name="20% - Énfasis6 3 16" xfId="8043" xr:uid="{00000000-0005-0000-0000-0000381F0000}"/>
    <cellStyle name="20% - Énfasis6 3 17" xfId="8044" xr:uid="{00000000-0005-0000-0000-0000391F0000}"/>
    <cellStyle name="20% - Énfasis6 3 18" xfId="8045" xr:uid="{00000000-0005-0000-0000-00003A1F0000}"/>
    <cellStyle name="20% - Énfasis6 3 19" xfId="8046" xr:uid="{00000000-0005-0000-0000-00003B1F0000}"/>
    <cellStyle name="20% - Énfasis6 3 2" xfId="8047" xr:uid="{00000000-0005-0000-0000-00003C1F0000}"/>
    <cellStyle name="20% - Énfasis6 3 2 2" xfId="8048" xr:uid="{00000000-0005-0000-0000-00003D1F0000}"/>
    <cellStyle name="20% - Énfasis6 3 2 2 2" xfId="8049" xr:uid="{00000000-0005-0000-0000-00003E1F0000}"/>
    <cellStyle name="20% - Énfasis6 3 2 2 2 2" xfId="8050" xr:uid="{00000000-0005-0000-0000-00003F1F0000}"/>
    <cellStyle name="20% - Énfasis6 3 2 2 2 2 2" xfId="8051" xr:uid="{00000000-0005-0000-0000-0000401F0000}"/>
    <cellStyle name="20% - Énfasis6 3 2 2 2 3" xfId="8052" xr:uid="{00000000-0005-0000-0000-0000411F0000}"/>
    <cellStyle name="20% - Énfasis6 3 2 2 2 3 2" xfId="8053" xr:uid="{00000000-0005-0000-0000-0000421F0000}"/>
    <cellStyle name="20% - Énfasis6 3 2 2 2 4" xfId="8054" xr:uid="{00000000-0005-0000-0000-0000431F0000}"/>
    <cellStyle name="20% - Énfasis6 3 2 2 3" xfId="8055" xr:uid="{00000000-0005-0000-0000-0000441F0000}"/>
    <cellStyle name="20% - Énfasis6 3 2 2 3 2" xfId="8056" xr:uid="{00000000-0005-0000-0000-0000451F0000}"/>
    <cellStyle name="20% - Énfasis6 3 2 2 4" xfId="8057" xr:uid="{00000000-0005-0000-0000-0000461F0000}"/>
    <cellStyle name="20% - Énfasis6 3 2 2 4 2" xfId="8058" xr:uid="{00000000-0005-0000-0000-0000471F0000}"/>
    <cellStyle name="20% - Énfasis6 3 2 2 5" xfId="8059" xr:uid="{00000000-0005-0000-0000-0000481F0000}"/>
    <cellStyle name="20% - Énfasis6 3 2 3" xfId="8060" xr:uid="{00000000-0005-0000-0000-0000491F0000}"/>
    <cellStyle name="20% - Énfasis6 3 2 3 2" xfId="8061" xr:uid="{00000000-0005-0000-0000-00004A1F0000}"/>
    <cellStyle name="20% - Énfasis6 3 2 3 2 2" xfId="8062" xr:uid="{00000000-0005-0000-0000-00004B1F0000}"/>
    <cellStyle name="20% - Énfasis6 3 2 3 3" xfId="8063" xr:uid="{00000000-0005-0000-0000-00004C1F0000}"/>
    <cellStyle name="20% - Énfasis6 3 2 3 3 2" xfId="8064" xr:uid="{00000000-0005-0000-0000-00004D1F0000}"/>
    <cellStyle name="20% - Énfasis6 3 2 3 4" xfId="8065" xr:uid="{00000000-0005-0000-0000-00004E1F0000}"/>
    <cellStyle name="20% - Énfasis6 3 2 4" xfId="8066" xr:uid="{00000000-0005-0000-0000-00004F1F0000}"/>
    <cellStyle name="20% - Énfasis6 3 2 4 2" xfId="8067" xr:uid="{00000000-0005-0000-0000-0000501F0000}"/>
    <cellStyle name="20% - Énfasis6 3 2 5" xfId="8068" xr:uid="{00000000-0005-0000-0000-0000511F0000}"/>
    <cellStyle name="20% - Énfasis6 3 2 5 2" xfId="8069" xr:uid="{00000000-0005-0000-0000-0000521F0000}"/>
    <cellStyle name="20% - Énfasis6 3 2 6" xfId="8070" xr:uid="{00000000-0005-0000-0000-0000531F0000}"/>
    <cellStyle name="20% - Énfasis6 3 20" xfId="8071" xr:uid="{00000000-0005-0000-0000-0000541F0000}"/>
    <cellStyle name="20% - Énfasis6 3 21" xfId="8072" xr:uid="{00000000-0005-0000-0000-0000551F0000}"/>
    <cellStyle name="20% - Énfasis6 3 22" xfId="8073" xr:uid="{00000000-0005-0000-0000-0000561F0000}"/>
    <cellStyle name="20% - Énfasis6 3 23" xfId="8074" xr:uid="{00000000-0005-0000-0000-0000571F0000}"/>
    <cellStyle name="20% - Énfasis6 3 24" xfId="8075" xr:uid="{00000000-0005-0000-0000-0000581F0000}"/>
    <cellStyle name="20% - Énfasis6 3 25" xfId="8076" xr:uid="{00000000-0005-0000-0000-0000591F0000}"/>
    <cellStyle name="20% - Énfasis6 3 26" xfId="8077" xr:uid="{00000000-0005-0000-0000-00005A1F0000}"/>
    <cellStyle name="20% - Énfasis6 3 27" xfId="8078" xr:uid="{00000000-0005-0000-0000-00005B1F0000}"/>
    <cellStyle name="20% - Énfasis6 3 28" xfId="8079" xr:uid="{00000000-0005-0000-0000-00005C1F0000}"/>
    <cellStyle name="20% - Énfasis6 3 29" xfId="8080" xr:uid="{00000000-0005-0000-0000-00005D1F0000}"/>
    <cellStyle name="20% - Énfasis6 3 3" xfId="8081" xr:uid="{00000000-0005-0000-0000-00005E1F0000}"/>
    <cellStyle name="20% - Énfasis6 3 3 2" xfId="8082" xr:uid="{00000000-0005-0000-0000-00005F1F0000}"/>
    <cellStyle name="20% - Énfasis6 3 3 2 2" xfId="8083" xr:uid="{00000000-0005-0000-0000-0000601F0000}"/>
    <cellStyle name="20% - Énfasis6 3 3 2 2 2" xfId="8084" xr:uid="{00000000-0005-0000-0000-0000611F0000}"/>
    <cellStyle name="20% - Énfasis6 3 3 2 3" xfId="8085" xr:uid="{00000000-0005-0000-0000-0000621F0000}"/>
    <cellStyle name="20% - Énfasis6 3 3 2 3 2" xfId="8086" xr:uid="{00000000-0005-0000-0000-0000631F0000}"/>
    <cellStyle name="20% - Énfasis6 3 3 2 4" xfId="8087" xr:uid="{00000000-0005-0000-0000-0000641F0000}"/>
    <cellStyle name="20% - Énfasis6 3 3 3" xfId="8088" xr:uid="{00000000-0005-0000-0000-0000651F0000}"/>
    <cellStyle name="20% - Énfasis6 3 3 3 2" xfId="8089" xr:uid="{00000000-0005-0000-0000-0000661F0000}"/>
    <cellStyle name="20% - Énfasis6 3 3 4" xfId="8090" xr:uid="{00000000-0005-0000-0000-0000671F0000}"/>
    <cellStyle name="20% - Énfasis6 3 3 4 2" xfId="8091" xr:uid="{00000000-0005-0000-0000-0000681F0000}"/>
    <cellStyle name="20% - Énfasis6 3 3 5" xfId="8092" xr:uid="{00000000-0005-0000-0000-0000691F0000}"/>
    <cellStyle name="20% - Énfasis6 3 30" xfId="8093" xr:uid="{00000000-0005-0000-0000-00006A1F0000}"/>
    <cellStyle name="20% - Énfasis6 3 31" xfId="8094" xr:uid="{00000000-0005-0000-0000-00006B1F0000}"/>
    <cellStyle name="20% - Énfasis6 3 32" xfId="8095" xr:uid="{00000000-0005-0000-0000-00006C1F0000}"/>
    <cellStyle name="20% - Énfasis6 3 33" xfId="8096" xr:uid="{00000000-0005-0000-0000-00006D1F0000}"/>
    <cellStyle name="20% - Énfasis6 3 34" xfId="8097" xr:uid="{00000000-0005-0000-0000-00006E1F0000}"/>
    <cellStyle name="20% - Énfasis6 3 4" xfId="8098" xr:uid="{00000000-0005-0000-0000-00006F1F0000}"/>
    <cellStyle name="20% - Énfasis6 3 4 2" xfId="8099" xr:uid="{00000000-0005-0000-0000-0000701F0000}"/>
    <cellStyle name="20% - Énfasis6 3 4 2 2" xfId="8100" xr:uid="{00000000-0005-0000-0000-0000711F0000}"/>
    <cellStyle name="20% - Énfasis6 3 4 3" xfId="8101" xr:uid="{00000000-0005-0000-0000-0000721F0000}"/>
    <cellStyle name="20% - Énfasis6 3 4 3 2" xfId="8102" xr:uid="{00000000-0005-0000-0000-0000731F0000}"/>
    <cellStyle name="20% - Énfasis6 3 4 4" xfId="8103" xr:uid="{00000000-0005-0000-0000-0000741F0000}"/>
    <cellStyle name="20% - Énfasis6 3 5" xfId="8104" xr:uid="{00000000-0005-0000-0000-0000751F0000}"/>
    <cellStyle name="20% - Énfasis6 3 5 2" xfId="8105" xr:uid="{00000000-0005-0000-0000-0000761F0000}"/>
    <cellStyle name="20% - Énfasis6 3 6" xfId="8106" xr:uid="{00000000-0005-0000-0000-0000771F0000}"/>
    <cellStyle name="20% - Énfasis6 3 6 2" xfId="8107" xr:uid="{00000000-0005-0000-0000-0000781F0000}"/>
    <cellStyle name="20% - Énfasis6 3 7" xfId="8108" xr:uid="{00000000-0005-0000-0000-0000791F0000}"/>
    <cellStyle name="20% - Énfasis6 3 8" xfId="8109" xr:uid="{00000000-0005-0000-0000-00007A1F0000}"/>
    <cellStyle name="20% - Énfasis6 3 9" xfId="8110" xr:uid="{00000000-0005-0000-0000-00007B1F0000}"/>
    <cellStyle name="20% - Énfasis6 4" xfId="8111" xr:uid="{00000000-0005-0000-0000-00007C1F0000}"/>
    <cellStyle name="20% - Énfasis6 4 2" xfId="8112" xr:uid="{00000000-0005-0000-0000-00007D1F0000}"/>
    <cellStyle name="20% - Énfasis6 4 2 2" xfId="8113" xr:uid="{00000000-0005-0000-0000-00007E1F0000}"/>
    <cellStyle name="20% - Énfasis6 4 2 2 2" xfId="8114" xr:uid="{00000000-0005-0000-0000-00007F1F0000}"/>
    <cellStyle name="20% - Énfasis6 4 2 2 2 2" xfId="8115" xr:uid="{00000000-0005-0000-0000-0000801F0000}"/>
    <cellStyle name="20% - Énfasis6 4 2 2 2 2 2" xfId="8116" xr:uid="{00000000-0005-0000-0000-0000811F0000}"/>
    <cellStyle name="20% - Énfasis6 4 2 2 2 3" xfId="8117" xr:uid="{00000000-0005-0000-0000-0000821F0000}"/>
    <cellStyle name="20% - Énfasis6 4 2 2 2 3 2" xfId="8118" xr:uid="{00000000-0005-0000-0000-0000831F0000}"/>
    <cellStyle name="20% - Énfasis6 4 2 2 2 4" xfId="8119" xr:uid="{00000000-0005-0000-0000-0000841F0000}"/>
    <cellStyle name="20% - Énfasis6 4 2 2 3" xfId="8120" xr:uid="{00000000-0005-0000-0000-0000851F0000}"/>
    <cellStyle name="20% - Énfasis6 4 2 2 3 2" xfId="8121" xr:uid="{00000000-0005-0000-0000-0000861F0000}"/>
    <cellStyle name="20% - Énfasis6 4 2 2 4" xfId="8122" xr:uid="{00000000-0005-0000-0000-0000871F0000}"/>
    <cellStyle name="20% - Énfasis6 4 2 2 4 2" xfId="8123" xr:uid="{00000000-0005-0000-0000-0000881F0000}"/>
    <cellStyle name="20% - Énfasis6 4 2 2 5" xfId="8124" xr:uid="{00000000-0005-0000-0000-0000891F0000}"/>
    <cellStyle name="20% - Énfasis6 4 2 3" xfId="8125" xr:uid="{00000000-0005-0000-0000-00008A1F0000}"/>
    <cellStyle name="20% - Énfasis6 4 2 3 2" xfId="8126" xr:uid="{00000000-0005-0000-0000-00008B1F0000}"/>
    <cellStyle name="20% - Énfasis6 4 2 3 2 2" xfId="8127" xr:uid="{00000000-0005-0000-0000-00008C1F0000}"/>
    <cellStyle name="20% - Énfasis6 4 2 3 3" xfId="8128" xr:uid="{00000000-0005-0000-0000-00008D1F0000}"/>
    <cellStyle name="20% - Énfasis6 4 2 3 3 2" xfId="8129" xr:uid="{00000000-0005-0000-0000-00008E1F0000}"/>
    <cellStyle name="20% - Énfasis6 4 2 3 4" xfId="8130" xr:uid="{00000000-0005-0000-0000-00008F1F0000}"/>
    <cellStyle name="20% - Énfasis6 4 2 4" xfId="8131" xr:uid="{00000000-0005-0000-0000-0000901F0000}"/>
    <cellStyle name="20% - Énfasis6 4 2 4 2" xfId="8132" xr:uid="{00000000-0005-0000-0000-0000911F0000}"/>
    <cellStyle name="20% - Énfasis6 4 2 5" xfId="8133" xr:uid="{00000000-0005-0000-0000-0000921F0000}"/>
    <cellStyle name="20% - Énfasis6 4 2 5 2" xfId="8134" xr:uid="{00000000-0005-0000-0000-0000931F0000}"/>
    <cellStyle name="20% - Énfasis6 4 2 6" xfId="8135" xr:uid="{00000000-0005-0000-0000-0000941F0000}"/>
    <cellStyle name="20% - Énfasis6 4 3" xfId="8136" xr:uid="{00000000-0005-0000-0000-0000951F0000}"/>
    <cellStyle name="20% - Énfasis6 4 3 2" xfId="8137" xr:uid="{00000000-0005-0000-0000-0000961F0000}"/>
    <cellStyle name="20% - Énfasis6 4 3 2 2" xfId="8138" xr:uid="{00000000-0005-0000-0000-0000971F0000}"/>
    <cellStyle name="20% - Énfasis6 4 3 2 2 2" xfId="8139" xr:uid="{00000000-0005-0000-0000-0000981F0000}"/>
    <cellStyle name="20% - Énfasis6 4 3 2 3" xfId="8140" xr:uid="{00000000-0005-0000-0000-0000991F0000}"/>
    <cellStyle name="20% - Énfasis6 4 3 2 3 2" xfId="8141" xr:uid="{00000000-0005-0000-0000-00009A1F0000}"/>
    <cellStyle name="20% - Énfasis6 4 3 2 4" xfId="8142" xr:uid="{00000000-0005-0000-0000-00009B1F0000}"/>
    <cellStyle name="20% - Énfasis6 4 3 3" xfId="8143" xr:uid="{00000000-0005-0000-0000-00009C1F0000}"/>
    <cellStyle name="20% - Énfasis6 4 3 3 2" xfId="8144" xr:uid="{00000000-0005-0000-0000-00009D1F0000}"/>
    <cellStyle name="20% - Énfasis6 4 3 4" xfId="8145" xr:uid="{00000000-0005-0000-0000-00009E1F0000}"/>
    <cellStyle name="20% - Énfasis6 4 3 4 2" xfId="8146" xr:uid="{00000000-0005-0000-0000-00009F1F0000}"/>
    <cellStyle name="20% - Énfasis6 4 3 5" xfId="8147" xr:uid="{00000000-0005-0000-0000-0000A01F0000}"/>
    <cellStyle name="20% - Énfasis6 4 4" xfId="8148" xr:uid="{00000000-0005-0000-0000-0000A11F0000}"/>
    <cellStyle name="20% - Énfasis6 4 4 2" xfId="8149" xr:uid="{00000000-0005-0000-0000-0000A21F0000}"/>
    <cellStyle name="20% - Énfasis6 4 4 2 2" xfId="8150" xr:uid="{00000000-0005-0000-0000-0000A31F0000}"/>
    <cellStyle name="20% - Énfasis6 4 4 3" xfId="8151" xr:uid="{00000000-0005-0000-0000-0000A41F0000}"/>
    <cellStyle name="20% - Énfasis6 4 4 3 2" xfId="8152" xr:uid="{00000000-0005-0000-0000-0000A51F0000}"/>
    <cellStyle name="20% - Énfasis6 4 4 4" xfId="8153" xr:uid="{00000000-0005-0000-0000-0000A61F0000}"/>
    <cellStyle name="20% - Énfasis6 4 5" xfId="8154" xr:uid="{00000000-0005-0000-0000-0000A71F0000}"/>
    <cellStyle name="20% - Énfasis6 4 5 2" xfId="8155" xr:uid="{00000000-0005-0000-0000-0000A81F0000}"/>
    <cellStyle name="20% - Énfasis6 4 6" xfId="8156" xr:uid="{00000000-0005-0000-0000-0000A91F0000}"/>
    <cellStyle name="20% - Énfasis6 4 6 2" xfId="8157" xr:uid="{00000000-0005-0000-0000-0000AA1F0000}"/>
    <cellStyle name="20% - Énfasis6 4 7" xfId="8158" xr:uid="{00000000-0005-0000-0000-0000AB1F0000}"/>
    <cellStyle name="20% - Énfasis6 4 8" xfId="8159" xr:uid="{00000000-0005-0000-0000-0000AC1F0000}"/>
    <cellStyle name="20% - Énfasis6 5" xfId="8160" xr:uid="{00000000-0005-0000-0000-0000AD1F0000}"/>
    <cellStyle name="20% - Énfasis6 5 2" xfId="8161" xr:uid="{00000000-0005-0000-0000-0000AE1F0000}"/>
    <cellStyle name="20% - Énfasis6 5 2 2" xfId="8162" xr:uid="{00000000-0005-0000-0000-0000AF1F0000}"/>
    <cellStyle name="20% - Énfasis6 5 2 2 2" xfId="8163" xr:uid="{00000000-0005-0000-0000-0000B01F0000}"/>
    <cellStyle name="20% - Énfasis6 5 2 2 2 2" xfId="8164" xr:uid="{00000000-0005-0000-0000-0000B11F0000}"/>
    <cellStyle name="20% - Énfasis6 5 2 2 2 2 2" xfId="8165" xr:uid="{00000000-0005-0000-0000-0000B21F0000}"/>
    <cellStyle name="20% - Énfasis6 5 2 2 2 3" xfId="8166" xr:uid="{00000000-0005-0000-0000-0000B31F0000}"/>
    <cellStyle name="20% - Énfasis6 5 2 2 2 3 2" xfId="8167" xr:uid="{00000000-0005-0000-0000-0000B41F0000}"/>
    <cellStyle name="20% - Énfasis6 5 2 2 2 4" xfId="8168" xr:uid="{00000000-0005-0000-0000-0000B51F0000}"/>
    <cellStyle name="20% - Énfasis6 5 2 2 3" xfId="8169" xr:uid="{00000000-0005-0000-0000-0000B61F0000}"/>
    <cellStyle name="20% - Énfasis6 5 2 2 3 2" xfId="8170" xr:uid="{00000000-0005-0000-0000-0000B71F0000}"/>
    <cellStyle name="20% - Énfasis6 5 2 2 4" xfId="8171" xr:uid="{00000000-0005-0000-0000-0000B81F0000}"/>
    <cellStyle name="20% - Énfasis6 5 2 2 4 2" xfId="8172" xr:uid="{00000000-0005-0000-0000-0000B91F0000}"/>
    <cellStyle name="20% - Énfasis6 5 2 2 5" xfId="8173" xr:uid="{00000000-0005-0000-0000-0000BA1F0000}"/>
    <cellStyle name="20% - Énfasis6 5 2 3" xfId="8174" xr:uid="{00000000-0005-0000-0000-0000BB1F0000}"/>
    <cellStyle name="20% - Énfasis6 5 2 3 2" xfId="8175" xr:uid="{00000000-0005-0000-0000-0000BC1F0000}"/>
    <cellStyle name="20% - Énfasis6 5 2 3 2 2" xfId="8176" xr:uid="{00000000-0005-0000-0000-0000BD1F0000}"/>
    <cellStyle name="20% - Énfasis6 5 2 3 3" xfId="8177" xr:uid="{00000000-0005-0000-0000-0000BE1F0000}"/>
    <cellStyle name="20% - Énfasis6 5 2 3 3 2" xfId="8178" xr:uid="{00000000-0005-0000-0000-0000BF1F0000}"/>
    <cellStyle name="20% - Énfasis6 5 2 3 4" xfId="8179" xr:uid="{00000000-0005-0000-0000-0000C01F0000}"/>
    <cellStyle name="20% - Énfasis6 5 2 4" xfId="8180" xr:uid="{00000000-0005-0000-0000-0000C11F0000}"/>
    <cellStyle name="20% - Énfasis6 5 2 4 2" xfId="8181" xr:uid="{00000000-0005-0000-0000-0000C21F0000}"/>
    <cellStyle name="20% - Énfasis6 5 2 5" xfId="8182" xr:uid="{00000000-0005-0000-0000-0000C31F0000}"/>
    <cellStyle name="20% - Énfasis6 5 2 5 2" xfId="8183" xr:uid="{00000000-0005-0000-0000-0000C41F0000}"/>
    <cellStyle name="20% - Énfasis6 5 2 6" xfId="8184" xr:uid="{00000000-0005-0000-0000-0000C51F0000}"/>
    <cellStyle name="20% - Énfasis6 5 3" xfId="8185" xr:uid="{00000000-0005-0000-0000-0000C61F0000}"/>
    <cellStyle name="20% - Énfasis6 5 3 2" xfId="8186" xr:uid="{00000000-0005-0000-0000-0000C71F0000}"/>
    <cellStyle name="20% - Énfasis6 5 3 2 2" xfId="8187" xr:uid="{00000000-0005-0000-0000-0000C81F0000}"/>
    <cellStyle name="20% - Énfasis6 5 3 2 2 2" xfId="8188" xr:uid="{00000000-0005-0000-0000-0000C91F0000}"/>
    <cellStyle name="20% - Énfasis6 5 3 2 3" xfId="8189" xr:uid="{00000000-0005-0000-0000-0000CA1F0000}"/>
    <cellStyle name="20% - Énfasis6 5 3 2 3 2" xfId="8190" xr:uid="{00000000-0005-0000-0000-0000CB1F0000}"/>
    <cellStyle name="20% - Énfasis6 5 3 2 4" xfId="8191" xr:uid="{00000000-0005-0000-0000-0000CC1F0000}"/>
    <cellStyle name="20% - Énfasis6 5 3 3" xfId="8192" xr:uid="{00000000-0005-0000-0000-0000CD1F0000}"/>
    <cellStyle name="20% - Énfasis6 5 3 3 2" xfId="8193" xr:uid="{00000000-0005-0000-0000-0000CE1F0000}"/>
    <cellStyle name="20% - Énfasis6 5 3 4" xfId="8194" xr:uid="{00000000-0005-0000-0000-0000CF1F0000}"/>
    <cellStyle name="20% - Énfasis6 5 3 4 2" xfId="8195" xr:uid="{00000000-0005-0000-0000-0000D01F0000}"/>
    <cellStyle name="20% - Énfasis6 5 3 5" xfId="8196" xr:uid="{00000000-0005-0000-0000-0000D11F0000}"/>
    <cellStyle name="20% - Énfasis6 5 4" xfId="8197" xr:uid="{00000000-0005-0000-0000-0000D21F0000}"/>
    <cellStyle name="20% - Énfasis6 5 4 2" xfId="8198" xr:uid="{00000000-0005-0000-0000-0000D31F0000}"/>
    <cellStyle name="20% - Énfasis6 5 4 2 2" xfId="8199" xr:uid="{00000000-0005-0000-0000-0000D41F0000}"/>
    <cellStyle name="20% - Énfasis6 5 4 3" xfId="8200" xr:uid="{00000000-0005-0000-0000-0000D51F0000}"/>
    <cellStyle name="20% - Énfasis6 5 4 3 2" xfId="8201" xr:uid="{00000000-0005-0000-0000-0000D61F0000}"/>
    <cellStyle name="20% - Énfasis6 5 4 4" xfId="8202" xr:uid="{00000000-0005-0000-0000-0000D71F0000}"/>
    <cellStyle name="20% - Énfasis6 5 5" xfId="8203" xr:uid="{00000000-0005-0000-0000-0000D81F0000}"/>
    <cellStyle name="20% - Énfasis6 5 5 2" xfId="8204" xr:uid="{00000000-0005-0000-0000-0000D91F0000}"/>
    <cellStyle name="20% - Énfasis6 5 6" xfId="8205" xr:uid="{00000000-0005-0000-0000-0000DA1F0000}"/>
    <cellStyle name="20% - Énfasis6 5 6 2" xfId="8206" xr:uid="{00000000-0005-0000-0000-0000DB1F0000}"/>
    <cellStyle name="20% - Énfasis6 5 7" xfId="8207" xr:uid="{00000000-0005-0000-0000-0000DC1F0000}"/>
    <cellStyle name="20% - Énfasis6 6" xfId="8208" xr:uid="{00000000-0005-0000-0000-0000DD1F0000}"/>
    <cellStyle name="20% - Énfasis6 6 2" xfId="8209" xr:uid="{00000000-0005-0000-0000-0000DE1F0000}"/>
    <cellStyle name="20% - Énfasis6 6 2 2" xfId="8210" xr:uid="{00000000-0005-0000-0000-0000DF1F0000}"/>
    <cellStyle name="20% - Énfasis6 6 2 2 2" xfId="8211" xr:uid="{00000000-0005-0000-0000-0000E01F0000}"/>
    <cellStyle name="20% - Énfasis6 6 2 2 2 2" xfId="8212" xr:uid="{00000000-0005-0000-0000-0000E11F0000}"/>
    <cellStyle name="20% - Énfasis6 6 2 2 2 2 2" xfId="8213" xr:uid="{00000000-0005-0000-0000-0000E21F0000}"/>
    <cellStyle name="20% - Énfasis6 6 2 2 2 3" xfId="8214" xr:uid="{00000000-0005-0000-0000-0000E31F0000}"/>
    <cellStyle name="20% - Énfasis6 6 2 2 2 3 2" xfId="8215" xr:uid="{00000000-0005-0000-0000-0000E41F0000}"/>
    <cellStyle name="20% - Énfasis6 6 2 2 2 4" xfId="8216" xr:uid="{00000000-0005-0000-0000-0000E51F0000}"/>
    <cellStyle name="20% - Énfasis6 6 2 2 3" xfId="8217" xr:uid="{00000000-0005-0000-0000-0000E61F0000}"/>
    <cellStyle name="20% - Énfasis6 6 2 2 3 2" xfId="8218" xr:uid="{00000000-0005-0000-0000-0000E71F0000}"/>
    <cellStyle name="20% - Énfasis6 6 2 2 4" xfId="8219" xr:uid="{00000000-0005-0000-0000-0000E81F0000}"/>
    <cellStyle name="20% - Énfasis6 6 2 2 4 2" xfId="8220" xr:uid="{00000000-0005-0000-0000-0000E91F0000}"/>
    <cellStyle name="20% - Énfasis6 6 2 2 5" xfId="8221" xr:uid="{00000000-0005-0000-0000-0000EA1F0000}"/>
    <cellStyle name="20% - Énfasis6 6 2 3" xfId="8222" xr:uid="{00000000-0005-0000-0000-0000EB1F0000}"/>
    <cellStyle name="20% - Énfasis6 6 2 3 2" xfId="8223" xr:uid="{00000000-0005-0000-0000-0000EC1F0000}"/>
    <cellStyle name="20% - Énfasis6 6 2 3 2 2" xfId="8224" xr:uid="{00000000-0005-0000-0000-0000ED1F0000}"/>
    <cellStyle name="20% - Énfasis6 6 2 3 3" xfId="8225" xr:uid="{00000000-0005-0000-0000-0000EE1F0000}"/>
    <cellStyle name="20% - Énfasis6 6 2 3 3 2" xfId="8226" xr:uid="{00000000-0005-0000-0000-0000EF1F0000}"/>
    <cellStyle name="20% - Énfasis6 6 2 3 4" xfId="8227" xr:uid="{00000000-0005-0000-0000-0000F01F0000}"/>
    <cellStyle name="20% - Énfasis6 6 2 4" xfId="8228" xr:uid="{00000000-0005-0000-0000-0000F11F0000}"/>
    <cellStyle name="20% - Énfasis6 6 2 4 2" xfId="8229" xr:uid="{00000000-0005-0000-0000-0000F21F0000}"/>
    <cellStyle name="20% - Énfasis6 6 2 5" xfId="8230" xr:uid="{00000000-0005-0000-0000-0000F31F0000}"/>
    <cellStyle name="20% - Énfasis6 6 2 5 2" xfId="8231" xr:uid="{00000000-0005-0000-0000-0000F41F0000}"/>
    <cellStyle name="20% - Énfasis6 6 2 6" xfId="8232" xr:uid="{00000000-0005-0000-0000-0000F51F0000}"/>
    <cellStyle name="20% - Énfasis6 6 3" xfId="8233" xr:uid="{00000000-0005-0000-0000-0000F61F0000}"/>
    <cellStyle name="20% - Énfasis6 6 3 2" xfId="8234" xr:uid="{00000000-0005-0000-0000-0000F71F0000}"/>
    <cellStyle name="20% - Énfasis6 6 3 2 2" xfId="8235" xr:uid="{00000000-0005-0000-0000-0000F81F0000}"/>
    <cellStyle name="20% - Énfasis6 6 3 2 2 2" xfId="8236" xr:uid="{00000000-0005-0000-0000-0000F91F0000}"/>
    <cellStyle name="20% - Énfasis6 6 3 2 3" xfId="8237" xr:uid="{00000000-0005-0000-0000-0000FA1F0000}"/>
    <cellStyle name="20% - Énfasis6 6 3 2 3 2" xfId="8238" xr:uid="{00000000-0005-0000-0000-0000FB1F0000}"/>
    <cellStyle name="20% - Énfasis6 6 3 2 4" xfId="8239" xr:uid="{00000000-0005-0000-0000-0000FC1F0000}"/>
    <cellStyle name="20% - Énfasis6 6 3 3" xfId="8240" xr:uid="{00000000-0005-0000-0000-0000FD1F0000}"/>
    <cellStyle name="20% - Énfasis6 6 3 3 2" xfId="8241" xr:uid="{00000000-0005-0000-0000-0000FE1F0000}"/>
    <cellStyle name="20% - Énfasis6 6 3 4" xfId="8242" xr:uid="{00000000-0005-0000-0000-0000FF1F0000}"/>
    <cellStyle name="20% - Énfasis6 6 3 4 2" xfId="8243" xr:uid="{00000000-0005-0000-0000-000000200000}"/>
    <cellStyle name="20% - Énfasis6 6 3 5" xfId="8244" xr:uid="{00000000-0005-0000-0000-000001200000}"/>
    <cellStyle name="20% - Énfasis6 6 4" xfId="8245" xr:uid="{00000000-0005-0000-0000-000002200000}"/>
    <cellStyle name="20% - Énfasis6 6 4 2" xfId="8246" xr:uid="{00000000-0005-0000-0000-000003200000}"/>
    <cellStyle name="20% - Énfasis6 6 4 2 2" xfId="8247" xr:uid="{00000000-0005-0000-0000-000004200000}"/>
    <cellStyle name="20% - Énfasis6 6 4 3" xfId="8248" xr:uid="{00000000-0005-0000-0000-000005200000}"/>
    <cellStyle name="20% - Énfasis6 6 4 3 2" xfId="8249" xr:uid="{00000000-0005-0000-0000-000006200000}"/>
    <cellStyle name="20% - Énfasis6 6 4 4" xfId="8250" xr:uid="{00000000-0005-0000-0000-000007200000}"/>
    <cellStyle name="20% - Énfasis6 6 5" xfId="8251" xr:uid="{00000000-0005-0000-0000-000008200000}"/>
    <cellStyle name="20% - Énfasis6 6 5 2" xfId="8252" xr:uid="{00000000-0005-0000-0000-000009200000}"/>
    <cellStyle name="20% - Énfasis6 6 6" xfId="8253" xr:uid="{00000000-0005-0000-0000-00000A200000}"/>
    <cellStyle name="20% - Énfasis6 6 6 2" xfId="8254" xr:uid="{00000000-0005-0000-0000-00000B200000}"/>
    <cellStyle name="20% - Énfasis6 6 7" xfId="8255" xr:uid="{00000000-0005-0000-0000-00000C200000}"/>
    <cellStyle name="20% - Énfasis6 7" xfId="8256" xr:uid="{00000000-0005-0000-0000-00000D200000}"/>
    <cellStyle name="20% - Énfasis6 7 2" xfId="8257" xr:uid="{00000000-0005-0000-0000-00000E200000}"/>
    <cellStyle name="20% - Énfasis6 7 2 2" xfId="8258" xr:uid="{00000000-0005-0000-0000-00000F200000}"/>
    <cellStyle name="20% - Énfasis6 7 2 2 2" xfId="8259" xr:uid="{00000000-0005-0000-0000-000010200000}"/>
    <cellStyle name="20% - Énfasis6 7 2 2 2 2" xfId="8260" xr:uid="{00000000-0005-0000-0000-000011200000}"/>
    <cellStyle name="20% - Énfasis6 7 2 2 3" xfId="8261" xr:uid="{00000000-0005-0000-0000-000012200000}"/>
    <cellStyle name="20% - Énfasis6 7 2 2 3 2" xfId="8262" xr:uid="{00000000-0005-0000-0000-000013200000}"/>
    <cellStyle name="20% - Énfasis6 7 2 2 4" xfId="8263" xr:uid="{00000000-0005-0000-0000-000014200000}"/>
    <cellStyle name="20% - Énfasis6 7 2 3" xfId="8264" xr:uid="{00000000-0005-0000-0000-000015200000}"/>
    <cellStyle name="20% - Énfasis6 7 2 3 2" xfId="8265" xr:uid="{00000000-0005-0000-0000-000016200000}"/>
    <cellStyle name="20% - Énfasis6 7 2 4" xfId="8266" xr:uid="{00000000-0005-0000-0000-000017200000}"/>
    <cellStyle name="20% - Énfasis6 7 2 4 2" xfId="8267" xr:uid="{00000000-0005-0000-0000-000018200000}"/>
    <cellStyle name="20% - Énfasis6 7 2 5" xfId="8268" xr:uid="{00000000-0005-0000-0000-000019200000}"/>
    <cellStyle name="20% - Énfasis6 7 3" xfId="8269" xr:uid="{00000000-0005-0000-0000-00001A200000}"/>
    <cellStyle name="20% - Énfasis6 7 3 2" xfId="8270" xr:uid="{00000000-0005-0000-0000-00001B200000}"/>
    <cellStyle name="20% - Énfasis6 7 3 2 2" xfId="8271" xr:uid="{00000000-0005-0000-0000-00001C200000}"/>
    <cellStyle name="20% - Énfasis6 7 3 3" xfId="8272" xr:uid="{00000000-0005-0000-0000-00001D200000}"/>
    <cellStyle name="20% - Énfasis6 7 3 3 2" xfId="8273" xr:uid="{00000000-0005-0000-0000-00001E200000}"/>
    <cellStyle name="20% - Énfasis6 7 3 4" xfId="8274" xr:uid="{00000000-0005-0000-0000-00001F200000}"/>
    <cellStyle name="20% - Énfasis6 7 4" xfId="8275" xr:uid="{00000000-0005-0000-0000-000020200000}"/>
    <cellStyle name="20% - Énfasis6 7 4 2" xfId="8276" xr:uid="{00000000-0005-0000-0000-000021200000}"/>
    <cellStyle name="20% - Énfasis6 7 5" xfId="8277" xr:uid="{00000000-0005-0000-0000-000022200000}"/>
    <cellStyle name="20% - Énfasis6 7 5 2" xfId="8278" xr:uid="{00000000-0005-0000-0000-000023200000}"/>
    <cellStyle name="20% - Énfasis6 7 6" xfId="8279" xr:uid="{00000000-0005-0000-0000-000024200000}"/>
    <cellStyle name="20% - Énfasis6 8" xfId="8280" xr:uid="{00000000-0005-0000-0000-000025200000}"/>
    <cellStyle name="20% - Énfasis6 8 2" xfId="8281" xr:uid="{00000000-0005-0000-0000-000026200000}"/>
    <cellStyle name="20% - Énfasis6 8 2 2" xfId="8282" xr:uid="{00000000-0005-0000-0000-000027200000}"/>
    <cellStyle name="20% - Énfasis6 8 2 2 2" xfId="8283" xr:uid="{00000000-0005-0000-0000-000028200000}"/>
    <cellStyle name="20% - Énfasis6 8 2 2 2 2" xfId="8284" xr:uid="{00000000-0005-0000-0000-000029200000}"/>
    <cellStyle name="20% - Énfasis6 8 2 2 3" xfId="8285" xr:uid="{00000000-0005-0000-0000-00002A200000}"/>
    <cellStyle name="20% - Énfasis6 8 2 2 3 2" xfId="8286" xr:uid="{00000000-0005-0000-0000-00002B200000}"/>
    <cellStyle name="20% - Énfasis6 8 2 2 4" xfId="8287" xr:uid="{00000000-0005-0000-0000-00002C200000}"/>
    <cellStyle name="20% - Énfasis6 8 2 3" xfId="8288" xr:uid="{00000000-0005-0000-0000-00002D200000}"/>
    <cellStyle name="20% - Énfasis6 8 2 3 2" xfId="8289" xr:uid="{00000000-0005-0000-0000-00002E200000}"/>
    <cellStyle name="20% - Énfasis6 8 2 4" xfId="8290" xr:uid="{00000000-0005-0000-0000-00002F200000}"/>
    <cellStyle name="20% - Énfasis6 8 2 4 2" xfId="8291" xr:uid="{00000000-0005-0000-0000-000030200000}"/>
    <cellStyle name="20% - Énfasis6 8 2 5" xfId="8292" xr:uid="{00000000-0005-0000-0000-000031200000}"/>
    <cellStyle name="20% - Énfasis6 8 3" xfId="8293" xr:uid="{00000000-0005-0000-0000-000032200000}"/>
    <cellStyle name="20% - Énfasis6 8 3 2" xfId="8294" xr:uid="{00000000-0005-0000-0000-000033200000}"/>
    <cellStyle name="20% - Énfasis6 8 3 2 2" xfId="8295" xr:uid="{00000000-0005-0000-0000-000034200000}"/>
    <cellStyle name="20% - Énfasis6 8 3 3" xfId="8296" xr:uid="{00000000-0005-0000-0000-000035200000}"/>
    <cellStyle name="20% - Énfasis6 8 3 3 2" xfId="8297" xr:uid="{00000000-0005-0000-0000-000036200000}"/>
    <cellStyle name="20% - Énfasis6 8 3 4" xfId="8298" xr:uid="{00000000-0005-0000-0000-000037200000}"/>
    <cellStyle name="20% - Énfasis6 8 4" xfId="8299" xr:uid="{00000000-0005-0000-0000-000038200000}"/>
    <cellStyle name="20% - Énfasis6 8 4 2" xfId="8300" xr:uid="{00000000-0005-0000-0000-000039200000}"/>
    <cellStyle name="20% - Énfasis6 8 5" xfId="8301" xr:uid="{00000000-0005-0000-0000-00003A200000}"/>
    <cellStyle name="20% - Énfasis6 8 5 2" xfId="8302" xr:uid="{00000000-0005-0000-0000-00003B200000}"/>
    <cellStyle name="20% - Énfasis6 8 6" xfId="8303" xr:uid="{00000000-0005-0000-0000-00003C200000}"/>
    <cellStyle name="20% - Énfasis6 9" xfId="8304" xr:uid="{00000000-0005-0000-0000-00003D200000}"/>
    <cellStyle name="20% - Énfasis6 9 2" xfId="8305" xr:uid="{00000000-0005-0000-0000-00003E200000}"/>
    <cellStyle name="20% - Énfasis6 9 2 2" xfId="8306" xr:uid="{00000000-0005-0000-0000-00003F200000}"/>
    <cellStyle name="20% - Énfasis6 9 2 2 2" xfId="8307" xr:uid="{00000000-0005-0000-0000-000040200000}"/>
    <cellStyle name="20% - Énfasis6 9 2 3" xfId="8308" xr:uid="{00000000-0005-0000-0000-000041200000}"/>
    <cellStyle name="20% - Énfasis6 9 2 3 2" xfId="8309" xr:uid="{00000000-0005-0000-0000-000042200000}"/>
    <cellStyle name="20% - Énfasis6 9 2 4" xfId="8310" xr:uid="{00000000-0005-0000-0000-000043200000}"/>
    <cellStyle name="20% - Énfasis6 9 3" xfId="8311" xr:uid="{00000000-0005-0000-0000-000044200000}"/>
    <cellStyle name="20% - Énfasis6 9 3 2" xfId="8312" xr:uid="{00000000-0005-0000-0000-000045200000}"/>
    <cellStyle name="20% - Énfasis6 9 4" xfId="8313" xr:uid="{00000000-0005-0000-0000-000046200000}"/>
    <cellStyle name="20% - Énfasis6 9 4 2" xfId="8314" xr:uid="{00000000-0005-0000-0000-000047200000}"/>
    <cellStyle name="20% - Énfasis6 9 5" xfId="8315" xr:uid="{00000000-0005-0000-0000-000048200000}"/>
    <cellStyle name="20% - アクセント 1" xfId="8316" xr:uid="{00000000-0005-0000-0000-000049200000}"/>
    <cellStyle name="20% - アクセント 2" xfId="8317" xr:uid="{00000000-0005-0000-0000-00004A200000}"/>
    <cellStyle name="20% - アクセント 3" xfId="8318" xr:uid="{00000000-0005-0000-0000-00004B200000}"/>
    <cellStyle name="20% - アクセント 4" xfId="8319" xr:uid="{00000000-0005-0000-0000-00004C200000}"/>
    <cellStyle name="20% - アクセント 5" xfId="8320" xr:uid="{00000000-0005-0000-0000-00004D200000}"/>
    <cellStyle name="20% - アクセント 6" xfId="8321" xr:uid="{00000000-0005-0000-0000-00004E200000}"/>
    <cellStyle name="2001 Budget" xfId="8322" xr:uid="{00000000-0005-0000-0000-00004F200000}"/>
    <cellStyle name="24 F" xfId="8323" xr:uid="{00000000-0005-0000-0000-000050200000}"/>
    <cellStyle name="24 FK" xfId="8324" xr:uid="{00000000-0005-0000-0000-000051200000}"/>
    <cellStyle name="24 FU" xfId="8325" xr:uid="{00000000-0005-0000-0000-000052200000}"/>
    <cellStyle name="2x" xfId="8326" xr:uid="{00000000-0005-0000-0000-000053200000}"/>
    <cellStyle name="2x 10" xfId="8327" xr:uid="{00000000-0005-0000-0000-000054200000}"/>
    <cellStyle name="2x 10 10" xfId="8328" xr:uid="{00000000-0005-0000-0000-000055200000}"/>
    <cellStyle name="2x 10 11" xfId="8329" xr:uid="{00000000-0005-0000-0000-000056200000}"/>
    <cellStyle name="2x 10 12" xfId="8330" xr:uid="{00000000-0005-0000-0000-000057200000}"/>
    <cellStyle name="2x 10 13" xfId="8331" xr:uid="{00000000-0005-0000-0000-000058200000}"/>
    <cellStyle name="2x 10 2" xfId="8332" xr:uid="{00000000-0005-0000-0000-000059200000}"/>
    <cellStyle name="2x 10 2 10" xfId="8333" xr:uid="{00000000-0005-0000-0000-00005A200000}"/>
    <cellStyle name="2x 10 2 11" xfId="8334" xr:uid="{00000000-0005-0000-0000-00005B200000}"/>
    <cellStyle name="2x 10 2 12" xfId="8335" xr:uid="{00000000-0005-0000-0000-00005C200000}"/>
    <cellStyle name="2x 10 2 2" xfId="8336" xr:uid="{00000000-0005-0000-0000-00005D200000}"/>
    <cellStyle name="2x 10 2 2 10" xfId="8337" xr:uid="{00000000-0005-0000-0000-00005E200000}"/>
    <cellStyle name="2x 10 2 2 2" xfId="8338" xr:uid="{00000000-0005-0000-0000-00005F200000}"/>
    <cellStyle name="2x 10 2 2 3" xfId="8339" xr:uid="{00000000-0005-0000-0000-000060200000}"/>
    <cellStyle name="2x 10 2 2 4" xfId="8340" xr:uid="{00000000-0005-0000-0000-000061200000}"/>
    <cellStyle name="2x 10 2 2 5" xfId="8341" xr:uid="{00000000-0005-0000-0000-000062200000}"/>
    <cellStyle name="2x 10 2 2 6" xfId="8342" xr:uid="{00000000-0005-0000-0000-000063200000}"/>
    <cellStyle name="2x 10 2 2 7" xfId="8343" xr:uid="{00000000-0005-0000-0000-000064200000}"/>
    <cellStyle name="2x 10 2 2 8" xfId="8344" xr:uid="{00000000-0005-0000-0000-000065200000}"/>
    <cellStyle name="2x 10 2 2 9" xfId="8345" xr:uid="{00000000-0005-0000-0000-000066200000}"/>
    <cellStyle name="2x 10 2 3" xfId="8346" xr:uid="{00000000-0005-0000-0000-000067200000}"/>
    <cellStyle name="2x 10 2 4" xfId="8347" xr:uid="{00000000-0005-0000-0000-000068200000}"/>
    <cellStyle name="2x 10 2 5" xfId="8348" xr:uid="{00000000-0005-0000-0000-000069200000}"/>
    <cellStyle name="2x 10 2 6" xfId="8349" xr:uid="{00000000-0005-0000-0000-00006A200000}"/>
    <cellStyle name="2x 10 2 7" xfId="8350" xr:uid="{00000000-0005-0000-0000-00006B200000}"/>
    <cellStyle name="2x 10 2 8" xfId="8351" xr:uid="{00000000-0005-0000-0000-00006C200000}"/>
    <cellStyle name="2x 10 2 9" xfId="8352" xr:uid="{00000000-0005-0000-0000-00006D200000}"/>
    <cellStyle name="2x 10 3" xfId="8353" xr:uid="{00000000-0005-0000-0000-00006E200000}"/>
    <cellStyle name="2x 10 3 10" xfId="8354" xr:uid="{00000000-0005-0000-0000-00006F200000}"/>
    <cellStyle name="2x 10 3 11" xfId="8355" xr:uid="{00000000-0005-0000-0000-000070200000}"/>
    <cellStyle name="2x 10 3 2" xfId="8356" xr:uid="{00000000-0005-0000-0000-000071200000}"/>
    <cellStyle name="2x 10 3 3" xfId="8357" xr:uid="{00000000-0005-0000-0000-000072200000}"/>
    <cellStyle name="2x 10 3 4" xfId="8358" xr:uid="{00000000-0005-0000-0000-000073200000}"/>
    <cellStyle name="2x 10 3 5" xfId="8359" xr:uid="{00000000-0005-0000-0000-000074200000}"/>
    <cellStyle name="2x 10 3 6" xfId="8360" xr:uid="{00000000-0005-0000-0000-000075200000}"/>
    <cellStyle name="2x 10 3 7" xfId="8361" xr:uid="{00000000-0005-0000-0000-000076200000}"/>
    <cellStyle name="2x 10 3 8" xfId="8362" xr:uid="{00000000-0005-0000-0000-000077200000}"/>
    <cellStyle name="2x 10 3 9" xfId="8363" xr:uid="{00000000-0005-0000-0000-000078200000}"/>
    <cellStyle name="2x 10 4" xfId="8364" xr:uid="{00000000-0005-0000-0000-000079200000}"/>
    <cellStyle name="2x 10 5" xfId="8365" xr:uid="{00000000-0005-0000-0000-00007A200000}"/>
    <cellStyle name="2x 10 6" xfId="8366" xr:uid="{00000000-0005-0000-0000-00007B200000}"/>
    <cellStyle name="2x 10 7" xfId="8367" xr:uid="{00000000-0005-0000-0000-00007C200000}"/>
    <cellStyle name="2x 10 8" xfId="8368" xr:uid="{00000000-0005-0000-0000-00007D200000}"/>
    <cellStyle name="2x 10 9" xfId="8369" xr:uid="{00000000-0005-0000-0000-00007E200000}"/>
    <cellStyle name="2x 11" xfId="8370" xr:uid="{00000000-0005-0000-0000-00007F200000}"/>
    <cellStyle name="2x 11 10" xfId="8371" xr:uid="{00000000-0005-0000-0000-000080200000}"/>
    <cellStyle name="2x 11 11" xfId="8372" xr:uid="{00000000-0005-0000-0000-000081200000}"/>
    <cellStyle name="2x 11 12" xfId="8373" xr:uid="{00000000-0005-0000-0000-000082200000}"/>
    <cellStyle name="2x 11 13" xfId="8374" xr:uid="{00000000-0005-0000-0000-000083200000}"/>
    <cellStyle name="2x 11 2" xfId="8375" xr:uid="{00000000-0005-0000-0000-000084200000}"/>
    <cellStyle name="2x 11 2 10" xfId="8376" xr:uid="{00000000-0005-0000-0000-000085200000}"/>
    <cellStyle name="2x 11 2 11" xfId="8377" xr:uid="{00000000-0005-0000-0000-000086200000}"/>
    <cellStyle name="2x 11 2 12" xfId="8378" xr:uid="{00000000-0005-0000-0000-000087200000}"/>
    <cellStyle name="2x 11 2 2" xfId="8379" xr:uid="{00000000-0005-0000-0000-000088200000}"/>
    <cellStyle name="2x 11 2 2 10" xfId="8380" xr:uid="{00000000-0005-0000-0000-000089200000}"/>
    <cellStyle name="2x 11 2 2 2" xfId="8381" xr:uid="{00000000-0005-0000-0000-00008A200000}"/>
    <cellStyle name="2x 11 2 2 3" xfId="8382" xr:uid="{00000000-0005-0000-0000-00008B200000}"/>
    <cellStyle name="2x 11 2 2 4" xfId="8383" xr:uid="{00000000-0005-0000-0000-00008C200000}"/>
    <cellStyle name="2x 11 2 2 5" xfId="8384" xr:uid="{00000000-0005-0000-0000-00008D200000}"/>
    <cellStyle name="2x 11 2 2 6" xfId="8385" xr:uid="{00000000-0005-0000-0000-00008E200000}"/>
    <cellStyle name="2x 11 2 2 7" xfId="8386" xr:uid="{00000000-0005-0000-0000-00008F200000}"/>
    <cellStyle name="2x 11 2 2 8" xfId="8387" xr:uid="{00000000-0005-0000-0000-000090200000}"/>
    <cellStyle name="2x 11 2 2 9" xfId="8388" xr:uid="{00000000-0005-0000-0000-000091200000}"/>
    <cellStyle name="2x 11 2 3" xfId="8389" xr:uid="{00000000-0005-0000-0000-000092200000}"/>
    <cellStyle name="2x 11 2 4" xfId="8390" xr:uid="{00000000-0005-0000-0000-000093200000}"/>
    <cellStyle name="2x 11 2 5" xfId="8391" xr:uid="{00000000-0005-0000-0000-000094200000}"/>
    <cellStyle name="2x 11 2 6" xfId="8392" xr:uid="{00000000-0005-0000-0000-000095200000}"/>
    <cellStyle name="2x 11 2 7" xfId="8393" xr:uid="{00000000-0005-0000-0000-000096200000}"/>
    <cellStyle name="2x 11 2 8" xfId="8394" xr:uid="{00000000-0005-0000-0000-000097200000}"/>
    <cellStyle name="2x 11 2 9" xfId="8395" xr:uid="{00000000-0005-0000-0000-000098200000}"/>
    <cellStyle name="2x 11 3" xfId="8396" xr:uid="{00000000-0005-0000-0000-000099200000}"/>
    <cellStyle name="2x 11 3 10" xfId="8397" xr:uid="{00000000-0005-0000-0000-00009A200000}"/>
    <cellStyle name="2x 11 3 11" xfId="8398" xr:uid="{00000000-0005-0000-0000-00009B200000}"/>
    <cellStyle name="2x 11 3 2" xfId="8399" xr:uid="{00000000-0005-0000-0000-00009C200000}"/>
    <cellStyle name="2x 11 3 3" xfId="8400" xr:uid="{00000000-0005-0000-0000-00009D200000}"/>
    <cellStyle name="2x 11 3 4" xfId="8401" xr:uid="{00000000-0005-0000-0000-00009E200000}"/>
    <cellStyle name="2x 11 3 5" xfId="8402" xr:uid="{00000000-0005-0000-0000-00009F200000}"/>
    <cellStyle name="2x 11 3 6" xfId="8403" xr:uid="{00000000-0005-0000-0000-0000A0200000}"/>
    <cellStyle name="2x 11 3 7" xfId="8404" xr:uid="{00000000-0005-0000-0000-0000A1200000}"/>
    <cellStyle name="2x 11 3 8" xfId="8405" xr:uid="{00000000-0005-0000-0000-0000A2200000}"/>
    <cellStyle name="2x 11 3 9" xfId="8406" xr:uid="{00000000-0005-0000-0000-0000A3200000}"/>
    <cellStyle name="2x 11 4" xfId="8407" xr:uid="{00000000-0005-0000-0000-0000A4200000}"/>
    <cellStyle name="2x 11 5" xfId="8408" xr:uid="{00000000-0005-0000-0000-0000A5200000}"/>
    <cellStyle name="2x 11 6" xfId="8409" xr:uid="{00000000-0005-0000-0000-0000A6200000}"/>
    <cellStyle name="2x 11 7" xfId="8410" xr:uid="{00000000-0005-0000-0000-0000A7200000}"/>
    <cellStyle name="2x 11 8" xfId="8411" xr:uid="{00000000-0005-0000-0000-0000A8200000}"/>
    <cellStyle name="2x 11 9" xfId="8412" xr:uid="{00000000-0005-0000-0000-0000A9200000}"/>
    <cellStyle name="2x 12" xfId="8413" xr:uid="{00000000-0005-0000-0000-0000AA200000}"/>
    <cellStyle name="2x 12 10" xfId="8414" xr:uid="{00000000-0005-0000-0000-0000AB200000}"/>
    <cellStyle name="2x 12 11" xfId="8415" xr:uid="{00000000-0005-0000-0000-0000AC200000}"/>
    <cellStyle name="2x 12 12" xfId="8416" xr:uid="{00000000-0005-0000-0000-0000AD200000}"/>
    <cellStyle name="2x 12 13" xfId="8417" xr:uid="{00000000-0005-0000-0000-0000AE200000}"/>
    <cellStyle name="2x 12 2" xfId="8418" xr:uid="{00000000-0005-0000-0000-0000AF200000}"/>
    <cellStyle name="2x 12 2 10" xfId="8419" xr:uid="{00000000-0005-0000-0000-0000B0200000}"/>
    <cellStyle name="2x 12 2 11" xfId="8420" xr:uid="{00000000-0005-0000-0000-0000B1200000}"/>
    <cellStyle name="2x 12 2 12" xfId="8421" xr:uid="{00000000-0005-0000-0000-0000B2200000}"/>
    <cellStyle name="2x 12 2 2" xfId="8422" xr:uid="{00000000-0005-0000-0000-0000B3200000}"/>
    <cellStyle name="2x 12 2 2 10" xfId="8423" xr:uid="{00000000-0005-0000-0000-0000B4200000}"/>
    <cellStyle name="2x 12 2 2 2" xfId="8424" xr:uid="{00000000-0005-0000-0000-0000B5200000}"/>
    <cellStyle name="2x 12 2 2 3" xfId="8425" xr:uid="{00000000-0005-0000-0000-0000B6200000}"/>
    <cellStyle name="2x 12 2 2 4" xfId="8426" xr:uid="{00000000-0005-0000-0000-0000B7200000}"/>
    <cellStyle name="2x 12 2 2 5" xfId="8427" xr:uid="{00000000-0005-0000-0000-0000B8200000}"/>
    <cellStyle name="2x 12 2 2 6" xfId="8428" xr:uid="{00000000-0005-0000-0000-0000B9200000}"/>
    <cellStyle name="2x 12 2 2 7" xfId="8429" xr:uid="{00000000-0005-0000-0000-0000BA200000}"/>
    <cellStyle name="2x 12 2 2 8" xfId="8430" xr:uid="{00000000-0005-0000-0000-0000BB200000}"/>
    <cellStyle name="2x 12 2 2 9" xfId="8431" xr:uid="{00000000-0005-0000-0000-0000BC200000}"/>
    <cellStyle name="2x 12 2 3" xfId="8432" xr:uid="{00000000-0005-0000-0000-0000BD200000}"/>
    <cellStyle name="2x 12 2 4" xfId="8433" xr:uid="{00000000-0005-0000-0000-0000BE200000}"/>
    <cellStyle name="2x 12 2 5" xfId="8434" xr:uid="{00000000-0005-0000-0000-0000BF200000}"/>
    <cellStyle name="2x 12 2 6" xfId="8435" xr:uid="{00000000-0005-0000-0000-0000C0200000}"/>
    <cellStyle name="2x 12 2 7" xfId="8436" xr:uid="{00000000-0005-0000-0000-0000C1200000}"/>
    <cellStyle name="2x 12 2 8" xfId="8437" xr:uid="{00000000-0005-0000-0000-0000C2200000}"/>
    <cellStyle name="2x 12 2 9" xfId="8438" xr:uid="{00000000-0005-0000-0000-0000C3200000}"/>
    <cellStyle name="2x 12 3" xfId="8439" xr:uid="{00000000-0005-0000-0000-0000C4200000}"/>
    <cellStyle name="2x 12 3 10" xfId="8440" xr:uid="{00000000-0005-0000-0000-0000C5200000}"/>
    <cellStyle name="2x 12 3 11" xfId="8441" xr:uid="{00000000-0005-0000-0000-0000C6200000}"/>
    <cellStyle name="2x 12 3 2" xfId="8442" xr:uid="{00000000-0005-0000-0000-0000C7200000}"/>
    <cellStyle name="2x 12 3 3" xfId="8443" xr:uid="{00000000-0005-0000-0000-0000C8200000}"/>
    <cellStyle name="2x 12 3 4" xfId="8444" xr:uid="{00000000-0005-0000-0000-0000C9200000}"/>
    <cellStyle name="2x 12 3 5" xfId="8445" xr:uid="{00000000-0005-0000-0000-0000CA200000}"/>
    <cellStyle name="2x 12 3 6" xfId="8446" xr:uid="{00000000-0005-0000-0000-0000CB200000}"/>
    <cellStyle name="2x 12 3 7" xfId="8447" xr:uid="{00000000-0005-0000-0000-0000CC200000}"/>
    <cellStyle name="2x 12 3 8" xfId="8448" xr:uid="{00000000-0005-0000-0000-0000CD200000}"/>
    <cellStyle name="2x 12 3 9" xfId="8449" xr:uid="{00000000-0005-0000-0000-0000CE200000}"/>
    <cellStyle name="2x 12 4" xfId="8450" xr:uid="{00000000-0005-0000-0000-0000CF200000}"/>
    <cellStyle name="2x 12 5" xfId="8451" xr:uid="{00000000-0005-0000-0000-0000D0200000}"/>
    <cellStyle name="2x 12 6" xfId="8452" xr:uid="{00000000-0005-0000-0000-0000D1200000}"/>
    <cellStyle name="2x 12 7" xfId="8453" xr:uid="{00000000-0005-0000-0000-0000D2200000}"/>
    <cellStyle name="2x 12 8" xfId="8454" xr:uid="{00000000-0005-0000-0000-0000D3200000}"/>
    <cellStyle name="2x 12 9" xfId="8455" xr:uid="{00000000-0005-0000-0000-0000D4200000}"/>
    <cellStyle name="2x 13" xfId="8456" xr:uid="{00000000-0005-0000-0000-0000D5200000}"/>
    <cellStyle name="2x 13 10" xfId="8457" xr:uid="{00000000-0005-0000-0000-0000D6200000}"/>
    <cellStyle name="2x 13 11" xfId="8458" xr:uid="{00000000-0005-0000-0000-0000D7200000}"/>
    <cellStyle name="2x 13 12" xfId="8459" xr:uid="{00000000-0005-0000-0000-0000D8200000}"/>
    <cellStyle name="2x 13 13" xfId="8460" xr:uid="{00000000-0005-0000-0000-0000D9200000}"/>
    <cellStyle name="2x 13 2" xfId="8461" xr:uid="{00000000-0005-0000-0000-0000DA200000}"/>
    <cellStyle name="2x 13 2 10" xfId="8462" xr:uid="{00000000-0005-0000-0000-0000DB200000}"/>
    <cellStyle name="2x 13 2 11" xfId="8463" xr:uid="{00000000-0005-0000-0000-0000DC200000}"/>
    <cellStyle name="2x 13 2 12" xfId="8464" xr:uid="{00000000-0005-0000-0000-0000DD200000}"/>
    <cellStyle name="2x 13 2 2" xfId="8465" xr:uid="{00000000-0005-0000-0000-0000DE200000}"/>
    <cellStyle name="2x 13 2 2 10" xfId="8466" xr:uid="{00000000-0005-0000-0000-0000DF200000}"/>
    <cellStyle name="2x 13 2 2 2" xfId="8467" xr:uid="{00000000-0005-0000-0000-0000E0200000}"/>
    <cellStyle name="2x 13 2 2 3" xfId="8468" xr:uid="{00000000-0005-0000-0000-0000E1200000}"/>
    <cellStyle name="2x 13 2 2 4" xfId="8469" xr:uid="{00000000-0005-0000-0000-0000E2200000}"/>
    <cellStyle name="2x 13 2 2 5" xfId="8470" xr:uid="{00000000-0005-0000-0000-0000E3200000}"/>
    <cellStyle name="2x 13 2 2 6" xfId="8471" xr:uid="{00000000-0005-0000-0000-0000E4200000}"/>
    <cellStyle name="2x 13 2 2 7" xfId="8472" xr:uid="{00000000-0005-0000-0000-0000E5200000}"/>
    <cellStyle name="2x 13 2 2 8" xfId="8473" xr:uid="{00000000-0005-0000-0000-0000E6200000}"/>
    <cellStyle name="2x 13 2 2 9" xfId="8474" xr:uid="{00000000-0005-0000-0000-0000E7200000}"/>
    <cellStyle name="2x 13 2 3" xfId="8475" xr:uid="{00000000-0005-0000-0000-0000E8200000}"/>
    <cellStyle name="2x 13 2 4" xfId="8476" xr:uid="{00000000-0005-0000-0000-0000E9200000}"/>
    <cellStyle name="2x 13 2 5" xfId="8477" xr:uid="{00000000-0005-0000-0000-0000EA200000}"/>
    <cellStyle name="2x 13 2 6" xfId="8478" xr:uid="{00000000-0005-0000-0000-0000EB200000}"/>
    <cellStyle name="2x 13 2 7" xfId="8479" xr:uid="{00000000-0005-0000-0000-0000EC200000}"/>
    <cellStyle name="2x 13 2 8" xfId="8480" xr:uid="{00000000-0005-0000-0000-0000ED200000}"/>
    <cellStyle name="2x 13 2 9" xfId="8481" xr:uid="{00000000-0005-0000-0000-0000EE200000}"/>
    <cellStyle name="2x 13 3" xfId="8482" xr:uid="{00000000-0005-0000-0000-0000EF200000}"/>
    <cellStyle name="2x 13 3 10" xfId="8483" xr:uid="{00000000-0005-0000-0000-0000F0200000}"/>
    <cellStyle name="2x 13 3 11" xfId="8484" xr:uid="{00000000-0005-0000-0000-0000F1200000}"/>
    <cellStyle name="2x 13 3 2" xfId="8485" xr:uid="{00000000-0005-0000-0000-0000F2200000}"/>
    <cellStyle name="2x 13 3 3" xfId="8486" xr:uid="{00000000-0005-0000-0000-0000F3200000}"/>
    <cellStyle name="2x 13 3 4" xfId="8487" xr:uid="{00000000-0005-0000-0000-0000F4200000}"/>
    <cellStyle name="2x 13 3 5" xfId="8488" xr:uid="{00000000-0005-0000-0000-0000F5200000}"/>
    <cellStyle name="2x 13 3 6" xfId="8489" xr:uid="{00000000-0005-0000-0000-0000F6200000}"/>
    <cellStyle name="2x 13 3 7" xfId="8490" xr:uid="{00000000-0005-0000-0000-0000F7200000}"/>
    <cellStyle name="2x 13 3 8" xfId="8491" xr:uid="{00000000-0005-0000-0000-0000F8200000}"/>
    <cellStyle name="2x 13 3 9" xfId="8492" xr:uid="{00000000-0005-0000-0000-0000F9200000}"/>
    <cellStyle name="2x 13 4" xfId="8493" xr:uid="{00000000-0005-0000-0000-0000FA200000}"/>
    <cellStyle name="2x 13 5" xfId="8494" xr:uid="{00000000-0005-0000-0000-0000FB200000}"/>
    <cellStyle name="2x 13 6" xfId="8495" xr:uid="{00000000-0005-0000-0000-0000FC200000}"/>
    <cellStyle name="2x 13 7" xfId="8496" xr:uid="{00000000-0005-0000-0000-0000FD200000}"/>
    <cellStyle name="2x 13 8" xfId="8497" xr:uid="{00000000-0005-0000-0000-0000FE200000}"/>
    <cellStyle name="2x 13 9" xfId="8498" xr:uid="{00000000-0005-0000-0000-0000FF200000}"/>
    <cellStyle name="2x 2" xfId="8499" xr:uid="{00000000-0005-0000-0000-000000210000}"/>
    <cellStyle name="2x 2 10" xfId="8500" xr:uid="{00000000-0005-0000-0000-000001210000}"/>
    <cellStyle name="2x 2 10 10" xfId="8501" xr:uid="{00000000-0005-0000-0000-000002210000}"/>
    <cellStyle name="2x 2 10 11" xfId="8502" xr:uid="{00000000-0005-0000-0000-000003210000}"/>
    <cellStyle name="2x 2 10 12" xfId="8503" xr:uid="{00000000-0005-0000-0000-000004210000}"/>
    <cellStyle name="2x 2 10 13" xfId="8504" xr:uid="{00000000-0005-0000-0000-000005210000}"/>
    <cellStyle name="2x 2 10 2" xfId="8505" xr:uid="{00000000-0005-0000-0000-000006210000}"/>
    <cellStyle name="2x 2 10 2 10" xfId="8506" xr:uid="{00000000-0005-0000-0000-000007210000}"/>
    <cellStyle name="2x 2 10 2 11" xfId="8507" xr:uid="{00000000-0005-0000-0000-000008210000}"/>
    <cellStyle name="2x 2 10 2 12" xfId="8508" xr:uid="{00000000-0005-0000-0000-000009210000}"/>
    <cellStyle name="2x 2 10 2 2" xfId="8509" xr:uid="{00000000-0005-0000-0000-00000A210000}"/>
    <cellStyle name="2x 2 10 2 2 10" xfId="8510" xr:uid="{00000000-0005-0000-0000-00000B210000}"/>
    <cellStyle name="2x 2 10 2 2 2" xfId="8511" xr:uid="{00000000-0005-0000-0000-00000C210000}"/>
    <cellStyle name="2x 2 10 2 2 3" xfId="8512" xr:uid="{00000000-0005-0000-0000-00000D210000}"/>
    <cellStyle name="2x 2 10 2 2 4" xfId="8513" xr:uid="{00000000-0005-0000-0000-00000E210000}"/>
    <cellStyle name="2x 2 10 2 2 5" xfId="8514" xr:uid="{00000000-0005-0000-0000-00000F210000}"/>
    <cellStyle name="2x 2 10 2 2 6" xfId="8515" xr:uid="{00000000-0005-0000-0000-000010210000}"/>
    <cellStyle name="2x 2 10 2 2 7" xfId="8516" xr:uid="{00000000-0005-0000-0000-000011210000}"/>
    <cellStyle name="2x 2 10 2 2 8" xfId="8517" xr:uid="{00000000-0005-0000-0000-000012210000}"/>
    <cellStyle name="2x 2 10 2 2 9" xfId="8518" xr:uid="{00000000-0005-0000-0000-000013210000}"/>
    <cellStyle name="2x 2 10 2 3" xfId="8519" xr:uid="{00000000-0005-0000-0000-000014210000}"/>
    <cellStyle name="2x 2 10 2 4" xfId="8520" xr:uid="{00000000-0005-0000-0000-000015210000}"/>
    <cellStyle name="2x 2 10 2 5" xfId="8521" xr:uid="{00000000-0005-0000-0000-000016210000}"/>
    <cellStyle name="2x 2 10 2 6" xfId="8522" xr:uid="{00000000-0005-0000-0000-000017210000}"/>
    <cellStyle name="2x 2 10 2 7" xfId="8523" xr:uid="{00000000-0005-0000-0000-000018210000}"/>
    <cellStyle name="2x 2 10 2 8" xfId="8524" xr:uid="{00000000-0005-0000-0000-000019210000}"/>
    <cellStyle name="2x 2 10 2 9" xfId="8525" xr:uid="{00000000-0005-0000-0000-00001A210000}"/>
    <cellStyle name="2x 2 10 3" xfId="8526" xr:uid="{00000000-0005-0000-0000-00001B210000}"/>
    <cellStyle name="2x 2 10 3 10" xfId="8527" xr:uid="{00000000-0005-0000-0000-00001C210000}"/>
    <cellStyle name="2x 2 10 3 11" xfId="8528" xr:uid="{00000000-0005-0000-0000-00001D210000}"/>
    <cellStyle name="2x 2 10 3 2" xfId="8529" xr:uid="{00000000-0005-0000-0000-00001E210000}"/>
    <cellStyle name="2x 2 10 3 3" xfId="8530" xr:uid="{00000000-0005-0000-0000-00001F210000}"/>
    <cellStyle name="2x 2 10 3 4" xfId="8531" xr:uid="{00000000-0005-0000-0000-000020210000}"/>
    <cellStyle name="2x 2 10 3 5" xfId="8532" xr:uid="{00000000-0005-0000-0000-000021210000}"/>
    <cellStyle name="2x 2 10 3 6" xfId="8533" xr:uid="{00000000-0005-0000-0000-000022210000}"/>
    <cellStyle name="2x 2 10 3 7" xfId="8534" xr:uid="{00000000-0005-0000-0000-000023210000}"/>
    <cellStyle name="2x 2 10 3 8" xfId="8535" xr:uid="{00000000-0005-0000-0000-000024210000}"/>
    <cellStyle name="2x 2 10 3 9" xfId="8536" xr:uid="{00000000-0005-0000-0000-000025210000}"/>
    <cellStyle name="2x 2 10 4" xfId="8537" xr:uid="{00000000-0005-0000-0000-000026210000}"/>
    <cellStyle name="2x 2 10 5" xfId="8538" xr:uid="{00000000-0005-0000-0000-000027210000}"/>
    <cellStyle name="2x 2 10 6" xfId="8539" xr:uid="{00000000-0005-0000-0000-000028210000}"/>
    <cellStyle name="2x 2 10 7" xfId="8540" xr:uid="{00000000-0005-0000-0000-000029210000}"/>
    <cellStyle name="2x 2 10 8" xfId="8541" xr:uid="{00000000-0005-0000-0000-00002A210000}"/>
    <cellStyle name="2x 2 10 9" xfId="8542" xr:uid="{00000000-0005-0000-0000-00002B210000}"/>
    <cellStyle name="2x 2 11" xfId="8543" xr:uid="{00000000-0005-0000-0000-00002C210000}"/>
    <cellStyle name="2x 2 11 10" xfId="8544" xr:uid="{00000000-0005-0000-0000-00002D210000}"/>
    <cellStyle name="2x 2 11 11" xfId="8545" xr:uid="{00000000-0005-0000-0000-00002E210000}"/>
    <cellStyle name="2x 2 11 12" xfId="8546" xr:uid="{00000000-0005-0000-0000-00002F210000}"/>
    <cellStyle name="2x 2 11 13" xfId="8547" xr:uid="{00000000-0005-0000-0000-000030210000}"/>
    <cellStyle name="2x 2 11 2" xfId="8548" xr:uid="{00000000-0005-0000-0000-000031210000}"/>
    <cellStyle name="2x 2 11 2 10" xfId="8549" xr:uid="{00000000-0005-0000-0000-000032210000}"/>
    <cellStyle name="2x 2 11 2 11" xfId="8550" xr:uid="{00000000-0005-0000-0000-000033210000}"/>
    <cellStyle name="2x 2 11 2 12" xfId="8551" xr:uid="{00000000-0005-0000-0000-000034210000}"/>
    <cellStyle name="2x 2 11 2 2" xfId="8552" xr:uid="{00000000-0005-0000-0000-000035210000}"/>
    <cellStyle name="2x 2 11 2 2 10" xfId="8553" xr:uid="{00000000-0005-0000-0000-000036210000}"/>
    <cellStyle name="2x 2 11 2 2 2" xfId="8554" xr:uid="{00000000-0005-0000-0000-000037210000}"/>
    <cellStyle name="2x 2 11 2 2 3" xfId="8555" xr:uid="{00000000-0005-0000-0000-000038210000}"/>
    <cellStyle name="2x 2 11 2 2 4" xfId="8556" xr:uid="{00000000-0005-0000-0000-000039210000}"/>
    <cellStyle name="2x 2 11 2 2 5" xfId="8557" xr:uid="{00000000-0005-0000-0000-00003A210000}"/>
    <cellStyle name="2x 2 11 2 2 6" xfId="8558" xr:uid="{00000000-0005-0000-0000-00003B210000}"/>
    <cellStyle name="2x 2 11 2 2 7" xfId="8559" xr:uid="{00000000-0005-0000-0000-00003C210000}"/>
    <cellStyle name="2x 2 11 2 2 8" xfId="8560" xr:uid="{00000000-0005-0000-0000-00003D210000}"/>
    <cellStyle name="2x 2 11 2 2 9" xfId="8561" xr:uid="{00000000-0005-0000-0000-00003E210000}"/>
    <cellStyle name="2x 2 11 2 3" xfId="8562" xr:uid="{00000000-0005-0000-0000-00003F210000}"/>
    <cellStyle name="2x 2 11 2 4" xfId="8563" xr:uid="{00000000-0005-0000-0000-000040210000}"/>
    <cellStyle name="2x 2 11 2 5" xfId="8564" xr:uid="{00000000-0005-0000-0000-000041210000}"/>
    <cellStyle name="2x 2 11 2 6" xfId="8565" xr:uid="{00000000-0005-0000-0000-000042210000}"/>
    <cellStyle name="2x 2 11 2 7" xfId="8566" xr:uid="{00000000-0005-0000-0000-000043210000}"/>
    <cellStyle name="2x 2 11 2 8" xfId="8567" xr:uid="{00000000-0005-0000-0000-000044210000}"/>
    <cellStyle name="2x 2 11 2 9" xfId="8568" xr:uid="{00000000-0005-0000-0000-000045210000}"/>
    <cellStyle name="2x 2 11 3" xfId="8569" xr:uid="{00000000-0005-0000-0000-000046210000}"/>
    <cellStyle name="2x 2 11 3 10" xfId="8570" xr:uid="{00000000-0005-0000-0000-000047210000}"/>
    <cellStyle name="2x 2 11 3 11" xfId="8571" xr:uid="{00000000-0005-0000-0000-000048210000}"/>
    <cellStyle name="2x 2 11 3 2" xfId="8572" xr:uid="{00000000-0005-0000-0000-000049210000}"/>
    <cellStyle name="2x 2 11 3 3" xfId="8573" xr:uid="{00000000-0005-0000-0000-00004A210000}"/>
    <cellStyle name="2x 2 11 3 4" xfId="8574" xr:uid="{00000000-0005-0000-0000-00004B210000}"/>
    <cellStyle name="2x 2 11 3 5" xfId="8575" xr:uid="{00000000-0005-0000-0000-00004C210000}"/>
    <cellStyle name="2x 2 11 3 6" xfId="8576" xr:uid="{00000000-0005-0000-0000-00004D210000}"/>
    <cellStyle name="2x 2 11 3 7" xfId="8577" xr:uid="{00000000-0005-0000-0000-00004E210000}"/>
    <cellStyle name="2x 2 11 3 8" xfId="8578" xr:uid="{00000000-0005-0000-0000-00004F210000}"/>
    <cellStyle name="2x 2 11 3 9" xfId="8579" xr:uid="{00000000-0005-0000-0000-000050210000}"/>
    <cellStyle name="2x 2 11 4" xfId="8580" xr:uid="{00000000-0005-0000-0000-000051210000}"/>
    <cellStyle name="2x 2 11 5" xfId="8581" xr:uid="{00000000-0005-0000-0000-000052210000}"/>
    <cellStyle name="2x 2 11 6" xfId="8582" xr:uid="{00000000-0005-0000-0000-000053210000}"/>
    <cellStyle name="2x 2 11 7" xfId="8583" xr:uid="{00000000-0005-0000-0000-000054210000}"/>
    <cellStyle name="2x 2 11 8" xfId="8584" xr:uid="{00000000-0005-0000-0000-000055210000}"/>
    <cellStyle name="2x 2 11 9" xfId="8585" xr:uid="{00000000-0005-0000-0000-000056210000}"/>
    <cellStyle name="2x 2 12" xfId="8586" xr:uid="{00000000-0005-0000-0000-000057210000}"/>
    <cellStyle name="2x 2 12 10" xfId="8587" xr:uid="{00000000-0005-0000-0000-000058210000}"/>
    <cellStyle name="2x 2 12 11" xfId="8588" xr:uid="{00000000-0005-0000-0000-000059210000}"/>
    <cellStyle name="2x 2 12 12" xfId="8589" xr:uid="{00000000-0005-0000-0000-00005A210000}"/>
    <cellStyle name="2x 2 12 13" xfId="8590" xr:uid="{00000000-0005-0000-0000-00005B210000}"/>
    <cellStyle name="2x 2 12 2" xfId="8591" xr:uid="{00000000-0005-0000-0000-00005C210000}"/>
    <cellStyle name="2x 2 12 2 10" xfId="8592" xr:uid="{00000000-0005-0000-0000-00005D210000}"/>
    <cellStyle name="2x 2 12 2 11" xfId="8593" xr:uid="{00000000-0005-0000-0000-00005E210000}"/>
    <cellStyle name="2x 2 12 2 12" xfId="8594" xr:uid="{00000000-0005-0000-0000-00005F210000}"/>
    <cellStyle name="2x 2 12 2 2" xfId="8595" xr:uid="{00000000-0005-0000-0000-000060210000}"/>
    <cellStyle name="2x 2 12 2 2 10" xfId="8596" xr:uid="{00000000-0005-0000-0000-000061210000}"/>
    <cellStyle name="2x 2 12 2 2 2" xfId="8597" xr:uid="{00000000-0005-0000-0000-000062210000}"/>
    <cellStyle name="2x 2 12 2 2 3" xfId="8598" xr:uid="{00000000-0005-0000-0000-000063210000}"/>
    <cellStyle name="2x 2 12 2 2 4" xfId="8599" xr:uid="{00000000-0005-0000-0000-000064210000}"/>
    <cellStyle name="2x 2 12 2 2 5" xfId="8600" xr:uid="{00000000-0005-0000-0000-000065210000}"/>
    <cellStyle name="2x 2 12 2 2 6" xfId="8601" xr:uid="{00000000-0005-0000-0000-000066210000}"/>
    <cellStyle name="2x 2 12 2 2 7" xfId="8602" xr:uid="{00000000-0005-0000-0000-000067210000}"/>
    <cellStyle name="2x 2 12 2 2 8" xfId="8603" xr:uid="{00000000-0005-0000-0000-000068210000}"/>
    <cellStyle name="2x 2 12 2 2 9" xfId="8604" xr:uid="{00000000-0005-0000-0000-000069210000}"/>
    <cellStyle name="2x 2 12 2 3" xfId="8605" xr:uid="{00000000-0005-0000-0000-00006A210000}"/>
    <cellStyle name="2x 2 12 2 4" xfId="8606" xr:uid="{00000000-0005-0000-0000-00006B210000}"/>
    <cellStyle name="2x 2 12 2 5" xfId="8607" xr:uid="{00000000-0005-0000-0000-00006C210000}"/>
    <cellStyle name="2x 2 12 2 6" xfId="8608" xr:uid="{00000000-0005-0000-0000-00006D210000}"/>
    <cellStyle name="2x 2 12 2 7" xfId="8609" xr:uid="{00000000-0005-0000-0000-00006E210000}"/>
    <cellStyle name="2x 2 12 2 8" xfId="8610" xr:uid="{00000000-0005-0000-0000-00006F210000}"/>
    <cellStyle name="2x 2 12 2 9" xfId="8611" xr:uid="{00000000-0005-0000-0000-000070210000}"/>
    <cellStyle name="2x 2 12 3" xfId="8612" xr:uid="{00000000-0005-0000-0000-000071210000}"/>
    <cellStyle name="2x 2 12 3 10" xfId="8613" xr:uid="{00000000-0005-0000-0000-000072210000}"/>
    <cellStyle name="2x 2 12 3 11" xfId="8614" xr:uid="{00000000-0005-0000-0000-000073210000}"/>
    <cellStyle name="2x 2 12 3 2" xfId="8615" xr:uid="{00000000-0005-0000-0000-000074210000}"/>
    <cellStyle name="2x 2 12 3 3" xfId="8616" xr:uid="{00000000-0005-0000-0000-000075210000}"/>
    <cellStyle name="2x 2 12 3 4" xfId="8617" xr:uid="{00000000-0005-0000-0000-000076210000}"/>
    <cellStyle name="2x 2 12 3 5" xfId="8618" xr:uid="{00000000-0005-0000-0000-000077210000}"/>
    <cellStyle name="2x 2 12 3 6" xfId="8619" xr:uid="{00000000-0005-0000-0000-000078210000}"/>
    <cellStyle name="2x 2 12 3 7" xfId="8620" xr:uid="{00000000-0005-0000-0000-000079210000}"/>
    <cellStyle name="2x 2 12 3 8" xfId="8621" xr:uid="{00000000-0005-0000-0000-00007A210000}"/>
    <cellStyle name="2x 2 12 3 9" xfId="8622" xr:uid="{00000000-0005-0000-0000-00007B210000}"/>
    <cellStyle name="2x 2 12 4" xfId="8623" xr:uid="{00000000-0005-0000-0000-00007C210000}"/>
    <cellStyle name="2x 2 12 5" xfId="8624" xr:uid="{00000000-0005-0000-0000-00007D210000}"/>
    <cellStyle name="2x 2 12 6" xfId="8625" xr:uid="{00000000-0005-0000-0000-00007E210000}"/>
    <cellStyle name="2x 2 12 7" xfId="8626" xr:uid="{00000000-0005-0000-0000-00007F210000}"/>
    <cellStyle name="2x 2 12 8" xfId="8627" xr:uid="{00000000-0005-0000-0000-000080210000}"/>
    <cellStyle name="2x 2 12 9" xfId="8628" xr:uid="{00000000-0005-0000-0000-000081210000}"/>
    <cellStyle name="2x 2 2" xfId="8629" xr:uid="{00000000-0005-0000-0000-000082210000}"/>
    <cellStyle name="2x 2 2 10" xfId="8630" xr:uid="{00000000-0005-0000-0000-000083210000}"/>
    <cellStyle name="2x 2 2 11" xfId="8631" xr:uid="{00000000-0005-0000-0000-000084210000}"/>
    <cellStyle name="2x 2 2 12" xfId="8632" xr:uid="{00000000-0005-0000-0000-000085210000}"/>
    <cellStyle name="2x 2 2 13" xfId="8633" xr:uid="{00000000-0005-0000-0000-000086210000}"/>
    <cellStyle name="2x 2 2 2" xfId="8634" xr:uid="{00000000-0005-0000-0000-000087210000}"/>
    <cellStyle name="2x 2 2 2 10" xfId="8635" xr:uid="{00000000-0005-0000-0000-000088210000}"/>
    <cellStyle name="2x 2 2 2 11" xfId="8636" xr:uid="{00000000-0005-0000-0000-000089210000}"/>
    <cellStyle name="2x 2 2 2 12" xfId="8637" xr:uid="{00000000-0005-0000-0000-00008A210000}"/>
    <cellStyle name="2x 2 2 2 2" xfId="8638" xr:uid="{00000000-0005-0000-0000-00008B210000}"/>
    <cellStyle name="2x 2 2 2 2 10" xfId="8639" xr:uid="{00000000-0005-0000-0000-00008C210000}"/>
    <cellStyle name="2x 2 2 2 2 2" xfId="8640" xr:uid="{00000000-0005-0000-0000-00008D210000}"/>
    <cellStyle name="2x 2 2 2 2 3" xfId="8641" xr:uid="{00000000-0005-0000-0000-00008E210000}"/>
    <cellStyle name="2x 2 2 2 2 4" xfId="8642" xr:uid="{00000000-0005-0000-0000-00008F210000}"/>
    <cellStyle name="2x 2 2 2 2 5" xfId="8643" xr:uid="{00000000-0005-0000-0000-000090210000}"/>
    <cellStyle name="2x 2 2 2 2 6" xfId="8644" xr:uid="{00000000-0005-0000-0000-000091210000}"/>
    <cellStyle name="2x 2 2 2 2 7" xfId="8645" xr:uid="{00000000-0005-0000-0000-000092210000}"/>
    <cellStyle name="2x 2 2 2 2 8" xfId="8646" xr:uid="{00000000-0005-0000-0000-000093210000}"/>
    <cellStyle name="2x 2 2 2 2 9" xfId="8647" xr:uid="{00000000-0005-0000-0000-000094210000}"/>
    <cellStyle name="2x 2 2 2 3" xfId="8648" xr:uid="{00000000-0005-0000-0000-000095210000}"/>
    <cellStyle name="2x 2 2 2 4" xfId="8649" xr:uid="{00000000-0005-0000-0000-000096210000}"/>
    <cellStyle name="2x 2 2 2 5" xfId="8650" xr:uid="{00000000-0005-0000-0000-000097210000}"/>
    <cellStyle name="2x 2 2 2 6" xfId="8651" xr:uid="{00000000-0005-0000-0000-000098210000}"/>
    <cellStyle name="2x 2 2 2 7" xfId="8652" xr:uid="{00000000-0005-0000-0000-000099210000}"/>
    <cellStyle name="2x 2 2 2 8" xfId="8653" xr:uid="{00000000-0005-0000-0000-00009A210000}"/>
    <cellStyle name="2x 2 2 2 9" xfId="8654" xr:uid="{00000000-0005-0000-0000-00009B210000}"/>
    <cellStyle name="2x 2 2 3" xfId="8655" xr:uid="{00000000-0005-0000-0000-00009C210000}"/>
    <cellStyle name="2x 2 2 3 10" xfId="8656" xr:uid="{00000000-0005-0000-0000-00009D210000}"/>
    <cellStyle name="2x 2 2 3 11" xfId="8657" xr:uid="{00000000-0005-0000-0000-00009E210000}"/>
    <cellStyle name="2x 2 2 3 2" xfId="8658" xr:uid="{00000000-0005-0000-0000-00009F210000}"/>
    <cellStyle name="2x 2 2 3 3" xfId="8659" xr:uid="{00000000-0005-0000-0000-0000A0210000}"/>
    <cellStyle name="2x 2 2 3 4" xfId="8660" xr:uid="{00000000-0005-0000-0000-0000A1210000}"/>
    <cellStyle name="2x 2 2 3 5" xfId="8661" xr:uid="{00000000-0005-0000-0000-0000A2210000}"/>
    <cellStyle name="2x 2 2 3 6" xfId="8662" xr:uid="{00000000-0005-0000-0000-0000A3210000}"/>
    <cellStyle name="2x 2 2 3 7" xfId="8663" xr:uid="{00000000-0005-0000-0000-0000A4210000}"/>
    <cellStyle name="2x 2 2 3 8" xfId="8664" xr:uid="{00000000-0005-0000-0000-0000A5210000}"/>
    <cellStyle name="2x 2 2 3 9" xfId="8665" xr:uid="{00000000-0005-0000-0000-0000A6210000}"/>
    <cellStyle name="2x 2 2 4" xfId="8666" xr:uid="{00000000-0005-0000-0000-0000A7210000}"/>
    <cellStyle name="2x 2 2 5" xfId="8667" xr:uid="{00000000-0005-0000-0000-0000A8210000}"/>
    <cellStyle name="2x 2 2 6" xfId="8668" xr:uid="{00000000-0005-0000-0000-0000A9210000}"/>
    <cellStyle name="2x 2 2 7" xfId="8669" xr:uid="{00000000-0005-0000-0000-0000AA210000}"/>
    <cellStyle name="2x 2 2 8" xfId="8670" xr:uid="{00000000-0005-0000-0000-0000AB210000}"/>
    <cellStyle name="2x 2 2 9" xfId="8671" xr:uid="{00000000-0005-0000-0000-0000AC210000}"/>
    <cellStyle name="2x 2 3" xfId="8672" xr:uid="{00000000-0005-0000-0000-0000AD210000}"/>
    <cellStyle name="2x 2 3 10" xfId="8673" xr:uid="{00000000-0005-0000-0000-0000AE210000}"/>
    <cellStyle name="2x 2 3 11" xfId="8674" xr:uid="{00000000-0005-0000-0000-0000AF210000}"/>
    <cellStyle name="2x 2 3 12" xfId="8675" xr:uid="{00000000-0005-0000-0000-0000B0210000}"/>
    <cellStyle name="2x 2 3 13" xfId="8676" xr:uid="{00000000-0005-0000-0000-0000B1210000}"/>
    <cellStyle name="2x 2 3 2" xfId="8677" xr:uid="{00000000-0005-0000-0000-0000B2210000}"/>
    <cellStyle name="2x 2 3 2 10" xfId="8678" xr:uid="{00000000-0005-0000-0000-0000B3210000}"/>
    <cellStyle name="2x 2 3 2 11" xfId="8679" xr:uid="{00000000-0005-0000-0000-0000B4210000}"/>
    <cellStyle name="2x 2 3 2 12" xfId="8680" xr:uid="{00000000-0005-0000-0000-0000B5210000}"/>
    <cellStyle name="2x 2 3 2 2" xfId="8681" xr:uid="{00000000-0005-0000-0000-0000B6210000}"/>
    <cellStyle name="2x 2 3 2 2 10" xfId="8682" xr:uid="{00000000-0005-0000-0000-0000B7210000}"/>
    <cellStyle name="2x 2 3 2 2 2" xfId="8683" xr:uid="{00000000-0005-0000-0000-0000B8210000}"/>
    <cellStyle name="2x 2 3 2 2 3" xfId="8684" xr:uid="{00000000-0005-0000-0000-0000B9210000}"/>
    <cellStyle name="2x 2 3 2 2 4" xfId="8685" xr:uid="{00000000-0005-0000-0000-0000BA210000}"/>
    <cellStyle name="2x 2 3 2 2 5" xfId="8686" xr:uid="{00000000-0005-0000-0000-0000BB210000}"/>
    <cellStyle name="2x 2 3 2 2 6" xfId="8687" xr:uid="{00000000-0005-0000-0000-0000BC210000}"/>
    <cellStyle name="2x 2 3 2 2 7" xfId="8688" xr:uid="{00000000-0005-0000-0000-0000BD210000}"/>
    <cellStyle name="2x 2 3 2 2 8" xfId="8689" xr:uid="{00000000-0005-0000-0000-0000BE210000}"/>
    <cellStyle name="2x 2 3 2 2 9" xfId="8690" xr:uid="{00000000-0005-0000-0000-0000BF210000}"/>
    <cellStyle name="2x 2 3 2 3" xfId="8691" xr:uid="{00000000-0005-0000-0000-0000C0210000}"/>
    <cellStyle name="2x 2 3 2 4" xfId="8692" xr:uid="{00000000-0005-0000-0000-0000C1210000}"/>
    <cellStyle name="2x 2 3 2 5" xfId="8693" xr:uid="{00000000-0005-0000-0000-0000C2210000}"/>
    <cellStyle name="2x 2 3 2 6" xfId="8694" xr:uid="{00000000-0005-0000-0000-0000C3210000}"/>
    <cellStyle name="2x 2 3 2 7" xfId="8695" xr:uid="{00000000-0005-0000-0000-0000C4210000}"/>
    <cellStyle name="2x 2 3 2 8" xfId="8696" xr:uid="{00000000-0005-0000-0000-0000C5210000}"/>
    <cellStyle name="2x 2 3 2 9" xfId="8697" xr:uid="{00000000-0005-0000-0000-0000C6210000}"/>
    <cellStyle name="2x 2 3 3" xfId="8698" xr:uid="{00000000-0005-0000-0000-0000C7210000}"/>
    <cellStyle name="2x 2 3 3 10" xfId="8699" xr:uid="{00000000-0005-0000-0000-0000C8210000}"/>
    <cellStyle name="2x 2 3 3 11" xfId="8700" xr:uid="{00000000-0005-0000-0000-0000C9210000}"/>
    <cellStyle name="2x 2 3 3 2" xfId="8701" xr:uid="{00000000-0005-0000-0000-0000CA210000}"/>
    <cellStyle name="2x 2 3 3 3" xfId="8702" xr:uid="{00000000-0005-0000-0000-0000CB210000}"/>
    <cellStyle name="2x 2 3 3 4" xfId="8703" xr:uid="{00000000-0005-0000-0000-0000CC210000}"/>
    <cellStyle name="2x 2 3 3 5" xfId="8704" xr:uid="{00000000-0005-0000-0000-0000CD210000}"/>
    <cellStyle name="2x 2 3 3 6" xfId="8705" xr:uid="{00000000-0005-0000-0000-0000CE210000}"/>
    <cellStyle name="2x 2 3 3 7" xfId="8706" xr:uid="{00000000-0005-0000-0000-0000CF210000}"/>
    <cellStyle name="2x 2 3 3 8" xfId="8707" xr:uid="{00000000-0005-0000-0000-0000D0210000}"/>
    <cellStyle name="2x 2 3 3 9" xfId="8708" xr:uid="{00000000-0005-0000-0000-0000D1210000}"/>
    <cellStyle name="2x 2 3 4" xfId="8709" xr:uid="{00000000-0005-0000-0000-0000D2210000}"/>
    <cellStyle name="2x 2 3 5" xfId="8710" xr:uid="{00000000-0005-0000-0000-0000D3210000}"/>
    <cellStyle name="2x 2 3 6" xfId="8711" xr:uid="{00000000-0005-0000-0000-0000D4210000}"/>
    <cellStyle name="2x 2 3 7" xfId="8712" xr:uid="{00000000-0005-0000-0000-0000D5210000}"/>
    <cellStyle name="2x 2 3 8" xfId="8713" xr:uid="{00000000-0005-0000-0000-0000D6210000}"/>
    <cellStyle name="2x 2 3 9" xfId="8714" xr:uid="{00000000-0005-0000-0000-0000D7210000}"/>
    <cellStyle name="2x 2 4" xfId="8715" xr:uid="{00000000-0005-0000-0000-0000D8210000}"/>
    <cellStyle name="2x 2 4 10" xfId="8716" xr:uid="{00000000-0005-0000-0000-0000D9210000}"/>
    <cellStyle name="2x 2 4 11" xfId="8717" xr:uid="{00000000-0005-0000-0000-0000DA210000}"/>
    <cellStyle name="2x 2 4 12" xfId="8718" xr:uid="{00000000-0005-0000-0000-0000DB210000}"/>
    <cellStyle name="2x 2 4 13" xfId="8719" xr:uid="{00000000-0005-0000-0000-0000DC210000}"/>
    <cellStyle name="2x 2 4 2" xfId="8720" xr:uid="{00000000-0005-0000-0000-0000DD210000}"/>
    <cellStyle name="2x 2 4 2 10" xfId="8721" xr:uid="{00000000-0005-0000-0000-0000DE210000}"/>
    <cellStyle name="2x 2 4 2 11" xfId="8722" xr:uid="{00000000-0005-0000-0000-0000DF210000}"/>
    <cellStyle name="2x 2 4 2 12" xfId="8723" xr:uid="{00000000-0005-0000-0000-0000E0210000}"/>
    <cellStyle name="2x 2 4 2 2" xfId="8724" xr:uid="{00000000-0005-0000-0000-0000E1210000}"/>
    <cellStyle name="2x 2 4 2 2 10" xfId="8725" xr:uid="{00000000-0005-0000-0000-0000E2210000}"/>
    <cellStyle name="2x 2 4 2 2 2" xfId="8726" xr:uid="{00000000-0005-0000-0000-0000E3210000}"/>
    <cellStyle name="2x 2 4 2 2 3" xfId="8727" xr:uid="{00000000-0005-0000-0000-0000E4210000}"/>
    <cellStyle name="2x 2 4 2 2 4" xfId="8728" xr:uid="{00000000-0005-0000-0000-0000E5210000}"/>
    <cellStyle name="2x 2 4 2 2 5" xfId="8729" xr:uid="{00000000-0005-0000-0000-0000E6210000}"/>
    <cellStyle name="2x 2 4 2 2 6" xfId="8730" xr:uid="{00000000-0005-0000-0000-0000E7210000}"/>
    <cellStyle name="2x 2 4 2 2 7" xfId="8731" xr:uid="{00000000-0005-0000-0000-0000E8210000}"/>
    <cellStyle name="2x 2 4 2 2 8" xfId="8732" xr:uid="{00000000-0005-0000-0000-0000E9210000}"/>
    <cellStyle name="2x 2 4 2 2 9" xfId="8733" xr:uid="{00000000-0005-0000-0000-0000EA210000}"/>
    <cellStyle name="2x 2 4 2 3" xfId="8734" xr:uid="{00000000-0005-0000-0000-0000EB210000}"/>
    <cellStyle name="2x 2 4 2 4" xfId="8735" xr:uid="{00000000-0005-0000-0000-0000EC210000}"/>
    <cellStyle name="2x 2 4 2 5" xfId="8736" xr:uid="{00000000-0005-0000-0000-0000ED210000}"/>
    <cellStyle name="2x 2 4 2 6" xfId="8737" xr:uid="{00000000-0005-0000-0000-0000EE210000}"/>
    <cellStyle name="2x 2 4 2 7" xfId="8738" xr:uid="{00000000-0005-0000-0000-0000EF210000}"/>
    <cellStyle name="2x 2 4 2 8" xfId="8739" xr:uid="{00000000-0005-0000-0000-0000F0210000}"/>
    <cellStyle name="2x 2 4 2 9" xfId="8740" xr:uid="{00000000-0005-0000-0000-0000F1210000}"/>
    <cellStyle name="2x 2 4 3" xfId="8741" xr:uid="{00000000-0005-0000-0000-0000F2210000}"/>
    <cellStyle name="2x 2 4 3 10" xfId="8742" xr:uid="{00000000-0005-0000-0000-0000F3210000}"/>
    <cellStyle name="2x 2 4 3 11" xfId="8743" xr:uid="{00000000-0005-0000-0000-0000F4210000}"/>
    <cellStyle name="2x 2 4 3 2" xfId="8744" xr:uid="{00000000-0005-0000-0000-0000F5210000}"/>
    <cellStyle name="2x 2 4 3 3" xfId="8745" xr:uid="{00000000-0005-0000-0000-0000F6210000}"/>
    <cellStyle name="2x 2 4 3 4" xfId="8746" xr:uid="{00000000-0005-0000-0000-0000F7210000}"/>
    <cellStyle name="2x 2 4 3 5" xfId="8747" xr:uid="{00000000-0005-0000-0000-0000F8210000}"/>
    <cellStyle name="2x 2 4 3 6" xfId="8748" xr:uid="{00000000-0005-0000-0000-0000F9210000}"/>
    <cellStyle name="2x 2 4 3 7" xfId="8749" xr:uid="{00000000-0005-0000-0000-0000FA210000}"/>
    <cellStyle name="2x 2 4 3 8" xfId="8750" xr:uid="{00000000-0005-0000-0000-0000FB210000}"/>
    <cellStyle name="2x 2 4 3 9" xfId="8751" xr:uid="{00000000-0005-0000-0000-0000FC210000}"/>
    <cellStyle name="2x 2 4 4" xfId="8752" xr:uid="{00000000-0005-0000-0000-0000FD210000}"/>
    <cellStyle name="2x 2 4 5" xfId="8753" xr:uid="{00000000-0005-0000-0000-0000FE210000}"/>
    <cellStyle name="2x 2 4 6" xfId="8754" xr:uid="{00000000-0005-0000-0000-0000FF210000}"/>
    <cellStyle name="2x 2 4 7" xfId="8755" xr:uid="{00000000-0005-0000-0000-000000220000}"/>
    <cellStyle name="2x 2 4 8" xfId="8756" xr:uid="{00000000-0005-0000-0000-000001220000}"/>
    <cellStyle name="2x 2 4 9" xfId="8757" xr:uid="{00000000-0005-0000-0000-000002220000}"/>
    <cellStyle name="2x 2 5" xfId="8758" xr:uid="{00000000-0005-0000-0000-000003220000}"/>
    <cellStyle name="2x 2 5 10" xfId="8759" xr:uid="{00000000-0005-0000-0000-000004220000}"/>
    <cellStyle name="2x 2 5 11" xfId="8760" xr:uid="{00000000-0005-0000-0000-000005220000}"/>
    <cellStyle name="2x 2 5 12" xfId="8761" xr:uid="{00000000-0005-0000-0000-000006220000}"/>
    <cellStyle name="2x 2 5 13" xfId="8762" xr:uid="{00000000-0005-0000-0000-000007220000}"/>
    <cellStyle name="2x 2 5 2" xfId="8763" xr:uid="{00000000-0005-0000-0000-000008220000}"/>
    <cellStyle name="2x 2 5 2 10" xfId="8764" xr:uid="{00000000-0005-0000-0000-000009220000}"/>
    <cellStyle name="2x 2 5 2 11" xfId="8765" xr:uid="{00000000-0005-0000-0000-00000A220000}"/>
    <cellStyle name="2x 2 5 2 12" xfId="8766" xr:uid="{00000000-0005-0000-0000-00000B220000}"/>
    <cellStyle name="2x 2 5 2 2" xfId="8767" xr:uid="{00000000-0005-0000-0000-00000C220000}"/>
    <cellStyle name="2x 2 5 2 2 10" xfId="8768" xr:uid="{00000000-0005-0000-0000-00000D220000}"/>
    <cellStyle name="2x 2 5 2 2 2" xfId="8769" xr:uid="{00000000-0005-0000-0000-00000E220000}"/>
    <cellStyle name="2x 2 5 2 2 3" xfId="8770" xr:uid="{00000000-0005-0000-0000-00000F220000}"/>
    <cellStyle name="2x 2 5 2 2 4" xfId="8771" xr:uid="{00000000-0005-0000-0000-000010220000}"/>
    <cellStyle name="2x 2 5 2 2 5" xfId="8772" xr:uid="{00000000-0005-0000-0000-000011220000}"/>
    <cellStyle name="2x 2 5 2 2 6" xfId="8773" xr:uid="{00000000-0005-0000-0000-000012220000}"/>
    <cellStyle name="2x 2 5 2 2 7" xfId="8774" xr:uid="{00000000-0005-0000-0000-000013220000}"/>
    <cellStyle name="2x 2 5 2 2 8" xfId="8775" xr:uid="{00000000-0005-0000-0000-000014220000}"/>
    <cellStyle name="2x 2 5 2 2 9" xfId="8776" xr:uid="{00000000-0005-0000-0000-000015220000}"/>
    <cellStyle name="2x 2 5 2 3" xfId="8777" xr:uid="{00000000-0005-0000-0000-000016220000}"/>
    <cellStyle name="2x 2 5 2 4" xfId="8778" xr:uid="{00000000-0005-0000-0000-000017220000}"/>
    <cellStyle name="2x 2 5 2 5" xfId="8779" xr:uid="{00000000-0005-0000-0000-000018220000}"/>
    <cellStyle name="2x 2 5 2 6" xfId="8780" xr:uid="{00000000-0005-0000-0000-000019220000}"/>
    <cellStyle name="2x 2 5 2 7" xfId="8781" xr:uid="{00000000-0005-0000-0000-00001A220000}"/>
    <cellStyle name="2x 2 5 2 8" xfId="8782" xr:uid="{00000000-0005-0000-0000-00001B220000}"/>
    <cellStyle name="2x 2 5 2 9" xfId="8783" xr:uid="{00000000-0005-0000-0000-00001C220000}"/>
    <cellStyle name="2x 2 5 3" xfId="8784" xr:uid="{00000000-0005-0000-0000-00001D220000}"/>
    <cellStyle name="2x 2 5 3 10" xfId="8785" xr:uid="{00000000-0005-0000-0000-00001E220000}"/>
    <cellStyle name="2x 2 5 3 11" xfId="8786" xr:uid="{00000000-0005-0000-0000-00001F220000}"/>
    <cellStyle name="2x 2 5 3 2" xfId="8787" xr:uid="{00000000-0005-0000-0000-000020220000}"/>
    <cellStyle name="2x 2 5 3 3" xfId="8788" xr:uid="{00000000-0005-0000-0000-000021220000}"/>
    <cellStyle name="2x 2 5 3 4" xfId="8789" xr:uid="{00000000-0005-0000-0000-000022220000}"/>
    <cellStyle name="2x 2 5 3 5" xfId="8790" xr:uid="{00000000-0005-0000-0000-000023220000}"/>
    <cellStyle name="2x 2 5 3 6" xfId="8791" xr:uid="{00000000-0005-0000-0000-000024220000}"/>
    <cellStyle name="2x 2 5 3 7" xfId="8792" xr:uid="{00000000-0005-0000-0000-000025220000}"/>
    <cellStyle name="2x 2 5 3 8" xfId="8793" xr:uid="{00000000-0005-0000-0000-000026220000}"/>
    <cellStyle name="2x 2 5 3 9" xfId="8794" xr:uid="{00000000-0005-0000-0000-000027220000}"/>
    <cellStyle name="2x 2 5 4" xfId="8795" xr:uid="{00000000-0005-0000-0000-000028220000}"/>
    <cellStyle name="2x 2 5 5" xfId="8796" xr:uid="{00000000-0005-0000-0000-000029220000}"/>
    <cellStyle name="2x 2 5 6" xfId="8797" xr:uid="{00000000-0005-0000-0000-00002A220000}"/>
    <cellStyle name="2x 2 5 7" xfId="8798" xr:uid="{00000000-0005-0000-0000-00002B220000}"/>
    <cellStyle name="2x 2 5 8" xfId="8799" xr:uid="{00000000-0005-0000-0000-00002C220000}"/>
    <cellStyle name="2x 2 5 9" xfId="8800" xr:uid="{00000000-0005-0000-0000-00002D220000}"/>
    <cellStyle name="2x 2 6" xfId="8801" xr:uid="{00000000-0005-0000-0000-00002E220000}"/>
    <cellStyle name="2x 2 6 10" xfId="8802" xr:uid="{00000000-0005-0000-0000-00002F220000}"/>
    <cellStyle name="2x 2 6 11" xfId="8803" xr:uid="{00000000-0005-0000-0000-000030220000}"/>
    <cellStyle name="2x 2 6 12" xfId="8804" xr:uid="{00000000-0005-0000-0000-000031220000}"/>
    <cellStyle name="2x 2 6 13" xfId="8805" xr:uid="{00000000-0005-0000-0000-000032220000}"/>
    <cellStyle name="2x 2 6 2" xfId="8806" xr:uid="{00000000-0005-0000-0000-000033220000}"/>
    <cellStyle name="2x 2 6 2 10" xfId="8807" xr:uid="{00000000-0005-0000-0000-000034220000}"/>
    <cellStyle name="2x 2 6 2 11" xfId="8808" xr:uid="{00000000-0005-0000-0000-000035220000}"/>
    <cellStyle name="2x 2 6 2 12" xfId="8809" xr:uid="{00000000-0005-0000-0000-000036220000}"/>
    <cellStyle name="2x 2 6 2 2" xfId="8810" xr:uid="{00000000-0005-0000-0000-000037220000}"/>
    <cellStyle name="2x 2 6 2 2 10" xfId="8811" xr:uid="{00000000-0005-0000-0000-000038220000}"/>
    <cellStyle name="2x 2 6 2 2 2" xfId="8812" xr:uid="{00000000-0005-0000-0000-000039220000}"/>
    <cellStyle name="2x 2 6 2 2 3" xfId="8813" xr:uid="{00000000-0005-0000-0000-00003A220000}"/>
    <cellStyle name="2x 2 6 2 2 4" xfId="8814" xr:uid="{00000000-0005-0000-0000-00003B220000}"/>
    <cellStyle name="2x 2 6 2 2 5" xfId="8815" xr:uid="{00000000-0005-0000-0000-00003C220000}"/>
    <cellStyle name="2x 2 6 2 2 6" xfId="8816" xr:uid="{00000000-0005-0000-0000-00003D220000}"/>
    <cellStyle name="2x 2 6 2 2 7" xfId="8817" xr:uid="{00000000-0005-0000-0000-00003E220000}"/>
    <cellStyle name="2x 2 6 2 2 8" xfId="8818" xr:uid="{00000000-0005-0000-0000-00003F220000}"/>
    <cellStyle name="2x 2 6 2 2 9" xfId="8819" xr:uid="{00000000-0005-0000-0000-000040220000}"/>
    <cellStyle name="2x 2 6 2 3" xfId="8820" xr:uid="{00000000-0005-0000-0000-000041220000}"/>
    <cellStyle name="2x 2 6 2 4" xfId="8821" xr:uid="{00000000-0005-0000-0000-000042220000}"/>
    <cellStyle name="2x 2 6 2 5" xfId="8822" xr:uid="{00000000-0005-0000-0000-000043220000}"/>
    <cellStyle name="2x 2 6 2 6" xfId="8823" xr:uid="{00000000-0005-0000-0000-000044220000}"/>
    <cellStyle name="2x 2 6 2 7" xfId="8824" xr:uid="{00000000-0005-0000-0000-000045220000}"/>
    <cellStyle name="2x 2 6 2 8" xfId="8825" xr:uid="{00000000-0005-0000-0000-000046220000}"/>
    <cellStyle name="2x 2 6 2 9" xfId="8826" xr:uid="{00000000-0005-0000-0000-000047220000}"/>
    <cellStyle name="2x 2 6 3" xfId="8827" xr:uid="{00000000-0005-0000-0000-000048220000}"/>
    <cellStyle name="2x 2 6 3 10" xfId="8828" xr:uid="{00000000-0005-0000-0000-000049220000}"/>
    <cellStyle name="2x 2 6 3 11" xfId="8829" xr:uid="{00000000-0005-0000-0000-00004A220000}"/>
    <cellStyle name="2x 2 6 3 2" xfId="8830" xr:uid="{00000000-0005-0000-0000-00004B220000}"/>
    <cellStyle name="2x 2 6 3 3" xfId="8831" xr:uid="{00000000-0005-0000-0000-00004C220000}"/>
    <cellStyle name="2x 2 6 3 4" xfId="8832" xr:uid="{00000000-0005-0000-0000-00004D220000}"/>
    <cellStyle name="2x 2 6 3 5" xfId="8833" xr:uid="{00000000-0005-0000-0000-00004E220000}"/>
    <cellStyle name="2x 2 6 3 6" xfId="8834" xr:uid="{00000000-0005-0000-0000-00004F220000}"/>
    <cellStyle name="2x 2 6 3 7" xfId="8835" xr:uid="{00000000-0005-0000-0000-000050220000}"/>
    <cellStyle name="2x 2 6 3 8" xfId="8836" xr:uid="{00000000-0005-0000-0000-000051220000}"/>
    <cellStyle name="2x 2 6 3 9" xfId="8837" xr:uid="{00000000-0005-0000-0000-000052220000}"/>
    <cellStyle name="2x 2 6 4" xfId="8838" xr:uid="{00000000-0005-0000-0000-000053220000}"/>
    <cellStyle name="2x 2 6 5" xfId="8839" xr:uid="{00000000-0005-0000-0000-000054220000}"/>
    <cellStyle name="2x 2 6 6" xfId="8840" xr:uid="{00000000-0005-0000-0000-000055220000}"/>
    <cellStyle name="2x 2 6 7" xfId="8841" xr:uid="{00000000-0005-0000-0000-000056220000}"/>
    <cellStyle name="2x 2 6 8" xfId="8842" xr:uid="{00000000-0005-0000-0000-000057220000}"/>
    <cellStyle name="2x 2 6 9" xfId="8843" xr:uid="{00000000-0005-0000-0000-000058220000}"/>
    <cellStyle name="2x 2 7" xfId="8844" xr:uid="{00000000-0005-0000-0000-000059220000}"/>
    <cellStyle name="2x 2 7 10" xfId="8845" xr:uid="{00000000-0005-0000-0000-00005A220000}"/>
    <cellStyle name="2x 2 7 11" xfId="8846" xr:uid="{00000000-0005-0000-0000-00005B220000}"/>
    <cellStyle name="2x 2 7 12" xfId="8847" xr:uid="{00000000-0005-0000-0000-00005C220000}"/>
    <cellStyle name="2x 2 7 13" xfId="8848" xr:uid="{00000000-0005-0000-0000-00005D220000}"/>
    <cellStyle name="2x 2 7 2" xfId="8849" xr:uid="{00000000-0005-0000-0000-00005E220000}"/>
    <cellStyle name="2x 2 7 2 10" xfId="8850" xr:uid="{00000000-0005-0000-0000-00005F220000}"/>
    <cellStyle name="2x 2 7 2 11" xfId="8851" xr:uid="{00000000-0005-0000-0000-000060220000}"/>
    <cellStyle name="2x 2 7 2 12" xfId="8852" xr:uid="{00000000-0005-0000-0000-000061220000}"/>
    <cellStyle name="2x 2 7 2 2" xfId="8853" xr:uid="{00000000-0005-0000-0000-000062220000}"/>
    <cellStyle name="2x 2 7 2 2 10" xfId="8854" xr:uid="{00000000-0005-0000-0000-000063220000}"/>
    <cellStyle name="2x 2 7 2 2 2" xfId="8855" xr:uid="{00000000-0005-0000-0000-000064220000}"/>
    <cellStyle name="2x 2 7 2 2 3" xfId="8856" xr:uid="{00000000-0005-0000-0000-000065220000}"/>
    <cellStyle name="2x 2 7 2 2 4" xfId="8857" xr:uid="{00000000-0005-0000-0000-000066220000}"/>
    <cellStyle name="2x 2 7 2 2 5" xfId="8858" xr:uid="{00000000-0005-0000-0000-000067220000}"/>
    <cellStyle name="2x 2 7 2 2 6" xfId="8859" xr:uid="{00000000-0005-0000-0000-000068220000}"/>
    <cellStyle name="2x 2 7 2 2 7" xfId="8860" xr:uid="{00000000-0005-0000-0000-000069220000}"/>
    <cellStyle name="2x 2 7 2 2 8" xfId="8861" xr:uid="{00000000-0005-0000-0000-00006A220000}"/>
    <cellStyle name="2x 2 7 2 2 9" xfId="8862" xr:uid="{00000000-0005-0000-0000-00006B220000}"/>
    <cellStyle name="2x 2 7 2 3" xfId="8863" xr:uid="{00000000-0005-0000-0000-00006C220000}"/>
    <cellStyle name="2x 2 7 2 4" xfId="8864" xr:uid="{00000000-0005-0000-0000-00006D220000}"/>
    <cellStyle name="2x 2 7 2 5" xfId="8865" xr:uid="{00000000-0005-0000-0000-00006E220000}"/>
    <cellStyle name="2x 2 7 2 6" xfId="8866" xr:uid="{00000000-0005-0000-0000-00006F220000}"/>
    <cellStyle name="2x 2 7 2 7" xfId="8867" xr:uid="{00000000-0005-0000-0000-000070220000}"/>
    <cellStyle name="2x 2 7 2 8" xfId="8868" xr:uid="{00000000-0005-0000-0000-000071220000}"/>
    <cellStyle name="2x 2 7 2 9" xfId="8869" xr:uid="{00000000-0005-0000-0000-000072220000}"/>
    <cellStyle name="2x 2 7 3" xfId="8870" xr:uid="{00000000-0005-0000-0000-000073220000}"/>
    <cellStyle name="2x 2 7 3 10" xfId="8871" xr:uid="{00000000-0005-0000-0000-000074220000}"/>
    <cellStyle name="2x 2 7 3 11" xfId="8872" xr:uid="{00000000-0005-0000-0000-000075220000}"/>
    <cellStyle name="2x 2 7 3 2" xfId="8873" xr:uid="{00000000-0005-0000-0000-000076220000}"/>
    <cellStyle name="2x 2 7 3 3" xfId="8874" xr:uid="{00000000-0005-0000-0000-000077220000}"/>
    <cellStyle name="2x 2 7 3 4" xfId="8875" xr:uid="{00000000-0005-0000-0000-000078220000}"/>
    <cellStyle name="2x 2 7 3 5" xfId="8876" xr:uid="{00000000-0005-0000-0000-000079220000}"/>
    <cellStyle name="2x 2 7 3 6" xfId="8877" xr:uid="{00000000-0005-0000-0000-00007A220000}"/>
    <cellStyle name="2x 2 7 3 7" xfId="8878" xr:uid="{00000000-0005-0000-0000-00007B220000}"/>
    <cellStyle name="2x 2 7 3 8" xfId="8879" xr:uid="{00000000-0005-0000-0000-00007C220000}"/>
    <cellStyle name="2x 2 7 3 9" xfId="8880" xr:uid="{00000000-0005-0000-0000-00007D220000}"/>
    <cellStyle name="2x 2 7 4" xfId="8881" xr:uid="{00000000-0005-0000-0000-00007E220000}"/>
    <cellStyle name="2x 2 7 5" xfId="8882" xr:uid="{00000000-0005-0000-0000-00007F220000}"/>
    <cellStyle name="2x 2 7 6" xfId="8883" xr:uid="{00000000-0005-0000-0000-000080220000}"/>
    <cellStyle name="2x 2 7 7" xfId="8884" xr:uid="{00000000-0005-0000-0000-000081220000}"/>
    <cellStyle name="2x 2 7 8" xfId="8885" xr:uid="{00000000-0005-0000-0000-000082220000}"/>
    <cellStyle name="2x 2 7 9" xfId="8886" xr:uid="{00000000-0005-0000-0000-000083220000}"/>
    <cellStyle name="2x 2 8" xfId="8887" xr:uid="{00000000-0005-0000-0000-000084220000}"/>
    <cellStyle name="2x 2 8 10" xfId="8888" xr:uid="{00000000-0005-0000-0000-000085220000}"/>
    <cellStyle name="2x 2 8 11" xfId="8889" xr:uid="{00000000-0005-0000-0000-000086220000}"/>
    <cellStyle name="2x 2 8 12" xfId="8890" xr:uid="{00000000-0005-0000-0000-000087220000}"/>
    <cellStyle name="2x 2 8 13" xfId="8891" xr:uid="{00000000-0005-0000-0000-000088220000}"/>
    <cellStyle name="2x 2 8 2" xfId="8892" xr:uid="{00000000-0005-0000-0000-000089220000}"/>
    <cellStyle name="2x 2 8 2 10" xfId="8893" xr:uid="{00000000-0005-0000-0000-00008A220000}"/>
    <cellStyle name="2x 2 8 2 11" xfId="8894" xr:uid="{00000000-0005-0000-0000-00008B220000}"/>
    <cellStyle name="2x 2 8 2 12" xfId="8895" xr:uid="{00000000-0005-0000-0000-00008C220000}"/>
    <cellStyle name="2x 2 8 2 2" xfId="8896" xr:uid="{00000000-0005-0000-0000-00008D220000}"/>
    <cellStyle name="2x 2 8 2 2 10" xfId="8897" xr:uid="{00000000-0005-0000-0000-00008E220000}"/>
    <cellStyle name="2x 2 8 2 2 2" xfId="8898" xr:uid="{00000000-0005-0000-0000-00008F220000}"/>
    <cellStyle name="2x 2 8 2 2 3" xfId="8899" xr:uid="{00000000-0005-0000-0000-000090220000}"/>
    <cellStyle name="2x 2 8 2 2 4" xfId="8900" xr:uid="{00000000-0005-0000-0000-000091220000}"/>
    <cellStyle name="2x 2 8 2 2 5" xfId="8901" xr:uid="{00000000-0005-0000-0000-000092220000}"/>
    <cellStyle name="2x 2 8 2 2 6" xfId="8902" xr:uid="{00000000-0005-0000-0000-000093220000}"/>
    <cellStyle name="2x 2 8 2 2 7" xfId="8903" xr:uid="{00000000-0005-0000-0000-000094220000}"/>
    <cellStyle name="2x 2 8 2 2 8" xfId="8904" xr:uid="{00000000-0005-0000-0000-000095220000}"/>
    <cellStyle name="2x 2 8 2 2 9" xfId="8905" xr:uid="{00000000-0005-0000-0000-000096220000}"/>
    <cellStyle name="2x 2 8 2 3" xfId="8906" xr:uid="{00000000-0005-0000-0000-000097220000}"/>
    <cellStyle name="2x 2 8 2 4" xfId="8907" xr:uid="{00000000-0005-0000-0000-000098220000}"/>
    <cellStyle name="2x 2 8 2 5" xfId="8908" xr:uid="{00000000-0005-0000-0000-000099220000}"/>
    <cellStyle name="2x 2 8 2 6" xfId="8909" xr:uid="{00000000-0005-0000-0000-00009A220000}"/>
    <cellStyle name="2x 2 8 2 7" xfId="8910" xr:uid="{00000000-0005-0000-0000-00009B220000}"/>
    <cellStyle name="2x 2 8 2 8" xfId="8911" xr:uid="{00000000-0005-0000-0000-00009C220000}"/>
    <cellStyle name="2x 2 8 2 9" xfId="8912" xr:uid="{00000000-0005-0000-0000-00009D220000}"/>
    <cellStyle name="2x 2 8 3" xfId="8913" xr:uid="{00000000-0005-0000-0000-00009E220000}"/>
    <cellStyle name="2x 2 8 3 10" xfId="8914" xr:uid="{00000000-0005-0000-0000-00009F220000}"/>
    <cellStyle name="2x 2 8 3 11" xfId="8915" xr:uid="{00000000-0005-0000-0000-0000A0220000}"/>
    <cellStyle name="2x 2 8 3 2" xfId="8916" xr:uid="{00000000-0005-0000-0000-0000A1220000}"/>
    <cellStyle name="2x 2 8 3 3" xfId="8917" xr:uid="{00000000-0005-0000-0000-0000A2220000}"/>
    <cellStyle name="2x 2 8 3 4" xfId="8918" xr:uid="{00000000-0005-0000-0000-0000A3220000}"/>
    <cellStyle name="2x 2 8 3 5" xfId="8919" xr:uid="{00000000-0005-0000-0000-0000A4220000}"/>
    <cellStyle name="2x 2 8 3 6" xfId="8920" xr:uid="{00000000-0005-0000-0000-0000A5220000}"/>
    <cellStyle name="2x 2 8 3 7" xfId="8921" xr:uid="{00000000-0005-0000-0000-0000A6220000}"/>
    <cellStyle name="2x 2 8 3 8" xfId="8922" xr:uid="{00000000-0005-0000-0000-0000A7220000}"/>
    <cellStyle name="2x 2 8 3 9" xfId="8923" xr:uid="{00000000-0005-0000-0000-0000A8220000}"/>
    <cellStyle name="2x 2 8 4" xfId="8924" xr:uid="{00000000-0005-0000-0000-0000A9220000}"/>
    <cellStyle name="2x 2 8 5" xfId="8925" xr:uid="{00000000-0005-0000-0000-0000AA220000}"/>
    <cellStyle name="2x 2 8 6" xfId="8926" xr:uid="{00000000-0005-0000-0000-0000AB220000}"/>
    <cellStyle name="2x 2 8 7" xfId="8927" xr:uid="{00000000-0005-0000-0000-0000AC220000}"/>
    <cellStyle name="2x 2 8 8" xfId="8928" xr:uid="{00000000-0005-0000-0000-0000AD220000}"/>
    <cellStyle name="2x 2 8 9" xfId="8929" xr:uid="{00000000-0005-0000-0000-0000AE220000}"/>
    <cellStyle name="2x 2 9" xfId="8930" xr:uid="{00000000-0005-0000-0000-0000AF220000}"/>
    <cellStyle name="2x 2 9 10" xfId="8931" xr:uid="{00000000-0005-0000-0000-0000B0220000}"/>
    <cellStyle name="2x 2 9 11" xfId="8932" xr:uid="{00000000-0005-0000-0000-0000B1220000}"/>
    <cellStyle name="2x 2 9 12" xfId="8933" xr:uid="{00000000-0005-0000-0000-0000B2220000}"/>
    <cellStyle name="2x 2 9 13" xfId="8934" xr:uid="{00000000-0005-0000-0000-0000B3220000}"/>
    <cellStyle name="2x 2 9 2" xfId="8935" xr:uid="{00000000-0005-0000-0000-0000B4220000}"/>
    <cellStyle name="2x 2 9 2 10" xfId="8936" xr:uid="{00000000-0005-0000-0000-0000B5220000}"/>
    <cellStyle name="2x 2 9 2 11" xfId="8937" xr:uid="{00000000-0005-0000-0000-0000B6220000}"/>
    <cellStyle name="2x 2 9 2 12" xfId="8938" xr:uid="{00000000-0005-0000-0000-0000B7220000}"/>
    <cellStyle name="2x 2 9 2 2" xfId="8939" xr:uid="{00000000-0005-0000-0000-0000B8220000}"/>
    <cellStyle name="2x 2 9 2 2 10" xfId="8940" xr:uid="{00000000-0005-0000-0000-0000B9220000}"/>
    <cellStyle name="2x 2 9 2 2 2" xfId="8941" xr:uid="{00000000-0005-0000-0000-0000BA220000}"/>
    <cellStyle name="2x 2 9 2 2 3" xfId="8942" xr:uid="{00000000-0005-0000-0000-0000BB220000}"/>
    <cellStyle name="2x 2 9 2 2 4" xfId="8943" xr:uid="{00000000-0005-0000-0000-0000BC220000}"/>
    <cellStyle name="2x 2 9 2 2 5" xfId="8944" xr:uid="{00000000-0005-0000-0000-0000BD220000}"/>
    <cellStyle name="2x 2 9 2 2 6" xfId="8945" xr:uid="{00000000-0005-0000-0000-0000BE220000}"/>
    <cellStyle name="2x 2 9 2 2 7" xfId="8946" xr:uid="{00000000-0005-0000-0000-0000BF220000}"/>
    <cellStyle name="2x 2 9 2 2 8" xfId="8947" xr:uid="{00000000-0005-0000-0000-0000C0220000}"/>
    <cellStyle name="2x 2 9 2 2 9" xfId="8948" xr:uid="{00000000-0005-0000-0000-0000C1220000}"/>
    <cellStyle name="2x 2 9 2 3" xfId="8949" xr:uid="{00000000-0005-0000-0000-0000C2220000}"/>
    <cellStyle name="2x 2 9 2 4" xfId="8950" xr:uid="{00000000-0005-0000-0000-0000C3220000}"/>
    <cellStyle name="2x 2 9 2 5" xfId="8951" xr:uid="{00000000-0005-0000-0000-0000C4220000}"/>
    <cellStyle name="2x 2 9 2 6" xfId="8952" xr:uid="{00000000-0005-0000-0000-0000C5220000}"/>
    <cellStyle name="2x 2 9 2 7" xfId="8953" xr:uid="{00000000-0005-0000-0000-0000C6220000}"/>
    <cellStyle name="2x 2 9 2 8" xfId="8954" xr:uid="{00000000-0005-0000-0000-0000C7220000}"/>
    <cellStyle name="2x 2 9 2 9" xfId="8955" xr:uid="{00000000-0005-0000-0000-0000C8220000}"/>
    <cellStyle name="2x 2 9 3" xfId="8956" xr:uid="{00000000-0005-0000-0000-0000C9220000}"/>
    <cellStyle name="2x 2 9 3 10" xfId="8957" xr:uid="{00000000-0005-0000-0000-0000CA220000}"/>
    <cellStyle name="2x 2 9 3 11" xfId="8958" xr:uid="{00000000-0005-0000-0000-0000CB220000}"/>
    <cellStyle name="2x 2 9 3 2" xfId="8959" xr:uid="{00000000-0005-0000-0000-0000CC220000}"/>
    <cellStyle name="2x 2 9 3 3" xfId="8960" xr:uid="{00000000-0005-0000-0000-0000CD220000}"/>
    <cellStyle name="2x 2 9 3 4" xfId="8961" xr:uid="{00000000-0005-0000-0000-0000CE220000}"/>
    <cellStyle name="2x 2 9 3 5" xfId="8962" xr:uid="{00000000-0005-0000-0000-0000CF220000}"/>
    <cellStyle name="2x 2 9 3 6" xfId="8963" xr:uid="{00000000-0005-0000-0000-0000D0220000}"/>
    <cellStyle name="2x 2 9 3 7" xfId="8964" xr:uid="{00000000-0005-0000-0000-0000D1220000}"/>
    <cellStyle name="2x 2 9 3 8" xfId="8965" xr:uid="{00000000-0005-0000-0000-0000D2220000}"/>
    <cellStyle name="2x 2 9 3 9" xfId="8966" xr:uid="{00000000-0005-0000-0000-0000D3220000}"/>
    <cellStyle name="2x 2 9 4" xfId="8967" xr:uid="{00000000-0005-0000-0000-0000D4220000}"/>
    <cellStyle name="2x 2 9 5" xfId="8968" xr:uid="{00000000-0005-0000-0000-0000D5220000}"/>
    <cellStyle name="2x 2 9 6" xfId="8969" xr:uid="{00000000-0005-0000-0000-0000D6220000}"/>
    <cellStyle name="2x 2 9 7" xfId="8970" xr:uid="{00000000-0005-0000-0000-0000D7220000}"/>
    <cellStyle name="2x 2 9 8" xfId="8971" xr:uid="{00000000-0005-0000-0000-0000D8220000}"/>
    <cellStyle name="2x 2 9 9" xfId="8972" xr:uid="{00000000-0005-0000-0000-0000D9220000}"/>
    <cellStyle name="2x 3" xfId="8973" xr:uid="{00000000-0005-0000-0000-0000DA220000}"/>
    <cellStyle name="2x 3 10" xfId="8974" xr:uid="{00000000-0005-0000-0000-0000DB220000}"/>
    <cellStyle name="2x 3 11" xfId="8975" xr:uid="{00000000-0005-0000-0000-0000DC220000}"/>
    <cellStyle name="2x 3 12" xfId="8976" xr:uid="{00000000-0005-0000-0000-0000DD220000}"/>
    <cellStyle name="2x 3 13" xfId="8977" xr:uid="{00000000-0005-0000-0000-0000DE220000}"/>
    <cellStyle name="2x 3 2" xfId="8978" xr:uid="{00000000-0005-0000-0000-0000DF220000}"/>
    <cellStyle name="2x 3 2 10" xfId="8979" xr:uid="{00000000-0005-0000-0000-0000E0220000}"/>
    <cellStyle name="2x 3 2 11" xfId="8980" xr:uid="{00000000-0005-0000-0000-0000E1220000}"/>
    <cellStyle name="2x 3 2 12" xfId="8981" xr:uid="{00000000-0005-0000-0000-0000E2220000}"/>
    <cellStyle name="2x 3 2 2" xfId="8982" xr:uid="{00000000-0005-0000-0000-0000E3220000}"/>
    <cellStyle name="2x 3 2 2 10" xfId="8983" xr:uid="{00000000-0005-0000-0000-0000E4220000}"/>
    <cellStyle name="2x 3 2 2 2" xfId="8984" xr:uid="{00000000-0005-0000-0000-0000E5220000}"/>
    <cellStyle name="2x 3 2 2 3" xfId="8985" xr:uid="{00000000-0005-0000-0000-0000E6220000}"/>
    <cellStyle name="2x 3 2 2 4" xfId="8986" xr:uid="{00000000-0005-0000-0000-0000E7220000}"/>
    <cellStyle name="2x 3 2 2 5" xfId="8987" xr:uid="{00000000-0005-0000-0000-0000E8220000}"/>
    <cellStyle name="2x 3 2 2 6" xfId="8988" xr:uid="{00000000-0005-0000-0000-0000E9220000}"/>
    <cellStyle name="2x 3 2 2 7" xfId="8989" xr:uid="{00000000-0005-0000-0000-0000EA220000}"/>
    <cellStyle name="2x 3 2 2 8" xfId="8990" xr:uid="{00000000-0005-0000-0000-0000EB220000}"/>
    <cellStyle name="2x 3 2 2 9" xfId="8991" xr:uid="{00000000-0005-0000-0000-0000EC220000}"/>
    <cellStyle name="2x 3 2 3" xfId="8992" xr:uid="{00000000-0005-0000-0000-0000ED220000}"/>
    <cellStyle name="2x 3 2 4" xfId="8993" xr:uid="{00000000-0005-0000-0000-0000EE220000}"/>
    <cellStyle name="2x 3 2 5" xfId="8994" xr:uid="{00000000-0005-0000-0000-0000EF220000}"/>
    <cellStyle name="2x 3 2 6" xfId="8995" xr:uid="{00000000-0005-0000-0000-0000F0220000}"/>
    <cellStyle name="2x 3 2 7" xfId="8996" xr:uid="{00000000-0005-0000-0000-0000F1220000}"/>
    <cellStyle name="2x 3 2 8" xfId="8997" xr:uid="{00000000-0005-0000-0000-0000F2220000}"/>
    <cellStyle name="2x 3 2 9" xfId="8998" xr:uid="{00000000-0005-0000-0000-0000F3220000}"/>
    <cellStyle name="2x 3 3" xfId="8999" xr:uid="{00000000-0005-0000-0000-0000F4220000}"/>
    <cellStyle name="2x 3 3 10" xfId="9000" xr:uid="{00000000-0005-0000-0000-0000F5220000}"/>
    <cellStyle name="2x 3 3 11" xfId="9001" xr:uid="{00000000-0005-0000-0000-0000F6220000}"/>
    <cellStyle name="2x 3 3 2" xfId="9002" xr:uid="{00000000-0005-0000-0000-0000F7220000}"/>
    <cellStyle name="2x 3 3 3" xfId="9003" xr:uid="{00000000-0005-0000-0000-0000F8220000}"/>
    <cellStyle name="2x 3 3 4" xfId="9004" xr:uid="{00000000-0005-0000-0000-0000F9220000}"/>
    <cellStyle name="2x 3 3 5" xfId="9005" xr:uid="{00000000-0005-0000-0000-0000FA220000}"/>
    <cellStyle name="2x 3 3 6" xfId="9006" xr:uid="{00000000-0005-0000-0000-0000FB220000}"/>
    <cellStyle name="2x 3 3 7" xfId="9007" xr:uid="{00000000-0005-0000-0000-0000FC220000}"/>
    <cellStyle name="2x 3 3 8" xfId="9008" xr:uid="{00000000-0005-0000-0000-0000FD220000}"/>
    <cellStyle name="2x 3 3 9" xfId="9009" xr:uid="{00000000-0005-0000-0000-0000FE220000}"/>
    <cellStyle name="2x 3 4" xfId="9010" xr:uid="{00000000-0005-0000-0000-0000FF220000}"/>
    <cellStyle name="2x 3 5" xfId="9011" xr:uid="{00000000-0005-0000-0000-000000230000}"/>
    <cellStyle name="2x 3 6" xfId="9012" xr:uid="{00000000-0005-0000-0000-000001230000}"/>
    <cellStyle name="2x 3 7" xfId="9013" xr:uid="{00000000-0005-0000-0000-000002230000}"/>
    <cellStyle name="2x 3 8" xfId="9014" xr:uid="{00000000-0005-0000-0000-000003230000}"/>
    <cellStyle name="2x 3 9" xfId="9015" xr:uid="{00000000-0005-0000-0000-000004230000}"/>
    <cellStyle name="2x 4" xfId="9016" xr:uid="{00000000-0005-0000-0000-000005230000}"/>
    <cellStyle name="2x 4 10" xfId="9017" xr:uid="{00000000-0005-0000-0000-000006230000}"/>
    <cellStyle name="2x 4 11" xfId="9018" xr:uid="{00000000-0005-0000-0000-000007230000}"/>
    <cellStyle name="2x 4 12" xfId="9019" xr:uid="{00000000-0005-0000-0000-000008230000}"/>
    <cellStyle name="2x 4 13" xfId="9020" xr:uid="{00000000-0005-0000-0000-000009230000}"/>
    <cellStyle name="2x 4 2" xfId="9021" xr:uid="{00000000-0005-0000-0000-00000A230000}"/>
    <cellStyle name="2x 4 2 10" xfId="9022" xr:uid="{00000000-0005-0000-0000-00000B230000}"/>
    <cellStyle name="2x 4 2 11" xfId="9023" xr:uid="{00000000-0005-0000-0000-00000C230000}"/>
    <cellStyle name="2x 4 2 12" xfId="9024" xr:uid="{00000000-0005-0000-0000-00000D230000}"/>
    <cellStyle name="2x 4 2 2" xfId="9025" xr:uid="{00000000-0005-0000-0000-00000E230000}"/>
    <cellStyle name="2x 4 2 2 10" xfId="9026" xr:uid="{00000000-0005-0000-0000-00000F230000}"/>
    <cellStyle name="2x 4 2 2 2" xfId="9027" xr:uid="{00000000-0005-0000-0000-000010230000}"/>
    <cellStyle name="2x 4 2 2 3" xfId="9028" xr:uid="{00000000-0005-0000-0000-000011230000}"/>
    <cellStyle name="2x 4 2 2 4" xfId="9029" xr:uid="{00000000-0005-0000-0000-000012230000}"/>
    <cellStyle name="2x 4 2 2 5" xfId="9030" xr:uid="{00000000-0005-0000-0000-000013230000}"/>
    <cellStyle name="2x 4 2 2 6" xfId="9031" xr:uid="{00000000-0005-0000-0000-000014230000}"/>
    <cellStyle name="2x 4 2 2 7" xfId="9032" xr:uid="{00000000-0005-0000-0000-000015230000}"/>
    <cellStyle name="2x 4 2 2 8" xfId="9033" xr:uid="{00000000-0005-0000-0000-000016230000}"/>
    <cellStyle name="2x 4 2 2 9" xfId="9034" xr:uid="{00000000-0005-0000-0000-000017230000}"/>
    <cellStyle name="2x 4 2 3" xfId="9035" xr:uid="{00000000-0005-0000-0000-000018230000}"/>
    <cellStyle name="2x 4 2 4" xfId="9036" xr:uid="{00000000-0005-0000-0000-000019230000}"/>
    <cellStyle name="2x 4 2 5" xfId="9037" xr:uid="{00000000-0005-0000-0000-00001A230000}"/>
    <cellStyle name="2x 4 2 6" xfId="9038" xr:uid="{00000000-0005-0000-0000-00001B230000}"/>
    <cellStyle name="2x 4 2 7" xfId="9039" xr:uid="{00000000-0005-0000-0000-00001C230000}"/>
    <cellStyle name="2x 4 2 8" xfId="9040" xr:uid="{00000000-0005-0000-0000-00001D230000}"/>
    <cellStyle name="2x 4 2 9" xfId="9041" xr:uid="{00000000-0005-0000-0000-00001E230000}"/>
    <cellStyle name="2x 4 3" xfId="9042" xr:uid="{00000000-0005-0000-0000-00001F230000}"/>
    <cellStyle name="2x 4 3 10" xfId="9043" xr:uid="{00000000-0005-0000-0000-000020230000}"/>
    <cellStyle name="2x 4 3 11" xfId="9044" xr:uid="{00000000-0005-0000-0000-000021230000}"/>
    <cellStyle name="2x 4 3 2" xfId="9045" xr:uid="{00000000-0005-0000-0000-000022230000}"/>
    <cellStyle name="2x 4 3 3" xfId="9046" xr:uid="{00000000-0005-0000-0000-000023230000}"/>
    <cellStyle name="2x 4 3 4" xfId="9047" xr:uid="{00000000-0005-0000-0000-000024230000}"/>
    <cellStyle name="2x 4 3 5" xfId="9048" xr:uid="{00000000-0005-0000-0000-000025230000}"/>
    <cellStyle name="2x 4 3 6" xfId="9049" xr:uid="{00000000-0005-0000-0000-000026230000}"/>
    <cellStyle name="2x 4 3 7" xfId="9050" xr:uid="{00000000-0005-0000-0000-000027230000}"/>
    <cellStyle name="2x 4 3 8" xfId="9051" xr:uid="{00000000-0005-0000-0000-000028230000}"/>
    <cellStyle name="2x 4 3 9" xfId="9052" xr:uid="{00000000-0005-0000-0000-000029230000}"/>
    <cellStyle name="2x 4 4" xfId="9053" xr:uid="{00000000-0005-0000-0000-00002A230000}"/>
    <cellStyle name="2x 4 5" xfId="9054" xr:uid="{00000000-0005-0000-0000-00002B230000}"/>
    <cellStyle name="2x 4 6" xfId="9055" xr:uid="{00000000-0005-0000-0000-00002C230000}"/>
    <cellStyle name="2x 4 7" xfId="9056" xr:uid="{00000000-0005-0000-0000-00002D230000}"/>
    <cellStyle name="2x 4 8" xfId="9057" xr:uid="{00000000-0005-0000-0000-00002E230000}"/>
    <cellStyle name="2x 4 9" xfId="9058" xr:uid="{00000000-0005-0000-0000-00002F230000}"/>
    <cellStyle name="2x 5" xfId="9059" xr:uid="{00000000-0005-0000-0000-000030230000}"/>
    <cellStyle name="2x 5 10" xfId="9060" xr:uid="{00000000-0005-0000-0000-000031230000}"/>
    <cellStyle name="2x 5 11" xfId="9061" xr:uid="{00000000-0005-0000-0000-000032230000}"/>
    <cellStyle name="2x 5 12" xfId="9062" xr:uid="{00000000-0005-0000-0000-000033230000}"/>
    <cellStyle name="2x 5 13" xfId="9063" xr:uid="{00000000-0005-0000-0000-000034230000}"/>
    <cellStyle name="2x 5 2" xfId="9064" xr:uid="{00000000-0005-0000-0000-000035230000}"/>
    <cellStyle name="2x 5 2 10" xfId="9065" xr:uid="{00000000-0005-0000-0000-000036230000}"/>
    <cellStyle name="2x 5 2 11" xfId="9066" xr:uid="{00000000-0005-0000-0000-000037230000}"/>
    <cellStyle name="2x 5 2 12" xfId="9067" xr:uid="{00000000-0005-0000-0000-000038230000}"/>
    <cellStyle name="2x 5 2 2" xfId="9068" xr:uid="{00000000-0005-0000-0000-000039230000}"/>
    <cellStyle name="2x 5 2 2 10" xfId="9069" xr:uid="{00000000-0005-0000-0000-00003A230000}"/>
    <cellStyle name="2x 5 2 2 2" xfId="9070" xr:uid="{00000000-0005-0000-0000-00003B230000}"/>
    <cellStyle name="2x 5 2 2 3" xfId="9071" xr:uid="{00000000-0005-0000-0000-00003C230000}"/>
    <cellStyle name="2x 5 2 2 4" xfId="9072" xr:uid="{00000000-0005-0000-0000-00003D230000}"/>
    <cellStyle name="2x 5 2 2 5" xfId="9073" xr:uid="{00000000-0005-0000-0000-00003E230000}"/>
    <cellStyle name="2x 5 2 2 6" xfId="9074" xr:uid="{00000000-0005-0000-0000-00003F230000}"/>
    <cellStyle name="2x 5 2 2 7" xfId="9075" xr:uid="{00000000-0005-0000-0000-000040230000}"/>
    <cellStyle name="2x 5 2 2 8" xfId="9076" xr:uid="{00000000-0005-0000-0000-000041230000}"/>
    <cellStyle name="2x 5 2 2 9" xfId="9077" xr:uid="{00000000-0005-0000-0000-000042230000}"/>
    <cellStyle name="2x 5 2 3" xfId="9078" xr:uid="{00000000-0005-0000-0000-000043230000}"/>
    <cellStyle name="2x 5 2 4" xfId="9079" xr:uid="{00000000-0005-0000-0000-000044230000}"/>
    <cellStyle name="2x 5 2 5" xfId="9080" xr:uid="{00000000-0005-0000-0000-000045230000}"/>
    <cellStyle name="2x 5 2 6" xfId="9081" xr:uid="{00000000-0005-0000-0000-000046230000}"/>
    <cellStyle name="2x 5 2 7" xfId="9082" xr:uid="{00000000-0005-0000-0000-000047230000}"/>
    <cellStyle name="2x 5 2 8" xfId="9083" xr:uid="{00000000-0005-0000-0000-000048230000}"/>
    <cellStyle name="2x 5 2 9" xfId="9084" xr:uid="{00000000-0005-0000-0000-000049230000}"/>
    <cellStyle name="2x 5 3" xfId="9085" xr:uid="{00000000-0005-0000-0000-00004A230000}"/>
    <cellStyle name="2x 5 3 10" xfId="9086" xr:uid="{00000000-0005-0000-0000-00004B230000}"/>
    <cellStyle name="2x 5 3 11" xfId="9087" xr:uid="{00000000-0005-0000-0000-00004C230000}"/>
    <cellStyle name="2x 5 3 2" xfId="9088" xr:uid="{00000000-0005-0000-0000-00004D230000}"/>
    <cellStyle name="2x 5 3 3" xfId="9089" xr:uid="{00000000-0005-0000-0000-00004E230000}"/>
    <cellStyle name="2x 5 3 4" xfId="9090" xr:uid="{00000000-0005-0000-0000-00004F230000}"/>
    <cellStyle name="2x 5 3 5" xfId="9091" xr:uid="{00000000-0005-0000-0000-000050230000}"/>
    <cellStyle name="2x 5 3 6" xfId="9092" xr:uid="{00000000-0005-0000-0000-000051230000}"/>
    <cellStyle name="2x 5 3 7" xfId="9093" xr:uid="{00000000-0005-0000-0000-000052230000}"/>
    <cellStyle name="2x 5 3 8" xfId="9094" xr:uid="{00000000-0005-0000-0000-000053230000}"/>
    <cellStyle name="2x 5 3 9" xfId="9095" xr:uid="{00000000-0005-0000-0000-000054230000}"/>
    <cellStyle name="2x 5 4" xfId="9096" xr:uid="{00000000-0005-0000-0000-000055230000}"/>
    <cellStyle name="2x 5 5" xfId="9097" xr:uid="{00000000-0005-0000-0000-000056230000}"/>
    <cellStyle name="2x 5 6" xfId="9098" xr:uid="{00000000-0005-0000-0000-000057230000}"/>
    <cellStyle name="2x 5 7" xfId="9099" xr:uid="{00000000-0005-0000-0000-000058230000}"/>
    <cellStyle name="2x 5 8" xfId="9100" xr:uid="{00000000-0005-0000-0000-000059230000}"/>
    <cellStyle name="2x 5 9" xfId="9101" xr:uid="{00000000-0005-0000-0000-00005A230000}"/>
    <cellStyle name="2x 6" xfId="9102" xr:uid="{00000000-0005-0000-0000-00005B230000}"/>
    <cellStyle name="2x 6 10" xfId="9103" xr:uid="{00000000-0005-0000-0000-00005C230000}"/>
    <cellStyle name="2x 6 11" xfId="9104" xr:uid="{00000000-0005-0000-0000-00005D230000}"/>
    <cellStyle name="2x 6 12" xfId="9105" xr:uid="{00000000-0005-0000-0000-00005E230000}"/>
    <cellStyle name="2x 6 13" xfId="9106" xr:uid="{00000000-0005-0000-0000-00005F230000}"/>
    <cellStyle name="2x 6 2" xfId="9107" xr:uid="{00000000-0005-0000-0000-000060230000}"/>
    <cellStyle name="2x 6 2 10" xfId="9108" xr:uid="{00000000-0005-0000-0000-000061230000}"/>
    <cellStyle name="2x 6 2 11" xfId="9109" xr:uid="{00000000-0005-0000-0000-000062230000}"/>
    <cellStyle name="2x 6 2 12" xfId="9110" xr:uid="{00000000-0005-0000-0000-000063230000}"/>
    <cellStyle name="2x 6 2 2" xfId="9111" xr:uid="{00000000-0005-0000-0000-000064230000}"/>
    <cellStyle name="2x 6 2 2 10" xfId="9112" xr:uid="{00000000-0005-0000-0000-000065230000}"/>
    <cellStyle name="2x 6 2 2 2" xfId="9113" xr:uid="{00000000-0005-0000-0000-000066230000}"/>
    <cellStyle name="2x 6 2 2 3" xfId="9114" xr:uid="{00000000-0005-0000-0000-000067230000}"/>
    <cellStyle name="2x 6 2 2 4" xfId="9115" xr:uid="{00000000-0005-0000-0000-000068230000}"/>
    <cellStyle name="2x 6 2 2 5" xfId="9116" xr:uid="{00000000-0005-0000-0000-000069230000}"/>
    <cellStyle name="2x 6 2 2 6" xfId="9117" xr:uid="{00000000-0005-0000-0000-00006A230000}"/>
    <cellStyle name="2x 6 2 2 7" xfId="9118" xr:uid="{00000000-0005-0000-0000-00006B230000}"/>
    <cellStyle name="2x 6 2 2 8" xfId="9119" xr:uid="{00000000-0005-0000-0000-00006C230000}"/>
    <cellStyle name="2x 6 2 2 9" xfId="9120" xr:uid="{00000000-0005-0000-0000-00006D230000}"/>
    <cellStyle name="2x 6 2 3" xfId="9121" xr:uid="{00000000-0005-0000-0000-00006E230000}"/>
    <cellStyle name="2x 6 2 4" xfId="9122" xr:uid="{00000000-0005-0000-0000-00006F230000}"/>
    <cellStyle name="2x 6 2 5" xfId="9123" xr:uid="{00000000-0005-0000-0000-000070230000}"/>
    <cellStyle name="2x 6 2 6" xfId="9124" xr:uid="{00000000-0005-0000-0000-000071230000}"/>
    <cellStyle name="2x 6 2 7" xfId="9125" xr:uid="{00000000-0005-0000-0000-000072230000}"/>
    <cellStyle name="2x 6 2 8" xfId="9126" xr:uid="{00000000-0005-0000-0000-000073230000}"/>
    <cellStyle name="2x 6 2 9" xfId="9127" xr:uid="{00000000-0005-0000-0000-000074230000}"/>
    <cellStyle name="2x 6 3" xfId="9128" xr:uid="{00000000-0005-0000-0000-000075230000}"/>
    <cellStyle name="2x 6 3 10" xfId="9129" xr:uid="{00000000-0005-0000-0000-000076230000}"/>
    <cellStyle name="2x 6 3 11" xfId="9130" xr:uid="{00000000-0005-0000-0000-000077230000}"/>
    <cellStyle name="2x 6 3 2" xfId="9131" xr:uid="{00000000-0005-0000-0000-000078230000}"/>
    <cellStyle name="2x 6 3 3" xfId="9132" xr:uid="{00000000-0005-0000-0000-000079230000}"/>
    <cellStyle name="2x 6 3 4" xfId="9133" xr:uid="{00000000-0005-0000-0000-00007A230000}"/>
    <cellStyle name="2x 6 3 5" xfId="9134" xr:uid="{00000000-0005-0000-0000-00007B230000}"/>
    <cellStyle name="2x 6 3 6" xfId="9135" xr:uid="{00000000-0005-0000-0000-00007C230000}"/>
    <cellStyle name="2x 6 3 7" xfId="9136" xr:uid="{00000000-0005-0000-0000-00007D230000}"/>
    <cellStyle name="2x 6 3 8" xfId="9137" xr:uid="{00000000-0005-0000-0000-00007E230000}"/>
    <cellStyle name="2x 6 3 9" xfId="9138" xr:uid="{00000000-0005-0000-0000-00007F230000}"/>
    <cellStyle name="2x 6 4" xfId="9139" xr:uid="{00000000-0005-0000-0000-000080230000}"/>
    <cellStyle name="2x 6 5" xfId="9140" xr:uid="{00000000-0005-0000-0000-000081230000}"/>
    <cellStyle name="2x 6 6" xfId="9141" xr:uid="{00000000-0005-0000-0000-000082230000}"/>
    <cellStyle name="2x 6 7" xfId="9142" xr:uid="{00000000-0005-0000-0000-000083230000}"/>
    <cellStyle name="2x 6 8" xfId="9143" xr:uid="{00000000-0005-0000-0000-000084230000}"/>
    <cellStyle name="2x 6 9" xfId="9144" xr:uid="{00000000-0005-0000-0000-000085230000}"/>
    <cellStyle name="2x 7" xfId="9145" xr:uid="{00000000-0005-0000-0000-000086230000}"/>
    <cellStyle name="2x 7 10" xfId="9146" xr:uid="{00000000-0005-0000-0000-000087230000}"/>
    <cellStyle name="2x 7 11" xfId="9147" xr:uid="{00000000-0005-0000-0000-000088230000}"/>
    <cellStyle name="2x 7 12" xfId="9148" xr:uid="{00000000-0005-0000-0000-000089230000}"/>
    <cellStyle name="2x 7 13" xfId="9149" xr:uid="{00000000-0005-0000-0000-00008A230000}"/>
    <cellStyle name="2x 7 2" xfId="9150" xr:uid="{00000000-0005-0000-0000-00008B230000}"/>
    <cellStyle name="2x 7 2 10" xfId="9151" xr:uid="{00000000-0005-0000-0000-00008C230000}"/>
    <cellStyle name="2x 7 2 11" xfId="9152" xr:uid="{00000000-0005-0000-0000-00008D230000}"/>
    <cellStyle name="2x 7 2 12" xfId="9153" xr:uid="{00000000-0005-0000-0000-00008E230000}"/>
    <cellStyle name="2x 7 2 2" xfId="9154" xr:uid="{00000000-0005-0000-0000-00008F230000}"/>
    <cellStyle name="2x 7 2 2 10" xfId="9155" xr:uid="{00000000-0005-0000-0000-000090230000}"/>
    <cellStyle name="2x 7 2 2 2" xfId="9156" xr:uid="{00000000-0005-0000-0000-000091230000}"/>
    <cellStyle name="2x 7 2 2 3" xfId="9157" xr:uid="{00000000-0005-0000-0000-000092230000}"/>
    <cellStyle name="2x 7 2 2 4" xfId="9158" xr:uid="{00000000-0005-0000-0000-000093230000}"/>
    <cellStyle name="2x 7 2 2 5" xfId="9159" xr:uid="{00000000-0005-0000-0000-000094230000}"/>
    <cellStyle name="2x 7 2 2 6" xfId="9160" xr:uid="{00000000-0005-0000-0000-000095230000}"/>
    <cellStyle name="2x 7 2 2 7" xfId="9161" xr:uid="{00000000-0005-0000-0000-000096230000}"/>
    <cellStyle name="2x 7 2 2 8" xfId="9162" xr:uid="{00000000-0005-0000-0000-000097230000}"/>
    <cellStyle name="2x 7 2 2 9" xfId="9163" xr:uid="{00000000-0005-0000-0000-000098230000}"/>
    <cellStyle name="2x 7 2 3" xfId="9164" xr:uid="{00000000-0005-0000-0000-000099230000}"/>
    <cellStyle name="2x 7 2 4" xfId="9165" xr:uid="{00000000-0005-0000-0000-00009A230000}"/>
    <cellStyle name="2x 7 2 5" xfId="9166" xr:uid="{00000000-0005-0000-0000-00009B230000}"/>
    <cellStyle name="2x 7 2 6" xfId="9167" xr:uid="{00000000-0005-0000-0000-00009C230000}"/>
    <cellStyle name="2x 7 2 7" xfId="9168" xr:uid="{00000000-0005-0000-0000-00009D230000}"/>
    <cellStyle name="2x 7 2 8" xfId="9169" xr:uid="{00000000-0005-0000-0000-00009E230000}"/>
    <cellStyle name="2x 7 2 9" xfId="9170" xr:uid="{00000000-0005-0000-0000-00009F230000}"/>
    <cellStyle name="2x 7 3" xfId="9171" xr:uid="{00000000-0005-0000-0000-0000A0230000}"/>
    <cellStyle name="2x 7 3 10" xfId="9172" xr:uid="{00000000-0005-0000-0000-0000A1230000}"/>
    <cellStyle name="2x 7 3 11" xfId="9173" xr:uid="{00000000-0005-0000-0000-0000A2230000}"/>
    <cellStyle name="2x 7 3 2" xfId="9174" xr:uid="{00000000-0005-0000-0000-0000A3230000}"/>
    <cellStyle name="2x 7 3 3" xfId="9175" xr:uid="{00000000-0005-0000-0000-0000A4230000}"/>
    <cellStyle name="2x 7 3 4" xfId="9176" xr:uid="{00000000-0005-0000-0000-0000A5230000}"/>
    <cellStyle name="2x 7 3 5" xfId="9177" xr:uid="{00000000-0005-0000-0000-0000A6230000}"/>
    <cellStyle name="2x 7 3 6" xfId="9178" xr:uid="{00000000-0005-0000-0000-0000A7230000}"/>
    <cellStyle name="2x 7 3 7" xfId="9179" xr:uid="{00000000-0005-0000-0000-0000A8230000}"/>
    <cellStyle name="2x 7 3 8" xfId="9180" xr:uid="{00000000-0005-0000-0000-0000A9230000}"/>
    <cellStyle name="2x 7 3 9" xfId="9181" xr:uid="{00000000-0005-0000-0000-0000AA230000}"/>
    <cellStyle name="2x 7 4" xfId="9182" xr:uid="{00000000-0005-0000-0000-0000AB230000}"/>
    <cellStyle name="2x 7 5" xfId="9183" xr:uid="{00000000-0005-0000-0000-0000AC230000}"/>
    <cellStyle name="2x 7 6" xfId="9184" xr:uid="{00000000-0005-0000-0000-0000AD230000}"/>
    <cellStyle name="2x 7 7" xfId="9185" xr:uid="{00000000-0005-0000-0000-0000AE230000}"/>
    <cellStyle name="2x 7 8" xfId="9186" xr:uid="{00000000-0005-0000-0000-0000AF230000}"/>
    <cellStyle name="2x 7 9" xfId="9187" xr:uid="{00000000-0005-0000-0000-0000B0230000}"/>
    <cellStyle name="2x 8" xfId="9188" xr:uid="{00000000-0005-0000-0000-0000B1230000}"/>
    <cellStyle name="2x 8 10" xfId="9189" xr:uid="{00000000-0005-0000-0000-0000B2230000}"/>
    <cellStyle name="2x 8 11" xfId="9190" xr:uid="{00000000-0005-0000-0000-0000B3230000}"/>
    <cellStyle name="2x 8 12" xfId="9191" xr:uid="{00000000-0005-0000-0000-0000B4230000}"/>
    <cellStyle name="2x 8 13" xfId="9192" xr:uid="{00000000-0005-0000-0000-0000B5230000}"/>
    <cellStyle name="2x 8 2" xfId="9193" xr:uid="{00000000-0005-0000-0000-0000B6230000}"/>
    <cellStyle name="2x 8 2 10" xfId="9194" xr:uid="{00000000-0005-0000-0000-0000B7230000}"/>
    <cellStyle name="2x 8 2 11" xfId="9195" xr:uid="{00000000-0005-0000-0000-0000B8230000}"/>
    <cellStyle name="2x 8 2 12" xfId="9196" xr:uid="{00000000-0005-0000-0000-0000B9230000}"/>
    <cellStyle name="2x 8 2 2" xfId="9197" xr:uid="{00000000-0005-0000-0000-0000BA230000}"/>
    <cellStyle name="2x 8 2 2 10" xfId="9198" xr:uid="{00000000-0005-0000-0000-0000BB230000}"/>
    <cellStyle name="2x 8 2 2 2" xfId="9199" xr:uid="{00000000-0005-0000-0000-0000BC230000}"/>
    <cellStyle name="2x 8 2 2 3" xfId="9200" xr:uid="{00000000-0005-0000-0000-0000BD230000}"/>
    <cellStyle name="2x 8 2 2 4" xfId="9201" xr:uid="{00000000-0005-0000-0000-0000BE230000}"/>
    <cellStyle name="2x 8 2 2 5" xfId="9202" xr:uid="{00000000-0005-0000-0000-0000BF230000}"/>
    <cellStyle name="2x 8 2 2 6" xfId="9203" xr:uid="{00000000-0005-0000-0000-0000C0230000}"/>
    <cellStyle name="2x 8 2 2 7" xfId="9204" xr:uid="{00000000-0005-0000-0000-0000C1230000}"/>
    <cellStyle name="2x 8 2 2 8" xfId="9205" xr:uid="{00000000-0005-0000-0000-0000C2230000}"/>
    <cellStyle name="2x 8 2 2 9" xfId="9206" xr:uid="{00000000-0005-0000-0000-0000C3230000}"/>
    <cellStyle name="2x 8 2 3" xfId="9207" xr:uid="{00000000-0005-0000-0000-0000C4230000}"/>
    <cellStyle name="2x 8 2 4" xfId="9208" xr:uid="{00000000-0005-0000-0000-0000C5230000}"/>
    <cellStyle name="2x 8 2 5" xfId="9209" xr:uid="{00000000-0005-0000-0000-0000C6230000}"/>
    <cellStyle name="2x 8 2 6" xfId="9210" xr:uid="{00000000-0005-0000-0000-0000C7230000}"/>
    <cellStyle name="2x 8 2 7" xfId="9211" xr:uid="{00000000-0005-0000-0000-0000C8230000}"/>
    <cellStyle name="2x 8 2 8" xfId="9212" xr:uid="{00000000-0005-0000-0000-0000C9230000}"/>
    <cellStyle name="2x 8 2 9" xfId="9213" xr:uid="{00000000-0005-0000-0000-0000CA230000}"/>
    <cellStyle name="2x 8 3" xfId="9214" xr:uid="{00000000-0005-0000-0000-0000CB230000}"/>
    <cellStyle name="2x 8 3 10" xfId="9215" xr:uid="{00000000-0005-0000-0000-0000CC230000}"/>
    <cellStyle name="2x 8 3 11" xfId="9216" xr:uid="{00000000-0005-0000-0000-0000CD230000}"/>
    <cellStyle name="2x 8 3 2" xfId="9217" xr:uid="{00000000-0005-0000-0000-0000CE230000}"/>
    <cellStyle name="2x 8 3 3" xfId="9218" xr:uid="{00000000-0005-0000-0000-0000CF230000}"/>
    <cellStyle name="2x 8 3 4" xfId="9219" xr:uid="{00000000-0005-0000-0000-0000D0230000}"/>
    <cellStyle name="2x 8 3 5" xfId="9220" xr:uid="{00000000-0005-0000-0000-0000D1230000}"/>
    <cellStyle name="2x 8 3 6" xfId="9221" xr:uid="{00000000-0005-0000-0000-0000D2230000}"/>
    <cellStyle name="2x 8 3 7" xfId="9222" xr:uid="{00000000-0005-0000-0000-0000D3230000}"/>
    <cellStyle name="2x 8 3 8" xfId="9223" xr:uid="{00000000-0005-0000-0000-0000D4230000}"/>
    <cellStyle name="2x 8 3 9" xfId="9224" xr:uid="{00000000-0005-0000-0000-0000D5230000}"/>
    <cellStyle name="2x 8 4" xfId="9225" xr:uid="{00000000-0005-0000-0000-0000D6230000}"/>
    <cellStyle name="2x 8 5" xfId="9226" xr:uid="{00000000-0005-0000-0000-0000D7230000}"/>
    <cellStyle name="2x 8 6" xfId="9227" xr:uid="{00000000-0005-0000-0000-0000D8230000}"/>
    <cellStyle name="2x 8 7" xfId="9228" xr:uid="{00000000-0005-0000-0000-0000D9230000}"/>
    <cellStyle name="2x 8 8" xfId="9229" xr:uid="{00000000-0005-0000-0000-0000DA230000}"/>
    <cellStyle name="2x 8 9" xfId="9230" xr:uid="{00000000-0005-0000-0000-0000DB230000}"/>
    <cellStyle name="2x 9" xfId="9231" xr:uid="{00000000-0005-0000-0000-0000DC230000}"/>
    <cellStyle name="2x 9 10" xfId="9232" xr:uid="{00000000-0005-0000-0000-0000DD230000}"/>
    <cellStyle name="2x 9 11" xfId="9233" xr:uid="{00000000-0005-0000-0000-0000DE230000}"/>
    <cellStyle name="2x 9 12" xfId="9234" xr:uid="{00000000-0005-0000-0000-0000DF230000}"/>
    <cellStyle name="2x 9 13" xfId="9235" xr:uid="{00000000-0005-0000-0000-0000E0230000}"/>
    <cellStyle name="2x 9 2" xfId="9236" xr:uid="{00000000-0005-0000-0000-0000E1230000}"/>
    <cellStyle name="2x 9 2 10" xfId="9237" xr:uid="{00000000-0005-0000-0000-0000E2230000}"/>
    <cellStyle name="2x 9 2 11" xfId="9238" xr:uid="{00000000-0005-0000-0000-0000E3230000}"/>
    <cellStyle name="2x 9 2 12" xfId="9239" xr:uid="{00000000-0005-0000-0000-0000E4230000}"/>
    <cellStyle name="2x 9 2 2" xfId="9240" xr:uid="{00000000-0005-0000-0000-0000E5230000}"/>
    <cellStyle name="2x 9 2 2 10" xfId="9241" xr:uid="{00000000-0005-0000-0000-0000E6230000}"/>
    <cellStyle name="2x 9 2 2 2" xfId="9242" xr:uid="{00000000-0005-0000-0000-0000E7230000}"/>
    <cellStyle name="2x 9 2 2 3" xfId="9243" xr:uid="{00000000-0005-0000-0000-0000E8230000}"/>
    <cellStyle name="2x 9 2 2 4" xfId="9244" xr:uid="{00000000-0005-0000-0000-0000E9230000}"/>
    <cellStyle name="2x 9 2 2 5" xfId="9245" xr:uid="{00000000-0005-0000-0000-0000EA230000}"/>
    <cellStyle name="2x 9 2 2 6" xfId="9246" xr:uid="{00000000-0005-0000-0000-0000EB230000}"/>
    <cellStyle name="2x 9 2 2 7" xfId="9247" xr:uid="{00000000-0005-0000-0000-0000EC230000}"/>
    <cellStyle name="2x 9 2 2 8" xfId="9248" xr:uid="{00000000-0005-0000-0000-0000ED230000}"/>
    <cellStyle name="2x 9 2 2 9" xfId="9249" xr:uid="{00000000-0005-0000-0000-0000EE230000}"/>
    <cellStyle name="2x 9 2 3" xfId="9250" xr:uid="{00000000-0005-0000-0000-0000EF230000}"/>
    <cellStyle name="2x 9 2 4" xfId="9251" xr:uid="{00000000-0005-0000-0000-0000F0230000}"/>
    <cellStyle name="2x 9 2 5" xfId="9252" xr:uid="{00000000-0005-0000-0000-0000F1230000}"/>
    <cellStyle name="2x 9 2 6" xfId="9253" xr:uid="{00000000-0005-0000-0000-0000F2230000}"/>
    <cellStyle name="2x 9 2 7" xfId="9254" xr:uid="{00000000-0005-0000-0000-0000F3230000}"/>
    <cellStyle name="2x 9 2 8" xfId="9255" xr:uid="{00000000-0005-0000-0000-0000F4230000}"/>
    <cellStyle name="2x 9 2 9" xfId="9256" xr:uid="{00000000-0005-0000-0000-0000F5230000}"/>
    <cellStyle name="2x 9 3" xfId="9257" xr:uid="{00000000-0005-0000-0000-0000F6230000}"/>
    <cellStyle name="2x 9 3 10" xfId="9258" xr:uid="{00000000-0005-0000-0000-0000F7230000}"/>
    <cellStyle name="2x 9 3 11" xfId="9259" xr:uid="{00000000-0005-0000-0000-0000F8230000}"/>
    <cellStyle name="2x 9 3 2" xfId="9260" xr:uid="{00000000-0005-0000-0000-0000F9230000}"/>
    <cellStyle name="2x 9 3 3" xfId="9261" xr:uid="{00000000-0005-0000-0000-0000FA230000}"/>
    <cellStyle name="2x 9 3 4" xfId="9262" xr:uid="{00000000-0005-0000-0000-0000FB230000}"/>
    <cellStyle name="2x 9 3 5" xfId="9263" xr:uid="{00000000-0005-0000-0000-0000FC230000}"/>
    <cellStyle name="2x 9 3 6" xfId="9264" xr:uid="{00000000-0005-0000-0000-0000FD230000}"/>
    <cellStyle name="2x 9 3 7" xfId="9265" xr:uid="{00000000-0005-0000-0000-0000FE230000}"/>
    <cellStyle name="2x 9 3 8" xfId="9266" xr:uid="{00000000-0005-0000-0000-0000FF230000}"/>
    <cellStyle name="2x 9 3 9" xfId="9267" xr:uid="{00000000-0005-0000-0000-000000240000}"/>
    <cellStyle name="2x 9 4" xfId="9268" xr:uid="{00000000-0005-0000-0000-000001240000}"/>
    <cellStyle name="2x 9 5" xfId="9269" xr:uid="{00000000-0005-0000-0000-000002240000}"/>
    <cellStyle name="2x 9 6" xfId="9270" xr:uid="{00000000-0005-0000-0000-000003240000}"/>
    <cellStyle name="2x 9 7" xfId="9271" xr:uid="{00000000-0005-0000-0000-000004240000}"/>
    <cellStyle name="2x 9 8" xfId="9272" xr:uid="{00000000-0005-0000-0000-000005240000}"/>
    <cellStyle name="2x 9 9" xfId="9273" xr:uid="{00000000-0005-0000-0000-000006240000}"/>
    <cellStyle name="3" xfId="9274" xr:uid="{00000000-0005-0000-0000-000007240000}"/>
    <cellStyle name="3D CINZA" xfId="9275" xr:uid="{00000000-0005-0000-0000-000008240000}"/>
    <cellStyle name="3D CINZA1" xfId="9276" xr:uid="{00000000-0005-0000-0000-000009240000}"/>
    <cellStyle name="40% - Accent1" xfId="9277" xr:uid="{00000000-0005-0000-0000-00000A240000}"/>
    <cellStyle name="40% - Accent1 10" xfId="9278" xr:uid="{00000000-0005-0000-0000-00000B240000}"/>
    <cellStyle name="40% - Accent1 11" xfId="9279" xr:uid="{00000000-0005-0000-0000-00000C240000}"/>
    <cellStyle name="40% - Accent1 12" xfId="9280" xr:uid="{00000000-0005-0000-0000-00000D240000}"/>
    <cellStyle name="40% - Accent1 13" xfId="9281" xr:uid="{00000000-0005-0000-0000-00000E240000}"/>
    <cellStyle name="40% - Accent1 14" xfId="9282" xr:uid="{00000000-0005-0000-0000-00000F240000}"/>
    <cellStyle name="40% - Accent1 15" xfId="9283" xr:uid="{00000000-0005-0000-0000-000010240000}"/>
    <cellStyle name="40% - Accent1 2" xfId="9284" xr:uid="{00000000-0005-0000-0000-000011240000}"/>
    <cellStyle name="40% - Accent1 3" xfId="9285" xr:uid="{00000000-0005-0000-0000-000012240000}"/>
    <cellStyle name="40% - Accent1 4" xfId="9286" xr:uid="{00000000-0005-0000-0000-000013240000}"/>
    <cellStyle name="40% - Accent1 5" xfId="9287" xr:uid="{00000000-0005-0000-0000-000014240000}"/>
    <cellStyle name="40% - Accent1 6" xfId="9288" xr:uid="{00000000-0005-0000-0000-000015240000}"/>
    <cellStyle name="40% - Accent1 7" xfId="9289" xr:uid="{00000000-0005-0000-0000-000016240000}"/>
    <cellStyle name="40% - Accent1 8" xfId="9290" xr:uid="{00000000-0005-0000-0000-000017240000}"/>
    <cellStyle name="40% - Accent1 9" xfId="9291" xr:uid="{00000000-0005-0000-0000-000018240000}"/>
    <cellStyle name="40% - Accent2" xfId="9292" xr:uid="{00000000-0005-0000-0000-000019240000}"/>
    <cellStyle name="40% - Accent2 10" xfId="9293" xr:uid="{00000000-0005-0000-0000-00001A240000}"/>
    <cellStyle name="40% - Accent2 11" xfId="9294" xr:uid="{00000000-0005-0000-0000-00001B240000}"/>
    <cellStyle name="40% - Accent2 12" xfId="9295" xr:uid="{00000000-0005-0000-0000-00001C240000}"/>
    <cellStyle name="40% - Accent2 13" xfId="9296" xr:uid="{00000000-0005-0000-0000-00001D240000}"/>
    <cellStyle name="40% - Accent2 14" xfId="9297" xr:uid="{00000000-0005-0000-0000-00001E240000}"/>
    <cellStyle name="40% - Accent2 15" xfId="9298" xr:uid="{00000000-0005-0000-0000-00001F240000}"/>
    <cellStyle name="40% - Accent2 2" xfId="9299" xr:uid="{00000000-0005-0000-0000-000020240000}"/>
    <cellStyle name="40% - Accent2 3" xfId="9300" xr:uid="{00000000-0005-0000-0000-000021240000}"/>
    <cellStyle name="40% - Accent2 4" xfId="9301" xr:uid="{00000000-0005-0000-0000-000022240000}"/>
    <cellStyle name="40% - Accent2 5" xfId="9302" xr:uid="{00000000-0005-0000-0000-000023240000}"/>
    <cellStyle name="40% - Accent2 6" xfId="9303" xr:uid="{00000000-0005-0000-0000-000024240000}"/>
    <cellStyle name="40% - Accent2 7" xfId="9304" xr:uid="{00000000-0005-0000-0000-000025240000}"/>
    <cellStyle name="40% - Accent2 8" xfId="9305" xr:uid="{00000000-0005-0000-0000-000026240000}"/>
    <cellStyle name="40% - Accent2 9" xfId="9306" xr:uid="{00000000-0005-0000-0000-000027240000}"/>
    <cellStyle name="40% - Accent3" xfId="9307" xr:uid="{00000000-0005-0000-0000-000028240000}"/>
    <cellStyle name="40% - Accent3 10" xfId="9308" xr:uid="{00000000-0005-0000-0000-000029240000}"/>
    <cellStyle name="40% - Accent3 11" xfId="9309" xr:uid="{00000000-0005-0000-0000-00002A240000}"/>
    <cellStyle name="40% - Accent3 12" xfId="9310" xr:uid="{00000000-0005-0000-0000-00002B240000}"/>
    <cellStyle name="40% - Accent3 13" xfId="9311" xr:uid="{00000000-0005-0000-0000-00002C240000}"/>
    <cellStyle name="40% - Accent3 14" xfId="9312" xr:uid="{00000000-0005-0000-0000-00002D240000}"/>
    <cellStyle name="40% - Accent3 15" xfId="9313" xr:uid="{00000000-0005-0000-0000-00002E240000}"/>
    <cellStyle name="40% - Accent3 2" xfId="9314" xr:uid="{00000000-0005-0000-0000-00002F240000}"/>
    <cellStyle name="40% - Accent3 3" xfId="9315" xr:uid="{00000000-0005-0000-0000-000030240000}"/>
    <cellStyle name="40% - Accent3 4" xfId="9316" xr:uid="{00000000-0005-0000-0000-000031240000}"/>
    <cellStyle name="40% - Accent3 5" xfId="9317" xr:uid="{00000000-0005-0000-0000-000032240000}"/>
    <cellStyle name="40% - Accent3 6" xfId="9318" xr:uid="{00000000-0005-0000-0000-000033240000}"/>
    <cellStyle name="40% - Accent3 7" xfId="9319" xr:uid="{00000000-0005-0000-0000-000034240000}"/>
    <cellStyle name="40% - Accent3 8" xfId="9320" xr:uid="{00000000-0005-0000-0000-000035240000}"/>
    <cellStyle name="40% - Accent3 9" xfId="9321" xr:uid="{00000000-0005-0000-0000-000036240000}"/>
    <cellStyle name="40% - Accent4" xfId="9322" xr:uid="{00000000-0005-0000-0000-000037240000}"/>
    <cellStyle name="40% - Accent4 10" xfId="9323" xr:uid="{00000000-0005-0000-0000-000038240000}"/>
    <cellStyle name="40% - Accent4 11" xfId="9324" xr:uid="{00000000-0005-0000-0000-000039240000}"/>
    <cellStyle name="40% - Accent4 12" xfId="9325" xr:uid="{00000000-0005-0000-0000-00003A240000}"/>
    <cellStyle name="40% - Accent4 13" xfId="9326" xr:uid="{00000000-0005-0000-0000-00003B240000}"/>
    <cellStyle name="40% - Accent4 14" xfId="9327" xr:uid="{00000000-0005-0000-0000-00003C240000}"/>
    <cellStyle name="40% - Accent4 15" xfId="9328" xr:uid="{00000000-0005-0000-0000-00003D240000}"/>
    <cellStyle name="40% - Accent4 2" xfId="9329" xr:uid="{00000000-0005-0000-0000-00003E240000}"/>
    <cellStyle name="40% - Accent4 3" xfId="9330" xr:uid="{00000000-0005-0000-0000-00003F240000}"/>
    <cellStyle name="40% - Accent4 4" xfId="9331" xr:uid="{00000000-0005-0000-0000-000040240000}"/>
    <cellStyle name="40% - Accent4 5" xfId="9332" xr:uid="{00000000-0005-0000-0000-000041240000}"/>
    <cellStyle name="40% - Accent4 6" xfId="9333" xr:uid="{00000000-0005-0000-0000-000042240000}"/>
    <cellStyle name="40% - Accent4 7" xfId="9334" xr:uid="{00000000-0005-0000-0000-000043240000}"/>
    <cellStyle name="40% - Accent4 8" xfId="9335" xr:uid="{00000000-0005-0000-0000-000044240000}"/>
    <cellStyle name="40% - Accent4 9" xfId="9336" xr:uid="{00000000-0005-0000-0000-000045240000}"/>
    <cellStyle name="40% - Accent5" xfId="9337" xr:uid="{00000000-0005-0000-0000-000046240000}"/>
    <cellStyle name="40% - Accent5 10" xfId="9338" xr:uid="{00000000-0005-0000-0000-000047240000}"/>
    <cellStyle name="40% - Accent5 11" xfId="9339" xr:uid="{00000000-0005-0000-0000-000048240000}"/>
    <cellStyle name="40% - Accent5 12" xfId="9340" xr:uid="{00000000-0005-0000-0000-000049240000}"/>
    <cellStyle name="40% - Accent5 13" xfId="9341" xr:uid="{00000000-0005-0000-0000-00004A240000}"/>
    <cellStyle name="40% - Accent5 14" xfId="9342" xr:uid="{00000000-0005-0000-0000-00004B240000}"/>
    <cellStyle name="40% - Accent5 15" xfId="9343" xr:uid="{00000000-0005-0000-0000-00004C240000}"/>
    <cellStyle name="40% - Accent5 2" xfId="9344" xr:uid="{00000000-0005-0000-0000-00004D240000}"/>
    <cellStyle name="40% - Accent5 3" xfId="9345" xr:uid="{00000000-0005-0000-0000-00004E240000}"/>
    <cellStyle name="40% - Accent5 4" xfId="9346" xr:uid="{00000000-0005-0000-0000-00004F240000}"/>
    <cellStyle name="40% - Accent5 5" xfId="9347" xr:uid="{00000000-0005-0000-0000-000050240000}"/>
    <cellStyle name="40% - Accent5 6" xfId="9348" xr:uid="{00000000-0005-0000-0000-000051240000}"/>
    <cellStyle name="40% - Accent5 7" xfId="9349" xr:uid="{00000000-0005-0000-0000-000052240000}"/>
    <cellStyle name="40% - Accent5 8" xfId="9350" xr:uid="{00000000-0005-0000-0000-000053240000}"/>
    <cellStyle name="40% - Accent5 9" xfId="9351" xr:uid="{00000000-0005-0000-0000-000054240000}"/>
    <cellStyle name="40% - Accent6" xfId="9352" xr:uid="{00000000-0005-0000-0000-000055240000}"/>
    <cellStyle name="40% - Accent6 10" xfId="9353" xr:uid="{00000000-0005-0000-0000-000056240000}"/>
    <cellStyle name="40% - Accent6 11" xfId="9354" xr:uid="{00000000-0005-0000-0000-000057240000}"/>
    <cellStyle name="40% - Accent6 12" xfId="9355" xr:uid="{00000000-0005-0000-0000-000058240000}"/>
    <cellStyle name="40% - Accent6 13" xfId="9356" xr:uid="{00000000-0005-0000-0000-000059240000}"/>
    <cellStyle name="40% - Accent6 14" xfId="9357" xr:uid="{00000000-0005-0000-0000-00005A240000}"/>
    <cellStyle name="40% - Accent6 15" xfId="9358" xr:uid="{00000000-0005-0000-0000-00005B240000}"/>
    <cellStyle name="40% - Accent6 2" xfId="9359" xr:uid="{00000000-0005-0000-0000-00005C240000}"/>
    <cellStyle name="40% - Accent6 3" xfId="9360" xr:uid="{00000000-0005-0000-0000-00005D240000}"/>
    <cellStyle name="40% - Accent6 4" xfId="9361" xr:uid="{00000000-0005-0000-0000-00005E240000}"/>
    <cellStyle name="40% - Accent6 5" xfId="9362" xr:uid="{00000000-0005-0000-0000-00005F240000}"/>
    <cellStyle name="40% - Accent6 6" xfId="9363" xr:uid="{00000000-0005-0000-0000-000060240000}"/>
    <cellStyle name="40% - Accent6 7" xfId="9364" xr:uid="{00000000-0005-0000-0000-000061240000}"/>
    <cellStyle name="40% - Accent6 8" xfId="9365" xr:uid="{00000000-0005-0000-0000-000062240000}"/>
    <cellStyle name="40% - Accent6 9" xfId="9366" xr:uid="{00000000-0005-0000-0000-000063240000}"/>
    <cellStyle name="40% - Énfasis1" xfId="13" builtinId="31" customBuiltin="1"/>
    <cellStyle name="40% - Énfasis1 10" xfId="9367" xr:uid="{00000000-0005-0000-0000-000065240000}"/>
    <cellStyle name="40% - Énfasis1 10 2" xfId="9368" xr:uid="{00000000-0005-0000-0000-000066240000}"/>
    <cellStyle name="40% - Énfasis1 10 2 2" xfId="9369" xr:uid="{00000000-0005-0000-0000-000067240000}"/>
    <cellStyle name="40% - Énfasis1 10 3" xfId="9370" xr:uid="{00000000-0005-0000-0000-000068240000}"/>
    <cellStyle name="40% - Énfasis1 10 3 2" xfId="9371" xr:uid="{00000000-0005-0000-0000-000069240000}"/>
    <cellStyle name="40% - Énfasis1 10 4" xfId="9372" xr:uid="{00000000-0005-0000-0000-00006A240000}"/>
    <cellStyle name="40% - Énfasis1 11" xfId="9373" xr:uid="{00000000-0005-0000-0000-00006B240000}"/>
    <cellStyle name="40% - Énfasis1 11 2" xfId="9374" xr:uid="{00000000-0005-0000-0000-00006C240000}"/>
    <cellStyle name="40% - Énfasis1 12" xfId="9375" xr:uid="{00000000-0005-0000-0000-00006D240000}"/>
    <cellStyle name="40% - Énfasis1 12 2" xfId="9376" xr:uid="{00000000-0005-0000-0000-00006E240000}"/>
    <cellStyle name="40% - Énfasis1 13" xfId="9377" xr:uid="{00000000-0005-0000-0000-00006F240000}"/>
    <cellStyle name="40% - Énfasis1 14" xfId="9378" xr:uid="{00000000-0005-0000-0000-000070240000}"/>
    <cellStyle name="40% - Énfasis1 15" xfId="9379" xr:uid="{00000000-0005-0000-0000-000071240000}"/>
    <cellStyle name="40% - Énfasis1 16" xfId="9380" xr:uid="{00000000-0005-0000-0000-000072240000}"/>
    <cellStyle name="40% - Énfasis1 2" xfId="14" xr:uid="{00000000-0005-0000-0000-000073240000}"/>
    <cellStyle name="40% - Énfasis1 2 10" xfId="9381" xr:uid="{00000000-0005-0000-0000-000074240000}"/>
    <cellStyle name="40% - Énfasis1 2 11" xfId="9382" xr:uid="{00000000-0005-0000-0000-000075240000}"/>
    <cellStyle name="40% - Énfasis1 2 12" xfId="9383" xr:uid="{00000000-0005-0000-0000-000076240000}"/>
    <cellStyle name="40% - Énfasis1 2 13" xfId="9384" xr:uid="{00000000-0005-0000-0000-000077240000}"/>
    <cellStyle name="40% - Énfasis1 2 14" xfId="9385" xr:uid="{00000000-0005-0000-0000-000078240000}"/>
    <cellStyle name="40% - Énfasis1 2 15" xfId="9386" xr:uid="{00000000-0005-0000-0000-000079240000}"/>
    <cellStyle name="40% - Énfasis1 2 16" xfId="9387" xr:uid="{00000000-0005-0000-0000-00007A240000}"/>
    <cellStyle name="40% - Énfasis1 2 17" xfId="9388" xr:uid="{00000000-0005-0000-0000-00007B240000}"/>
    <cellStyle name="40% - Énfasis1 2 18" xfId="9389" xr:uid="{00000000-0005-0000-0000-00007C240000}"/>
    <cellStyle name="40% - Énfasis1 2 19" xfId="9390" xr:uid="{00000000-0005-0000-0000-00007D240000}"/>
    <cellStyle name="40% - Énfasis1 2 2" xfId="9391" xr:uid="{00000000-0005-0000-0000-00007E240000}"/>
    <cellStyle name="40% - Énfasis1 2 2 2" xfId="9392" xr:uid="{00000000-0005-0000-0000-00007F240000}"/>
    <cellStyle name="40% - Énfasis1 2 2 2 2" xfId="9393" xr:uid="{00000000-0005-0000-0000-000080240000}"/>
    <cellStyle name="40% - Énfasis1 2 2 2 2 2" xfId="9394" xr:uid="{00000000-0005-0000-0000-000081240000}"/>
    <cellStyle name="40% - Énfasis1 2 2 2 2 2 2" xfId="9395" xr:uid="{00000000-0005-0000-0000-000082240000}"/>
    <cellStyle name="40% - Énfasis1 2 2 2 2 3" xfId="9396" xr:uid="{00000000-0005-0000-0000-000083240000}"/>
    <cellStyle name="40% - Énfasis1 2 2 2 2 3 2" xfId="9397" xr:uid="{00000000-0005-0000-0000-000084240000}"/>
    <cellStyle name="40% - Énfasis1 2 2 2 2 4" xfId="9398" xr:uid="{00000000-0005-0000-0000-000085240000}"/>
    <cellStyle name="40% - Énfasis1 2 2 2 3" xfId="9399" xr:uid="{00000000-0005-0000-0000-000086240000}"/>
    <cellStyle name="40% - Énfasis1 2 2 2 3 2" xfId="9400" xr:uid="{00000000-0005-0000-0000-000087240000}"/>
    <cellStyle name="40% - Énfasis1 2 2 2 4" xfId="9401" xr:uid="{00000000-0005-0000-0000-000088240000}"/>
    <cellStyle name="40% - Énfasis1 2 2 2 4 2" xfId="9402" xr:uid="{00000000-0005-0000-0000-000089240000}"/>
    <cellStyle name="40% - Énfasis1 2 2 2 5" xfId="9403" xr:uid="{00000000-0005-0000-0000-00008A240000}"/>
    <cellStyle name="40% - Énfasis1 2 2 3" xfId="9404" xr:uid="{00000000-0005-0000-0000-00008B240000}"/>
    <cellStyle name="40% - Énfasis1 2 2 3 2" xfId="9405" xr:uid="{00000000-0005-0000-0000-00008C240000}"/>
    <cellStyle name="40% - Énfasis1 2 2 3 2 2" xfId="9406" xr:uid="{00000000-0005-0000-0000-00008D240000}"/>
    <cellStyle name="40% - Énfasis1 2 2 3 3" xfId="9407" xr:uid="{00000000-0005-0000-0000-00008E240000}"/>
    <cellStyle name="40% - Énfasis1 2 2 3 3 2" xfId="9408" xr:uid="{00000000-0005-0000-0000-00008F240000}"/>
    <cellStyle name="40% - Énfasis1 2 2 3 4" xfId="9409" xr:uid="{00000000-0005-0000-0000-000090240000}"/>
    <cellStyle name="40% - Énfasis1 2 2 4" xfId="9410" xr:uid="{00000000-0005-0000-0000-000091240000}"/>
    <cellStyle name="40% - Énfasis1 2 2 4 2" xfId="9411" xr:uid="{00000000-0005-0000-0000-000092240000}"/>
    <cellStyle name="40% - Énfasis1 2 2 5" xfId="9412" xr:uid="{00000000-0005-0000-0000-000093240000}"/>
    <cellStyle name="40% - Énfasis1 2 2 5 2" xfId="9413" xr:uid="{00000000-0005-0000-0000-000094240000}"/>
    <cellStyle name="40% - Énfasis1 2 2 6" xfId="9414" xr:uid="{00000000-0005-0000-0000-000095240000}"/>
    <cellStyle name="40% - Énfasis1 2 20" xfId="9415" xr:uid="{00000000-0005-0000-0000-000096240000}"/>
    <cellStyle name="40% - Énfasis1 2 21" xfId="9416" xr:uid="{00000000-0005-0000-0000-000097240000}"/>
    <cellStyle name="40% - Énfasis1 2 22" xfId="9417" xr:uid="{00000000-0005-0000-0000-000098240000}"/>
    <cellStyle name="40% - Énfasis1 2 23" xfId="9418" xr:uid="{00000000-0005-0000-0000-000099240000}"/>
    <cellStyle name="40% - Énfasis1 2 24" xfId="9419" xr:uid="{00000000-0005-0000-0000-00009A240000}"/>
    <cellStyle name="40% - Énfasis1 2 25" xfId="9420" xr:uid="{00000000-0005-0000-0000-00009B240000}"/>
    <cellStyle name="40% - Énfasis1 2 26" xfId="9421" xr:uid="{00000000-0005-0000-0000-00009C240000}"/>
    <cellStyle name="40% - Énfasis1 2 27" xfId="9422" xr:uid="{00000000-0005-0000-0000-00009D240000}"/>
    <cellStyle name="40% - Énfasis1 2 28" xfId="9423" xr:uid="{00000000-0005-0000-0000-00009E240000}"/>
    <cellStyle name="40% - Énfasis1 2 29" xfId="9424" xr:uid="{00000000-0005-0000-0000-00009F240000}"/>
    <cellStyle name="40% - Énfasis1 2 3" xfId="9425" xr:uid="{00000000-0005-0000-0000-0000A0240000}"/>
    <cellStyle name="40% - Énfasis1 2 3 2" xfId="9426" xr:uid="{00000000-0005-0000-0000-0000A1240000}"/>
    <cellStyle name="40% - Énfasis1 2 3 2 2" xfId="9427" xr:uid="{00000000-0005-0000-0000-0000A2240000}"/>
    <cellStyle name="40% - Énfasis1 2 3 2 2 2" xfId="9428" xr:uid="{00000000-0005-0000-0000-0000A3240000}"/>
    <cellStyle name="40% - Énfasis1 2 3 2 3" xfId="9429" xr:uid="{00000000-0005-0000-0000-0000A4240000}"/>
    <cellStyle name="40% - Énfasis1 2 3 2 3 2" xfId="9430" xr:uid="{00000000-0005-0000-0000-0000A5240000}"/>
    <cellStyle name="40% - Énfasis1 2 3 2 4" xfId="9431" xr:uid="{00000000-0005-0000-0000-0000A6240000}"/>
    <cellStyle name="40% - Énfasis1 2 3 3" xfId="9432" xr:uid="{00000000-0005-0000-0000-0000A7240000}"/>
    <cellStyle name="40% - Énfasis1 2 3 3 2" xfId="9433" xr:uid="{00000000-0005-0000-0000-0000A8240000}"/>
    <cellStyle name="40% - Énfasis1 2 3 4" xfId="9434" xr:uid="{00000000-0005-0000-0000-0000A9240000}"/>
    <cellStyle name="40% - Énfasis1 2 3 4 2" xfId="9435" xr:uid="{00000000-0005-0000-0000-0000AA240000}"/>
    <cellStyle name="40% - Énfasis1 2 3 5" xfId="9436" xr:uid="{00000000-0005-0000-0000-0000AB240000}"/>
    <cellStyle name="40% - Énfasis1 2 30" xfId="9437" xr:uid="{00000000-0005-0000-0000-0000AC240000}"/>
    <cellStyle name="40% - Énfasis1 2 31" xfId="9438" xr:uid="{00000000-0005-0000-0000-0000AD240000}"/>
    <cellStyle name="40% - Énfasis1 2 32" xfId="9439" xr:uid="{00000000-0005-0000-0000-0000AE240000}"/>
    <cellStyle name="40% - Énfasis1 2 33" xfId="9440" xr:uid="{00000000-0005-0000-0000-0000AF240000}"/>
    <cellStyle name="40% - Énfasis1 2 34" xfId="9441" xr:uid="{00000000-0005-0000-0000-0000B0240000}"/>
    <cellStyle name="40% - Énfasis1 2 35" xfId="9442" xr:uid="{00000000-0005-0000-0000-0000B1240000}"/>
    <cellStyle name="40% - Énfasis1 2 36" xfId="9443" xr:uid="{00000000-0005-0000-0000-0000B2240000}"/>
    <cellStyle name="40% - Énfasis1 2 37" xfId="9444" xr:uid="{00000000-0005-0000-0000-0000B3240000}"/>
    <cellStyle name="40% - Énfasis1 2 38" xfId="9445" xr:uid="{00000000-0005-0000-0000-0000B4240000}"/>
    <cellStyle name="40% - Énfasis1 2 4" xfId="9446" xr:uid="{00000000-0005-0000-0000-0000B5240000}"/>
    <cellStyle name="40% - Énfasis1 2 4 2" xfId="9447" xr:uid="{00000000-0005-0000-0000-0000B6240000}"/>
    <cellStyle name="40% - Énfasis1 2 4 2 2" xfId="9448" xr:uid="{00000000-0005-0000-0000-0000B7240000}"/>
    <cellStyle name="40% - Énfasis1 2 4 3" xfId="9449" xr:uid="{00000000-0005-0000-0000-0000B8240000}"/>
    <cellStyle name="40% - Énfasis1 2 4 3 2" xfId="9450" xr:uid="{00000000-0005-0000-0000-0000B9240000}"/>
    <cellStyle name="40% - Énfasis1 2 4 4" xfId="9451" xr:uid="{00000000-0005-0000-0000-0000BA240000}"/>
    <cellStyle name="40% - Énfasis1 2 5" xfId="9452" xr:uid="{00000000-0005-0000-0000-0000BB240000}"/>
    <cellStyle name="40% - Énfasis1 2 5 2" xfId="9453" xr:uid="{00000000-0005-0000-0000-0000BC240000}"/>
    <cellStyle name="40% - Énfasis1 2 6" xfId="9454" xr:uid="{00000000-0005-0000-0000-0000BD240000}"/>
    <cellStyle name="40% - Énfasis1 2 6 2" xfId="9455" xr:uid="{00000000-0005-0000-0000-0000BE240000}"/>
    <cellStyle name="40% - Énfasis1 2 7" xfId="9456" xr:uid="{00000000-0005-0000-0000-0000BF240000}"/>
    <cellStyle name="40% - Énfasis1 2 8" xfId="9457" xr:uid="{00000000-0005-0000-0000-0000C0240000}"/>
    <cellStyle name="40% - Énfasis1 2 9" xfId="9458" xr:uid="{00000000-0005-0000-0000-0000C1240000}"/>
    <cellStyle name="40% - Énfasis1 3" xfId="9459" xr:uid="{00000000-0005-0000-0000-0000C2240000}"/>
    <cellStyle name="40% - Énfasis1 3 10" xfId="9460" xr:uid="{00000000-0005-0000-0000-0000C3240000}"/>
    <cellStyle name="40% - Énfasis1 3 11" xfId="9461" xr:uid="{00000000-0005-0000-0000-0000C4240000}"/>
    <cellStyle name="40% - Énfasis1 3 12" xfId="9462" xr:uid="{00000000-0005-0000-0000-0000C5240000}"/>
    <cellStyle name="40% - Énfasis1 3 13" xfId="9463" xr:uid="{00000000-0005-0000-0000-0000C6240000}"/>
    <cellStyle name="40% - Énfasis1 3 14" xfId="9464" xr:uid="{00000000-0005-0000-0000-0000C7240000}"/>
    <cellStyle name="40% - Énfasis1 3 15" xfId="9465" xr:uid="{00000000-0005-0000-0000-0000C8240000}"/>
    <cellStyle name="40% - Énfasis1 3 16" xfId="9466" xr:uid="{00000000-0005-0000-0000-0000C9240000}"/>
    <cellStyle name="40% - Énfasis1 3 17" xfId="9467" xr:uid="{00000000-0005-0000-0000-0000CA240000}"/>
    <cellStyle name="40% - Énfasis1 3 18" xfId="9468" xr:uid="{00000000-0005-0000-0000-0000CB240000}"/>
    <cellStyle name="40% - Énfasis1 3 19" xfId="9469" xr:uid="{00000000-0005-0000-0000-0000CC240000}"/>
    <cellStyle name="40% - Énfasis1 3 2" xfId="9470" xr:uid="{00000000-0005-0000-0000-0000CD240000}"/>
    <cellStyle name="40% - Énfasis1 3 2 2" xfId="9471" xr:uid="{00000000-0005-0000-0000-0000CE240000}"/>
    <cellStyle name="40% - Énfasis1 3 2 2 2" xfId="9472" xr:uid="{00000000-0005-0000-0000-0000CF240000}"/>
    <cellStyle name="40% - Énfasis1 3 2 2 2 2" xfId="9473" xr:uid="{00000000-0005-0000-0000-0000D0240000}"/>
    <cellStyle name="40% - Énfasis1 3 2 2 2 2 2" xfId="9474" xr:uid="{00000000-0005-0000-0000-0000D1240000}"/>
    <cellStyle name="40% - Énfasis1 3 2 2 2 3" xfId="9475" xr:uid="{00000000-0005-0000-0000-0000D2240000}"/>
    <cellStyle name="40% - Énfasis1 3 2 2 2 3 2" xfId="9476" xr:uid="{00000000-0005-0000-0000-0000D3240000}"/>
    <cellStyle name="40% - Énfasis1 3 2 2 2 4" xfId="9477" xr:uid="{00000000-0005-0000-0000-0000D4240000}"/>
    <cellStyle name="40% - Énfasis1 3 2 2 3" xfId="9478" xr:uid="{00000000-0005-0000-0000-0000D5240000}"/>
    <cellStyle name="40% - Énfasis1 3 2 2 3 2" xfId="9479" xr:uid="{00000000-0005-0000-0000-0000D6240000}"/>
    <cellStyle name="40% - Énfasis1 3 2 2 4" xfId="9480" xr:uid="{00000000-0005-0000-0000-0000D7240000}"/>
    <cellStyle name="40% - Énfasis1 3 2 2 4 2" xfId="9481" xr:uid="{00000000-0005-0000-0000-0000D8240000}"/>
    <cellStyle name="40% - Énfasis1 3 2 2 5" xfId="9482" xr:uid="{00000000-0005-0000-0000-0000D9240000}"/>
    <cellStyle name="40% - Énfasis1 3 2 3" xfId="9483" xr:uid="{00000000-0005-0000-0000-0000DA240000}"/>
    <cellStyle name="40% - Énfasis1 3 2 3 2" xfId="9484" xr:uid="{00000000-0005-0000-0000-0000DB240000}"/>
    <cellStyle name="40% - Énfasis1 3 2 3 2 2" xfId="9485" xr:uid="{00000000-0005-0000-0000-0000DC240000}"/>
    <cellStyle name="40% - Énfasis1 3 2 3 3" xfId="9486" xr:uid="{00000000-0005-0000-0000-0000DD240000}"/>
    <cellStyle name="40% - Énfasis1 3 2 3 3 2" xfId="9487" xr:uid="{00000000-0005-0000-0000-0000DE240000}"/>
    <cellStyle name="40% - Énfasis1 3 2 3 4" xfId="9488" xr:uid="{00000000-0005-0000-0000-0000DF240000}"/>
    <cellStyle name="40% - Énfasis1 3 2 4" xfId="9489" xr:uid="{00000000-0005-0000-0000-0000E0240000}"/>
    <cellStyle name="40% - Énfasis1 3 2 4 2" xfId="9490" xr:uid="{00000000-0005-0000-0000-0000E1240000}"/>
    <cellStyle name="40% - Énfasis1 3 2 5" xfId="9491" xr:uid="{00000000-0005-0000-0000-0000E2240000}"/>
    <cellStyle name="40% - Énfasis1 3 2 5 2" xfId="9492" xr:uid="{00000000-0005-0000-0000-0000E3240000}"/>
    <cellStyle name="40% - Énfasis1 3 2 6" xfId="9493" xr:uid="{00000000-0005-0000-0000-0000E4240000}"/>
    <cellStyle name="40% - Énfasis1 3 20" xfId="9494" xr:uid="{00000000-0005-0000-0000-0000E5240000}"/>
    <cellStyle name="40% - Énfasis1 3 21" xfId="9495" xr:uid="{00000000-0005-0000-0000-0000E6240000}"/>
    <cellStyle name="40% - Énfasis1 3 22" xfId="9496" xr:uid="{00000000-0005-0000-0000-0000E7240000}"/>
    <cellStyle name="40% - Énfasis1 3 23" xfId="9497" xr:uid="{00000000-0005-0000-0000-0000E8240000}"/>
    <cellStyle name="40% - Énfasis1 3 24" xfId="9498" xr:uid="{00000000-0005-0000-0000-0000E9240000}"/>
    <cellStyle name="40% - Énfasis1 3 25" xfId="9499" xr:uid="{00000000-0005-0000-0000-0000EA240000}"/>
    <cellStyle name="40% - Énfasis1 3 26" xfId="9500" xr:uid="{00000000-0005-0000-0000-0000EB240000}"/>
    <cellStyle name="40% - Énfasis1 3 27" xfId="9501" xr:uid="{00000000-0005-0000-0000-0000EC240000}"/>
    <cellStyle name="40% - Énfasis1 3 28" xfId="9502" xr:uid="{00000000-0005-0000-0000-0000ED240000}"/>
    <cellStyle name="40% - Énfasis1 3 29" xfId="9503" xr:uid="{00000000-0005-0000-0000-0000EE240000}"/>
    <cellStyle name="40% - Énfasis1 3 3" xfId="9504" xr:uid="{00000000-0005-0000-0000-0000EF240000}"/>
    <cellStyle name="40% - Énfasis1 3 3 2" xfId="9505" xr:uid="{00000000-0005-0000-0000-0000F0240000}"/>
    <cellStyle name="40% - Énfasis1 3 3 2 2" xfId="9506" xr:uid="{00000000-0005-0000-0000-0000F1240000}"/>
    <cellStyle name="40% - Énfasis1 3 3 2 2 2" xfId="9507" xr:uid="{00000000-0005-0000-0000-0000F2240000}"/>
    <cellStyle name="40% - Énfasis1 3 3 2 3" xfId="9508" xr:uid="{00000000-0005-0000-0000-0000F3240000}"/>
    <cellStyle name="40% - Énfasis1 3 3 2 3 2" xfId="9509" xr:uid="{00000000-0005-0000-0000-0000F4240000}"/>
    <cellStyle name="40% - Énfasis1 3 3 2 4" xfId="9510" xr:uid="{00000000-0005-0000-0000-0000F5240000}"/>
    <cellStyle name="40% - Énfasis1 3 3 3" xfId="9511" xr:uid="{00000000-0005-0000-0000-0000F6240000}"/>
    <cellStyle name="40% - Énfasis1 3 3 3 2" xfId="9512" xr:uid="{00000000-0005-0000-0000-0000F7240000}"/>
    <cellStyle name="40% - Énfasis1 3 3 4" xfId="9513" xr:uid="{00000000-0005-0000-0000-0000F8240000}"/>
    <cellStyle name="40% - Énfasis1 3 3 4 2" xfId="9514" xr:uid="{00000000-0005-0000-0000-0000F9240000}"/>
    <cellStyle name="40% - Énfasis1 3 3 5" xfId="9515" xr:uid="{00000000-0005-0000-0000-0000FA240000}"/>
    <cellStyle name="40% - Énfasis1 3 30" xfId="9516" xr:uid="{00000000-0005-0000-0000-0000FB240000}"/>
    <cellStyle name="40% - Énfasis1 3 31" xfId="9517" xr:uid="{00000000-0005-0000-0000-0000FC240000}"/>
    <cellStyle name="40% - Énfasis1 3 32" xfId="9518" xr:uid="{00000000-0005-0000-0000-0000FD240000}"/>
    <cellStyle name="40% - Énfasis1 3 33" xfId="9519" xr:uid="{00000000-0005-0000-0000-0000FE240000}"/>
    <cellStyle name="40% - Énfasis1 3 34" xfId="9520" xr:uid="{00000000-0005-0000-0000-0000FF240000}"/>
    <cellStyle name="40% - Énfasis1 3 4" xfId="9521" xr:uid="{00000000-0005-0000-0000-000000250000}"/>
    <cellStyle name="40% - Énfasis1 3 4 2" xfId="9522" xr:uid="{00000000-0005-0000-0000-000001250000}"/>
    <cellStyle name="40% - Énfasis1 3 4 2 2" xfId="9523" xr:uid="{00000000-0005-0000-0000-000002250000}"/>
    <cellStyle name="40% - Énfasis1 3 4 3" xfId="9524" xr:uid="{00000000-0005-0000-0000-000003250000}"/>
    <cellStyle name="40% - Énfasis1 3 4 3 2" xfId="9525" xr:uid="{00000000-0005-0000-0000-000004250000}"/>
    <cellStyle name="40% - Énfasis1 3 4 4" xfId="9526" xr:uid="{00000000-0005-0000-0000-000005250000}"/>
    <cellStyle name="40% - Énfasis1 3 5" xfId="9527" xr:uid="{00000000-0005-0000-0000-000006250000}"/>
    <cellStyle name="40% - Énfasis1 3 5 2" xfId="9528" xr:uid="{00000000-0005-0000-0000-000007250000}"/>
    <cellStyle name="40% - Énfasis1 3 6" xfId="9529" xr:uid="{00000000-0005-0000-0000-000008250000}"/>
    <cellStyle name="40% - Énfasis1 3 6 2" xfId="9530" xr:uid="{00000000-0005-0000-0000-000009250000}"/>
    <cellStyle name="40% - Énfasis1 3 7" xfId="9531" xr:uid="{00000000-0005-0000-0000-00000A250000}"/>
    <cellStyle name="40% - Énfasis1 3 8" xfId="9532" xr:uid="{00000000-0005-0000-0000-00000B250000}"/>
    <cellStyle name="40% - Énfasis1 3 9" xfId="9533" xr:uid="{00000000-0005-0000-0000-00000C250000}"/>
    <cellStyle name="40% - Énfasis1 4" xfId="9534" xr:uid="{00000000-0005-0000-0000-00000D250000}"/>
    <cellStyle name="40% - Énfasis1 4 2" xfId="9535" xr:uid="{00000000-0005-0000-0000-00000E250000}"/>
    <cellStyle name="40% - Énfasis1 4 2 2" xfId="9536" xr:uid="{00000000-0005-0000-0000-00000F250000}"/>
    <cellStyle name="40% - Énfasis1 4 2 2 2" xfId="9537" xr:uid="{00000000-0005-0000-0000-000010250000}"/>
    <cellStyle name="40% - Énfasis1 4 2 2 2 2" xfId="9538" xr:uid="{00000000-0005-0000-0000-000011250000}"/>
    <cellStyle name="40% - Énfasis1 4 2 2 2 2 2" xfId="9539" xr:uid="{00000000-0005-0000-0000-000012250000}"/>
    <cellStyle name="40% - Énfasis1 4 2 2 2 3" xfId="9540" xr:uid="{00000000-0005-0000-0000-000013250000}"/>
    <cellStyle name="40% - Énfasis1 4 2 2 2 3 2" xfId="9541" xr:uid="{00000000-0005-0000-0000-000014250000}"/>
    <cellStyle name="40% - Énfasis1 4 2 2 2 4" xfId="9542" xr:uid="{00000000-0005-0000-0000-000015250000}"/>
    <cellStyle name="40% - Énfasis1 4 2 2 3" xfId="9543" xr:uid="{00000000-0005-0000-0000-000016250000}"/>
    <cellStyle name="40% - Énfasis1 4 2 2 3 2" xfId="9544" xr:uid="{00000000-0005-0000-0000-000017250000}"/>
    <cellStyle name="40% - Énfasis1 4 2 2 4" xfId="9545" xr:uid="{00000000-0005-0000-0000-000018250000}"/>
    <cellStyle name="40% - Énfasis1 4 2 2 4 2" xfId="9546" xr:uid="{00000000-0005-0000-0000-000019250000}"/>
    <cellStyle name="40% - Énfasis1 4 2 2 5" xfId="9547" xr:uid="{00000000-0005-0000-0000-00001A250000}"/>
    <cellStyle name="40% - Énfasis1 4 2 3" xfId="9548" xr:uid="{00000000-0005-0000-0000-00001B250000}"/>
    <cellStyle name="40% - Énfasis1 4 2 3 2" xfId="9549" xr:uid="{00000000-0005-0000-0000-00001C250000}"/>
    <cellStyle name="40% - Énfasis1 4 2 3 2 2" xfId="9550" xr:uid="{00000000-0005-0000-0000-00001D250000}"/>
    <cellStyle name="40% - Énfasis1 4 2 3 3" xfId="9551" xr:uid="{00000000-0005-0000-0000-00001E250000}"/>
    <cellStyle name="40% - Énfasis1 4 2 3 3 2" xfId="9552" xr:uid="{00000000-0005-0000-0000-00001F250000}"/>
    <cellStyle name="40% - Énfasis1 4 2 3 4" xfId="9553" xr:uid="{00000000-0005-0000-0000-000020250000}"/>
    <cellStyle name="40% - Énfasis1 4 2 4" xfId="9554" xr:uid="{00000000-0005-0000-0000-000021250000}"/>
    <cellStyle name="40% - Énfasis1 4 2 4 2" xfId="9555" xr:uid="{00000000-0005-0000-0000-000022250000}"/>
    <cellStyle name="40% - Énfasis1 4 2 5" xfId="9556" xr:uid="{00000000-0005-0000-0000-000023250000}"/>
    <cellStyle name="40% - Énfasis1 4 2 5 2" xfId="9557" xr:uid="{00000000-0005-0000-0000-000024250000}"/>
    <cellStyle name="40% - Énfasis1 4 2 6" xfId="9558" xr:uid="{00000000-0005-0000-0000-000025250000}"/>
    <cellStyle name="40% - Énfasis1 4 3" xfId="9559" xr:uid="{00000000-0005-0000-0000-000026250000}"/>
    <cellStyle name="40% - Énfasis1 4 3 2" xfId="9560" xr:uid="{00000000-0005-0000-0000-000027250000}"/>
    <cellStyle name="40% - Énfasis1 4 3 2 2" xfId="9561" xr:uid="{00000000-0005-0000-0000-000028250000}"/>
    <cellStyle name="40% - Énfasis1 4 3 2 2 2" xfId="9562" xr:uid="{00000000-0005-0000-0000-000029250000}"/>
    <cellStyle name="40% - Énfasis1 4 3 2 3" xfId="9563" xr:uid="{00000000-0005-0000-0000-00002A250000}"/>
    <cellStyle name="40% - Énfasis1 4 3 2 3 2" xfId="9564" xr:uid="{00000000-0005-0000-0000-00002B250000}"/>
    <cellStyle name="40% - Énfasis1 4 3 2 4" xfId="9565" xr:uid="{00000000-0005-0000-0000-00002C250000}"/>
    <cellStyle name="40% - Énfasis1 4 3 3" xfId="9566" xr:uid="{00000000-0005-0000-0000-00002D250000}"/>
    <cellStyle name="40% - Énfasis1 4 3 3 2" xfId="9567" xr:uid="{00000000-0005-0000-0000-00002E250000}"/>
    <cellStyle name="40% - Énfasis1 4 3 4" xfId="9568" xr:uid="{00000000-0005-0000-0000-00002F250000}"/>
    <cellStyle name="40% - Énfasis1 4 3 4 2" xfId="9569" xr:uid="{00000000-0005-0000-0000-000030250000}"/>
    <cellStyle name="40% - Énfasis1 4 3 5" xfId="9570" xr:uid="{00000000-0005-0000-0000-000031250000}"/>
    <cellStyle name="40% - Énfasis1 4 4" xfId="9571" xr:uid="{00000000-0005-0000-0000-000032250000}"/>
    <cellStyle name="40% - Énfasis1 4 4 2" xfId="9572" xr:uid="{00000000-0005-0000-0000-000033250000}"/>
    <cellStyle name="40% - Énfasis1 4 4 2 2" xfId="9573" xr:uid="{00000000-0005-0000-0000-000034250000}"/>
    <cellStyle name="40% - Énfasis1 4 4 3" xfId="9574" xr:uid="{00000000-0005-0000-0000-000035250000}"/>
    <cellStyle name="40% - Énfasis1 4 4 3 2" xfId="9575" xr:uid="{00000000-0005-0000-0000-000036250000}"/>
    <cellStyle name="40% - Énfasis1 4 4 4" xfId="9576" xr:uid="{00000000-0005-0000-0000-000037250000}"/>
    <cellStyle name="40% - Énfasis1 4 5" xfId="9577" xr:uid="{00000000-0005-0000-0000-000038250000}"/>
    <cellStyle name="40% - Énfasis1 4 5 2" xfId="9578" xr:uid="{00000000-0005-0000-0000-000039250000}"/>
    <cellStyle name="40% - Énfasis1 4 6" xfId="9579" xr:uid="{00000000-0005-0000-0000-00003A250000}"/>
    <cellStyle name="40% - Énfasis1 4 6 2" xfId="9580" xr:uid="{00000000-0005-0000-0000-00003B250000}"/>
    <cellStyle name="40% - Énfasis1 4 7" xfId="9581" xr:uid="{00000000-0005-0000-0000-00003C250000}"/>
    <cellStyle name="40% - Énfasis1 4 8" xfId="9582" xr:uid="{00000000-0005-0000-0000-00003D250000}"/>
    <cellStyle name="40% - Énfasis1 5" xfId="9583" xr:uid="{00000000-0005-0000-0000-00003E250000}"/>
    <cellStyle name="40% - Énfasis1 5 2" xfId="9584" xr:uid="{00000000-0005-0000-0000-00003F250000}"/>
    <cellStyle name="40% - Énfasis1 5 2 2" xfId="9585" xr:uid="{00000000-0005-0000-0000-000040250000}"/>
    <cellStyle name="40% - Énfasis1 5 2 2 2" xfId="9586" xr:uid="{00000000-0005-0000-0000-000041250000}"/>
    <cellStyle name="40% - Énfasis1 5 2 2 2 2" xfId="9587" xr:uid="{00000000-0005-0000-0000-000042250000}"/>
    <cellStyle name="40% - Énfasis1 5 2 2 2 2 2" xfId="9588" xr:uid="{00000000-0005-0000-0000-000043250000}"/>
    <cellStyle name="40% - Énfasis1 5 2 2 2 3" xfId="9589" xr:uid="{00000000-0005-0000-0000-000044250000}"/>
    <cellStyle name="40% - Énfasis1 5 2 2 2 3 2" xfId="9590" xr:uid="{00000000-0005-0000-0000-000045250000}"/>
    <cellStyle name="40% - Énfasis1 5 2 2 2 4" xfId="9591" xr:uid="{00000000-0005-0000-0000-000046250000}"/>
    <cellStyle name="40% - Énfasis1 5 2 2 3" xfId="9592" xr:uid="{00000000-0005-0000-0000-000047250000}"/>
    <cellStyle name="40% - Énfasis1 5 2 2 3 2" xfId="9593" xr:uid="{00000000-0005-0000-0000-000048250000}"/>
    <cellStyle name="40% - Énfasis1 5 2 2 4" xfId="9594" xr:uid="{00000000-0005-0000-0000-000049250000}"/>
    <cellStyle name="40% - Énfasis1 5 2 2 4 2" xfId="9595" xr:uid="{00000000-0005-0000-0000-00004A250000}"/>
    <cellStyle name="40% - Énfasis1 5 2 2 5" xfId="9596" xr:uid="{00000000-0005-0000-0000-00004B250000}"/>
    <cellStyle name="40% - Énfasis1 5 2 3" xfId="9597" xr:uid="{00000000-0005-0000-0000-00004C250000}"/>
    <cellStyle name="40% - Énfasis1 5 2 3 2" xfId="9598" xr:uid="{00000000-0005-0000-0000-00004D250000}"/>
    <cellStyle name="40% - Énfasis1 5 2 3 2 2" xfId="9599" xr:uid="{00000000-0005-0000-0000-00004E250000}"/>
    <cellStyle name="40% - Énfasis1 5 2 3 3" xfId="9600" xr:uid="{00000000-0005-0000-0000-00004F250000}"/>
    <cellStyle name="40% - Énfasis1 5 2 3 3 2" xfId="9601" xr:uid="{00000000-0005-0000-0000-000050250000}"/>
    <cellStyle name="40% - Énfasis1 5 2 3 4" xfId="9602" xr:uid="{00000000-0005-0000-0000-000051250000}"/>
    <cellStyle name="40% - Énfasis1 5 2 4" xfId="9603" xr:uid="{00000000-0005-0000-0000-000052250000}"/>
    <cellStyle name="40% - Énfasis1 5 2 4 2" xfId="9604" xr:uid="{00000000-0005-0000-0000-000053250000}"/>
    <cellStyle name="40% - Énfasis1 5 2 5" xfId="9605" xr:uid="{00000000-0005-0000-0000-000054250000}"/>
    <cellStyle name="40% - Énfasis1 5 2 5 2" xfId="9606" xr:uid="{00000000-0005-0000-0000-000055250000}"/>
    <cellStyle name="40% - Énfasis1 5 2 6" xfId="9607" xr:uid="{00000000-0005-0000-0000-000056250000}"/>
    <cellStyle name="40% - Énfasis1 5 3" xfId="9608" xr:uid="{00000000-0005-0000-0000-000057250000}"/>
    <cellStyle name="40% - Énfasis1 5 3 2" xfId="9609" xr:uid="{00000000-0005-0000-0000-000058250000}"/>
    <cellStyle name="40% - Énfasis1 5 3 2 2" xfId="9610" xr:uid="{00000000-0005-0000-0000-000059250000}"/>
    <cellStyle name="40% - Énfasis1 5 3 2 2 2" xfId="9611" xr:uid="{00000000-0005-0000-0000-00005A250000}"/>
    <cellStyle name="40% - Énfasis1 5 3 2 3" xfId="9612" xr:uid="{00000000-0005-0000-0000-00005B250000}"/>
    <cellStyle name="40% - Énfasis1 5 3 2 3 2" xfId="9613" xr:uid="{00000000-0005-0000-0000-00005C250000}"/>
    <cellStyle name="40% - Énfasis1 5 3 2 4" xfId="9614" xr:uid="{00000000-0005-0000-0000-00005D250000}"/>
    <cellStyle name="40% - Énfasis1 5 3 3" xfId="9615" xr:uid="{00000000-0005-0000-0000-00005E250000}"/>
    <cellStyle name="40% - Énfasis1 5 3 3 2" xfId="9616" xr:uid="{00000000-0005-0000-0000-00005F250000}"/>
    <cellStyle name="40% - Énfasis1 5 3 4" xfId="9617" xr:uid="{00000000-0005-0000-0000-000060250000}"/>
    <cellStyle name="40% - Énfasis1 5 3 4 2" xfId="9618" xr:uid="{00000000-0005-0000-0000-000061250000}"/>
    <cellStyle name="40% - Énfasis1 5 3 5" xfId="9619" xr:uid="{00000000-0005-0000-0000-000062250000}"/>
    <cellStyle name="40% - Énfasis1 5 4" xfId="9620" xr:uid="{00000000-0005-0000-0000-000063250000}"/>
    <cellStyle name="40% - Énfasis1 5 4 2" xfId="9621" xr:uid="{00000000-0005-0000-0000-000064250000}"/>
    <cellStyle name="40% - Énfasis1 5 4 2 2" xfId="9622" xr:uid="{00000000-0005-0000-0000-000065250000}"/>
    <cellStyle name="40% - Énfasis1 5 4 3" xfId="9623" xr:uid="{00000000-0005-0000-0000-000066250000}"/>
    <cellStyle name="40% - Énfasis1 5 4 3 2" xfId="9624" xr:uid="{00000000-0005-0000-0000-000067250000}"/>
    <cellStyle name="40% - Énfasis1 5 4 4" xfId="9625" xr:uid="{00000000-0005-0000-0000-000068250000}"/>
    <cellStyle name="40% - Énfasis1 5 5" xfId="9626" xr:uid="{00000000-0005-0000-0000-000069250000}"/>
    <cellStyle name="40% - Énfasis1 5 5 2" xfId="9627" xr:uid="{00000000-0005-0000-0000-00006A250000}"/>
    <cellStyle name="40% - Énfasis1 5 6" xfId="9628" xr:uid="{00000000-0005-0000-0000-00006B250000}"/>
    <cellStyle name="40% - Énfasis1 5 6 2" xfId="9629" xr:uid="{00000000-0005-0000-0000-00006C250000}"/>
    <cellStyle name="40% - Énfasis1 5 7" xfId="9630" xr:uid="{00000000-0005-0000-0000-00006D250000}"/>
    <cellStyle name="40% - Énfasis1 6" xfId="9631" xr:uid="{00000000-0005-0000-0000-00006E250000}"/>
    <cellStyle name="40% - Énfasis1 6 2" xfId="9632" xr:uid="{00000000-0005-0000-0000-00006F250000}"/>
    <cellStyle name="40% - Énfasis1 6 2 2" xfId="9633" xr:uid="{00000000-0005-0000-0000-000070250000}"/>
    <cellStyle name="40% - Énfasis1 6 2 2 2" xfId="9634" xr:uid="{00000000-0005-0000-0000-000071250000}"/>
    <cellStyle name="40% - Énfasis1 6 2 2 2 2" xfId="9635" xr:uid="{00000000-0005-0000-0000-000072250000}"/>
    <cellStyle name="40% - Énfasis1 6 2 2 2 2 2" xfId="9636" xr:uid="{00000000-0005-0000-0000-000073250000}"/>
    <cellStyle name="40% - Énfasis1 6 2 2 2 3" xfId="9637" xr:uid="{00000000-0005-0000-0000-000074250000}"/>
    <cellStyle name="40% - Énfasis1 6 2 2 2 3 2" xfId="9638" xr:uid="{00000000-0005-0000-0000-000075250000}"/>
    <cellStyle name="40% - Énfasis1 6 2 2 2 4" xfId="9639" xr:uid="{00000000-0005-0000-0000-000076250000}"/>
    <cellStyle name="40% - Énfasis1 6 2 2 3" xfId="9640" xr:uid="{00000000-0005-0000-0000-000077250000}"/>
    <cellStyle name="40% - Énfasis1 6 2 2 3 2" xfId="9641" xr:uid="{00000000-0005-0000-0000-000078250000}"/>
    <cellStyle name="40% - Énfasis1 6 2 2 4" xfId="9642" xr:uid="{00000000-0005-0000-0000-000079250000}"/>
    <cellStyle name="40% - Énfasis1 6 2 2 4 2" xfId="9643" xr:uid="{00000000-0005-0000-0000-00007A250000}"/>
    <cellStyle name="40% - Énfasis1 6 2 2 5" xfId="9644" xr:uid="{00000000-0005-0000-0000-00007B250000}"/>
    <cellStyle name="40% - Énfasis1 6 2 3" xfId="9645" xr:uid="{00000000-0005-0000-0000-00007C250000}"/>
    <cellStyle name="40% - Énfasis1 6 2 3 2" xfId="9646" xr:uid="{00000000-0005-0000-0000-00007D250000}"/>
    <cellStyle name="40% - Énfasis1 6 2 3 2 2" xfId="9647" xr:uid="{00000000-0005-0000-0000-00007E250000}"/>
    <cellStyle name="40% - Énfasis1 6 2 3 3" xfId="9648" xr:uid="{00000000-0005-0000-0000-00007F250000}"/>
    <cellStyle name="40% - Énfasis1 6 2 3 3 2" xfId="9649" xr:uid="{00000000-0005-0000-0000-000080250000}"/>
    <cellStyle name="40% - Énfasis1 6 2 3 4" xfId="9650" xr:uid="{00000000-0005-0000-0000-000081250000}"/>
    <cellStyle name="40% - Énfasis1 6 2 4" xfId="9651" xr:uid="{00000000-0005-0000-0000-000082250000}"/>
    <cellStyle name="40% - Énfasis1 6 2 4 2" xfId="9652" xr:uid="{00000000-0005-0000-0000-000083250000}"/>
    <cellStyle name="40% - Énfasis1 6 2 5" xfId="9653" xr:uid="{00000000-0005-0000-0000-000084250000}"/>
    <cellStyle name="40% - Énfasis1 6 2 5 2" xfId="9654" xr:uid="{00000000-0005-0000-0000-000085250000}"/>
    <cellStyle name="40% - Énfasis1 6 2 6" xfId="9655" xr:uid="{00000000-0005-0000-0000-000086250000}"/>
    <cellStyle name="40% - Énfasis1 6 3" xfId="9656" xr:uid="{00000000-0005-0000-0000-000087250000}"/>
    <cellStyle name="40% - Énfasis1 6 3 2" xfId="9657" xr:uid="{00000000-0005-0000-0000-000088250000}"/>
    <cellStyle name="40% - Énfasis1 6 3 2 2" xfId="9658" xr:uid="{00000000-0005-0000-0000-000089250000}"/>
    <cellStyle name="40% - Énfasis1 6 3 2 2 2" xfId="9659" xr:uid="{00000000-0005-0000-0000-00008A250000}"/>
    <cellStyle name="40% - Énfasis1 6 3 2 3" xfId="9660" xr:uid="{00000000-0005-0000-0000-00008B250000}"/>
    <cellStyle name="40% - Énfasis1 6 3 2 3 2" xfId="9661" xr:uid="{00000000-0005-0000-0000-00008C250000}"/>
    <cellStyle name="40% - Énfasis1 6 3 2 4" xfId="9662" xr:uid="{00000000-0005-0000-0000-00008D250000}"/>
    <cellStyle name="40% - Énfasis1 6 3 3" xfId="9663" xr:uid="{00000000-0005-0000-0000-00008E250000}"/>
    <cellStyle name="40% - Énfasis1 6 3 3 2" xfId="9664" xr:uid="{00000000-0005-0000-0000-00008F250000}"/>
    <cellStyle name="40% - Énfasis1 6 3 4" xfId="9665" xr:uid="{00000000-0005-0000-0000-000090250000}"/>
    <cellStyle name="40% - Énfasis1 6 3 4 2" xfId="9666" xr:uid="{00000000-0005-0000-0000-000091250000}"/>
    <cellStyle name="40% - Énfasis1 6 3 5" xfId="9667" xr:uid="{00000000-0005-0000-0000-000092250000}"/>
    <cellStyle name="40% - Énfasis1 6 4" xfId="9668" xr:uid="{00000000-0005-0000-0000-000093250000}"/>
    <cellStyle name="40% - Énfasis1 6 4 2" xfId="9669" xr:uid="{00000000-0005-0000-0000-000094250000}"/>
    <cellStyle name="40% - Énfasis1 6 4 2 2" xfId="9670" xr:uid="{00000000-0005-0000-0000-000095250000}"/>
    <cellStyle name="40% - Énfasis1 6 4 3" xfId="9671" xr:uid="{00000000-0005-0000-0000-000096250000}"/>
    <cellStyle name="40% - Énfasis1 6 4 3 2" xfId="9672" xr:uid="{00000000-0005-0000-0000-000097250000}"/>
    <cellStyle name="40% - Énfasis1 6 4 4" xfId="9673" xr:uid="{00000000-0005-0000-0000-000098250000}"/>
    <cellStyle name="40% - Énfasis1 6 5" xfId="9674" xr:uid="{00000000-0005-0000-0000-000099250000}"/>
    <cellStyle name="40% - Énfasis1 6 5 2" xfId="9675" xr:uid="{00000000-0005-0000-0000-00009A250000}"/>
    <cellStyle name="40% - Énfasis1 6 6" xfId="9676" xr:uid="{00000000-0005-0000-0000-00009B250000}"/>
    <cellStyle name="40% - Énfasis1 6 6 2" xfId="9677" xr:uid="{00000000-0005-0000-0000-00009C250000}"/>
    <cellStyle name="40% - Énfasis1 6 7" xfId="9678" xr:uid="{00000000-0005-0000-0000-00009D250000}"/>
    <cellStyle name="40% - Énfasis1 7" xfId="9679" xr:uid="{00000000-0005-0000-0000-00009E250000}"/>
    <cellStyle name="40% - Énfasis1 7 2" xfId="9680" xr:uid="{00000000-0005-0000-0000-00009F250000}"/>
    <cellStyle name="40% - Énfasis1 7 2 2" xfId="9681" xr:uid="{00000000-0005-0000-0000-0000A0250000}"/>
    <cellStyle name="40% - Énfasis1 7 2 2 2" xfId="9682" xr:uid="{00000000-0005-0000-0000-0000A1250000}"/>
    <cellStyle name="40% - Énfasis1 7 2 2 2 2" xfId="9683" xr:uid="{00000000-0005-0000-0000-0000A2250000}"/>
    <cellStyle name="40% - Énfasis1 7 2 2 3" xfId="9684" xr:uid="{00000000-0005-0000-0000-0000A3250000}"/>
    <cellStyle name="40% - Énfasis1 7 2 2 3 2" xfId="9685" xr:uid="{00000000-0005-0000-0000-0000A4250000}"/>
    <cellStyle name="40% - Énfasis1 7 2 2 4" xfId="9686" xr:uid="{00000000-0005-0000-0000-0000A5250000}"/>
    <cellStyle name="40% - Énfasis1 7 2 3" xfId="9687" xr:uid="{00000000-0005-0000-0000-0000A6250000}"/>
    <cellStyle name="40% - Énfasis1 7 2 3 2" xfId="9688" xr:uid="{00000000-0005-0000-0000-0000A7250000}"/>
    <cellStyle name="40% - Énfasis1 7 2 4" xfId="9689" xr:uid="{00000000-0005-0000-0000-0000A8250000}"/>
    <cellStyle name="40% - Énfasis1 7 2 4 2" xfId="9690" xr:uid="{00000000-0005-0000-0000-0000A9250000}"/>
    <cellStyle name="40% - Énfasis1 7 2 5" xfId="9691" xr:uid="{00000000-0005-0000-0000-0000AA250000}"/>
    <cellStyle name="40% - Énfasis1 7 3" xfId="9692" xr:uid="{00000000-0005-0000-0000-0000AB250000}"/>
    <cellStyle name="40% - Énfasis1 7 3 2" xfId="9693" xr:uid="{00000000-0005-0000-0000-0000AC250000}"/>
    <cellStyle name="40% - Énfasis1 7 3 2 2" xfId="9694" xr:uid="{00000000-0005-0000-0000-0000AD250000}"/>
    <cellStyle name="40% - Énfasis1 7 3 3" xfId="9695" xr:uid="{00000000-0005-0000-0000-0000AE250000}"/>
    <cellStyle name="40% - Énfasis1 7 3 3 2" xfId="9696" xr:uid="{00000000-0005-0000-0000-0000AF250000}"/>
    <cellStyle name="40% - Énfasis1 7 3 4" xfId="9697" xr:uid="{00000000-0005-0000-0000-0000B0250000}"/>
    <cellStyle name="40% - Énfasis1 7 4" xfId="9698" xr:uid="{00000000-0005-0000-0000-0000B1250000}"/>
    <cellStyle name="40% - Énfasis1 7 4 2" xfId="9699" xr:uid="{00000000-0005-0000-0000-0000B2250000}"/>
    <cellStyle name="40% - Énfasis1 7 5" xfId="9700" xr:uid="{00000000-0005-0000-0000-0000B3250000}"/>
    <cellStyle name="40% - Énfasis1 7 5 2" xfId="9701" xr:uid="{00000000-0005-0000-0000-0000B4250000}"/>
    <cellStyle name="40% - Énfasis1 7 6" xfId="9702" xr:uid="{00000000-0005-0000-0000-0000B5250000}"/>
    <cellStyle name="40% - Énfasis1 8" xfId="9703" xr:uid="{00000000-0005-0000-0000-0000B6250000}"/>
    <cellStyle name="40% - Énfasis1 8 2" xfId="9704" xr:uid="{00000000-0005-0000-0000-0000B7250000}"/>
    <cellStyle name="40% - Énfasis1 8 2 2" xfId="9705" xr:uid="{00000000-0005-0000-0000-0000B8250000}"/>
    <cellStyle name="40% - Énfasis1 8 2 2 2" xfId="9706" xr:uid="{00000000-0005-0000-0000-0000B9250000}"/>
    <cellStyle name="40% - Énfasis1 8 2 2 2 2" xfId="9707" xr:uid="{00000000-0005-0000-0000-0000BA250000}"/>
    <cellStyle name="40% - Énfasis1 8 2 2 3" xfId="9708" xr:uid="{00000000-0005-0000-0000-0000BB250000}"/>
    <cellStyle name="40% - Énfasis1 8 2 2 3 2" xfId="9709" xr:uid="{00000000-0005-0000-0000-0000BC250000}"/>
    <cellStyle name="40% - Énfasis1 8 2 2 4" xfId="9710" xr:uid="{00000000-0005-0000-0000-0000BD250000}"/>
    <cellStyle name="40% - Énfasis1 8 2 3" xfId="9711" xr:uid="{00000000-0005-0000-0000-0000BE250000}"/>
    <cellStyle name="40% - Énfasis1 8 2 3 2" xfId="9712" xr:uid="{00000000-0005-0000-0000-0000BF250000}"/>
    <cellStyle name="40% - Énfasis1 8 2 4" xfId="9713" xr:uid="{00000000-0005-0000-0000-0000C0250000}"/>
    <cellStyle name="40% - Énfasis1 8 2 4 2" xfId="9714" xr:uid="{00000000-0005-0000-0000-0000C1250000}"/>
    <cellStyle name="40% - Énfasis1 8 2 5" xfId="9715" xr:uid="{00000000-0005-0000-0000-0000C2250000}"/>
    <cellStyle name="40% - Énfasis1 8 3" xfId="9716" xr:uid="{00000000-0005-0000-0000-0000C3250000}"/>
    <cellStyle name="40% - Énfasis1 8 3 2" xfId="9717" xr:uid="{00000000-0005-0000-0000-0000C4250000}"/>
    <cellStyle name="40% - Énfasis1 8 3 2 2" xfId="9718" xr:uid="{00000000-0005-0000-0000-0000C5250000}"/>
    <cellStyle name="40% - Énfasis1 8 3 3" xfId="9719" xr:uid="{00000000-0005-0000-0000-0000C6250000}"/>
    <cellStyle name="40% - Énfasis1 8 3 3 2" xfId="9720" xr:uid="{00000000-0005-0000-0000-0000C7250000}"/>
    <cellStyle name="40% - Énfasis1 8 3 4" xfId="9721" xr:uid="{00000000-0005-0000-0000-0000C8250000}"/>
    <cellStyle name="40% - Énfasis1 8 4" xfId="9722" xr:uid="{00000000-0005-0000-0000-0000C9250000}"/>
    <cellStyle name="40% - Énfasis1 8 4 2" xfId="9723" xr:uid="{00000000-0005-0000-0000-0000CA250000}"/>
    <cellStyle name="40% - Énfasis1 8 5" xfId="9724" xr:uid="{00000000-0005-0000-0000-0000CB250000}"/>
    <cellStyle name="40% - Énfasis1 8 5 2" xfId="9725" xr:uid="{00000000-0005-0000-0000-0000CC250000}"/>
    <cellStyle name="40% - Énfasis1 8 6" xfId="9726" xr:uid="{00000000-0005-0000-0000-0000CD250000}"/>
    <cellStyle name="40% - Énfasis1 9" xfId="9727" xr:uid="{00000000-0005-0000-0000-0000CE250000}"/>
    <cellStyle name="40% - Énfasis1 9 2" xfId="9728" xr:uid="{00000000-0005-0000-0000-0000CF250000}"/>
    <cellStyle name="40% - Énfasis1 9 2 2" xfId="9729" xr:uid="{00000000-0005-0000-0000-0000D0250000}"/>
    <cellStyle name="40% - Énfasis1 9 2 2 2" xfId="9730" xr:uid="{00000000-0005-0000-0000-0000D1250000}"/>
    <cellStyle name="40% - Énfasis1 9 2 3" xfId="9731" xr:uid="{00000000-0005-0000-0000-0000D2250000}"/>
    <cellStyle name="40% - Énfasis1 9 2 3 2" xfId="9732" xr:uid="{00000000-0005-0000-0000-0000D3250000}"/>
    <cellStyle name="40% - Énfasis1 9 2 4" xfId="9733" xr:uid="{00000000-0005-0000-0000-0000D4250000}"/>
    <cellStyle name="40% - Énfasis1 9 3" xfId="9734" xr:uid="{00000000-0005-0000-0000-0000D5250000}"/>
    <cellStyle name="40% - Énfasis1 9 3 2" xfId="9735" xr:uid="{00000000-0005-0000-0000-0000D6250000}"/>
    <cellStyle name="40% - Énfasis1 9 4" xfId="9736" xr:uid="{00000000-0005-0000-0000-0000D7250000}"/>
    <cellStyle name="40% - Énfasis1 9 4 2" xfId="9737" xr:uid="{00000000-0005-0000-0000-0000D8250000}"/>
    <cellStyle name="40% - Énfasis1 9 5" xfId="9738" xr:uid="{00000000-0005-0000-0000-0000D9250000}"/>
    <cellStyle name="40% - Énfasis2" xfId="15" builtinId="35" customBuiltin="1"/>
    <cellStyle name="40% - Énfasis2 10" xfId="9739" xr:uid="{00000000-0005-0000-0000-0000DB250000}"/>
    <cellStyle name="40% - Énfasis2 10 2" xfId="9740" xr:uid="{00000000-0005-0000-0000-0000DC250000}"/>
    <cellStyle name="40% - Énfasis2 10 2 2" xfId="9741" xr:uid="{00000000-0005-0000-0000-0000DD250000}"/>
    <cellStyle name="40% - Énfasis2 10 3" xfId="9742" xr:uid="{00000000-0005-0000-0000-0000DE250000}"/>
    <cellStyle name="40% - Énfasis2 10 3 2" xfId="9743" xr:uid="{00000000-0005-0000-0000-0000DF250000}"/>
    <cellStyle name="40% - Énfasis2 10 4" xfId="9744" xr:uid="{00000000-0005-0000-0000-0000E0250000}"/>
    <cellStyle name="40% - Énfasis2 11" xfId="9745" xr:uid="{00000000-0005-0000-0000-0000E1250000}"/>
    <cellStyle name="40% - Énfasis2 11 2" xfId="9746" xr:uid="{00000000-0005-0000-0000-0000E2250000}"/>
    <cellStyle name="40% - Énfasis2 12" xfId="9747" xr:uid="{00000000-0005-0000-0000-0000E3250000}"/>
    <cellStyle name="40% - Énfasis2 12 2" xfId="9748" xr:uid="{00000000-0005-0000-0000-0000E4250000}"/>
    <cellStyle name="40% - Énfasis2 13" xfId="9749" xr:uid="{00000000-0005-0000-0000-0000E5250000}"/>
    <cellStyle name="40% - Énfasis2 14" xfId="9750" xr:uid="{00000000-0005-0000-0000-0000E6250000}"/>
    <cellStyle name="40% - Énfasis2 15" xfId="9751" xr:uid="{00000000-0005-0000-0000-0000E7250000}"/>
    <cellStyle name="40% - Énfasis2 16" xfId="9752" xr:uid="{00000000-0005-0000-0000-0000E8250000}"/>
    <cellStyle name="40% - Énfasis2 2" xfId="16" xr:uid="{00000000-0005-0000-0000-0000E9250000}"/>
    <cellStyle name="40% - Énfasis2 2 10" xfId="9753" xr:uid="{00000000-0005-0000-0000-0000EA250000}"/>
    <cellStyle name="40% - Énfasis2 2 11" xfId="9754" xr:uid="{00000000-0005-0000-0000-0000EB250000}"/>
    <cellStyle name="40% - Énfasis2 2 12" xfId="9755" xr:uid="{00000000-0005-0000-0000-0000EC250000}"/>
    <cellStyle name="40% - Énfasis2 2 13" xfId="9756" xr:uid="{00000000-0005-0000-0000-0000ED250000}"/>
    <cellStyle name="40% - Énfasis2 2 14" xfId="9757" xr:uid="{00000000-0005-0000-0000-0000EE250000}"/>
    <cellStyle name="40% - Énfasis2 2 15" xfId="9758" xr:uid="{00000000-0005-0000-0000-0000EF250000}"/>
    <cellStyle name="40% - Énfasis2 2 16" xfId="9759" xr:uid="{00000000-0005-0000-0000-0000F0250000}"/>
    <cellStyle name="40% - Énfasis2 2 17" xfId="9760" xr:uid="{00000000-0005-0000-0000-0000F1250000}"/>
    <cellStyle name="40% - Énfasis2 2 18" xfId="9761" xr:uid="{00000000-0005-0000-0000-0000F2250000}"/>
    <cellStyle name="40% - Énfasis2 2 19" xfId="9762" xr:uid="{00000000-0005-0000-0000-0000F3250000}"/>
    <cellStyle name="40% - Énfasis2 2 2" xfId="9763" xr:uid="{00000000-0005-0000-0000-0000F4250000}"/>
    <cellStyle name="40% - Énfasis2 2 2 2" xfId="9764" xr:uid="{00000000-0005-0000-0000-0000F5250000}"/>
    <cellStyle name="40% - Énfasis2 2 2 2 2" xfId="9765" xr:uid="{00000000-0005-0000-0000-0000F6250000}"/>
    <cellStyle name="40% - Énfasis2 2 2 2 2 2" xfId="9766" xr:uid="{00000000-0005-0000-0000-0000F7250000}"/>
    <cellStyle name="40% - Énfasis2 2 2 2 2 2 2" xfId="9767" xr:uid="{00000000-0005-0000-0000-0000F8250000}"/>
    <cellStyle name="40% - Énfasis2 2 2 2 2 3" xfId="9768" xr:uid="{00000000-0005-0000-0000-0000F9250000}"/>
    <cellStyle name="40% - Énfasis2 2 2 2 2 3 2" xfId="9769" xr:uid="{00000000-0005-0000-0000-0000FA250000}"/>
    <cellStyle name="40% - Énfasis2 2 2 2 2 4" xfId="9770" xr:uid="{00000000-0005-0000-0000-0000FB250000}"/>
    <cellStyle name="40% - Énfasis2 2 2 2 3" xfId="9771" xr:uid="{00000000-0005-0000-0000-0000FC250000}"/>
    <cellStyle name="40% - Énfasis2 2 2 2 3 2" xfId="9772" xr:uid="{00000000-0005-0000-0000-0000FD250000}"/>
    <cellStyle name="40% - Énfasis2 2 2 2 4" xfId="9773" xr:uid="{00000000-0005-0000-0000-0000FE250000}"/>
    <cellStyle name="40% - Énfasis2 2 2 2 4 2" xfId="9774" xr:uid="{00000000-0005-0000-0000-0000FF250000}"/>
    <cellStyle name="40% - Énfasis2 2 2 2 5" xfId="9775" xr:uid="{00000000-0005-0000-0000-000000260000}"/>
    <cellStyle name="40% - Énfasis2 2 2 3" xfId="9776" xr:uid="{00000000-0005-0000-0000-000001260000}"/>
    <cellStyle name="40% - Énfasis2 2 2 3 2" xfId="9777" xr:uid="{00000000-0005-0000-0000-000002260000}"/>
    <cellStyle name="40% - Énfasis2 2 2 3 2 2" xfId="9778" xr:uid="{00000000-0005-0000-0000-000003260000}"/>
    <cellStyle name="40% - Énfasis2 2 2 3 3" xfId="9779" xr:uid="{00000000-0005-0000-0000-000004260000}"/>
    <cellStyle name="40% - Énfasis2 2 2 3 3 2" xfId="9780" xr:uid="{00000000-0005-0000-0000-000005260000}"/>
    <cellStyle name="40% - Énfasis2 2 2 3 4" xfId="9781" xr:uid="{00000000-0005-0000-0000-000006260000}"/>
    <cellStyle name="40% - Énfasis2 2 2 4" xfId="9782" xr:uid="{00000000-0005-0000-0000-000007260000}"/>
    <cellStyle name="40% - Énfasis2 2 2 4 2" xfId="9783" xr:uid="{00000000-0005-0000-0000-000008260000}"/>
    <cellStyle name="40% - Énfasis2 2 2 5" xfId="9784" xr:uid="{00000000-0005-0000-0000-000009260000}"/>
    <cellStyle name="40% - Énfasis2 2 2 5 2" xfId="9785" xr:uid="{00000000-0005-0000-0000-00000A260000}"/>
    <cellStyle name="40% - Énfasis2 2 2 6" xfId="9786" xr:uid="{00000000-0005-0000-0000-00000B260000}"/>
    <cellStyle name="40% - Énfasis2 2 20" xfId="9787" xr:uid="{00000000-0005-0000-0000-00000C260000}"/>
    <cellStyle name="40% - Énfasis2 2 21" xfId="9788" xr:uid="{00000000-0005-0000-0000-00000D260000}"/>
    <cellStyle name="40% - Énfasis2 2 22" xfId="9789" xr:uid="{00000000-0005-0000-0000-00000E260000}"/>
    <cellStyle name="40% - Énfasis2 2 23" xfId="9790" xr:uid="{00000000-0005-0000-0000-00000F260000}"/>
    <cellStyle name="40% - Énfasis2 2 24" xfId="9791" xr:uid="{00000000-0005-0000-0000-000010260000}"/>
    <cellStyle name="40% - Énfasis2 2 25" xfId="9792" xr:uid="{00000000-0005-0000-0000-000011260000}"/>
    <cellStyle name="40% - Énfasis2 2 26" xfId="9793" xr:uid="{00000000-0005-0000-0000-000012260000}"/>
    <cellStyle name="40% - Énfasis2 2 27" xfId="9794" xr:uid="{00000000-0005-0000-0000-000013260000}"/>
    <cellStyle name="40% - Énfasis2 2 28" xfId="9795" xr:uid="{00000000-0005-0000-0000-000014260000}"/>
    <cellStyle name="40% - Énfasis2 2 29" xfId="9796" xr:uid="{00000000-0005-0000-0000-000015260000}"/>
    <cellStyle name="40% - Énfasis2 2 3" xfId="9797" xr:uid="{00000000-0005-0000-0000-000016260000}"/>
    <cellStyle name="40% - Énfasis2 2 3 2" xfId="9798" xr:uid="{00000000-0005-0000-0000-000017260000}"/>
    <cellStyle name="40% - Énfasis2 2 3 2 2" xfId="9799" xr:uid="{00000000-0005-0000-0000-000018260000}"/>
    <cellStyle name="40% - Énfasis2 2 3 2 2 2" xfId="9800" xr:uid="{00000000-0005-0000-0000-000019260000}"/>
    <cellStyle name="40% - Énfasis2 2 3 2 3" xfId="9801" xr:uid="{00000000-0005-0000-0000-00001A260000}"/>
    <cellStyle name="40% - Énfasis2 2 3 2 3 2" xfId="9802" xr:uid="{00000000-0005-0000-0000-00001B260000}"/>
    <cellStyle name="40% - Énfasis2 2 3 2 4" xfId="9803" xr:uid="{00000000-0005-0000-0000-00001C260000}"/>
    <cellStyle name="40% - Énfasis2 2 3 3" xfId="9804" xr:uid="{00000000-0005-0000-0000-00001D260000}"/>
    <cellStyle name="40% - Énfasis2 2 3 3 2" xfId="9805" xr:uid="{00000000-0005-0000-0000-00001E260000}"/>
    <cellStyle name="40% - Énfasis2 2 3 4" xfId="9806" xr:uid="{00000000-0005-0000-0000-00001F260000}"/>
    <cellStyle name="40% - Énfasis2 2 3 4 2" xfId="9807" xr:uid="{00000000-0005-0000-0000-000020260000}"/>
    <cellStyle name="40% - Énfasis2 2 3 5" xfId="9808" xr:uid="{00000000-0005-0000-0000-000021260000}"/>
    <cellStyle name="40% - Énfasis2 2 30" xfId="9809" xr:uid="{00000000-0005-0000-0000-000022260000}"/>
    <cellStyle name="40% - Énfasis2 2 31" xfId="9810" xr:uid="{00000000-0005-0000-0000-000023260000}"/>
    <cellStyle name="40% - Énfasis2 2 32" xfId="9811" xr:uid="{00000000-0005-0000-0000-000024260000}"/>
    <cellStyle name="40% - Énfasis2 2 33" xfId="9812" xr:uid="{00000000-0005-0000-0000-000025260000}"/>
    <cellStyle name="40% - Énfasis2 2 34" xfId="9813" xr:uid="{00000000-0005-0000-0000-000026260000}"/>
    <cellStyle name="40% - Énfasis2 2 35" xfId="9814" xr:uid="{00000000-0005-0000-0000-000027260000}"/>
    <cellStyle name="40% - Énfasis2 2 36" xfId="9815" xr:uid="{00000000-0005-0000-0000-000028260000}"/>
    <cellStyle name="40% - Énfasis2 2 37" xfId="9816" xr:uid="{00000000-0005-0000-0000-000029260000}"/>
    <cellStyle name="40% - Énfasis2 2 38" xfId="9817" xr:uid="{00000000-0005-0000-0000-00002A260000}"/>
    <cellStyle name="40% - Énfasis2 2 4" xfId="9818" xr:uid="{00000000-0005-0000-0000-00002B260000}"/>
    <cellStyle name="40% - Énfasis2 2 4 2" xfId="9819" xr:uid="{00000000-0005-0000-0000-00002C260000}"/>
    <cellStyle name="40% - Énfasis2 2 4 2 2" xfId="9820" xr:uid="{00000000-0005-0000-0000-00002D260000}"/>
    <cellStyle name="40% - Énfasis2 2 4 3" xfId="9821" xr:uid="{00000000-0005-0000-0000-00002E260000}"/>
    <cellStyle name="40% - Énfasis2 2 4 3 2" xfId="9822" xr:uid="{00000000-0005-0000-0000-00002F260000}"/>
    <cellStyle name="40% - Énfasis2 2 4 4" xfId="9823" xr:uid="{00000000-0005-0000-0000-000030260000}"/>
    <cellStyle name="40% - Énfasis2 2 5" xfId="9824" xr:uid="{00000000-0005-0000-0000-000031260000}"/>
    <cellStyle name="40% - Énfasis2 2 5 2" xfId="9825" xr:uid="{00000000-0005-0000-0000-000032260000}"/>
    <cellStyle name="40% - Énfasis2 2 6" xfId="9826" xr:uid="{00000000-0005-0000-0000-000033260000}"/>
    <cellStyle name="40% - Énfasis2 2 6 2" xfId="9827" xr:uid="{00000000-0005-0000-0000-000034260000}"/>
    <cellStyle name="40% - Énfasis2 2 7" xfId="9828" xr:uid="{00000000-0005-0000-0000-000035260000}"/>
    <cellStyle name="40% - Énfasis2 2 8" xfId="9829" xr:uid="{00000000-0005-0000-0000-000036260000}"/>
    <cellStyle name="40% - Énfasis2 2 9" xfId="9830" xr:uid="{00000000-0005-0000-0000-000037260000}"/>
    <cellStyle name="40% - Énfasis2 3" xfId="9831" xr:uid="{00000000-0005-0000-0000-000038260000}"/>
    <cellStyle name="40% - Énfasis2 3 10" xfId="9832" xr:uid="{00000000-0005-0000-0000-000039260000}"/>
    <cellStyle name="40% - Énfasis2 3 11" xfId="9833" xr:uid="{00000000-0005-0000-0000-00003A260000}"/>
    <cellStyle name="40% - Énfasis2 3 12" xfId="9834" xr:uid="{00000000-0005-0000-0000-00003B260000}"/>
    <cellStyle name="40% - Énfasis2 3 13" xfId="9835" xr:uid="{00000000-0005-0000-0000-00003C260000}"/>
    <cellStyle name="40% - Énfasis2 3 14" xfId="9836" xr:uid="{00000000-0005-0000-0000-00003D260000}"/>
    <cellStyle name="40% - Énfasis2 3 15" xfId="9837" xr:uid="{00000000-0005-0000-0000-00003E260000}"/>
    <cellStyle name="40% - Énfasis2 3 16" xfId="9838" xr:uid="{00000000-0005-0000-0000-00003F260000}"/>
    <cellStyle name="40% - Énfasis2 3 17" xfId="9839" xr:uid="{00000000-0005-0000-0000-000040260000}"/>
    <cellStyle name="40% - Énfasis2 3 18" xfId="9840" xr:uid="{00000000-0005-0000-0000-000041260000}"/>
    <cellStyle name="40% - Énfasis2 3 19" xfId="9841" xr:uid="{00000000-0005-0000-0000-000042260000}"/>
    <cellStyle name="40% - Énfasis2 3 2" xfId="9842" xr:uid="{00000000-0005-0000-0000-000043260000}"/>
    <cellStyle name="40% - Énfasis2 3 2 2" xfId="9843" xr:uid="{00000000-0005-0000-0000-000044260000}"/>
    <cellStyle name="40% - Énfasis2 3 2 2 2" xfId="9844" xr:uid="{00000000-0005-0000-0000-000045260000}"/>
    <cellStyle name="40% - Énfasis2 3 2 2 2 2" xfId="9845" xr:uid="{00000000-0005-0000-0000-000046260000}"/>
    <cellStyle name="40% - Énfasis2 3 2 2 2 2 2" xfId="9846" xr:uid="{00000000-0005-0000-0000-000047260000}"/>
    <cellStyle name="40% - Énfasis2 3 2 2 2 3" xfId="9847" xr:uid="{00000000-0005-0000-0000-000048260000}"/>
    <cellStyle name="40% - Énfasis2 3 2 2 2 3 2" xfId="9848" xr:uid="{00000000-0005-0000-0000-000049260000}"/>
    <cellStyle name="40% - Énfasis2 3 2 2 2 4" xfId="9849" xr:uid="{00000000-0005-0000-0000-00004A260000}"/>
    <cellStyle name="40% - Énfasis2 3 2 2 3" xfId="9850" xr:uid="{00000000-0005-0000-0000-00004B260000}"/>
    <cellStyle name="40% - Énfasis2 3 2 2 3 2" xfId="9851" xr:uid="{00000000-0005-0000-0000-00004C260000}"/>
    <cellStyle name="40% - Énfasis2 3 2 2 4" xfId="9852" xr:uid="{00000000-0005-0000-0000-00004D260000}"/>
    <cellStyle name="40% - Énfasis2 3 2 2 4 2" xfId="9853" xr:uid="{00000000-0005-0000-0000-00004E260000}"/>
    <cellStyle name="40% - Énfasis2 3 2 2 5" xfId="9854" xr:uid="{00000000-0005-0000-0000-00004F260000}"/>
    <cellStyle name="40% - Énfasis2 3 2 3" xfId="9855" xr:uid="{00000000-0005-0000-0000-000050260000}"/>
    <cellStyle name="40% - Énfasis2 3 2 3 2" xfId="9856" xr:uid="{00000000-0005-0000-0000-000051260000}"/>
    <cellStyle name="40% - Énfasis2 3 2 3 2 2" xfId="9857" xr:uid="{00000000-0005-0000-0000-000052260000}"/>
    <cellStyle name="40% - Énfasis2 3 2 3 3" xfId="9858" xr:uid="{00000000-0005-0000-0000-000053260000}"/>
    <cellStyle name="40% - Énfasis2 3 2 3 3 2" xfId="9859" xr:uid="{00000000-0005-0000-0000-000054260000}"/>
    <cellStyle name="40% - Énfasis2 3 2 3 4" xfId="9860" xr:uid="{00000000-0005-0000-0000-000055260000}"/>
    <cellStyle name="40% - Énfasis2 3 2 4" xfId="9861" xr:uid="{00000000-0005-0000-0000-000056260000}"/>
    <cellStyle name="40% - Énfasis2 3 2 4 2" xfId="9862" xr:uid="{00000000-0005-0000-0000-000057260000}"/>
    <cellStyle name="40% - Énfasis2 3 2 5" xfId="9863" xr:uid="{00000000-0005-0000-0000-000058260000}"/>
    <cellStyle name="40% - Énfasis2 3 2 5 2" xfId="9864" xr:uid="{00000000-0005-0000-0000-000059260000}"/>
    <cellStyle name="40% - Énfasis2 3 2 6" xfId="9865" xr:uid="{00000000-0005-0000-0000-00005A260000}"/>
    <cellStyle name="40% - Énfasis2 3 20" xfId="9866" xr:uid="{00000000-0005-0000-0000-00005B260000}"/>
    <cellStyle name="40% - Énfasis2 3 21" xfId="9867" xr:uid="{00000000-0005-0000-0000-00005C260000}"/>
    <cellStyle name="40% - Énfasis2 3 22" xfId="9868" xr:uid="{00000000-0005-0000-0000-00005D260000}"/>
    <cellStyle name="40% - Énfasis2 3 23" xfId="9869" xr:uid="{00000000-0005-0000-0000-00005E260000}"/>
    <cellStyle name="40% - Énfasis2 3 24" xfId="9870" xr:uid="{00000000-0005-0000-0000-00005F260000}"/>
    <cellStyle name="40% - Énfasis2 3 25" xfId="9871" xr:uid="{00000000-0005-0000-0000-000060260000}"/>
    <cellStyle name="40% - Énfasis2 3 26" xfId="9872" xr:uid="{00000000-0005-0000-0000-000061260000}"/>
    <cellStyle name="40% - Énfasis2 3 27" xfId="9873" xr:uid="{00000000-0005-0000-0000-000062260000}"/>
    <cellStyle name="40% - Énfasis2 3 28" xfId="9874" xr:uid="{00000000-0005-0000-0000-000063260000}"/>
    <cellStyle name="40% - Énfasis2 3 29" xfId="9875" xr:uid="{00000000-0005-0000-0000-000064260000}"/>
    <cellStyle name="40% - Énfasis2 3 3" xfId="9876" xr:uid="{00000000-0005-0000-0000-000065260000}"/>
    <cellStyle name="40% - Énfasis2 3 3 2" xfId="9877" xr:uid="{00000000-0005-0000-0000-000066260000}"/>
    <cellStyle name="40% - Énfasis2 3 3 2 2" xfId="9878" xr:uid="{00000000-0005-0000-0000-000067260000}"/>
    <cellStyle name="40% - Énfasis2 3 3 2 2 2" xfId="9879" xr:uid="{00000000-0005-0000-0000-000068260000}"/>
    <cellStyle name="40% - Énfasis2 3 3 2 3" xfId="9880" xr:uid="{00000000-0005-0000-0000-000069260000}"/>
    <cellStyle name="40% - Énfasis2 3 3 2 3 2" xfId="9881" xr:uid="{00000000-0005-0000-0000-00006A260000}"/>
    <cellStyle name="40% - Énfasis2 3 3 2 4" xfId="9882" xr:uid="{00000000-0005-0000-0000-00006B260000}"/>
    <cellStyle name="40% - Énfasis2 3 3 3" xfId="9883" xr:uid="{00000000-0005-0000-0000-00006C260000}"/>
    <cellStyle name="40% - Énfasis2 3 3 3 2" xfId="9884" xr:uid="{00000000-0005-0000-0000-00006D260000}"/>
    <cellStyle name="40% - Énfasis2 3 3 4" xfId="9885" xr:uid="{00000000-0005-0000-0000-00006E260000}"/>
    <cellStyle name="40% - Énfasis2 3 3 4 2" xfId="9886" xr:uid="{00000000-0005-0000-0000-00006F260000}"/>
    <cellStyle name="40% - Énfasis2 3 3 5" xfId="9887" xr:uid="{00000000-0005-0000-0000-000070260000}"/>
    <cellStyle name="40% - Énfasis2 3 30" xfId="9888" xr:uid="{00000000-0005-0000-0000-000071260000}"/>
    <cellStyle name="40% - Énfasis2 3 31" xfId="9889" xr:uid="{00000000-0005-0000-0000-000072260000}"/>
    <cellStyle name="40% - Énfasis2 3 32" xfId="9890" xr:uid="{00000000-0005-0000-0000-000073260000}"/>
    <cellStyle name="40% - Énfasis2 3 33" xfId="9891" xr:uid="{00000000-0005-0000-0000-000074260000}"/>
    <cellStyle name="40% - Énfasis2 3 34" xfId="9892" xr:uid="{00000000-0005-0000-0000-000075260000}"/>
    <cellStyle name="40% - Énfasis2 3 4" xfId="9893" xr:uid="{00000000-0005-0000-0000-000076260000}"/>
    <cellStyle name="40% - Énfasis2 3 4 2" xfId="9894" xr:uid="{00000000-0005-0000-0000-000077260000}"/>
    <cellStyle name="40% - Énfasis2 3 4 2 2" xfId="9895" xr:uid="{00000000-0005-0000-0000-000078260000}"/>
    <cellStyle name="40% - Énfasis2 3 4 3" xfId="9896" xr:uid="{00000000-0005-0000-0000-000079260000}"/>
    <cellStyle name="40% - Énfasis2 3 4 3 2" xfId="9897" xr:uid="{00000000-0005-0000-0000-00007A260000}"/>
    <cellStyle name="40% - Énfasis2 3 4 4" xfId="9898" xr:uid="{00000000-0005-0000-0000-00007B260000}"/>
    <cellStyle name="40% - Énfasis2 3 5" xfId="9899" xr:uid="{00000000-0005-0000-0000-00007C260000}"/>
    <cellStyle name="40% - Énfasis2 3 5 2" xfId="9900" xr:uid="{00000000-0005-0000-0000-00007D260000}"/>
    <cellStyle name="40% - Énfasis2 3 6" xfId="9901" xr:uid="{00000000-0005-0000-0000-00007E260000}"/>
    <cellStyle name="40% - Énfasis2 3 6 2" xfId="9902" xr:uid="{00000000-0005-0000-0000-00007F260000}"/>
    <cellStyle name="40% - Énfasis2 3 7" xfId="9903" xr:uid="{00000000-0005-0000-0000-000080260000}"/>
    <cellStyle name="40% - Énfasis2 3 8" xfId="9904" xr:uid="{00000000-0005-0000-0000-000081260000}"/>
    <cellStyle name="40% - Énfasis2 3 9" xfId="9905" xr:uid="{00000000-0005-0000-0000-000082260000}"/>
    <cellStyle name="40% - Énfasis2 4" xfId="9906" xr:uid="{00000000-0005-0000-0000-000083260000}"/>
    <cellStyle name="40% - Énfasis2 4 2" xfId="9907" xr:uid="{00000000-0005-0000-0000-000084260000}"/>
    <cellStyle name="40% - Énfasis2 4 2 2" xfId="9908" xr:uid="{00000000-0005-0000-0000-000085260000}"/>
    <cellStyle name="40% - Énfasis2 4 2 2 2" xfId="9909" xr:uid="{00000000-0005-0000-0000-000086260000}"/>
    <cellStyle name="40% - Énfasis2 4 2 2 2 2" xfId="9910" xr:uid="{00000000-0005-0000-0000-000087260000}"/>
    <cellStyle name="40% - Énfasis2 4 2 2 2 2 2" xfId="9911" xr:uid="{00000000-0005-0000-0000-000088260000}"/>
    <cellStyle name="40% - Énfasis2 4 2 2 2 3" xfId="9912" xr:uid="{00000000-0005-0000-0000-000089260000}"/>
    <cellStyle name="40% - Énfasis2 4 2 2 2 3 2" xfId="9913" xr:uid="{00000000-0005-0000-0000-00008A260000}"/>
    <cellStyle name="40% - Énfasis2 4 2 2 2 4" xfId="9914" xr:uid="{00000000-0005-0000-0000-00008B260000}"/>
    <cellStyle name="40% - Énfasis2 4 2 2 3" xfId="9915" xr:uid="{00000000-0005-0000-0000-00008C260000}"/>
    <cellStyle name="40% - Énfasis2 4 2 2 3 2" xfId="9916" xr:uid="{00000000-0005-0000-0000-00008D260000}"/>
    <cellStyle name="40% - Énfasis2 4 2 2 4" xfId="9917" xr:uid="{00000000-0005-0000-0000-00008E260000}"/>
    <cellStyle name="40% - Énfasis2 4 2 2 4 2" xfId="9918" xr:uid="{00000000-0005-0000-0000-00008F260000}"/>
    <cellStyle name="40% - Énfasis2 4 2 2 5" xfId="9919" xr:uid="{00000000-0005-0000-0000-000090260000}"/>
    <cellStyle name="40% - Énfasis2 4 2 3" xfId="9920" xr:uid="{00000000-0005-0000-0000-000091260000}"/>
    <cellStyle name="40% - Énfasis2 4 2 3 2" xfId="9921" xr:uid="{00000000-0005-0000-0000-000092260000}"/>
    <cellStyle name="40% - Énfasis2 4 2 3 2 2" xfId="9922" xr:uid="{00000000-0005-0000-0000-000093260000}"/>
    <cellStyle name="40% - Énfasis2 4 2 3 3" xfId="9923" xr:uid="{00000000-0005-0000-0000-000094260000}"/>
    <cellStyle name="40% - Énfasis2 4 2 3 3 2" xfId="9924" xr:uid="{00000000-0005-0000-0000-000095260000}"/>
    <cellStyle name="40% - Énfasis2 4 2 3 4" xfId="9925" xr:uid="{00000000-0005-0000-0000-000096260000}"/>
    <cellStyle name="40% - Énfasis2 4 2 4" xfId="9926" xr:uid="{00000000-0005-0000-0000-000097260000}"/>
    <cellStyle name="40% - Énfasis2 4 2 4 2" xfId="9927" xr:uid="{00000000-0005-0000-0000-000098260000}"/>
    <cellStyle name="40% - Énfasis2 4 2 5" xfId="9928" xr:uid="{00000000-0005-0000-0000-000099260000}"/>
    <cellStyle name="40% - Énfasis2 4 2 5 2" xfId="9929" xr:uid="{00000000-0005-0000-0000-00009A260000}"/>
    <cellStyle name="40% - Énfasis2 4 2 6" xfId="9930" xr:uid="{00000000-0005-0000-0000-00009B260000}"/>
    <cellStyle name="40% - Énfasis2 4 3" xfId="9931" xr:uid="{00000000-0005-0000-0000-00009C260000}"/>
    <cellStyle name="40% - Énfasis2 4 3 2" xfId="9932" xr:uid="{00000000-0005-0000-0000-00009D260000}"/>
    <cellStyle name="40% - Énfasis2 4 3 2 2" xfId="9933" xr:uid="{00000000-0005-0000-0000-00009E260000}"/>
    <cellStyle name="40% - Énfasis2 4 3 2 2 2" xfId="9934" xr:uid="{00000000-0005-0000-0000-00009F260000}"/>
    <cellStyle name="40% - Énfasis2 4 3 2 3" xfId="9935" xr:uid="{00000000-0005-0000-0000-0000A0260000}"/>
    <cellStyle name="40% - Énfasis2 4 3 2 3 2" xfId="9936" xr:uid="{00000000-0005-0000-0000-0000A1260000}"/>
    <cellStyle name="40% - Énfasis2 4 3 2 4" xfId="9937" xr:uid="{00000000-0005-0000-0000-0000A2260000}"/>
    <cellStyle name="40% - Énfasis2 4 3 3" xfId="9938" xr:uid="{00000000-0005-0000-0000-0000A3260000}"/>
    <cellStyle name="40% - Énfasis2 4 3 3 2" xfId="9939" xr:uid="{00000000-0005-0000-0000-0000A4260000}"/>
    <cellStyle name="40% - Énfasis2 4 3 4" xfId="9940" xr:uid="{00000000-0005-0000-0000-0000A5260000}"/>
    <cellStyle name="40% - Énfasis2 4 3 4 2" xfId="9941" xr:uid="{00000000-0005-0000-0000-0000A6260000}"/>
    <cellStyle name="40% - Énfasis2 4 3 5" xfId="9942" xr:uid="{00000000-0005-0000-0000-0000A7260000}"/>
    <cellStyle name="40% - Énfasis2 4 4" xfId="9943" xr:uid="{00000000-0005-0000-0000-0000A8260000}"/>
    <cellStyle name="40% - Énfasis2 4 4 2" xfId="9944" xr:uid="{00000000-0005-0000-0000-0000A9260000}"/>
    <cellStyle name="40% - Énfasis2 4 4 2 2" xfId="9945" xr:uid="{00000000-0005-0000-0000-0000AA260000}"/>
    <cellStyle name="40% - Énfasis2 4 4 3" xfId="9946" xr:uid="{00000000-0005-0000-0000-0000AB260000}"/>
    <cellStyle name="40% - Énfasis2 4 4 3 2" xfId="9947" xr:uid="{00000000-0005-0000-0000-0000AC260000}"/>
    <cellStyle name="40% - Énfasis2 4 4 4" xfId="9948" xr:uid="{00000000-0005-0000-0000-0000AD260000}"/>
    <cellStyle name="40% - Énfasis2 4 5" xfId="9949" xr:uid="{00000000-0005-0000-0000-0000AE260000}"/>
    <cellStyle name="40% - Énfasis2 4 5 2" xfId="9950" xr:uid="{00000000-0005-0000-0000-0000AF260000}"/>
    <cellStyle name="40% - Énfasis2 4 6" xfId="9951" xr:uid="{00000000-0005-0000-0000-0000B0260000}"/>
    <cellStyle name="40% - Énfasis2 4 6 2" xfId="9952" xr:uid="{00000000-0005-0000-0000-0000B1260000}"/>
    <cellStyle name="40% - Énfasis2 4 7" xfId="9953" xr:uid="{00000000-0005-0000-0000-0000B2260000}"/>
    <cellStyle name="40% - Énfasis2 4 8" xfId="9954" xr:uid="{00000000-0005-0000-0000-0000B3260000}"/>
    <cellStyle name="40% - Énfasis2 5" xfId="9955" xr:uid="{00000000-0005-0000-0000-0000B4260000}"/>
    <cellStyle name="40% - Énfasis2 5 2" xfId="9956" xr:uid="{00000000-0005-0000-0000-0000B5260000}"/>
    <cellStyle name="40% - Énfasis2 5 2 2" xfId="9957" xr:uid="{00000000-0005-0000-0000-0000B6260000}"/>
    <cellStyle name="40% - Énfasis2 5 2 2 2" xfId="9958" xr:uid="{00000000-0005-0000-0000-0000B7260000}"/>
    <cellStyle name="40% - Énfasis2 5 2 2 2 2" xfId="9959" xr:uid="{00000000-0005-0000-0000-0000B8260000}"/>
    <cellStyle name="40% - Énfasis2 5 2 2 2 2 2" xfId="9960" xr:uid="{00000000-0005-0000-0000-0000B9260000}"/>
    <cellStyle name="40% - Énfasis2 5 2 2 2 3" xfId="9961" xr:uid="{00000000-0005-0000-0000-0000BA260000}"/>
    <cellStyle name="40% - Énfasis2 5 2 2 2 3 2" xfId="9962" xr:uid="{00000000-0005-0000-0000-0000BB260000}"/>
    <cellStyle name="40% - Énfasis2 5 2 2 2 4" xfId="9963" xr:uid="{00000000-0005-0000-0000-0000BC260000}"/>
    <cellStyle name="40% - Énfasis2 5 2 2 3" xfId="9964" xr:uid="{00000000-0005-0000-0000-0000BD260000}"/>
    <cellStyle name="40% - Énfasis2 5 2 2 3 2" xfId="9965" xr:uid="{00000000-0005-0000-0000-0000BE260000}"/>
    <cellStyle name="40% - Énfasis2 5 2 2 4" xfId="9966" xr:uid="{00000000-0005-0000-0000-0000BF260000}"/>
    <cellStyle name="40% - Énfasis2 5 2 2 4 2" xfId="9967" xr:uid="{00000000-0005-0000-0000-0000C0260000}"/>
    <cellStyle name="40% - Énfasis2 5 2 2 5" xfId="9968" xr:uid="{00000000-0005-0000-0000-0000C1260000}"/>
    <cellStyle name="40% - Énfasis2 5 2 3" xfId="9969" xr:uid="{00000000-0005-0000-0000-0000C2260000}"/>
    <cellStyle name="40% - Énfasis2 5 2 3 2" xfId="9970" xr:uid="{00000000-0005-0000-0000-0000C3260000}"/>
    <cellStyle name="40% - Énfasis2 5 2 3 2 2" xfId="9971" xr:uid="{00000000-0005-0000-0000-0000C4260000}"/>
    <cellStyle name="40% - Énfasis2 5 2 3 3" xfId="9972" xr:uid="{00000000-0005-0000-0000-0000C5260000}"/>
    <cellStyle name="40% - Énfasis2 5 2 3 3 2" xfId="9973" xr:uid="{00000000-0005-0000-0000-0000C6260000}"/>
    <cellStyle name="40% - Énfasis2 5 2 3 4" xfId="9974" xr:uid="{00000000-0005-0000-0000-0000C7260000}"/>
    <cellStyle name="40% - Énfasis2 5 2 4" xfId="9975" xr:uid="{00000000-0005-0000-0000-0000C8260000}"/>
    <cellStyle name="40% - Énfasis2 5 2 4 2" xfId="9976" xr:uid="{00000000-0005-0000-0000-0000C9260000}"/>
    <cellStyle name="40% - Énfasis2 5 2 5" xfId="9977" xr:uid="{00000000-0005-0000-0000-0000CA260000}"/>
    <cellStyle name="40% - Énfasis2 5 2 5 2" xfId="9978" xr:uid="{00000000-0005-0000-0000-0000CB260000}"/>
    <cellStyle name="40% - Énfasis2 5 2 6" xfId="9979" xr:uid="{00000000-0005-0000-0000-0000CC260000}"/>
    <cellStyle name="40% - Énfasis2 5 3" xfId="9980" xr:uid="{00000000-0005-0000-0000-0000CD260000}"/>
    <cellStyle name="40% - Énfasis2 5 3 2" xfId="9981" xr:uid="{00000000-0005-0000-0000-0000CE260000}"/>
    <cellStyle name="40% - Énfasis2 5 3 2 2" xfId="9982" xr:uid="{00000000-0005-0000-0000-0000CF260000}"/>
    <cellStyle name="40% - Énfasis2 5 3 2 2 2" xfId="9983" xr:uid="{00000000-0005-0000-0000-0000D0260000}"/>
    <cellStyle name="40% - Énfasis2 5 3 2 3" xfId="9984" xr:uid="{00000000-0005-0000-0000-0000D1260000}"/>
    <cellStyle name="40% - Énfasis2 5 3 2 3 2" xfId="9985" xr:uid="{00000000-0005-0000-0000-0000D2260000}"/>
    <cellStyle name="40% - Énfasis2 5 3 2 4" xfId="9986" xr:uid="{00000000-0005-0000-0000-0000D3260000}"/>
    <cellStyle name="40% - Énfasis2 5 3 3" xfId="9987" xr:uid="{00000000-0005-0000-0000-0000D4260000}"/>
    <cellStyle name="40% - Énfasis2 5 3 3 2" xfId="9988" xr:uid="{00000000-0005-0000-0000-0000D5260000}"/>
    <cellStyle name="40% - Énfasis2 5 3 4" xfId="9989" xr:uid="{00000000-0005-0000-0000-0000D6260000}"/>
    <cellStyle name="40% - Énfasis2 5 3 4 2" xfId="9990" xr:uid="{00000000-0005-0000-0000-0000D7260000}"/>
    <cellStyle name="40% - Énfasis2 5 3 5" xfId="9991" xr:uid="{00000000-0005-0000-0000-0000D8260000}"/>
    <cellStyle name="40% - Énfasis2 5 4" xfId="9992" xr:uid="{00000000-0005-0000-0000-0000D9260000}"/>
    <cellStyle name="40% - Énfasis2 5 4 2" xfId="9993" xr:uid="{00000000-0005-0000-0000-0000DA260000}"/>
    <cellStyle name="40% - Énfasis2 5 4 2 2" xfId="9994" xr:uid="{00000000-0005-0000-0000-0000DB260000}"/>
    <cellStyle name="40% - Énfasis2 5 4 3" xfId="9995" xr:uid="{00000000-0005-0000-0000-0000DC260000}"/>
    <cellStyle name="40% - Énfasis2 5 4 3 2" xfId="9996" xr:uid="{00000000-0005-0000-0000-0000DD260000}"/>
    <cellStyle name="40% - Énfasis2 5 4 4" xfId="9997" xr:uid="{00000000-0005-0000-0000-0000DE260000}"/>
    <cellStyle name="40% - Énfasis2 5 5" xfId="9998" xr:uid="{00000000-0005-0000-0000-0000DF260000}"/>
    <cellStyle name="40% - Énfasis2 5 5 2" xfId="9999" xr:uid="{00000000-0005-0000-0000-0000E0260000}"/>
    <cellStyle name="40% - Énfasis2 5 6" xfId="10000" xr:uid="{00000000-0005-0000-0000-0000E1260000}"/>
    <cellStyle name="40% - Énfasis2 5 6 2" xfId="10001" xr:uid="{00000000-0005-0000-0000-0000E2260000}"/>
    <cellStyle name="40% - Énfasis2 5 7" xfId="10002" xr:uid="{00000000-0005-0000-0000-0000E3260000}"/>
    <cellStyle name="40% - Énfasis2 6" xfId="10003" xr:uid="{00000000-0005-0000-0000-0000E4260000}"/>
    <cellStyle name="40% - Énfasis2 6 2" xfId="10004" xr:uid="{00000000-0005-0000-0000-0000E5260000}"/>
    <cellStyle name="40% - Énfasis2 6 2 2" xfId="10005" xr:uid="{00000000-0005-0000-0000-0000E6260000}"/>
    <cellStyle name="40% - Énfasis2 6 2 2 2" xfId="10006" xr:uid="{00000000-0005-0000-0000-0000E7260000}"/>
    <cellStyle name="40% - Énfasis2 6 2 2 2 2" xfId="10007" xr:uid="{00000000-0005-0000-0000-0000E8260000}"/>
    <cellStyle name="40% - Énfasis2 6 2 2 2 2 2" xfId="10008" xr:uid="{00000000-0005-0000-0000-0000E9260000}"/>
    <cellStyle name="40% - Énfasis2 6 2 2 2 3" xfId="10009" xr:uid="{00000000-0005-0000-0000-0000EA260000}"/>
    <cellStyle name="40% - Énfasis2 6 2 2 2 3 2" xfId="10010" xr:uid="{00000000-0005-0000-0000-0000EB260000}"/>
    <cellStyle name="40% - Énfasis2 6 2 2 2 4" xfId="10011" xr:uid="{00000000-0005-0000-0000-0000EC260000}"/>
    <cellStyle name="40% - Énfasis2 6 2 2 3" xfId="10012" xr:uid="{00000000-0005-0000-0000-0000ED260000}"/>
    <cellStyle name="40% - Énfasis2 6 2 2 3 2" xfId="10013" xr:uid="{00000000-0005-0000-0000-0000EE260000}"/>
    <cellStyle name="40% - Énfasis2 6 2 2 4" xfId="10014" xr:uid="{00000000-0005-0000-0000-0000EF260000}"/>
    <cellStyle name="40% - Énfasis2 6 2 2 4 2" xfId="10015" xr:uid="{00000000-0005-0000-0000-0000F0260000}"/>
    <cellStyle name="40% - Énfasis2 6 2 2 5" xfId="10016" xr:uid="{00000000-0005-0000-0000-0000F1260000}"/>
    <cellStyle name="40% - Énfasis2 6 2 3" xfId="10017" xr:uid="{00000000-0005-0000-0000-0000F2260000}"/>
    <cellStyle name="40% - Énfasis2 6 2 3 2" xfId="10018" xr:uid="{00000000-0005-0000-0000-0000F3260000}"/>
    <cellStyle name="40% - Énfasis2 6 2 3 2 2" xfId="10019" xr:uid="{00000000-0005-0000-0000-0000F4260000}"/>
    <cellStyle name="40% - Énfasis2 6 2 3 3" xfId="10020" xr:uid="{00000000-0005-0000-0000-0000F5260000}"/>
    <cellStyle name="40% - Énfasis2 6 2 3 3 2" xfId="10021" xr:uid="{00000000-0005-0000-0000-0000F6260000}"/>
    <cellStyle name="40% - Énfasis2 6 2 3 4" xfId="10022" xr:uid="{00000000-0005-0000-0000-0000F7260000}"/>
    <cellStyle name="40% - Énfasis2 6 2 4" xfId="10023" xr:uid="{00000000-0005-0000-0000-0000F8260000}"/>
    <cellStyle name="40% - Énfasis2 6 2 4 2" xfId="10024" xr:uid="{00000000-0005-0000-0000-0000F9260000}"/>
    <cellStyle name="40% - Énfasis2 6 2 5" xfId="10025" xr:uid="{00000000-0005-0000-0000-0000FA260000}"/>
    <cellStyle name="40% - Énfasis2 6 2 5 2" xfId="10026" xr:uid="{00000000-0005-0000-0000-0000FB260000}"/>
    <cellStyle name="40% - Énfasis2 6 2 6" xfId="10027" xr:uid="{00000000-0005-0000-0000-0000FC260000}"/>
    <cellStyle name="40% - Énfasis2 6 3" xfId="10028" xr:uid="{00000000-0005-0000-0000-0000FD260000}"/>
    <cellStyle name="40% - Énfasis2 6 3 2" xfId="10029" xr:uid="{00000000-0005-0000-0000-0000FE260000}"/>
    <cellStyle name="40% - Énfasis2 6 3 2 2" xfId="10030" xr:uid="{00000000-0005-0000-0000-0000FF260000}"/>
    <cellStyle name="40% - Énfasis2 6 3 2 2 2" xfId="10031" xr:uid="{00000000-0005-0000-0000-000000270000}"/>
    <cellStyle name="40% - Énfasis2 6 3 2 3" xfId="10032" xr:uid="{00000000-0005-0000-0000-000001270000}"/>
    <cellStyle name="40% - Énfasis2 6 3 2 3 2" xfId="10033" xr:uid="{00000000-0005-0000-0000-000002270000}"/>
    <cellStyle name="40% - Énfasis2 6 3 2 4" xfId="10034" xr:uid="{00000000-0005-0000-0000-000003270000}"/>
    <cellStyle name="40% - Énfasis2 6 3 3" xfId="10035" xr:uid="{00000000-0005-0000-0000-000004270000}"/>
    <cellStyle name="40% - Énfasis2 6 3 3 2" xfId="10036" xr:uid="{00000000-0005-0000-0000-000005270000}"/>
    <cellStyle name="40% - Énfasis2 6 3 4" xfId="10037" xr:uid="{00000000-0005-0000-0000-000006270000}"/>
    <cellStyle name="40% - Énfasis2 6 3 4 2" xfId="10038" xr:uid="{00000000-0005-0000-0000-000007270000}"/>
    <cellStyle name="40% - Énfasis2 6 3 5" xfId="10039" xr:uid="{00000000-0005-0000-0000-000008270000}"/>
    <cellStyle name="40% - Énfasis2 6 4" xfId="10040" xr:uid="{00000000-0005-0000-0000-000009270000}"/>
    <cellStyle name="40% - Énfasis2 6 4 2" xfId="10041" xr:uid="{00000000-0005-0000-0000-00000A270000}"/>
    <cellStyle name="40% - Énfasis2 6 4 2 2" xfId="10042" xr:uid="{00000000-0005-0000-0000-00000B270000}"/>
    <cellStyle name="40% - Énfasis2 6 4 3" xfId="10043" xr:uid="{00000000-0005-0000-0000-00000C270000}"/>
    <cellStyle name="40% - Énfasis2 6 4 3 2" xfId="10044" xr:uid="{00000000-0005-0000-0000-00000D270000}"/>
    <cellStyle name="40% - Énfasis2 6 4 4" xfId="10045" xr:uid="{00000000-0005-0000-0000-00000E270000}"/>
    <cellStyle name="40% - Énfasis2 6 5" xfId="10046" xr:uid="{00000000-0005-0000-0000-00000F270000}"/>
    <cellStyle name="40% - Énfasis2 6 5 2" xfId="10047" xr:uid="{00000000-0005-0000-0000-000010270000}"/>
    <cellStyle name="40% - Énfasis2 6 6" xfId="10048" xr:uid="{00000000-0005-0000-0000-000011270000}"/>
    <cellStyle name="40% - Énfasis2 6 6 2" xfId="10049" xr:uid="{00000000-0005-0000-0000-000012270000}"/>
    <cellStyle name="40% - Énfasis2 6 7" xfId="10050" xr:uid="{00000000-0005-0000-0000-000013270000}"/>
    <cellStyle name="40% - Énfasis2 7" xfId="10051" xr:uid="{00000000-0005-0000-0000-000014270000}"/>
    <cellStyle name="40% - Énfasis2 7 2" xfId="10052" xr:uid="{00000000-0005-0000-0000-000015270000}"/>
    <cellStyle name="40% - Énfasis2 7 2 2" xfId="10053" xr:uid="{00000000-0005-0000-0000-000016270000}"/>
    <cellStyle name="40% - Énfasis2 7 2 2 2" xfId="10054" xr:uid="{00000000-0005-0000-0000-000017270000}"/>
    <cellStyle name="40% - Énfasis2 7 2 2 2 2" xfId="10055" xr:uid="{00000000-0005-0000-0000-000018270000}"/>
    <cellStyle name="40% - Énfasis2 7 2 2 3" xfId="10056" xr:uid="{00000000-0005-0000-0000-000019270000}"/>
    <cellStyle name="40% - Énfasis2 7 2 2 3 2" xfId="10057" xr:uid="{00000000-0005-0000-0000-00001A270000}"/>
    <cellStyle name="40% - Énfasis2 7 2 2 4" xfId="10058" xr:uid="{00000000-0005-0000-0000-00001B270000}"/>
    <cellStyle name="40% - Énfasis2 7 2 3" xfId="10059" xr:uid="{00000000-0005-0000-0000-00001C270000}"/>
    <cellStyle name="40% - Énfasis2 7 2 3 2" xfId="10060" xr:uid="{00000000-0005-0000-0000-00001D270000}"/>
    <cellStyle name="40% - Énfasis2 7 2 4" xfId="10061" xr:uid="{00000000-0005-0000-0000-00001E270000}"/>
    <cellStyle name="40% - Énfasis2 7 2 4 2" xfId="10062" xr:uid="{00000000-0005-0000-0000-00001F270000}"/>
    <cellStyle name="40% - Énfasis2 7 2 5" xfId="10063" xr:uid="{00000000-0005-0000-0000-000020270000}"/>
    <cellStyle name="40% - Énfasis2 7 3" xfId="10064" xr:uid="{00000000-0005-0000-0000-000021270000}"/>
    <cellStyle name="40% - Énfasis2 7 3 2" xfId="10065" xr:uid="{00000000-0005-0000-0000-000022270000}"/>
    <cellStyle name="40% - Énfasis2 7 3 2 2" xfId="10066" xr:uid="{00000000-0005-0000-0000-000023270000}"/>
    <cellStyle name="40% - Énfasis2 7 3 3" xfId="10067" xr:uid="{00000000-0005-0000-0000-000024270000}"/>
    <cellStyle name="40% - Énfasis2 7 3 3 2" xfId="10068" xr:uid="{00000000-0005-0000-0000-000025270000}"/>
    <cellStyle name="40% - Énfasis2 7 3 4" xfId="10069" xr:uid="{00000000-0005-0000-0000-000026270000}"/>
    <cellStyle name="40% - Énfasis2 7 4" xfId="10070" xr:uid="{00000000-0005-0000-0000-000027270000}"/>
    <cellStyle name="40% - Énfasis2 7 4 2" xfId="10071" xr:uid="{00000000-0005-0000-0000-000028270000}"/>
    <cellStyle name="40% - Énfasis2 7 5" xfId="10072" xr:uid="{00000000-0005-0000-0000-000029270000}"/>
    <cellStyle name="40% - Énfasis2 7 5 2" xfId="10073" xr:uid="{00000000-0005-0000-0000-00002A270000}"/>
    <cellStyle name="40% - Énfasis2 7 6" xfId="10074" xr:uid="{00000000-0005-0000-0000-00002B270000}"/>
    <cellStyle name="40% - Énfasis2 8" xfId="10075" xr:uid="{00000000-0005-0000-0000-00002C270000}"/>
    <cellStyle name="40% - Énfasis2 8 2" xfId="10076" xr:uid="{00000000-0005-0000-0000-00002D270000}"/>
    <cellStyle name="40% - Énfasis2 8 2 2" xfId="10077" xr:uid="{00000000-0005-0000-0000-00002E270000}"/>
    <cellStyle name="40% - Énfasis2 8 2 2 2" xfId="10078" xr:uid="{00000000-0005-0000-0000-00002F270000}"/>
    <cellStyle name="40% - Énfasis2 8 2 2 2 2" xfId="10079" xr:uid="{00000000-0005-0000-0000-000030270000}"/>
    <cellStyle name="40% - Énfasis2 8 2 2 3" xfId="10080" xr:uid="{00000000-0005-0000-0000-000031270000}"/>
    <cellStyle name="40% - Énfasis2 8 2 2 3 2" xfId="10081" xr:uid="{00000000-0005-0000-0000-000032270000}"/>
    <cellStyle name="40% - Énfasis2 8 2 2 4" xfId="10082" xr:uid="{00000000-0005-0000-0000-000033270000}"/>
    <cellStyle name="40% - Énfasis2 8 2 3" xfId="10083" xr:uid="{00000000-0005-0000-0000-000034270000}"/>
    <cellStyle name="40% - Énfasis2 8 2 3 2" xfId="10084" xr:uid="{00000000-0005-0000-0000-000035270000}"/>
    <cellStyle name="40% - Énfasis2 8 2 4" xfId="10085" xr:uid="{00000000-0005-0000-0000-000036270000}"/>
    <cellStyle name="40% - Énfasis2 8 2 4 2" xfId="10086" xr:uid="{00000000-0005-0000-0000-000037270000}"/>
    <cellStyle name="40% - Énfasis2 8 2 5" xfId="10087" xr:uid="{00000000-0005-0000-0000-000038270000}"/>
    <cellStyle name="40% - Énfasis2 8 3" xfId="10088" xr:uid="{00000000-0005-0000-0000-000039270000}"/>
    <cellStyle name="40% - Énfasis2 8 3 2" xfId="10089" xr:uid="{00000000-0005-0000-0000-00003A270000}"/>
    <cellStyle name="40% - Énfasis2 8 3 2 2" xfId="10090" xr:uid="{00000000-0005-0000-0000-00003B270000}"/>
    <cellStyle name="40% - Énfasis2 8 3 3" xfId="10091" xr:uid="{00000000-0005-0000-0000-00003C270000}"/>
    <cellStyle name="40% - Énfasis2 8 3 3 2" xfId="10092" xr:uid="{00000000-0005-0000-0000-00003D270000}"/>
    <cellStyle name="40% - Énfasis2 8 3 4" xfId="10093" xr:uid="{00000000-0005-0000-0000-00003E270000}"/>
    <cellStyle name="40% - Énfasis2 8 4" xfId="10094" xr:uid="{00000000-0005-0000-0000-00003F270000}"/>
    <cellStyle name="40% - Énfasis2 8 4 2" xfId="10095" xr:uid="{00000000-0005-0000-0000-000040270000}"/>
    <cellStyle name="40% - Énfasis2 8 5" xfId="10096" xr:uid="{00000000-0005-0000-0000-000041270000}"/>
    <cellStyle name="40% - Énfasis2 8 5 2" xfId="10097" xr:uid="{00000000-0005-0000-0000-000042270000}"/>
    <cellStyle name="40% - Énfasis2 8 6" xfId="10098" xr:uid="{00000000-0005-0000-0000-000043270000}"/>
    <cellStyle name="40% - Énfasis2 9" xfId="10099" xr:uid="{00000000-0005-0000-0000-000044270000}"/>
    <cellStyle name="40% - Énfasis2 9 2" xfId="10100" xr:uid="{00000000-0005-0000-0000-000045270000}"/>
    <cellStyle name="40% - Énfasis2 9 2 2" xfId="10101" xr:uid="{00000000-0005-0000-0000-000046270000}"/>
    <cellStyle name="40% - Énfasis2 9 2 2 2" xfId="10102" xr:uid="{00000000-0005-0000-0000-000047270000}"/>
    <cellStyle name="40% - Énfasis2 9 2 3" xfId="10103" xr:uid="{00000000-0005-0000-0000-000048270000}"/>
    <cellStyle name="40% - Énfasis2 9 2 3 2" xfId="10104" xr:uid="{00000000-0005-0000-0000-000049270000}"/>
    <cellStyle name="40% - Énfasis2 9 2 4" xfId="10105" xr:uid="{00000000-0005-0000-0000-00004A270000}"/>
    <cellStyle name="40% - Énfasis2 9 3" xfId="10106" xr:uid="{00000000-0005-0000-0000-00004B270000}"/>
    <cellStyle name="40% - Énfasis2 9 3 2" xfId="10107" xr:uid="{00000000-0005-0000-0000-00004C270000}"/>
    <cellStyle name="40% - Énfasis2 9 4" xfId="10108" xr:uid="{00000000-0005-0000-0000-00004D270000}"/>
    <cellStyle name="40% - Énfasis2 9 4 2" xfId="10109" xr:uid="{00000000-0005-0000-0000-00004E270000}"/>
    <cellStyle name="40% - Énfasis2 9 5" xfId="10110" xr:uid="{00000000-0005-0000-0000-00004F270000}"/>
    <cellStyle name="40% - Énfasis3" xfId="17" builtinId="39" customBuiltin="1"/>
    <cellStyle name="40% - Énfasis3 10" xfId="10111" xr:uid="{00000000-0005-0000-0000-000051270000}"/>
    <cellStyle name="40% - Énfasis3 10 2" xfId="10112" xr:uid="{00000000-0005-0000-0000-000052270000}"/>
    <cellStyle name="40% - Énfasis3 10 2 2" xfId="10113" xr:uid="{00000000-0005-0000-0000-000053270000}"/>
    <cellStyle name="40% - Énfasis3 10 3" xfId="10114" xr:uid="{00000000-0005-0000-0000-000054270000}"/>
    <cellStyle name="40% - Énfasis3 10 3 2" xfId="10115" xr:uid="{00000000-0005-0000-0000-000055270000}"/>
    <cellStyle name="40% - Énfasis3 10 4" xfId="10116" xr:uid="{00000000-0005-0000-0000-000056270000}"/>
    <cellStyle name="40% - Énfasis3 11" xfId="10117" xr:uid="{00000000-0005-0000-0000-000057270000}"/>
    <cellStyle name="40% - Énfasis3 11 2" xfId="10118" xr:uid="{00000000-0005-0000-0000-000058270000}"/>
    <cellStyle name="40% - Énfasis3 12" xfId="10119" xr:uid="{00000000-0005-0000-0000-000059270000}"/>
    <cellStyle name="40% - Énfasis3 12 2" xfId="10120" xr:uid="{00000000-0005-0000-0000-00005A270000}"/>
    <cellStyle name="40% - Énfasis3 13" xfId="10121" xr:uid="{00000000-0005-0000-0000-00005B270000}"/>
    <cellStyle name="40% - Énfasis3 14" xfId="10122" xr:uid="{00000000-0005-0000-0000-00005C270000}"/>
    <cellStyle name="40% - Énfasis3 15" xfId="10123" xr:uid="{00000000-0005-0000-0000-00005D270000}"/>
    <cellStyle name="40% - Énfasis3 16" xfId="10124" xr:uid="{00000000-0005-0000-0000-00005E270000}"/>
    <cellStyle name="40% - Énfasis3 2" xfId="18" xr:uid="{00000000-0005-0000-0000-00005F270000}"/>
    <cellStyle name="40% - Énfasis3 2 10" xfId="10125" xr:uid="{00000000-0005-0000-0000-000060270000}"/>
    <cellStyle name="40% - Énfasis3 2 11" xfId="10126" xr:uid="{00000000-0005-0000-0000-000061270000}"/>
    <cellStyle name="40% - Énfasis3 2 12" xfId="10127" xr:uid="{00000000-0005-0000-0000-000062270000}"/>
    <cellStyle name="40% - Énfasis3 2 13" xfId="10128" xr:uid="{00000000-0005-0000-0000-000063270000}"/>
    <cellStyle name="40% - Énfasis3 2 14" xfId="10129" xr:uid="{00000000-0005-0000-0000-000064270000}"/>
    <cellStyle name="40% - Énfasis3 2 15" xfId="10130" xr:uid="{00000000-0005-0000-0000-000065270000}"/>
    <cellStyle name="40% - Énfasis3 2 16" xfId="10131" xr:uid="{00000000-0005-0000-0000-000066270000}"/>
    <cellStyle name="40% - Énfasis3 2 17" xfId="10132" xr:uid="{00000000-0005-0000-0000-000067270000}"/>
    <cellStyle name="40% - Énfasis3 2 18" xfId="10133" xr:uid="{00000000-0005-0000-0000-000068270000}"/>
    <cellStyle name="40% - Énfasis3 2 19" xfId="10134" xr:uid="{00000000-0005-0000-0000-000069270000}"/>
    <cellStyle name="40% - Énfasis3 2 2" xfId="10135" xr:uid="{00000000-0005-0000-0000-00006A270000}"/>
    <cellStyle name="40% - Énfasis3 2 2 2" xfId="10136" xr:uid="{00000000-0005-0000-0000-00006B270000}"/>
    <cellStyle name="40% - Énfasis3 2 2 2 2" xfId="10137" xr:uid="{00000000-0005-0000-0000-00006C270000}"/>
    <cellStyle name="40% - Énfasis3 2 2 2 2 2" xfId="10138" xr:uid="{00000000-0005-0000-0000-00006D270000}"/>
    <cellStyle name="40% - Énfasis3 2 2 2 2 2 2" xfId="10139" xr:uid="{00000000-0005-0000-0000-00006E270000}"/>
    <cellStyle name="40% - Énfasis3 2 2 2 2 3" xfId="10140" xr:uid="{00000000-0005-0000-0000-00006F270000}"/>
    <cellStyle name="40% - Énfasis3 2 2 2 2 3 2" xfId="10141" xr:uid="{00000000-0005-0000-0000-000070270000}"/>
    <cellStyle name="40% - Énfasis3 2 2 2 2 4" xfId="10142" xr:uid="{00000000-0005-0000-0000-000071270000}"/>
    <cellStyle name="40% - Énfasis3 2 2 2 3" xfId="10143" xr:uid="{00000000-0005-0000-0000-000072270000}"/>
    <cellStyle name="40% - Énfasis3 2 2 2 3 2" xfId="10144" xr:uid="{00000000-0005-0000-0000-000073270000}"/>
    <cellStyle name="40% - Énfasis3 2 2 2 4" xfId="10145" xr:uid="{00000000-0005-0000-0000-000074270000}"/>
    <cellStyle name="40% - Énfasis3 2 2 2 4 2" xfId="10146" xr:uid="{00000000-0005-0000-0000-000075270000}"/>
    <cellStyle name="40% - Énfasis3 2 2 2 5" xfId="10147" xr:uid="{00000000-0005-0000-0000-000076270000}"/>
    <cellStyle name="40% - Énfasis3 2 2 3" xfId="10148" xr:uid="{00000000-0005-0000-0000-000077270000}"/>
    <cellStyle name="40% - Énfasis3 2 2 3 2" xfId="10149" xr:uid="{00000000-0005-0000-0000-000078270000}"/>
    <cellStyle name="40% - Énfasis3 2 2 3 2 2" xfId="10150" xr:uid="{00000000-0005-0000-0000-000079270000}"/>
    <cellStyle name="40% - Énfasis3 2 2 3 3" xfId="10151" xr:uid="{00000000-0005-0000-0000-00007A270000}"/>
    <cellStyle name="40% - Énfasis3 2 2 3 3 2" xfId="10152" xr:uid="{00000000-0005-0000-0000-00007B270000}"/>
    <cellStyle name="40% - Énfasis3 2 2 3 4" xfId="10153" xr:uid="{00000000-0005-0000-0000-00007C270000}"/>
    <cellStyle name="40% - Énfasis3 2 2 4" xfId="10154" xr:uid="{00000000-0005-0000-0000-00007D270000}"/>
    <cellStyle name="40% - Énfasis3 2 2 4 2" xfId="10155" xr:uid="{00000000-0005-0000-0000-00007E270000}"/>
    <cellStyle name="40% - Énfasis3 2 2 5" xfId="10156" xr:uid="{00000000-0005-0000-0000-00007F270000}"/>
    <cellStyle name="40% - Énfasis3 2 2 5 2" xfId="10157" xr:uid="{00000000-0005-0000-0000-000080270000}"/>
    <cellStyle name="40% - Énfasis3 2 2 6" xfId="10158" xr:uid="{00000000-0005-0000-0000-000081270000}"/>
    <cellStyle name="40% - Énfasis3 2 20" xfId="10159" xr:uid="{00000000-0005-0000-0000-000082270000}"/>
    <cellStyle name="40% - Énfasis3 2 21" xfId="10160" xr:uid="{00000000-0005-0000-0000-000083270000}"/>
    <cellStyle name="40% - Énfasis3 2 22" xfId="10161" xr:uid="{00000000-0005-0000-0000-000084270000}"/>
    <cellStyle name="40% - Énfasis3 2 23" xfId="10162" xr:uid="{00000000-0005-0000-0000-000085270000}"/>
    <cellStyle name="40% - Énfasis3 2 24" xfId="10163" xr:uid="{00000000-0005-0000-0000-000086270000}"/>
    <cellStyle name="40% - Énfasis3 2 25" xfId="10164" xr:uid="{00000000-0005-0000-0000-000087270000}"/>
    <cellStyle name="40% - Énfasis3 2 26" xfId="10165" xr:uid="{00000000-0005-0000-0000-000088270000}"/>
    <cellStyle name="40% - Énfasis3 2 27" xfId="10166" xr:uid="{00000000-0005-0000-0000-000089270000}"/>
    <cellStyle name="40% - Énfasis3 2 28" xfId="10167" xr:uid="{00000000-0005-0000-0000-00008A270000}"/>
    <cellStyle name="40% - Énfasis3 2 29" xfId="10168" xr:uid="{00000000-0005-0000-0000-00008B270000}"/>
    <cellStyle name="40% - Énfasis3 2 3" xfId="10169" xr:uid="{00000000-0005-0000-0000-00008C270000}"/>
    <cellStyle name="40% - Énfasis3 2 3 2" xfId="10170" xr:uid="{00000000-0005-0000-0000-00008D270000}"/>
    <cellStyle name="40% - Énfasis3 2 3 2 2" xfId="10171" xr:uid="{00000000-0005-0000-0000-00008E270000}"/>
    <cellStyle name="40% - Énfasis3 2 3 2 2 2" xfId="10172" xr:uid="{00000000-0005-0000-0000-00008F270000}"/>
    <cellStyle name="40% - Énfasis3 2 3 2 3" xfId="10173" xr:uid="{00000000-0005-0000-0000-000090270000}"/>
    <cellStyle name="40% - Énfasis3 2 3 2 3 2" xfId="10174" xr:uid="{00000000-0005-0000-0000-000091270000}"/>
    <cellStyle name="40% - Énfasis3 2 3 2 4" xfId="10175" xr:uid="{00000000-0005-0000-0000-000092270000}"/>
    <cellStyle name="40% - Énfasis3 2 3 3" xfId="10176" xr:uid="{00000000-0005-0000-0000-000093270000}"/>
    <cellStyle name="40% - Énfasis3 2 3 3 2" xfId="10177" xr:uid="{00000000-0005-0000-0000-000094270000}"/>
    <cellStyle name="40% - Énfasis3 2 3 4" xfId="10178" xr:uid="{00000000-0005-0000-0000-000095270000}"/>
    <cellStyle name="40% - Énfasis3 2 3 4 2" xfId="10179" xr:uid="{00000000-0005-0000-0000-000096270000}"/>
    <cellStyle name="40% - Énfasis3 2 3 5" xfId="10180" xr:uid="{00000000-0005-0000-0000-000097270000}"/>
    <cellStyle name="40% - Énfasis3 2 30" xfId="10181" xr:uid="{00000000-0005-0000-0000-000098270000}"/>
    <cellStyle name="40% - Énfasis3 2 31" xfId="10182" xr:uid="{00000000-0005-0000-0000-000099270000}"/>
    <cellStyle name="40% - Énfasis3 2 32" xfId="10183" xr:uid="{00000000-0005-0000-0000-00009A270000}"/>
    <cellStyle name="40% - Énfasis3 2 33" xfId="10184" xr:uid="{00000000-0005-0000-0000-00009B270000}"/>
    <cellStyle name="40% - Énfasis3 2 34" xfId="10185" xr:uid="{00000000-0005-0000-0000-00009C270000}"/>
    <cellStyle name="40% - Énfasis3 2 35" xfId="10186" xr:uid="{00000000-0005-0000-0000-00009D270000}"/>
    <cellStyle name="40% - Énfasis3 2 36" xfId="10187" xr:uid="{00000000-0005-0000-0000-00009E270000}"/>
    <cellStyle name="40% - Énfasis3 2 37" xfId="10188" xr:uid="{00000000-0005-0000-0000-00009F270000}"/>
    <cellStyle name="40% - Énfasis3 2 4" xfId="10189" xr:uid="{00000000-0005-0000-0000-0000A0270000}"/>
    <cellStyle name="40% - Énfasis3 2 4 2" xfId="10190" xr:uid="{00000000-0005-0000-0000-0000A1270000}"/>
    <cellStyle name="40% - Énfasis3 2 4 2 2" xfId="10191" xr:uid="{00000000-0005-0000-0000-0000A2270000}"/>
    <cellStyle name="40% - Énfasis3 2 4 3" xfId="10192" xr:uid="{00000000-0005-0000-0000-0000A3270000}"/>
    <cellStyle name="40% - Énfasis3 2 4 3 2" xfId="10193" xr:uid="{00000000-0005-0000-0000-0000A4270000}"/>
    <cellStyle name="40% - Énfasis3 2 4 4" xfId="10194" xr:uid="{00000000-0005-0000-0000-0000A5270000}"/>
    <cellStyle name="40% - Énfasis3 2 5" xfId="10195" xr:uid="{00000000-0005-0000-0000-0000A6270000}"/>
    <cellStyle name="40% - Énfasis3 2 5 2" xfId="10196" xr:uid="{00000000-0005-0000-0000-0000A7270000}"/>
    <cellStyle name="40% - Énfasis3 2 6" xfId="10197" xr:uid="{00000000-0005-0000-0000-0000A8270000}"/>
    <cellStyle name="40% - Énfasis3 2 6 2" xfId="10198" xr:uid="{00000000-0005-0000-0000-0000A9270000}"/>
    <cellStyle name="40% - Énfasis3 2 7" xfId="10199" xr:uid="{00000000-0005-0000-0000-0000AA270000}"/>
    <cellStyle name="40% - Énfasis3 2 8" xfId="10200" xr:uid="{00000000-0005-0000-0000-0000AB270000}"/>
    <cellStyle name="40% - Énfasis3 2 9" xfId="10201" xr:uid="{00000000-0005-0000-0000-0000AC270000}"/>
    <cellStyle name="40% - Énfasis3 3" xfId="10202" xr:uid="{00000000-0005-0000-0000-0000AD270000}"/>
    <cellStyle name="40% - Énfasis3 3 10" xfId="10203" xr:uid="{00000000-0005-0000-0000-0000AE270000}"/>
    <cellStyle name="40% - Énfasis3 3 11" xfId="10204" xr:uid="{00000000-0005-0000-0000-0000AF270000}"/>
    <cellStyle name="40% - Énfasis3 3 12" xfId="10205" xr:uid="{00000000-0005-0000-0000-0000B0270000}"/>
    <cellStyle name="40% - Énfasis3 3 13" xfId="10206" xr:uid="{00000000-0005-0000-0000-0000B1270000}"/>
    <cellStyle name="40% - Énfasis3 3 14" xfId="10207" xr:uid="{00000000-0005-0000-0000-0000B2270000}"/>
    <cellStyle name="40% - Énfasis3 3 15" xfId="10208" xr:uid="{00000000-0005-0000-0000-0000B3270000}"/>
    <cellStyle name="40% - Énfasis3 3 16" xfId="10209" xr:uid="{00000000-0005-0000-0000-0000B4270000}"/>
    <cellStyle name="40% - Énfasis3 3 17" xfId="10210" xr:uid="{00000000-0005-0000-0000-0000B5270000}"/>
    <cellStyle name="40% - Énfasis3 3 18" xfId="10211" xr:uid="{00000000-0005-0000-0000-0000B6270000}"/>
    <cellStyle name="40% - Énfasis3 3 19" xfId="10212" xr:uid="{00000000-0005-0000-0000-0000B7270000}"/>
    <cellStyle name="40% - Énfasis3 3 2" xfId="10213" xr:uid="{00000000-0005-0000-0000-0000B8270000}"/>
    <cellStyle name="40% - Énfasis3 3 2 2" xfId="10214" xr:uid="{00000000-0005-0000-0000-0000B9270000}"/>
    <cellStyle name="40% - Énfasis3 3 2 2 2" xfId="10215" xr:uid="{00000000-0005-0000-0000-0000BA270000}"/>
    <cellStyle name="40% - Énfasis3 3 2 2 2 2" xfId="10216" xr:uid="{00000000-0005-0000-0000-0000BB270000}"/>
    <cellStyle name="40% - Énfasis3 3 2 2 2 2 2" xfId="10217" xr:uid="{00000000-0005-0000-0000-0000BC270000}"/>
    <cellStyle name="40% - Énfasis3 3 2 2 2 3" xfId="10218" xr:uid="{00000000-0005-0000-0000-0000BD270000}"/>
    <cellStyle name="40% - Énfasis3 3 2 2 2 3 2" xfId="10219" xr:uid="{00000000-0005-0000-0000-0000BE270000}"/>
    <cellStyle name="40% - Énfasis3 3 2 2 2 4" xfId="10220" xr:uid="{00000000-0005-0000-0000-0000BF270000}"/>
    <cellStyle name="40% - Énfasis3 3 2 2 3" xfId="10221" xr:uid="{00000000-0005-0000-0000-0000C0270000}"/>
    <cellStyle name="40% - Énfasis3 3 2 2 3 2" xfId="10222" xr:uid="{00000000-0005-0000-0000-0000C1270000}"/>
    <cellStyle name="40% - Énfasis3 3 2 2 4" xfId="10223" xr:uid="{00000000-0005-0000-0000-0000C2270000}"/>
    <cellStyle name="40% - Énfasis3 3 2 2 4 2" xfId="10224" xr:uid="{00000000-0005-0000-0000-0000C3270000}"/>
    <cellStyle name="40% - Énfasis3 3 2 2 5" xfId="10225" xr:uid="{00000000-0005-0000-0000-0000C4270000}"/>
    <cellStyle name="40% - Énfasis3 3 2 3" xfId="10226" xr:uid="{00000000-0005-0000-0000-0000C5270000}"/>
    <cellStyle name="40% - Énfasis3 3 2 3 2" xfId="10227" xr:uid="{00000000-0005-0000-0000-0000C6270000}"/>
    <cellStyle name="40% - Énfasis3 3 2 3 2 2" xfId="10228" xr:uid="{00000000-0005-0000-0000-0000C7270000}"/>
    <cellStyle name="40% - Énfasis3 3 2 3 3" xfId="10229" xr:uid="{00000000-0005-0000-0000-0000C8270000}"/>
    <cellStyle name="40% - Énfasis3 3 2 3 3 2" xfId="10230" xr:uid="{00000000-0005-0000-0000-0000C9270000}"/>
    <cellStyle name="40% - Énfasis3 3 2 3 4" xfId="10231" xr:uid="{00000000-0005-0000-0000-0000CA270000}"/>
    <cellStyle name="40% - Énfasis3 3 2 4" xfId="10232" xr:uid="{00000000-0005-0000-0000-0000CB270000}"/>
    <cellStyle name="40% - Énfasis3 3 2 4 2" xfId="10233" xr:uid="{00000000-0005-0000-0000-0000CC270000}"/>
    <cellStyle name="40% - Énfasis3 3 2 5" xfId="10234" xr:uid="{00000000-0005-0000-0000-0000CD270000}"/>
    <cellStyle name="40% - Énfasis3 3 2 5 2" xfId="10235" xr:uid="{00000000-0005-0000-0000-0000CE270000}"/>
    <cellStyle name="40% - Énfasis3 3 2 6" xfId="10236" xr:uid="{00000000-0005-0000-0000-0000CF270000}"/>
    <cellStyle name="40% - Énfasis3 3 20" xfId="10237" xr:uid="{00000000-0005-0000-0000-0000D0270000}"/>
    <cellStyle name="40% - Énfasis3 3 21" xfId="10238" xr:uid="{00000000-0005-0000-0000-0000D1270000}"/>
    <cellStyle name="40% - Énfasis3 3 22" xfId="10239" xr:uid="{00000000-0005-0000-0000-0000D2270000}"/>
    <cellStyle name="40% - Énfasis3 3 23" xfId="10240" xr:uid="{00000000-0005-0000-0000-0000D3270000}"/>
    <cellStyle name="40% - Énfasis3 3 24" xfId="10241" xr:uid="{00000000-0005-0000-0000-0000D4270000}"/>
    <cellStyle name="40% - Énfasis3 3 25" xfId="10242" xr:uid="{00000000-0005-0000-0000-0000D5270000}"/>
    <cellStyle name="40% - Énfasis3 3 26" xfId="10243" xr:uid="{00000000-0005-0000-0000-0000D6270000}"/>
    <cellStyle name="40% - Énfasis3 3 27" xfId="10244" xr:uid="{00000000-0005-0000-0000-0000D7270000}"/>
    <cellStyle name="40% - Énfasis3 3 28" xfId="10245" xr:uid="{00000000-0005-0000-0000-0000D8270000}"/>
    <cellStyle name="40% - Énfasis3 3 29" xfId="10246" xr:uid="{00000000-0005-0000-0000-0000D9270000}"/>
    <cellStyle name="40% - Énfasis3 3 3" xfId="10247" xr:uid="{00000000-0005-0000-0000-0000DA270000}"/>
    <cellStyle name="40% - Énfasis3 3 3 2" xfId="10248" xr:uid="{00000000-0005-0000-0000-0000DB270000}"/>
    <cellStyle name="40% - Énfasis3 3 3 2 2" xfId="10249" xr:uid="{00000000-0005-0000-0000-0000DC270000}"/>
    <cellStyle name="40% - Énfasis3 3 3 2 2 2" xfId="10250" xr:uid="{00000000-0005-0000-0000-0000DD270000}"/>
    <cellStyle name="40% - Énfasis3 3 3 2 3" xfId="10251" xr:uid="{00000000-0005-0000-0000-0000DE270000}"/>
    <cellStyle name="40% - Énfasis3 3 3 2 3 2" xfId="10252" xr:uid="{00000000-0005-0000-0000-0000DF270000}"/>
    <cellStyle name="40% - Énfasis3 3 3 2 4" xfId="10253" xr:uid="{00000000-0005-0000-0000-0000E0270000}"/>
    <cellStyle name="40% - Énfasis3 3 3 3" xfId="10254" xr:uid="{00000000-0005-0000-0000-0000E1270000}"/>
    <cellStyle name="40% - Énfasis3 3 3 3 2" xfId="10255" xr:uid="{00000000-0005-0000-0000-0000E2270000}"/>
    <cellStyle name="40% - Énfasis3 3 3 4" xfId="10256" xr:uid="{00000000-0005-0000-0000-0000E3270000}"/>
    <cellStyle name="40% - Énfasis3 3 3 4 2" xfId="10257" xr:uid="{00000000-0005-0000-0000-0000E4270000}"/>
    <cellStyle name="40% - Énfasis3 3 3 5" xfId="10258" xr:uid="{00000000-0005-0000-0000-0000E5270000}"/>
    <cellStyle name="40% - Énfasis3 3 30" xfId="10259" xr:uid="{00000000-0005-0000-0000-0000E6270000}"/>
    <cellStyle name="40% - Énfasis3 3 31" xfId="10260" xr:uid="{00000000-0005-0000-0000-0000E7270000}"/>
    <cellStyle name="40% - Énfasis3 3 32" xfId="10261" xr:uid="{00000000-0005-0000-0000-0000E8270000}"/>
    <cellStyle name="40% - Énfasis3 3 33" xfId="10262" xr:uid="{00000000-0005-0000-0000-0000E9270000}"/>
    <cellStyle name="40% - Énfasis3 3 34" xfId="10263" xr:uid="{00000000-0005-0000-0000-0000EA270000}"/>
    <cellStyle name="40% - Énfasis3 3 4" xfId="10264" xr:uid="{00000000-0005-0000-0000-0000EB270000}"/>
    <cellStyle name="40% - Énfasis3 3 4 2" xfId="10265" xr:uid="{00000000-0005-0000-0000-0000EC270000}"/>
    <cellStyle name="40% - Énfasis3 3 4 2 2" xfId="10266" xr:uid="{00000000-0005-0000-0000-0000ED270000}"/>
    <cellStyle name="40% - Énfasis3 3 4 3" xfId="10267" xr:uid="{00000000-0005-0000-0000-0000EE270000}"/>
    <cellStyle name="40% - Énfasis3 3 4 3 2" xfId="10268" xr:uid="{00000000-0005-0000-0000-0000EF270000}"/>
    <cellStyle name="40% - Énfasis3 3 4 4" xfId="10269" xr:uid="{00000000-0005-0000-0000-0000F0270000}"/>
    <cellStyle name="40% - Énfasis3 3 5" xfId="10270" xr:uid="{00000000-0005-0000-0000-0000F1270000}"/>
    <cellStyle name="40% - Énfasis3 3 5 2" xfId="10271" xr:uid="{00000000-0005-0000-0000-0000F2270000}"/>
    <cellStyle name="40% - Énfasis3 3 6" xfId="10272" xr:uid="{00000000-0005-0000-0000-0000F3270000}"/>
    <cellStyle name="40% - Énfasis3 3 6 2" xfId="10273" xr:uid="{00000000-0005-0000-0000-0000F4270000}"/>
    <cellStyle name="40% - Énfasis3 3 7" xfId="10274" xr:uid="{00000000-0005-0000-0000-0000F5270000}"/>
    <cellStyle name="40% - Énfasis3 3 8" xfId="10275" xr:uid="{00000000-0005-0000-0000-0000F6270000}"/>
    <cellStyle name="40% - Énfasis3 3 9" xfId="10276" xr:uid="{00000000-0005-0000-0000-0000F7270000}"/>
    <cellStyle name="40% - Énfasis3 4" xfId="10277" xr:uid="{00000000-0005-0000-0000-0000F8270000}"/>
    <cellStyle name="40% - Énfasis3 4 2" xfId="10278" xr:uid="{00000000-0005-0000-0000-0000F9270000}"/>
    <cellStyle name="40% - Énfasis3 4 2 2" xfId="10279" xr:uid="{00000000-0005-0000-0000-0000FA270000}"/>
    <cellStyle name="40% - Énfasis3 4 2 2 2" xfId="10280" xr:uid="{00000000-0005-0000-0000-0000FB270000}"/>
    <cellStyle name="40% - Énfasis3 4 2 2 2 2" xfId="10281" xr:uid="{00000000-0005-0000-0000-0000FC270000}"/>
    <cellStyle name="40% - Énfasis3 4 2 2 2 2 2" xfId="10282" xr:uid="{00000000-0005-0000-0000-0000FD270000}"/>
    <cellStyle name="40% - Énfasis3 4 2 2 2 3" xfId="10283" xr:uid="{00000000-0005-0000-0000-0000FE270000}"/>
    <cellStyle name="40% - Énfasis3 4 2 2 2 3 2" xfId="10284" xr:uid="{00000000-0005-0000-0000-0000FF270000}"/>
    <cellStyle name="40% - Énfasis3 4 2 2 2 4" xfId="10285" xr:uid="{00000000-0005-0000-0000-000000280000}"/>
    <cellStyle name="40% - Énfasis3 4 2 2 3" xfId="10286" xr:uid="{00000000-0005-0000-0000-000001280000}"/>
    <cellStyle name="40% - Énfasis3 4 2 2 3 2" xfId="10287" xr:uid="{00000000-0005-0000-0000-000002280000}"/>
    <cellStyle name="40% - Énfasis3 4 2 2 4" xfId="10288" xr:uid="{00000000-0005-0000-0000-000003280000}"/>
    <cellStyle name="40% - Énfasis3 4 2 2 4 2" xfId="10289" xr:uid="{00000000-0005-0000-0000-000004280000}"/>
    <cellStyle name="40% - Énfasis3 4 2 2 5" xfId="10290" xr:uid="{00000000-0005-0000-0000-000005280000}"/>
    <cellStyle name="40% - Énfasis3 4 2 3" xfId="10291" xr:uid="{00000000-0005-0000-0000-000006280000}"/>
    <cellStyle name="40% - Énfasis3 4 2 3 2" xfId="10292" xr:uid="{00000000-0005-0000-0000-000007280000}"/>
    <cellStyle name="40% - Énfasis3 4 2 3 2 2" xfId="10293" xr:uid="{00000000-0005-0000-0000-000008280000}"/>
    <cellStyle name="40% - Énfasis3 4 2 3 3" xfId="10294" xr:uid="{00000000-0005-0000-0000-000009280000}"/>
    <cellStyle name="40% - Énfasis3 4 2 3 3 2" xfId="10295" xr:uid="{00000000-0005-0000-0000-00000A280000}"/>
    <cellStyle name="40% - Énfasis3 4 2 3 4" xfId="10296" xr:uid="{00000000-0005-0000-0000-00000B280000}"/>
    <cellStyle name="40% - Énfasis3 4 2 4" xfId="10297" xr:uid="{00000000-0005-0000-0000-00000C280000}"/>
    <cellStyle name="40% - Énfasis3 4 2 4 2" xfId="10298" xr:uid="{00000000-0005-0000-0000-00000D280000}"/>
    <cellStyle name="40% - Énfasis3 4 2 5" xfId="10299" xr:uid="{00000000-0005-0000-0000-00000E280000}"/>
    <cellStyle name="40% - Énfasis3 4 2 5 2" xfId="10300" xr:uid="{00000000-0005-0000-0000-00000F280000}"/>
    <cellStyle name="40% - Énfasis3 4 2 6" xfId="10301" xr:uid="{00000000-0005-0000-0000-000010280000}"/>
    <cellStyle name="40% - Énfasis3 4 3" xfId="10302" xr:uid="{00000000-0005-0000-0000-000011280000}"/>
    <cellStyle name="40% - Énfasis3 4 3 2" xfId="10303" xr:uid="{00000000-0005-0000-0000-000012280000}"/>
    <cellStyle name="40% - Énfasis3 4 3 2 2" xfId="10304" xr:uid="{00000000-0005-0000-0000-000013280000}"/>
    <cellStyle name="40% - Énfasis3 4 3 2 2 2" xfId="10305" xr:uid="{00000000-0005-0000-0000-000014280000}"/>
    <cellStyle name="40% - Énfasis3 4 3 2 3" xfId="10306" xr:uid="{00000000-0005-0000-0000-000015280000}"/>
    <cellStyle name="40% - Énfasis3 4 3 2 3 2" xfId="10307" xr:uid="{00000000-0005-0000-0000-000016280000}"/>
    <cellStyle name="40% - Énfasis3 4 3 2 4" xfId="10308" xr:uid="{00000000-0005-0000-0000-000017280000}"/>
    <cellStyle name="40% - Énfasis3 4 3 3" xfId="10309" xr:uid="{00000000-0005-0000-0000-000018280000}"/>
    <cellStyle name="40% - Énfasis3 4 3 3 2" xfId="10310" xr:uid="{00000000-0005-0000-0000-000019280000}"/>
    <cellStyle name="40% - Énfasis3 4 3 4" xfId="10311" xr:uid="{00000000-0005-0000-0000-00001A280000}"/>
    <cellStyle name="40% - Énfasis3 4 3 4 2" xfId="10312" xr:uid="{00000000-0005-0000-0000-00001B280000}"/>
    <cellStyle name="40% - Énfasis3 4 3 5" xfId="10313" xr:uid="{00000000-0005-0000-0000-00001C280000}"/>
    <cellStyle name="40% - Énfasis3 4 4" xfId="10314" xr:uid="{00000000-0005-0000-0000-00001D280000}"/>
    <cellStyle name="40% - Énfasis3 4 4 2" xfId="10315" xr:uid="{00000000-0005-0000-0000-00001E280000}"/>
    <cellStyle name="40% - Énfasis3 4 4 2 2" xfId="10316" xr:uid="{00000000-0005-0000-0000-00001F280000}"/>
    <cellStyle name="40% - Énfasis3 4 4 3" xfId="10317" xr:uid="{00000000-0005-0000-0000-000020280000}"/>
    <cellStyle name="40% - Énfasis3 4 4 3 2" xfId="10318" xr:uid="{00000000-0005-0000-0000-000021280000}"/>
    <cellStyle name="40% - Énfasis3 4 4 4" xfId="10319" xr:uid="{00000000-0005-0000-0000-000022280000}"/>
    <cellStyle name="40% - Énfasis3 4 5" xfId="10320" xr:uid="{00000000-0005-0000-0000-000023280000}"/>
    <cellStyle name="40% - Énfasis3 4 5 2" xfId="10321" xr:uid="{00000000-0005-0000-0000-000024280000}"/>
    <cellStyle name="40% - Énfasis3 4 6" xfId="10322" xr:uid="{00000000-0005-0000-0000-000025280000}"/>
    <cellStyle name="40% - Énfasis3 4 6 2" xfId="10323" xr:uid="{00000000-0005-0000-0000-000026280000}"/>
    <cellStyle name="40% - Énfasis3 4 7" xfId="10324" xr:uid="{00000000-0005-0000-0000-000027280000}"/>
    <cellStyle name="40% - Énfasis3 4 8" xfId="10325" xr:uid="{00000000-0005-0000-0000-000028280000}"/>
    <cellStyle name="40% - Énfasis3 5" xfId="10326" xr:uid="{00000000-0005-0000-0000-000029280000}"/>
    <cellStyle name="40% - Énfasis3 5 2" xfId="10327" xr:uid="{00000000-0005-0000-0000-00002A280000}"/>
    <cellStyle name="40% - Énfasis3 5 2 2" xfId="10328" xr:uid="{00000000-0005-0000-0000-00002B280000}"/>
    <cellStyle name="40% - Énfasis3 5 2 2 2" xfId="10329" xr:uid="{00000000-0005-0000-0000-00002C280000}"/>
    <cellStyle name="40% - Énfasis3 5 2 2 2 2" xfId="10330" xr:uid="{00000000-0005-0000-0000-00002D280000}"/>
    <cellStyle name="40% - Énfasis3 5 2 2 2 2 2" xfId="10331" xr:uid="{00000000-0005-0000-0000-00002E280000}"/>
    <cellStyle name="40% - Énfasis3 5 2 2 2 3" xfId="10332" xr:uid="{00000000-0005-0000-0000-00002F280000}"/>
    <cellStyle name="40% - Énfasis3 5 2 2 2 3 2" xfId="10333" xr:uid="{00000000-0005-0000-0000-000030280000}"/>
    <cellStyle name="40% - Énfasis3 5 2 2 2 4" xfId="10334" xr:uid="{00000000-0005-0000-0000-000031280000}"/>
    <cellStyle name="40% - Énfasis3 5 2 2 3" xfId="10335" xr:uid="{00000000-0005-0000-0000-000032280000}"/>
    <cellStyle name="40% - Énfasis3 5 2 2 3 2" xfId="10336" xr:uid="{00000000-0005-0000-0000-000033280000}"/>
    <cellStyle name="40% - Énfasis3 5 2 2 4" xfId="10337" xr:uid="{00000000-0005-0000-0000-000034280000}"/>
    <cellStyle name="40% - Énfasis3 5 2 2 4 2" xfId="10338" xr:uid="{00000000-0005-0000-0000-000035280000}"/>
    <cellStyle name="40% - Énfasis3 5 2 2 5" xfId="10339" xr:uid="{00000000-0005-0000-0000-000036280000}"/>
    <cellStyle name="40% - Énfasis3 5 2 3" xfId="10340" xr:uid="{00000000-0005-0000-0000-000037280000}"/>
    <cellStyle name="40% - Énfasis3 5 2 3 2" xfId="10341" xr:uid="{00000000-0005-0000-0000-000038280000}"/>
    <cellStyle name="40% - Énfasis3 5 2 3 2 2" xfId="10342" xr:uid="{00000000-0005-0000-0000-000039280000}"/>
    <cellStyle name="40% - Énfasis3 5 2 3 3" xfId="10343" xr:uid="{00000000-0005-0000-0000-00003A280000}"/>
    <cellStyle name="40% - Énfasis3 5 2 3 3 2" xfId="10344" xr:uid="{00000000-0005-0000-0000-00003B280000}"/>
    <cellStyle name="40% - Énfasis3 5 2 3 4" xfId="10345" xr:uid="{00000000-0005-0000-0000-00003C280000}"/>
    <cellStyle name="40% - Énfasis3 5 2 4" xfId="10346" xr:uid="{00000000-0005-0000-0000-00003D280000}"/>
    <cellStyle name="40% - Énfasis3 5 2 4 2" xfId="10347" xr:uid="{00000000-0005-0000-0000-00003E280000}"/>
    <cellStyle name="40% - Énfasis3 5 2 5" xfId="10348" xr:uid="{00000000-0005-0000-0000-00003F280000}"/>
    <cellStyle name="40% - Énfasis3 5 2 5 2" xfId="10349" xr:uid="{00000000-0005-0000-0000-000040280000}"/>
    <cellStyle name="40% - Énfasis3 5 2 6" xfId="10350" xr:uid="{00000000-0005-0000-0000-000041280000}"/>
    <cellStyle name="40% - Énfasis3 5 3" xfId="10351" xr:uid="{00000000-0005-0000-0000-000042280000}"/>
    <cellStyle name="40% - Énfasis3 5 3 2" xfId="10352" xr:uid="{00000000-0005-0000-0000-000043280000}"/>
    <cellStyle name="40% - Énfasis3 5 3 2 2" xfId="10353" xr:uid="{00000000-0005-0000-0000-000044280000}"/>
    <cellStyle name="40% - Énfasis3 5 3 2 2 2" xfId="10354" xr:uid="{00000000-0005-0000-0000-000045280000}"/>
    <cellStyle name="40% - Énfasis3 5 3 2 3" xfId="10355" xr:uid="{00000000-0005-0000-0000-000046280000}"/>
    <cellStyle name="40% - Énfasis3 5 3 2 3 2" xfId="10356" xr:uid="{00000000-0005-0000-0000-000047280000}"/>
    <cellStyle name="40% - Énfasis3 5 3 2 4" xfId="10357" xr:uid="{00000000-0005-0000-0000-000048280000}"/>
    <cellStyle name="40% - Énfasis3 5 3 3" xfId="10358" xr:uid="{00000000-0005-0000-0000-000049280000}"/>
    <cellStyle name="40% - Énfasis3 5 3 3 2" xfId="10359" xr:uid="{00000000-0005-0000-0000-00004A280000}"/>
    <cellStyle name="40% - Énfasis3 5 3 4" xfId="10360" xr:uid="{00000000-0005-0000-0000-00004B280000}"/>
    <cellStyle name="40% - Énfasis3 5 3 4 2" xfId="10361" xr:uid="{00000000-0005-0000-0000-00004C280000}"/>
    <cellStyle name="40% - Énfasis3 5 3 5" xfId="10362" xr:uid="{00000000-0005-0000-0000-00004D280000}"/>
    <cellStyle name="40% - Énfasis3 5 4" xfId="10363" xr:uid="{00000000-0005-0000-0000-00004E280000}"/>
    <cellStyle name="40% - Énfasis3 5 4 2" xfId="10364" xr:uid="{00000000-0005-0000-0000-00004F280000}"/>
    <cellStyle name="40% - Énfasis3 5 4 2 2" xfId="10365" xr:uid="{00000000-0005-0000-0000-000050280000}"/>
    <cellStyle name="40% - Énfasis3 5 4 3" xfId="10366" xr:uid="{00000000-0005-0000-0000-000051280000}"/>
    <cellStyle name="40% - Énfasis3 5 4 3 2" xfId="10367" xr:uid="{00000000-0005-0000-0000-000052280000}"/>
    <cellStyle name="40% - Énfasis3 5 4 4" xfId="10368" xr:uid="{00000000-0005-0000-0000-000053280000}"/>
    <cellStyle name="40% - Énfasis3 5 5" xfId="10369" xr:uid="{00000000-0005-0000-0000-000054280000}"/>
    <cellStyle name="40% - Énfasis3 5 5 2" xfId="10370" xr:uid="{00000000-0005-0000-0000-000055280000}"/>
    <cellStyle name="40% - Énfasis3 5 6" xfId="10371" xr:uid="{00000000-0005-0000-0000-000056280000}"/>
    <cellStyle name="40% - Énfasis3 5 6 2" xfId="10372" xr:uid="{00000000-0005-0000-0000-000057280000}"/>
    <cellStyle name="40% - Énfasis3 5 7" xfId="10373" xr:uid="{00000000-0005-0000-0000-000058280000}"/>
    <cellStyle name="40% - Énfasis3 6" xfId="10374" xr:uid="{00000000-0005-0000-0000-000059280000}"/>
    <cellStyle name="40% - Énfasis3 6 2" xfId="10375" xr:uid="{00000000-0005-0000-0000-00005A280000}"/>
    <cellStyle name="40% - Énfasis3 6 2 2" xfId="10376" xr:uid="{00000000-0005-0000-0000-00005B280000}"/>
    <cellStyle name="40% - Énfasis3 6 2 2 2" xfId="10377" xr:uid="{00000000-0005-0000-0000-00005C280000}"/>
    <cellStyle name="40% - Énfasis3 6 2 2 2 2" xfId="10378" xr:uid="{00000000-0005-0000-0000-00005D280000}"/>
    <cellStyle name="40% - Énfasis3 6 2 2 2 2 2" xfId="10379" xr:uid="{00000000-0005-0000-0000-00005E280000}"/>
    <cellStyle name="40% - Énfasis3 6 2 2 2 3" xfId="10380" xr:uid="{00000000-0005-0000-0000-00005F280000}"/>
    <cellStyle name="40% - Énfasis3 6 2 2 2 3 2" xfId="10381" xr:uid="{00000000-0005-0000-0000-000060280000}"/>
    <cellStyle name="40% - Énfasis3 6 2 2 2 4" xfId="10382" xr:uid="{00000000-0005-0000-0000-000061280000}"/>
    <cellStyle name="40% - Énfasis3 6 2 2 3" xfId="10383" xr:uid="{00000000-0005-0000-0000-000062280000}"/>
    <cellStyle name="40% - Énfasis3 6 2 2 3 2" xfId="10384" xr:uid="{00000000-0005-0000-0000-000063280000}"/>
    <cellStyle name="40% - Énfasis3 6 2 2 4" xfId="10385" xr:uid="{00000000-0005-0000-0000-000064280000}"/>
    <cellStyle name="40% - Énfasis3 6 2 2 4 2" xfId="10386" xr:uid="{00000000-0005-0000-0000-000065280000}"/>
    <cellStyle name="40% - Énfasis3 6 2 2 5" xfId="10387" xr:uid="{00000000-0005-0000-0000-000066280000}"/>
    <cellStyle name="40% - Énfasis3 6 2 3" xfId="10388" xr:uid="{00000000-0005-0000-0000-000067280000}"/>
    <cellStyle name="40% - Énfasis3 6 2 3 2" xfId="10389" xr:uid="{00000000-0005-0000-0000-000068280000}"/>
    <cellStyle name="40% - Énfasis3 6 2 3 2 2" xfId="10390" xr:uid="{00000000-0005-0000-0000-000069280000}"/>
    <cellStyle name="40% - Énfasis3 6 2 3 3" xfId="10391" xr:uid="{00000000-0005-0000-0000-00006A280000}"/>
    <cellStyle name="40% - Énfasis3 6 2 3 3 2" xfId="10392" xr:uid="{00000000-0005-0000-0000-00006B280000}"/>
    <cellStyle name="40% - Énfasis3 6 2 3 4" xfId="10393" xr:uid="{00000000-0005-0000-0000-00006C280000}"/>
    <cellStyle name="40% - Énfasis3 6 2 4" xfId="10394" xr:uid="{00000000-0005-0000-0000-00006D280000}"/>
    <cellStyle name="40% - Énfasis3 6 2 4 2" xfId="10395" xr:uid="{00000000-0005-0000-0000-00006E280000}"/>
    <cellStyle name="40% - Énfasis3 6 2 5" xfId="10396" xr:uid="{00000000-0005-0000-0000-00006F280000}"/>
    <cellStyle name="40% - Énfasis3 6 2 5 2" xfId="10397" xr:uid="{00000000-0005-0000-0000-000070280000}"/>
    <cellStyle name="40% - Énfasis3 6 2 6" xfId="10398" xr:uid="{00000000-0005-0000-0000-000071280000}"/>
    <cellStyle name="40% - Énfasis3 6 3" xfId="10399" xr:uid="{00000000-0005-0000-0000-000072280000}"/>
    <cellStyle name="40% - Énfasis3 6 3 2" xfId="10400" xr:uid="{00000000-0005-0000-0000-000073280000}"/>
    <cellStyle name="40% - Énfasis3 6 3 2 2" xfId="10401" xr:uid="{00000000-0005-0000-0000-000074280000}"/>
    <cellStyle name="40% - Énfasis3 6 3 2 2 2" xfId="10402" xr:uid="{00000000-0005-0000-0000-000075280000}"/>
    <cellStyle name="40% - Énfasis3 6 3 2 3" xfId="10403" xr:uid="{00000000-0005-0000-0000-000076280000}"/>
    <cellStyle name="40% - Énfasis3 6 3 2 3 2" xfId="10404" xr:uid="{00000000-0005-0000-0000-000077280000}"/>
    <cellStyle name="40% - Énfasis3 6 3 2 4" xfId="10405" xr:uid="{00000000-0005-0000-0000-000078280000}"/>
    <cellStyle name="40% - Énfasis3 6 3 3" xfId="10406" xr:uid="{00000000-0005-0000-0000-000079280000}"/>
    <cellStyle name="40% - Énfasis3 6 3 3 2" xfId="10407" xr:uid="{00000000-0005-0000-0000-00007A280000}"/>
    <cellStyle name="40% - Énfasis3 6 3 4" xfId="10408" xr:uid="{00000000-0005-0000-0000-00007B280000}"/>
    <cellStyle name="40% - Énfasis3 6 3 4 2" xfId="10409" xr:uid="{00000000-0005-0000-0000-00007C280000}"/>
    <cellStyle name="40% - Énfasis3 6 3 5" xfId="10410" xr:uid="{00000000-0005-0000-0000-00007D280000}"/>
    <cellStyle name="40% - Énfasis3 6 4" xfId="10411" xr:uid="{00000000-0005-0000-0000-00007E280000}"/>
    <cellStyle name="40% - Énfasis3 6 4 2" xfId="10412" xr:uid="{00000000-0005-0000-0000-00007F280000}"/>
    <cellStyle name="40% - Énfasis3 6 4 2 2" xfId="10413" xr:uid="{00000000-0005-0000-0000-000080280000}"/>
    <cellStyle name="40% - Énfasis3 6 4 3" xfId="10414" xr:uid="{00000000-0005-0000-0000-000081280000}"/>
    <cellStyle name="40% - Énfasis3 6 4 3 2" xfId="10415" xr:uid="{00000000-0005-0000-0000-000082280000}"/>
    <cellStyle name="40% - Énfasis3 6 4 4" xfId="10416" xr:uid="{00000000-0005-0000-0000-000083280000}"/>
    <cellStyle name="40% - Énfasis3 6 5" xfId="10417" xr:uid="{00000000-0005-0000-0000-000084280000}"/>
    <cellStyle name="40% - Énfasis3 6 5 2" xfId="10418" xr:uid="{00000000-0005-0000-0000-000085280000}"/>
    <cellStyle name="40% - Énfasis3 6 6" xfId="10419" xr:uid="{00000000-0005-0000-0000-000086280000}"/>
    <cellStyle name="40% - Énfasis3 6 6 2" xfId="10420" xr:uid="{00000000-0005-0000-0000-000087280000}"/>
    <cellStyle name="40% - Énfasis3 6 7" xfId="10421" xr:uid="{00000000-0005-0000-0000-000088280000}"/>
    <cellStyle name="40% - Énfasis3 7" xfId="10422" xr:uid="{00000000-0005-0000-0000-000089280000}"/>
    <cellStyle name="40% - Énfasis3 7 2" xfId="10423" xr:uid="{00000000-0005-0000-0000-00008A280000}"/>
    <cellStyle name="40% - Énfasis3 7 2 2" xfId="10424" xr:uid="{00000000-0005-0000-0000-00008B280000}"/>
    <cellStyle name="40% - Énfasis3 7 2 2 2" xfId="10425" xr:uid="{00000000-0005-0000-0000-00008C280000}"/>
    <cellStyle name="40% - Énfasis3 7 2 2 2 2" xfId="10426" xr:uid="{00000000-0005-0000-0000-00008D280000}"/>
    <cellStyle name="40% - Énfasis3 7 2 2 3" xfId="10427" xr:uid="{00000000-0005-0000-0000-00008E280000}"/>
    <cellStyle name="40% - Énfasis3 7 2 2 3 2" xfId="10428" xr:uid="{00000000-0005-0000-0000-00008F280000}"/>
    <cellStyle name="40% - Énfasis3 7 2 2 4" xfId="10429" xr:uid="{00000000-0005-0000-0000-000090280000}"/>
    <cellStyle name="40% - Énfasis3 7 2 3" xfId="10430" xr:uid="{00000000-0005-0000-0000-000091280000}"/>
    <cellStyle name="40% - Énfasis3 7 2 3 2" xfId="10431" xr:uid="{00000000-0005-0000-0000-000092280000}"/>
    <cellStyle name="40% - Énfasis3 7 2 4" xfId="10432" xr:uid="{00000000-0005-0000-0000-000093280000}"/>
    <cellStyle name="40% - Énfasis3 7 2 4 2" xfId="10433" xr:uid="{00000000-0005-0000-0000-000094280000}"/>
    <cellStyle name="40% - Énfasis3 7 2 5" xfId="10434" xr:uid="{00000000-0005-0000-0000-000095280000}"/>
    <cellStyle name="40% - Énfasis3 7 3" xfId="10435" xr:uid="{00000000-0005-0000-0000-000096280000}"/>
    <cellStyle name="40% - Énfasis3 7 3 2" xfId="10436" xr:uid="{00000000-0005-0000-0000-000097280000}"/>
    <cellStyle name="40% - Énfasis3 7 3 2 2" xfId="10437" xr:uid="{00000000-0005-0000-0000-000098280000}"/>
    <cellStyle name="40% - Énfasis3 7 3 3" xfId="10438" xr:uid="{00000000-0005-0000-0000-000099280000}"/>
    <cellStyle name="40% - Énfasis3 7 3 3 2" xfId="10439" xr:uid="{00000000-0005-0000-0000-00009A280000}"/>
    <cellStyle name="40% - Énfasis3 7 3 4" xfId="10440" xr:uid="{00000000-0005-0000-0000-00009B280000}"/>
    <cellStyle name="40% - Énfasis3 7 4" xfId="10441" xr:uid="{00000000-0005-0000-0000-00009C280000}"/>
    <cellStyle name="40% - Énfasis3 7 4 2" xfId="10442" xr:uid="{00000000-0005-0000-0000-00009D280000}"/>
    <cellStyle name="40% - Énfasis3 7 5" xfId="10443" xr:uid="{00000000-0005-0000-0000-00009E280000}"/>
    <cellStyle name="40% - Énfasis3 7 5 2" xfId="10444" xr:uid="{00000000-0005-0000-0000-00009F280000}"/>
    <cellStyle name="40% - Énfasis3 7 6" xfId="10445" xr:uid="{00000000-0005-0000-0000-0000A0280000}"/>
    <cellStyle name="40% - Énfasis3 8" xfId="10446" xr:uid="{00000000-0005-0000-0000-0000A1280000}"/>
    <cellStyle name="40% - Énfasis3 8 2" xfId="10447" xr:uid="{00000000-0005-0000-0000-0000A2280000}"/>
    <cellStyle name="40% - Énfasis3 8 2 2" xfId="10448" xr:uid="{00000000-0005-0000-0000-0000A3280000}"/>
    <cellStyle name="40% - Énfasis3 8 2 2 2" xfId="10449" xr:uid="{00000000-0005-0000-0000-0000A4280000}"/>
    <cellStyle name="40% - Énfasis3 8 2 2 2 2" xfId="10450" xr:uid="{00000000-0005-0000-0000-0000A5280000}"/>
    <cellStyle name="40% - Énfasis3 8 2 2 3" xfId="10451" xr:uid="{00000000-0005-0000-0000-0000A6280000}"/>
    <cellStyle name="40% - Énfasis3 8 2 2 3 2" xfId="10452" xr:uid="{00000000-0005-0000-0000-0000A7280000}"/>
    <cellStyle name="40% - Énfasis3 8 2 2 4" xfId="10453" xr:uid="{00000000-0005-0000-0000-0000A8280000}"/>
    <cellStyle name="40% - Énfasis3 8 2 3" xfId="10454" xr:uid="{00000000-0005-0000-0000-0000A9280000}"/>
    <cellStyle name="40% - Énfasis3 8 2 3 2" xfId="10455" xr:uid="{00000000-0005-0000-0000-0000AA280000}"/>
    <cellStyle name="40% - Énfasis3 8 2 4" xfId="10456" xr:uid="{00000000-0005-0000-0000-0000AB280000}"/>
    <cellStyle name="40% - Énfasis3 8 2 4 2" xfId="10457" xr:uid="{00000000-0005-0000-0000-0000AC280000}"/>
    <cellStyle name="40% - Énfasis3 8 2 5" xfId="10458" xr:uid="{00000000-0005-0000-0000-0000AD280000}"/>
    <cellStyle name="40% - Énfasis3 8 3" xfId="10459" xr:uid="{00000000-0005-0000-0000-0000AE280000}"/>
    <cellStyle name="40% - Énfasis3 8 3 2" xfId="10460" xr:uid="{00000000-0005-0000-0000-0000AF280000}"/>
    <cellStyle name="40% - Énfasis3 8 3 2 2" xfId="10461" xr:uid="{00000000-0005-0000-0000-0000B0280000}"/>
    <cellStyle name="40% - Énfasis3 8 3 3" xfId="10462" xr:uid="{00000000-0005-0000-0000-0000B1280000}"/>
    <cellStyle name="40% - Énfasis3 8 3 3 2" xfId="10463" xr:uid="{00000000-0005-0000-0000-0000B2280000}"/>
    <cellStyle name="40% - Énfasis3 8 3 4" xfId="10464" xr:uid="{00000000-0005-0000-0000-0000B3280000}"/>
    <cellStyle name="40% - Énfasis3 8 4" xfId="10465" xr:uid="{00000000-0005-0000-0000-0000B4280000}"/>
    <cellStyle name="40% - Énfasis3 8 4 2" xfId="10466" xr:uid="{00000000-0005-0000-0000-0000B5280000}"/>
    <cellStyle name="40% - Énfasis3 8 5" xfId="10467" xr:uid="{00000000-0005-0000-0000-0000B6280000}"/>
    <cellStyle name="40% - Énfasis3 8 5 2" xfId="10468" xr:uid="{00000000-0005-0000-0000-0000B7280000}"/>
    <cellStyle name="40% - Énfasis3 8 6" xfId="10469" xr:uid="{00000000-0005-0000-0000-0000B8280000}"/>
    <cellStyle name="40% - Énfasis3 9" xfId="10470" xr:uid="{00000000-0005-0000-0000-0000B9280000}"/>
    <cellStyle name="40% - Énfasis3 9 2" xfId="10471" xr:uid="{00000000-0005-0000-0000-0000BA280000}"/>
    <cellStyle name="40% - Énfasis3 9 2 2" xfId="10472" xr:uid="{00000000-0005-0000-0000-0000BB280000}"/>
    <cellStyle name="40% - Énfasis3 9 2 2 2" xfId="10473" xr:uid="{00000000-0005-0000-0000-0000BC280000}"/>
    <cellStyle name="40% - Énfasis3 9 2 3" xfId="10474" xr:uid="{00000000-0005-0000-0000-0000BD280000}"/>
    <cellStyle name="40% - Énfasis3 9 2 3 2" xfId="10475" xr:uid="{00000000-0005-0000-0000-0000BE280000}"/>
    <cellStyle name="40% - Énfasis3 9 2 4" xfId="10476" xr:uid="{00000000-0005-0000-0000-0000BF280000}"/>
    <cellStyle name="40% - Énfasis3 9 3" xfId="10477" xr:uid="{00000000-0005-0000-0000-0000C0280000}"/>
    <cellStyle name="40% - Énfasis3 9 3 2" xfId="10478" xr:uid="{00000000-0005-0000-0000-0000C1280000}"/>
    <cellStyle name="40% - Énfasis3 9 4" xfId="10479" xr:uid="{00000000-0005-0000-0000-0000C2280000}"/>
    <cellStyle name="40% - Énfasis3 9 4 2" xfId="10480" xr:uid="{00000000-0005-0000-0000-0000C3280000}"/>
    <cellStyle name="40% - Énfasis3 9 5" xfId="10481" xr:uid="{00000000-0005-0000-0000-0000C4280000}"/>
    <cellStyle name="40% - Énfasis4" xfId="19" builtinId="43" customBuiltin="1"/>
    <cellStyle name="40% - Énfasis4 10" xfId="10482" xr:uid="{00000000-0005-0000-0000-0000C6280000}"/>
    <cellStyle name="40% - Énfasis4 10 2" xfId="10483" xr:uid="{00000000-0005-0000-0000-0000C7280000}"/>
    <cellStyle name="40% - Énfasis4 10 2 2" xfId="10484" xr:uid="{00000000-0005-0000-0000-0000C8280000}"/>
    <cellStyle name="40% - Énfasis4 10 3" xfId="10485" xr:uid="{00000000-0005-0000-0000-0000C9280000}"/>
    <cellStyle name="40% - Énfasis4 10 3 2" xfId="10486" xr:uid="{00000000-0005-0000-0000-0000CA280000}"/>
    <cellStyle name="40% - Énfasis4 10 4" xfId="10487" xr:uid="{00000000-0005-0000-0000-0000CB280000}"/>
    <cellStyle name="40% - Énfasis4 11" xfId="10488" xr:uid="{00000000-0005-0000-0000-0000CC280000}"/>
    <cellStyle name="40% - Énfasis4 11 2" xfId="10489" xr:uid="{00000000-0005-0000-0000-0000CD280000}"/>
    <cellStyle name="40% - Énfasis4 12" xfId="10490" xr:uid="{00000000-0005-0000-0000-0000CE280000}"/>
    <cellStyle name="40% - Énfasis4 12 2" xfId="10491" xr:uid="{00000000-0005-0000-0000-0000CF280000}"/>
    <cellStyle name="40% - Énfasis4 13" xfId="10492" xr:uid="{00000000-0005-0000-0000-0000D0280000}"/>
    <cellStyle name="40% - Énfasis4 14" xfId="10493" xr:uid="{00000000-0005-0000-0000-0000D1280000}"/>
    <cellStyle name="40% - Énfasis4 15" xfId="10494" xr:uid="{00000000-0005-0000-0000-0000D2280000}"/>
    <cellStyle name="40% - Énfasis4 16" xfId="10495" xr:uid="{00000000-0005-0000-0000-0000D3280000}"/>
    <cellStyle name="40% - Énfasis4 2" xfId="20" xr:uid="{00000000-0005-0000-0000-0000D4280000}"/>
    <cellStyle name="40% - Énfasis4 2 10" xfId="10496" xr:uid="{00000000-0005-0000-0000-0000D5280000}"/>
    <cellStyle name="40% - Énfasis4 2 11" xfId="10497" xr:uid="{00000000-0005-0000-0000-0000D6280000}"/>
    <cellStyle name="40% - Énfasis4 2 12" xfId="10498" xr:uid="{00000000-0005-0000-0000-0000D7280000}"/>
    <cellStyle name="40% - Énfasis4 2 13" xfId="10499" xr:uid="{00000000-0005-0000-0000-0000D8280000}"/>
    <cellStyle name="40% - Énfasis4 2 14" xfId="10500" xr:uid="{00000000-0005-0000-0000-0000D9280000}"/>
    <cellStyle name="40% - Énfasis4 2 15" xfId="10501" xr:uid="{00000000-0005-0000-0000-0000DA280000}"/>
    <cellStyle name="40% - Énfasis4 2 16" xfId="10502" xr:uid="{00000000-0005-0000-0000-0000DB280000}"/>
    <cellStyle name="40% - Énfasis4 2 17" xfId="10503" xr:uid="{00000000-0005-0000-0000-0000DC280000}"/>
    <cellStyle name="40% - Énfasis4 2 18" xfId="10504" xr:uid="{00000000-0005-0000-0000-0000DD280000}"/>
    <cellStyle name="40% - Énfasis4 2 19" xfId="10505" xr:uid="{00000000-0005-0000-0000-0000DE280000}"/>
    <cellStyle name="40% - Énfasis4 2 2" xfId="10506" xr:uid="{00000000-0005-0000-0000-0000DF280000}"/>
    <cellStyle name="40% - Énfasis4 2 2 2" xfId="10507" xr:uid="{00000000-0005-0000-0000-0000E0280000}"/>
    <cellStyle name="40% - Énfasis4 2 2 2 2" xfId="10508" xr:uid="{00000000-0005-0000-0000-0000E1280000}"/>
    <cellStyle name="40% - Énfasis4 2 2 2 2 2" xfId="10509" xr:uid="{00000000-0005-0000-0000-0000E2280000}"/>
    <cellStyle name="40% - Énfasis4 2 2 2 2 2 2" xfId="10510" xr:uid="{00000000-0005-0000-0000-0000E3280000}"/>
    <cellStyle name="40% - Énfasis4 2 2 2 2 3" xfId="10511" xr:uid="{00000000-0005-0000-0000-0000E4280000}"/>
    <cellStyle name="40% - Énfasis4 2 2 2 2 3 2" xfId="10512" xr:uid="{00000000-0005-0000-0000-0000E5280000}"/>
    <cellStyle name="40% - Énfasis4 2 2 2 2 4" xfId="10513" xr:uid="{00000000-0005-0000-0000-0000E6280000}"/>
    <cellStyle name="40% - Énfasis4 2 2 2 3" xfId="10514" xr:uid="{00000000-0005-0000-0000-0000E7280000}"/>
    <cellStyle name="40% - Énfasis4 2 2 2 3 2" xfId="10515" xr:uid="{00000000-0005-0000-0000-0000E8280000}"/>
    <cellStyle name="40% - Énfasis4 2 2 2 4" xfId="10516" xr:uid="{00000000-0005-0000-0000-0000E9280000}"/>
    <cellStyle name="40% - Énfasis4 2 2 2 4 2" xfId="10517" xr:uid="{00000000-0005-0000-0000-0000EA280000}"/>
    <cellStyle name="40% - Énfasis4 2 2 2 5" xfId="10518" xr:uid="{00000000-0005-0000-0000-0000EB280000}"/>
    <cellStyle name="40% - Énfasis4 2 2 3" xfId="10519" xr:uid="{00000000-0005-0000-0000-0000EC280000}"/>
    <cellStyle name="40% - Énfasis4 2 2 3 2" xfId="10520" xr:uid="{00000000-0005-0000-0000-0000ED280000}"/>
    <cellStyle name="40% - Énfasis4 2 2 3 2 2" xfId="10521" xr:uid="{00000000-0005-0000-0000-0000EE280000}"/>
    <cellStyle name="40% - Énfasis4 2 2 3 3" xfId="10522" xr:uid="{00000000-0005-0000-0000-0000EF280000}"/>
    <cellStyle name="40% - Énfasis4 2 2 3 3 2" xfId="10523" xr:uid="{00000000-0005-0000-0000-0000F0280000}"/>
    <cellStyle name="40% - Énfasis4 2 2 3 4" xfId="10524" xr:uid="{00000000-0005-0000-0000-0000F1280000}"/>
    <cellStyle name="40% - Énfasis4 2 2 4" xfId="10525" xr:uid="{00000000-0005-0000-0000-0000F2280000}"/>
    <cellStyle name="40% - Énfasis4 2 2 4 2" xfId="10526" xr:uid="{00000000-0005-0000-0000-0000F3280000}"/>
    <cellStyle name="40% - Énfasis4 2 2 5" xfId="10527" xr:uid="{00000000-0005-0000-0000-0000F4280000}"/>
    <cellStyle name="40% - Énfasis4 2 2 5 2" xfId="10528" xr:uid="{00000000-0005-0000-0000-0000F5280000}"/>
    <cellStyle name="40% - Énfasis4 2 2 6" xfId="10529" xr:uid="{00000000-0005-0000-0000-0000F6280000}"/>
    <cellStyle name="40% - Énfasis4 2 20" xfId="10530" xr:uid="{00000000-0005-0000-0000-0000F7280000}"/>
    <cellStyle name="40% - Énfasis4 2 21" xfId="10531" xr:uid="{00000000-0005-0000-0000-0000F8280000}"/>
    <cellStyle name="40% - Énfasis4 2 22" xfId="10532" xr:uid="{00000000-0005-0000-0000-0000F9280000}"/>
    <cellStyle name="40% - Énfasis4 2 23" xfId="10533" xr:uid="{00000000-0005-0000-0000-0000FA280000}"/>
    <cellStyle name="40% - Énfasis4 2 24" xfId="10534" xr:uid="{00000000-0005-0000-0000-0000FB280000}"/>
    <cellStyle name="40% - Énfasis4 2 25" xfId="10535" xr:uid="{00000000-0005-0000-0000-0000FC280000}"/>
    <cellStyle name="40% - Énfasis4 2 26" xfId="10536" xr:uid="{00000000-0005-0000-0000-0000FD280000}"/>
    <cellStyle name="40% - Énfasis4 2 27" xfId="10537" xr:uid="{00000000-0005-0000-0000-0000FE280000}"/>
    <cellStyle name="40% - Énfasis4 2 28" xfId="10538" xr:uid="{00000000-0005-0000-0000-0000FF280000}"/>
    <cellStyle name="40% - Énfasis4 2 29" xfId="10539" xr:uid="{00000000-0005-0000-0000-000000290000}"/>
    <cellStyle name="40% - Énfasis4 2 3" xfId="10540" xr:uid="{00000000-0005-0000-0000-000001290000}"/>
    <cellStyle name="40% - Énfasis4 2 3 2" xfId="10541" xr:uid="{00000000-0005-0000-0000-000002290000}"/>
    <cellStyle name="40% - Énfasis4 2 3 2 2" xfId="10542" xr:uid="{00000000-0005-0000-0000-000003290000}"/>
    <cellStyle name="40% - Énfasis4 2 3 2 2 2" xfId="10543" xr:uid="{00000000-0005-0000-0000-000004290000}"/>
    <cellStyle name="40% - Énfasis4 2 3 2 3" xfId="10544" xr:uid="{00000000-0005-0000-0000-000005290000}"/>
    <cellStyle name="40% - Énfasis4 2 3 2 3 2" xfId="10545" xr:uid="{00000000-0005-0000-0000-000006290000}"/>
    <cellStyle name="40% - Énfasis4 2 3 2 4" xfId="10546" xr:uid="{00000000-0005-0000-0000-000007290000}"/>
    <cellStyle name="40% - Énfasis4 2 3 3" xfId="10547" xr:uid="{00000000-0005-0000-0000-000008290000}"/>
    <cellStyle name="40% - Énfasis4 2 3 3 2" xfId="10548" xr:uid="{00000000-0005-0000-0000-000009290000}"/>
    <cellStyle name="40% - Énfasis4 2 3 4" xfId="10549" xr:uid="{00000000-0005-0000-0000-00000A290000}"/>
    <cellStyle name="40% - Énfasis4 2 3 4 2" xfId="10550" xr:uid="{00000000-0005-0000-0000-00000B290000}"/>
    <cellStyle name="40% - Énfasis4 2 3 5" xfId="10551" xr:uid="{00000000-0005-0000-0000-00000C290000}"/>
    <cellStyle name="40% - Énfasis4 2 30" xfId="10552" xr:uid="{00000000-0005-0000-0000-00000D290000}"/>
    <cellStyle name="40% - Énfasis4 2 31" xfId="10553" xr:uid="{00000000-0005-0000-0000-00000E290000}"/>
    <cellStyle name="40% - Énfasis4 2 32" xfId="10554" xr:uid="{00000000-0005-0000-0000-00000F290000}"/>
    <cellStyle name="40% - Énfasis4 2 33" xfId="10555" xr:uid="{00000000-0005-0000-0000-000010290000}"/>
    <cellStyle name="40% - Énfasis4 2 34" xfId="10556" xr:uid="{00000000-0005-0000-0000-000011290000}"/>
    <cellStyle name="40% - Énfasis4 2 35" xfId="10557" xr:uid="{00000000-0005-0000-0000-000012290000}"/>
    <cellStyle name="40% - Énfasis4 2 36" xfId="10558" xr:uid="{00000000-0005-0000-0000-000013290000}"/>
    <cellStyle name="40% - Énfasis4 2 37" xfId="10559" xr:uid="{00000000-0005-0000-0000-000014290000}"/>
    <cellStyle name="40% - Énfasis4 2 38" xfId="10560" xr:uid="{00000000-0005-0000-0000-000015290000}"/>
    <cellStyle name="40% - Énfasis4 2 4" xfId="10561" xr:uid="{00000000-0005-0000-0000-000016290000}"/>
    <cellStyle name="40% - Énfasis4 2 4 2" xfId="10562" xr:uid="{00000000-0005-0000-0000-000017290000}"/>
    <cellStyle name="40% - Énfasis4 2 4 2 2" xfId="10563" xr:uid="{00000000-0005-0000-0000-000018290000}"/>
    <cellStyle name="40% - Énfasis4 2 4 3" xfId="10564" xr:uid="{00000000-0005-0000-0000-000019290000}"/>
    <cellStyle name="40% - Énfasis4 2 4 3 2" xfId="10565" xr:uid="{00000000-0005-0000-0000-00001A290000}"/>
    <cellStyle name="40% - Énfasis4 2 4 4" xfId="10566" xr:uid="{00000000-0005-0000-0000-00001B290000}"/>
    <cellStyle name="40% - Énfasis4 2 5" xfId="10567" xr:uid="{00000000-0005-0000-0000-00001C290000}"/>
    <cellStyle name="40% - Énfasis4 2 5 2" xfId="10568" xr:uid="{00000000-0005-0000-0000-00001D290000}"/>
    <cellStyle name="40% - Énfasis4 2 6" xfId="10569" xr:uid="{00000000-0005-0000-0000-00001E290000}"/>
    <cellStyle name="40% - Énfasis4 2 6 2" xfId="10570" xr:uid="{00000000-0005-0000-0000-00001F290000}"/>
    <cellStyle name="40% - Énfasis4 2 7" xfId="10571" xr:uid="{00000000-0005-0000-0000-000020290000}"/>
    <cellStyle name="40% - Énfasis4 2 8" xfId="10572" xr:uid="{00000000-0005-0000-0000-000021290000}"/>
    <cellStyle name="40% - Énfasis4 2 9" xfId="10573" xr:uid="{00000000-0005-0000-0000-000022290000}"/>
    <cellStyle name="40% - Énfasis4 3" xfId="10574" xr:uid="{00000000-0005-0000-0000-000023290000}"/>
    <cellStyle name="40% - Énfasis4 3 10" xfId="10575" xr:uid="{00000000-0005-0000-0000-000024290000}"/>
    <cellStyle name="40% - Énfasis4 3 11" xfId="10576" xr:uid="{00000000-0005-0000-0000-000025290000}"/>
    <cellStyle name="40% - Énfasis4 3 12" xfId="10577" xr:uid="{00000000-0005-0000-0000-000026290000}"/>
    <cellStyle name="40% - Énfasis4 3 13" xfId="10578" xr:uid="{00000000-0005-0000-0000-000027290000}"/>
    <cellStyle name="40% - Énfasis4 3 14" xfId="10579" xr:uid="{00000000-0005-0000-0000-000028290000}"/>
    <cellStyle name="40% - Énfasis4 3 15" xfId="10580" xr:uid="{00000000-0005-0000-0000-000029290000}"/>
    <cellStyle name="40% - Énfasis4 3 16" xfId="10581" xr:uid="{00000000-0005-0000-0000-00002A290000}"/>
    <cellStyle name="40% - Énfasis4 3 17" xfId="10582" xr:uid="{00000000-0005-0000-0000-00002B290000}"/>
    <cellStyle name="40% - Énfasis4 3 18" xfId="10583" xr:uid="{00000000-0005-0000-0000-00002C290000}"/>
    <cellStyle name="40% - Énfasis4 3 19" xfId="10584" xr:uid="{00000000-0005-0000-0000-00002D290000}"/>
    <cellStyle name="40% - Énfasis4 3 2" xfId="10585" xr:uid="{00000000-0005-0000-0000-00002E290000}"/>
    <cellStyle name="40% - Énfasis4 3 2 2" xfId="10586" xr:uid="{00000000-0005-0000-0000-00002F290000}"/>
    <cellStyle name="40% - Énfasis4 3 2 2 2" xfId="10587" xr:uid="{00000000-0005-0000-0000-000030290000}"/>
    <cellStyle name="40% - Énfasis4 3 2 2 2 2" xfId="10588" xr:uid="{00000000-0005-0000-0000-000031290000}"/>
    <cellStyle name="40% - Énfasis4 3 2 2 2 2 2" xfId="10589" xr:uid="{00000000-0005-0000-0000-000032290000}"/>
    <cellStyle name="40% - Énfasis4 3 2 2 2 3" xfId="10590" xr:uid="{00000000-0005-0000-0000-000033290000}"/>
    <cellStyle name="40% - Énfasis4 3 2 2 2 3 2" xfId="10591" xr:uid="{00000000-0005-0000-0000-000034290000}"/>
    <cellStyle name="40% - Énfasis4 3 2 2 2 4" xfId="10592" xr:uid="{00000000-0005-0000-0000-000035290000}"/>
    <cellStyle name="40% - Énfasis4 3 2 2 3" xfId="10593" xr:uid="{00000000-0005-0000-0000-000036290000}"/>
    <cellStyle name="40% - Énfasis4 3 2 2 3 2" xfId="10594" xr:uid="{00000000-0005-0000-0000-000037290000}"/>
    <cellStyle name="40% - Énfasis4 3 2 2 4" xfId="10595" xr:uid="{00000000-0005-0000-0000-000038290000}"/>
    <cellStyle name="40% - Énfasis4 3 2 2 4 2" xfId="10596" xr:uid="{00000000-0005-0000-0000-000039290000}"/>
    <cellStyle name="40% - Énfasis4 3 2 2 5" xfId="10597" xr:uid="{00000000-0005-0000-0000-00003A290000}"/>
    <cellStyle name="40% - Énfasis4 3 2 3" xfId="10598" xr:uid="{00000000-0005-0000-0000-00003B290000}"/>
    <cellStyle name="40% - Énfasis4 3 2 3 2" xfId="10599" xr:uid="{00000000-0005-0000-0000-00003C290000}"/>
    <cellStyle name="40% - Énfasis4 3 2 3 2 2" xfId="10600" xr:uid="{00000000-0005-0000-0000-00003D290000}"/>
    <cellStyle name="40% - Énfasis4 3 2 3 3" xfId="10601" xr:uid="{00000000-0005-0000-0000-00003E290000}"/>
    <cellStyle name="40% - Énfasis4 3 2 3 3 2" xfId="10602" xr:uid="{00000000-0005-0000-0000-00003F290000}"/>
    <cellStyle name="40% - Énfasis4 3 2 3 4" xfId="10603" xr:uid="{00000000-0005-0000-0000-000040290000}"/>
    <cellStyle name="40% - Énfasis4 3 2 4" xfId="10604" xr:uid="{00000000-0005-0000-0000-000041290000}"/>
    <cellStyle name="40% - Énfasis4 3 2 4 2" xfId="10605" xr:uid="{00000000-0005-0000-0000-000042290000}"/>
    <cellStyle name="40% - Énfasis4 3 2 5" xfId="10606" xr:uid="{00000000-0005-0000-0000-000043290000}"/>
    <cellStyle name="40% - Énfasis4 3 2 5 2" xfId="10607" xr:uid="{00000000-0005-0000-0000-000044290000}"/>
    <cellStyle name="40% - Énfasis4 3 2 6" xfId="10608" xr:uid="{00000000-0005-0000-0000-000045290000}"/>
    <cellStyle name="40% - Énfasis4 3 20" xfId="10609" xr:uid="{00000000-0005-0000-0000-000046290000}"/>
    <cellStyle name="40% - Énfasis4 3 21" xfId="10610" xr:uid="{00000000-0005-0000-0000-000047290000}"/>
    <cellStyle name="40% - Énfasis4 3 22" xfId="10611" xr:uid="{00000000-0005-0000-0000-000048290000}"/>
    <cellStyle name="40% - Énfasis4 3 23" xfId="10612" xr:uid="{00000000-0005-0000-0000-000049290000}"/>
    <cellStyle name="40% - Énfasis4 3 24" xfId="10613" xr:uid="{00000000-0005-0000-0000-00004A290000}"/>
    <cellStyle name="40% - Énfasis4 3 25" xfId="10614" xr:uid="{00000000-0005-0000-0000-00004B290000}"/>
    <cellStyle name="40% - Énfasis4 3 26" xfId="10615" xr:uid="{00000000-0005-0000-0000-00004C290000}"/>
    <cellStyle name="40% - Énfasis4 3 27" xfId="10616" xr:uid="{00000000-0005-0000-0000-00004D290000}"/>
    <cellStyle name="40% - Énfasis4 3 28" xfId="10617" xr:uid="{00000000-0005-0000-0000-00004E290000}"/>
    <cellStyle name="40% - Énfasis4 3 29" xfId="10618" xr:uid="{00000000-0005-0000-0000-00004F290000}"/>
    <cellStyle name="40% - Énfasis4 3 3" xfId="10619" xr:uid="{00000000-0005-0000-0000-000050290000}"/>
    <cellStyle name="40% - Énfasis4 3 3 2" xfId="10620" xr:uid="{00000000-0005-0000-0000-000051290000}"/>
    <cellStyle name="40% - Énfasis4 3 3 2 2" xfId="10621" xr:uid="{00000000-0005-0000-0000-000052290000}"/>
    <cellStyle name="40% - Énfasis4 3 3 2 2 2" xfId="10622" xr:uid="{00000000-0005-0000-0000-000053290000}"/>
    <cellStyle name="40% - Énfasis4 3 3 2 3" xfId="10623" xr:uid="{00000000-0005-0000-0000-000054290000}"/>
    <cellStyle name="40% - Énfasis4 3 3 2 3 2" xfId="10624" xr:uid="{00000000-0005-0000-0000-000055290000}"/>
    <cellStyle name="40% - Énfasis4 3 3 2 4" xfId="10625" xr:uid="{00000000-0005-0000-0000-000056290000}"/>
    <cellStyle name="40% - Énfasis4 3 3 3" xfId="10626" xr:uid="{00000000-0005-0000-0000-000057290000}"/>
    <cellStyle name="40% - Énfasis4 3 3 3 2" xfId="10627" xr:uid="{00000000-0005-0000-0000-000058290000}"/>
    <cellStyle name="40% - Énfasis4 3 3 4" xfId="10628" xr:uid="{00000000-0005-0000-0000-000059290000}"/>
    <cellStyle name="40% - Énfasis4 3 3 4 2" xfId="10629" xr:uid="{00000000-0005-0000-0000-00005A290000}"/>
    <cellStyle name="40% - Énfasis4 3 3 5" xfId="10630" xr:uid="{00000000-0005-0000-0000-00005B290000}"/>
    <cellStyle name="40% - Énfasis4 3 30" xfId="10631" xr:uid="{00000000-0005-0000-0000-00005C290000}"/>
    <cellStyle name="40% - Énfasis4 3 31" xfId="10632" xr:uid="{00000000-0005-0000-0000-00005D290000}"/>
    <cellStyle name="40% - Énfasis4 3 32" xfId="10633" xr:uid="{00000000-0005-0000-0000-00005E290000}"/>
    <cellStyle name="40% - Énfasis4 3 33" xfId="10634" xr:uid="{00000000-0005-0000-0000-00005F290000}"/>
    <cellStyle name="40% - Énfasis4 3 34" xfId="10635" xr:uid="{00000000-0005-0000-0000-000060290000}"/>
    <cellStyle name="40% - Énfasis4 3 4" xfId="10636" xr:uid="{00000000-0005-0000-0000-000061290000}"/>
    <cellStyle name="40% - Énfasis4 3 4 2" xfId="10637" xr:uid="{00000000-0005-0000-0000-000062290000}"/>
    <cellStyle name="40% - Énfasis4 3 4 2 2" xfId="10638" xr:uid="{00000000-0005-0000-0000-000063290000}"/>
    <cellStyle name="40% - Énfasis4 3 4 3" xfId="10639" xr:uid="{00000000-0005-0000-0000-000064290000}"/>
    <cellStyle name="40% - Énfasis4 3 4 3 2" xfId="10640" xr:uid="{00000000-0005-0000-0000-000065290000}"/>
    <cellStyle name="40% - Énfasis4 3 4 4" xfId="10641" xr:uid="{00000000-0005-0000-0000-000066290000}"/>
    <cellStyle name="40% - Énfasis4 3 5" xfId="10642" xr:uid="{00000000-0005-0000-0000-000067290000}"/>
    <cellStyle name="40% - Énfasis4 3 5 2" xfId="10643" xr:uid="{00000000-0005-0000-0000-000068290000}"/>
    <cellStyle name="40% - Énfasis4 3 6" xfId="10644" xr:uid="{00000000-0005-0000-0000-000069290000}"/>
    <cellStyle name="40% - Énfasis4 3 6 2" xfId="10645" xr:uid="{00000000-0005-0000-0000-00006A290000}"/>
    <cellStyle name="40% - Énfasis4 3 7" xfId="10646" xr:uid="{00000000-0005-0000-0000-00006B290000}"/>
    <cellStyle name="40% - Énfasis4 3 8" xfId="10647" xr:uid="{00000000-0005-0000-0000-00006C290000}"/>
    <cellStyle name="40% - Énfasis4 3 9" xfId="10648" xr:uid="{00000000-0005-0000-0000-00006D290000}"/>
    <cellStyle name="40% - Énfasis4 4" xfId="10649" xr:uid="{00000000-0005-0000-0000-00006E290000}"/>
    <cellStyle name="40% - Énfasis4 4 2" xfId="10650" xr:uid="{00000000-0005-0000-0000-00006F290000}"/>
    <cellStyle name="40% - Énfasis4 4 2 2" xfId="10651" xr:uid="{00000000-0005-0000-0000-000070290000}"/>
    <cellStyle name="40% - Énfasis4 4 2 2 2" xfId="10652" xr:uid="{00000000-0005-0000-0000-000071290000}"/>
    <cellStyle name="40% - Énfasis4 4 2 2 2 2" xfId="10653" xr:uid="{00000000-0005-0000-0000-000072290000}"/>
    <cellStyle name="40% - Énfasis4 4 2 2 2 2 2" xfId="10654" xr:uid="{00000000-0005-0000-0000-000073290000}"/>
    <cellStyle name="40% - Énfasis4 4 2 2 2 3" xfId="10655" xr:uid="{00000000-0005-0000-0000-000074290000}"/>
    <cellStyle name="40% - Énfasis4 4 2 2 2 3 2" xfId="10656" xr:uid="{00000000-0005-0000-0000-000075290000}"/>
    <cellStyle name="40% - Énfasis4 4 2 2 2 4" xfId="10657" xr:uid="{00000000-0005-0000-0000-000076290000}"/>
    <cellStyle name="40% - Énfasis4 4 2 2 3" xfId="10658" xr:uid="{00000000-0005-0000-0000-000077290000}"/>
    <cellStyle name="40% - Énfasis4 4 2 2 3 2" xfId="10659" xr:uid="{00000000-0005-0000-0000-000078290000}"/>
    <cellStyle name="40% - Énfasis4 4 2 2 4" xfId="10660" xr:uid="{00000000-0005-0000-0000-000079290000}"/>
    <cellStyle name="40% - Énfasis4 4 2 2 4 2" xfId="10661" xr:uid="{00000000-0005-0000-0000-00007A290000}"/>
    <cellStyle name="40% - Énfasis4 4 2 2 5" xfId="10662" xr:uid="{00000000-0005-0000-0000-00007B290000}"/>
    <cellStyle name="40% - Énfasis4 4 2 3" xfId="10663" xr:uid="{00000000-0005-0000-0000-00007C290000}"/>
    <cellStyle name="40% - Énfasis4 4 2 3 2" xfId="10664" xr:uid="{00000000-0005-0000-0000-00007D290000}"/>
    <cellStyle name="40% - Énfasis4 4 2 3 2 2" xfId="10665" xr:uid="{00000000-0005-0000-0000-00007E290000}"/>
    <cellStyle name="40% - Énfasis4 4 2 3 3" xfId="10666" xr:uid="{00000000-0005-0000-0000-00007F290000}"/>
    <cellStyle name="40% - Énfasis4 4 2 3 3 2" xfId="10667" xr:uid="{00000000-0005-0000-0000-000080290000}"/>
    <cellStyle name="40% - Énfasis4 4 2 3 4" xfId="10668" xr:uid="{00000000-0005-0000-0000-000081290000}"/>
    <cellStyle name="40% - Énfasis4 4 2 4" xfId="10669" xr:uid="{00000000-0005-0000-0000-000082290000}"/>
    <cellStyle name="40% - Énfasis4 4 2 4 2" xfId="10670" xr:uid="{00000000-0005-0000-0000-000083290000}"/>
    <cellStyle name="40% - Énfasis4 4 2 5" xfId="10671" xr:uid="{00000000-0005-0000-0000-000084290000}"/>
    <cellStyle name="40% - Énfasis4 4 2 5 2" xfId="10672" xr:uid="{00000000-0005-0000-0000-000085290000}"/>
    <cellStyle name="40% - Énfasis4 4 2 6" xfId="10673" xr:uid="{00000000-0005-0000-0000-000086290000}"/>
    <cellStyle name="40% - Énfasis4 4 3" xfId="10674" xr:uid="{00000000-0005-0000-0000-000087290000}"/>
    <cellStyle name="40% - Énfasis4 4 3 2" xfId="10675" xr:uid="{00000000-0005-0000-0000-000088290000}"/>
    <cellStyle name="40% - Énfasis4 4 3 2 2" xfId="10676" xr:uid="{00000000-0005-0000-0000-000089290000}"/>
    <cellStyle name="40% - Énfasis4 4 3 2 2 2" xfId="10677" xr:uid="{00000000-0005-0000-0000-00008A290000}"/>
    <cellStyle name="40% - Énfasis4 4 3 2 3" xfId="10678" xr:uid="{00000000-0005-0000-0000-00008B290000}"/>
    <cellStyle name="40% - Énfasis4 4 3 2 3 2" xfId="10679" xr:uid="{00000000-0005-0000-0000-00008C290000}"/>
    <cellStyle name="40% - Énfasis4 4 3 2 4" xfId="10680" xr:uid="{00000000-0005-0000-0000-00008D290000}"/>
    <cellStyle name="40% - Énfasis4 4 3 3" xfId="10681" xr:uid="{00000000-0005-0000-0000-00008E290000}"/>
    <cellStyle name="40% - Énfasis4 4 3 3 2" xfId="10682" xr:uid="{00000000-0005-0000-0000-00008F290000}"/>
    <cellStyle name="40% - Énfasis4 4 3 4" xfId="10683" xr:uid="{00000000-0005-0000-0000-000090290000}"/>
    <cellStyle name="40% - Énfasis4 4 3 4 2" xfId="10684" xr:uid="{00000000-0005-0000-0000-000091290000}"/>
    <cellStyle name="40% - Énfasis4 4 3 5" xfId="10685" xr:uid="{00000000-0005-0000-0000-000092290000}"/>
    <cellStyle name="40% - Énfasis4 4 4" xfId="10686" xr:uid="{00000000-0005-0000-0000-000093290000}"/>
    <cellStyle name="40% - Énfasis4 4 4 2" xfId="10687" xr:uid="{00000000-0005-0000-0000-000094290000}"/>
    <cellStyle name="40% - Énfasis4 4 4 2 2" xfId="10688" xr:uid="{00000000-0005-0000-0000-000095290000}"/>
    <cellStyle name="40% - Énfasis4 4 4 3" xfId="10689" xr:uid="{00000000-0005-0000-0000-000096290000}"/>
    <cellStyle name="40% - Énfasis4 4 4 3 2" xfId="10690" xr:uid="{00000000-0005-0000-0000-000097290000}"/>
    <cellStyle name="40% - Énfasis4 4 4 4" xfId="10691" xr:uid="{00000000-0005-0000-0000-000098290000}"/>
    <cellStyle name="40% - Énfasis4 4 5" xfId="10692" xr:uid="{00000000-0005-0000-0000-000099290000}"/>
    <cellStyle name="40% - Énfasis4 4 5 2" xfId="10693" xr:uid="{00000000-0005-0000-0000-00009A290000}"/>
    <cellStyle name="40% - Énfasis4 4 6" xfId="10694" xr:uid="{00000000-0005-0000-0000-00009B290000}"/>
    <cellStyle name="40% - Énfasis4 4 6 2" xfId="10695" xr:uid="{00000000-0005-0000-0000-00009C290000}"/>
    <cellStyle name="40% - Énfasis4 4 7" xfId="10696" xr:uid="{00000000-0005-0000-0000-00009D290000}"/>
    <cellStyle name="40% - Énfasis4 4 8" xfId="10697" xr:uid="{00000000-0005-0000-0000-00009E290000}"/>
    <cellStyle name="40% - Énfasis4 5" xfId="10698" xr:uid="{00000000-0005-0000-0000-00009F290000}"/>
    <cellStyle name="40% - Énfasis4 5 2" xfId="10699" xr:uid="{00000000-0005-0000-0000-0000A0290000}"/>
    <cellStyle name="40% - Énfasis4 5 2 2" xfId="10700" xr:uid="{00000000-0005-0000-0000-0000A1290000}"/>
    <cellStyle name="40% - Énfasis4 5 2 2 2" xfId="10701" xr:uid="{00000000-0005-0000-0000-0000A2290000}"/>
    <cellStyle name="40% - Énfasis4 5 2 2 2 2" xfId="10702" xr:uid="{00000000-0005-0000-0000-0000A3290000}"/>
    <cellStyle name="40% - Énfasis4 5 2 2 2 2 2" xfId="10703" xr:uid="{00000000-0005-0000-0000-0000A4290000}"/>
    <cellStyle name="40% - Énfasis4 5 2 2 2 3" xfId="10704" xr:uid="{00000000-0005-0000-0000-0000A5290000}"/>
    <cellStyle name="40% - Énfasis4 5 2 2 2 3 2" xfId="10705" xr:uid="{00000000-0005-0000-0000-0000A6290000}"/>
    <cellStyle name="40% - Énfasis4 5 2 2 2 4" xfId="10706" xr:uid="{00000000-0005-0000-0000-0000A7290000}"/>
    <cellStyle name="40% - Énfasis4 5 2 2 3" xfId="10707" xr:uid="{00000000-0005-0000-0000-0000A8290000}"/>
    <cellStyle name="40% - Énfasis4 5 2 2 3 2" xfId="10708" xr:uid="{00000000-0005-0000-0000-0000A9290000}"/>
    <cellStyle name="40% - Énfasis4 5 2 2 4" xfId="10709" xr:uid="{00000000-0005-0000-0000-0000AA290000}"/>
    <cellStyle name="40% - Énfasis4 5 2 2 4 2" xfId="10710" xr:uid="{00000000-0005-0000-0000-0000AB290000}"/>
    <cellStyle name="40% - Énfasis4 5 2 2 5" xfId="10711" xr:uid="{00000000-0005-0000-0000-0000AC290000}"/>
    <cellStyle name="40% - Énfasis4 5 2 3" xfId="10712" xr:uid="{00000000-0005-0000-0000-0000AD290000}"/>
    <cellStyle name="40% - Énfasis4 5 2 3 2" xfId="10713" xr:uid="{00000000-0005-0000-0000-0000AE290000}"/>
    <cellStyle name="40% - Énfasis4 5 2 3 2 2" xfId="10714" xr:uid="{00000000-0005-0000-0000-0000AF290000}"/>
    <cellStyle name="40% - Énfasis4 5 2 3 3" xfId="10715" xr:uid="{00000000-0005-0000-0000-0000B0290000}"/>
    <cellStyle name="40% - Énfasis4 5 2 3 3 2" xfId="10716" xr:uid="{00000000-0005-0000-0000-0000B1290000}"/>
    <cellStyle name="40% - Énfasis4 5 2 3 4" xfId="10717" xr:uid="{00000000-0005-0000-0000-0000B2290000}"/>
    <cellStyle name="40% - Énfasis4 5 2 4" xfId="10718" xr:uid="{00000000-0005-0000-0000-0000B3290000}"/>
    <cellStyle name="40% - Énfasis4 5 2 4 2" xfId="10719" xr:uid="{00000000-0005-0000-0000-0000B4290000}"/>
    <cellStyle name="40% - Énfasis4 5 2 5" xfId="10720" xr:uid="{00000000-0005-0000-0000-0000B5290000}"/>
    <cellStyle name="40% - Énfasis4 5 2 5 2" xfId="10721" xr:uid="{00000000-0005-0000-0000-0000B6290000}"/>
    <cellStyle name="40% - Énfasis4 5 2 6" xfId="10722" xr:uid="{00000000-0005-0000-0000-0000B7290000}"/>
    <cellStyle name="40% - Énfasis4 5 3" xfId="10723" xr:uid="{00000000-0005-0000-0000-0000B8290000}"/>
    <cellStyle name="40% - Énfasis4 5 3 2" xfId="10724" xr:uid="{00000000-0005-0000-0000-0000B9290000}"/>
    <cellStyle name="40% - Énfasis4 5 3 2 2" xfId="10725" xr:uid="{00000000-0005-0000-0000-0000BA290000}"/>
    <cellStyle name="40% - Énfasis4 5 3 2 2 2" xfId="10726" xr:uid="{00000000-0005-0000-0000-0000BB290000}"/>
    <cellStyle name="40% - Énfasis4 5 3 2 3" xfId="10727" xr:uid="{00000000-0005-0000-0000-0000BC290000}"/>
    <cellStyle name="40% - Énfasis4 5 3 2 3 2" xfId="10728" xr:uid="{00000000-0005-0000-0000-0000BD290000}"/>
    <cellStyle name="40% - Énfasis4 5 3 2 4" xfId="10729" xr:uid="{00000000-0005-0000-0000-0000BE290000}"/>
    <cellStyle name="40% - Énfasis4 5 3 3" xfId="10730" xr:uid="{00000000-0005-0000-0000-0000BF290000}"/>
    <cellStyle name="40% - Énfasis4 5 3 3 2" xfId="10731" xr:uid="{00000000-0005-0000-0000-0000C0290000}"/>
    <cellStyle name="40% - Énfasis4 5 3 4" xfId="10732" xr:uid="{00000000-0005-0000-0000-0000C1290000}"/>
    <cellStyle name="40% - Énfasis4 5 3 4 2" xfId="10733" xr:uid="{00000000-0005-0000-0000-0000C2290000}"/>
    <cellStyle name="40% - Énfasis4 5 3 5" xfId="10734" xr:uid="{00000000-0005-0000-0000-0000C3290000}"/>
    <cellStyle name="40% - Énfasis4 5 4" xfId="10735" xr:uid="{00000000-0005-0000-0000-0000C4290000}"/>
    <cellStyle name="40% - Énfasis4 5 4 2" xfId="10736" xr:uid="{00000000-0005-0000-0000-0000C5290000}"/>
    <cellStyle name="40% - Énfasis4 5 4 2 2" xfId="10737" xr:uid="{00000000-0005-0000-0000-0000C6290000}"/>
    <cellStyle name="40% - Énfasis4 5 4 3" xfId="10738" xr:uid="{00000000-0005-0000-0000-0000C7290000}"/>
    <cellStyle name="40% - Énfasis4 5 4 3 2" xfId="10739" xr:uid="{00000000-0005-0000-0000-0000C8290000}"/>
    <cellStyle name="40% - Énfasis4 5 4 4" xfId="10740" xr:uid="{00000000-0005-0000-0000-0000C9290000}"/>
    <cellStyle name="40% - Énfasis4 5 5" xfId="10741" xr:uid="{00000000-0005-0000-0000-0000CA290000}"/>
    <cellStyle name="40% - Énfasis4 5 5 2" xfId="10742" xr:uid="{00000000-0005-0000-0000-0000CB290000}"/>
    <cellStyle name="40% - Énfasis4 5 6" xfId="10743" xr:uid="{00000000-0005-0000-0000-0000CC290000}"/>
    <cellStyle name="40% - Énfasis4 5 6 2" xfId="10744" xr:uid="{00000000-0005-0000-0000-0000CD290000}"/>
    <cellStyle name="40% - Énfasis4 5 7" xfId="10745" xr:uid="{00000000-0005-0000-0000-0000CE290000}"/>
    <cellStyle name="40% - Énfasis4 6" xfId="10746" xr:uid="{00000000-0005-0000-0000-0000CF290000}"/>
    <cellStyle name="40% - Énfasis4 6 2" xfId="10747" xr:uid="{00000000-0005-0000-0000-0000D0290000}"/>
    <cellStyle name="40% - Énfasis4 6 2 2" xfId="10748" xr:uid="{00000000-0005-0000-0000-0000D1290000}"/>
    <cellStyle name="40% - Énfasis4 6 2 2 2" xfId="10749" xr:uid="{00000000-0005-0000-0000-0000D2290000}"/>
    <cellStyle name="40% - Énfasis4 6 2 2 2 2" xfId="10750" xr:uid="{00000000-0005-0000-0000-0000D3290000}"/>
    <cellStyle name="40% - Énfasis4 6 2 2 2 2 2" xfId="10751" xr:uid="{00000000-0005-0000-0000-0000D4290000}"/>
    <cellStyle name="40% - Énfasis4 6 2 2 2 3" xfId="10752" xr:uid="{00000000-0005-0000-0000-0000D5290000}"/>
    <cellStyle name="40% - Énfasis4 6 2 2 2 3 2" xfId="10753" xr:uid="{00000000-0005-0000-0000-0000D6290000}"/>
    <cellStyle name="40% - Énfasis4 6 2 2 2 4" xfId="10754" xr:uid="{00000000-0005-0000-0000-0000D7290000}"/>
    <cellStyle name="40% - Énfasis4 6 2 2 3" xfId="10755" xr:uid="{00000000-0005-0000-0000-0000D8290000}"/>
    <cellStyle name="40% - Énfasis4 6 2 2 3 2" xfId="10756" xr:uid="{00000000-0005-0000-0000-0000D9290000}"/>
    <cellStyle name="40% - Énfasis4 6 2 2 4" xfId="10757" xr:uid="{00000000-0005-0000-0000-0000DA290000}"/>
    <cellStyle name="40% - Énfasis4 6 2 2 4 2" xfId="10758" xr:uid="{00000000-0005-0000-0000-0000DB290000}"/>
    <cellStyle name="40% - Énfasis4 6 2 2 5" xfId="10759" xr:uid="{00000000-0005-0000-0000-0000DC290000}"/>
    <cellStyle name="40% - Énfasis4 6 2 3" xfId="10760" xr:uid="{00000000-0005-0000-0000-0000DD290000}"/>
    <cellStyle name="40% - Énfasis4 6 2 3 2" xfId="10761" xr:uid="{00000000-0005-0000-0000-0000DE290000}"/>
    <cellStyle name="40% - Énfasis4 6 2 3 2 2" xfId="10762" xr:uid="{00000000-0005-0000-0000-0000DF290000}"/>
    <cellStyle name="40% - Énfasis4 6 2 3 3" xfId="10763" xr:uid="{00000000-0005-0000-0000-0000E0290000}"/>
    <cellStyle name="40% - Énfasis4 6 2 3 3 2" xfId="10764" xr:uid="{00000000-0005-0000-0000-0000E1290000}"/>
    <cellStyle name="40% - Énfasis4 6 2 3 4" xfId="10765" xr:uid="{00000000-0005-0000-0000-0000E2290000}"/>
    <cellStyle name="40% - Énfasis4 6 2 4" xfId="10766" xr:uid="{00000000-0005-0000-0000-0000E3290000}"/>
    <cellStyle name="40% - Énfasis4 6 2 4 2" xfId="10767" xr:uid="{00000000-0005-0000-0000-0000E4290000}"/>
    <cellStyle name="40% - Énfasis4 6 2 5" xfId="10768" xr:uid="{00000000-0005-0000-0000-0000E5290000}"/>
    <cellStyle name="40% - Énfasis4 6 2 5 2" xfId="10769" xr:uid="{00000000-0005-0000-0000-0000E6290000}"/>
    <cellStyle name="40% - Énfasis4 6 2 6" xfId="10770" xr:uid="{00000000-0005-0000-0000-0000E7290000}"/>
    <cellStyle name="40% - Énfasis4 6 3" xfId="10771" xr:uid="{00000000-0005-0000-0000-0000E8290000}"/>
    <cellStyle name="40% - Énfasis4 6 3 2" xfId="10772" xr:uid="{00000000-0005-0000-0000-0000E9290000}"/>
    <cellStyle name="40% - Énfasis4 6 3 2 2" xfId="10773" xr:uid="{00000000-0005-0000-0000-0000EA290000}"/>
    <cellStyle name="40% - Énfasis4 6 3 2 2 2" xfId="10774" xr:uid="{00000000-0005-0000-0000-0000EB290000}"/>
    <cellStyle name="40% - Énfasis4 6 3 2 3" xfId="10775" xr:uid="{00000000-0005-0000-0000-0000EC290000}"/>
    <cellStyle name="40% - Énfasis4 6 3 2 3 2" xfId="10776" xr:uid="{00000000-0005-0000-0000-0000ED290000}"/>
    <cellStyle name="40% - Énfasis4 6 3 2 4" xfId="10777" xr:uid="{00000000-0005-0000-0000-0000EE290000}"/>
    <cellStyle name="40% - Énfasis4 6 3 3" xfId="10778" xr:uid="{00000000-0005-0000-0000-0000EF290000}"/>
    <cellStyle name="40% - Énfasis4 6 3 3 2" xfId="10779" xr:uid="{00000000-0005-0000-0000-0000F0290000}"/>
    <cellStyle name="40% - Énfasis4 6 3 4" xfId="10780" xr:uid="{00000000-0005-0000-0000-0000F1290000}"/>
    <cellStyle name="40% - Énfasis4 6 3 4 2" xfId="10781" xr:uid="{00000000-0005-0000-0000-0000F2290000}"/>
    <cellStyle name="40% - Énfasis4 6 3 5" xfId="10782" xr:uid="{00000000-0005-0000-0000-0000F3290000}"/>
    <cellStyle name="40% - Énfasis4 6 4" xfId="10783" xr:uid="{00000000-0005-0000-0000-0000F4290000}"/>
    <cellStyle name="40% - Énfasis4 6 4 2" xfId="10784" xr:uid="{00000000-0005-0000-0000-0000F5290000}"/>
    <cellStyle name="40% - Énfasis4 6 4 2 2" xfId="10785" xr:uid="{00000000-0005-0000-0000-0000F6290000}"/>
    <cellStyle name="40% - Énfasis4 6 4 3" xfId="10786" xr:uid="{00000000-0005-0000-0000-0000F7290000}"/>
    <cellStyle name="40% - Énfasis4 6 4 3 2" xfId="10787" xr:uid="{00000000-0005-0000-0000-0000F8290000}"/>
    <cellStyle name="40% - Énfasis4 6 4 4" xfId="10788" xr:uid="{00000000-0005-0000-0000-0000F9290000}"/>
    <cellStyle name="40% - Énfasis4 6 5" xfId="10789" xr:uid="{00000000-0005-0000-0000-0000FA290000}"/>
    <cellStyle name="40% - Énfasis4 6 5 2" xfId="10790" xr:uid="{00000000-0005-0000-0000-0000FB290000}"/>
    <cellStyle name="40% - Énfasis4 6 6" xfId="10791" xr:uid="{00000000-0005-0000-0000-0000FC290000}"/>
    <cellStyle name="40% - Énfasis4 6 6 2" xfId="10792" xr:uid="{00000000-0005-0000-0000-0000FD290000}"/>
    <cellStyle name="40% - Énfasis4 6 7" xfId="10793" xr:uid="{00000000-0005-0000-0000-0000FE290000}"/>
    <cellStyle name="40% - Énfasis4 7" xfId="10794" xr:uid="{00000000-0005-0000-0000-0000FF290000}"/>
    <cellStyle name="40% - Énfasis4 7 2" xfId="10795" xr:uid="{00000000-0005-0000-0000-0000002A0000}"/>
    <cellStyle name="40% - Énfasis4 7 2 2" xfId="10796" xr:uid="{00000000-0005-0000-0000-0000012A0000}"/>
    <cellStyle name="40% - Énfasis4 7 2 2 2" xfId="10797" xr:uid="{00000000-0005-0000-0000-0000022A0000}"/>
    <cellStyle name="40% - Énfasis4 7 2 2 2 2" xfId="10798" xr:uid="{00000000-0005-0000-0000-0000032A0000}"/>
    <cellStyle name="40% - Énfasis4 7 2 2 3" xfId="10799" xr:uid="{00000000-0005-0000-0000-0000042A0000}"/>
    <cellStyle name="40% - Énfasis4 7 2 2 3 2" xfId="10800" xr:uid="{00000000-0005-0000-0000-0000052A0000}"/>
    <cellStyle name="40% - Énfasis4 7 2 2 4" xfId="10801" xr:uid="{00000000-0005-0000-0000-0000062A0000}"/>
    <cellStyle name="40% - Énfasis4 7 2 3" xfId="10802" xr:uid="{00000000-0005-0000-0000-0000072A0000}"/>
    <cellStyle name="40% - Énfasis4 7 2 3 2" xfId="10803" xr:uid="{00000000-0005-0000-0000-0000082A0000}"/>
    <cellStyle name="40% - Énfasis4 7 2 4" xfId="10804" xr:uid="{00000000-0005-0000-0000-0000092A0000}"/>
    <cellStyle name="40% - Énfasis4 7 2 4 2" xfId="10805" xr:uid="{00000000-0005-0000-0000-00000A2A0000}"/>
    <cellStyle name="40% - Énfasis4 7 2 5" xfId="10806" xr:uid="{00000000-0005-0000-0000-00000B2A0000}"/>
    <cellStyle name="40% - Énfasis4 7 3" xfId="10807" xr:uid="{00000000-0005-0000-0000-00000C2A0000}"/>
    <cellStyle name="40% - Énfasis4 7 3 2" xfId="10808" xr:uid="{00000000-0005-0000-0000-00000D2A0000}"/>
    <cellStyle name="40% - Énfasis4 7 3 2 2" xfId="10809" xr:uid="{00000000-0005-0000-0000-00000E2A0000}"/>
    <cellStyle name="40% - Énfasis4 7 3 3" xfId="10810" xr:uid="{00000000-0005-0000-0000-00000F2A0000}"/>
    <cellStyle name="40% - Énfasis4 7 3 3 2" xfId="10811" xr:uid="{00000000-0005-0000-0000-0000102A0000}"/>
    <cellStyle name="40% - Énfasis4 7 3 4" xfId="10812" xr:uid="{00000000-0005-0000-0000-0000112A0000}"/>
    <cellStyle name="40% - Énfasis4 7 4" xfId="10813" xr:uid="{00000000-0005-0000-0000-0000122A0000}"/>
    <cellStyle name="40% - Énfasis4 7 4 2" xfId="10814" xr:uid="{00000000-0005-0000-0000-0000132A0000}"/>
    <cellStyle name="40% - Énfasis4 7 5" xfId="10815" xr:uid="{00000000-0005-0000-0000-0000142A0000}"/>
    <cellStyle name="40% - Énfasis4 7 5 2" xfId="10816" xr:uid="{00000000-0005-0000-0000-0000152A0000}"/>
    <cellStyle name="40% - Énfasis4 7 6" xfId="10817" xr:uid="{00000000-0005-0000-0000-0000162A0000}"/>
    <cellStyle name="40% - Énfasis4 8" xfId="10818" xr:uid="{00000000-0005-0000-0000-0000172A0000}"/>
    <cellStyle name="40% - Énfasis4 8 2" xfId="10819" xr:uid="{00000000-0005-0000-0000-0000182A0000}"/>
    <cellStyle name="40% - Énfasis4 8 2 2" xfId="10820" xr:uid="{00000000-0005-0000-0000-0000192A0000}"/>
    <cellStyle name="40% - Énfasis4 8 2 2 2" xfId="10821" xr:uid="{00000000-0005-0000-0000-00001A2A0000}"/>
    <cellStyle name="40% - Énfasis4 8 2 2 2 2" xfId="10822" xr:uid="{00000000-0005-0000-0000-00001B2A0000}"/>
    <cellStyle name="40% - Énfasis4 8 2 2 3" xfId="10823" xr:uid="{00000000-0005-0000-0000-00001C2A0000}"/>
    <cellStyle name="40% - Énfasis4 8 2 2 3 2" xfId="10824" xr:uid="{00000000-0005-0000-0000-00001D2A0000}"/>
    <cellStyle name="40% - Énfasis4 8 2 2 4" xfId="10825" xr:uid="{00000000-0005-0000-0000-00001E2A0000}"/>
    <cellStyle name="40% - Énfasis4 8 2 3" xfId="10826" xr:uid="{00000000-0005-0000-0000-00001F2A0000}"/>
    <cellStyle name="40% - Énfasis4 8 2 3 2" xfId="10827" xr:uid="{00000000-0005-0000-0000-0000202A0000}"/>
    <cellStyle name="40% - Énfasis4 8 2 4" xfId="10828" xr:uid="{00000000-0005-0000-0000-0000212A0000}"/>
    <cellStyle name="40% - Énfasis4 8 2 4 2" xfId="10829" xr:uid="{00000000-0005-0000-0000-0000222A0000}"/>
    <cellStyle name="40% - Énfasis4 8 2 5" xfId="10830" xr:uid="{00000000-0005-0000-0000-0000232A0000}"/>
    <cellStyle name="40% - Énfasis4 8 3" xfId="10831" xr:uid="{00000000-0005-0000-0000-0000242A0000}"/>
    <cellStyle name="40% - Énfasis4 8 3 2" xfId="10832" xr:uid="{00000000-0005-0000-0000-0000252A0000}"/>
    <cellStyle name="40% - Énfasis4 8 3 2 2" xfId="10833" xr:uid="{00000000-0005-0000-0000-0000262A0000}"/>
    <cellStyle name="40% - Énfasis4 8 3 3" xfId="10834" xr:uid="{00000000-0005-0000-0000-0000272A0000}"/>
    <cellStyle name="40% - Énfasis4 8 3 3 2" xfId="10835" xr:uid="{00000000-0005-0000-0000-0000282A0000}"/>
    <cellStyle name="40% - Énfasis4 8 3 4" xfId="10836" xr:uid="{00000000-0005-0000-0000-0000292A0000}"/>
    <cellStyle name="40% - Énfasis4 8 4" xfId="10837" xr:uid="{00000000-0005-0000-0000-00002A2A0000}"/>
    <cellStyle name="40% - Énfasis4 8 4 2" xfId="10838" xr:uid="{00000000-0005-0000-0000-00002B2A0000}"/>
    <cellStyle name="40% - Énfasis4 8 5" xfId="10839" xr:uid="{00000000-0005-0000-0000-00002C2A0000}"/>
    <cellStyle name="40% - Énfasis4 8 5 2" xfId="10840" xr:uid="{00000000-0005-0000-0000-00002D2A0000}"/>
    <cellStyle name="40% - Énfasis4 8 6" xfId="10841" xr:uid="{00000000-0005-0000-0000-00002E2A0000}"/>
    <cellStyle name="40% - Énfasis4 9" xfId="10842" xr:uid="{00000000-0005-0000-0000-00002F2A0000}"/>
    <cellStyle name="40% - Énfasis4 9 2" xfId="10843" xr:uid="{00000000-0005-0000-0000-0000302A0000}"/>
    <cellStyle name="40% - Énfasis4 9 2 2" xfId="10844" xr:uid="{00000000-0005-0000-0000-0000312A0000}"/>
    <cellStyle name="40% - Énfasis4 9 2 2 2" xfId="10845" xr:uid="{00000000-0005-0000-0000-0000322A0000}"/>
    <cellStyle name="40% - Énfasis4 9 2 3" xfId="10846" xr:uid="{00000000-0005-0000-0000-0000332A0000}"/>
    <cellStyle name="40% - Énfasis4 9 2 3 2" xfId="10847" xr:uid="{00000000-0005-0000-0000-0000342A0000}"/>
    <cellStyle name="40% - Énfasis4 9 2 4" xfId="10848" xr:uid="{00000000-0005-0000-0000-0000352A0000}"/>
    <cellStyle name="40% - Énfasis4 9 3" xfId="10849" xr:uid="{00000000-0005-0000-0000-0000362A0000}"/>
    <cellStyle name="40% - Énfasis4 9 3 2" xfId="10850" xr:uid="{00000000-0005-0000-0000-0000372A0000}"/>
    <cellStyle name="40% - Énfasis4 9 4" xfId="10851" xr:uid="{00000000-0005-0000-0000-0000382A0000}"/>
    <cellStyle name="40% - Énfasis4 9 4 2" xfId="10852" xr:uid="{00000000-0005-0000-0000-0000392A0000}"/>
    <cellStyle name="40% - Énfasis4 9 5" xfId="10853" xr:uid="{00000000-0005-0000-0000-00003A2A0000}"/>
    <cellStyle name="40% - Énfasis5" xfId="21" builtinId="47" customBuiltin="1"/>
    <cellStyle name="40% - Énfasis5 10" xfId="10854" xr:uid="{00000000-0005-0000-0000-00003C2A0000}"/>
    <cellStyle name="40% - Énfasis5 10 2" xfId="10855" xr:uid="{00000000-0005-0000-0000-00003D2A0000}"/>
    <cellStyle name="40% - Énfasis5 10 2 2" xfId="10856" xr:uid="{00000000-0005-0000-0000-00003E2A0000}"/>
    <cellStyle name="40% - Énfasis5 10 3" xfId="10857" xr:uid="{00000000-0005-0000-0000-00003F2A0000}"/>
    <cellStyle name="40% - Énfasis5 10 3 2" xfId="10858" xr:uid="{00000000-0005-0000-0000-0000402A0000}"/>
    <cellStyle name="40% - Énfasis5 10 4" xfId="10859" xr:uid="{00000000-0005-0000-0000-0000412A0000}"/>
    <cellStyle name="40% - Énfasis5 11" xfId="10860" xr:uid="{00000000-0005-0000-0000-0000422A0000}"/>
    <cellStyle name="40% - Énfasis5 11 2" xfId="10861" xr:uid="{00000000-0005-0000-0000-0000432A0000}"/>
    <cellStyle name="40% - Énfasis5 12" xfId="10862" xr:uid="{00000000-0005-0000-0000-0000442A0000}"/>
    <cellStyle name="40% - Énfasis5 12 2" xfId="10863" xr:uid="{00000000-0005-0000-0000-0000452A0000}"/>
    <cellStyle name="40% - Énfasis5 13" xfId="10864" xr:uid="{00000000-0005-0000-0000-0000462A0000}"/>
    <cellStyle name="40% - Énfasis5 14" xfId="10865" xr:uid="{00000000-0005-0000-0000-0000472A0000}"/>
    <cellStyle name="40% - Énfasis5 15" xfId="10866" xr:uid="{00000000-0005-0000-0000-0000482A0000}"/>
    <cellStyle name="40% - Énfasis5 16" xfId="10867" xr:uid="{00000000-0005-0000-0000-0000492A0000}"/>
    <cellStyle name="40% - Énfasis5 2" xfId="22" xr:uid="{00000000-0005-0000-0000-00004A2A0000}"/>
    <cellStyle name="40% - Énfasis5 2 10" xfId="10868" xr:uid="{00000000-0005-0000-0000-00004B2A0000}"/>
    <cellStyle name="40% - Énfasis5 2 11" xfId="10869" xr:uid="{00000000-0005-0000-0000-00004C2A0000}"/>
    <cellStyle name="40% - Énfasis5 2 12" xfId="10870" xr:uid="{00000000-0005-0000-0000-00004D2A0000}"/>
    <cellStyle name="40% - Énfasis5 2 13" xfId="10871" xr:uid="{00000000-0005-0000-0000-00004E2A0000}"/>
    <cellStyle name="40% - Énfasis5 2 14" xfId="10872" xr:uid="{00000000-0005-0000-0000-00004F2A0000}"/>
    <cellStyle name="40% - Énfasis5 2 15" xfId="10873" xr:uid="{00000000-0005-0000-0000-0000502A0000}"/>
    <cellStyle name="40% - Énfasis5 2 16" xfId="10874" xr:uid="{00000000-0005-0000-0000-0000512A0000}"/>
    <cellStyle name="40% - Énfasis5 2 17" xfId="10875" xr:uid="{00000000-0005-0000-0000-0000522A0000}"/>
    <cellStyle name="40% - Énfasis5 2 18" xfId="10876" xr:uid="{00000000-0005-0000-0000-0000532A0000}"/>
    <cellStyle name="40% - Énfasis5 2 19" xfId="10877" xr:uid="{00000000-0005-0000-0000-0000542A0000}"/>
    <cellStyle name="40% - Énfasis5 2 2" xfId="10878" xr:uid="{00000000-0005-0000-0000-0000552A0000}"/>
    <cellStyle name="40% - Énfasis5 2 2 2" xfId="10879" xr:uid="{00000000-0005-0000-0000-0000562A0000}"/>
    <cellStyle name="40% - Énfasis5 2 2 2 2" xfId="10880" xr:uid="{00000000-0005-0000-0000-0000572A0000}"/>
    <cellStyle name="40% - Énfasis5 2 2 2 2 2" xfId="10881" xr:uid="{00000000-0005-0000-0000-0000582A0000}"/>
    <cellStyle name="40% - Énfasis5 2 2 2 2 2 2" xfId="10882" xr:uid="{00000000-0005-0000-0000-0000592A0000}"/>
    <cellStyle name="40% - Énfasis5 2 2 2 2 3" xfId="10883" xr:uid="{00000000-0005-0000-0000-00005A2A0000}"/>
    <cellStyle name="40% - Énfasis5 2 2 2 2 3 2" xfId="10884" xr:uid="{00000000-0005-0000-0000-00005B2A0000}"/>
    <cellStyle name="40% - Énfasis5 2 2 2 2 4" xfId="10885" xr:uid="{00000000-0005-0000-0000-00005C2A0000}"/>
    <cellStyle name="40% - Énfasis5 2 2 2 3" xfId="10886" xr:uid="{00000000-0005-0000-0000-00005D2A0000}"/>
    <cellStyle name="40% - Énfasis5 2 2 2 3 2" xfId="10887" xr:uid="{00000000-0005-0000-0000-00005E2A0000}"/>
    <cellStyle name="40% - Énfasis5 2 2 2 4" xfId="10888" xr:uid="{00000000-0005-0000-0000-00005F2A0000}"/>
    <cellStyle name="40% - Énfasis5 2 2 2 4 2" xfId="10889" xr:uid="{00000000-0005-0000-0000-0000602A0000}"/>
    <cellStyle name="40% - Énfasis5 2 2 2 5" xfId="10890" xr:uid="{00000000-0005-0000-0000-0000612A0000}"/>
    <cellStyle name="40% - Énfasis5 2 2 3" xfId="10891" xr:uid="{00000000-0005-0000-0000-0000622A0000}"/>
    <cellStyle name="40% - Énfasis5 2 2 3 2" xfId="10892" xr:uid="{00000000-0005-0000-0000-0000632A0000}"/>
    <cellStyle name="40% - Énfasis5 2 2 3 2 2" xfId="10893" xr:uid="{00000000-0005-0000-0000-0000642A0000}"/>
    <cellStyle name="40% - Énfasis5 2 2 3 3" xfId="10894" xr:uid="{00000000-0005-0000-0000-0000652A0000}"/>
    <cellStyle name="40% - Énfasis5 2 2 3 3 2" xfId="10895" xr:uid="{00000000-0005-0000-0000-0000662A0000}"/>
    <cellStyle name="40% - Énfasis5 2 2 3 4" xfId="10896" xr:uid="{00000000-0005-0000-0000-0000672A0000}"/>
    <cellStyle name="40% - Énfasis5 2 2 4" xfId="10897" xr:uid="{00000000-0005-0000-0000-0000682A0000}"/>
    <cellStyle name="40% - Énfasis5 2 2 4 2" xfId="10898" xr:uid="{00000000-0005-0000-0000-0000692A0000}"/>
    <cellStyle name="40% - Énfasis5 2 2 5" xfId="10899" xr:uid="{00000000-0005-0000-0000-00006A2A0000}"/>
    <cellStyle name="40% - Énfasis5 2 2 5 2" xfId="10900" xr:uid="{00000000-0005-0000-0000-00006B2A0000}"/>
    <cellStyle name="40% - Énfasis5 2 2 6" xfId="10901" xr:uid="{00000000-0005-0000-0000-00006C2A0000}"/>
    <cellStyle name="40% - Énfasis5 2 20" xfId="10902" xr:uid="{00000000-0005-0000-0000-00006D2A0000}"/>
    <cellStyle name="40% - Énfasis5 2 21" xfId="10903" xr:uid="{00000000-0005-0000-0000-00006E2A0000}"/>
    <cellStyle name="40% - Énfasis5 2 22" xfId="10904" xr:uid="{00000000-0005-0000-0000-00006F2A0000}"/>
    <cellStyle name="40% - Énfasis5 2 23" xfId="10905" xr:uid="{00000000-0005-0000-0000-0000702A0000}"/>
    <cellStyle name="40% - Énfasis5 2 24" xfId="10906" xr:uid="{00000000-0005-0000-0000-0000712A0000}"/>
    <cellStyle name="40% - Énfasis5 2 25" xfId="10907" xr:uid="{00000000-0005-0000-0000-0000722A0000}"/>
    <cellStyle name="40% - Énfasis5 2 26" xfId="10908" xr:uid="{00000000-0005-0000-0000-0000732A0000}"/>
    <cellStyle name="40% - Énfasis5 2 27" xfId="10909" xr:uid="{00000000-0005-0000-0000-0000742A0000}"/>
    <cellStyle name="40% - Énfasis5 2 28" xfId="10910" xr:uid="{00000000-0005-0000-0000-0000752A0000}"/>
    <cellStyle name="40% - Énfasis5 2 29" xfId="10911" xr:uid="{00000000-0005-0000-0000-0000762A0000}"/>
    <cellStyle name="40% - Énfasis5 2 3" xfId="10912" xr:uid="{00000000-0005-0000-0000-0000772A0000}"/>
    <cellStyle name="40% - Énfasis5 2 3 2" xfId="10913" xr:uid="{00000000-0005-0000-0000-0000782A0000}"/>
    <cellStyle name="40% - Énfasis5 2 3 2 2" xfId="10914" xr:uid="{00000000-0005-0000-0000-0000792A0000}"/>
    <cellStyle name="40% - Énfasis5 2 3 2 2 2" xfId="10915" xr:uid="{00000000-0005-0000-0000-00007A2A0000}"/>
    <cellStyle name="40% - Énfasis5 2 3 2 3" xfId="10916" xr:uid="{00000000-0005-0000-0000-00007B2A0000}"/>
    <cellStyle name="40% - Énfasis5 2 3 2 3 2" xfId="10917" xr:uid="{00000000-0005-0000-0000-00007C2A0000}"/>
    <cellStyle name="40% - Énfasis5 2 3 2 4" xfId="10918" xr:uid="{00000000-0005-0000-0000-00007D2A0000}"/>
    <cellStyle name="40% - Énfasis5 2 3 3" xfId="10919" xr:uid="{00000000-0005-0000-0000-00007E2A0000}"/>
    <cellStyle name="40% - Énfasis5 2 3 3 2" xfId="10920" xr:uid="{00000000-0005-0000-0000-00007F2A0000}"/>
    <cellStyle name="40% - Énfasis5 2 3 4" xfId="10921" xr:uid="{00000000-0005-0000-0000-0000802A0000}"/>
    <cellStyle name="40% - Énfasis5 2 3 4 2" xfId="10922" xr:uid="{00000000-0005-0000-0000-0000812A0000}"/>
    <cellStyle name="40% - Énfasis5 2 3 5" xfId="10923" xr:uid="{00000000-0005-0000-0000-0000822A0000}"/>
    <cellStyle name="40% - Énfasis5 2 30" xfId="10924" xr:uid="{00000000-0005-0000-0000-0000832A0000}"/>
    <cellStyle name="40% - Énfasis5 2 31" xfId="10925" xr:uid="{00000000-0005-0000-0000-0000842A0000}"/>
    <cellStyle name="40% - Énfasis5 2 32" xfId="10926" xr:uid="{00000000-0005-0000-0000-0000852A0000}"/>
    <cellStyle name="40% - Énfasis5 2 33" xfId="10927" xr:uid="{00000000-0005-0000-0000-0000862A0000}"/>
    <cellStyle name="40% - Énfasis5 2 34" xfId="10928" xr:uid="{00000000-0005-0000-0000-0000872A0000}"/>
    <cellStyle name="40% - Énfasis5 2 35" xfId="10929" xr:uid="{00000000-0005-0000-0000-0000882A0000}"/>
    <cellStyle name="40% - Énfasis5 2 36" xfId="10930" xr:uid="{00000000-0005-0000-0000-0000892A0000}"/>
    <cellStyle name="40% - Énfasis5 2 37" xfId="10931" xr:uid="{00000000-0005-0000-0000-00008A2A0000}"/>
    <cellStyle name="40% - Énfasis5 2 38" xfId="10932" xr:uid="{00000000-0005-0000-0000-00008B2A0000}"/>
    <cellStyle name="40% - Énfasis5 2 4" xfId="10933" xr:uid="{00000000-0005-0000-0000-00008C2A0000}"/>
    <cellStyle name="40% - Énfasis5 2 4 2" xfId="10934" xr:uid="{00000000-0005-0000-0000-00008D2A0000}"/>
    <cellStyle name="40% - Énfasis5 2 4 2 2" xfId="10935" xr:uid="{00000000-0005-0000-0000-00008E2A0000}"/>
    <cellStyle name="40% - Énfasis5 2 4 3" xfId="10936" xr:uid="{00000000-0005-0000-0000-00008F2A0000}"/>
    <cellStyle name="40% - Énfasis5 2 4 3 2" xfId="10937" xr:uid="{00000000-0005-0000-0000-0000902A0000}"/>
    <cellStyle name="40% - Énfasis5 2 4 4" xfId="10938" xr:uid="{00000000-0005-0000-0000-0000912A0000}"/>
    <cellStyle name="40% - Énfasis5 2 5" xfId="10939" xr:uid="{00000000-0005-0000-0000-0000922A0000}"/>
    <cellStyle name="40% - Énfasis5 2 5 2" xfId="10940" xr:uid="{00000000-0005-0000-0000-0000932A0000}"/>
    <cellStyle name="40% - Énfasis5 2 6" xfId="10941" xr:uid="{00000000-0005-0000-0000-0000942A0000}"/>
    <cellStyle name="40% - Énfasis5 2 6 2" xfId="10942" xr:uid="{00000000-0005-0000-0000-0000952A0000}"/>
    <cellStyle name="40% - Énfasis5 2 7" xfId="10943" xr:uid="{00000000-0005-0000-0000-0000962A0000}"/>
    <cellStyle name="40% - Énfasis5 2 8" xfId="10944" xr:uid="{00000000-0005-0000-0000-0000972A0000}"/>
    <cellStyle name="40% - Énfasis5 2 9" xfId="10945" xr:uid="{00000000-0005-0000-0000-0000982A0000}"/>
    <cellStyle name="40% - Énfasis5 3" xfId="10946" xr:uid="{00000000-0005-0000-0000-0000992A0000}"/>
    <cellStyle name="40% - Énfasis5 3 10" xfId="10947" xr:uid="{00000000-0005-0000-0000-00009A2A0000}"/>
    <cellStyle name="40% - Énfasis5 3 11" xfId="10948" xr:uid="{00000000-0005-0000-0000-00009B2A0000}"/>
    <cellStyle name="40% - Énfasis5 3 12" xfId="10949" xr:uid="{00000000-0005-0000-0000-00009C2A0000}"/>
    <cellStyle name="40% - Énfasis5 3 13" xfId="10950" xr:uid="{00000000-0005-0000-0000-00009D2A0000}"/>
    <cellStyle name="40% - Énfasis5 3 14" xfId="10951" xr:uid="{00000000-0005-0000-0000-00009E2A0000}"/>
    <cellStyle name="40% - Énfasis5 3 15" xfId="10952" xr:uid="{00000000-0005-0000-0000-00009F2A0000}"/>
    <cellStyle name="40% - Énfasis5 3 16" xfId="10953" xr:uid="{00000000-0005-0000-0000-0000A02A0000}"/>
    <cellStyle name="40% - Énfasis5 3 17" xfId="10954" xr:uid="{00000000-0005-0000-0000-0000A12A0000}"/>
    <cellStyle name="40% - Énfasis5 3 18" xfId="10955" xr:uid="{00000000-0005-0000-0000-0000A22A0000}"/>
    <cellStyle name="40% - Énfasis5 3 19" xfId="10956" xr:uid="{00000000-0005-0000-0000-0000A32A0000}"/>
    <cellStyle name="40% - Énfasis5 3 2" xfId="10957" xr:uid="{00000000-0005-0000-0000-0000A42A0000}"/>
    <cellStyle name="40% - Énfasis5 3 2 2" xfId="10958" xr:uid="{00000000-0005-0000-0000-0000A52A0000}"/>
    <cellStyle name="40% - Énfasis5 3 2 2 2" xfId="10959" xr:uid="{00000000-0005-0000-0000-0000A62A0000}"/>
    <cellStyle name="40% - Énfasis5 3 2 2 2 2" xfId="10960" xr:uid="{00000000-0005-0000-0000-0000A72A0000}"/>
    <cellStyle name="40% - Énfasis5 3 2 2 2 2 2" xfId="10961" xr:uid="{00000000-0005-0000-0000-0000A82A0000}"/>
    <cellStyle name="40% - Énfasis5 3 2 2 2 3" xfId="10962" xr:uid="{00000000-0005-0000-0000-0000A92A0000}"/>
    <cellStyle name="40% - Énfasis5 3 2 2 2 3 2" xfId="10963" xr:uid="{00000000-0005-0000-0000-0000AA2A0000}"/>
    <cellStyle name="40% - Énfasis5 3 2 2 2 4" xfId="10964" xr:uid="{00000000-0005-0000-0000-0000AB2A0000}"/>
    <cellStyle name="40% - Énfasis5 3 2 2 3" xfId="10965" xr:uid="{00000000-0005-0000-0000-0000AC2A0000}"/>
    <cellStyle name="40% - Énfasis5 3 2 2 3 2" xfId="10966" xr:uid="{00000000-0005-0000-0000-0000AD2A0000}"/>
    <cellStyle name="40% - Énfasis5 3 2 2 4" xfId="10967" xr:uid="{00000000-0005-0000-0000-0000AE2A0000}"/>
    <cellStyle name="40% - Énfasis5 3 2 2 4 2" xfId="10968" xr:uid="{00000000-0005-0000-0000-0000AF2A0000}"/>
    <cellStyle name="40% - Énfasis5 3 2 2 5" xfId="10969" xr:uid="{00000000-0005-0000-0000-0000B02A0000}"/>
    <cellStyle name="40% - Énfasis5 3 2 3" xfId="10970" xr:uid="{00000000-0005-0000-0000-0000B12A0000}"/>
    <cellStyle name="40% - Énfasis5 3 2 3 2" xfId="10971" xr:uid="{00000000-0005-0000-0000-0000B22A0000}"/>
    <cellStyle name="40% - Énfasis5 3 2 3 2 2" xfId="10972" xr:uid="{00000000-0005-0000-0000-0000B32A0000}"/>
    <cellStyle name="40% - Énfasis5 3 2 3 3" xfId="10973" xr:uid="{00000000-0005-0000-0000-0000B42A0000}"/>
    <cellStyle name="40% - Énfasis5 3 2 3 3 2" xfId="10974" xr:uid="{00000000-0005-0000-0000-0000B52A0000}"/>
    <cellStyle name="40% - Énfasis5 3 2 3 4" xfId="10975" xr:uid="{00000000-0005-0000-0000-0000B62A0000}"/>
    <cellStyle name="40% - Énfasis5 3 2 4" xfId="10976" xr:uid="{00000000-0005-0000-0000-0000B72A0000}"/>
    <cellStyle name="40% - Énfasis5 3 2 4 2" xfId="10977" xr:uid="{00000000-0005-0000-0000-0000B82A0000}"/>
    <cellStyle name="40% - Énfasis5 3 2 5" xfId="10978" xr:uid="{00000000-0005-0000-0000-0000B92A0000}"/>
    <cellStyle name="40% - Énfasis5 3 2 5 2" xfId="10979" xr:uid="{00000000-0005-0000-0000-0000BA2A0000}"/>
    <cellStyle name="40% - Énfasis5 3 2 6" xfId="10980" xr:uid="{00000000-0005-0000-0000-0000BB2A0000}"/>
    <cellStyle name="40% - Énfasis5 3 20" xfId="10981" xr:uid="{00000000-0005-0000-0000-0000BC2A0000}"/>
    <cellStyle name="40% - Énfasis5 3 21" xfId="10982" xr:uid="{00000000-0005-0000-0000-0000BD2A0000}"/>
    <cellStyle name="40% - Énfasis5 3 22" xfId="10983" xr:uid="{00000000-0005-0000-0000-0000BE2A0000}"/>
    <cellStyle name="40% - Énfasis5 3 23" xfId="10984" xr:uid="{00000000-0005-0000-0000-0000BF2A0000}"/>
    <cellStyle name="40% - Énfasis5 3 24" xfId="10985" xr:uid="{00000000-0005-0000-0000-0000C02A0000}"/>
    <cellStyle name="40% - Énfasis5 3 25" xfId="10986" xr:uid="{00000000-0005-0000-0000-0000C12A0000}"/>
    <cellStyle name="40% - Énfasis5 3 26" xfId="10987" xr:uid="{00000000-0005-0000-0000-0000C22A0000}"/>
    <cellStyle name="40% - Énfasis5 3 27" xfId="10988" xr:uid="{00000000-0005-0000-0000-0000C32A0000}"/>
    <cellStyle name="40% - Énfasis5 3 28" xfId="10989" xr:uid="{00000000-0005-0000-0000-0000C42A0000}"/>
    <cellStyle name="40% - Énfasis5 3 29" xfId="10990" xr:uid="{00000000-0005-0000-0000-0000C52A0000}"/>
    <cellStyle name="40% - Énfasis5 3 3" xfId="10991" xr:uid="{00000000-0005-0000-0000-0000C62A0000}"/>
    <cellStyle name="40% - Énfasis5 3 3 2" xfId="10992" xr:uid="{00000000-0005-0000-0000-0000C72A0000}"/>
    <cellStyle name="40% - Énfasis5 3 3 2 2" xfId="10993" xr:uid="{00000000-0005-0000-0000-0000C82A0000}"/>
    <cellStyle name="40% - Énfasis5 3 3 2 2 2" xfId="10994" xr:uid="{00000000-0005-0000-0000-0000C92A0000}"/>
    <cellStyle name="40% - Énfasis5 3 3 2 3" xfId="10995" xr:uid="{00000000-0005-0000-0000-0000CA2A0000}"/>
    <cellStyle name="40% - Énfasis5 3 3 2 3 2" xfId="10996" xr:uid="{00000000-0005-0000-0000-0000CB2A0000}"/>
    <cellStyle name="40% - Énfasis5 3 3 2 4" xfId="10997" xr:uid="{00000000-0005-0000-0000-0000CC2A0000}"/>
    <cellStyle name="40% - Énfasis5 3 3 3" xfId="10998" xr:uid="{00000000-0005-0000-0000-0000CD2A0000}"/>
    <cellStyle name="40% - Énfasis5 3 3 3 2" xfId="10999" xr:uid="{00000000-0005-0000-0000-0000CE2A0000}"/>
    <cellStyle name="40% - Énfasis5 3 3 4" xfId="11000" xr:uid="{00000000-0005-0000-0000-0000CF2A0000}"/>
    <cellStyle name="40% - Énfasis5 3 3 4 2" xfId="11001" xr:uid="{00000000-0005-0000-0000-0000D02A0000}"/>
    <cellStyle name="40% - Énfasis5 3 3 5" xfId="11002" xr:uid="{00000000-0005-0000-0000-0000D12A0000}"/>
    <cellStyle name="40% - Énfasis5 3 30" xfId="11003" xr:uid="{00000000-0005-0000-0000-0000D22A0000}"/>
    <cellStyle name="40% - Énfasis5 3 31" xfId="11004" xr:uid="{00000000-0005-0000-0000-0000D32A0000}"/>
    <cellStyle name="40% - Énfasis5 3 32" xfId="11005" xr:uid="{00000000-0005-0000-0000-0000D42A0000}"/>
    <cellStyle name="40% - Énfasis5 3 33" xfId="11006" xr:uid="{00000000-0005-0000-0000-0000D52A0000}"/>
    <cellStyle name="40% - Énfasis5 3 34" xfId="11007" xr:uid="{00000000-0005-0000-0000-0000D62A0000}"/>
    <cellStyle name="40% - Énfasis5 3 4" xfId="11008" xr:uid="{00000000-0005-0000-0000-0000D72A0000}"/>
    <cellStyle name="40% - Énfasis5 3 4 2" xfId="11009" xr:uid="{00000000-0005-0000-0000-0000D82A0000}"/>
    <cellStyle name="40% - Énfasis5 3 4 2 2" xfId="11010" xr:uid="{00000000-0005-0000-0000-0000D92A0000}"/>
    <cellStyle name="40% - Énfasis5 3 4 3" xfId="11011" xr:uid="{00000000-0005-0000-0000-0000DA2A0000}"/>
    <cellStyle name="40% - Énfasis5 3 4 3 2" xfId="11012" xr:uid="{00000000-0005-0000-0000-0000DB2A0000}"/>
    <cellStyle name="40% - Énfasis5 3 4 4" xfId="11013" xr:uid="{00000000-0005-0000-0000-0000DC2A0000}"/>
    <cellStyle name="40% - Énfasis5 3 5" xfId="11014" xr:uid="{00000000-0005-0000-0000-0000DD2A0000}"/>
    <cellStyle name="40% - Énfasis5 3 5 2" xfId="11015" xr:uid="{00000000-0005-0000-0000-0000DE2A0000}"/>
    <cellStyle name="40% - Énfasis5 3 6" xfId="11016" xr:uid="{00000000-0005-0000-0000-0000DF2A0000}"/>
    <cellStyle name="40% - Énfasis5 3 6 2" xfId="11017" xr:uid="{00000000-0005-0000-0000-0000E02A0000}"/>
    <cellStyle name="40% - Énfasis5 3 7" xfId="11018" xr:uid="{00000000-0005-0000-0000-0000E12A0000}"/>
    <cellStyle name="40% - Énfasis5 3 8" xfId="11019" xr:uid="{00000000-0005-0000-0000-0000E22A0000}"/>
    <cellStyle name="40% - Énfasis5 3 9" xfId="11020" xr:uid="{00000000-0005-0000-0000-0000E32A0000}"/>
    <cellStyle name="40% - Énfasis5 4" xfId="11021" xr:uid="{00000000-0005-0000-0000-0000E42A0000}"/>
    <cellStyle name="40% - Énfasis5 4 2" xfId="11022" xr:uid="{00000000-0005-0000-0000-0000E52A0000}"/>
    <cellStyle name="40% - Énfasis5 4 2 2" xfId="11023" xr:uid="{00000000-0005-0000-0000-0000E62A0000}"/>
    <cellStyle name="40% - Énfasis5 4 2 2 2" xfId="11024" xr:uid="{00000000-0005-0000-0000-0000E72A0000}"/>
    <cellStyle name="40% - Énfasis5 4 2 2 2 2" xfId="11025" xr:uid="{00000000-0005-0000-0000-0000E82A0000}"/>
    <cellStyle name="40% - Énfasis5 4 2 2 2 2 2" xfId="11026" xr:uid="{00000000-0005-0000-0000-0000E92A0000}"/>
    <cellStyle name="40% - Énfasis5 4 2 2 2 3" xfId="11027" xr:uid="{00000000-0005-0000-0000-0000EA2A0000}"/>
    <cellStyle name="40% - Énfasis5 4 2 2 2 3 2" xfId="11028" xr:uid="{00000000-0005-0000-0000-0000EB2A0000}"/>
    <cellStyle name="40% - Énfasis5 4 2 2 2 4" xfId="11029" xr:uid="{00000000-0005-0000-0000-0000EC2A0000}"/>
    <cellStyle name="40% - Énfasis5 4 2 2 3" xfId="11030" xr:uid="{00000000-0005-0000-0000-0000ED2A0000}"/>
    <cellStyle name="40% - Énfasis5 4 2 2 3 2" xfId="11031" xr:uid="{00000000-0005-0000-0000-0000EE2A0000}"/>
    <cellStyle name="40% - Énfasis5 4 2 2 4" xfId="11032" xr:uid="{00000000-0005-0000-0000-0000EF2A0000}"/>
    <cellStyle name="40% - Énfasis5 4 2 2 4 2" xfId="11033" xr:uid="{00000000-0005-0000-0000-0000F02A0000}"/>
    <cellStyle name="40% - Énfasis5 4 2 2 5" xfId="11034" xr:uid="{00000000-0005-0000-0000-0000F12A0000}"/>
    <cellStyle name="40% - Énfasis5 4 2 3" xfId="11035" xr:uid="{00000000-0005-0000-0000-0000F22A0000}"/>
    <cellStyle name="40% - Énfasis5 4 2 3 2" xfId="11036" xr:uid="{00000000-0005-0000-0000-0000F32A0000}"/>
    <cellStyle name="40% - Énfasis5 4 2 3 2 2" xfId="11037" xr:uid="{00000000-0005-0000-0000-0000F42A0000}"/>
    <cellStyle name="40% - Énfasis5 4 2 3 3" xfId="11038" xr:uid="{00000000-0005-0000-0000-0000F52A0000}"/>
    <cellStyle name="40% - Énfasis5 4 2 3 3 2" xfId="11039" xr:uid="{00000000-0005-0000-0000-0000F62A0000}"/>
    <cellStyle name="40% - Énfasis5 4 2 3 4" xfId="11040" xr:uid="{00000000-0005-0000-0000-0000F72A0000}"/>
    <cellStyle name="40% - Énfasis5 4 2 4" xfId="11041" xr:uid="{00000000-0005-0000-0000-0000F82A0000}"/>
    <cellStyle name="40% - Énfasis5 4 2 4 2" xfId="11042" xr:uid="{00000000-0005-0000-0000-0000F92A0000}"/>
    <cellStyle name="40% - Énfasis5 4 2 5" xfId="11043" xr:uid="{00000000-0005-0000-0000-0000FA2A0000}"/>
    <cellStyle name="40% - Énfasis5 4 2 5 2" xfId="11044" xr:uid="{00000000-0005-0000-0000-0000FB2A0000}"/>
    <cellStyle name="40% - Énfasis5 4 2 6" xfId="11045" xr:uid="{00000000-0005-0000-0000-0000FC2A0000}"/>
    <cellStyle name="40% - Énfasis5 4 3" xfId="11046" xr:uid="{00000000-0005-0000-0000-0000FD2A0000}"/>
    <cellStyle name="40% - Énfasis5 4 3 2" xfId="11047" xr:uid="{00000000-0005-0000-0000-0000FE2A0000}"/>
    <cellStyle name="40% - Énfasis5 4 3 2 2" xfId="11048" xr:uid="{00000000-0005-0000-0000-0000FF2A0000}"/>
    <cellStyle name="40% - Énfasis5 4 3 2 2 2" xfId="11049" xr:uid="{00000000-0005-0000-0000-0000002B0000}"/>
    <cellStyle name="40% - Énfasis5 4 3 2 3" xfId="11050" xr:uid="{00000000-0005-0000-0000-0000012B0000}"/>
    <cellStyle name="40% - Énfasis5 4 3 2 3 2" xfId="11051" xr:uid="{00000000-0005-0000-0000-0000022B0000}"/>
    <cellStyle name="40% - Énfasis5 4 3 2 4" xfId="11052" xr:uid="{00000000-0005-0000-0000-0000032B0000}"/>
    <cellStyle name="40% - Énfasis5 4 3 3" xfId="11053" xr:uid="{00000000-0005-0000-0000-0000042B0000}"/>
    <cellStyle name="40% - Énfasis5 4 3 3 2" xfId="11054" xr:uid="{00000000-0005-0000-0000-0000052B0000}"/>
    <cellStyle name="40% - Énfasis5 4 3 4" xfId="11055" xr:uid="{00000000-0005-0000-0000-0000062B0000}"/>
    <cellStyle name="40% - Énfasis5 4 3 4 2" xfId="11056" xr:uid="{00000000-0005-0000-0000-0000072B0000}"/>
    <cellStyle name="40% - Énfasis5 4 3 5" xfId="11057" xr:uid="{00000000-0005-0000-0000-0000082B0000}"/>
    <cellStyle name="40% - Énfasis5 4 4" xfId="11058" xr:uid="{00000000-0005-0000-0000-0000092B0000}"/>
    <cellStyle name="40% - Énfasis5 4 4 2" xfId="11059" xr:uid="{00000000-0005-0000-0000-00000A2B0000}"/>
    <cellStyle name="40% - Énfasis5 4 4 2 2" xfId="11060" xr:uid="{00000000-0005-0000-0000-00000B2B0000}"/>
    <cellStyle name="40% - Énfasis5 4 4 3" xfId="11061" xr:uid="{00000000-0005-0000-0000-00000C2B0000}"/>
    <cellStyle name="40% - Énfasis5 4 4 3 2" xfId="11062" xr:uid="{00000000-0005-0000-0000-00000D2B0000}"/>
    <cellStyle name="40% - Énfasis5 4 4 4" xfId="11063" xr:uid="{00000000-0005-0000-0000-00000E2B0000}"/>
    <cellStyle name="40% - Énfasis5 4 5" xfId="11064" xr:uid="{00000000-0005-0000-0000-00000F2B0000}"/>
    <cellStyle name="40% - Énfasis5 4 5 2" xfId="11065" xr:uid="{00000000-0005-0000-0000-0000102B0000}"/>
    <cellStyle name="40% - Énfasis5 4 6" xfId="11066" xr:uid="{00000000-0005-0000-0000-0000112B0000}"/>
    <cellStyle name="40% - Énfasis5 4 6 2" xfId="11067" xr:uid="{00000000-0005-0000-0000-0000122B0000}"/>
    <cellStyle name="40% - Énfasis5 4 7" xfId="11068" xr:uid="{00000000-0005-0000-0000-0000132B0000}"/>
    <cellStyle name="40% - Énfasis5 4 8" xfId="11069" xr:uid="{00000000-0005-0000-0000-0000142B0000}"/>
    <cellStyle name="40% - Énfasis5 5" xfId="11070" xr:uid="{00000000-0005-0000-0000-0000152B0000}"/>
    <cellStyle name="40% - Énfasis5 5 2" xfId="11071" xr:uid="{00000000-0005-0000-0000-0000162B0000}"/>
    <cellStyle name="40% - Énfasis5 5 2 2" xfId="11072" xr:uid="{00000000-0005-0000-0000-0000172B0000}"/>
    <cellStyle name="40% - Énfasis5 5 2 2 2" xfId="11073" xr:uid="{00000000-0005-0000-0000-0000182B0000}"/>
    <cellStyle name="40% - Énfasis5 5 2 2 2 2" xfId="11074" xr:uid="{00000000-0005-0000-0000-0000192B0000}"/>
    <cellStyle name="40% - Énfasis5 5 2 2 2 2 2" xfId="11075" xr:uid="{00000000-0005-0000-0000-00001A2B0000}"/>
    <cellStyle name="40% - Énfasis5 5 2 2 2 3" xfId="11076" xr:uid="{00000000-0005-0000-0000-00001B2B0000}"/>
    <cellStyle name="40% - Énfasis5 5 2 2 2 3 2" xfId="11077" xr:uid="{00000000-0005-0000-0000-00001C2B0000}"/>
    <cellStyle name="40% - Énfasis5 5 2 2 2 4" xfId="11078" xr:uid="{00000000-0005-0000-0000-00001D2B0000}"/>
    <cellStyle name="40% - Énfasis5 5 2 2 3" xfId="11079" xr:uid="{00000000-0005-0000-0000-00001E2B0000}"/>
    <cellStyle name="40% - Énfasis5 5 2 2 3 2" xfId="11080" xr:uid="{00000000-0005-0000-0000-00001F2B0000}"/>
    <cellStyle name="40% - Énfasis5 5 2 2 4" xfId="11081" xr:uid="{00000000-0005-0000-0000-0000202B0000}"/>
    <cellStyle name="40% - Énfasis5 5 2 2 4 2" xfId="11082" xr:uid="{00000000-0005-0000-0000-0000212B0000}"/>
    <cellStyle name="40% - Énfasis5 5 2 2 5" xfId="11083" xr:uid="{00000000-0005-0000-0000-0000222B0000}"/>
    <cellStyle name="40% - Énfasis5 5 2 3" xfId="11084" xr:uid="{00000000-0005-0000-0000-0000232B0000}"/>
    <cellStyle name="40% - Énfasis5 5 2 3 2" xfId="11085" xr:uid="{00000000-0005-0000-0000-0000242B0000}"/>
    <cellStyle name="40% - Énfasis5 5 2 3 2 2" xfId="11086" xr:uid="{00000000-0005-0000-0000-0000252B0000}"/>
    <cellStyle name="40% - Énfasis5 5 2 3 3" xfId="11087" xr:uid="{00000000-0005-0000-0000-0000262B0000}"/>
    <cellStyle name="40% - Énfasis5 5 2 3 3 2" xfId="11088" xr:uid="{00000000-0005-0000-0000-0000272B0000}"/>
    <cellStyle name="40% - Énfasis5 5 2 3 4" xfId="11089" xr:uid="{00000000-0005-0000-0000-0000282B0000}"/>
    <cellStyle name="40% - Énfasis5 5 2 4" xfId="11090" xr:uid="{00000000-0005-0000-0000-0000292B0000}"/>
    <cellStyle name="40% - Énfasis5 5 2 4 2" xfId="11091" xr:uid="{00000000-0005-0000-0000-00002A2B0000}"/>
    <cellStyle name="40% - Énfasis5 5 2 5" xfId="11092" xr:uid="{00000000-0005-0000-0000-00002B2B0000}"/>
    <cellStyle name="40% - Énfasis5 5 2 5 2" xfId="11093" xr:uid="{00000000-0005-0000-0000-00002C2B0000}"/>
    <cellStyle name="40% - Énfasis5 5 2 6" xfId="11094" xr:uid="{00000000-0005-0000-0000-00002D2B0000}"/>
    <cellStyle name="40% - Énfasis5 5 3" xfId="11095" xr:uid="{00000000-0005-0000-0000-00002E2B0000}"/>
    <cellStyle name="40% - Énfasis5 5 3 2" xfId="11096" xr:uid="{00000000-0005-0000-0000-00002F2B0000}"/>
    <cellStyle name="40% - Énfasis5 5 3 2 2" xfId="11097" xr:uid="{00000000-0005-0000-0000-0000302B0000}"/>
    <cellStyle name="40% - Énfasis5 5 3 2 2 2" xfId="11098" xr:uid="{00000000-0005-0000-0000-0000312B0000}"/>
    <cellStyle name="40% - Énfasis5 5 3 2 3" xfId="11099" xr:uid="{00000000-0005-0000-0000-0000322B0000}"/>
    <cellStyle name="40% - Énfasis5 5 3 2 3 2" xfId="11100" xr:uid="{00000000-0005-0000-0000-0000332B0000}"/>
    <cellStyle name="40% - Énfasis5 5 3 2 4" xfId="11101" xr:uid="{00000000-0005-0000-0000-0000342B0000}"/>
    <cellStyle name="40% - Énfasis5 5 3 3" xfId="11102" xr:uid="{00000000-0005-0000-0000-0000352B0000}"/>
    <cellStyle name="40% - Énfasis5 5 3 3 2" xfId="11103" xr:uid="{00000000-0005-0000-0000-0000362B0000}"/>
    <cellStyle name="40% - Énfasis5 5 3 4" xfId="11104" xr:uid="{00000000-0005-0000-0000-0000372B0000}"/>
    <cellStyle name="40% - Énfasis5 5 3 4 2" xfId="11105" xr:uid="{00000000-0005-0000-0000-0000382B0000}"/>
    <cellStyle name="40% - Énfasis5 5 3 5" xfId="11106" xr:uid="{00000000-0005-0000-0000-0000392B0000}"/>
    <cellStyle name="40% - Énfasis5 5 4" xfId="11107" xr:uid="{00000000-0005-0000-0000-00003A2B0000}"/>
    <cellStyle name="40% - Énfasis5 5 4 2" xfId="11108" xr:uid="{00000000-0005-0000-0000-00003B2B0000}"/>
    <cellStyle name="40% - Énfasis5 5 4 2 2" xfId="11109" xr:uid="{00000000-0005-0000-0000-00003C2B0000}"/>
    <cellStyle name="40% - Énfasis5 5 4 3" xfId="11110" xr:uid="{00000000-0005-0000-0000-00003D2B0000}"/>
    <cellStyle name="40% - Énfasis5 5 4 3 2" xfId="11111" xr:uid="{00000000-0005-0000-0000-00003E2B0000}"/>
    <cellStyle name="40% - Énfasis5 5 4 4" xfId="11112" xr:uid="{00000000-0005-0000-0000-00003F2B0000}"/>
    <cellStyle name="40% - Énfasis5 5 5" xfId="11113" xr:uid="{00000000-0005-0000-0000-0000402B0000}"/>
    <cellStyle name="40% - Énfasis5 5 5 2" xfId="11114" xr:uid="{00000000-0005-0000-0000-0000412B0000}"/>
    <cellStyle name="40% - Énfasis5 5 6" xfId="11115" xr:uid="{00000000-0005-0000-0000-0000422B0000}"/>
    <cellStyle name="40% - Énfasis5 5 6 2" xfId="11116" xr:uid="{00000000-0005-0000-0000-0000432B0000}"/>
    <cellStyle name="40% - Énfasis5 5 7" xfId="11117" xr:uid="{00000000-0005-0000-0000-0000442B0000}"/>
    <cellStyle name="40% - Énfasis5 6" xfId="11118" xr:uid="{00000000-0005-0000-0000-0000452B0000}"/>
    <cellStyle name="40% - Énfasis5 6 2" xfId="11119" xr:uid="{00000000-0005-0000-0000-0000462B0000}"/>
    <cellStyle name="40% - Énfasis5 6 2 2" xfId="11120" xr:uid="{00000000-0005-0000-0000-0000472B0000}"/>
    <cellStyle name="40% - Énfasis5 6 2 2 2" xfId="11121" xr:uid="{00000000-0005-0000-0000-0000482B0000}"/>
    <cellStyle name="40% - Énfasis5 6 2 2 2 2" xfId="11122" xr:uid="{00000000-0005-0000-0000-0000492B0000}"/>
    <cellStyle name="40% - Énfasis5 6 2 2 2 2 2" xfId="11123" xr:uid="{00000000-0005-0000-0000-00004A2B0000}"/>
    <cellStyle name="40% - Énfasis5 6 2 2 2 3" xfId="11124" xr:uid="{00000000-0005-0000-0000-00004B2B0000}"/>
    <cellStyle name="40% - Énfasis5 6 2 2 2 3 2" xfId="11125" xr:uid="{00000000-0005-0000-0000-00004C2B0000}"/>
    <cellStyle name="40% - Énfasis5 6 2 2 2 4" xfId="11126" xr:uid="{00000000-0005-0000-0000-00004D2B0000}"/>
    <cellStyle name="40% - Énfasis5 6 2 2 3" xfId="11127" xr:uid="{00000000-0005-0000-0000-00004E2B0000}"/>
    <cellStyle name="40% - Énfasis5 6 2 2 3 2" xfId="11128" xr:uid="{00000000-0005-0000-0000-00004F2B0000}"/>
    <cellStyle name="40% - Énfasis5 6 2 2 4" xfId="11129" xr:uid="{00000000-0005-0000-0000-0000502B0000}"/>
    <cellStyle name="40% - Énfasis5 6 2 2 4 2" xfId="11130" xr:uid="{00000000-0005-0000-0000-0000512B0000}"/>
    <cellStyle name="40% - Énfasis5 6 2 2 5" xfId="11131" xr:uid="{00000000-0005-0000-0000-0000522B0000}"/>
    <cellStyle name="40% - Énfasis5 6 2 3" xfId="11132" xr:uid="{00000000-0005-0000-0000-0000532B0000}"/>
    <cellStyle name="40% - Énfasis5 6 2 3 2" xfId="11133" xr:uid="{00000000-0005-0000-0000-0000542B0000}"/>
    <cellStyle name="40% - Énfasis5 6 2 3 2 2" xfId="11134" xr:uid="{00000000-0005-0000-0000-0000552B0000}"/>
    <cellStyle name="40% - Énfasis5 6 2 3 3" xfId="11135" xr:uid="{00000000-0005-0000-0000-0000562B0000}"/>
    <cellStyle name="40% - Énfasis5 6 2 3 3 2" xfId="11136" xr:uid="{00000000-0005-0000-0000-0000572B0000}"/>
    <cellStyle name="40% - Énfasis5 6 2 3 4" xfId="11137" xr:uid="{00000000-0005-0000-0000-0000582B0000}"/>
    <cellStyle name="40% - Énfasis5 6 2 4" xfId="11138" xr:uid="{00000000-0005-0000-0000-0000592B0000}"/>
    <cellStyle name="40% - Énfasis5 6 2 4 2" xfId="11139" xr:uid="{00000000-0005-0000-0000-00005A2B0000}"/>
    <cellStyle name="40% - Énfasis5 6 2 5" xfId="11140" xr:uid="{00000000-0005-0000-0000-00005B2B0000}"/>
    <cellStyle name="40% - Énfasis5 6 2 5 2" xfId="11141" xr:uid="{00000000-0005-0000-0000-00005C2B0000}"/>
    <cellStyle name="40% - Énfasis5 6 2 6" xfId="11142" xr:uid="{00000000-0005-0000-0000-00005D2B0000}"/>
    <cellStyle name="40% - Énfasis5 6 3" xfId="11143" xr:uid="{00000000-0005-0000-0000-00005E2B0000}"/>
    <cellStyle name="40% - Énfasis5 6 3 2" xfId="11144" xr:uid="{00000000-0005-0000-0000-00005F2B0000}"/>
    <cellStyle name="40% - Énfasis5 6 3 2 2" xfId="11145" xr:uid="{00000000-0005-0000-0000-0000602B0000}"/>
    <cellStyle name="40% - Énfasis5 6 3 2 2 2" xfId="11146" xr:uid="{00000000-0005-0000-0000-0000612B0000}"/>
    <cellStyle name="40% - Énfasis5 6 3 2 3" xfId="11147" xr:uid="{00000000-0005-0000-0000-0000622B0000}"/>
    <cellStyle name="40% - Énfasis5 6 3 2 3 2" xfId="11148" xr:uid="{00000000-0005-0000-0000-0000632B0000}"/>
    <cellStyle name="40% - Énfasis5 6 3 2 4" xfId="11149" xr:uid="{00000000-0005-0000-0000-0000642B0000}"/>
    <cellStyle name="40% - Énfasis5 6 3 3" xfId="11150" xr:uid="{00000000-0005-0000-0000-0000652B0000}"/>
    <cellStyle name="40% - Énfasis5 6 3 3 2" xfId="11151" xr:uid="{00000000-0005-0000-0000-0000662B0000}"/>
    <cellStyle name="40% - Énfasis5 6 3 4" xfId="11152" xr:uid="{00000000-0005-0000-0000-0000672B0000}"/>
    <cellStyle name="40% - Énfasis5 6 3 4 2" xfId="11153" xr:uid="{00000000-0005-0000-0000-0000682B0000}"/>
    <cellStyle name="40% - Énfasis5 6 3 5" xfId="11154" xr:uid="{00000000-0005-0000-0000-0000692B0000}"/>
    <cellStyle name="40% - Énfasis5 6 4" xfId="11155" xr:uid="{00000000-0005-0000-0000-00006A2B0000}"/>
    <cellStyle name="40% - Énfasis5 6 4 2" xfId="11156" xr:uid="{00000000-0005-0000-0000-00006B2B0000}"/>
    <cellStyle name="40% - Énfasis5 6 4 2 2" xfId="11157" xr:uid="{00000000-0005-0000-0000-00006C2B0000}"/>
    <cellStyle name="40% - Énfasis5 6 4 3" xfId="11158" xr:uid="{00000000-0005-0000-0000-00006D2B0000}"/>
    <cellStyle name="40% - Énfasis5 6 4 3 2" xfId="11159" xr:uid="{00000000-0005-0000-0000-00006E2B0000}"/>
    <cellStyle name="40% - Énfasis5 6 4 4" xfId="11160" xr:uid="{00000000-0005-0000-0000-00006F2B0000}"/>
    <cellStyle name="40% - Énfasis5 6 5" xfId="11161" xr:uid="{00000000-0005-0000-0000-0000702B0000}"/>
    <cellStyle name="40% - Énfasis5 6 5 2" xfId="11162" xr:uid="{00000000-0005-0000-0000-0000712B0000}"/>
    <cellStyle name="40% - Énfasis5 6 6" xfId="11163" xr:uid="{00000000-0005-0000-0000-0000722B0000}"/>
    <cellStyle name="40% - Énfasis5 6 6 2" xfId="11164" xr:uid="{00000000-0005-0000-0000-0000732B0000}"/>
    <cellStyle name="40% - Énfasis5 6 7" xfId="11165" xr:uid="{00000000-0005-0000-0000-0000742B0000}"/>
    <cellStyle name="40% - Énfasis5 7" xfId="11166" xr:uid="{00000000-0005-0000-0000-0000752B0000}"/>
    <cellStyle name="40% - Énfasis5 7 2" xfId="11167" xr:uid="{00000000-0005-0000-0000-0000762B0000}"/>
    <cellStyle name="40% - Énfasis5 7 2 2" xfId="11168" xr:uid="{00000000-0005-0000-0000-0000772B0000}"/>
    <cellStyle name="40% - Énfasis5 7 2 2 2" xfId="11169" xr:uid="{00000000-0005-0000-0000-0000782B0000}"/>
    <cellStyle name="40% - Énfasis5 7 2 2 2 2" xfId="11170" xr:uid="{00000000-0005-0000-0000-0000792B0000}"/>
    <cellStyle name="40% - Énfasis5 7 2 2 3" xfId="11171" xr:uid="{00000000-0005-0000-0000-00007A2B0000}"/>
    <cellStyle name="40% - Énfasis5 7 2 2 3 2" xfId="11172" xr:uid="{00000000-0005-0000-0000-00007B2B0000}"/>
    <cellStyle name="40% - Énfasis5 7 2 2 4" xfId="11173" xr:uid="{00000000-0005-0000-0000-00007C2B0000}"/>
    <cellStyle name="40% - Énfasis5 7 2 3" xfId="11174" xr:uid="{00000000-0005-0000-0000-00007D2B0000}"/>
    <cellStyle name="40% - Énfasis5 7 2 3 2" xfId="11175" xr:uid="{00000000-0005-0000-0000-00007E2B0000}"/>
    <cellStyle name="40% - Énfasis5 7 2 4" xfId="11176" xr:uid="{00000000-0005-0000-0000-00007F2B0000}"/>
    <cellStyle name="40% - Énfasis5 7 2 4 2" xfId="11177" xr:uid="{00000000-0005-0000-0000-0000802B0000}"/>
    <cellStyle name="40% - Énfasis5 7 2 5" xfId="11178" xr:uid="{00000000-0005-0000-0000-0000812B0000}"/>
    <cellStyle name="40% - Énfasis5 7 3" xfId="11179" xr:uid="{00000000-0005-0000-0000-0000822B0000}"/>
    <cellStyle name="40% - Énfasis5 7 3 2" xfId="11180" xr:uid="{00000000-0005-0000-0000-0000832B0000}"/>
    <cellStyle name="40% - Énfasis5 7 3 2 2" xfId="11181" xr:uid="{00000000-0005-0000-0000-0000842B0000}"/>
    <cellStyle name="40% - Énfasis5 7 3 3" xfId="11182" xr:uid="{00000000-0005-0000-0000-0000852B0000}"/>
    <cellStyle name="40% - Énfasis5 7 3 3 2" xfId="11183" xr:uid="{00000000-0005-0000-0000-0000862B0000}"/>
    <cellStyle name="40% - Énfasis5 7 3 4" xfId="11184" xr:uid="{00000000-0005-0000-0000-0000872B0000}"/>
    <cellStyle name="40% - Énfasis5 7 4" xfId="11185" xr:uid="{00000000-0005-0000-0000-0000882B0000}"/>
    <cellStyle name="40% - Énfasis5 7 4 2" xfId="11186" xr:uid="{00000000-0005-0000-0000-0000892B0000}"/>
    <cellStyle name="40% - Énfasis5 7 5" xfId="11187" xr:uid="{00000000-0005-0000-0000-00008A2B0000}"/>
    <cellStyle name="40% - Énfasis5 7 5 2" xfId="11188" xr:uid="{00000000-0005-0000-0000-00008B2B0000}"/>
    <cellStyle name="40% - Énfasis5 7 6" xfId="11189" xr:uid="{00000000-0005-0000-0000-00008C2B0000}"/>
    <cellStyle name="40% - Énfasis5 8" xfId="11190" xr:uid="{00000000-0005-0000-0000-00008D2B0000}"/>
    <cellStyle name="40% - Énfasis5 8 2" xfId="11191" xr:uid="{00000000-0005-0000-0000-00008E2B0000}"/>
    <cellStyle name="40% - Énfasis5 8 2 2" xfId="11192" xr:uid="{00000000-0005-0000-0000-00008F2B0000}"/>
    <cellStyle name="40% - Énfasis5 8 2 2 2" xfId="11193" xr:uid="{00000000-0005-0000-0000-0000902B0000}"/>
    <cellStyle name="40% - Énfasis5 8 2 2 2 2" xfId="11194" xr:uid="{00000000-0005-0000-0000-0000912B0000}"/>
    <cellStyle name="40% - Énfasis5 8 2 2 3" xfId="11195" xr:uid="{00000000-0005-0000-0000-0000922B0000}"/>
    <cellStyle name="40% - Énfasis5 8 2 2 3 2" xfId="11196" xr:uid="{00000000-0005-0000-0000-0000932B0000}"/>
    <cellStyle name="40% - Énfasis5 8 2 2 4" xfId="11197" xr:uid="{00000000-0005-0000-0000-0000942B0000}"/>
    <cellStyle name="40% - Énfasis5 8 2 3" xfId="11198" xr:uid="{00000000-0005-0000-0000-0000952B0000}"/>
    <cellStyle name="40% - Énfasis5 8 2 3 2" xfId="11199" xr:uid="{00000000-0005-0000-0000-0000962B0000}"/>
    <cellStyle name="40% - Énfasis5 8 2 4" xfId="11200" xr:uid="{00000000-0005-0000-0000-0000972B0000}"/>
    <cellStyle name="40% - Énfasis5 8 2 4 2" xfId="11201" xr:uid="{00000000-0005-0000-0000-0000982B0000}"/>
    <cellStyle name="40% - Énfasis5 8 2 5" xfId="11202" xr:uid="{00000000-0005-0000-0000-0000992B0000}"/>
    <cellStyle name="40% - Énfasis5 8 3" xfId="11203" xr:uid="{00000000-0005-0000-0000-00009A2B0000}"/>
    <cellStyle name="40% - Énfasis5 8 3 2" xfId="11204" xr:uid="{00000000-0005-0000-0000-00009B2B0000}"/>
    <cellStyle name="40% - Énfasis5 8 3 2 2" xfId="11205" xr:uid="{00000000-0005-0000-0000-00009C2B0000}"/>
    <cellStyle name="40% - Énfasis5 8 3 3" xfId="11206" xr:uid="{00000000-0005-0000-0000-00009D2B0000}"/>
    <cellStyle name="40% - Énfasis5 8 3 3 2" xfId="11207" xr:uid="{00000000-0005-0000-0000-00009E2B0000}"/>
    <cellStyle name="40% - Énfasis5 8 3 4" xfId="11208" xr:uid="{00000000-0005-0000-0000-00009F2B0000}"/>
    <cellStyle name="40% - Énfasis5 8 4" xfId="11209" xr:uid="{00000000-0005-0000-0000-0000A02B0000}"/>
    <cellStyle name="40% - Énfasis5 8 4 2" xfId="11210" xr:uid="{00000000-0005-0000-0000-0000A12B0000}"/>
    <cellStyle name="40% - Énfasis5 8 5" xfId="11211" xr:uid="{00000000-0005-0000-0000-0000A22B0000}"/>
    <cellStyle name="40% - Énfasis5 8 5 2" xfId="11212" xr:uid="{00000000-0005-0000-0000-0000A32B0000}"/>
    <cellStyle name="40% - Énfasis5 8 6" xfId="11213" xr:uid="{00000000-0005-0000-0000-0000A42B0000}"/>
    <cellStyle name="40% - Énfasis5 9" xfId="11214" xr:uid="{00000000-0005-0000-0000-0000A52B0000}"/>
    <cellStyle name="40% - Énfasis5 9 2" xfId="11215" xr:uid="{00000000-0005-0000-0000-0000A62B0000}"/>
    <cellStyle name="40% - Énfasis5 9 2 2" xfId="11216" xr:uid="{00000000-0005-0000-0000-0000A72B0000}"/>
    <cellStyle name="40% - Énfasis5 9 2 2 2" xfId="11217" xr:uid="{00000000-0005-0000-0000-0000A82B0000}"/>
    <cellStyle name="40% - Énfasis5 9 2 3" xfId="11218" xr:uid="{00000000-0005-0000-0000-0000A92B0000}"/>
    <cellStyle name="40% - Énfasis5 9 2 3 2" xfId="11219" xr:uid="{00000000-0005-0000-0000-0000AA2B0000}"/>
    <cellStyle name="40% - Énfasis5 9 2 4" xfId="11220" xr:uid="{00000000-0005-0000-0000-0000AB2B0000}"/>
    <cellStyle name="40% - Énfasis5 9 3" xfId="11221" xr:uid="{00000000-0005-0000-0000-0000AC2B0000}"/>
    <cellStyle name="40% - Énfasis5 9 3 2" xfId="11222" xr:uid="{00000000-0005-0000-0000-0000AD2B0000}"/>
    <cellStyle name="40% - Énfasis5 9 4" xfId="11223" xr:uid="{00000000-0005-0000-0000-0000AE2B0000}"/>
    <cellStyle name="40% - Énfasis5 9 4 2" xfId="11224" xr:uid="{00000000-0005-0000-0000-0000AF2B0000}"/>
    <cellStyle name="40% - Énfasis5 9 5" xfId="11225" xr:uid="{00000000-0005-0000-0000-0000B02B0000}"/>
    <cellStyle name="40% - Énfasis6" xfId="23" builtinId="51" customBuiltin="1"/>
    <cellStyle name="40% - Énfasis6 10" xfId="11226" xr:uid="{00000000-0005-0000-0000-0000B22B0000}"/>
    <cellStyle name="40% - Énfasis6 10 2" xfId="11227" xr:uid="{00000000-0005-0000-0000-0000B32B0000}"/>
    <cellStyle name="40% - Énfasis6 10 2 2" xfId="11228" xr:uid="{00000000-0005-0000-0000-0000B42B0000}"/>
    <cellStyle name="40% - Énfasis6 10 3" xfId="11229" xr:uid="{00000000-0005-0000-0000-0000B52B0000}"/>
    <cellStyle name="40% - Énfasis6 10 3 2" xfId="11230" xr:uid="{00000000-0005-0000-0000-0000B62B0000}"/>
    <cellStyle name="40% - Énfasis6 10 4" xfId="11231" xr:uid="{00000000-0005-0000-0000-0000B72B0000}"/>
    <cellStyle name="40% - Énfasis6 11" xfId="11232" xr:uid="{00000000-0005-0000-0000-0000B82B0000}"/>
    <cellStyle name="40% - Énfasis6 11 2" xfId="11233" xr:uid="{00000000-0005-0000-0000-0000B92B0000}"/>
    <cellStyle name="40% - Énfasis6 12" xfId="11234" xr:uid="{00000000-0005-0000-0000-0000BA2B0000}"/>
    <cellStyle name="40% - Énfasis6 12 2" xfId="11235" xr:uid="{00000000-0005-0000-0000-0000BB2B0000}"/>
    <cellStyle name="40% - Énfasis6 13" xfId="11236" xr:uid="{00000000-0005-0000-0000-0000BC2B0000}"/>
    <cellStyle name="40% - Énfasis6 14" xfId="11237" xr:uid="{00000000-0005-0000-0000-0000BD2B0000}"/>
    <cellStyle name="40% - Énfasis6 15" xfId="11238" xr:uid="{00000000-0005-0000-0000-0000BE2B0000}"/>
    <cellStyle name="40% - Énfasis6 16" xfId="11239" xr:uid="{00000000-0005-0000-0000-0000BF2B0000}"/>
    <cellStyle name="40% - Énfasis6 2" xfId="24" xr:uid="{00000000-0005-0000-0000-0000C02B0000}"/>
    <cellStyle name="40% - Énfasis6 2 10" xfId="11240" xr:uid="{00000000-0005-0000-0000-0000C12B0000}"/>
    <cellStyle name="40% - Énfasis6 2 11" xfId="11241" xr:uid="{00000000-0005-0000-0000-0000C22B0000}"/>
    <cellStyle name="40% - Énfasis6 2 12" xfId="11242" xr:uid="{00000000-0005-0000-0000-0000C32B0000}"/>
    <cellStyle name="40% - Énfasis6 2 13" xfId="11243" xr:uid="{00000000-0005-0000-0000-0000C42B0000}"/>
    <cellStyle name="40% - Énfasis6 2 14" xfId="11244" xr:uid="{00000000-0005-0000-0000-0000C52B0000}"/>
    <cellStyle name="40% - Énfasis6 2 15" xfId="11245" xr:uid="{00000000-0005-0000-0000-0000C62B0000}"/>
    <cellStyle name="40% - Énfasis6 2 16" xfId="11246" xr:uid="{00000000-0005-0000-0000-0000C72B0000}"/>
    <cellStyle name="40% - Énfasis6 2 17" xfId="11247" xr:uid="{00000000-0005-0000-0000-0000C82B0000}"/>
    <cellStyle name="40% - Énfasis6 2 18" xfId="11248" xr:uid="{00000000-0005-0000-0000-0000C92B0000}"/>
    <cellStyle name="40% - Énfasis6 2 19" xfId="11249" xr:uid="{00000000-0005-0000-0000-0000CA2B0000}"/>
    <cellStyle name="40% - Énfasis6 2 2" xfId="11250" xr:uid="{00000000-0005-0000-0000-0000CB2B0000}"/>
    <cellStyle name="40% - Énfasis6 2 2 2" xfId="11251" xr:uid="{00000000-0005-0000-0000-0000CC2B0000}"/>
    <cellStyle name="40% - Énfasis6 2 2 2 2" xfId="11252" xr:uid="{00000000-0005-0000-0000-0000CD2B0000}"/>
    <cellStyle name="40% - Énfasis6 2 2 2 2 2" xfId="11253" xr:uid="{00000000-0005-0000-0000-0000CE2B0000}"/>
    <cellStyle name="40% - Énfasis6 2 2 2 2 2 2" xfId="11254" xr:uid="{00000000-0005-0000-0000-0000CF2B0000}"/>
    <cellStyle name="40% - Énfasis6 2 2 2 2 3" xfId="11255" xr:uid="{00000000-0005-0000-0000-0000D02B0000}"/>
    <cellStyle name="40% - Énfasis6 2 2 2 2 3 2" xfId="11256" xr:uid="{00000000-0005-0000-0000-0000D12B0000}"/>
    <cellStyle name="40% - Énfasis6 2 2 2 2 4" xfId="11257" xr:uid="{00000000-0005-0000-0000-0000D22B0000}"/>
    <cellStyle name="40% - Énfasis6 2 2 2 3" xfId="11258" xr:uid="{00000000-0005-0000-0000-0000D32B0000}"/>
    <cellStyle name="40% - Énfasis6 2 2 2 3 2" xfId="11259" xr:uid="{00000000-0005-0000-0000-0000D42B0000}"/>
    <cellStyle name="40% - Énfasis6 2 2 2 4" xfId="11260" xr:uid="{00000000-0005-0000-0000-0000D52B0000}"/>
    <cellStyle name="40% - Énfasis6 2 2 2 4 2" xfId="11261" xr:uid="{00000000-0005-0000-0000-0000D62B0000}"/>
    <cellStyle name="40% - Énfasis6 2 2 2 5" xfId="11262" xr:uid="{00000000-0005-0000-0000-0000D72B0000}"/>
    <cellStyle name="40% - Énfasis6 2 2 3" xfId="11263" xr:uid="{00000000-0005-0000-0000-0000D82B0000}"/>
    <cellStyle name="40% - Énfasis6 2 2 3 2" xfId="11264" xr:uid="{00000000-0005-0000-0000-0000D92B0000}"/>
    <cellStyle name="40% - Énfasis6 2 2 3 2 2" xfId="11265" xr:uid="{00000000-0005-0000-0000-0000DA2B0000}"/>
    <cellStyle name="40% - Énfasis6 2 2 3 3" xfId="11266" xr:uid="{00000000-0005-0000-0000-0000DB2B0000}"/>
    <cellStyle name="40% - Énfasis6 2 2 3 3 2" xfId="11267" xr:uid="{00000000-0005-0000-0000-0000DC2B0000}"/>
    <cellStyle name="40% - Énfasis6 2 2 3 4" xfId="11268" xr:uid="{00000000-0005-0000-0000-0000DD2B0000}"/>
    <cellStyle name="40% - Énfasis6 2 2 4" xfId="11269" xr:uid="{00000000-0005-0000-0000-0000DE2B0000}"/>
    <cellStyle name="40% - Énfasis6 2 2 4 2" xfId="11270" xr:uid="{00000000-0005-0000-0000-0000DF2B0000}"/>
    <cellStyle name="40% - Énfasis6 2 2 5" xfId="11271" xr:uid="{00000000-0005-0000-0000-0000E02B0000}"/>
    <cellStyle name="40% - Énfasis6 2 2 5 2" xfId="11272" xr:uid="{00000000-0005-0000-0000-0000E12B0000}"/>
    <cellStyle name="40% - Énfasis6 2 2 6" xfId="11273" xr:uid="{00000000-0005-0000-0000-0000E22B0000}"/>
    <cellStyle name="40% - Énfasis6 2 20" xfId="11274" xr:uid="{00000000-0005-0000-0000-0000E32B0000}"/>
    <cellStyle name="40% - Énfasis6 2 21" xfId="11275" xr:uid="{00000000-0005-0000-0000-0000E42B0000}"/>
    <cellStyle name="40% - Énfasis6 2 22" xfId="11276" xr:uid="{00000000-0005-0000-0000-0000E52B0000}"/>
    <cellStyle name="40% - Énfasis6 2 23" xfId="11277" xr:uid="{00000000-0005-0000-0000-0000E62B0000}"/>
    <cellStyle name="40% - Énfasis6 2 24" xfId="11278" xr:uid="{00000000-0005-0000-0000-0000E72B0000}"/>
    <cellStyle name="40% - Énfasis6 2 25" xfId="11279" xr:uid="{00000000-0005-0000-0000-0000E82B0000}"/>
    <cellStyle name="40% - Énfasis6 2 26" xfId="11280" xr:uid="{00000000-0005-0000-0000-0000E92B0000}"/>
    <cellStyle name="40% - Énfasis6 2 27" xfId="11281" xr:uid="{00000000-0005-0000-0000-0000EA2B0000}"/>
    <cellStyle name="40% - Énfasis6 2 28" xfId="11282" xr:uid="{00000000-0005-0000-0000-0000EB2B0000}"/>
    <cellStyle name="40% - Énfasis6 2 29" xfId="11283" xr:uid="{00000000-0005-0000-0000-0000EC2B0000}"/>
    <cellStyle name="40% - Énfasis6 2 3" xfId="11284" xr:uid="{00000000-0005-0000-0000-0000ED2B0000}"/>
    <cellStyle name="40% - Énfasis6 2 3 2" xfId="11285" xr:uid="{00000000-0005-0000-0000-0000EE2B0000}"/>
    <cellStyle name="40% - Énfasis6 2 3 2 2" xfId="11286" xr:uid="{00000000-0005-0000-0000-0000EF2B0000}"/>
    <cellStyle name="40% - Énfasis6 2 3 2 2 2" xfId="11287" xr:uid="{00000000-0005-0000-0000-0000F02B0000}"/>
    <cellStyle name="40% - Énfasis6 2 3 2 3" xfId="11288" xr:uid="{00000000-0005-0000-0000-0000F12B0000}"/>
    <cellStyle name="40% - Énfasis6 2 3 2 3 2" xfId="11289" xr:uid="{00000000-0005-0000-0000-0000F22B0000}"/>
    <cellStyle name="40% - Énfasis6 2 3 2 4" xfId="11290" xr:uid="{00000000-0005-0000-0000-0000F32B0000}"/>
    <cellStyle name="40% - Énfasis6 2 3 3" xfId="11291" xr:uid="{00000000-0005-0000-0000-0000F42B0000}"/>
    <cellStyle name="40% - Énfasis6 2 3 3 2" xfId="11292" xr:uid="{00000000-0005-0000-0000-0000F52B0000}"/>
    <cellStyle name="40% - Énfasis6 2 3 4" xfId="11293" xr:uid="{00000000-0005-0000-0000-0000F62B0000}"/>
    <cellStyle name="40% - Énfasis6 2 3 4 2" xfId="11294" xr:uid="{00000000-0005-0000-0000-0000F72B0000}"/>
    <cellStyle name="40% - Énfasis6 2 3 5" xfId="11295" xr:uid="{00000000-0005-0000-0000-0000F82B0000}"/>
    <cellStyle name="40% - Énfasis6 2 30" xfId="11296" xr:uid="{00000000-0005-0000-0000-0000F92B0000}"/>
    <cellStyle name="40% - Énfasis6 2 31" xfId="11297" xr:uid="{00000000-0005-0000-0000-0000FA2B0000}"/>
    <cellStyle name="40% - Énfasis6 2 32" xfId="11298" xr:uid="{00000000-0005-0000-0000-0000FB2B0000}"/>
    <cellStyle name="40% - Énfasis6 2 33" xfId="11299" xr:uid="{00000000-0005-0000-0000-0000FC2B0000}"/>
    <cellStyle name="40% - Énfasis6 2 34" xfId="11300" xr:uid="{00000000-0005-0000-0000-0000FD2B0000}"/>
    <cellStyle name="40% - Énfasis6 2 35" xfId="11301" xr:uid="{00000000-0005-0000-0000-0000FE2B0000}"/>
    <cellStyle name="40% - Énfasis6 2 36" xfId="11302" xr:uid="{00000000-0005-0000-0000-0000FF2B0000}"/>
    <cellStyle name="40% - Énfasis6 2 37" xfId="11303" xr:uid="{00000000-0005-0000-0000-0000002C0000}"/>
    <cellStyle name="40% - Énfasis6 2 38" xfId="11304" xr:uid="{00000000-0005-0000-0000-0000012C0000}"/>
    <cellStyle name="40% - Énfasis6 2 4" xfId="11305" xr:uid="{00000000-0005-0000-0000-0000022C0000}"/>
    <cellStyle name="40% - Énfasis6 2 4 2" xfId="11306" xr:uid="{00000000-0005-0000-0000-0000032C0000}"/>
    <cellStyle name="40% - Énfasis6 2 4 2 2" xfId="11307" xr:uid="{00000000-0005-0000-0000-0000042C0000}"/>
    <cellStyle name="40% - Énfasis6 2 4 3" xfId="11308" xr:uid="{00000000-0005-0000-0000-0000052C0000}"/>
    <cellStyle name="40% - Énfasis6 2 4 3 2" xfId="11309" xr:uid="{00000000-0005-0000-0000-0000062C0000}"/>
    <cellStyle name="40% - Énfasis6 2 4 4" xfId="11310" xr:uid="{00000000-0005-0000-0000-0000072C0000}"/>
    <cellStyle name="40% - Énfasis6 2 5" xfId="11311" xr:uid="{00000000-0005-0000-0000-0000082C0000}"/>
    <cellStyle name="40% - Énfasis6 2 5 2" xfId="11312" xr:uid="{00000000-0005-0000-0000-0000092C0000}"/>
    <cellStyle name="40% - Énfasis6 2 6" xfId="11313" xr:uid="{00000000-0005-0000-0000-00000A2C0000}"/>
    <cellStyle name="40% - Énfasis6 2 6 2" xfId="11314" xr:uid="{00000000-0005-0000-0000-00000B2C0000}"/>
    <cellStyle name="40% - Énfasis6 2 7" xfId="11315" xr:uid="{00000000-0005-0000-0000-00000C2C0000}"/>
    <cellStyle name="40% - Énfasis6 2 8" xfId="11316" xr:uid="{00000000-0005-0000-0000-00000D2C0000}"/>
    <cellStyle name="40% - Énfasis6 2 9" xfId="11317" xr:uid="{00000000-0005-0000-0000-00000E2C0000}"/>
    <cellStyle name="40% - Énfasis6 3" xfId="11318" xr:uid="{00000000-0005-0000-0000-00000F2C0000}"/>
    <cellStyle name="40% - Énfasis6 3 10" xfId="11319" xr:uid="{00000000-0005-0000-0000-0000102C0000}"/>
    <cellStyle name="40% - Énfasis6 3 11" xfId="11320" xr:uid="{00000000-0005-0000-0000-0000112C0000}"/>
    <cellStyle name="40% - Énfasis6 3 12" xfId="11321" xr:uid="{00000000-0005-0000-0000-0000122C0000}"/>
    <cellStyle name="40% - Énfasis6 3 13" xfId="11322" xr:uid="{00000000-0005-0000-0000-0000132C0000}"/>
    <cellStyle name="40% - Énfasis6 3 14" xfId="11323" xr:uid="{00000000-0005-0000-0000-0000142C0000}"/>
    <cellStyle name="40% - Énfasis6 3 15" xfId="11324" xr:uid="{00000000-0005-0000-0000-0000152C0000}"/>
    <cellStyle name="40% - Énfasis6 3 16" xfId="11325" xr:uid="{00000000-0005-0000-0000-0000162C0000}"/>
    <cellStyle name="40% - Énfasis6 3 17" xfId="11326" xr:uid="{00000000-0005-0000-0000-0000172C0000}"/>
    <cellStyle name="40% - Énfasis6 3 18" xfId="11327" xr:uid="{00000000-0005-0000-0000-0000182C0000}"/>
    <cellStyle name="40% - Énfasis6 3 19" xfId="11328" xr:uid="{00000000-0005-0000-0000-0000192C0000}"/>
    <cellStyle name="40% - Énfasis6 3 2" xfId="11329" xr:uid="{00000000-0005-0000-0000-00001A2C0000}"/>
    <cellStyle name="40% - Énfasis6 3 2 2" xfId="11330" xr:uid="{00000000-0005-0000-0000-00001B2C0000}"/>
    <cellStyle name="40% - Énfasis6 3 2 2 2" xfId="11331" xr:uid="{00000000-0005-0000-0000-00001C2C0000}"/>
    <cellStyle name="40% - Énfasis6 3 2 2 2 2" xfId="11332" xr:uid="{00000000-0005-0000-0000-00001D2C0000}"/>
    <cellStyle name="40% - Énfasis6 3 2 2 2 2 2" xfId="11333" xr:uid="{00000000-0005-0000-0000-00001E2C0000}"/>
    <cellStyle name="40% - Énfasis6 3 2 2 2 3" xfId="11334" xr:uid="{00000000-0005-0000-0000-00001F2C0000}"/>
    <cellStyle name="40% - Énfasis6 3 2 2 2 3 2" xfId="11335" xr:uid="{00000000-0005-0000-0000-0000202C0000}"/>
    <cellStyle name="40% - Énfasis6 3 2 2 2 4" xfId="11336" xr:uid="{00000000-0005-0000-0000-0000212C0000}"/>
    <cellStyle name="40% - Énfasis6 3 2 2 3" xfId="11337" xr:uid="{00000000-0005-0000-0000-0000222C0000}"/>
    <cellStyle name="40% - Énfasis6 3 2 2 3 2" xfId="11338" xr:uid="{00000000-0005-0000-0000-0000232C0000}"/>
    <cellStyle name="40% - Énfasis6 3 2 2 4" xfId="11339" xr:uid="{00000000-0005-0000-0000-0000242C0000}"/>
    <cellStyle name="40% - Énfasis6 3 2 2 4 2" xfId="11340" xr:uid="{00000000-0005-0000-0000-0000252C0000}"/>
    <cellStyle name="40% - Énfasis6 3 2 2 5" xfId="11341" xr:uid="{00000000-0005-0000-0000-0000262C0000}"/>
    <cellStyle name="40% - Énfasis6 3 2 3" xfId="11342" xr:uid="{00000000-0005-0000-0000-0000272C0000}"/>
    <cellStyle name="40% - Énfasis6 3 2 3 2" xfId="11343" xr:uid="{00000000-0005-0000-0000-0000282C0000}"/>
    <cellStyle name="40% - Énfasis6 3 2 3 2 2" xfId="11344" xr:uid="{00000000-0005-0000-0000-0000292C0000}"/>
    <cellStyle name="40% - Énfasis6 3 2 3 3" xfId="11345" xr:uid="{00000000-0005-0000-0000-00002A2C0000}"/>
    <cellStyle name="40% - Énfasis6 3 2 3 3 2" xfId="11346" xr:uid="{00000000-0005-0000-0000-00002B2C0000}"/>
    <cellStyle name="40% - Énfasis6 3 2 3 4" xfId="11347" xr:uid="{00000000-0005-0000-0000-00002C2C0000}"/>
    <cellStyle name="40% - Énfasis6 3 2 4" xfId="11348" xr:uid="{00000000-0005-0000-0000-00002D2C0000}"/>
    <cellStyle name="40% - Énfasis6 3 2 4 2" xfId="11349" xr:uid="{00000000-0005-0000-0000-00002E2C0000}"/>
    <cellStyle name="40% - Énfasis6 3 2 5" xfId="11350" xr:uid="{00000000-0005-0000-0000-00002F2C0000}"/>
    <cellStyle name="40% - Énfasis6 3 2 5 2" xfId="11351" xr:uid="{00000000-0005-0000-0000-0000302C0000}"/>
    <cellStyle name="40% - Énfasis6 3 2 6" xfId="11352" xr:uid="{00000000-0005-0000-0000-0000312C0000}"/>
    <cellStyle name="40% - Énfasis6 3 20" xfId="11353" xr:uid="{00000000-0005-0000-0000-0000322C0000}"/>
    <cellStyle name="40% - Énfasis6 3 21" xfId="11354" xr:uid="{00000000-0005-0000-0000-0000332C0000}"/>
    <cellStyle name="40% - Énfasis6 3 22" xfId="11355" xr:uid="{00000000-0005-0000-0000-0000342C0000}"/>
    <cellStyle name="40% - Énfasis6 3 23" xfId="11356" xr:uid="{00000000-0005-0000-0000-0000352C0000}"/>
    <cellStyle name="40% - Énfasis6 3 24" xfId="11357" xr:uid="{00000000-0005-0000-0000-0000362C0000}"/>
    <cellStyle name="40% - Énfasis6 3 25" xfId="11358" xr:uid="{00000000-0005-0000-0000-0000372C0000}"/>
    <cellStyle name="40% - Énfasis6 3 26" xfId="11359" xr:uid="{00000000-0005-0000-0000-0000382C0000}"/>
    <cellStyle name="40% - Énfasis6 3 27" xfId="11360" xr:uid="{00000000-0005-0000-0000-0000392C0000}"/>
    <cellStyle name="40% - Énfasis6 3 28" xfId="11361" xr:uid="{00000000-0005-0000-0000-00003A2C0000}"/>
    <cellStyle name="40% - Énfasis6 3 29" xfId="11362" xr:uid="{00000000-0005-0000-0000-00003B2C0000}"/>
    <cellStyle name="40% - Énfasis6 3 3" xfId="11363" xr:uid="{00000000-0005-0000-0000-00003C2C0000}"/>
    <cellStyle name="40% - Énfasis6 3 3 2" xfId="11364" xr:uid="{00000000-0005-0000-0000-00003D2C0000}"/>
    <cellStyle name="40% - Énfasis6 3 3 2 2" xfId="11365" xr:uid="{00000000-0005-0000-0000-00003E2C0000}"/>
    <cellStyle name="40% - Énfasis6 3 3 2 2 2" xfId="11366" xr:uid="{00000000-0005-0000-0000-00003F2C0000}"/>
    <cellStyle name="40% - Énfasis6 3 3 2 3" xfId="11367" xr:uid="{00000000-0005-0000-0000-0000402C0000}"/>
    <cellStyle name="40% - Énfasis6 3 3 2 3 2" xfId="11368" xr:uid="{00000000-0005-0000-0000-0000412C0000}"/>
    <cellStyle name="40% - Énfasis6 3 3 2 4" xfId="11369" xr:uid="{00000000-0005-0000-0000-0000422C0000}"/>
    <cellStyle name="40% - Énfasis6 3 3 3" xfId="11370" xr:uid="{00000000-0005-0000-0000-0000432C0000}"/>
    <cellStyle name="40% - Énfasis6 3 3 3 2" xfId="11371" xr:uid="{00000000-0005-0000-0000-0000442C0000}"/>
    <cellStyle name="40% - Énfasis6 3 3 4" xfId="11372" xr:uid="{00000000-0005-0000-0000-0000452C0000}"/>
    <cellStyle name="40% - Énfasis6 3 3 4 2" xfId="11373" xr:uid="{00000000-0005-0000-0000-0000462C0000}"/>
    <cellStyle name="40% - Énfasis6 3 3 5" xfId="11374" xr:uid="{00000000-0005-0000-0000-0000472C0000}"/>
    <cellStyle name="40% - Énfasis6 3 30" xfId="11375" xr:uid="{00000000-0005-0000-0000-0000482C0000}"/>
    <cellStyle name="40% - Énfasis6 3 31" xfId="11376" xr:uid="{00000000-0005-0000-0000-0000492C0000}"/>
    <cellStyle name="40% - Énfasis6 3 32" xfId="11377" xr:uid="{00000000-0005-0000-0000-00004A2C0000}"/>
    <cellStyle name="40% - Énfasis6 3 33" xfId="11378" xr:uid="{00000000-0005-0000-0000-00004B2C0000}"/>
    <cellStyle name="40% - Énfasis6 3 34" xfId="11379" xr:uid="{00000000-0005-0000-0000-00004C2C0000}"/>
    <cellStyle name="40% - Énfasis6 3 4" xfId="11380" xr:uid="{00000000-0005-0000-0000-00004D2C0000}"/>
    <cellStyle name="40% - Énfasis6 3 4 2" xfId="11381" xr:uid="{00000000-0005-0000-0000-00004E2C0000}"/>
    <cellStyle name="40% - Énfasis6 3 4 2 2" xfId="11382" xr:uid="{00000000-0005-0000-0000-00004F2C0000}"/>
    <cellStyle name="40% - Énfasis6 3 4 3" xfId="11383" xr:uid="{00000000-0005-0000-0000-0000502C0000}"/>
    <cellStyle name="40% - Énfasis6 3 4 3 2" xfId="11384" xr:uid="{00000000-0005-0000-0000-0000512C0000}"/>
    <cellStyle name="40% - Énfasis6 3 4 4" xfId="11385" xr:uid="{00000000-0005-0000-0000-0000522C0000}"/>
    <cellStyle name="40% - Énfasis6 3 5" xfId="11386" xr:uid="{00000000-0005-0000-0000-0000532C0000}"/>
    <cellStyle name="40% - Énfasis6 3 5 2" xfId="11387" xr:uid="{00000000-0005-0000-0000-0000542C0000}"/>
    <cellStyle name="40% - Énfasis6 3 6" xfId="11388" xr:uid="{00000000-0005-0000-0000-0000552C0000}"/>
    <cellStyle name="40% - Énfasis6 3 6 2" xfId="11389" xr:uid="{00000000-0005-0000-0000-0000562C0000}"/>
    <cellStyle name="40% - Énfasis6 3 7" xfId="11390" xr:uid="{00000000-0005-0000-0000-0000572C0000}"/>
    <cellStyle name="40% - Énfasis6 3 8" xfId="11391" xr:uid="{00000000-0005-0000-0000-0000582C0000}"/>
    <cellStyle name="40% - Énfasis6 3 9" xfId="11392" xr:uid="{00000000-0005-0000-0000-0000592C0000}"/>
    <cellStyle name="40% - Énfasis6 4" xfId="11393" xr:uid="{00000000-0005-0000-0000-00005A2C0000}"/>
    <cellStyle name="40% - Énfasis6 4 2" xfId="11394" xr:uid="{00000000-0005-0000-0000-00005B2C0000}"/>
    <cellStyle name="40% - Énfasis6 4 2 2" xfId="11395" xr:uid="{00000000-0005-0000-0000-00005C2C0000}"/>
    <cellStyle name="40% - Énfasis6 4 2 2 2" xfId="11396" xr:uid="{00000000-0005-0000-0000-00005D2C0000}"/>
    <cellStyle name="40% - Énfasis6 4 2 2 2 2" xfId="11397" xr:uid="{00000000-0005-0000-0000-00005E2C0000}"/>
    <cellStyle name="40% - Énfasis6 4 2 2 2 2 2" xfId="11398" xr:uid="{00000000-0005-0000-0000-00005F2C0000}"/>
    <cellStyle name="40% - Énfasis6 4 2 2 2 3" xfId="11399" xr:uid="{00000000-0005-0000-0000-0000602C0000}"/>
    <cellStyle name="40% - Énfasis6 4 2 2 2 3 2" xfId="11400" xr:uid="{00000000-0005-0000-0000-0000612C0000}"/>
    <cellStyle name="40% - Énfasis6 4 2 2 2 4" xfId="11401" xr:uid="{00000000-0005-0000-0000-0000622C0000}"/>
    <cellStyle name="40% - Énfasis6 4 2 2 3" xfId="11402" xr:uid="{00000000-0005-0000-0000-0000632C0000}"/>
    <cellStyle name="40% - Énfasis6 4 2 2 3 2" xfId="11403" xr:uid="{00000000-0005-0000-0000-0000642C0000}"/>
    <cellStyle name="40% - Énfasis6 4 2 2 4" xfId="11404" xr:uid="{00000000-0005-0000-0000-0000652C0000}"/>
    <cellStyle name="40% - Énfasis6 4 2 2 4 2" xfId="11405" xr:uid="{00000000-0005-0000-0000-0000662C0000}"/>
    <cellStyle name="40% - Énfasis6 4 2 2 5" xfId="11406" xr:uid="{00000000-0005-0000-0000-0000672C0000}"/>
    <cellStyle name="40% - Énfasis6 4 2 3" xfId="11407" xr:uid="{00000000-0005-0000-0000-0000682C0000}"/>
    <cellStyle name="40% - Énfasis6 4 2 3 2" xfId="11408" xr:uid="{00000000-0005-0000-0000-0000692C0000}"/>
    <cellStyle name="40% - Énfasis6 4 2 3 2 2" xfId="11409" xr:uid="{00000000-0005-0000-0000-00006A2C0000}"/>
    <cellStyle name="40% - Énfasis6 4 2 3 3" xfId="11410" xr:uid="{00000000-0005-0000-0000-00006B2C0000}"/>
    <cellStyle name="40% - Énfasis6 4 2 3 3 2" xfId="11411" xr:uid="{00000000-0005-0000-0000-00006C2C0000}"/>
    <cellStyle name="40% - Énfasis6 4 2 3 4" xfId="11412" xr:uid="{00000000-0005-0000-0000-00006D2C0000}"/>
    <cellStyle name="40% - Énfasis6 4 2 4" xfId="11413" xr:uid="{00000000-0005-0000-0000-00006E2C0000}"/>
    <cellStyle name="40% - Énfasis6 4 2 4 2" xfId="11414" xr:uid="{00000000-0005-0000-0000-00006F2C0000}"/>
    <cellStyle name="40% - Énfasis6 4 2 5" xfId="11415" xr:uid="{00000000-0005-0000-0000-0000702C0000}"/>
    <cellStyle name="40% - Énfasis6 4 2 5 2" xfId="11416" xr:uid="{00000000-0005-0000-0000-0000712C0000}"/>
    <cellStyle name="40% - Énfasis6 4 2 6" xfId="11417" xr:uid="{00000000-0005-0000-0000-0000722C0000}"/>
    <cellStyle name="40% - Énfasis6 4 3" xfId="11418" xr:uid="{00000000-0005-0000-0000-0000732C0000}"/>
    <cellStyle name="40% - Énfasis6 4 3 2" xfId="11419" xr:uid="{00000000-0005-0000-0000-0000742C0000}"/>
    <cellStyle name="40% - Énfasis6 4 3 2 2" xfId="11420" xr:uid="{00000000-0005-0000-0000-0000752C0000}"/>
    <cellStyle name="40% - Énfasis6 4 3 2 2 2" xfId="11421" xr:uid="{00000000-0005-0000-0000-0000762C0000}"/>
    <cellStyle name="40% - Énfasis6 4 3 2 3" xfId="11422" xr:uid="{00000000-0005-0000-0000-0000772C0000}"/>
    <cellStyle name="40% - Énfasis6 4 3 2 3 2" xfId="11423" xr:uid="{00000000-0005-0000-0000-0000782C0000}"/>
    <cellStyle name="40% - Énfasis6 4 3 2 4" xfId="11424" xr:uid="{00000000-0005-0000-0000-0000792C0000}"/>
    <cellStyle name="40% - Énfasis6 4 3 3" xfId="11425" xr:uid="{00000000-0005-0000-0000-00007A2C0000}"/>
    <cellStyle name="40% - Énfasis6 4 3 3 2" xfId="11426" xr:uid="{00000000-0005-0000-0000-00007B2C0000}"/>
    <cellStyle name="40% - Énfasis6 4 3 4" xfId="11427" xr:uid="{00000000-0005-0000-0000-00007C2C0000}"/>
    <cellStyle name="40% - Énfasis6 4 3 4 2" xfId="11428" xr:uid="{00000000-0005-0000-0000-00007D2C0000}"/>
    <cellStyle name="40% - Énfasis6 4 3 5" xfId="11429" xr:uid="{00000000-0005-0000-0000-00007E2C0000}"/>
    <cellStyle name="40% - Énfasis6 4 4" xfId="11430" xr:uid="{00000000-0005-0000-0000-00007F2C0000}"/>
    <cellStyle name="40% - Énfasis6 4 4 2" xfId="11431" xr:uid="{00000000-0005-0000-0000-0000802C0000}"/>
    <cellStyle name="40% - Énfasis6 4 4 2 2" xfId="11432" xr:uid="{00000000-0005-0000-0000-0000812C0000}"/>
    <cellStyle name="40% - Énfasis6 4 4 3" xfId="11433" xr:uid="{00000000-0005-0000-0000-0000822C0000}"/>
    <cellStyle name="40% - Énfasis6 4 4 3 2" xfId="11434" xr:uid="{00000000-0005-0000-0000-0000832C0000}"/>
    <cellStyle name="40% - Énfasis6 4 4 4" xfId="11435" xr:uid="{00000000-0005-0000-0000-0000842C0000}"/>
    <cellStyle name="40% - Énfasis6 4 5" xfId="11436" xr:uid="{00000000-0005-0000-0000-0000852C0000}"/>
    <cellStyle name="40% - Énfasis6 4 5 2" xfId="11437" xr:uid="{00000000-0005-0000-0000-0000862C0000}"/>
    <cellStyle name="40% - Énfasis6 4 6" xfId="11438" xr:uid="{00000000-0005-0000-0000-0000872C0000}"/>
    <cellStyle name="40% - Énfasis6 4 6 2" xfId="11439" xr:uid="{00000000-0005-0000-0000-0000882C0000}"/>
    <cellStyle name="40% - Énfasis6 4 7" xfId="11440" xr:uid="{00000000-0005-0000-0000-0000892C0000}"/>
    <cellStyle name="40% - Énfasis6 4 8" xfId="11441" xr:uid="{00000000-0005-0000-0000-00008A2C0000}"/>
    <cellStyle name="40% - Énfasis6 5" xfId="11442" xr:uid="{00000000-0005-0000-0000-00008B2C0000}"/>
    <cellStyle name="40% - Énfasis6 5 2" xfId="11443" xr:uid="{00000000-0005-0000-0000-00008C2C0000}"/>
    <cellStyle name="40% - Énfasis6 5 2 2" xfId="11444" xr:uid="{00000000-0005-0000-0000-00008D2C0000}"/>
    <cellStyle name="40% - Énfasis6 5 2 2 2" xfId="11445" xr:uid="{00000000-0005-0000-0000-00008E2C0000}"/>
    <cellStyle name="40% - Énfasis6 5 2 2 2 2" xfId="11446" xr:uid="{00000000-0005-0000-0000-00008F2C0000}"/>
    <cellStyle name="40% - Énfasis6 5 2 2 2 2 2" xfId="11447" xr:uid="{00000000-0005-0000-0000-0000902C0000}"/>
    <cellStyle name="40% - Énfasis6 5 2 2 2 3" xfId="11448" xr:uid="{00000000-0005-0000-0000-0000912C0000}"/>
    <cellStyle name="40% - Énfasis6 5 2 2 2 3 2" xfId="11449" xr:uid="{00000000-0005-0000-0000-0000922C0000}"/>
    <cellStyle name="40% - Énfasis6 5 2 2 2 4" xfId="11450" xr:uid="{00000000-0005-0000-0000-0000932C0000}"/>
    <cellStyle name="40% - Énfasis6 5 2 2 3" xfId="11451" xr:uid="{00000000-0005-0000-0000-0000942C0000}"/>
    <cellStyle name="40% - Énfasis6 5 2 2 3 2" xfId="11452" xr:uid="{00000000-0005-0000-0000-0000952C0000}"/>
    <cellStyle name="40% - Énfasis6 5 2 2 4" xfId="11453" xr:uid="{00000000-0005-0000-0000-0000962C0000}"/>
    <cellStyle name="40% - Énfasis6 5 2 2 4 2" xfId="11454" xr:uid="{00000000-0005-0000-0000-0000972C0000}"/>
    <cellStyle name="40% - Énfasis6 5 2 2 5" xfId="11455" xr:uid="{00000000-0005-0000-0000-0000982C0000}"/>
    <cellStyle name="40% - Énfasis6 5 2 3" xfId="11456" xr:uid="{00000000-0005-0000-0000-0000992C0000}"/>
    <cellStyle name="40% - Énfasis6 5 2 3 2" xfId="11457" xr:uid="{00000000-0005-0000-0000-00009A2C0000}"/>
    <cellStyle name="40% - Énfasis6 5 2 3 2 2" xfId="11458" xr:uid="{00000000-0005-0000-0000-00009B2C0000}"/>
    <cellStyle name="40% - Énfasis6 5 2 3 3" xfId="11459" xr:uid="{00000000-0005-0000-0000-00009C2C0000}"/>
    <cellStyle name="40% - Énfasis6 5 2 3 3 2" xfId="11460" xr:uid="{00000000-0005-0000-0000-00009D2C0000}"/>
    <cellStyle name="40% - Énfasis6 5 2 3 4" xfId="11461" xr:uid="{00000000-0005-0000-0000-00009E2C0000}"/>
    <cellStyle name="40% - Énfasis6 5 2 4" xfId="11462" xr:uid="{00000000-0005-0000-0000-00009F2C0000}"/>
    <cellStyle name="40% - Énfasis6 5 2 4 2" xfId="11463" xr:uid="{00000000-0005-0000-0000-0000A02C0000}"/>
    <cellStyle name="40% - Énfasis6 5 2 5" xfId="11464" xr:uid="{00000000-0005-0000-0000-0000A12C0000}"/>
    <cellStyle name="40% - Énfasis6 5 2 5 2" xfId="11465" xr:uid="{00000000-0005-0000-0000-0000A22C0000}"/>
    <cellStyle name="40% - Énfasis6 5 2 6" xfId="11466" xr:uid="{00000000-0005-0000-0000-0000A32C0000}"/>
    <cellStyle name="40% - Énfasis6 5 3" xfId="11467" xr:uid="{00000000-0005-0000-0000-0000A42C0000}"/>
    <cellStyle name="40% - Énfasis6 5 3 2" xfId="11468" xr:uid="{00000000-0005-0000-0000-0000A52C0000}"/>
    <cellStyle name="40% - Énfasis6 5 3 2 2" xfId="11469" xr:uid="{00000000-0005-0000-0000-0000A62C0000}"/>
    <cellStyle name="40% - Énfasis6 5 3 2 2 2" xfId="11470" xr:uid="{00000000-0005-0000-0000-0000A72C0000}"/>
    <cellStyle name="40% - Énfasis6 5 3 2 3" xfId="11471" xr:uid="{00000000-0005-0000-0000-0000A82C0000}"/>
    <cellStyle name="40% - Énfasis6 5 3 2 3 2" xfId="11472" xr:uid="{00000000-0005-0000-0000-0000A92C0000}"/>
    <cellStyle name="40% - Énfasis6 5 3 2 4" xfId="11473" xr:uid="{00000000-0005-0000-0000-0000AA2C0000}"/>
    <cellStyle name="40% - Énfasis6 5 3 3" xfId="11474" xr:uid="{00000000-0005-0000-0000-0000AB2C0000}"/>
    <cellStyle name="40% - Énfasis6 5 3 3 2" xfId="11475" xr:uid="{00000000-0005-0000-0000-0000AC2C0000}"/>
    <cellStyle name="40% - Énfasis6 5 3 4" xfId="11476" xr:uid="{00000000-0005-0000-0000-0000AD2C0000}"/>
    <cellStyle name="40% - Énfasis6 5 3 4 2" xfId="11477" xr:uid="{00000000-0005-0000-0000-0000AE2C0000}"/>
    <cellStyle name="40% - Énfasis6 5 3 5" xfId="11478" xr:uid="{00000000-0005-0000-0000-0000AF2C0000}"/>
    <cellStyle name="40% - Énfasis6 5 4" xfId="11479" xr:uid="{00000000-0005-0000-0000-0000B02C0000}"/>
    <cellStyle name="40% - Énfasis6 5 4 2" xfId="11480" xr:uid="{00000000-0005-0000-0000-0000B12C0000}"/>
    <cellStyle name="40% - Énfasis6 5 4 2 2" xfId="11481" xr:uid="{00000000-0005-0000-0000-0000B22C0000}"/>
    <cellStyle name="40% - Énfasis6 5 4 3" xfId="11482" xr:uid="{00000000-0005-0000-0000-0000B32C0000}"/>
    <cellStyle name="40% - Énfasis6 5 4 3 2" xfId="11483" xr:uid="{00000000-0005-0000-0000-0000B42C0000}"/>
    <cellStyle name="40% - Énfasis6 5 4 4" xfId="11484" xr:uid="{00000000-0005-0000-0000-0000B52C0000}"/>
    <cellStyle name="40% - Énfasis6 5 5" xfId="11485" xr:uid="{00000000-0005-0000-0000-0000B62C0000}"/>
    <cellStyle name="40% - Énfasis6 5 5 2" xfId="11486" xr:uid="{00000000-0005-0000-0000-0000B72C0000}"/>
    <cellStyle name="40% - Énfasis6 5 6" xfId="11487" xr:uid="{00000000-0005-0000-0000-0000B82C0000}"/>
    <cellStyle name="40% - Énfasis6 5 6 2" xfId="11488" xr:uid="{00000000-0005-0000-0000-0000B92C0000}"/>
    <cellStyle name="40% - Énfasis6 5 7" xfId="11489" xr:uid="{00000000-0005-0000-0000-0000BA2C0000}"/>
    <cellStyle name="40% - Énfasis6 6" xfId="11490" xr:uid="{00000000-0005-0000-0000-0000BB2C0000}"/>
    <cellStyle name="40% - Énfasis6 6 2" xfId="11491" xr:uid="{00000000-0005-0000-0000-0000BC2C0000}"/>
    <cellStyle name="40% - Énfasis6 6 2 2" xfId="11492" xr:uid="{00000000-0005-0000-0000-0000BD2C0000}"/>
    <cellStyle name="40% - Énfasis6 6 2 2 2" xfId="11493" xr:uid="{00000000-0005-0000-0000-0000BE2C0000}"/>
    <cellStyle name="40% - Énfasis6 6 2 2 2 2" xfId="11494" xr:uid="{00000000-0005-0000-0000-0000BF2C0000}"/>
    <cellStyle name="40% - Énfasis6 6 2 2 2 2 2" xfId="11495" xr:uid="{00000000-0005-0000-0000-0000C02C0000}"/>
    <cellStyle name="40% - Énfasis6 6 2 2 2 3" xfId="11496" xr:uid="{00000000-0005-0000-0000-0000C12C0000}"/>
    <cellStyle name="40% - Énfasis6 6 2 2 2 3 2" xfId="11497" xr:uid="{00000000-0005-0000-0000-0000C22C0000}"/>
    <cellStyle name="40% - Énfasis6 6 2 2 2 4" xfId="11498" xr:uid="{00000000-0005-0000-0000-0000C32C0000}"/>
    <cellStyle name="40% - Énfasis6 6 2 2 3" xfId="11499" xr:uid="{00000000-0005-0000-0000-0000C42C0000}"/>
    <cellStyle name="40% - Énfasis6 6 2 2 3 2" xfId="11500" xr:uid="{00000000-0005-0000-0000-0000C52C0000}"/>
    <cellStyle name="40% - Énfasis6 6 2 2 4" xfId="11501" xr:uid="{00000000-0005-0000-0000-0000C62C0000}"/>
    <cellStyle name="40% - Énfasis6 6 2 2 4 2" xfId="11502" xr:uid="{00000000-0005-0000-0000-0000C72C0000}"/>
    <cellStyle name="40% - Énfasis6 6 2 2 5" xfId="11503" xr:uid="{00000000-0005-0000-0000-0000C82C0000}"/>
    <cellStyle name="40% - Énfasis6 6 2 3" xfId="11504" xr:uid="{00000000-0005-0000-0000-0000C92C0000}"/>
    <cellStyle name="40% - Énfasis6 6 2 3 2" xfId="11505" xr:uid="{00000000-0005-0000-0000-0000CA2C0000}"/>
    <cellStyle name="40% - Énfasis6 6 2 3 2 2" xfId="11506" xr:uid="{00000000-0005-0000-0000-0000CB2C0000}"/>
    <cellStyle name="40% - Énfasis6 6 2 3 3" xfId="11507" xr:uid="{00000000-0005-0000-0000-0000CC2C0000}"/>
    <cellStyle name="40% - Énfasis6 6 2 3 3 2" xfId="11508" xr:uid="{00000000-0005-0000-0000-0000CD2C0000}"/>
    <cellStyle name="40% - Énfasis6 6 2 3 4" xfId="11509" xr:uid="{00000000-0005-0000-0000-0000CE2C0000}"/>
    <cellStyle name="40% - Énfasis6 6 2 4" xfId="11510" xr:uid="{00000000-0005-0000-0000-0000CF2C0000}"/>
    <cellStyle name="40% - Énfasis6 6 2 4 2" xfId="11511" xr:uid="{00000000-0005-0000-0000-0000D02C0000}"/>
    <cellStyle name="40% - Énfasis6 6 2 5" xfId="11512" xr:uid="{00000000-0005-0000-0000-0000D12C0000}"/>
    <cellStyle name="40% - Énfasis6 6 2 5 2" xfId="11513" xr:uid="{00000000-0005-0000-0000-0000D22C0000}"/>
    <cellStyle name="40% - Énfasis6 6 2 6" xfId="11514" xr:uid="{00000000-0005-0000-0000-0000D32C0000}"/>
    <cellStyle name="40% - Énfasis6 6 3" xfId="11515" xr:uid="{00000000-0005-0000-0000-0000D42C0000}"/>
    <cellStyle name="40% - Énfasis6 6 3 2" xfId="11516" xr:uid="{00000000-0005-0000-0000-0000D52C0000}"/>
    <cellStyle name="40% - Énfasis6 6 3 2 2" xfId="11517" xr:uid="{00000000-0005-0000-0000-0000D62C0000}"/>
    <cellStyle name="40% - Énfasis6 6 3 2 2 2" xfId="11518" xr:uid="{00000000-0005-0000-0000-0000D72C0000}"/>
    <cellStyle name="40% - Énfasis6 6 3 2 3" xfId="11519" xr:uid="{00000000-0005-0000-0000-0000D82C0000}"/>
    <cellStyle name="40% - Énfasis6 6 3 2 3 2" xfId="11520" xr:uid="{00000000-0005-0000-0000-0000D92C0000}"/>
    <cellStyle name="40% - Énfasis6 6 3 2 4" xfId="11521" xr:uid="{00000000-0005-0000-0000-0000DA2C0000}"/>
    <cellStyle name="40% - Énfasis6 6 3 3" xfId="11522" xr:uid="{00000000-0005-0000-0000-0000DB2C0000}"/>
    <cellStyle name="40% - Énfasis6 6 3 3 2" xfId="11523" xr:uid="{00000000-0005-0000-0000-0000DC2C0000}"/>
    <cellStyle name="40% - Énfasis6 6 3 4" xfId="11524" xr:uid="{00000000-0005-0000-0000-0000DD2C0000}"/>
    <cellStyle name="40% - Énfasis6 6 3 4 2" xfId="11525" xr:uid="{00000000-0005-0000-0000-0000DE2C0000}"/>
    <cellStyle name="40% - Énfasis6 6 3 5" xfId="11526" xr:uid="{00000000-0005-0000-0000-0000DF2C0000}"/>
    <cellStyle name="40% - Énfasis6 6 4" xfId="11527" xr:uid="{00000000-0005-0000-0000-0000E02C0000}"/>
    <cellStyle name="40% - Énfasis6 6 4 2" xfId="11528" xr:uid="{00000000-0005-0000-0000-0000E12C0000}"/>
    <cellStyle name="40% - Énfasis6 6 4 2 2" xfId="11529" xr:uid="{00000000-0005-0000-0000-0000E22C0000}"/>
    <cellStyle name="40% - Énfasis6 6 4 3" xfId="11530" xr:uid="{00000000-0005-0000-0000-0000E32C0000}"/>
    <cellStyle name="40% - Énfasis6 6 4 3 2" xfId="11531" xr:uid="{00000000-0005-0000-0000-0000E42C0000}"/>
    <cellStyle name="40% - Énfasis6 6 4 4" xfId="11532" xr:uid="{00000000-0005-0000-0000-0000E52C0000}"/>
    <cellStyle name="40% - Énfasis6 6 5" xfId="11533" xr:uid="{00000000-0005-0000-0000-0000E62C0000}"/>
    <cellStyle name="40% - Énfasis6 6 5 2" xfId="11534" xr:uid="{00000000-0005-0000-0000-0000E72C0000}"/>
    <cellStyle name="40% - Énfasis6 6 6" xfId="11535" xr:uid="{00000000-0005-0000-0000-0000E82C0000}"/>
    <cellStyle name="40% - Énfasis6 6 6 2" xfId="11536" xr:uid="{00000000-0005-0000-0000-0000E92C0000}"/>
    <cellStyle name="40% - Énfasis6 6 7" xfId="11537" xr:uid="{00000000-0005-0000-0000-0000EA2C0000}"/>
    <cellStyle name="40% - Énfasis6 7" xfId="11538" xr:uid="{00000000-0005-0000-0000-0000EB2C0000}"/>
    <cellStyle name="40% - Énfasis6 7 2" xfId="11539" xr:uid="{00000000-0005-0000-0000-0000EC2C0000}"/>
    <cellStyle name="40% - Énfasis6 7 2 2" xfId="11540" xr:uid="{00000000-0005-0000-0000-0000ED2C0000}"/>
    <cellStyle name="40% - Énfasis6 7 2 2 2" xfId="11541" xr:uid="{00000000-0005-0000-0000-0000EE2C0000}"/>
    <cellStyle name="40% - Énfasis6 7 2 2 2 2" xfId="11542" xr:uid="{00000000-0005-0000-0000-0000EF2C0000}"/>
    <cellStyle name="40% - Énfasis6 7 2 2 3" xfId="11543" xr:uid="{00000000-0005-0000-0000-0000F02C0000}"/>
    <cellStyle name="40% - Énfasis6 7 2 2 3 2" xfId="11544" xr:uid="{00000000-0005-0000-0000-0000F12C0000}"/>
    <cellStyle name="40% - Énfasis6 7 2 2 4" xfId="11545" xr:uid="{00000000-0005-0000-0000-0000F22C0000}"/>
    <cellStyle name="40% - Énfasis6 7 2 3" xfId="11546" xr:uid="{00000000-0005-0000-0000-0000F32C0000}"/>
    <cellStyle name="40% - Énfasis6 7 2 3 2" xfId="11547" xr:uid="{00000000-0005-0000-0000-0000F42C0000}"/>
    <cellStyle name="40% - Énfasis6 7 2 4" xfId="11548" xr:uid="{00000000-0005-0000-0000-0000F52C0000}"/>
    <cellStyle name="40% - Énfasis6 7 2 4 2" xfId="11549" xr:uid="{00000000-0005-0000-0000-0000F62C0000}"/>
    <cellStyle name="40% - Énfasis6 7 2 5" xfId="11550" xr:uid="{00000000-0005-0000-0000-0000F72C0000}"/>
    <cellStyle name="40% - Énfasis6 7 3" xfId="11551" xr:uid="{00000000-0005-0000-0000-0000F82C0000}"/>
    <cellStyle name="40% - Énfasis6 7 3 2" xfId="11552" xr:uid="{00000000-0005-0000-0000-0000F92C0000}"/>
    <cellStyle name="40% - Énfasis6 7 3 2 2" xfId="11553" xr:uid="{00000000-0005-0000-0000-0000FA2C0000}"/>
    <cellStyle name="40% - Énfasis6 7 3 3" xfId="11554" xr:uid="{00000000-0005-0000-0000-0000FB2C0000}"/>
    <cellStyle name="40% - Énfasis6 7 3 3 2" xfId="11555" xr:uid="{00000000-0005-0000-0000-0000FC2C0000}"/>
    <cellStyle name="40% - Énfasis6 7 3 4" xfId="11556" xr:uid="{00000000-0005-0000-0000-0000FD2C0000}"/>
    <cellStyle name="40% - Énfasis6 7 4" xfId="11557" xr:uid="{00000000-0005-0000-0000-0000FE2C0000}"/>
    <cellStyle name="40% - Énfasis6 7 4 2" xfId="11558" xr:uid="{00000000-0005-0000-0000-0000FF2C0000}"/>
    <cellStyle name="40% - Énfasis6 7 5" xfId="11559" xr:uid="{00000000-0005-0000-0000-0000002D0000}"/>
    <cellStyle name="40% - Énfasis6 7 5 2" xfId="11560" xr:uid="{00000000-0005-0000-0000-0000012D0000}"/>
    <cellStyle name="40% - Énfasis6 7 6" xfId="11561" xr:uid="{00000000-0005-0000-0000-0000022D0000}"/>
    <cellStyle name="40% - Énfasis6 8" xfId="11562" xr:uid="{00000000-0005-0000-0000-0000032D0000}"/>
    <cellStyle name="40% - Énfasis6 8 2" xfId="11563" xr:uid="{00000000-0005-0000-0000-0000042D0000}"/>
    <cellStyle name="40% - Énfasis6 8 2 2" xfId="11564" xr:uid="{00000000-0005-0000-0000-0000052D0000}"/>
    <cellStyle name="40% - Énfasis6 8 2 2 2" xfId="11565" xr:uid="{00000000-0005-0000-0000-0000062D0000}"/>
    <cellStyle name="40% - Énfasis6 8 2 2 2 2" xfId="11566" xr:uid="{00000000-0005-0000-0000-0000072D0000}"/>
    <cellStyle name="40% - Énfasis6 8 2 2 3" xfId="11567" xr:uid="{00000000-0005-0000-0000-0000082D0000}"/>
    <cellStyle name="40% - Énfasis6 8 2 2 3 2" xfId="11568" xr:uid="{00000000-0005-0000-0000-0000092D0000}"/>
    <cellStyle name="40% - Énfasis6 8 2 2 4" xfId="11569" xr:uid="{00000000-0005-0000-0000-00000A2D0000}"/>
    <cellStyle name="40% - Énfasis6 8 2 3" xfId="11570" xr:uid="{00000000-0005-0000-0000-00000B2D0000}"/>
    <cellStyle name="40% - Énfasis6 8 2 3 2" xfId="11571" xr:uid="{00000000-0005-0000-0000-00000C2D0000}"/>
    <cellStyle name="40% - Énfasis6 8 2 4" xfId="11572" xr:uid="{00000000-0005-0000-0000-00000D2D0000}"/>
    <cellStyle name="40% - Énfasis6 8 2 4 2" xfId="11573" xr:uid="{00000000-0005-0000-0000-00000E2D0000}"/>
    <cellStyle name="40% - Énfasis6 8 2 5" xfId="11574" xr:uid="{00000000-0005-0000-0000-00000F2D0000}"/>
    <cellStyle name="40% - Énfasis6 8 3" xfId="11575" xr:uid="{00000000-0005-0000-0000-0000102D0000}"/>
    <cellStyle name="40% - Énfasis6 8 3 2" xfId="11576" xr:uid="{00000000-0005-0000-0000-0000112D0000}"/>
    <cellStyle name="40% - Énfasis6 8 3 2 2" xfId="11577" xr:uid="{00000000-0005-0000-0000-0000122D0000}"/>
    <cellStyle name="40% - Énfasis6 8 3 3" xfId="11578" xr:uid="{00000000-0005-0000-0000-0000132D0000}"/>
    <cellStyle name="40% - Énfasis6 8 3 3 2" xfId="11579" xr:uid="{00000000-0005-0000-0000-0000142D0000}"/>
    <cellStyle name="40% - Énfasis6 8 3 4" xfId="11580" xr:uid="{00000000-0005-0000-0000-0000152D0000}"/>
    <cellStyle name="40% - Énfasis6 8 4" xfId="11581" xr:uid="{00000000-0005-0000-0000-0000162D0000}"/>
    <cellStyle name="40% - Énfasis6 8 4 2" xfId="11582" xr:uid="{00000000-0005-0000-0000-0000172D0000}"/>
    <cellStyle name="40% - Énfasis6 8 5" xfId="11583" xr:uid="{00000000-0005-0000-0000-0000182D0000}"/>
    <cellStyle name="40% - Énfasis6 8 5 2" xfId="11584" xr:uid="{00000000-0005-0000-0000-0000192D0000}"/>
    <cellStyle name="40% - Énfasis6 8 6" xfId="11585" xr:uid="{00000000-0005-0000-0000-00001A2D0000}"/>
    <cellStyle name="40% - Énfasis6 9" xfId="11586" xr:uid="{00000000-0005-0000-0000-00001B2D0000}"/>
    <cellStyle name="40% - Énfasis6 9 2" xfId="11587" xr:uid="{00000000-0005-0000-0000-00001C2D0000}"/>
    <cellStyle name="40% - Énfasis6 9 2 2" xfId="11588" xr:uid="{00000000-0005-0000-0000-00001D2D0000}"/>
    <cellStyle name="40% - Énfasis6 9 2 2 2" xfId="11589" xr:uid="{00000000-0005-0000-0000-00001E2D0000}"/>
    <cellStyle name="40% - Énfasis6 9 2 3" xfId="11590" xr:uid="{00000000-0005-0000-0000-00001F2D0000}"/>
    <cellStyle name="40% - Énfasis6 9 2 3 2" xfId="11591" xr:uid="{00000000-0005-0000-0000-0000202D0000}"/>
    <cellStyle name="40% - Énfasis6 9 2 4" xfId="11592" xr:uid="{00000000-0005-0000-0000-0000212D0000}"/>
    <cellStyle name="40% - Énfasis6 9 3" xfId="11593" xr:uid="{00000000-0005-0000-0000-0000222D0000}"/>
    <cellStyle name="40% - Énfasis6 9 3 2" xfId="11594" xr:uid="{00000000-0005-0000-0000-0000232D0000}"/>
    <cellStyle name="40% - Énfasis6 9 4" xfId="11595" xr:uid="{00000000-0005-0000-0000-0000242D0000}"/>
    <cellStyle name="40% - Énfasis6 9 4 2" xfId="11596" xr:uid="{00000000-0005-0000-0000-0000252D0000}"/>
    <cellStyle name="40% - Énfasis6 9 5" xfId="11597" xr:uid="{00000000-0005-0000-0000-0000262D0000}"/>
    <cellStyle name="40% - アクセント 1" xfId="11598" xr:uid="{00000000-0005-0000-0000-0000272D0000}"/>
    <cellStyle name="40% - アクセント 2" xfId="11599" xr:uid="{00000000-0005-0000-0000-0000282D0000}"/>
    <cellStyle name="40% - アクセント 3" xfId="11600" xr:uid="{00000000-0005-0000-0000-0000292D0000}"/>
    <cellStyle name="40% - アクセント 4" xfId="11601" xr:uid="{00000000-0005-0000-0000-00002A2D0000}"/>
    <cellStyle name="40% - アクセント 5" xfId="11602" xr:uid="{00000000-0005-0000-0000-00002B2D0000}"/>
    <cellStyle name="40% - アクセント 6" xfId="11603" xr:uid="{00000000-0005-0000-0000-00002C2D0000}"/>
    <cellStyle name="6_x0001_" xfId="11604" xr:uid="{00000000-0005-0000-0000-00002D2D0000}"/>
    <cellStyle name="6_x0001_ 2" xfId="11605" xr:uid="{00000000-0005-0000-0000-00002E2D0000}"/>
    <cellStyle name="60% - Accent1" xfId="11606" xr:uid="{00000000-0005-0000-0000-00002F2D0000}"/>
    <cellStyle name="60% - Accent1 10" xfId="11607" xr:uid="{00000000-0005-0000-0000-0000302D0000}"/>
    <cellStyle name="60% - Accent1 11" xfId="11608" xr:uid="{00000000-0005-0000-0000-0000312D0000}"/>
    <cellStyle name="60% - Accent1 12" xfId="11609" xr:uid="{00000000-0005-0000-0000-0000322D0000}"/>
    <cellStyle name="60% - Accent1 13" xfId="11610" xr:uid="{00000000-0005-0000-0000-0000332D0000}"/>
    <cellStyle name="60% - Accent1 14" xfId="11611" xr:uid="{00000000-0005-0000-0000-0000342D0000}"/>
    <cellStyle name="60% - Accent1 15" xfId="11612" xr:uid="{00000000-0005-0000-0000-0000352D0000}"/>
    <cellStyle name="60% - Accent1 2" xfId="11613" xr:uid="{00000000-0005-0000-0000-0000362D0000}"/>
    <cellStyle name="60% - Accent1 3" xfId="11614" xr:uid="{00000000-0005-0000-0000-0000372D0000}"/>
    <cellStyle name="60% - Accent1 4" xfId="11615" xr:uid="{00000000-0005-0000-0000-0000382D0000}"/>
    <cellStyle name="60% - Accent1 5" xfId="11616" xr:uid="{00000000-0005-0000-0000-0000392D0000}"/>
    <cellStyle name="60% - Accent1 6" xfId="11617" xr:uid="{00000000-0005-0000-0000-00003A2D0000}"/>
    <cellStyle name="60% - Accent1 7" xfId="11618" xr:uid="{00000000-0005-0000-0000-00003B2D0000}"/>
    <cellStyle name="60% - Accent1 8" xfId="11619" xr:uid="{00000000-0005-0000-0000-00003C2D0000}"/>
    <cellStyle name="60% - Accent1 9" xfId="11620" xr:uid="{00000000-0005-0000-0000-00003D2D0000}"/>
    <cellStyle name="60% - Accent2" xfId="11621" xr:uid="{00000000-0005-0000-0000-00003E2D0000}"/>
    <cellStyle name="60% - Accent2 10" xfId="11622" xr:uid="{00000000-0005-0000-0000-00003F2D0000}"/>
    <cellStyle name="60% - Accent2 11" xfId="11623" xr:uid="{00000000-0005-0000-0000-0000402D0000}"/>
    <cellStyle name="60% - Accent2 12" xfId="11624" xr:uid="{00000000-0005-0000-0000-0000412D0000}"/>
    <cellStyle name="60% - Accent2 13" xfId="11625" xr:uid="{00000000-0005-0000-0000-0000422D0000}"/>
    <cellStyle name="60% - Accent2 14" xfId="11626" xr:uid="{00000000-0005-0000-0000-0000432D0000}"/>
    <cellStyle name="60% - Accent2 15" xfId="11627" xr:uid="{00000000-0005-0000-0000-0000442D0000}"/>
    <cellStyle name="60% - Accent2 2" xfId="11628" xr:uid="{00000000-0005-0000-0000-0000452D0000}"/>
    <cellStyle name="60% - Accent2 3" xfId="11629" xr:uid="{00000000-0005-0000-0000-0000462D0000}"/>
    <cellStyle name="60% - Accent2 4" xfId="11630" xr:uid="{00000000-0005-0000-0000-0000472D0000}"/>
    <cellStyle name="60% - Accent2 5" xfId="11631" xr:uid="{00000000-0005-0000-0000-0000482D0000}"/>
    <cellStyle name="60% - Accent2 6" xfId="11632" xr:uid="{00000000-0005-0000-0000-0000492D0000}"/>
    <cellStyle name="60% - Accent2 7" xfId="11633" xr:uid="{00000000-0005-0000-0000-00004A2D0000}"/>
    <cellStyle name="60% - Accent2 8" xfId="11634" xr:uid="{00000000-0005-0000-0000-00004B2D0000}"/>
    <cellStyle name="60% - Accent2 9" xfId="11635" xr:uid="{00000000-0005-0000-0000-00004C2D0000}"/>
    <cellStyle name="60% - Accent3" xfId="11636" xr:uid="{00000000-0005-0000-0000-00004D2D0000}"/>
    <cellStyle name="60% - Accent3 10" xfId="11637" xr:uid="{00000000-0005-0000-0000-00004E2D0000}"/>
    <cellStyle name="60% - Accent3 11" xfId="11638" xr:uid="{00000000-0005-0000-0000-00004F2D0000}"/>
    <cellStyle name="60% - Accent3 12" xfId="11639" xr:uid="{00000000-0005-0000-0000-0000502D0000}"/>
    <cellStyle name="60% - Accent3 13" xfId="11640" xr:uid="{00000000-0005-0000-0000-0000512D0000}"/>
    <cellStyle name="60% - Accent3 14" xfId="11641" xr:uid="{00000000-0005-0000-0000-0000522D0000}"/>
    <cellStyle name="60% - Accent3 15" xfId="11642" xr:uid="{00000000-0005-0000-0000-0000532D0000}"/>
    <cellStyle name="60% - Accent3 2" xfId="11643" xr:uid="{00000000-0005-0000-0000-0000542D0000}"/>
    <cellStyle name="60% - Accent3 3" xfId="11644" xr:uid="{00000000-0005-0000-0000-0000552D0000}"/>
    <cellStyle name="60% - Accent3 4" xfId="11645" xr:uid="{00000000-0005-0000-0000-0000562D0000}"/>
    <cellStyle name="60% - Accent3 5" xfId="11646" xr:uid="{00000000-0005-0000-0000-0000572D0000}"/>
    <cellStyle name="60% - Accent3 6" xfId="11647" xr:uid="{00000000-0005-0000-0000-0000582D0000}"/>
    <cellStyle name="60% - Accent3 7" xfId="11648" xr:uid="{00000000-0005-0000-0000-0000592D0000}"/>
    <cellStyle name="60% - Accent3 8" xfId="11649" xr:uid="{00000000-0005-0000-0000-00005A2D0000}"/>
    <cellStyle name="60% - Accent3 9" xfId="11650" xr:uid="{00000000-0005-0000-0000-00005B2D0000}"/>
    <cellStyle name="60% - Accent4" xfId="11651" xr:uid="{00000000-0005-0000-0000-00005C2D0000}"/>
    <cellStyle name="60% - Accent4 10" xfId="11652" xr:uid="{00000000-0005-0000-0000-00005D2D0000}"/>
    <cellStyle name="60% - Accent4 11" xfId="11653" xr:uid="{00000000-0005-0000-0000-00005E2D0000}"/>
    <cellStyle name="60% - Accent4 12" xfId="11654" xr:uid="{00000000-0005-0000-0000-00005F2D0000}"/>
    <cellStyle name="60% - Accent4 13" xfId="11655" xr:uid="{00000000-0005-0000-0000-0000602D0000}"/>
    <cellStyle name="60% - Accent4 14" xfId="11656" xr:uid="{00000000-0005-0000-0000-0000612D0000}"/>
    <cellStyle name="60% - Accent4 15" xfId="11657" xr:uid="{00000000-0005-0000-0000-0000622D0000}"/>
    <cellStyle name="60% - Accent4 2" xfId="11658" xr:uid="{00000000-0005-0000-0000-0000632D0000}"/>
    <cellStyle name="60% - Accent4 3" xfId="11659" xr:uid="{00000000-0005-0000-0000-0000642D0000}"/>
    <cellStyle name="60% - Accent4 4" xfId="11660" xr:uid="{00000000-0005-0000-0000-0000652D0000}"/>
    <cellStyle name="60% - Accent4 5" xfId="11661" xr:uid="{00000000-0005-0000-0000-0000662D0000}"/>
    <cellStyle name="60% - Accent4 6" xfId="11662" xr:uid="{00000000-0005-0000-0000-0000672D0000}"/>
    <cellStyle name="60% - Accent4 7" xfId="11663" xr:uid="{00000000-0005-0000-0000-0000682D0000}"/>
    <cellStyle name="60% - Accent4 8" xfId="11664" xr:uid="{00000000-0005-0000-0000-0000692D0000}"/>
    <cellStyle name="60% - Accent4 9" xfId="11665" xr:uid="{00000000-0005-0000-0000-00006A2D0000}"/>
    <cellStyle name="60% - Accent5" xfId="11666" xr:uid="{00000000-0005-0000-0000-00006B2D0000}"/>
    <cellStyle name="60% - Accent5 10" xfId="11667" xr:uid="{00000000-0005-0000-0000-00006C2D0000}"/>
    <cellStyle name="60% - Accent5 11" xfId="11668" xr:uid="{00000000-0005-0000-0000-00006D2D0000}"/>
    <cellStyle name="60% - Accent5 12" xfId="11669" xr:uid="{00000000-0005-0000-0000-00006E2D0000}"/>
    <cellStyle name="60% - Accent5 13" xfId="11670" xr:uid="{00000000-0005-0000-0000-00006F2D0000}"/>
    <cellStyle name="60% - Accent5 14" xfId="11671" xr:uid="{00000000-0005-0000-0000-0000702D0000}"/>
    <cellStyle name="60% - Accent5 15" xfId="11672" xr:uid="{00000000-0005-0000-0000-0000712D0000}"/>
    <cellStyle name="60% - Accent5 2" xfId="11673" xr:uid="{00000000-0005-0000-0000-0000722D0000}"/>
    <cellStyle name="60% - Accent5 3" xfId="11674" xr:uid="{00000000-0005-0000-0000-0000732D0000}"/>
    <cellStyle name="60% - Accent5 4" xfId="11675" xr:uid="{00000000-0005-0000-0000-0000742D0000}"/>
    <cellStyle name="60% - Accent5 5" xfId="11676" xr:uid="{00000000-0005-0000-0000-0000752D0000}"/>
    <cellStyle name="60% - Accent5 6" xfId="11677" xr:uid="{00000000-0005-0000-0000-0000762D0000}"/>
    <cellStyle name="60% - Accent5 7" xfId="11678" xr:uid="{00000000-0005-0000-0000-0000772D0000}"/>
    <cellStyle name="60% - Accent5 8" xfId="11679" xr:uid="{00000000-0005-0000-0000-0000782D0000}"/>
    <cellStyle name="60% - Accent5 9" xfId="11680" xr:uid="{00000000-0005-0000-0000-0000792D0000}"/>
    <cellStyle name="60% - Accent6" xfId="11681" xr:uid="{00000000-0005-0000-0000-00007A2D0000}"/>
    <cellStyle name="60% - Accent6 10" xfId="11682" xr:uid="{00000000-0005-0000-0000-00007B2D0000}"/>
    <cellStyle name="60% - Accent6 11" xfId="11683" xr:uid="{00000000-0005-0000-0000-00007C2D0000}"/>
    <cellStyle name="60% - Accent6 12" xfId="11684" xr:uid="{00000000-0005-0000-0000-00007D2D0000}"/>
    <cellStyle name="60% - Accent6 13" xfId="11685" xr:uid="{00000000-0005-0000-0000-00007E2D0000}"/>
    <cellStyle name="60% - Accent6 14" xfId="11686" xr:uid="{00000000-0005-0000-0000-00007F2D0000}"/>
    <cellStyle name="60% - Accent6 15" xfId="11687" xr:uid="{00000000-0005-0000-0000-0000802D0000}"/>
    <cellStyle name="60% - Accent6 2" xfId="11688" xr:uid="{00000000-0005-0000-0000-0000812D0000}"/>
    <cellStyle name="60% - Accent6 3" xfId="11689" xr:uid="{00000000-0005-0000-0000-0000822D0000}"/>
    <cellStyle name="60% - Accent6 4" xfId="11690" xr:uid="{00000000-0005-0000-0000-0000832D0000}"/>
    <cellStyle name="60% - Accent6 5" xfId="11691" xr:uid="{00000000-0005-0000-0000-0000842D0000}"/>
    <cellStyle name="60% - Accent6 6" xfId="11692" xr:uid="{00000000-0005-0000-0000-0000852D0000}"/>
    <cellStyle name="60% - Accent6 7" xfId="11693" xr:uid="{00000000-0005-0000-0000-0000862D0000}"/>
    <cellStyle name="60% - Accent6 8" xfId="11694" xr:uid="{00000000-0005-0000-0000-0000872D0000}"/>
    <cellStyle name="60% - Accent6 9" xfId="11695" xr:uid="{00000000-0005-0000-0000-0000882D0000}"/>
    <cellStyle name="60% - Énfasis1" xfId="25" builtinId="32" customBuiltin="1"/>
    <cellStyle name="60% - Énfasis1 10" xfId="11696" xr:uid="{00000000-0005-0000-0000-00008A2D0000}"/>
    <cellStyle name="60% - Énfasis1 11" xfId="11697" xr:uid="{00000000-0005-0000-0000-00008B2D0000}"/>
    <cellStyle name="60% - Énfasis1 12" xfId="11698" xr:uid="{00000000-0005-0000-0000-00008C2D0000}"/>
    <cellStyle name="60% - Énfasis1 13" xfId="11699" xr:uid="{00000000-0005-0000-0000-00008D2D0000}"/>
    <cellStyle name="60% - Énfasis1 14" xfId="11700" xr:uid="{00000000-0005-0000-0000-00008E2D0000}"/>
    <cellStyle name="60% - Énfasis1 15" xfId="11701" xr:uid="{00000000-0005-0000-0000-00008F2D0000}"/>
    <cellStyle name="60% - Énfasis1 16" xfId="11702" xr:uid="{00000000-0005-0000-0000-0000902D0000}"/>
    <cellStyle name="60% - Énfasis1 2" xfId="11703" xr:uid="{00000000-0005-0000-0000-0000912D0000}"/>
    <cellStyle name="60% - Énfasis1 2 10" xfId="11704" xr:uid="{00000000-0005-0000-0000-0000922D0000}"/>
    <cellStyle name="60% - Énfasis1 2 11" xfId="11705" xr:uid="{00000000-0005-0000-0000-0000932D0000}"/>
    <cellStyle name="60% - Énfasis1 2 12" xfId="11706" xr:uid="{00000000-0005-0000-0000-0000942D0000}"/>
    <cellStyle name="60% - Énfasis1 2 13" xfId="11707" xr:uid="{00000000-0005-0000-0000-0000952D0000}"/>
    <cellStyle name="60% - Énfasis1 2 14" xfId="11708" xr:uid="{00000000-0005-0000-0000-0000962D0000}"/>
    <cellStyle name="60% - Énfasis1 2 15" xfId="11709" xr:uid="{00000000-0005-0000-0000-0000972D0000}"/>
    <cellStyle name="60% - Énfasis1 2 16" xfId="11710" xr:uid="{00000000-0005-0000-0000-0000982D0000}"/>
    <cellStyle name="60% - Énfasis1 2 17" xfId="11711" xr:uid="{00000000-0005-0000-0000-0000992D0000}"/>
    <cellStyle name="60% - Énfasis1 2 18" xfId="11712" xr:uid="{00000000-0005-0000-0000-00009A2D0000}"/>
    <cellStyle name="60% - Énfasis1 2 19" xfId="11713" xr:uid="{00000000-0005-0000-0000-00009B2D0000}"/>
    <cellStyle name="60% - Énfasis1 2 2" xfId="11714" xr:uid="{00000000-0005-0000-0000-00009C2D0000}"/>
    <cellStyle name="60% - Énfasis1 2 20" xfId="11715" xr:uid="{00000000-0005-0000-0000-00009D2D0000}"/>
    <cellStyle name="60% - Énfasis1 2 21" xfId="11716" xr:uid="{00000000-0005-0000-0000-00009E2D0000}"/>
    <cellStyle name="60% - Énfasis1 2 22" xfId="11717" xr:uid="{00000000-0005-0000-0000-00009F2D0000}"/>
    <cellStyle name="60% - Énfasis1 2 23" xfId="11718" xr:uid="{00000000-0005-0000-0000-0000A02D0000}"/>
    <cellStyle name="60% - Énfasis1 2 24" xfId="11719" xr:uid="{00000000-0005-0000-0000-0000A12D0000}"/>
    <cellStyle name="60% - Énfasis1 2 25" xfId="11720" xr:uid="{00000000-0005-0000-0000-0000A22D0000}"/>
    <cellStyle name="60% - Énfasis1 2 26" xfId="11721" xr:uid="{00000000-0005-0000-0000-0000A32D0000}"/>
    <cellStyle name="60% - Énfasis1 2 27" xfId="11722" xr:uid="{00000000-0005-0000-0000-0000A42D0000}"/>
    <cellStyle name="60% - Énfasis1 2 28" xfId="11723" xr:uid="{00000000-0005-0000-0000-0000A52D0000}"/>
    <cellStyle name="60% - Énfasis1 2 29" xfId="11724" xr:uid="{00000000-0005-0000-0000-0000A62D0000}"/>
    <cellStyle name="60% - Énfasis1 2 3" xfId="11725" xr:uid="{00000000-0005-0000-0000-0000A72D0000}"/>
    <cellStyle name="60% - Énfasis1 2 30" xfId="11726" xr:uid="{00000000-0005-0000-0000-0000A82D0000}"/>
    <cellStyle name="60% - Énfasis1 2 31" xfId="11727" xr:uid="{00000000-0005-0000-0000-0000A92D0000}"/>
    <cellStyle name="60% - Énfasis1 2 32" xfId="11728" xr:uid="{00000000-0005-0000-0000-0000AA2D0000}"/>
    <cellStyle name="60% - Énfasis1 2 33" xfId="11729" xr:uid="{00000000-0005-0000-0000-0000AB2D0000}"/>
    <cellStyle name="60% - Énfasis1 2 34" xfId="11730" xr:uid="{00000000-0005-0000-0000-0000AC2D0000}"/>
    <cellStyle name="60% - Énfasis1 2 35" xfId="11731" xr:uid="{00000000-0005-0000-0000-0000AD2D0000}"/>
    <cellStyle name="60% - Énfasis1 2 36" xfId="11732" xr:uid="{00000000-0005-0000-0000-0000AE2D0000}"/>
    <cellStyle name="60% - Énfasis1 2 37" xfId="11733" xr:uid="{00000000-0005-0000-0000-0000AF2D0000}"/>
    <cellStyle name="60% - Énfasis1 2 38" xfId="11734" xr:uid="{00000000-0005-0000-0000-0000B02D0000}"/>
    <cellStyle name="60% - Énfasis1 2 4" xfId="11735" xr:uid="{00000000-0005-0000-0000-0000B12D0000}"/>
    <cellStyle name="60% - Énfasis1 2 5" xfId="11736" xr:uid="{00000000-0005-0000-0000-0000B22D0000}"/>
    <cellStyle name="60% - Énfasis1 2 6" xfId="11737" xr:uid="{00000000-0005-0000-0000-0000B32D0000}"/>
    <cellStyle name="60% - Énfasis1 2 7" xfId="11738" xr:uid="{00000000-0005-0000-0000-0000B42D0000}"/>
    <cellStyle name="60% - Énfasis1 2 8" xfId="11739" xr:uid="{00000000-0005-0000-0000-0000B52D0000}"/>
    <cellStyle name="60% - Énfasis1 2 9" xfId="11740" xr:uid="{00000000-0005-0000-0000-0000B62D0000}"/>
    <cellStyle name="60% - Énfasis1 3" xfId="11741" xr:uid="{00000000-0005-0000-0000-0000B72D0000}"/>
    <cellStyle name="60% - Énfasis1 3 10" xfId="11742" xr:uid="{00000000-0005-0000-0000-0000B82D0000}"/>
    <cellStyle name="60% - Énfasis1 3 11" xfId="11743" xr:uid="{00000000-0005-0000-0000-0000B92D0000}"/>
    <cellStyle name="60% - Énfasis1 3 12" xfId="11744" xr:uid="{00000000-0005-0000-0000-0000BA2D0000}"/>
    <cellStyle name="60% - Énfasis1 3 13" xfId="11745" xr:uid="{00000000-0005-0000-0000-0000BB2D0000}"/>
    <cellStyle name="60% - Énfasis1 3 14" xfId="11746" xr:uid="{00000000-0005-0000-0000-0000BC2D0000}"/>
    <cellStyle name="60% - Énfasis1 3 15" xfId="11747" xr:uid="{00000000-0005-0000-0000-0000BD2D0000}"/>
    <cellStyle name="60% - Énfasis1 3 16" xfId="11748" xr:uid="{00000000-0005-0000-0000-0000BE2D0000}"/>
    <cellStyle name="60% - Énfasis1 3 17" xfId="11749" xr:uid="{00000000-0005-0000-0000-0000BF2D0000}"/>
    <cellStyle name="60% - Énfasis1 3 18" xfId="11750" xr:uid="{00000000-0005-0000-0000-0000C02D0000}"/>
    <cellStyle name="60% - Énfasis1 3 19" xfId="11751" xr:uid="{00000000-0005-0000-0000-0000C12D0000}"/>
    <cellStyle name="60% - Énfasis1 3 2" xfId="11752" xr:uid="{00000000-0005-0000-0000-0000C22D0000}"/>
    <cellStyle name="60% - Énfasis1 3 20" xfId="11753" xr:uid="{00000000-0005-0000-0000-0000C32D0000}"/>
    <cellStyle name="60% - Énfasis1 3 21" xfId="11754" xr:uid="{00000000-0005-0000-0000-0000C42D0000}"/>
    <cellStyle name="60% - Énfasis1 3 22" xfId="11755" xr:uid="{00000000-0005-0000-0000-0000C52D0000}"/>
    <cellStyle name="60% - Énfasis1 3 23" xfId="11756" xr:uid="{00000000-0005-0000-0000-0000C62D0000}"/>
    <cellStyle name="60% - Énfasis1 3 24" xfId="11757" xr:uid="{00000000-0005-0000-0000-0000C72D0000}"/>
    <cellStyle name="60% - Énfasis1 3 25" xfId="11758" xr:uid="{00000000-0005-0000-0000-0000C82D0000}"/>
    <cellStyle name="60% - Énfasis1 3 26" xfId="11759" xr:uid="{00000000-0005-0000-0000-0000C92D0000}"/>
    <cellStyle name="60% - Énfasis1 3 27" xfId="11760" xr:uid="{00000000-0005-0000-0000-0000CA2D0000}"/>
    <cellStyle name="60% - Énfasis1 3 28" xfId="11761" xr:uid="{00000000-0005-0000-0000-0000CB2D0000}"/>
    <cellStyle name="60% - Énfasis1 3 29" xfId="11762" xr:uid="{00000000-0005-0000-0000-0000CC2D0000}"/>
    <cellStyle name="60% - Énfasis1 3 3" xfId="11763" xr:uid="{00000000-0005-0000-0000-0000CD2D0000}"/>
    <cellStyle name="60% - Énfasis1 3 30" xfId="11764" xr:uid="{00000000-0005-0000-0000-0000CE2D0000}"/>
    <cellStyle name="60% - Énfasis1 3 31" xfId="11765" xr:uid="{00000000-0005-0000-0000-0000CF2D0000}"/>
    <cellStyle name="60% - Énfasis1 3 32" xfId="11766" xr:uid="{00000000-0005-0000-0000-0000D02D0000}"/>
    <cellStyle name="60% - Énfasis1 3 33" xfId="11767" xr:uid="{00000000-0005-0000-0000-0000D12D0000}"/>
    <cellStyle name="60% - Énfasis1 3 4" xfId="11768" xr:uid="{00000000-0005-0000-0000-0000D22D0000}"/>
    <cellStyle name="60% - Énfasis1 3 5" xfId="11769" xr:uid="{00000000-0005-0000-0000-0000D32D0000}"/>
    <cellStyle name="60% - Énfasis1 3 6" xfId="11770" xr:uid="{00000000-0005-0000-0000-0000D42D0000}"/>
    <cellStyle name="60% - Énfasis1 3 7" xfId="11771" xr:uid="{00000000-0005-0000-0000-0000D52D0000}"/>
    <cellStyle name="60% - Énfasis1 3 8" xfId="11772" xr:uid="{00000000-0005-0000-0000-0000D62D0000}"/>
    <cellStyle name="60% - Énfasis1 3 9" xfId="11773" xr:uid="{00000000-0005-0000-0000-0000D72D0000}"/>
    <cellStyle name="60% - Énfasis1 4" xfId="11774" xr:uid="{00000000-0005-0000-0000-0000D82D0000}"/>
    <cellStyle name="60% - Énfasis1 4 2" xfId="11775" xr:uid="{00000000-0005-0000-0000-0000D92D0000}"/>
    <cellStyle name="60% - Énfasis1 4 3" xfId="11776" xr:uid="{00000000-0005-0000-0000-0000DA2D0000}"/>
    <cellStyle name="60% - Énfasis1 4 4" xfId="11777" xr:uid="{00000000-0005-0000-0000-0000DB2D0000}"/>
    <cellStyle name="60% - Énfasis1 5" xfId="11778" xr:uid="{00000000-0005-0000-0000-0000DC2D0000}"/>
    <cellStyle name="60% - Énfasis1 5 2" xfId="11779" xr:uid="{00000000-0005-0000-0000-0000DD2D0000}"/>
    <cellStyle name="60% - Énfasis1 5 3" xfId="11780" xr:uid="{00000000-0005-0000-0000-0000DE2D0000}"/>
    <cellStyle name="60% - Énfasis1 5 4" xfId="11781" xr:uid="{00000000-0005-0000-0000-0000DF2D0000}"/>
    <cellStyle name="60% - Énfasis1 6" xfId="11782" xr:uid="{00000000-0005-0000-0000-0000E02D0000}"/>
    <cellStyle name="60% - Énfasis1 6 2" xfId="11783" xr:uid="{00000000-0005-0000-0000-0000E12D0000}"/>
    <cellStyle name="60% - Énfasis1 7" xfId="11784" xr:uid="{00000000-0005-0000-0000-0000E22D0000}"/>
    <cellStyle name="60% - Énfasis1 7 2" xfId="11785" xr:uid="{00000000-0005-0000-0000-0000E32D0000}"/>
    <cellStyle name="60% - Énfasis1 8" xfId="11786" xr:uid="{00000000-0005-0000-0000-0000E42D0000}"/>
    <cellStyle name="60% - Énfasis1 9" xfId="11787" xr:uid="{00000000-0005-0000-0000-0000E52D0000}"/>
    <cellStyle name="60% - Énfasis2" xfId="26" builtinId="36" customBuiltin="1"/>
    <cellStyle name="60% - Énfasis2 10" xfId="11788" xr:uid="{00000000-0005-0000-0000-0000E72D0000}"/>
    <cellStyle name="60% - Énfasis2 11" xfId="11789" xr:uid="{00000000-0005-0000-0000-0000E82D0000}"/>
    <cellStyle name="60% - Énfasis2 12" xfId="11790" xr:uid="{00000000-0005-0000-0000-0000E92D0000}"/>
    <cellStyle name="60% - Énfasis2 13" xfId="11791" xr:uid="{00000000-0005-0000-0000-0000EA2D0000}"/>
    <cellStyle name="60% - Énfasis2 14" xfId="11792" xr:uid="{00000000-0005-0000-0000-0000EB2D0000}"/>
    <cellStyle name="60% - Énfasis2 15" xfId="11793" xr:uid="{00000000-0005-0000-0000-0000EC2D0000}"/>
    <cellStyle name="60% - Énfasis2 16" xfId="11794" xr:uid="{00000000-0005-0000-0000-0000ED2D0000}"/>
    <cellStyle name="60% - Énfasis2 2" xfId="11795" xr:uid="{00000000-0005-0000-0000-0000EE2D0000}"/>
    <cellStyle name="60% - Énfasis2 2 10" xfId="11796" xr:uid="{00000000-0005-0000-0000-0000EF2D0000}"/>
    <cellStyle name="60% - Énfasis2 2 11" xfId="11797" xr:uid="{00000000-0005-0000-0000-0000F02D0000}"/>
    <cellStyle name="60% - Énfasis2 2 12" xfId="11798" xr:uid="{00000000-0005-0000-0000-0000F12D0000}"/>
    <cellStyle name="60% - Énfasis2 2 13" xfId="11799" xr:uid="{00000000-0005-0000-0000-0000F22D0000}"/>
    <cellStyle name="60% - Énfasis2 2 14" xfId="11800" xr:uid="{00000000-0005-0000-0000-0000F32D0000}"/>
    <cellStyle name="60% - Énfasis2 2 15" xfId="11801" xr:uid="{00000000-0005-0000-0000-0000F42D0000}"/>
    <cellStyle name="60% - Énfasis2 2 16" xfId="11802" xr:uid="{00000000-0005-0000-0000-0000F52D0000}"/>
    <cellStyle name="60% - Énfasis2 2 17" xfId="11803" xr:uid="{00000000-0005-0000-0000-0000F62D0000}"/>
    <cellStyle name="60% - Énfasis2 2 18" xfId="11804" xr:uid="{00000000-0005-0000-0000-0000F72D0000}"/>
    <cellStyle name="60% - Énfasis2 2 19" xfId="11805" xr:uid="{00000000-0005-0000-0000-0000F82D0000}"/>
    <cellStyle name="60% - Énfasis2 2 2" xfId="11806" xr:uid="{00000000-0005-0000-0000-0000F92D0000}"/>
    <cellStyle name="60% - Énfasis2 2 20" xfId="11807" xr:uid="{00000000-0005-0000-0000-0000FA2D0000}"/>
    <cellStyle name="60% - Énfasis2 2 21" xfId="11808" xr:uid="{00000000-0005-0000-0000-0000FB2D0000}"/>
    <cellStyle name="60% - Énfasis2 2 22" xfId="11809" xr:uid="{00000000-0005-0000-0000-0000FC2D0000}"/>
    <cellStyle name="60% - Énfasis2 2 23" xfId="11810" xr:uid="{00000000-0005-0000-0000-0000FD2D0000}"/>
    <cellStyle name="60% - Énfasis2 2 24" xfId="11811" xr:uid="{00000000-0005-0000-0000-0000FE2D0000}"/>
    <cellStyle name="60% - Énfasis2 2 25" xfId="11812" xr:uid="{00000000-0005-0000-0000-0000FF2D0000}"/>
    <cellStyle name="60% - Énfasis2 2 26" xfId="11813" xr:uid="{00000000-0005-0000-0000-0000002E0000}"/>
    <cellStyle name="60% - Énfasis2 2 27" xfId="11814" xr:uid="{00000000-0005-0000-0000-0000012E0000}"/>
    <cellStyle name="60% - Énfasis2 2 28" xfId="11815" xr:uid="{00000000-0005-0000-0000-0000022E0000}"/>
    <cellStyle name="60% - Énfasis2 2 29" xfId="11816" xr:uid="{00000000-0005-0000-0000-0000032E0000}"/>
    <cellStyle name="60% - Énfasis2 2 3" xfId="11817" xr:uid="{00000000-0005-0000-0000-0000042E0000}"/>
    <cellStyle name="60% - Énfasis2 2 30" xfId="11818" xr:uid="{00000000-0005-0000-0000-0000052E0000}"/>
    <cellStyle name="60% - Énfasis2 2 31" xfId="11819" xr:uid="{00000000-0005-0000-0000-0000062E0000}"/>
    <cellStyle name="60% - Énfasis2 2 32" xfId="11820" xr:uid="{00000000-0005-0000-0000-0000072E0000}"/>
    <cellStyle name="60% - Énfasis2 2 33" xfId="11821" xr:uid="{00000000-0005-0000-0000-0000082E0000}"/>
    <cellStyle name="60% - Énfasis2 2 34" xfId="11822" xr:uid="{00000000-0005-0000-0000-0000092E0000}"/>
    <cellStyle name="60% - Énfasis2 2 35" xfId="11823" xr:uid="{00000000-0005-0000-0000-00000A2E0000}"/>
    <cellStyle name="60% - Énfasis2 2 36" xfId="11824" xr:uid="{00000000-0005-0000-0000-00000B2E0000}"/>
    <cellStyle name="60% - Énfasis2 2 37" xfId="11825" xr:uid="{00000000-0005-0000-0000-00000C2E0000}"/>
    <cellStyle name="60% - Énfasis2 2 38" xfId="11826" xr:uid="{00000000-0005-0000-0000-00000D2E0000}"/>
    <cellStyle name="60% - Énfasis2 2 4" xfId="11827" xr:uid="{00000000-0005-0000-0000-00000E2E0000}"/>
    <cellStyle name="60% - Énfasis2 2 5" xfId="11828" xr:uid="{00000000-0005-0000-0000-00000F2E0000}"/>
    <cellStyle name="60% - Énfasis2 2 6" xfId="11829" xr:uid="{00000000-0005-0000-0000-0000102E0000}"/>
    <cellStyle name="60% - Énfasis2 2 7" xfId="11830" xr:uid="{00000000-0005-0000-0000-0000112E0000}"/>
    <cellStyle name="60% - Énfasis2 2 8" xfId="11831" xr:uid="{00000000-0005-0000-0000-0000122E0000}"/>
    <cellStyle name="60% - Énfasis2 2 9" xfId="11832" xr:uid="{00000000-0005-0000-0000-0000132E0000}"/>
    <cellStyle name="60% - Énfasis2 3" xfId="11833" xr:uid="{00000000-0005-0000-0000-0000142E0000}"/>
    <cellStyle name="60% - Énfasis2 3 10" xfId="11834" xr:uid="{00000000-0005-0000-0000-0000152E0000}"/>
    <cellStyle name="60% - Énfasis2 3 11" xfId="11835" xr:uid="{00000000-0005-0000-0000-0000162E0000}"/>
    <cellStyle name="60% - Énfasis2 3 12" xfId="11836" xr:uid="{00000000-0005-0000-0000-0000172E0000}"/>
    <cellStyle name="60% - Énfasis2 3 13" xfId="11837" xr:uid="{00000000-0005-0000-0000-0000182E0000}"/>
    <cellStyle name="60% - Énfasis2 3 14" xfId="11838" xr:uid="{00000000-0005-0000-0000-0000192E0000}"/>
    <cellStyle name="60% - Énfasis2 3 15" xfId="11839" xr:uid="{00000000-0005-0000-0000-00001A2E0000}"/>
    <cellStyle name="60% - Énfasis2 3 16" xfId="11840" xr:uid="{00000000-0005-0000-0000-00001B2E0000}"/>
    <cellStyle name="60% - Énfasis2 3 17" xfId="11841" xr:uid="{00000000-0005-0000-0000-00001C2E0000}"/>
    <cellStyle name="60% - Énfasis2 3 18" xfId="11842" xr:uid="{00000000-0005-0000-0000-00001D2E0000}"/>
    <cellStyle name="60% - Énfasis2 3 19" xfId="11843" xr:uid="{00000000-0005-0000-0000-00001E2E0000}"/>
    <cellStyle name="60% - Énfasis2 3 2" xfId="11844" xr:uid="{00000000-0005-0000-0000-00001F2E0000}"/>
    <cellStyle name="60% - Énfasis2 3 20" xfId="11845" xr:uid="{00000000-0005-0000-0000-0000202E0000}"/>
    <cellStyle name="60% - Énfasis2 3 21" xfId="11846" xr:uid="{00000000-0005-0000-0000-0000212E0000}"/>
    <cellStyle name="60% - Énfasis2 3 22" xfId="11847" xr:uid="{00000000-0005-0000-0000-0000222E0000}"/>
    <cellStyle name="60% - Énfasis2 3 23" xfId="11848" xr:uid="{00000000-0005-0000-0000-0000232E0000}"/>
    <cellStyle name="60% - Énfasis2 3 24" xfId="11849" xr:uid="{00000000-0005-0000-0000-0000242E0000}"/>
    <cellStyle name="60% - Énfasis2 3 25" xfId="11850" xr:uid="{00000000-0005-0000-0000-0000252E0000}"/>
    <cellStyle name="60% - Énfasis2 3 26" xfId="11851" xr:uid="{00000000-0005-0000-0000-0000262E0000}"/>
    <cellStyle name="60% - Énfasis2 3 27" xfId="11852" xr:uid="{00000000-0005-0000-0000-0000272E0000}"/>
    <cellStyle name="60% - Énfasis2 3 28" xfId="11853" xr:uid="{00000000-0005-0000-0000-0000282E0000}"/>
    <cellStyle name="60% - Énfasis2 3 29" xfId="11854" xr:uid="{00000000-0005-0000-0000-0000292E0000}"/>
    <cellStyle name="60% - Énfasis2 3 3" xfId="11855" xr:uid="{00000000-0005-0000-0000-00002A2E0000}"/>
    <cellStyle name="60% - Énfasis2 3 30" xfId="11856" xr:uid="{00000000-0005-0000-0000-00002B2E0000}"/>
    <cellStyle name="60% - Énfasis2 3 31" xfId="11857" xr:uid="{00000000-0005-0000-0000-00002C2E0000}"/>
    <cellStyle name="60% - Énfasis2 3 32" xfId="11858" xr:uid="{00000000-0005-0000-0000-00002D2E0000}"/>
    <cellStyle name="60% - Énfasis2 3 33" xfId="11859" xr:uid="{00000000-0005-0000-0000-00002E2E0000}"/>
    <cellStyle name="60% - Énfasis2 3 4" xfId="11860" xr:uid="{00000000-0005-0000-0000-00002F2E0000}"/>
    <cellStyle name="60% - Énfasis2 3 5" xfId="11861" xr:uid="{00000000-0005-0000-0000-0000302E0000}"/>
    <cellStyle name="60% - Énfasis2 3 6" xfId="11862" xr:uid="{00000000-0005-0000-0000-0000312E0000}"/>
    <cellStyle name="60% - Énfasis2 3 7" xfId="11863" xr:uid="{00000000-0005-0000-0000-0000322E0000}"/>
    <cellStyle name="60% - Énfasis2 3 8" xfId="11864" xr:uid="{00000000-0005-0000-0000-0000332E0000}"/>
    <cellStyle name="60% - Énfasis2 3 9" xfId="11865" xr:uid="{00000000-0005-0000-0000-0000342E0000}"/>
    <cellStyle name="60% - Énfasis2 4" xfId="11866" xr:uid="{00000000-0005-0000-0000-0000352E0000}"/>
    <cellStyle name="60% - Énfasis2 4 2" xfId="11867" xr:uid="{00000000-0005-0000-0000-0000362E0000}"/>
    <cellStyle name="60% - Énfasis2 4 3" xfId="11868" xr:uid="{00000000-0005-0000-0000-0000372E0000}"/>
    <cellStyle name="60% - Énfasis2 4 4" xfId="11869" xr:uid="{00000000-0005-0000-0000-0000382E0000}"/>
    <cellStyle name="60% - Énfasis2 5" xfId="11870" xr:uid="{00000000-0005-0000-0000-0000392E0000}"/>
    <cellStyle name="60% - Énfasis2 5 2" xfId="11871" xr:uid="{00000000-0005-0000-0000-00003A2E0000}"/>
    <cellStyle name="60% - Énfasis2 5 3" xfId="11872" xr:uid="{00000000-0005-0000-0000-00003B2E0000}"/>
    <cellStyle name="60% - Énfasis2 5 4" xfId="11873" xr:uid="{00000000-0005-0000-0000-00003C2E0000}"/>
    <cellStyle name="60% - Énfasis2 6" xfId="11874" xr:uid="{00000000-0005-0000-0000-00003D2E0000}"/>
    <cellStyle name="60% - Énfasis2 6 2" xfId="11875" xr:uid="{00000000-0005-0000-0000-00003E2E0000}"/>
    <cellStyle name="60% - Énfasis2 7" xfId="11876" xr:uid="{00000000-0005-0000-0000-00003F2E0000}"/>
    <cellStyle name="60% - Énfasis2 7 2" xfId="11877" xr:uid="{00000000-0005-0000-0000-0000402E0000}"/>
    <cellStyle name="60% - Énfasis2 8" xfId="11878" xr:uid="{00000000-0005-0000-0000-0000412E0000}"/>
    <cellStyle name="60% - Énfasis2 9" xfId="11879" xr:uid="{00000000-0005-0000-0000-0000422E0000}"/>
    <cellStyle name="60% - Énfasis3" xfId="27" builtinId="40" customBuiltin="1"/>
    <cellStyle name="60% - Énfasis3 10" xfId="11880" xr:uid="{00000000-0005-0000-0000-0000442E0000}"/>
    <cellStyle name="60% - Énfasis3 11" xfId="11881" xr:uid="{00000000-0005-0000-0000-0000452E0000}"/>
    <cellStyle name="60% - Énfasis3 12" xfId="11882" xr:uid="{00000000-0005-0000-0000-0000462E0000}"/>
    <cellStyle name="60% - Énfasis3 13" xfId="11883" xr:uid="{00000000-0005-0000-0000-0000472E0000}"/>
    <cellStyle name="60% - Énfasis3 14" xfId="11884" xr:uid="{00000000-0005-0000-0000-0000482E0000}"/>
    <cellStyle name="60% - Énfasis3 15" xfId="11885" xr:uid="{00000000-0005-0000-0000-0000492E0000}"/>
    <cellStyle name="60% - Énfasis3 16" xfId="11886" xr:uid="{00000000-0005-0000-0000-00004A2E0000}"/>
    <cellStyle name="60% - Énfasis3 2" xfId="11887" xr:uid="{00000000-0005-0000-0000-00004B2E0000}"/>
    <cellStyle name="60% - Énfasis3 2 10" xfId="11888" xr:uid="{00000000-0005-0000-0000-00004C2E0000}"/>
    <cellStyle name="60% - Énfasis3 2 11" xfId="11889" xr:uid="{00000000-0005-0000-0000-00004D2E0000}"/>
    <cellStyle name="60% - Énfasis3 2 12" xfId="11890" xr:uid="{00000000-0005-0000-0000-00004E2E0000}"/>
    <cellStyle name="60% - Énfasis3 2 13" xfId="11891" xr:uid="{00000000-0005-0000-0000-00004F2E0000}"/>
    <cellStyle name="60% - Énfasis3 2 14" xfId="11892" xr:uid="{00000000-0005-0000-0000-0000502E0000}"/>
    <cellStyle name="60% - Énfasis3 2 15" xfId="11893" xr:uid="{00000000-0005-0000-0000-0000512E0000}"/>
    <cellStyle name="60% - Énfasis3 2 16" xfId="11894" xr:uid="{00000000-0005-0000-0000-0000522E0000}"/>
    <cellStyle name="60% - Énfasis3 2 17" xfId="11895" xr:uid="{00000000-0005-0000-0000-0000532E0000}"/>
    <cellStyle name="60% - Énfasis3 2 18" xfId="11896" xr:uid="{00000000-0005-0000-0000-0000542E0000}"/>
    <cellStyle name="60% - Énfasis3 2 19" xfId="11897" xr:uid="{00000000-0005-0000-0000-0000552E0000}"/>
    <cellStyle name="60% - Énfasis3 2 2" xfId="11898" xr:uid="{00000000-0005-0000-0000-0000562E0000}"/>
    <cellStyle name="60% - Énfasis3 2 20" xfId="11899" xr:uid="{00000000-0005-0000-0000-0000572E0000}"/>
    <cellStyle name="60% - Énfasis3 2 21" xfId="11900" xr:uid="{00000000-0005-0000-0000-0000582E0000}"/>
    <cellStyle name="60% - Énfasis3 2 22" xfId="11901" xr:uid="{00000000-0005-0000-0000-0000592E0000}"/>
    <cellStyle name="60% - Énfasis3 2 23" xfId="11902" xr:uid="{00000000-0005-0000-0000-00005A2E0000}"/>
    <cellStyle name="60% - Énfasis3 2 24" xfId="11903" xr:uid="{00000000-0005-0000-0000-00005B2E0000}"/>
    <cellStyle name="60% - Énfasis3 2 25" xfId="11904" xr:uid="{00000000-0005-0000-0000-00005C2E0000}"/>
    <cellStyle name="60% - Énfasis3 2 26" xfId="11905" xr:uid="{00000000-0005-0000-0000-00005D2E0000}"/>
    <cellStyle name="60% - Énfasis3 2 27" xfId="11906" xr:uid="{00000000-0005-0000-0000-00005E2E0000}"/>
    <cellStyle name="60% - Énfasis3 2 28" xfId="11907" xr:uid="{00000000-0005-0000-0000-00005F2E0000}"/>
    <cellStyle name="60% - Énfasis3 2 29" xfId="11908" xr:uid="{00000000-0005-0000-0000-0000602E0000}"/>
    <cellStyle name="60% - Énfasis3 2 3" xfId="11909" xr:uid="{00000000-0005-0000-0000-0000612E0000}"/>
    <cellStyle name="60% - Énfasis3 2 30" xfId="11910" xr:uid="{00000000-0005-0000-0000-0000622E0000}"/>
    <cellStyle name="60% - Énfasis3 2 31" xfId="11911" xr:uid="{00000000-0005-0000-0000-0000632E0000}"/>
    <cellStyle name="60% - Énfasis3 2 32" xfId="11912" xr:uid="{00000000-0005-0000-0000-0000642E0000}"/>
    <cellStyle name="60% - Énfasis3 2 33" xfId="11913" xr:uid="{00000000-0005-0000-0000-0000652E0000}"/>
    <cellStyle name="60% - Énfasis3 2 34" xfId="11914" xr:uid="{00000000-0005-0000-0000-0000662E0000}"/>
    <cellStyle name="60% - Énfasis3 2 35" xfId="11915" xr:uid="{00000000-0005-0000-0000-0000672E0000}"/>
    <cellStyle name="60% - Énfasis3 2 36" xfId="11916" xr:uid="{00000000-0005-0000-0000-0000682E0000}"/>
    <cellStyle name="60% - Énfasis3 2 37" xfId="11917" xr:uid="{00000000-0005-0000-0000-0000692E0000}"/>
    <cellStyle name="60% - Énfasis3 2 4" xfId="11918" xr:uid="{00000000-0005-0000-0000-00006A2E0000}"/>
    <cellStyle name="60% - Énfasis3 2 5" xfId="11919" xr:uid="{00000000-0005-0000-0000-00006B2E0000}"/>
    <cellStyle name="60% - Énfasis3 2 6" xfId="11920" xr:uid="{00000000-0005-0000-0000-00006C2E0000}"/>
    <cellStyle name="60% - Énfasis3 2 7" xfId="11921" xr:uid="{00000000-0005-0000-0000-00006D2E0000}"/>
    <cellStyle name="60% - Énfasis3 2 8" xfId="11922" xr:uid="{00000000-0005-0000-0000-00006E2E0000}"/>
    <cellStyle name="60% - Énfasis3 2 9" xfId="11923" xr:uid="{00000000-0005-0000-0000-00006F2E0000}"/>
    <cellStyle name="60% - Énfasis3 3" xfId="11924" xr:uid="{00000000-0005-0000-0000-0000702E0000}"/>
    <cellStyle name="60% - Énfasis3 3 10" xfId="11925" xr:uid="{00000000-0005-0000-0000-0000712E0000}"/>
    <cellStyle name="60% - Énfasis3 3 11" xfId="11926" xr:uid="{00000000-0005-0000-0000-0000722E0000}"/>
    <cellStyle name="60% - Énfasis3 3 12" xfId="11927" xr:uid="{00000000-0005-0000-0000-0000732E0000}"/>
    <cellStyle name="60% - Énfasis3 3 13" xfId="11928" xr:uid="{00000000-0005-0000-0000-0000742E0000}"/>
    <cellStyle name="60% - Énfasis3 3 14" xfId="11929" xr:uid="{00000000-0005-0000-0000-0000752E0000}"/>
    <cellStyle name="60% - Énfasis3 3 15" xfId="11930" xr:uid="{00000000-0005-0000-0000-0000762E0000}"/>
    <cellStyle name="60% - Énfasis3 3 16" xfId="11931" xr:uid="{00000000-0005-0000-0000-0000772E0000}"/>
    <cellStyle name="60% - Énfasis3 3 17" xfId="11932" xr:uid="{00000000-0005-0000-0000-0000782E0000}"/>
    <cellStyle name="60% - Énfasis3 3 18" xfId="11933" xr:uid="{00000000-0005-0000-0000-0000792E0000}"/>
    <cellStyle name="60% - Énfasis3 3 19" xfId="11934" xr:uid="{00000000-0005-0000-0000-00007A2E0000}"/>
    <cellStyle name="60% - Énfasis3 3 2" xfId="11935" xr:uid="{00000000-0005-0000-0000-00007B2E0000}"/>
    <cellStyle name="60% - Énfasis3 3 20" xfId="11936" xr:uid="{00000000-0005-0000-0000-00007C2E0000}"/>
    <cellStyle name="60% - Énfasis3 3 21" xfId="11937" xr:uid="{00000000-0005-0000-0000-00007D2E0000}"/>
    <cellStyle name="60% - Énfasis3 3 22" xfId="11938" xr:uid="{00000000-0005-0000-0000-00007E2E0000}"/>
    <cellStyle name="60% - Énfasis3 3 23" xfId="11939" xr:uid="{00000000-0005-0000-0000-00007F2E0000}"/>
    <cellStyle name="60% - Énfasis3 3 24" xfId="11940" xr:uid="{00000000-0005-0000-0000-0000802E0000}"/>
    <cellStyle name="60% - Énfasis3 3 25" xfId="11941" xr:uid="{00000000-0005-0000-0000-0000812E0000}"/>
    <cellStyle name="60% - Énfasis3 3 26" xfId="11942" xr:uid="{00000000-0005-0000-0000-0000822E0000}"/>
    <cellStyle name="60% - Énfasis3 3 27" xfId="11943" xr:uid="{00000000-0005-0000-0000-0000832E0000}"/>
    <cellStyle name="60% - Énfasis3 3 28" xfId="11944" xr:uid="{00000000-0005-0000-0000-0000842E0000}"/>
    <cellStyle name="60% - Énfasis3 3 29" xfId="11945" xr:uid="{00000000-0005-0000-0000-0000852E0000}"/>
    <cellStyle name="60% - Énfasis3 3 3" xfId="11946" xr:uid="{00000000-0005-0000-0000-0000862E0000}"/>
    <cellStyle name="60% - Énfasis3 3 30" xfId="11947" xr:uid="{00000000-0005-0000-0000-0000872E0000}"/>
    <cellStyle name="60% - Énfasis3 3 31" xfId="11948" xr:uid="{00000000-0005-0000-0000-0000882E0000}"/>
    <cellStyle name="60% - Énfasis3 3 32" xfId="11949" xr:uid="{00000000-0005-0000-0000-0000892E0000}"/>
    <cellStyle name="60% - Énfasis3 3 33" xfId="11950" xr:uid="{00000000-0005-0000-0000-00008A2E0000}"/>
    <cellStyle name="60% - Énfasis3 3 4" xfId="11951" xr:uid="{00000000-0005-0000-0000-00008B2E0000}"/>
    <cellStyle name="60% - Énfasis3 3 5" xfId="11952" xr:uid="{00000000-0005-0000-0000-00008C2E0000}"/>
    <cellStyle name="60% - Énfasis3 3 6" xfId="11953" xr:uid="{00000000-0005-0000-0000-00008D2E0000}"/>
    <cellStyle name="60% - Énfasis3 3 7" xfId="11954" xr:uid="{00000000-0005-0000-0000-00008E2E0000}"/>
    <cellStyle name="60% - Énfasis3 3 8" xfId="11955" xr:uid="{00000000-0005-0000-0000-00008F2E0000}"/>
    <cellStyle name="60% - Énfasis3 3 9" xfId="11956" xr:uid="{00000000-0005-0000-0000-0000902E0000}"/>
    <cellStyle name="60% - Énfasis3 4" xfId="11957" xr:uid="{00000000-0005-0000-0000-0000912E0000}"/>
    <cellStyle name="60% - Énfasis3 4 2" xfId="11958" xr:uid="{00000000-0005-0000-0000-0000922E0000}"/>
    <cellStyle name="60% - Énfasis3 4 3" xfId="11959" xr:uid="{00000000-0005-0000-0000-0000932E0000}"/>
    <cellStyle name="60% - Énfasis3 4 4" xfId="11960" xr:uid="{00000000-0005-0000-0000-0000942E0000}"/>
    <cellStyle name="60% - Énfasis3 5" xfId="11961" xr:uid="{00000000-0005-0000-0000-0000952E0000}"/>
    <cellStyle name="60% - Énfasis3 5 2" xfId="11962" xr:uid="{00000000-0005-0000-0000-0000962E0000}"/>
    <cellStyle name="60% - Énfasis3 5 3" xfId="11963" xr:uid="{00000000-0005-0000-0000-0000972E0000}"/>
    <cellStyle name="60% - Énfasis3 5 4" xfId="11964" xr:uid="{00000000-0005-0000-0000-0000982E0000}"/>
    <cellStyle name="60% - Énfasis3 6" xfId="11965" xr:uid="{00000000-0005-0000-0000-0000992E0000}"/>
    <cellStyle name="60% - Énfasis3 6 2" xfId="11966" xr:uid="{00000000-0005-0000-0000-00009A2E0000}"/>
    <cellStyle name="60% - Énfasis3 7" xfId="11967" xr:uid="{00000000-0005-0000-0000-00009B2E0000}"/>
    <cellStyle name="60% - Énfasis3 7 2" xfId="11968" xr:uid="{00000000-0005-0000-0000-00009C2E0000}"/>
    <cellStyle name="60% - Énfasis3 8" xfId="11969" xr:uid="{00000000-0005-0000-0000-00009D2E0000}"/>
    <cellStyle name="60% - Énfasis3 9" xfId="11970" xr:uid="{00000000-0005-0000-0000-00009E2E0000}"/>
    <cellStyle name="60% - Énfasis4" xfId="28" builtinId="44" customBuiltin="1"/>
    <cellStyle name="60% - Énfasis4 10" xfId="11971" xr:uid="{00000000-0005-0000-0000-0000A02E0000}"/>
    <cellStyle name="60% - Énfasis4 11" xfId="11972" xr:uid="{00000000-0005-0000-0000-0000A12E0000}"/>
    <cellStyle name="60% - Énfasis4 12" xfId="11973" xr:uid="{00000000-0005-0000-0000-0000A22E0000}"/>
    <cellStyle name="60% - Énfasis4 13" xfId="11974" xr:uid="{00000000-0005-0000-0000-0000A32E0000}"/>
    <cellStyle name="60% - Énfasis4 14" xfId="11975" xr:uid="{00000000-0005-0000-0000-0000A42E0000}"/>
    <cellStyle name="60% - Énfasis4 15" xfId="11976" xr:uid="{00000000-0005-0000-0000-0000A52E0000}"/>
    <cellStyle name="60% - Énfasis4 16" xfId="11977" xr:uid="{00000000-0005-0000-0000-0000A62E0000}"/>
    <cellStyle name="60% - Énfasis4 2" xfId="11978" xr:uid="{00000000-0005-0000-0000-0000A72E0000}"/>
    <cellStyle name="60% - Énfasis4 2 10" xfId="11979" xr:uid="{00000000-0005-0000-0000-0000A82E0000}"/>
    <cellStyle name="60% - Énfasis4 2 11" xfId="11980" xr:uid="{00000000-0005-0000-0000-0000A92E0000}"/>
    <cellStyle name="60% - Énfasis4 2 12" xfId="11981" xr:uid="{00000000-0005-0000-0000-0000AA2E0000}"/>
    <cellStyle name="60% - Énfasis4 2 13" xfId="11982" xr:uid="{00000000-0005-0000-0000-0000AB2E0000}"/>
    <cellStyle name="60% - Énfasis4 2 14" xfId="11983" xr:uid="{00000000-0005-0000-0000-0000AC2E0000}"/>
    <cellStyle name="60% - Énfasis4 2 15" xfId="11984" xr:uid="{00000000-0005-0000-0000-0000AD2E0000}"/>
    <cellStyle name="60% - Énfasis4 2 16" xfId="11985" xr:uid="{00000000-0005-0000-0000-0000AE2E0000}"/>
    <cellStyle name="60% - Énfasis4 2 17" xfId="11986" xr:uid="{00000000-0005-0000-0000-0000AF2E0000}"/>
    <cellStyle name="60% - Énfasis4 2 18" xfId="11987" xr:uid="{00000000-0005-0000-0000-0000B02E0000}"/>
    <cellStyle name="60% - Énfasis4 2 19" xfId="11988" xr:uid="{00000000-0005-0000-0000-0000B12E0000}"/>
    <cellStyle name="60% - Énfasis4 2 2" xfId="11989" xr:uid="{00000000-0005-0000-0000-0000B22E0000}"/>
    <cellStyle name="60% - Énfasis4 2 20" xfId="11990" xr:uid="{00000000-0005-0000-0000-0000B32E0000}"/>
    <cellStyle name="60% - Énfasis4 2 21" xfId="11991" xr:uid="{00000000-0005-0000-0000-0000B42E0000}"/>
    <cellStyle name="60% - Énfasis4 2 22" xfId="11992" xr:uid="{00000000-0005-0000-0000-0000B52E0000}"/>
    <cellStyle name="60% - Énfasis4 2 23" xfId="11993" xr:uid="{00000000-0005-0000-0000-0000B62E0000}"/>
    <cellStyle name="60% - Énfasis4 2 24" xfId="11994" xr:uid="{00000000-0005-0000-0000-0000B72E0000}"/>
    <cellStyle name="60% - Énfasis4 2 25" xfId="11995" xr:uid="{00000000-0005-0000-0000-0000B82E0000}"/>
    <cellStyle name="60% - Énfasis4 2 26" xfId="11996" xr:uid="{00000000-0005-0000-0000-0000B92E0000}"/>
    <cellStyle name="60% - Énfasis4 2 27" xfId="11997" xr:uid="{00000000-0005-0000-0000-0000BA2E0000}"/>
    <cellStyle name="60% - Énfasis4 2 28" xfId="11998" xr:uid="{00000000-0005-0000-0000-0000BB2E0000}"/>
    <cellStyle name="60% - Énfasis4 2 29" xfId="11999" xr:uid="{00000000-0005-0000-0000-0000BC2E0000}"/>
    <cellStyle name="60% - Énfasis4 2 3" xfId="12000" xr:uid="{00000000-0005-0000-0000-0000BD2E0000}"/>
    <cellStyle name="60% - Énfasis4 2 30" xfId="12001" xr:uid="{00000000-0005-0000-0000-0000BE2E0000}"/>
    <cellStyle name="60% - Énfasis4 2 31" xfId="12002" xr:uid="{00000000-0005-0000-0000-0000BF2E0000}"/>
    <cellStyle name="60% - Énfasis4 2 32" xfId="12003" xr:uid="{00000000-0005-0000-0000-0000C02E0000}"/>
    <cellStyle name="60% - Énfasis4 2 33" xfId="12004" xr:uid="{00000000-0005-0000-0000-0000C12E0000}"/>
    <cellStyle name="60% - Énfasis4 2 34" xfId="12005" xr:uid="{00000000-0005-0000-0000-0000C22E0000}"/>
    <cellStyle name="60% - Énfasis4 2 35" xfId="12006" xr:uid="{00000000-0005-0000-0000-0000C32E0000}"/>
    <cellStyle name="60% - Énfasis4 2 36" xfId="12007" xr:uid="{00000000-0005-0000-0000-0000C42E0000}"/>
    <cellStyle name="60% - Énfasis4 2 37" xfId="12008" xr:uid="{00000000-0005-0000-0000-0000C52E0000}"/>
    <cellStyle name="60% - Énfasis4 2 4" xfId="12009" xr:uid="{00000000-0005-0000-0000-0000C62E0000}"/>
    <cellStyle name="60% - Énfasis4 2 5" xfId="12010" xr:uid="{00000000-0005-0000-0000-0000C72E0000}"/>
    <cellStyle name="60% - Énfasis4 2 6" xfId="12011" xr:uid="{00000000-0005-0000-0000-0000C82E0000}"/>
    <cellStyle name="60% - Énfasis4 2 7" xfId="12012" xr:uid="{00000000-0005-0000-0000-0000C92E0000}"/>
    <cellStyle name="60% - Énfasis4 2 8" xfId="12013" xr:uid="{00000000-0005-0000-0000-0000CA2E0000}"/>
    <cellStyle name="60% - Énfasis4 2 9" xfId="12014" xr:uid="{00000000-0005-0000-0000-0000CB2E0000}"/>
    <cellStyle name="60% - Énfasis4 3" xfId="12015" xr:uid="{00000000-0005-0000-0000-0000CC2E0000}"/>
    <cellStyle name="60% - Énfasis4 3 10" xfId="12016" xr:uid="{00000000-0005-0000-0000-0000CD2E0000}"/>
    <cellStyle name="60% - Énfasis4 3 11" xfId="12017" xr:uid="{00000000-0005-0000-0000-0000CE2E0000}"/>
    <cellStyle name="60% - Énfasis4 3 12" xfId="12018" xr:uid="{00000000-0005-0000-0000-0000CF2E0000}"/>
    <cellStyle name="60% - Énfasis4 3 13" xfId="12019" xr:uid="{00000000-0005-0000-0000-0000D02E0000}"/>
    <cellStyle name="60% - Énfasis4 3 14" xfId="12020" xr:uid="{00000000-0005-0000-0000-0000D12E0000}"/>
    <cellStyle name="60% - Énfasis4 3 15" xfId="12021" xr:uid="{00000000-0005-0000-0000-0000D22E0000}"/>
    <cellStyle name="60% - Énfasis4 3 16" xfId="12022" xr:uid="{00000000-0005-0000-0000-0000D32E0000}"/>
    <cellStyle name="60% - Énfasis4 3 17" xfId="12023" xr:uid="{00000000-0005-0000-0000-0000D42E0000}"/>
    <cellStyle name="60% - Énfasis4 3 18" xfId="12024" xr:uid="{00000000-0005-0000-0000-0000D52E0000}"/>
    <cellStyle name="60% - Énfasis4 3 19" xfId="12025" xr:uid="{00000000-0005-0000-0000-0000D62E0000}"/>
    <cellStyle name="60% - Énfasis4 3 2" xfId="12026" xr:uid="{00000000-0005-0000-0000-0000D72E0000}"/>
    <cellStyle name="60% - Énfasis4 3 20" xfId="12027" xr:uid="{00000000-0005-0000-0000-0000D82E0000}"/>
    <cellStyle name="60% - Énfasis4 3 21" xfId="12028" xr:uid="{00000000-0005-0000-0000-0000D92E0000}"/>
    <cellStyle name="60% - Énfasis4 3 22" xfId="12029" xr:uid="{00000000-0005-0000-0000-0000DA2E0000}"/>
    <cellStyle name="60% - Énfasis4 3 23" xfId="12030" xr:uid="{00000000-0005-0000-0000-0000DB2E0000}"/>
    <cellStyle name="60% - Énfasis4 3 24" xfId="12031" xr:uid="{00000000-0005-0000-0000-0000DC2E0000}"/>
    <cellStyle name="60% - Énfasis4 3 25" xfId="12032" xr:uid="{00000000-0005-0000-0000-0000DD2E0000}"/>
    <cellStyle name="60% - Énfasis4 3 26" xfId="12033" xr:uid="{00000000-0005-0000-0000-0000DE2E0000}"/>
    <cellStyle name="60% - Énfasis4 3 27" xfId="12034" xr:uid="{00000000-0005-0000-0000-0000DF2E0000}"/>
    <cellStyle name="60% - Énfasis4 3 28" xfId="12035" xr:uid="{00000000-0005-0000-0000-0000E02E0000}"/>
    <cellStyle name="60% - Énfasis4 3 29" xfId="12036" xr:uid="{00000000-0005-0000-0000-0000E12E0000}"/>
    <cellStyle name="60% - Énfasis4 3 3" xfId="12037" xr:uid="{00000000-0005-0000-0000-0000E22E0000}"/>
    <cellStyle name="60% - Énfasis4 3 30" xfId="12038" xr:uid="{00000000-0005-0000-0000-0000E32E0000}"/>
    <cellStyle name="60% - Énfasis4 3 31" xfId="12039" xr:uid="{00000000-0005-0000-0000-0000E42E0000}"/>
    <cellStyle name="60% - Énfasis4 3 32" xfId="12040" xr:uid="{00000000-0005-0000-0000-0000E52E0000}"/>
    <cellStyle name="60% - Énfasis4 3 33" xfId="12041" xr:uid="{00000000-0005-0000-0000-0000E62E0000}"/>
    <cellStyle name="60% - Énfasis4 3 4" xfId="12042" xr:uid="{00000000-0005-0000-0000-0000E72E0000}"/>
    <cellStyle name="60% - Énfasis4 3 5" xfId="12043" xr:uid="{00000000-0005-0000-0000-0000E82E0000}"/>
    <cellStyle name="60% - Énfasis4 3 6" xfId="12044" xr:uid="{00000000-0005-0000-0000-0000E92E0000}"/>
    <cellStyle name="60% - Énfasis4 3 7" xfId="12045" xr:uid="{00000000-0005-0000-0000-0000EA2E0000}"/>
    <cellStyle name="60% - Énfasis4 3 8" xfId="12046" xr:uid="{00000000-0005-0000-0000-0000EB2E0000}"/>
    <cellStyle name="60% - Énfasis4 3 9" xfId="12047" xr:uid="{00000000-0005-0000-0000-0000EC2E0000}"/>
    <cellStyle name="60% - Énfasis4 4" xfId="12048" xr:uid="{00000000-0005-0000-0000-0000ED2E0000}"/>
    <cellStyle name="60% - Énfasis4 4 2" xfId="12049" xr:uid="{00000000-0005-0000-0000-0000EE2E0000}"/>
    <cellStyle name="60% - Énfasis4 4 3" xfId="12050" xr:uid="{00000000-0005-0000-0000-0000EF2E0000}"/>
    <cellStyle name="60% - Énfasis4 4 4" xfId="12051" xr:uid="{00000000-0005-0000-0000-0000F02E0000}"/>
    <cellStyle name="60% - Énfasis4 5" xfId="12052" xr:uid="{00000000-0005-0000-0000-0000F12E0000}"/>
    <cellStyle name="60% - Énfasis4 5 2" xfId="12053" xr:uid="{00000000-0005-0000-0000-0000F22E0000}"/>
    <cellStyle name="60% - Énfasis4 5 3" xfId="12054" xr:uid="{00000000-0005-0000-0000-0000F32E0000}"/>
    <cellStyle name="60% - Énfasis4 5 4" xfId="12055" xr:uid="{00000000-0005-0000-0000-0000F42E0000}"/>
    <cellStyle name="60% - Énfasis4 6" xfId="12056" xr:uid="{00000000-0005-0000-0000-0000F52E0000}"/>
    <cellStyle name="60% - Énfasis4 6 2" xfId="12057" xr:uid="{00000000-0005-0000-0000-0000F62E0000}"/>
    <cellStyle name="60% - Énfasis4 7" xfId="12058" xr:uid="{00000000-0005-0000-0000-0000F72E0000}"/>
    <cellStyle name="60% - Énfasis4 7 2" xfId="12059" xr:uid="{00000000-0005-0000-0000-0000F82E0000}"/>
    <cellStyle name="60% - Énfasis4 8" xfId="12060" xr:uid="{00000000-0005-0000-0000-0000F92E0000}"/>
    <cellStyle name="60% - Énfasis4 9" xfId="12061" xr:uid="{00000000-0005-0000-0000-0000FA2E0000}"/>
    <cellStyle name="60% - Énfasis5" xfId="29" builtinId="48" customBuiltin="1"/>
    <cellStyle name="60% - Énfasis5 10" xfId="12062" xr:uid="{00000000-0005-0000-0000-0000FC2E0000}"/>
    <cellStyle name="60% - Énfasis5 11" xfId="12063" xr:uid="{00000000-0005-0000-0000-0000FD2E0000}"/>
    <cellStyle name="60% - Énfasis5 12" xfId="12064" xr:uid="{00000000-0005-0000-0000-0000FE2E0000}"/>
    <cellStyle name="60% - Énfasis5 13" xfId="12065" xr:uid="{00000000-0005-0000-0000-0000FF2E0000}"/>
    <cellStyle name="60% - Énfasis5 14" xfId="12066" xr:uid="{00000000-0005-0000-0000-0000002F0000}"/>
    <cellStyle name="60% - Énfasis5 15" xfId="12067" xr:uid="{00000000-0005-0000-0000-0000012F0000}"/>
    <cellStyle name="60% - Énfasis5 16" xfId="12068" xr:uid="{00000000-0005-0000-0000-0000022F0000}"/>
    <cellStyle name="60% - Énfasis5 2" xfId="12069" xr:uid="{00000000-0005-0000-0000-0000032F0000}"/>
    <cellStyle name="60% - Énfasis5 2 10" xfId="12070" xr:uid="{00000000-0005-0000-0000-0000042F0000}"/>
    <cellStyle name="60% - Énfasis5 2 11" xfId="12071" xr:uid="{00000000-0005-0000-0000-0000052F0000}"/>
    <cellStyle name="60% - Énfasis5 2 12" xfId="12072" xr:uid="{00000000-0005-0000-0000-0000062F0000}"/>
    <cellStyle name="60% - Énfasis5 2 13" xfId="12073" xr:uid="{00000000-0005-0000-0000-0000072F0000}"/>
    <cellStyle name="60% - Énfasis5 2 14" xfId="12074" xr:uid="{00000000-0005-0000-0000-0000082F0000}"/>
    <cellStyle name="60% - Énfasis5 2 15" xfId="12075" xr:uid="{00000000-0005-0000-0000-0000092F0000}"/>
    <cellStyle name="60% - Énfasis5 2 16" xfId="12076" xr:uid="{00000000-0005-0000-0000-00000A2F0000}"/>
    <cellStyle name="60% - Énfasis5 2 17" xfId="12077" xr:uid="{00000000-0005-0000-0000-00000B2F0000}"/>
    <cellStyle name="60% - Énfasis5 2 18" xfId="12078" xr:uid="{00000000-0005-0000-0000-00000C2F0000}"/>
    <cellStyle name="60% - Énfasis5 2 19" xfId="12079" xr:uid="{00000000-0005-0000-0000-00000D2F0000}"/>
    <cellStyle name="60% - Énfasis5 2 2" xfId="12080" xr:uid="{00000000-0005-0000-0000-00000E2F0000}"/>
    <cellStyle name="60% - Énfasis5 2 20" xfId="12081" xr:uid="{00000000-0005-0000-0000-00000F2F0000}"/>
    <cellStyle name="60% - Énfasis5 2 21" xfId="12082" xr:uid="{00000000-0005-0000-0000-0000102F0000}"/>
    <cellStyle name="60% - Énfasis5 2 22" xfId="12083" xr:uid="{00000000-0005-0000-0000-0000112F0000}"/>
    <cellStyle name="60% - Énfasis5 2 23" xfId="12084" xr:uid="{00000000-0005-0000-0000-0000122F0000}"/>
    <cellStyle name="60% - Énfasis5 2 24" xfId="12085" xr:uid="{00000000-0005-0000-0000-0000132F0000}"/>
    <cellStyle name="60% - Énfasis5 2 25" xfId="12086" xr:uid="{00000000-0005-0000-0000-0000142F0000}"/>
    <cellStyle name="60% - Énfasis5 2 26" xfId="12087" xr:uid="{00000000-0005-0000-0000-0000152F0000}"/>
    <cellStyle name="60% - Énfasis5 2 27" xfId="12088" xr:uid="{00000000-0005-0000-0000-0000162F0000}"/>
    <cellStyle name="60% - Énfasis5 2 28" xfId="12089" xr:uid="{00000000-0005-0000-0000-0000172F0000}"/>
    <cellStyle name="60% - Énfasis5 2 29" xfId="12090" xr:uid="{00000000-0005-0000-0000-0000182F0000}"/>
    <cellStyle name="60% - Énfasis5 2 3" xfId="12091" xr:uid="{00000000-0005-0000-0000-0000192F0000}"/>
    <cellStyle name="60% - Énfasis5 2 30" xfId="12092" xr:uid="{00000000-0005-0000-0000-00001A2F0000}"/>
    <cellStyle name="60% - Énfasis5 2 31" xfId="12093" xr:uid="{00000000-0005-0000-0000-00001B2F0000}"/>
    <cellStyle name="60% - Énfasis5 2 32" xfId="12094" xr:uid="{00000000-0005-0000-0000-00001C2F0000}"/>
    <cellStyle name="60% - Énfasis5 2 33" xfId="12095" xr:uid="{00000000-0005-0000-0000-00001D2F0000}"/>
    <cellStyle name="60% - Énfasis5 2 34" xfId="12096" xr:uid="{00000000-0005-0000-0000-00001E2F0000}"/>
    <cellStyle name="60% - Énfasis5 2 35" xfId="12097" xr:uid="{00000000-0005-0000-0000-00001F2F0000}"/>
    <cellStyle name="60% - Énfasis5 2 36" xfId="12098" xr:uid="{00000000-0005-0000-0000-0000202F0000}"/>
    <cellStyle name="60% - Énfasis5 2 37" xfId="12099" xr:uid="{00000000-0005-0000-0000-0000212F0000}"/>
    <cellStyle name="60% - Énfasis5 2 38" xfId="12100" xr:uid="{00000000-0005-0000-0000-0000222F0000}"/>
    <cellStyle name="60% - Énfasis5 2 4" xfId="12101" xr:uid="{00000000-0005-0000-0000-0000232F0000}"/>
    <cellStyle name="60% - Énfasis5 2 5" xfId="12102" xr:uid="{00000000-0005-0000-0000-0000242F0000}"/>
    <cellStyle name="60% - Énfasis5 2 6" xfId="12103" xr:uid="{00000000-0005-0000-0000-0000252F0000}"/>
    <cellStyle name="60% - Énfasis5 2 7" xfId="12104" xr:uid="{00000000-0005-0000-0000-0000262F0000}"/>
    <cellStyle name="60% - Énfasis5 2 8" xfId="12105" xr:uid="{00000000-0005-0000-0000-0000272F0000}"/>
    <cellStyle name="60% - Énfasis5 2 9" xfId="12106" xr:uid="{00000000-0005-0000-0000-0000282F0000}"/>
    <cellStyle name="60% - Énfasis5 3" xfId="12107" xr:uid="{00000000-0005-0000-0000-0000292F0000}"/>
    <cellStyle name="60% - Énfasis5 3 10" xfId="12108" xr:uid="{00000000-0005-0000-0000-00002A2F0000}"/>
    <cellStyle name="60% - Énfasis5 3 11" xfId="12109" xr:uid="{00000000-0005-0000-0000-00002B2F0000}"/>
    <cellStyle name="60% - Énfasis5 3 12" xfId="12110" xr:uid="{00000000-0005-0000-0000-00002C2F0000}"/>
    <cellStyle name="60% - Énfasis5 3 13" xfId="12111" xr:uid="{00000000-0005-0000-0000-00002D2F0000}"/>
    <cellStyle name="60% - Énfasis5 3 14" xfId="12112" xr:uid="{00000000-0005-0000-0000-00002E2F0000}"/>
    <cellStyle name="60% - Énfasis5 3 15" xfId="12113" xr:uid="{00000000-0005-0000-0000-00002F2F0000}"/>
    <cellStyle name="60% - Énfasis5 3 16" xfId="12114" xr:uid="{00000000-0005-0000-0000-0000302F0000}"/>
    <cellStyle name="60% - Énfasis5 3 17" xfId="12115" xr:uid="{00000000-0005-0000-0000-0000312F0000}"/>
    <cellStyle name="60% - Énfasis5 3 18" xfId="12116" xr:uid="{00000000-0005-0000-0000-0000322F0000}"/>
    <cellStyle name="60% - Énfasis5 3 19" xfId="12117" xr:uid="{00000000-0005-0000-0000-0000332F0000}"/>
    <cellStyle name="60% - Énfasis5 3 2" xfId="12118" xr:uid="{00000000-0005-0000-0000-0000342F0000}"/>
    <cellStyle name="60% - Énfasis5 3 20" xfId="12119" xr:uid="{00000000-0005-0000-0000-0000352F0000}"/>
    <cellStyle name="60% - Énfasis5 3 21" xfId="12120" xr:uid="{00000000-0005-0000-0000-0000362F0000}"/>
    <cellStyle name="60% - Énfasis5 3 22" xfId="12121" xr:uid="{00000000-0005-0000-0000-0000372F0000}"/>
    <cellStyle name="60% - Énfasis5 3 23" xfId="12122" xr:uid="{00000000-0005-0000-0000-0000382F0000}"/>
    <cellStyle name="60% - Énfasis5 3 24" xfId="12123" xr:uid="{00000000-0005-0000-0000-0000392F0000}"/>
    <cellStyle name="60% - Énfasis5 3 25" xfId="12124" xr:uid="{00000000-0005-0000-0000-00003A2F0000}"/>
    <cellStyle name="60% - Énfasis5 3 26" xfId="12125" xr:uid="{00000000-0005-0000-0000-00003B2F0000}"/>
    <cellStyle name="60% - Énfasis5 3 27" xfId="12126" xr:uid="{00000000-0005-0000-0000-00003C2F0000}"/>
    <cellStyle name="60% - Énfasis5 3 28" xfId="12127" xr:uid="{00000000-0005-0000-0000-00003D2F0000}"/>
    <cellStyle name="60% - Énfasis5 3 29" xfId="12128" xr:uid="{00000000-0005-0000-0000-00003E2F0000}"/>
    <cellStyle name="60% - Énfasis5 3 3" xfId="12129" xr:uid="{00000000-0005-0000-0000-00003F2F0000}"/>
    <cellStyle name="60% - Énfasis5 3 30" xfId="12130" xr:uid="{00000000-0005-0000-0000-0000402F0000}"/>
    <cellStyle name="60% - Énfasis5 3 31" xfId="12131" xr:uid="{00000000-0005-0000-0000-0000412F0000}"/>
    <cellStyle name="60% - Énfasis5 3 32" xfId="12132" xr:uid="{00000000-0005-0000-0000-0000422F0000}"/>
    <cellStyle name="60% - Énfasis5 3 33" xfId="12133" xr:uid="{00000000-0005-0000-0000-0000432F0000}"/>
    <cellStyle name="60% - Énfasis5 3 4" xfId="12134" xr:uid="{00000000-0005-0000-0000-0000442F0000}"/>
    <cellStyle name="60% - Énfasis5 3 5" xfId="12135" xr:uid="{00000000-0005-0000-0000-0000452F0000}"/>
    <cellStyle name="60% - Énfasis5 3 6" xfId="12136" xr:uid="{00000000-0005-0000-0000-0000462F0000}"/>
    <cellStyle name="60% - Énfasis5 3 7" xfId="12137" xr:uid="{00000000-0005-0000-0000-0000472F0000}"/>
    <cellStyle name="60% - Énfasis5 3 8" xfId="12138" xr:uid="{00000000-0005-0000-0000-0000482F0000}"/>
    <cellStyle name="60% - Énfasis5 3 9" xfId="12139" xr:uid="{00000000-0005-0000-0000-0000492F0000}"/>
    <cellStyle name="60% - Énfasis5 4" xfId="12140" xr:uid="{00000000-0005-0000-0000-00004A2F0000}"/>
    <cellStyle name="60% - Énfasis5 4 2" xfId="12141" xr:uid="{00000000-0005-0000-0000-00004B2F0000}"/>
    <cellStyle name="60% - Énfasis5 4 3" xfId="12142" xr:uid="{00000000-0005-0000-0000-00004C2F0000}"/>
    <cellStyle name="60% - Énfasis5 4 4" xfId="12143" xr:uid="{00000000-0005-0000-0000-00004D2F0000}"/>
    <cellStyle name="60% - Énfasis5 5" xfId="12144" xr:uid="{00000000-0005-0000-0000-00004E2F0000}"/>
    <cellStyle name="60% - Énfasis5 5 2" xfId="12145" xr:uid="{00000000-0005-0000-0000-00004F2F0000}"/>
    <cellStyle name="60% - Énfasis5 5 3" xfId="12146" xr:uid="{00000000-0005-0000-0000-0000502F0000}"/>
    <cellStyle name="60% - Énfasis5 5 4" xfId="12147" xr:uid="{00000000-0005-0000-0000-0000512F0000}"/>
    <cellStyle name="60% - Énfasis5 6" xfId="12148" xr:uid="{00000000-0005-0000-0000-0000522F0000}"/>
    <cellStyle name="60% - Énfasis5 6 2" xfId="12149" xr:uid="{00000000-0005-0000-0000-0000532F0000}"/>
    <cellStyle name="60% - Énfasis5 7" xfId="12150" xr:uid="{00000000-0005-0000-0000-0000542F0000}"/>
    <cellStyle name="60% - Énfasis5 7 2" xfId="12151" xr:uid="{00000000-0005-0000-0000-0000552F0000}"/>
    <cellStyle name="60% - Énfasis5 8" xfId="12152" xr:uid="{00000000-0005-0000-0000-0000562F0000}"/>
    <cellStyle name="60% - Énfasis5 9" xfId="12153" xr:uid="{00000000-0005-0000-0000-0000572F0000}"/>
    <cellStyle name="60% - Énfasis6" xfId="30" builtinId="52" customBuiltin="1"/>
    <cellStyle name="60% - Énfasis6 10" xfId="12154" xr:uid="{00000000-0005-0000-0000-0000592F0000}"/>
    <cellStyle name="60% - Énfasis6 11" xfId="12155" xr:uid="{00000000-0005-0000-0000-00005A2F0000}"/>
    <cellStyle name="60% - Énfasis6 12" xfId="12156" xr:uid="{00000000-0005-0000-0000-00005B2F0000}"/>
    <cellStyle name="60% - Énfasis6 13" xfId="12157" xr:uid="{00000000-0005-0000-0000-00005C2F0000}"/>
    <cellStyle name="60% - Énfasis6 14" xfId="12158" xr:uid="{00000000-0005-0000-0000-00005D2F0000}"/>
    <cellStyle name="60% - Énfasis6 15" xfId="12159" xr:uid="{00000000-0005-0000-0000-00005E2F0000}"/>
    <cellStyle name="60% - Énfasis6 16" xfId="12160" xr:uid="{00000000-0005-0000-0000-00005F2F0000}"/>
    <cellStyle name="60% - Énfasis6 2" xfId="12161" xr:uid="{00000000-0005-0000-0000-0000602F0000}"/>
    <cellStyle name="60% - Énfasis6 2 10" xfId="12162" xr:uid="{00000000-0005-0000-0000-0000612F0000}"/>
    <cellStyle name="60% - Énfasis6 2 11" xfId="12163" xr:uid="{00000000-0005-0000-0000-0000622F0000}"/>
    <cellStyle name="60% - Énfasis6 2 12" xfId="12164" xr:uid="{00000000-0005-0000-0000-0000632F0000}"/>
    <cellStyle name="60% - Énfasis6 2 13" xfId="12165" xr:uid="{00000000-0005-0000-0000-0000642F0000}"/>
    <cellStyle name="60% - Énfasis6 2 14" xfId="12166" xr:uid="{00000000-0005-0000-0000-0000652F0000}"/>
    <cellStyle name="60% - Énfasis6 2 15" xfId="12167" xr:uid="{00000000-0005-0000-0000-0000662F0000}"/>
    <cellStyle name="60% - Énfasis6 2 16" xfId="12168" xr:uid="{00000000-0005-0000-0000-0000672F0000}"/>
    <cellStyle name="60% - Énfasis6 2 17" xfId="12169" xr:uid="{00000000-0005-0000-0000-0000682F0000}"/>
    <cellStyle name="60% - Énfasis6 2 18" xfId="12170" xr:uid="{00000000-0005-0000-0000-0000692F0000}"/>
    <cellStyle name="60% - Énfasis6 2 19" xfId="12171" xr:uid="{00000000-0005-0000-0000-00006A2F0000}"/>
    <cellStyle name="60% - Énfasis6 2 2" xfId="12172" xr:uid="{00000000-0005-0000-0000-00006B2F0000}"/>
    <cellStyle name="60% - Énfasis6 2 20" xfId="12173" xr:uid="{00000000-0005-0000-0000-00006C2F0000}"/>
    <cellStyle name="60% - Énfasis6 2 21" xfId="12174" xr:uid="{00000000-0005-0000-0000-00006D2F0000}"/>
    <cellStyle name="60% - Énfasis6 2 22" xfId="12175" xr:uid="{00000000-0005-0000-0000-00006E2F0000}"/>
    <cellStyle name="60% - Énfasis6 2 23" xfId="12176" xr:uid="{00000000-0005-0000-0000-00006F2F0000}"/>
    <cellStyle name="60% - Énfasis6 2 24" xfId="12177" xr:uid="{00000000-0005-0000-0000-0000702F0000}"/>
    <cellStyle name="60% - Énfasis6 2 25" xfId="12178" xr:uid="{00000000-0005-0000-0000-0000712F0000}"/>
    <cellStyle name="60% - Énfasis6 2 26" xfId="12179" xr:uid="{00000000-0005-0000-0000-0000722F0000}"/>
    <cellStyle name="60% - Énfasis6 2 27" xfId="12180" xr:uid="{00000000-0005-0000-0000-0000732F0000}"/>
    <cellStyle name="60% - Énfasis6 2 28" xfId="12181" xr:uid="{00000000-0005-0000-0000-0000742F0000}"/>
    <cellStyle name="60% - Énfasis6 2 29" xfId="12182" xr:uid="{00000000-0005-0000-0000-0000752F0000}"/>
    <cellStyle name="60% - Énfasis6 2 3" xfId="12183" xr:uid="{00000000-0005-0000-0000-0000762F0000}"/>
    <cellStyle name="60% - Énfasis6 2 30" xfId="12184" xr:uid="{00000000-0005-0000-0000-0000772F0000}"/>
    <cellStyle name="60% - Énfasis6 2 31" xfId="12185" xr:uid="{00000000-0005-0000-0000-0000782F0000}"/>
    <cellStyle name="60% - Énfasis6 2 32" xfId="12186" xr:uid="{00000000-0005-0000-0000-0000792F0000}"/>
    <cellStyle name="60% - Énfasis6 2 33" xfId="12187" xr:uid="{00000000-0005-0000-0000-00007A2F0000}"/>
    <cellStyle name="60% - Énfasis6 2 34" xfId="12188" xr:uid="{00000000-0005-0000-0000-00007B2F0000}"/>
    <cellStyle name="60% - Énfasis6 2 35" xfId="12189" xr:uid="{00000000-0005-0000-0000-00007C2F0000}"/>
    <cellStyle name="60% - Énfasis6 2 36" xfId="12190" xr:uid="{00000000-0005-0000-0000-00007D2F0000}"/>
    <cellStyle name="60% - Énfasis6 2 37" xfId="12191" xr:uid="{00000000-0005-0000-0000-00007E2F0000}"/>
    <cellStyle name="60% - Énfasis6 2 4" xfId="12192" xr:uid="{00000000-0005-0000-0000-00007F2F0000}"/>
    <cellStyle name="60% - Énfasis6 2 5" xfId="12193" xr:uid="{00000000-0005-0000-0000-0000802F0000}"/>
    <cellStyle name="60% - Énfasis6 2 6" xfId="12194" xr:uid="{00000000-0005-0000-0000-0000812F0000}"/>
    <cellStyle name="60% - Énfasis6 2 7" xfId="12195" xr:uid="{00000000-0005-0000-0000-0000822F0000}"/>
    <cellStyle name="60% - Énfasis6 2 8" xfId="12196" xr:uid="{00000000-0005-0000-0000-0000832F0000}"/>
    <cellStyle name="60% - Énfasis6 2 9" xfId="12197" xr:uid="{00000000-0005-0000-0000-0000842F0000}"/>
    <cellStyle name="60% - Énfasis6 3" xfId="12198" xr:uid="{00000000-0005-0000-0000-0000852F0000}"/>
    <cellStyle name="60% - Énfasis6 3 10" xfId="12199" xr:uid="{00000000-0005-0000-0000-0000862F0000}"/>
    <cellStyle name="60% - Énfasis6 3 11" xfId="12200" xr:uid="{00000000-0005-0000-0000-0000872F0000}"/>
    <cellStyle name="60% - Énfasis6 3 12" xfId="12201" xr:uid="{00000000-0005-0000-0000-0000882F0000}"/>
    <cellStyle name="60% - Énfasis6 3 13" xfId="12202" xr:uid="{00000000-0005-0000-0000-0000892F0000}"/>
    <cellStyle name="60% - Énfasis6 3 14" xfId="12203" xr:uid="{00000000-0005-0000-0000-00008A2F0000}"/>
    <cellStyle name="60% - Énfasis6 3 15" xfId="12204" xr:uid="{00000000-0005-0000-0000-00008B2F0000}"/>
    <cellStyle name="60% - Énfasis6 3 16" xfId="12205" xr:uid="{00000000-0005-0000-0000-00008C2F0000}"/>
    <cellStyle name="60% - Énfasis6 3 17" xfId="12206" xr:uid="{00000000-0005-0000-0000-00008D2F0000}"/>
    <cellStyle name="60% - Énfasis6 3 18" xfId="12207" xr:uid="{00000000-0005-0000-0000-00008E2F0000}"/>
    <cellStyle name="60% - Énfasis6 3 19" xfId="12208" xr:uid="{00000000-0005-0000-0000-00008F2F0000}"/>
    <cellStyle name="60% - Énfasis6 3 2" xfId="12209" xr:uid="{00000000-0005-0000-0000-0000902F0000}"/>
    <cellStyle name="60% - Énfasis6 3 20" xfId="12210" xr:uid="{00000000-0005-0000-0000-0000912F0000}"/>
    <cellStyle name="60% - Énfasis6 3 21" xfId="12211" xr:uid="{00000000-0005-0000-0000-0000922F0000}"/>
    <cellStyle name="60% - Énfasis6 3 22" xfId="12212" xr:uid="{00000000-0005-0000-0000-0000932F0000}"/>
    <cellStyle name="60% - Énfasis6 3 23" xfId="12213" xr:uid="{00000000-0005-0000-0000-0000942F0000}"/>
    <cellStyle name="60% - Énfasis6 3 24" xfId="12214" xr:uid="{00000000-0005-0000-0000-0000952F0000}"/>
    <cellStyle name="60% - Énfasis6 3 25" xfId="12215" xr:uid="{00000000-0005-0000-0000-0000962F0000}"/>
    <cellStyle name="60% - Énfasis6 3 26" xfId="12216" xr:uid="{00000000-0005-0000-0000-0000972F0000}"/>
    <cellStyle name="60% - Énfasis6 3 27" xfId="12217" xr:uid="{00000000-0005-0000-0000-0000982F0000}"/>
    <cellStyle name="60% - Énfasis6 3 28" xfId="12218" xr:uid="{00000000-0005-0000-0000-0000992F0000}"/>
    <cellStyle name="60% - Énfasis6 3 29" xfId="12219" xr:uid="{00000000-0005-0000-0000-00009A2F0000}"/>
    <cellStyle name="60% - Énfasis6 3 3" xfId="12220" xr:uid="{00000000-0005-0000-0000-00009B2F0000}"/>
    <cellStyle name="60% - Énfasis6 3 30" xfId="12221" xr:uid="{00000000-0005-0000-0000-00009C2F0000}"/>
    <cellStyle name="60% - Énfasis6 3 31" xfId="12222" xr:uid="{00000000-0005-0000-0000-00009D2F0000}"/>
    <cellStyle name="60% - Énfasis6 3 32" xfId="12223" xr:uid="{00000000-0005-0000-0000-00009E2F0000}"/>
    <cellStyle name="60% - Énfasis6 3 33" xfId="12224" xr:uid="{00000000-0005-0000-0000-00009F2F0000}"/>
    <cellStyle name="60% - Énfasis6 3 4" xfId="12225" xr:uid="{00000000-0005-0000-0000-0000A02F0000}"/>
    <cellStyle name="60% - Énfasis6 3 5" xfId="12226" xr:uid="{00000000-0005-0000-0000-0000A12F0000}"/>
    <cellStyle name="60% - Énfasis6 3 6" xfId="12227" xr:uid="{00000000-0005-0000-0000-0000A22F0000}"/>
    <cellStyle name="60% - Énfasis6 3 7" xfId="12228" xr:uid="{00000000-0005-0000-0000-0000A32F0000}"/>
    <cellStyle name="60% - Énfasis6 3 8" xfId="12229" xr:uid="{00000000-0005-0000-0000-0000A42F0000}"/>
    <cellStyle name="60% - Énfasis6 3 9" xfId="12230" xr:uid="{00000000-0005-0000-0000-0000A52F0000}"/>
    <cellStyle name="60% - Énfasis6 4" xfId="12231" xr:uid="{00000000-0005-0000-0000-0000A62F0000}"/>
    <cellStyle name="60% - Énfasis6 4 2" xfId="12232" xr:uid="{00000000-0005-0000-0000-0000A72F0000}"/>
    <cellStyle name="60% - Énfasis6 4 3" xfId="12233" xr:uid="{00000000-0005-0000-0000-0000A82F0000}"/>
    <cellStyle name="60% - Énfasis6 4 4" xfId="12234" xr:uid="{00000000-0005-0000-0000-0000A92F0000}"/>
    <cellStyle name="60% - Énfasis6 5" xfId="12235" xr:uid="{00000000-0005-0000-0000-0000AA2F0000}"/>
    <cellStyle name="60% - Énfasis6 5 2" xfId="12236" xr:uid="{00000000-0005-0000-0000-0000AB2F0000}"/>
    <cellStyle name="60% - Énfasis6 5 3" xfId="12237" xr:uid="{00000000-0005-0000-0000-0000AC2F0000}"/>
    <cellStyle name="60% - Énfasis6 5 4" xfId="12238" xr:uid="{00000000-0005-0000-0000-0000AD2F0000}"/>
    <cellStyle name="60% - Énfasis6 6" xfId="12239" xr:uid="{00000000-0005-0000-0000-0000AE2F0000}"/>
    <cellStyle name="60% - Énfasis6 6 2" xfId="12240" xr:uid="{00000000-0005-0000-0000-0000AF2F0000}"/>
    <cellStyle name="60% - Énfasis6 7" xfId="12241" xr:uid="{00000000-0005-0000-0000-0000B02F0000}"/>
    <cellStyle name="60% - Énfasis6 7 2" xfId="12242" xr:uid="{00000000-0005-0000-0000-0000B12F0000}"/>
    <cellStyle name="60% - Énfasis6 8" xfId="12243" xr:uid="{00000000-0005-0000-0000-0000B22F0000}"/>
    <cellStyle name="60% - Énfasis6 9" xfId="12244" xr:uid="{00000000-0005-0000-0000-0000B32F0000}"/>
    <cellStyle name="60% - アクセント 1" xfId="12245" xr:uid="{00000000-0005-0000-0000-0000B42F0000}"/>
    <cellStyle name="60% - アクセント 2" xfId="12246" xr:uid="{00000000-0005-0000-0000-0000B52F0000}"/>
    <cellStyle name="60% - アクセント 3" xfId="12247" xr:uid="{00000000-0005-0000-0000-0000B62F0000}"/>
    <cellStyle name="60% - アクセント 4" xfId="12248" xr:uid="{00000000-0005-0000-0000-0000B72F0000}"/>
    <cellStyle name="60% - アクセント 5" xfId="12249" xr:uid="{00000000-0005-0000-0000-0000B82F0000}"/>
    <cellStyle name="60% - アクセント 6" xfId="12250" xr:uid="{00000000-0005-0000-0000-0000B92F0000}"/>
    <cellStyle name="697 " xfId="12251" xr:uid="{00000000-0005-0000-0000-0000BA2F0000}"/>
    <cellStyle name="6A" xfId="12252" xr:uid="{00000000-0005-0000-0000-0000BB2F0000}"/>
    <cellStyle name="7" xfId="12253" xr:uid="{00000000-0005-0000-0000-0000BC2F0000}"/>
    <cellStyle name="7 (2)" xfId="12254" xr:uid="{00000000-0005-0000-0000-0000BD2F0000}"/>
    <cellStyle name="7.XLS]הון עצמי" xfId="12255" xr:uid="{00000000-0005-0000-0000-0000BE2F0000}"/>
    <cellStyle name="7.XLS]הון עצמי 2" xfId="12256" xr:uid="{00000000-0005-0000-0000-0000BF2F0000}"/>
    <cellStyle name="8" xfId="12257" xr:uid="{00000000-0005-0000-0000-0000C02F0000}"/>
    <cellStyle name="8 2" xfId="12258" xr:uid="{00000000-0005-0000-0000-0000C12F0000}"/>
    <cellStyle name="8_SHKEF398win95" xfId="12259" xr:uid="{00000000-0005-0000-0000-0000C22F0000}"/>
    <cellStyle name="8_SHKEF398win95 2" xfId="12260" xr:uid="{00000000-0005-0000-0000-0000C32F0000}"/>
    <cellStyle name="A_Block Space" xfId="12261" xr:uid="{00000000-0005-0000-0000-0000C42F0000}"/>
    <cellStyle name="A_Block Space_BU valuation" xfId="12262" xr:uid="{00000000-0005-0000-0000-0000C52F0000}"/>
    <cellStyle name="A_Block Space_CMD Model 2010 v5_13" xfId="12263" xr:uid="{00000000-0005-0000-0000-0000C62F0000}"/>
    <cellStyle name="A_Block Space_Multiples template" xfId="12264" xr:uid="{00000000-0005-0000-0000-0000C72F0000}"/>
    <cellStyle name="A_Block Space_R1 Template" xfId="12265" xr:uid="{00000000-0005-0000-0000-0000C82F0000}"/>
    <cellStyle name="A_Block Space_TRS Dec" xfId="12266" xr:uid="{00000000-0005-0000-0000-0000C92F0000}"/>
    <cellStyle name="A_Block Space_Valuation" xfId="12267" xr:uid="{00000000-0005-0000-0000-0000CA2F0000}"/>
    <cellStyle name="A_Block Space_VendorData" xfId="12268" xr:uid="{00000000-0005-0000-0000-0000CB2F0000}"/>
    <cellStyle name="A_BlueLine" xfId="12269" xr:uid="{00000000-0005-0000-0000-0000CC2F0000}"/>
    <cellStyle name="A_BlueLine_BU valuation" xfId="12270" xr:uid="{00000000-0005-0000-0000-0000CD2F0000}"/>
    <cellStyle name="A_BlueLine_CMD Model 2010 v5_13" xfId="12271" xr:uid="{00000000-0005-0000-0000-0000CE2F0000}"/>
    <cellStyle name="A_BlueLine_Multiples template" xfId="12272" xr:uid="{00000000-0005-0000-0000-0000CF2F0000}"/>
    <cellStyle name="A_BlueLine_TRS Dec" xfId="12273" xr:uid="{00000000-0005-0000-0000-0000D02F0000}"/>
    <cellStyle name="A_BlueLine_Valuation" xfId="12274" xr:uid="{00000000-0005-0000-0000-0000D12F0000}"/>
    <cellStyle name="A_BlueLine_VendorData" xfId="12275" xr:uid="{00000000-0005-0000-0000-0000D22F0000}"/>
    <cellStyle name="a_Divisão" xfId="12276" xr:uid="{00000000-0005-0000-0000-0000D32F0000}"/>
    <cellStyle name="a_Divisão_~1502101" xfId="12277" xr:uid="{00000000-0005-0000-0000-0000D42F0000}"/>
    <cellStyle name="a_Divisão_SHANUSI" xfId="12278" xr:uid="{00000000-0005-0000-0000-0000D52F0000}"/>
    <cellStyle name="A_Do not Change" xfId="12279" xr:uid="{00000000-0005-0000-0000-0000D62F0000}"/>
    <cellStyle name="A_Do not Change_BU valuation" xfId="12280" xr:uid="{00000000-0005-0000-0000-0000D72F0000}"/>
    <cellStyle name="A_Do not Change_CMD Model 2010 v5_13" xfId="12281" xr:uid="{00000000-0005-0000-0000-0000D82F0000}"/>
    <cellStyle name="A_Do not Change_Multiples template" xfId="12282" xr:uid="{00000000-0005-0000-0000-0000D92F0000}"/>
    <cellStyle name="A_Do not Change_R1 Template" xfId="12283" xr:uid="{00000000-0005-0000-0000-0000DA2F0000}"/>
    <cellStyle name="A_Do not Change_TRS Dec" xfId="12284" xr:uid="{00000000-0005-0000-0000-0000DB2F0000}"/>
    <cellStyle name="A_Do not Change_Valuation" xfId="12285" xr:uid="{00000000-0005-0000-0000-0000DC2F0000}"/>
    <cellStyle name="A_Do not Change_VendorData" xfId="12286" xr:uid="{00000000-0005-0000-0000-0000DD2F0000}"/>
    <cellStyle name="A_Estimate" xfId="12287" xr:uid="{00000000-0005-0000-0000-0000DE2F0000}"/>
    <cellStyle name="A_Memo" xfId="12288" xr:uid="{00000000-0005-0000-0000-0000DF2F0000}"/>
    <cellStyle name="A_Memo_R1 Template" xfId="12289" xr:uid="{00000000-0005-0000-0000-0000E02F0000}"/>
    <cellStyle name="a_normal" xfId="12290" xr:uid="{00000000-0005-0000-0000-0000E12F0000}"/>
    <cellStyle name="A_Normal Forecast" xfId="12291" xr:uid="{00000000-0005-0000-0000-0000E22F0000}"/>
    <cellStyle name="A_Normal Forecast_R1 Template" xfId="12292" xr:uid="{00000000-0005-0000-0000-0000E32F0000}"/>
    <cellStyle name="A_Normal Historical" xfId="12293" xr:uid="{00000000-0005-0000-0000-0000E42F0000}"/>
    <cellStyle name="A_Normal Historical_BU valuation" xfId="12294" xr:uid="{00000000-0005-0000-0000-0000E52F0000}"/>
    <cellStyle name="A_Normal Historical_CMD Model 2010 v5_13" xfId="12295" xr:uid="{00000000-0005-0000-0000-0000E62F0000}"/>
    <cellStyle name="A_Normal Historical_Multiples template" xfId="12296" xr:uid="{00000000-0005-0000-0000-0000E72F0000}"/>
    <cellStyle name="A_Normal Historical_R1 Template" xfId="12297" xr:uid="{00000000-0005-0000-0000-0000E82F0000}"/>
    <cellStyle name="A_Normal Historical_TRS Dec" xfId="12298" xr:uid="{00000000-0005-0000-0000-0000E92F0000}"/>
    <cellStyle name="A_Normal Historical_Valuation" xfId="12299" xr:uid="{00000000-0005-0000-0000-0000EA2F0000}"/>
    <cellStyle name="A_Normal Historical_VendorData" xfId="12300" xr:uid="{00000000-0005-0000-0000-0000EB2F0000}"/>
    <cellStyle name="A_Normal_BU valuation" xfId="12301" xr:uid="{00000000-0005-0000-0000-0000EC2F0000}"/>
    <cellStyle name="A_Normal_CMD Model 2010 v5_13" xfId="12302" xr:uid="{00000000-0005-0000-0000-0000ED2F0000}"/>
    <cellStyle name="a_normal_Modelo Atacocha v2" xfId="12303" xr:uid="{00000000-0005-0000-0000-0000EE2F0000}"/>
    <cellStyle name="A_Normal_Multiples template" xfId="12304" xr:uid="{00000000-0005-0000-0000-0000EF2F0000}"/>
    <cellStyle name="A_Normal_R1 Template" xfId="12305" xr:uid="{00000000-0005-0000-0000-0000F02F0000}"/>
    <cellStyle name="A_Normal_R1 Template_BU valuation" xfId="12306" xr:uid="{00000000-0005-0000-0000-0000F12F0000}"/>
    <cellStyle name="A_Normal_R1 Template_CMD Model 2010 v5_13" xfId="12307" xr:uid="{00000000-0005-0000-0000-0000F22F0000}"/>
    <cellStyle name="A_Normal_R1 Template_Multiples template" xfId="12308" xr:uid="{00000000-0005-0000-0000-0000F32F0000}"/>
    <cellStyle name="A_Normal_R1 Template_TRS Dec" xfId="12309" xr:uid="{00000000-0005-0000-0000-0000F42F0000}"/>
    <cellStyle name="A_Normal_R1 Template_Valuation" xfId="12310" xr:uid="{00000000-0005-0000-0000-0000F52F0000}"/>
    <cellStyle name="A_Normal_R1 Template_VendorData" xfId="12311" xr:uid="{00000000-0005-0000-0000-0000F62F0000}"/>
    <cellStyle name="A_Normal_TRS Dec" xfId="12312" xr:uid="{00000000-0005-0000-0000-0000F72F0000}"/>
    <cellStyle name="A_Normal_Valuation" xfId="12313" xr:uid="{00000000-0005-0000-0000-0000F82F0000}"/>
    <cellStyle name="A_Normal_VendorData" xfId="12314" xr:uid="{00000000-0005-0000-0000-0000F92F0000}"/>
    <cellStyle name="a_quebra_1" xfId="12315" xr:uid="{00000000-0005-0000-0000-0000FA2F0000}"/>
    <cellStyle name="a_quebra_2" xfId="12316" xr:uid="{00000000-0005-0000-0000-0000FB2F0000}"/>
    <cellStyle name="A_Rate_Data" xfId="12317" xr:uid="{00000000-0005-0000-0000-0000FC2F0000}"/>
    <cellStyle name="A_Rate_Data Historical" xfId="12318" xr:uid="{00000000-0005-0000-0000-0000FD2F0000}"/>
    <cellStyle name="A_Rate_Data Historical_R1 Template" xfId="12319" xr:uid="{00000000-0005-0000-0000-0000FE2F0000}"/>
    <cellStyle name="A_Rate_Data_R1 Template" xfId="12320" xr:uid="{00000000-0005-0000-0000-0000FF2F0000}"/>
    <cellStyle name="A_Rate_Title" xfId="12321" xr:uid="{00000000-0005-0000-0000-000000300000}"/>
    <cellStyle name="A_Rate_Title_R1 Template" xfId="12322" xr:uid="{00000000-0005-0000-0000-000001300000}"/>
    <cellStyle name="A_Simple Title" xfId="12323" xr:uid="{00000000-0005-0000-0000-000002300000}"/>
    <cellStyle name="A_Sum" xfId="12324" xr:uid="{00000000-0005-0000-0000-000003300000}"/>
    <cellStyle name="A_SUM_Row Major" xfId="12325" xr:uid="{00000000-0005-0000-0000-000004300000}"/>
    <cellStyle name="A_SUM_Row Major_R1 Template" xfId="12326" xr:uid="{00000000-0005-0000-0000-000005300000}"/>
    <cellStyle name="A_SUM_Row Minor" xfId="12327" xr:uid="{00000000-0005-0000-0000-000006300000}"/>
    <cellStyle name="A_SUM_Row Minor_Apple_CMD Model_31 Aug 2010" xfId="12328" xr:uid="{00000000-0005-0000-0000-000007300000}"/>
    <cellStyle name="A_SUM_Row Minor_R1 Template" xfId="12329" xr:uid="{00000000-0005-0000-0000-000008300000}"/>
    <cellStyle name="A_Title" xfId="12330" xr:uid="{00000000-0005-0000-0000-000009300000}"/>
    <cellStyle name="A_Title_Apple_CMD Model_31 Aug 2010" xfId="12331" xr:uid="{00000000-0005-0000-0000-00000A300000}"/>
    <cellStyle name="A_Title_R1 Template" xfId="12332" xr:uid="{00000000-0005-0000-0000-00000B300000}"/>
    <cellStyle name="A_YearHeadings" xfId="12333" xr:uid="{00000000-0005-0000-0000-00000C300000}"/>
    <cellStyle name="A¨­￠￢￠O [0]_C¡IAo_AoAUAy¡ÆeC¡I " xfId="12334" xr:uid="{00000000-0005-0000-0000-00000D300000}"/>
    <cellStyle name="A¨­￠￢￠O_AoAUAy¡ÆeC¡I " xfId="12335" xr:uid="{00000000-0005-0000-0000-00000E300000}"/>
    <cellStyle name="A¨­¢¬¢Ò_Spectre_23_Mar_00" xfId="12336" xr:uid="{00000000-0005-0000-0000-00000F300000}"/>
    <cellStyle name="A3 297 x 420 mm" xfId="12337" xr:uid="{00000000-0005-0000-0000-000010300000}"/>
    <cellStyle name="A3 297 x 420 mm 10" xfId="12338" xr:uid="{00000000-0005-0000-0000-000011300000}"/>
    <cellStyle name="A3 297 x 420 mm 11" xfId="12339" xr:uid="{00000000-0005-0000-0000-000012300000}"/>
    <cellStyle name="A3 297 x 420 mm 12" xfId="12340" xr:uid="{00000000-0005-0000-0000-000013300000}"/>
    <cellStyle name="A3 297 x 420 mm 13" xfId="12341" xr:uid="{00000000-0005-0000-0000-000014300000}"/>
    <cellStyle name="A3 297 x 420 mm 14" xfId="12342" xr:uid="{00000000-0005-0000-0000-000015300000}"/>
    <cellStyle name="A3 297 x 420 mm 15" xfId="12343" xr:uid="{00000000-0005-0000-0000-000016300000}"/>
    <cellStyle name="A3 297 x 420 mm 16" xfId="12344" xr:uid="{00000000-0005-0000-0000-000017300000}"/>
    <cellStyle name="A3 297 x 420 mm 17" xfId="12345" xr:uid="{00000000-0005-0000-0000-000018300000}"/>
    <cellStyle name="A3 297 x 420 mm 18" xfId="12346" xr:uid="{00000000-0005-0000-0000-000019300000}"/>
    <cellStyle name="A3 297 x 420 mm 19" xfId="12347" xr:uid="{00000000-0005-0000-0000-00001A300000}"/>
    <cellStyle name="A3 297 x 420 mm 2" xfId="12348" xr:uid="{00000000-0005-0000-0000-00001B300000}"/>
    <cellStyle name="A3 297 x 420 mm 20" xfId="12349" xr:uid="{00000000-0005-0000-0000-00001C300000}"/>
    <cellStyle name="A3 297 x 420 mm 21" xfId="12350" xr:uid="{00000000-0005-0000-0000-00001D300000}"/>
    <cellStyle name="A3 297 x 420 mm 22" xfId="12351" xr:uid="{00000000-0005-0000-0000-00001E300000}"/>
    <cellStyle name="A3 297 x 420 mm 23" xfId="12352" xr:uid="{00000000-0005-0000-0000-00001F300000}"/>
    <cellStyle name="A3 297 x 420 mm 24" xfId="12353" xr:uid="{00000000-0005-0000-0000-000020300000}"/>
    <cellStyle name="A3 297 x 420 mm 25" xfId="12354" xr:uid="{00000000-0005-0000-0000-000021300000}"/>
    <cellStyle name="A3 297 x 420 mm 26" xfId="12355" xr:uid="{00000000-0005-0000-0000-000022300000}"/>
    <cellStyle name="A3 297 x 420 mm 27" xfId="12356" xr:uid="{00000000-0005-0000-0000-000023300000}"/>
    <cellStyle name="A3 297 x 420 mm 28" xfId="12357" xr:uid="{00000000-0005-0000-0000-000024300000}"/>
    <cellStyle name="A3 297 x 420 mm 29" xfId="12358" xr:uid="{00000000-0005-0000-0000-000025300000}"/>
    <cellStyle name="A3 297 x 420 mm 3" xfId="12359" xr:uid="{00000000-0005-0000-0000-000026300000}"/>
    <cellStyle name="A3 297 x 420 mm 30" xfId="12360" xr:uid="{00000000-0005-0000-0000-000027300000}"/>
    <cellStyle name="A3 297 x 420 mm 31" xfId="12361" xr:uid="{00000000-0005-0000-0000-000028300000}"/>
    <cellStyle name="A3 297 x 420 mm 32" xfId="12362" xr:uid="{00000000-0005-0000-0000-000029300000}"/>
    <cellStyle name="A3 297 x 420 mm 33" xfId="12363" xr:uid="{00000000-0005-0000-0000-00002A300000}"/>
    <cellStyle name="A3 297 x 420 mm 34" xfId="12364" xr:uid="{00000000-0005-0000-0000-00002B300000}"/>
    <cellStyle name="A3 297 x 420 mm 35" xfId="12365" xr:uid="{00000000-0005-0000-0000-00002C300000}"/>
    <cellStyle name="A3 297 x 420 mm 36" xfId="12366" xr:uid="{00000000-0005-0000-0000-00002D300000}"/>
    <cellStyle name="A3 297 x 420 mm 4" xfId="12367" xr:uid="{00000000-0005-0000-0000-00002E300000}"/>
    <cellStyle name="A3 297 x 420 mm 5" xfId="12368" xr:uid="{00000000-0005-0000-0000-00002F300000}"/>
    <cellStyle name="A3 297 x 420 mm 6" xfId="12369" xr:uid="{00000000-0005-0000-0000-000030300000}"/>
    <cellStyle name="A3 297 x 420 mm 7" xfId="12370" xr:uid="{00000000-0005-0000-0000-000031300000}"/>
    <cellStyle name="A3 297 x 420 mm 8" xfId="12371" xr:uid="{00000000-0005-0000-0000-000032300000}"/>
    <cellStyle name="A3 297 x 420 mm 9" xfId="12372" xr:uid="{00000000-0005-0000-0000-000033300000}"/>
    <cellStyle name="Abstimmung" xfId="12373" xr:uid="{00000000-0005-0000-0000-000034300000}"/>
    <cellStyle name="Abstimmung 2" xfId="12374" xr:uid="{00000000-0005-0000-0000-000035300000}"/>
    <cellStyle name="AbstimmungLeer" xfId="12375" xr:uid="{00000000-0005-0000-0000-000036300000}"/>
    <cellStyle name="AbstimmungLeer 2" xfId="12376" xr:uid="{00000000-0005-0000-0000-000037300000}"/>
    <cellStyle name="ac" xfId="12377" xr:uid="{00000000-0005-0000-0000-000038300000}"/>
    <cellStyle name="ac 10" xfId="12378" xr:uid="{00000000-0005-0000-0000-000039300000}"/>
    <cellStyle name="ac 11" xfId="12379" xr:uid="{00000000-0005-0000-0000-00003A300000}"/>
    <cellStyle name="ac 12" xfId="12380" xr:uid="{00000000-0005-0000-0000-00003B300000}"/>
    <cellStyle name="ac 13" xfId="12381" xr:uid="{00000000-0005-0000-0000-00003C300000}"/>
    <cellStyle name="ac 2" xfId="12382" xr:uid="{00000000-0005-0000-0000-00003D300000}"/>
    <cellStyle name="ac 2 10" xfId="12383" xr:uid="{00000000-0005-0000-0000-00003E300000}"/>
    <cellStyle name="ac 2 2" xfId="12384" xr:uid="{00000000-0005-0000-0000-00003F300000}"/>
    <cellStyle name="ac 2 2 2" xfId="12385" xr:uid="{00000000-0005-0000-0000-000040300000}"/>
    <cellStyle name="ac 2 2 3" xfId="12386" xr:uid="{00000000-0005-0000-0000-000041300000}"/>
    <cellStyle name="ac 2 2 4" xfId="12387" xr:uid="{00000000-0005-0000-0000-000042300000}"/>
    <cellStyle name="ac 2 2 5" xfId="12388" xr:uid="{00000000-0005-0000-0000-000043300000}"/>
    <cellStyle name="ac 2 3" xfId="12389" xr:uid="{00000000-0005-0000-0000-000044300000}"/>
    <cellStyle name="ac 2 3 2" xfId="12390" xr:uid="{00000000-0005-0000-0000-000045300000}"/>
    <cellStyle name="ac 2 3 3" xfId="12391" xr:uid="{00000000-0005-0000-0000-000046300000}"/>
    <cellStyle name="ac 2 3 4" xfId="12392" xr:uid="{00000000-0005-0000-0000-000047300000}"/>
    <cellStyle name="ac 2 3 5" xfId="12393" xr:uid="{00000000-0005-0000-0000-000048300000}"/>
    <cellStyle name="ac 2 4" xfId="12394" xr:uid="{00000000-0005-0000-0000-000049300000}"/>
    <cellStyle name="ac 2 4 2" xfId="12395" xr:uid="{00000000-0005-0000-0000-00004A300000}"/>
    <cellStyle name="ac 2 4 3" xfId="12396" xr:uid="{00000000-0005-0000-0000-00004B300000}"/>
    <cellStyle name="ac 2 4 4" xfId="12397" xr:uid="{00000000-0005-0000-0000-00004C300000}"/>
    <cellStyle name="ac 2 4 5" xfId="12398" xr:uid="{00000000-0005-0000-0000-00004D300000}"/>
    <cellStyle name="ac 2 5" xfId="12399" xr:uid="{00000000-0005-0000-0000-00004E300000}"/>
    <cellStyle name="ac 2 5 2" xfId="12400" xr:uid="{00000000-0005-0000-0000-00004F300000}"/>
    <cellStyle name="ac 2 5 3" xfId="12401" xr:uid="{00000000-0005-0000-0000-000050300000}"/>
    <cellStyle name="ac 2 5 4" xfId="12402" xr:uid="{00000000-0005-0000-0000-000051300000}"/>
    <cellStyle name="ac 2 5 5" xfId="12403" xr:uid="{00000000-0005-0000-0000-000052300000}"/>
    <cellStyle name="ac 2 6" xfId="12404" xr:uid="{00000000-0005-0000-0000-000053300000}"/>
    <cellStyle name="ac 2 6 2" xfId="12405" xr:uid="{00000000-0005-0000-0000-000054300000}"/>
    <cellStyle name="ac 2 6 3" xfId="12406" xr:uid="{00000000-0005-0000-0000-000055300000}"/>
    <cellStyle name="ac 2 6 4" xfId="12407" xr:uid="{00000000-0005-0000-0000-000056300000}"/>
    <cellStyle name="ac 2 6 5" xfId="12408" xr:uid="{00000000-0005-0000-0000-000057300000}"/>
    <cellStyle name="ac 2 7" xfId="12409" xr:uid="{00000000-0005-0000-0000-000058300000}"/>
    <cellStyle name="ac 2 8" xfId="12410" xr:uid="{00000000-0005-0000-0000-000059300000}"/>
    <cellStyle name="ac 2 9" xfId="12411" xr:uid="{00000000-0005-0000-0000-00005A300000}"/>
    <cellStyle name="ac 3" xfId="12412" xr:uid="{00000000-0005-0000-0000-00005B300000}"/>
    <cellStyle name="ac 3 10" xfId="12413" xr:uid="{00000000-0005-0000-0000-00005C300000}"/>
    <cellStyle name="ac 3 2" xfId="12414" xr:uid="{00000000-0005-0000-0000-00005D300000}"/>
    <cellStyle name="ac 3 2 2" xfId="12415" xr:uid="{00000000-0005-0000-0000-00005E300000}"/>
    <cellStyle name="ac 3 2 3" xfId="12416" xr:uid="{00000000-0005-0000-0000-00005F300000}"/>
    <cellStyle name="ac 3 2 4" xfId="12417" xr:uid="{00000000-0005-0000-0000-000060300000}"/>
    <cellStyle name="ac 3 2 5" xfId="12418" xr:uid="{00000000-0005-0000-0000-000061300000}"/>
    <cellStyle name="ac 3 3" xfId="12419" xr:uid="{00000000-0005-0000-0000-000062300000}"/>
    <cellStyle name="ac 3 3 2" xfId="12420" xr:uid="{00000000-0005-0000-0000-000063300000}"/>
    <cellStyle name="ac 3 3 3" xfId="12421" xr:uid="{00000000-0005-0000-0000-000064300000}"/>
    <cellStyle name="ac 3 3 4" xfId="12422" xr:uid="{00000000-0005-0000-0000-000065300000}"/>
    <cellStyle name="ac 3 3 5" xfId="12423" xr:uid="{00000000-0005-0000-0000-000066300000}"/>
    <cellStyle name="ac 3 4" xfId="12424" xr:uid="{00000000-0005-0000-0000-000067300000}"/>
    <cellStyle name="ac 3 4 2" xfId="12425" xr:uid="{00000000-0005-0000-0000-000068300000}"/>
    <cellStyle name="ac 3 4 3" xfId="12426" xr:uid="{00000000-0005-0000-0000-000069300000}"/>
    <cellStyle name="ac 3 4 4" xfId="12427" xr:uid="{00000000-0005-0000-0000-00006A300000}"/>
    <cellStyle name="ac 3 4 5" xfId="12428" xr:uid="{00000000-0005-0000-0000-00006B300000}"/>
    <cellStyle name="ac 3 5" xfId="12429" xr:uid="{00000000-0005-0000-0000-00006C300000}"/>
    <cellStyle name="ac 3 5 2" xfId="12430" xr:uid="{00000000-0005-0000-0000-00006D300000}"/>
    <cellStyle name="ac 3 5 3" xfId="12431" xr:uid="{00000000-0005-0000-0000-00006E300000}"/>
    <cellStyle name="ac 3 5 4" xfId="12432" xr:uid="{00000000-0005-0000-0000-00006F300000}"/>
    <cellStyle name="ac 3 5 5" xfId="12433" xr:uid="{00000000-0005-0000-0000-000070300000}"/>
    <cellStyle name="ac 3 6" xfId="12434" xr:uid="{00000000-0005-0000-0000-000071300000}"/>
    <cellStyle name="ac 3 6 2" xfId="12435" xr:uid="{00000000-0005-0000-0000-000072300000}"/>
    <cellStyle name="ac 3 6 3" xfId="12436" xr:uid="{00000000-0005-0000-0000-000073300000}"/>
    <cellStyle name="ac 3 6 4" xfId="12437" xr:uid="{00000000-0005-0000-0000-000074300000}"/>
    <cellStyle name="ac 3 6 5" xfId="12438" xr:uid="{00000000-0005-0000-0000-000075300000}"/>
    <cellStyle name="ac 3 7" xfId="12439" xr:uid="{00000000-0005-0000-0000-000076300000}"/>
    <cellStyle name="ac 3 8" xfId="12440" xr:uid="{00000000-0005-0000-0000-000077300000}"/>
    <cellStyle name="ac 3 9" xfId="12441" xr:uid="{00000000-0005-0000-0000-000078300000}"/>
    <cellStyle name="ac 4" xfId="12442" xr:uid="{00000000-0005-0000-0000-000079300000}"/>
    <cellStyle name="ac 4 2" xfId="12443" xr:uid="{00000000-0005-0000-0000-00007A300000}"/>
    <cellStyle name="ac 4 3" xfId="12444" xr:uid="{00000000-0005-0000-0000-00007B300000}"/>
    <cellStyle name="ac 4 4" xfId="12445" xr:uid="{00000000-0005-0000-0000-00007C300000}"/>
    <cellStyle name="ac 4 5" xfId="12446" xr:uid="{00000000-0005-0000-0000-00007D300000}"/>
    <cellStyle name="ac 5" xfId="12447" xr:uid="{00000000-0005-0000-0000-00007E300000}"/>
    <cellStyle name="ac 5 2" xfId="12448" xr:uid="{00000000-0005-0000-0000-00007F300000}"/>
    <cellStyle name="ac 5 3" xfId="12449" xr:uid="{00000000-0005-0000-0000-000080300000}"/>
    <cellStyle name="ac 5 4" xfId="12450" xr:uid="{00000000-0005-0000-0000-000081300000}"/>
    <cellStyle name="ac 5 5" xfId="12451" xr:uid="{00000000-0005-0000-0000-000082300000}"/>
    <cellStyle name="ac 6" xfId="12452" xr:uid="{00000000-0005-0000-0000-000083300000}"/>
    <cellStyle name="ac 6 2" xfId="12453" xr:uid="{00000000-0005-0000-0000-000084300000}"/>
    <cellStyle name="ac 6 3" xfId="12454" xr:uid="{00000000-0005-0000-0000-000085300000}"/>
    <cellStyle name="ac 6 4" xfId="12455" xr:uid="{00000000-0005-0000-0000-000086300000}"/>
    <cellStyle name="ac 6 5" xfId="12456" xr:uid="{00000000-0005-0000-0000-000087300000}"/>
    <cellStyle name="ac 7" xfId="12457" xr:uid="{00000000-0005-0000-0000-000088300000}"/>
    <cellStyle name="ac 7 2" xfId="12458" xr:uid="{00000000-0005-0000-0000-000089300000}"/>
    <cellStyle name="ac 7 3" xfId="12459" xr:uid="{00000000-0005-0000-0000-00008A300000}"/>
    <cellStyle name="ac 7 4" xfId="12460" xr:uid="{00000000-0005-0000-0000-00008B300000}"/>
    <cellStyle name="ac 7 5" xfId="12461" xr:uid="{00000000-0005-0000-0000-00008C300000}"/>
    <cellStyle name="ac 8" xfId="12462" xr:uid="{00000000-0005-0000-0000-00008D300000}"/>
    <cellStyle name="ac 8 2" xfId="12463" xr:uid="{00000000-0005-0000-0000-00008E300000}"/>
    <cellStyle name="ac 8 3" xfId="12464" xr:uid="{00000000-0005-0000-0000-00008F300000}"/>
    <cellStyle name="ac 8 4" xfId="12465" xr:uid="{00000000-0005-0000-0000-000090300000}"/>
    <cellStyle name="ac 8 5" xfId="12466" xr:uid="{00000000-0005-0000-0000-000091300000}"/>
    <cellStyle name="ac 9" xfId="12467" xr:uid="{00000000-0005-0000-0000-000092300000}"/>
    <cellStyle name="Accent1" xfId="12468" xr:uid="{00000000-0005-0000-0000-000093300000}"/>
    <cellStyle name="Accent1 - 20%" xfId="12469" xr:uid="{00000000-0005-0000-0000-000094300000}"/>
    <cellStyle name="Accent1 - 20% 2" xfId="12470" xr:uid="{00000000-0005-0000-0000-000095300000}"/>
    <cellStyle name="Accent1 - 40%" xfId="12471" xr:uid="{00000000-0005-0000-0000-000096300000}"/>
    <cellStyle name="Accent1 - 40% 2" xfId="12472" xr:uid="{00000000-0005-0000-0000-000097300000}"/>
    <cellStyle name="Accent1 - 60%" xfId="12473" xr:uid="{00000000-0005-0000-0000-000098300000}"/>
    <cellStyle name="Accent1 - 60% 2" xfId="12474" xr:uid="{00000000-0005-0000-0000-000099300000}"/>
    <cellStyle name="Accent1 10" xfId="12475" xr:uid="{00000000-0005-0000-0000-00009A300000}"/>
    <cellStyle name="Accent1 11" xfId="12476" xr:uid="{00000000-0005-0000-0000-00009B300000}"/>
    <cellStyle name="Accent1 12" xfId="12477" xr:uid="{00000000-0005-0000-0000-00009C300000}"/>
    <cellStyle name="Accent1 13" xfId="12478" xr:uid="{00000000-0005-0000-0000-00009D300000}"/>
    <cellStyle name="Accent1 14" xfId="12479" xr:uid="{00000000-0005-0000-0000-00009E300000}"/>
    <cellStyle name="Accent1 15" xfId="12480" xr:uid="{00000000-0005-0000-0000-00009F300000}"/>
    <cellStyle name="Accent1 2" xfId="12481" xr:uid="{00000000-0005-0000-0000-0000A0300000}"/>
    <cellStyle name="Accent1 3" xfId="12482" xr:uid="{00000000-0005-0000-0000-0000A1300000}"/>
    <cellStyle name="Accent1 4" xfId="12483" xr:uid="{00000000-0005-0000-0000-0000A2300000}"/>
    <cellStyle name="Accent1 5" xfId="12484" xr:uid="{00000000-0005-0000-0000-0000A3300000}"/>
    <cellStyle name="Accent1 6" xfId="12485" xr:uid="{00000000-0005-0000-0000-0000A4300000}"/>
    <cellStyle name="Accent1 7" xfId="12486" xr:uid="{00000000-0005-0000-0000-0000A5300000}"/>
    <cellStyle name="Accent1 8" xfId="12487" xr:uid="{00000000-0005-0000-0000-0000A6300000}"/>
    <cellStyle name="Accent1 9" xfId="12488" xr:uid="{00000000-0005-0000-0000-0000A7300000}"/>
    <cellStyle name="Accent2" xfId="12489" xr:uid="{00000000-0005-0000-0000-0000A8300000}"/>
    <cellStyle name="Accent2 - 20%" xfId="12490" xr:uid="{00000000-0005-0000-0000-0000A9300000}"/>
    <cellStyle name="Accent2 - 20% 2" xfId="12491" xr:uid="{00000000-0005-0000-0000-0000AA300000}"/>
    <cellStyle name="Accent2 - 40%" xfId="12492" xr:uid="{00000000-0005-0000-0000-0000AB300000}"/>
    <cellStyle name="Accent2 - 40% 2" xfId="12493" xr:uid="{00000000-0005-0000-0000-0000AC300000}"/>
    <cellStyle name="Accent2 - 60%" xfId="12494" xr:uid="{00000000-0005-0000-0000-0000AD300000}"/>
    <cellStyle name="Accent2 - 60% 2" xfId="12495" xr:uid="{00000000-0005-0000-0000-0000AE300000}"/>
    <cellStyle name="Accent2 10" xfId="12496" xr:uid="{00000000-0005-0000-0000-0000AF300000}"/>
    <cellStyle name="Accent2 11" xfId="12497" xr:uid="{00000000-0005-0000-0000-0000B0300000}"/>
    <cellStyle name="Accent2 12" xfId="12498" xr:uid="{00000000-0005-0000-0000-0000B1300000}"/>
    <cellStyle name="Accent2 13" xfId="12499" xr:uid="{00000000-0005-0000-0000-0000B2300000}"/>
    <cellStyle name="Accent2 14" xfId="12500" xr:uid="{00000000-0005-0000-0000-0000B3300000}"/>
    <cellStyle name="Accent2 15" xfId="12501" xr:uid="{00000000-0005-0000-0000-0000B4300000}"/>
    <cellStyle name="Accent2 2" xfId="12502" xr:uid="{00000000-0005-0000-0000-0000B5300000}"/>
    <cellStyle name="Accent2 3" xfId="12503" xr:uid="{00000000-0005-0000-0000-0000B6300000}"/>
    <cellStyle name="Accent2 4" xfId="12504" xr:uid="{00000000-0005-0000-0000-0000B7300000}"/>
    <cellStyle name="Accent2 5" xfId="12505" xr:uid="{00000000-0005-0000-0000-0000B8300000}"/>
    <cellStyle name="Accent2 6" xfId="12506" xr:uid="{00000000-0005-0000-0000-0000B9300000}"/>
    <cellStyle name="Accent2 7" xfId="12507" xr:uid="{00000000-0005-0000-0000-0000BA300000}"/>
    <cellStyle name="Accent2 8" xfId="12508" xr:uid="{00000000-0005-0000-0000-0000BB300000}"/>
    <cellStyle name="Accent2 9" xfId="12509" xr:uid="{00000000-0005-0000-0000-0000BC300000}"/>
    <cellStyle name="Accent3" xfId="12510" xr:uid="{00000000-0005-0000-0000-0000BD300000}"/>
    <cellStyle name="Accent3 - 20%" xfId="12511" xr:uid="{00000000-0005-0000-0000-0000BE300000}"/>
    <cellStyle name="Accent3 - 20% 2" xfId="12512" xr:uid="{00000000-0005-0000-0000-0000BF300000}"/>
    <cellStyle name="Accent3 - 40%" xfId="12513" xr:uid="{00000000-0005-0000-0000-0000C0300000}"/>
    <cellStyle name="Accent3 - 40% 2" xfId="12514" xr:uid="{00000000-0005-0000-0000-0000C1300000}"/>
    <cellStyle name="Accent3 - 60%" xfId="12515" xr:uid="{00000000-0005-0000-0000-0000C2300000}"/>
    <cellStyle name="Accent3 - 60% 2" xfId="12516" xr:uid="{00000000-0005-0000-0000-0000C3300000}"/>
    <cellStyle name="Accent3 10" xfId="12517" xr:uid="{00000000-0005-0000-0000-0000C4300000}"/>
    <cellStyle name="Accent3 11" xfId="12518" xr:uid="{00000000-0005-0000-0000-0000C5300000}"/>
    <cellStyle name="Accent3 12" xfId="12519" xr:uid="{00000000-0005-0000-0000-0000C6300000}"/>
    <cellStyle name="Accent3 13" xfId="12520" xr:uid="{00000000-0005-0000-0000-0000C7300000}"/>
    <cellStyle name="Accent3 14" xfId="12521" xr:uid="{00000000-0005-0000-0000-0000C8300000}"/>
    <cellStyle name="Accent3 15" xfId="12522" xr:uid="{00000000-0005-0000-0000-0000C9300000}"/>
    <cellStyle name="Accent3 2" xfId="12523" xr:uid="{00000000-0005-0000-0000-0000CA300000}"/>
    <cellStyle name="Accent3 3" xfId="12524" xr:uid="{00000000-0005-0000-0000-0000CB300000}"/>
    <cellStyle name="Accent3 4" xfId="12525" xr:uid="{00000000-0005-0000-0000-0000CC300000}"/>
    <cellStyle name="Accent3 5" xfId="12526" xr:uid="{00000000-0005-0000-0000-0000CD300000}"/>
    <cellStyle name="Accent3 6" xfId="12527" xr:uid="{00000000-0005-0000-0000-0000CE300000}"/>
    <cellStyle name="Accent3 7" xfId="12528" xr:uid="{00000000-0005-0000-0000-0000CF300000}"/>
    <cellStyle name="Accent3 8" xfId="12529" xr:uid="{00000000-0005-0000-0000-0000D0300000}"/>
    <cellStyle name="Accent3 9" xfId="12530" xr:uid="{00000000-0005-0000-0000-0000D1300000}"/>
    <cellStyle name="Accent4" xfId="12531" xr:uid="{00000000-0005-0000-0000-0000D2300000}"/>
    <cellStyle name="Accent4 - 20%" xfId="12532" xr:uid="{00000000-0005-0000-0000-0000D3300000}"/>
    <cellStyle name="Accent4 - 20% 2" xfId="12533" xr:uid="{00000000-0005-0000-0000-0000D4300000}"/>
    <cellStyle name="Accent4 - 40%" xfId="12534" xr:uid="{00000000-0005-0000-0000-0000D5300000}"/>
    <cellStyle name="Accent4 - 40% 2" xfId="12535" xr:uid="{00000000-0005-0000-0000-0000D6300000}"/>
    <cellStyle name="Accent4 - 60%" xfId="12536" xr:uid="{00000000-0005-0000-0000-0000D7300000}"/>
    <cellStyle name="Accent4 - 60% 2" xfId="12537" xr:uid="{00000000-0005-0000-0000-0000D8300000}"/>
    <cellStyle name="Accent4 10" xfId="12538" xr:uid="{00000000-0005-0000-0000-0000D9300000}"/>
    <cellStyle name="Accent4 11" xfId="12539" xr:uid="{00000000-0005-0000-0000-0000DA300000}"/>
    <cellStyle name="Accent4 12" xfId="12540" xr:uid="{00000000-0005-0000-0000-0000DB300000}"/>
    <cellStyle name="Accent4 13" xfId="12541" xr:uid="{00000000-0005-0000-0000-0000DC300000}"/>
    <cellStyle name="Accent4 14" xfId="12542" xr:uid="{00000000-0005-0000-0000-0000DD300000}"/>
    <cellStyle name="Accent4 15" xfId="12543" xr:uid="{00000000-0005-0000-0000-0000DE300000}"/>
    <cellStyle name="Accent4 2" xfId="12544" xr:uid="{00000000-0005-0000-0000-0000DF300000}"/>
    <cellStyle name="Accent4 3" xfId="12545" xr:uid="{00000000-0005-0000-0000-0000E0300000}"/>
    <cellStyle name="Accent4 4" xfId="12546" xr:uid="{00000000-0005-0000-0000-0000E1300000}"/>
    <cellStyle name="Accent4 5" xfId="12547" xr:uid="{00000000-0005-0000-0000-0000E2300000}"/>
    <cellStyle name="Accent4 6" xfId="12548" xr:uid="{00000000-0005-0000-0000-0000E3300000}"/>
    <cellStyle name="Accent4 7" xfId="12549" xr:uid="{00000000-0005-0000-0000-0000E4300000}"/>
    <cellStyle name="Accent4 8" xfId="12550" xr:uid="{00000000-0005-0000-0000-0000E5300000}"/>
    <cellStyle name="Accent4 9" xfId="12551" xr:uid="{00000000-0005-0000-0000-0000E6300000}"/>
    <cellStyle name="Accent5" xfId="12552" xr:uid="{00000000-0005-0000-0000-0000E7300000}"/>
    <cellStyle name="Accent5 - 20%" xfId="12553" xr:uid="{00000000-0005-0000-0000-0000E8300000}"/>
    <cellStyle name="Accent5 - 20% 2" xfId="12554" xr:uid="{00000000-0005-0000-0000-0000E9300000}"/>
    <cellStyle name="Accent5 - 40%" xfId="12555" xr:uid="{00000000-0005-0000-0000-0000EA300000}"/>
    <cellStyle name="Accent5 - 60%" xfId="12556" xr:uid="{00000000-0005-0000-0000-0000EB300000}"/>
    <cellStyle name="Accent5 - 60% 2" xfId="12557" xr:uid="{00000000-0005-0000-0000-0000EC300000}"/>
    <cellStyle name="Accent5 10" xfId="12558" xr:uid="{00000000-0005-0000-0000-0000ED300000}"/>
    <cellStyle name="Accent5 11" xfId="12559" xr:uid="{00000000-0005-0000-0000-0000EE300000}"/>
    <cellStyle name="Accent5 12" xfId="12560" xr:uid="{00000000-0005-0000-0000-0000EF300000}"/>
    <cellStyle name="Accent5 13" xfId="12561" xr:uid="{00000000-0005-0000-0000-0000F0300000}"/>
    <cellStyle name="Accent5 14" xfId="12562" xr:uid="{00000000-0005-0000-0000-0000F1300000}"/>
    <cellStyle name="Accent5 15" xfId="12563" xr:uid="{00000000-0005-0000-0000-0000F2300000}"/>
    <cellStyle name="Accent5 2" xfId="12564" xr:uid="{00000000-0005-0000-0000-0000F3300000}"/>
    <cellStyle name="Accent5 3" xfId="12565" xr:uid="{00000000-0005-0000-0000-0000F4300000}"/>
    <cellStyle name="Accent5 4" xfId="12566" xr:uid="{00000000-0005-0000-0000-0000F5300000}"/>
    <cellStyle name="Accent5 5" xfId="12567" xr:uid="{00000000-0005-0000-0000-0000F6300000}"/>
    <cellStyle name="Accent5 6" xfId="12568" xr:uid="{00000000-0005-0000-0000-0000F7300000}"/>
    <cellStyle name="Accent5 7" xfId="12569" xr:uid="{00000000-0005-0000-0000-0000F8300000}"/>
    <cellStyle name="Accent5 8" xfId="12570" xr:uid="{00000000-0005-0000-0000-0000F9300000}"/>
    <cellStyle name="Accent5 9" xfId="12571" xr:uid="{00000000-0005-0000-0000-0000FA300000}"/>
    <cellStyle name="Accent6" xfId="12572" xr:uid="{00000000-0005-0000-0000-0000FB300000}"/>
    <cellStyle name="Accent6 - 20%" xfId="12573" xr:uid="{00000000-0005-0000-0000-0000FC300000}"/>
    <cellStyle name="Accent6 - 40%" xfId="12574" xr:uid="{00000000-0005-0000-0000-0000FD300000}"/>
    <cellStyle name="Accent6 - 40% 2" xfId="12575" xr:uid="{00000000-0005-0000-0000-0000FE300000}"/>
    <cellStyle name="Accent6 - 60%" xfId="12576" xr:uid="{00000000-0005-0000-0000-0000FF300000}"/>
    <cellStyle name="Accent6 - 60% 2" xfId="12577" xr:uid="{00000000-0005-0000-0000-000000310000}"/>
    <cellStyle name="Accent6 10" xfId="12578" xr:uid="{00000000-0005-0000-0000-000001310000}"/>
    <cellStyle name="Accent6 11" xfId="12579" xr:uid="{00000000-0005-0000-0000-000002310000}"/>
    <cellStyle name="Accent6 12" xfId="12580" xr:uid="{00000000-0005-0000-0000-000003310000}"/>
    <cellStyle name="Accent6 13" xfId="12581" xr:uid="{00000000-0005-0000-0000-000004310000}"/>
    <cellStyle name="Accent6 14" xfId="12582" xr:uid="{00000000-0005-0000-0000-000005310000}"/>
    <cellStyle name="Accent6 15" xfId="12583" xr:uid="{00000000-0005-0000-0000-000006310000}"/>
    <cellStyle name="Accent6 2" xfId="12584" xr:uid="{00000000-0005-0000-0000-000007310000}"/>
    <cellStyle name="Accent6 3" xfId="12585" xr:uid="{00000000-0005-0000-0000-000008310000}"/>
    <cellStyle name="Accent6 4" xfId="12586" xr:uid="{00000000-0005-0000-0000-000009310000}"/>
    <cellStyle name="Accent6 5" xfId="12587" xr:uid="{00000000-0005-0000-0000-00000A310000}"/>
    <cellStyle name="Accent6 6" xfId="12588" xr:uid="{00000000-0005-0000-0000-00000B310000}"/>
    <cellStyle name="Accent6 7" xfId="12589" xr:uid="{00000000-0005-0000-0000-00000C310000}"/>
    <cellStyle name="Accent6 8" xfId="12590" xr:uid="{00000000-0005-0000-0000-00000D310000}"/>
    <cellStyle name="Accent6 9" xfId="12591" xr:uid="{00000000-0005-0000-0000-00000E310000}"/>
    <cellStyle name="Accounting" xfId="12592" xr:uid="{00000000-0005-0000-0000-00000F310000}"/>
    <cellStyle name="Accounting $" xfId="12593" xr:uid="{00000000-0005-0000-0000-000010310000}"/>
    <cellStyle name="Accounting $ 2" xfId="12594" xr:uid="{00000000-0005-0000-0000-000011310000}"/>
    <cellStyle name="Acctg" xfId="12595" xr:uid="{00000000-0005-0000-0000-000012310000}"/>
    <cellStyle name="Acctg$" xfId="12596" xr:uid="{00000000-0005-0000-0000-000013310000}"/>
    <cellStyle name="active" xfId="12597" xr:uid="{00000000-0005-0000-0000-000014310000}"/>
    <cellStyle name="active 2" xfId="12598" xr:uid="{00000000-0005-0000-0000-000015310000}"/>
    <cellStyle name="active 3" xfId="12599" xr:uid="{00000000-0005-0000-0000-000016310000}"/>
    <cellStyle name="Actual" xfId="12600" xr:uid="{00000000-0005-0000-0000-000017310000}"/>
    <cellStyle name="Actual Date" xfId="12601" xr:uid="{00000000-0005-0000-0000-000018310000}"/>
    <cellStyle name="Actual Date 2" xfId="12602" xr:uid="{00000000-0005-0000-0000-000019310000}"/>
    <cellStyle name="Adjustable" xfId="12603" xr:uid="{00000000-0005-0000-0000-00001A310000}"/>
    <cellStyle name="AFE" xfId="12604" xr:uid="{00000000-0005-0000-0000-00001B310000}"/>
    <cellStyle name="AFE 2" xfId="12605" xr:uid="{00000000-0005-0000-0000-00001C310000}"/>
    <cellStyle name="al (2)" xfId="12606" xr:uid="{00000000-0005-0000-0000-00001D310000}"/>
    <cellStyle name="amount" xfId="12607" xr:uid="{00000000-0005-0000-0000-00001E310000}"/>
    <cellStyle name="ANCLAS,REZONES Y SUS PARTES,DE FUNDICION,DE HIERRO O DE ACERO" xfId="12608" xr:uid="{00000000-0005-0000-0000-00001F310000}"/>
    <cellStyle name="args.style" xfId="12609" xr:uid="{00000000-0005-0000-0000-000020310000}"/>
    <cellStyle name="args.style 10" xfId="12610" xr:uid="{00000000-0005-0000-0000-000021310000}"/>
    <cellStyle name="args.style 11" xfId="12611" xr:uid="{00000000-0005-0000-0000-000022310000}"/>
    <cellStyle name="args.style 12" xfId="12612" xr:uid="{00000000-0005-0000-0000-000023310000}"/>
    <cellStyle name="args.style 13" xfId="12613" xr:uid="{00000000-0005-0000-0000-000024310000}"/>
    <cellStyle name="args.style 14" xfId="12614" xr:uid="{00000000-0005-0000-0000-000025310000}"/>
    <cellStyle name="args.style 15" xfId="12615" xr:uid="{00000000-0005-0000-0000-000026310000}"/>
    <cellStyle name="args.style 16" xfId="12616" xr:uid="{00000000-0005-0000-0000-000027310000}"/>
    <cellStyle name="args.style 17" xfId="12617" xr:uid="{00000000-0005-0000-0000-000028310000}"/>
    <cellStyle name="args.style 18" xfId="12618" xr:uid="{00000000-0005-0000-0000-000029310000}"/>
    <cellStyle name="args.style 19" xfId="12619" xr:uid="{00000000-0005-0000-0000-00002A310000}"/>
    <cellStyle name="args.style 2" xfId="12620" xr:uid="{00000000-0005-0000-0000-00002B310000}"/>
    <cellStyle name="args.style 20" xfId="12621" xr:uid="{00000000-0005-0000-0000-00002C310000}"/>
    <cellStyle name="args.style 21" xfId="12622" xr:uid="{00000000-0005-0000-0000-00002D310000}"/>
    <cellStyle name="args.style 22" xfId="12623" xr:uid="{00000000-0005-0000-0000-00002E310000}"/>
    <cellStyle name="args.style 23" xfId="12624" xr:uid="{00000000-0005-0000-0000-00002F310000}"/>
    <cellStyle name="args.style 24" xfId="12625" xr:uid="{00000000-0005-0000-0000-000030310000}"/>
    <cellStyle name="args.style 25" xfId="12626" xr:uid="{00000000-0005-0000-0000-000031310000}"/>
    <cellStyle name="args.style 26" xfId="12627" xr:uid="{00000000-0005-0000-0000-000032310000}"/>
    <cellStyle name="args.style 27" xfId="12628" xr:uid="{00000000-0005-0000-0000-000033310000}"/>
    <cellStyle name="args.style 28" xfId="12629" xr:uid="{00000000-0005-0000-0000-000034310000}"/>
    <cellStyle name="args.style 29" xfId="12630" xr:uid="{00000000-0005-0000-0000-000035310000}"/>
    <cellStyle name="args.style 3" xfId="12631" xr:uid="{00000000-0005-0000-0000-000036310000}"/>
    <cellStyle name="args.style 30" xfId="12632" xr:uid="{00000000-0005-0000-0000-000037310000}"/>
    <cellStyle name="args.style 31" xfId="12633" xr:uid="{00000000-0005-0000-0000-000038310000}"/>
    <cellStyle name="args.style 32" xfId="12634" xr:uid="{00000000-0005-0000-0000-000039310000}"/>
    <cellStyle name="args.style 33" xfId="12635" xr:uid="{00000000-0005-0000-0000-00003A310000}"/>
    <cellStyle name="args.style 34" xfId="12636" xr:uid="{00000000-0005-0000-0000-00003B310000}"/>
    <cellStyle name="args.style 35" xfId="12637" xr:uid="{00000000-0005-0000-0000-00003C310000}"/>
    <cellStyle name="args.style 36" xfId="12638" xr:uid="{00000000-0005-0000-0000-00003D310000}"/>
    <cellStyle name="args.style 37" xfId="12639" xr:uid="{00000000-0005-0000-0000-00003E310000}"/>
    <cellStyle name="args.style 38" xfId="12640" xr:uid="{00000000-0005-0000-0000-00003F310000}"/>
    <cellStyle name="args.style 39" xfId="12641" xr:uid="{00000000-0005-0000-0000-000040310000}"/>
    <cellStyle name="args.style 4" xfId="12642" xr:uid="{00000000-0005-0000-0000-000041310000}"/>
    <cellStyle name="args.style 5" xfId="12643" xr:uid="{00000000-0005-0000-0000-000042310000}"/>
    <cellStyle name="args.style 6" xfId="12644" xr:uid="{00000000-0005-0000-0000-000043310000}"/>
    <cellStyle name="args.style 7" xfId="12645" xr:uid="{00000000-0005-0000-0000-000044310000}"/>
    <cellStyle name="args.style 8" xfId="12646" xr:uid="{00000000-0005-0000-0000-000045310000}"/>
    <cellStyle name="args.style 9" xfId="12647" xr:uid="{00000000-0005-0000-0000-000046310000}"/>
    <cellStyle name="arial12" xfId="12648" xr:uid="{00000000-0005-0000-0000-000047310000}"/>
    <cellStyle name="arial14" xfId="12649" xr:uid="{00000000-0005-0000-0000-000048310000}"/>
    <cellStyle name="Array" xfId="12650" xr:uid="{00000000-0005-0000-0000-000049310000}"/>
    <cellStyle name="Array Enter" xfId="12651" xr:uid="{00000000-0005-0000-0000-00004A310000}"/>
    <cellStyle name="Array_~1502101" xfId="12652" xr:uid="{00000000-0005-0000-0000-00004B310000}"/>
    <cellStyle name="arzo" xfId="12653" xr:uid="{00000000-0005-0000-0000-00004C310000}"/>
    <cellStyle name="arzo 10" xfId="12654" xr:uid="{00000000-0005-0000-0000-00004D310000}"/>
    <cellStyle name="arzo 11" xfId="12655" xr:uid="{00000000-0005-0000-0000-00004E310000}"/>
    <cellStyle name="arzo 12" xfId="12656" xr:uid="{00000000-0005-0000-0000-00004F310000}"/>
    <cellStyle name="arzo 13" xfId="12657" xr:uid="{00000000-0005-0000-0000-000050310000}"/>
    <cellStyle name="arzo 14" xfId="12658" xr:uid="{00000000-0005-0000-0000-000051310000}"/>
    <cellStyle name="arzo 15" xfId="12659" xr:uid="{00000000-0005-0000-0000-000052310000}"/>
    <cellStyle name="arzo 16" xfId="12660" xr:uid="{00000000-0005-0000-0000-000053310000}"/>
    <cellStyle name="arzo 17" xfId="12661" xr:uid="{00000000-0005-0000-0000-000054310000}"/>
    <cellStyle name="arzo 18" xfId="12662" xr:uid="{00000000-0005-0000-0000-000055310000}"/>
    <cellStyle name="arzo 19" xfId="12663" xr:uid="{00000000-0005-0000-0000-000056310000}"/>
    <cellStyle name="arzo 2" xfId="12664" xr:uid="{00000000-0005-0000-0000-000057310000}"/>
    <cellStyle name="arzo 2 10" xfId="12665" xr:uid="{00000000-0005-0000-0000-000058310000}"/>
    <cellStyle name="arzo 2 11" xfId="12666" xr:uid="{00000000-0005-0000-0000-000059310000}"/>
    <cellStyle name="arzo 2 12" xfId="12667" xr:uid="{00000000-0005-0000-0000-00005A310000}"/>
    <cellStyle name="arzo 2 13" xfId="12668" xr:uid="{00000000-0005-0000-0000-00005B310000}"/>
    <cellStyle name="arzo 2 14" xfId="12669" xr:uid="{00000000-0005-0000-0000-00005C310000}"/>
    <cellStyle name="arzo 2 2" xfId="12670" xr:uid="{00000000-0005-0000-0000-00005D310000}"/>
    <cellStyle name="arzo 2 2 2" xfId="12671" xr:uid="{00000000-0005-0000-0000-00005E310000}"/>
    <cellStyle name="arzo 2 2 3" xfId="12672" xr:uid="{00000000-0005-0000-0000-00005F310000}"/>
    <cellStyle name="arzo 2 2 4" xfId="12673" xr:uid="{00000000-0005-0000-0000-000060310000}"/>
    <cellStyle name="arzo 2 3" xfId="12674" xr:uid="{00000000-0005-0000-0000-000061310000}"/>
    <cellStyle name="arzo 2 4" xfId="12675" xr:uid="{00000000-0005-0000-0000-000062310000}"/>
    <cellStyle name="arzo 2 5" xfId="12676" xr:uid="{00000000-0005-0000-0000-000063310000}"/>
    <cellStyle name="arzo 2 6" xfId="12677" xr:uid="{00000000-0005-0000-0000-000064310000}"/>
    <cellStyle name="arzo 2 7" xfId="12678" xr:uid="{00000000-0005-0000-0000-000065310000}"/>
    <cellStyle name="arzo 2 8" xfId="12679" xr:uid="{00000000-0005-0000-0000-000066310000}"/>
    <cellStyle name="arzo 2 9" xfId="12680" xr:uid="{00000000-0005-0000-0000-000067310000}"/>
    <cellStyle name="arzo 3" xfId="12681" xr:uid="{00000000-0005-0000-0000-000068310000}"/>
    <cellStyle name="arzo 3 10" xfId="12682" xr:uid="{00000000-0005-0000-0000-000069310000}"/>
    <cellStyle name="arzo 3 11" xfId="12683" xr:uid="{00000000-0005-0000-0000-00006A310000}"/>
    <cellStyle name="arzo 3 12" xfId="12684" xr:uid="{00000000-0005-0000-0000-00006B310000}"/>
    <cellStyle name="arzo 3 13" xfId="12685" xr:uid="{00000000-0005-0000-0000-00006C310000}"/>
    <cellStyle name="arzo 3 14" xfId="12686" xr:uid="{00000000-0005-0000-0000-00006D310000}"/>
    <cellStyle name="arzo 3 2" xfId="12687" xr:uid="{00000000-0005-0000-0000-00006E310000}"/>
    <cellStyle name="arzo 3 2 2" xfId="12688" xr:uid="{00000000-0005-0000-0000-00006F310000}"/>
    <cellStyle name="arzo 3 2 3" xfId="12689" xr:uid="{00000000-0005-0000-0000-000070310000}"/>
    <cellStyle name="arzo 3 2 4" xfId="12690" xr:uid="{00000000-0005-0000-0000-000071310000}"/>
    <cellStyle name="arzo 3 3" xfId="12691" xr:uid="{00000000-0005-0000-0000-000072310000}"/>
    <cellStyle name="arzo 3 4" xfId="12692" xr:uid="{00000000-0005-0000-0000-000073310000}"/>
    <cellStyle name="arzo 3 5" xfId="12693" xr:uid="{00000000-0005-0000-0000-000074310000}"/>
    <cellStyle name="arzo 3 6" xfId="12694" xr:uid="{00000000-0005-0000-0000-000075310000}"/>
    <cellStyle name="arzo 3 7" xfId="12695" xr:uid="{00000000-0005-0000-0000-000076310000}"/>
    <cellStyle name="arzo 3 8" xfId="12696" xr:uid="{00000000-0005-0000-0000-000077310000}"/>
    <cellStyle name="arzo 3 9" xfId="12697" xr:uid="{00000000-0005-0000-0000-000078310000}"/>
    <cellStyle name="arzo 4" xfId="12698" xr:uid="{00000000-0005-0000-0000-000079310000}"/>
    <cellStyle name="arzo 4 10" xfId="12699" xr:uid="{00000000-0005-0000-0000-00007A310000}"/>
    <cellStyle name="arzo 4 11" xfId="12700" xr:uid="{00000000-0005-0000-0000-00007B310000}"/>
    <cellStyle name="arzo 4 12" xfId="12701" xr:uid="{00000000-0005-0000-0000-00007C310000}"/>
    <cellStyle name="arzo 4 13" xfId="12702" xr:uid="{00000000-0005-0000-0000-00007D310000}"/>
    <cellStyle name="arzo 4 14" xfId="12703" xr:uid="{00000000-0005-0000-0000-00007E310000}"/>
    <cellStyle name="arzo 4 2" xfId="12704" xr:uid="{00000000-0005-0000-0000-00007F310000}"/>
    <cellStyle name="arzo 4 2 2" xfId="12705" xr:uid="{00000000-0005-0000-0000-000080310000}"/>
    <cellStyle name="arzo 4 2 3" xfId="12706" xr:uid="{00000000-0005-0000-0000-000081310000}"/>
    <cellStyle name="arzo 4 2 4" xfId="12707" xr:uid="{00000000-0005-0000-0000-000082310000}"/>
    <cellStyle name="arzo 4 3" xfId="12708" xr:uid="{00000000-0005-0000-0000-000083310000}"/>
    <cellStyle name="arzo 4 4" xfId="12709" xr:uid="{00000000-0005-0000-0000-000084310000}"/>
    <cellStyle name="arzo 4 5" xfId="12710" xr:uid="{00000000-0005-0000-0000-000085310000}"/>
    <cellStyle name="arzo 4 6" xfId="12711" xr:uid="{00000000-0005-0000-0000-000086310000}"/>
    <cellStyle name="arzo 4 7" xfId="12712" xr:uid="{00000000-0005-0000-0000-000087310000}"/>
    <cellStyle name="arzo 4 8" xfId="12713" xr:uid="{00000000-0005-0000-0000-000088310000}"/>
    <cellStyle name="arzo 4 9" xfId="12714" xr:uid="{00000000-0005-0000-0000-000089310000}"/>
    <cellStyle name="arzo 5" xfId="12715" xr:uid="{00000000-0005-0000-0000-00008A310000}"/>
    <cellStyle name="arzo 5 10" xfId="12716" xr:uid="{00000000-0005-0000-0000-00008B310000}"/>
    <cellStyle name="arzo 5 11" xfId="12717" xr:uid="{00000000-0005-0000-0000-00008C310000}"/>
    <cellStyle name="arzo 5 12" xfId="12718" xr:uid="{00000000-0005-0000-0000-00008D310000}"/>
    <cellStyle name="arzo 5 13" xfId="12719" xr:uid="{00000000-0005-0000-0000-00008E310000}"/>
    <cellStyle name="arzo 5 14" xfId="12720" xr:uid="{00000000-0005-0000-0000-00008F310000}"/>
    <cellStyle name="arzo 5 2" xfId="12721" xr:uid="{00000000-0005-0000-0000-000090310000}"/>
    <cellStyle name="arzo 5 2 2" xfId="12722" xr:uid="{00000000-0005-0000-0000-000091310000}"/>
    <cellStyle name="arzo 5 2 3" xfId="12723" xr:uid="{00000000-0005-0000-0000-000092310000}"/>
    <cellStyle name="arzo 5 2 4" xfId="12724" xr:uid="{00000000-0005-0000-0000-000093310000}"/>
    <cellStyle name="arzo 5 3" xfId="12725" xr:uid="{00000000-0005-0000-0000-000094310000}"/>
    <cellStyle name="arzo 5 4" xfId="12726" xr:uid="{00000000-0005-0000-0000-000095310000}"/>
    <cellStyle name="arzo 5 5" xfId="12727" xr:uid="{00000000-0005-0000-0000-000096310000}"/>
    <cellStyle name="arzo 5 6" xfId="12728" xr:uid="{00000000-0005-0000-0000-000097310000}"/>
    <cellStyle name="arzo 5 7" xfId="12729" xr:uid="{00000000-0005-0000-0000-000098310000}"/>
    <cellStyle name="arzo 5 8" xfId="12730" xr:uid="{00000000-0005-0000-0000-000099310000}"/>
    <cellStyle name="arzo 5 9" xfId="12731" xr:uid="{00000000-0005-0000-0000-00009A310000}"/>
    <cellStyle name="arzo 6" xfId="12732" xr:uid="{00000000-0005-0000-0000-00009B310000}"/>
    <cellStyle name="arzo 6 10" xfId="12733" xr:uid="{00000000-0005-0000-0000-00009C310000}"/>
    <cellStyle name="arzo 6 11" xfId="12734" xr:uid="{00000000-0005-0000-0000-00009D310000}"/>
    <cellStyle name="arzo 6 12" xfId="12735" xr:uid="{00000000-0005-0000-0000-00009E310000}"/>
    <cellStyle name="arzo 6 13" xfId="12736" xr:uid="{00000000-0005-0000-0000-00009F310000}"/>
    <cellStyle name="arzo 6 14" xfId="12737" xr:uid="{00000000-0005-0000-0000-0000A0310000}"/>
    <cellStyle name="arzo 6 2" xfId="12738" xr:uid="{00000000-0005-0000-0000-0000A1310000}"/>
    <cellStyle name="arzo 6 2 2" xfId="12739" xr:uid="{00000000-0005-0000-0000-0000A2310000}"/>
    <cellStyle name="arzo 6 2 3" xfId="12740" xr:uid="{00000000-0005-0000-0000-0000A3310000}"/>
    <cellStyle name="arzo 6 2 4" xfId="12741" xr:uid="{00000000-0005-0000-0000-0000A4310000}"/>
    <cellStyle name="arzo 6 3" xfId="12742" xr:uid="{00000000-0005-0000-0000-0000A5310000}"/>
    <cellStyle name="arzo 6 4" xfId="12743" xr:uid="{00000000-0005-0000-0000-0000A6310000}"/>
    <cellStyle name="arzo 6 5" xfId="12744" xr:uid="{00000000-0005-0000-0000-0000A7310000}"/>
    <cellStyle name="arzo 6 6" xfId="12745" xr:uid="{00000000-0005-0000-0000-0000A8310000}"/>
    <cellStyle name="arzo 6 7" xfId="12746" xr:uid="{00000000-0005-0000-0000-0000A9310000}"/>
    <cellStyle name="arzo 6 8" xfId="12747" xr:uid="{00000000-0005-0000-0000-0000AA310000}"/>
    <cellStyle name="arzo 6 9" xfId="12748" xr:uid="{00000000-0005-0000-0000-0000AB310000}"/>
    <cellStyle name="arzo 7" xfId="12749" xr:uid="{00000000-0005-0000-0000-0000AC310000}"/>
    <cellStyle name="arzo 7 2" xfId="12750" xr:uid="{00000000-0005-0000-0000-0000AD310000}"/>
    <cellStyle name="arzo 7 3" xfId="12751" xr:uid="{00000000-0005-0000-0000-0000AE310000}"/>
    <cellStyle name="arzo 7 4" xfId="12752" xr:uid="{00000000-0005-0000-0000-0000AF310000}"/>
    <cellStyle name="arzo 8" xfId="12753" xr:uid="{00000000-0005-0000-0000-0000B0310000}"/>
    <cellStyle name="arzo 9" xfId="12754" xr:uid="{00000000-0005-0000-0000-0000B1310000}"/>
    <cellStyle name="AÞ¸¶_¾ÆA§AU¾÷" xfId="12755" xr:uid="{00000000-0005-0000-0000-0000B2310000}"/>
    <cellStyle name="AuditErrRangeFormula" xfId="12756" xr:uid="{00000000-0005-0000-0000-0000B3310000}"/>
    <cellStyle name="AuditErrRangeText" xfId="12757" xr:uid="{00000000-0005-0000-0000-0000B4310000}"/>
    <cellStyle name="B" xfId="12758" xr:uid="{00000000-0005-0000-0000-0000B5310000}"/>
    <cellStyle name="B 2" xfId="12759" xr:uid="{00000000-0005-0000-0000-0000B6310000}"/>
    <cellStyle name="B&amp;W" xfId="12760" xr:uid="{00000000-0005-0000-0000-0000B7310000}"/>
    <cellStyle name="B&amp;Wbold" xfId="12761" xr:uid="{00000000-0005-0000-0000-0000B8310000}"/>
    <cellStyle name="b0" xfId="12762" xr:uid="{00000000-0005-0000-0000-0000B9310000}"/>
    <cellStyle name="b0 2" xfId="12763" xr:uid="{00000000-0005-0000-0000-0000BA310000}"/>
    <cellStyle name="b1" xfId="12764" xr:uid="{00000000-0005-0000-0000-0000BB310000}"/>
    <cellStyle name="b1 2" xfId="12765" xr:uid="{00000000-0005-0000-0000-0000BC310000}"/>
    <cellStyle name="b2" xfId="12766" xr:uid="{00000000-0005-0000-0000-0000BD310000}"/>
    <cellStyle name="b3" xfId="12767" xr:uid="{00000000-0005-0000-0000-0000BE310000}"/>
    <cellStyle name="b3 2" xfId="12768" xr:uid="{00000000-0005-0000-0000-0000BF310000}"/>
    <cellStyle name="b4" xfId="12769" xr:uid="{00000000-0005-0000-0000-0000C0310000}"/>
    <cellStyle name="b4 2" xfId="12770" xr:uid="{00000000-0005-0000-0000-0000C1310000}"/>
    <cellStyle name="background" xfId="12771" xr:uid="{00000000-0005-0000-0000-0000C2310000}"/>
    <cellStyle name="Bad" xfId="12772" xr:uid="{00000000-0005-0000-0000-0000C3310000}"/>
    <cellStyle name="Bad 2" xfId="12773" xr:uid="{00000000-0005-0000-0000-0000C4310000}"/>
    <cellStyle name="Bad 3" xfId="12774" xr:uid="{00000000-0005-0000-0000-0000C5310000}"/>
    <cellStyle name="Bad 4" xfId="12775" xr:uid="{00000000-0005-0000-0000-0000C6310000}"/>
    <cellStyle name="Bad 5" xfId="12776" xr:uid="{00000000-0005-0000-0000-0000C7310000}"/>
    <cellStyle name="banner" xfId="12777" xr:uid="{00000000-0005-0000-0000-0000C8310000}"/>
    <cellStyle name="bar" xfId="12778" xr:uid="{00000000-0005-0000-0000-0000C9310000}"/>
    <cellStyle name="Barra" xfId="12779" xr:uid="{00000000-0005-0000-0000-0000CA310000}"/>
    <cellStyle name="BarraMês" xfId="12780" xr:uid="{00000000-0005-0000-0000-0000CB310000}"/>
    <cellStyle name="Benutzer" xfId="12781" xr:uid="{00000000-0005-0000-0000-0000CC310000}"/>
    <cellStyle name="Benutzer 10" xfId="12782" xr:uid="{00000000-0005-0000-0000-0000CD310000}"/>
    <cellStyle name="Benutzer 10 10" xfId="12783" xr:uid="{00000000-0005-0000-0000-0000CE310000}"/>
    <cellStyle name="Benutzer 10 11" xfId="12784" xr:uid="{00000000-0005-0000-0000-0000CF310000}"/>
    <cellStyle name="Benutzer 10 12" xfId="12785" xr:uid="{00000000-0005-0000-0000-0000D0310000}"/>
    <cellStyle name="Benutzer 10 13" xfId="12786" xr:uid="{00000000-0005-0000-0000-0000D1310000}"/>
    <cellStyle name="Benutzer 10 2" xfId="12787" xr:uid="{00000000-0005-0000-0000-0000D2310000}"/>
    <cellStyle name="Benutzer 10 2 10" xfId="12788" xr:uid="{00000000-0005-0000-0000-0000D3310000}"/>
    <cellStyle name="Benutzer 10 2 11" xfId="12789" xr:uid="{00000000-0005-0000-0000-0000D4310000}"/>
    <cellStyle name="Benutzer 10 2 12" xfId="12790" xr:uid="{00000000-0005-0000-0000-0000D5310000}"/>
    <cellStyle name="Benutzer 10 2 2" xfId="12791" xr:uid="{00000000-0005-0000-0000-0000D6310000}"/>
    <cellStyle name="Benutzer 10 2 2 10" xfId="12792" xr:uid="{00000000-0005-0000-0000-0000D7310000}"/>
    <cellStyle name="Benutzer 10 2 2 2" xfId="12793" xr:uid="{00000000-0005-0000-0000-0000D8310000}"/>
    <cellStyle name="Benutzer 10 2 2 3" xfId="12794" xr:uid="{00000000-0005-0000-0000-0000D9310000}"/>
    <cellStyle name="Benutzer 10 2 2 4" xfId="12795" xr:uid="{00000000-0005-0000-0000-0000DA310000}"/>
    <cellStyle name="Benutzer 10 2 2 5" xfId="12796" xr:uid="{00000000-0005-0000-0000-0000DB310000}"/>
    <cellStyle name="Benutzer 10 2 2 6" xfId="12797" xr:uid="{00000000-0005-0000-0000-0000DC310000}"/>
    <cellStyle name="Benutzer 10 2 2 7" xfId="12798" xr:uid="{00000000-0005-0000-0000-0000DD310000}"/>
    <cellStyle name="Benutzer 10 2 2 8" xfId="12799" xr:uid="{00000000-0005-0000-0000-0000DE310000}"/>
    <cellStyle name="Benutzer 10 2 2 9" xfId="12800" xr:uid="{00000000-0005-0000-0000-0000DF310000}"/>
    <cellStyle name="Benutzer 10 2 3" xfId="12801" xr:uid="{00000000-0005-0000-0000-0000E0310000}"/>
    <cellStyle name="Benutzer 10 2 4" xfId="12802" xr:uid="{00000000-0005-0000-0000-0000E1310000}"/>
    <cellStyle name="Benutzer 10 2 5" xfId="12803" xr:uid="{00000000-0005-0000-0000-0000E2310000}"/>
    <cellStyle name="Benutzer 10 2 6" xfId="12804" xr:uid="{00000000-0005-0000-0000-0000E3310000}"/>
    <cellStyle name="Benutzer 10 2 7" xfId="12805" xr:uid="{00000000-0005-0000-0000-0000E4310000}"/>
    <cellStyle name="Benutzer 10 2 8" xfId="12806" xr:uid="{00000000-0005-0000-0000-0000E5310000}"/>
    <cellStyle name="Benutzer 10 2 9" xfId="12807" xr:uid="{00000000-0005-0000-0000-0000E6310000}"/>
    <cellStyle name="Benutzer 10 3" xfId="12808" xr:uid="{00000000-0005-0000-0000-0000E7310000}"/>
    <cellStyle name="Benutzer 10 3 10" xfId="12809" xr:uid="{00000000-0005-0000-0000-0000E8310000}"/>
    <cellStyle name="Benutzer 10 3 11" xfId="12810" xr:uid="{00000000-0005-0000-0000-0000E9310000}"/>
    <cellStyle name="Benutzer 10 3 2" xfId="12811" xr:uid="{00000000-0005-0000-0000-0000EA310000}"/>
    <cellStyle name="Benutzer 10 3 3" xfId="12812" xr:uid="{00000000-0005-0000-0000-0000EB310000}"/>
    <cellStyle name="Benutzer 10 3 4" xfId="12813" xr:uid="{00000000-0005-0000-0000-0000EC310000}"/>
    <cellStyle name="Benutzer 10 3 5" xfId="12814" xr:uid="{00000000-0005-0000-0000-0000ED310000}"/>
    <cellStyle name="Benutzer 10 3 6" xfId="12815" xr:uid="{00000000-0005-0000-0000-0000EE310000}"/>
    <cellStyle name="Benutzer 10 3 7" xfId="12816" xr:uid="{00000000-0005-0000-0000-0000EF310000}"/>
    <cellStyle name="Benutzer 10 3 8" xfId="12817" xr:uid="{00000000-0005-0000-0000-0000F0310000}"/>
    <cellStyle name="Benutzer 10 3 9" xfId="12818" xr:uid="{00000000-0005-0000-0000-0000F1310000}"/>
    <cellStyle name="Benutzer 10 4" xfId="12819" xr:uid="{00000000-0005-0000-0000-0000F2310000}"/>
    <cellStyle name="Benutzer 10 5" xfId="12820" xr:uid="{00000000-0005-0000-0000-0000F3310000}"/>
    <cellStyle name="Benutzer 10 6" xfId="12821" xr:uid="{00000000-0005-0000-0000-0000F4310000}"/>
    <cellStyle name="Benutzer 10 7" xfId="12822" xr:uid="{00000000-0005-0000-0000-0000F5310000}"/>
    <cellStyle name="Benutzer 10 8" xfId="12823" xr:uid="{00000000-0005-0000-0000-0000F6310000}"/>
    <cellStyle name="Benutzer 10 9" xfId="12824" xr:uid="{00000000-0005-0000-0000-0000F7310000}"/>
    <cellStyle name="Benutzer 11" xfId="12825" xr:uid="{00000000-0005-0000-0000-0000F8310000}"/>
    <cellStyle name="Benutzer 11 10" xfId="12826" xr:uid="{00000000-0005-0000-0000-0000F9310000}"/>
    <cellStyle name="Benutzer 11 11" xfId="12827" xr:uid="{00000000-0005-0000-0000-0000FA310000}"/>
    <cellStyle name="Benutzer 11 12" xfId="12828" xr:uid="{00000000-0005-0000-0000-0000FB310000}"/>
    <cellStyle name="Benutzer 11 13" xfId="12829" xr:uid="{00000000-0005-0000-0000-0000FC310000}"/>
    <cellStyle name="Benutzer 11 2" xfId="12830" xr:uid="{00000000-0005-0000-0000-0000FD310000}"/>
    <cellStyle name="Benutzer 11 2 10" xfId="12831" xr:uid="{00000000-0005-0000-0000-0000FE310000}"/>
    <cellStyle name="Benutzer 11 2 11" xfId="12832" xr:uid="{00000000-0005-0000-0000-0000FF310000}"/>
    <cellStyle name="Benutzer 11 2 12" xfId="12833" xr:uid="{00000000-0005-0000-0000-000000320000}"/>
    <cellStyle name="Benutzer 11 2 2" xfId="12834" xr:uid="{00000000-0005-0000-0000-000001320000}"/>
    <cellStyle name="Benutzer 11 2 2 10" xfId="12835" xr:uid="{00000000-0005-0000-0000-000002320000}"/>
    <cellStyle name="Benutzer 11 2 2 2" xfId="12836" xr:uid="{00000000-0005-0000-0000-000003320000}"/>
    <cellStyle name="Benutzer 11 2 2 3" xfId="12837" xr:uid="{00000000-0005-0000-0000-000004320000}"/>
    <cellStyle name="Benutzer 11 2 2 4" xfId="12838" xr:uid="{00000000-0005-0000-0000-000005320000}"/>
    <cellStyle name="Benutzer 11 2 2 5" xfId="12839" xr:uid="{00000000-0005-0000-0000-000006320000}"/>
    <cellStyle name="Benutzer 11 2 2 6" xfId="12840" xr:uid="{00000000-0005-0000-0000-000007320000}"/>
    <cellStyle name="Benutzer 11 2 2 7" xfId="12841" xr:uid="{00000000-0005-0000-0000-000008320000}"/>
    <cellStyle name="Benutzer 11 2 2 8" xfId="12842" xr:uid="{00000000-0005-0000-0000-000009320000}"/>
    <cellStyle name="Benutzer 11 2 2 9" xfId="12843" xr:uid="{00000000-0005-0000-0000-00000A320000}"/>
    <cellStyle name="Benutzer 11 2 3" xfId="12844" xr:uid="{00000000-0005-0000-0000-00000B320000}"/>
    <cellStyle name="Benutzer 11 2 4" xfId="12845" xr:uid="{00000000-0005-0000-0000-00000C320000}"/>
    <cellStyle name="Benutzer 11 2 5" xfId="12846" xr:uid="{00000000-0005-0000-0000-00000D320000}"/>
    <cellStyle name="Benutzer 11 2 6" xfId="12847" xr:uid="{00000000-0005-0000-0000-00000E320000}"/>
    <cellStyle name="Benutzer 11 2 7" xfId="12848" xr:uid="{00000000-0005-0000-0000-00000F320000}"/>
    <cellStyle name="Benutzer 11 2 8" xfId="12849" xr:uid="{00000000-0005-0000-0000-000010320000}"/>
    <cellStyle name="Benutzer 11 2 9" xfId="12850" xr:uid="{00000000-0005-0000-0000-000011320000}"/>
    <cellStyle name="Benutzer 11 3" xfId="12851" xr:uid="{00000000-0005-0000-0000-000012320000}"/>
    <cellStyle name="Benutzer 11 3 10" xfId="12852" xr:uid="{00000000-0005-0000-0000-000013320000}"/>
    <cellStyle name="Benutzer 11 3 11" xfId="12853" xr:uid="{00000000-0005-0000-0000-000014320000}"/>
    <cellStyle name="Benutzer 11 3 2" xfId="12854" xr:uid="{00000000-0005-0000-0000-000015320000}"/>
    <cellStyle name="Benutzer 11 3 3" xfId="12855" xr:uid="{00000000-0005-0000-0000-000016320000}"/>
    <cellStyle name="Benutzer 11 3 4" xfId="12856" xr:uid="{00000000-0005-0000-0000-000017320000}"/>
    <cellStyle name="Benutzer 11 3 5" xfId="12857" xr:uid="{00000000-0005-0000-0000-000018320000}"/>
    <cellStyle name="Benutzer 11 3 6" xfId="12858" xr:uid="{00000000-0005-0000-0000-000019320000}"/>
    <cellStyle name="Benutzer 11 3 7" xfId="12859" xr:uid="{00000000-0005-0000-0000-00001A320000}"/>
    <cellStyle name="Benutzer 11 3 8" xfId="12860" xr:uid="{00000000-0005-0000-0000-00001B320000}"/>
    <cellStyle name="Benutzer 11 3 9" xfId="12861" xr:uid="{00000000-0005-0000-0000-00001C320000}"/>
    <cellStyle name="Benutzer 11 4" xfId="12862" xr:uid="{00000000-0005-0000-0000-00001D320000}"/>
    <cellStyle name="Benutzer 11 5" xfId="12863" xr:uid="{00000000-0005-0000-0000-00001E320000}"/>
    <cellStyle name="Benutzer 11 6" xfId="12864" xr:uid="{00000000-0005-0000-0000-00001F320000}"/>
    <cellStyle name="Benutzer 11 7" xfId="12865" xr:uid="{00000000-0005-0000-0000-000020320000}"/>
    <cellStyle name="Benutzer 11 8" xfId="12866" xr:uid="{00000000-0005-0000-0000-000021320000}"/>
    <cellStyle name="Benutzer 11 9" xfId="12867" xr:uid="{00000000-0005-0000-0000-000022320000}"/>
    <cellStyle name="Benutzer 12" xfId="12868" xr:uid="{00000000-0005-0000-0000-000023320000}"/>
    <cellStyle name="Benutzer 12 10" xfId="12869" xr:uid="{00000000-0005-0000-0000-000024320000}"/>
    <cellStyle name="Benutzer 12 11" xfId="12870" xr:uid="{00000000-0005-0000-0000-000025320000}"/>
    <cellStyle name="Benutzer 12 12" xfId="12871" xr:uid="{00000000-0005-0000-0000-000026320000}"/>
    <cellStyle name="Benutzer 12 13" xfId="12872" xr:uid="{00000000-0005-0000-0000-000027320000}"/>
    <cellStyle name="Benutzer 12 2" xfId="12873" xr:uid="{00000000-0005-0000-0000-000028320000}"/>
    <cellStyle name="Benutzer 12 2 10" xfId="12874" xr:uid="{00000000-0005-0000-0000-000029320000}"/>
    <cellStyle name="Benutzer 12 2 11" xfId="12875" xr:uid="{00000000-0005-0000-0000-00002A320000}"/>
    <cellStyle name="Benutzer 12 2 12" xfId="12876" xr:uid="{00000000-0005-0000-0000-00002B320000}"/>
    <cellStyle name="Benutzer 12 2 2" xfId="12877" xr:uid="{00000000-0005-0000-0000-00002C320000}"/>
    <cellStyle name="Benutzer 12 2 2 10" xfId="12878" xr:uid="{00000000-0005-0000-0000-00002D320000}"/>
    <cellStyle name="Benutzer 12 2 2 2" xfId="12879" xr:uid="{00000000-0005-0000-0000-00002E320000}"/>
    <cellStyle name="Benutzer 12 2 2 3" xfId="12880" xr:uid="{00000000-0005-0000-0000-00002F320000}"/>
    <cellStyle name="Benutzer 12 2 2 4" xfId="12881" xr:uid="{00000000-0005-0000-0000-000030320000}"/>
    <cellStyle name="Benutzer 12 2 2 5" xfId="12882" xr:uid="{00000000-0005-0000-0000-000031320000}"/>
    <cellStyle name="Benutzer 12 2 2 6" xfId="12883" xr:uid="{00000000-0005-0000-0000-000032320000}"/>
    <cellStyle name="Benutzer 12 2 2 7" xfId="12884" xr:uid="{00000000-0005-0000-0000-000033320000}"/>
    <cellStyle name="Benutzer 12 2 2 8" xfId="12885" xr:uid="{00000000-0005-0000-0000-000034320000}"/>
    <cellStyle name="Benutzer 12 2 2 9" xfId="12886" xr:uid="{00000000-0005-0000-0000-000035320000}"/>
    <cellStyle name="Benutzer 12 2 3" xfId="12887" xr:uid="{00000000-0005-0000-0000-000036320000}"/>
    <cellStyle name="Benutzer 12 2 4" xfId="12888" xr:uid="{00000000-0005-0000-0000-000037320000}"/>
    <cellStyle name="Benutzer 12 2 5" xfId="12889" xr:uid="{00000000-0005-0000-0000-000038320000}"/>
    <cellStyle name="Benutzer 12 2 6" xfId="12890" xr:uid="{00000000-0005-0000-0000-000039320000}"/>
    <cellStyle name="Benutzer 12 2 7" xfId="12891" xr:uid="{00000000-0005-0000-0000-00003A320000}"/>
    <cellStyle name="Benutzer 12 2 8" xfId="12892" xr:uid="{00000000-0005-0000-0000-00003B320000}"/>
    <cellStyle name="Benutzer 12 2 9" xfId="12893" xr:uid="{00000000-0005-0000-0000-00003C320000}"/>
    <cellStyle name="Benutzer 12 3" xfId="12894" xr:uid="{00000000-0005-0000-0000-00003D320000}"/>
    <cellStyle name="Benutzer 12 3 10" xfId="12895" xr:uid="{00000000-0005-0000-0000-00003E320000}"/>
    <cellStyle name="Benutzer 12 3 11" xfId="12896" xr:uid="{00000000-0005-0000-0000-00003F320000}"/>
    <cellStyle name="Benutzer 12 3 2" xfId="12897" xr:uid="{00000000-0005-0000-0000-000040320000}"/>
    <cellStyle name="Benutzer 12 3 3" xfId="12898" xr:uid="{00000000-0005-0000-0000-000041320000}"/>
    <cellStyle name="Benutzer 12 3 4" xfId="12899" xr:uid="{00000000-0005-0000-0000-000042320000}"/>
    <cellStyle name="Benutzer 12 3 5" xfId="12900" xr:uid="{00000000-0005-0000-0000-000043320000}"/>
    <cellStyle name="Benutzer 12 3 6" xfId="12901" xr:uid="{00000000-0005-0000-0000-000044320000}"/>
    <cellStyle name="Benutzer 12 3 7" xfId="12902" xr:uid="{00000000-0005-0000-0000-000045320000}"/>
    <cellStyle name="Benutzer 12 3 8" xfId="12903" xr:uid="{00000000-0005-0000-0000-000046320000}"/>
    <cellStyle name="Benutzer 12 3 9" xfId="12904" xr:uid="{00000000-0005-0000-0000-000047320000}"/>
    <cellStyle name="Benutzer 12 4" xfId="12905" xr:uid="{00000000-0005-0000-0000-000048320000}"/>
    <cellStyle name="Benutzer 12 5" xfId="12906" xr:uid="{00000000-0005-0000-0000-000049320000}"/>
    <cellStyle name="Benutzer 12 6" xfId="12907" xr:uid="{00000000-0005-0000-0000-00004A320000}"/>
    <cellStyle name="Benutzer 12 7" xfId="12908" xr:uid="{00000000-0005-0000-0000-00004B320000}"/>
    <cellStyle name="Benutzer 12 8" xfId="12909" xr:uid="{00000000-0005-0000-0000-00004C320000}"/>
    <cellStyle name="Benutzer 12 9" xfId="12910" xr:uid="{00000000-0005-0000-0000-00004D320000}"/>
    <cellStyle name="Benutzer 13" xfId="12911" xr:uid="{00000000-0005-0000-0000-00004E320000}"/>
    <cellStyle name="Benutzer 13 10" xfId="12912" xr:uid="{00000000-0005-0000-0000-00004F320000}"/>
    <cellStyle name="Benutzer 13 11" xfId="12913" xr:uid="{00000000-0005-0000-0000-000050320000}"/>
    <cellStyle name="Benutzer 13 12" xfId="12914" xr:uid="{00000000-0005-0000-0000-000051320000}"/>
    <cellStyle name="Benutzer 13 2" xfId="12915" xr:uid="{00000000-0005-0000-0000-000052320000}"/>
    <cellStyle name="Benutzer 13 2 10" xfId="12916" xr:uid="{00000000-0005-0000-0000-000053320000}"/>
    <cellStyle name="Benutzer 13 2 2" xfId="12917" xr:uid="{00000000-0005-0000-0000-000054320000}"/>
    <cellStyle name="Benutzer 13 2 3" xfId="12918" xr:uid="{00000000-0005-0000-0000-000055320000}"/>
    <cellStyle name="Benutzer 13 2 4" xfId="12919" xr:uid="{00000000-0005-0000-0000-000056320000}"/>
    <cellStyle name="Benutzer 13 2 5" xfId="12920" xr:uid="{00000000-0005-0000-0000-000057320000}"/>
    <cellStyle name="Benutzer 13 2 6" xfId="12921" xr:uid="{00000000-0005-0000-0000-000058320000}"/>
    <cellStyle name="Benutzer 13 2 7" xfId="12922" xr:uid="{00000000-0005-0000-0000-000059320000}"/>
    <cellStyle name="Benutzer 13 2 8" xfId="12923" xr:uid="{00000000-0005-0000-0000-00005A320000}"/>
    <cellStyle name="Benutzer 13 2 9" xfId="12924" xr:uid="{00000000-0005-0000-0000-00005B320000}"/>
    <cellStyle name="Benutzer 13 3" xfId="12925" xr:uid="{00000000-0005-0000-0000-00005C320000}"/>
    <cellStyle name="Benutzer 13 4" xfId="12926" xr:uid="{00000000-0005-0000-0000-00005D320000}"/>
    <cellStyle name="Benutzer 13 5" xfId="12927" xr:uid="{00000000-0005-0000-0000-00005E320000}"/>
    <cellStyle name="Benutzer 13 6" xfId="12928" xr:uid="{00000000-0005-0000-0000-00005F320000}"/>
    <cellStyle name="Benutzer 13 7" xfId="12929" xr:uid="{00000000-0005-0000-0000-000060320000}"/>
    <cellStyle name="Benutzer 13 8" xfId="12930" xr:uid="{00000000-0005-0000-0000-000061320000}"/>
    <cellStyle name="Benutzer 13 9" xfId="12931" xr:uid="{00000000-0005-0000-0000-000062320000}"/>
    <cellStyle name="Benutzer 14" xfId="12932" xr:uid="{00000000-0005-0000-0000-000063320000}"/>
    <cellStyle name="Benutzer 14 10" xfId="12933" xr:uid="{00000000-0005-0000-0000-000064320000}"/>
    <cellStyle name="Benutzer 14 11" xfId="12934" xr:uid="{00000000-0005-0000-0000-000065320000}"/>
    <cellStyle name="Benutzer 14 2" xfId="12935" xr:uid="{00000000-0005-0000-0000-000066320000}"/>
    <cellStyle name="Benutzer 14 3" xfId="12936" xr:uid="{00000000-0005-0000-0000-000067320000}"/>
    <cellStyle name="Benutzer 14 4" xfId="12937" xr:uid="{00000000-0005-0000-0000-000068320000}"/>
    <cellStyle name="Benutzer 14 5" xfId="12938" xr:uid="{00000000-0005-0000-0000-000069320000}"/>
    <cellStyle name="Benutzer 14 6" xfId="12939" xr:uid="{00000000-0005-0000-0000-00006A320000}"/>
    <cellStyle name="Benutzer 14 7" xfId="12940" xr:uid="{00000000-0005-0000-0000-00006B320000}"/>
    <cellStyle name="Benutzer 14 8" xfId="12941" xr:uid="{00000000-0005-0000-0000-00006C320000}"/>
    <cellStyle name="Benutzer 14 9" xfId="12942" xr:uid="{00000000-0005-0000-0000-00006D320000}"/>
    <cellStyle name="Benutzer 15" xfId="12943" xr:uid="{00000000-0005-0000-0000-00006E320000}"/>
    <cellStyle name="Benutzer 16" xfId="12944" xr:uid="{00000000-0005-0000-0000-00006F320000}"/>
    <cellStyle name="Benutzer 17" xfId="12945" xr:uid="{00000000-0005-0000-0000-000070320000}"/>
    <cellStyle name="Benutzer 18" xfId="12946" xr:uid="{00000000-0005-0000-0000-000071320000}"/>
    <cellStyle name="Benutzer 19" xfId="12947" xr:uid="{00000000-0005-0000-0000-000072320000}"/>
    <cellStyle name="Benutzer 2" xfId="12948" xr:uid="{00000000-0005-0000-0000-000073320000}"/>
    <cellStyle name="Benutzer 2 10" xfId="12949" xr:uid="{00000000-0005-0000-0000-000074320000}"/>
    <cellStyle name="Benutzer 2 11" xfId="12950" xr:uid="{00000000-0005-0000-0000-000075320000}"/>
    <cellStyle name="Benutzer 2 12" xfId="12951" xr:uid="{00000000-0005-0000-0000-000076320000}"/>
    <cellStyle name="Benutzer 2 13" xfId="12952" xr:uid="{00000000-0005-0000-0000-000077320000}"/>
    <cellStyle name="Benutzer 2 2" xfId="12953" xr:uid="{00000000-0005-0000-0000-000078320000}"/>
    <cellStyle name="Benutzer 2 2 10" xfId="12954" xr:uid="{00000000-0005-0000-0000-000079320000}"/>
    <cellStyle name="Benutzer 2 2 11" xfId="12955" xr:uid="{00000000-0005-0000-0000-00007A320000}"/>
    <cellStyle name="Benutzer 2 2 12" xfId="12956" xr:uid="{00000000-0005-0000-0000-00007B320000}"/>
    <cellStyle name="Benutzer 2 2 2" xfId="12957" xr:uid="{00000000-0005-0000-0000-00007C320000}"/>
    <cellStyle name="Benutzer 2 2 2 10" xfId="12958" xr:uid="{00000000-0005-0000-0000-00007D320000}"/>
    <cellStyle name="Benutzer 2 2 2 2" xfId="12959" xr:uid="{00000000-0005-0000-0000-00007E320000}"/>
    <cellStyle name="Benutzer 2 2 2 3" xfId="12960" xr:uid="{00000000-0005-0000-0000-00007F320000}"/>
    <cellStyle name="Benutzer 2 2 2 4" xfId="12961" xr:uid="{00000000-0005-0000-0000-000080320000}"/>
    <cellStyle name="Benutzer 2 2 2 5" xfId="12962" xr:uid="{00000000-0005-0000-0000-000081320000}"/>
    <cellStyle name="Benutzer 2 2 2 6" xfId="12963" xr:uid="{00000000-0005-0000-0000-000082320000}"/>
    <cellStyle name="Benutzer 2 2 2 7" xfId="12964" xr:uid="{00000000-0005-0000-0000-000083320000}"/>
    <cellStyle name="Benutzer 2 2 2 8" xfId="12965" xr:uid="{00000000-0005-0000-0000-000084320000}"/>
    <cellStyle name="Benutzer 2 2 2 9" xfId="12966" xr:uid="{00000000-0005-0000-0000-000085320000}"/>
    <cellStyle name="Benutzer 2 2 3" xfId="12967" xr:uid="{00000000-0005-0000-0000-000086320000}"/>
    <cellStyle name="Benutzer 2 2 4" xfId="12968" xr:uid="{00000000-0005-0000-0000-000087320000}"/>
    <cellStyle name="Benutzer 2 2 5" xfId="12969" xr:uid="{00000000-0005-0000-0000-000088320000}"/>
    <cellStyle name="Benutzer 2 2 6" xfId="12970" xr:uid="{00000000-0005-0000-0000-000089320000}"/>
    <cellStyle name="Benutzer 2 2 7" xfId="12971" xr:uid="{00000000-0005-0000-0000-00008A320000}"/>
    <cellStyle name="Benutzer 2 2 8" xfId="12972" xr:uid="{00000000-0005-0000-0000-00008B320000}"/>
    <cellStyle name="Benutzer 2 2 9" xfId="12973" xr:uid="{00000000-0005-0000-0000-00008C320000}"/>
    <cellStyle name="Benutzer 2 3" xfId="12974" xr:uid="{00000000-0005-0000-0000-00008D320000}"/>
    <cellStyle name="Benutzer 2 3 10" xfId="12975" xr:uid="{00000000-0005-0000-0000-00008E320000}"/>
    <cellStyle name="Benutzer 2 3 11" xfId="12976" xr:uid="{00000000-0005-0000-0000-00008F320000}"/>
    <cellStyle name="Benutzer 2 3 2" xfId="12977" xr:uid="{00000000-0005-0000-0000-000090320000}"/>
    <cellStyle name="Benutzer 2 3 3" xfId="12978" xr:uid="{00000000-0005-0000-0000-000091320000}"/>
    <cellStyle name="Benutzer 2 3 4" xfId="12979" xr:uid="{00000000-0005-0000-0000-000092320000}"/>
    <cellStyle name="Benutzer 2 3 5" xfId="12980" xr:uid="{00000000-0005-0000-0000-000093320000}"/>
    <cellStyle name="Benutzer 2 3 6" xfId="12981" xr:uid="{00000000-0005-0000-0000-000094320000}"/>
    <cellStyle name="Benutzer 2 3 7" xfId="12982" xr:uid="{00000000-0005-0000-0000-000095320000}"/>
    <cellStyle name="Benutzer 2 3 8" xfId="12983" xr:uid="{00000000-0005-0000-0000-000096320000}"/>
    <cellStyle name="Benutzer 2 3 9" xfId="12984" xr:uid="{00000000-0005-0000-0000-000097320000}"/>
    <cellStyle name="Benutzer 2 4" xfId="12985" xr:uid="{00000000-0005-0000-0000-000098320000}"/>
    <cellStyle name="Benutzer 2 5" xfId="12986" xr:uid="{00000000-0005-0000-0000-000099320000}"/>
    <cellStyle name="Benutzer 2 6" xfId="12987" xr:uid="{00000000-0005-0000-0000-00009A320000}"/>
    <cellStyle name="Benutzer 2 7" xfId="12988" xr:uid="{00000000-0005-0000-0000-00009B320000}"/>
    <cellStyle name="Benutzer 2 8" xfId="12989" xr:uid="{00000000-0005-0000-0000-00009C320000}"/>
    <cellStyle name="Benutzer 2 9" xfId="12990" xr:uid="{00000000-0005-0000-0000-00009D320000}"/>
    <cellStyle name="Benutzer 20" xfId="12991" xr:uid="{00000000-0005-0000-0000-00009E320000}"/>
    <cellStyle name="Benutzer 21" xfId="12992" xr:uid="{00000000-0005-0000-0000-00009F320000}"/>
    <cellStyle name="Benutzer 22" xfId="12993" xr:uid="{00000000-0005-0000-0000-0000A0320000}"/>
    <cellStyle name="Benutzer 23" xfId="12994" xr:uid="{00000000-0005-0000-0000-0000A1320000}"/>
    <cellStyle name="Benutzer 24" xfId="12995" xr:uid="{00000000-0005-0000-0000-0000A2320000}"/>
    <cellStyle name="Benutzer 3" xfId="12996" xr:uid="{00000000-0005-0000-0000-0000A3320000}"/>
    <cellStyle name="Benutzer 3 10" xfId="12997" xr:uid="{00000000-0005-0000-0000-0000A4320000}"/>
    <cellStyle name="Benutzer 3 11" xfId="12998" xr:uid="{00000000-0005-0000-0000-0000A5320000}"/>
    <cellStyle name="Benutzer 3 12" xfId="12999" xr:uid="{00000000-0005-0000-0000-0000A6320000}"/>
    <cellStyle name="Benutzer 3 13" xfId="13000" xr:uid="{00000000-0005-0000-0000-0000A7320000}"/>
    <cellStyle name="Benutzer 3 2" xfId="13001" xr:uid="{00000000-0005-0000-0000-0000A8320000}"/>
    <cellStyle name="Benutzer 3 2 10" xfId="13002" xr:uid="{00000000-0005-0000-0000-0000A9320000}"/>
    <cellStyle name="Benutzer 3 2 11" xfId="13003" xr:uid="{00000000-0005-0000-0000-0000AA320000}"/>
    <cellStyle name="Benutzer 3 2 12" xfId="13004" xr:uid="{00000000-0005-0000-0000-0000AB320000}"/>
    <cellStyle name="Benutzer 3 2 2" xfId="13005" xr:uid="{00000000-0005-0000-0000-0000AC320000}"/>
    <cellStyle name="Benutzer 3 2 2 10" xfId="13006" xr:uid="{00000000-0005-0000-0000-0000AD320000}"/>
    <cellStyle name="Benutzer 3 2 2 2" xfId="13007" xr:uid="{00000000-0005-0000-0000-0000AE320000}"/>
    <cellStyle name="Benutzer 3 2 2 3" xfId="13008" xr:uid="{00000000-0005-0000-0000-0000AF320000}"/>
    <cellStyle name="Benutzer 3 2 2 4" xfId="13009" xr:uid="{00000000-0005-0000-0000-0000B0320000}"/>
    <cellStyle name="Benutzer 3 2 2 5" xfId="13010" xr:uid="{00000000-0005-0000-0000-0000B1320000}"/>
    <cellStyle name="Benutzer 3 2 2 6" xfId="13011" xr:uid="{00000000-0005-0000-0000-0000B2320000}"/>
    <cellStyle name="Benutzer 3 2 2 7" xfId="13012" xr:uid="{00000000-0005-0000-0000-0000B3320000}"/>
    <cellStyle name="Benutzer 3 2 2 8" xfId="13013" xr:uid="{00000000-0005-0000-0000-0000B4320000}"/>
    <cellStyle name="Benutzer 3 2 2 9" xfId="13014" xr:uid="{00000000-0005-0000-0000-0000B5320000}"/>
    <cellStyle name="Benutzer 3 2 3" xfId="13015" xr:uid="{00000000-0005-0000-0000-0000B6320000}"/>
    <cellStyle name="Benutzer 3 2 4" xfId="13016" xr:uid="{00000000-0005-0000-0000-0000B7320000}"/>
    <cellStyle name="Benutzer 3 2 5" xfId="13017" xr:uid="{00000000-0005-0000-0000-0000B8320000}"/>
    <cellStyle name="Benutzer 3 2 6" xfId="13018" xr:uid="{00000000-0005-0000-0000-0000B9320000}"/>
    <cellStyle name="Benutzer 3 2 7" xfId="13019" xr:uid="{00000000-0005-0000-0000-0000BA320000}"/>
    <cellStyle name="Benutzer 3 2 8" xfId="13020" xr:uid="{00000000-0005-0000-0000-0000BB320000}"/>
    <cellStyle name="Benutzer 3 2 9" xfId="13021" xr:uid="{00000000-0005-0000-0000-0000BC320000}"/>
    <cellStyle name="Benutzer 3 3" xfId="13022" xr:uid="{00000000-0005-0000-0000-0000BD320000}"/>
    <cellStyle name="Benutzer 3 3 10" xfId="13023" xr:uid="{00000000-0005-0000-0000-0000BE320000}"/>
    <cellStyle name="Benutzer 3 3 11" xfId="13024" xr:uid="{00000000-0005-0000-0000-0000BF320000}"/>
    <cellStyle name="Benutzer 3 3 2" xfId="13025" xr:uid="{00000000-0005-0000-0000-0000C0320000}"/>
    <cellStyle name="Benutzer 3 3 3" xfId="13026" xr:uid="{00000000-0005-0000-0000-0000C1320000}"/>
    <cellStyle name="Benutzer 3 3 4" xfId="13027" xr:uid="{00000000-0005-0000-0000-0000C2320000}"/>
    <cellStyle name="Benutzer 3 3 5" xfId="13028" xr:uid="{00000000-0005-0000-0000-0000C3320000}"/>
    <cellStyle name="Benutzer 3 3 6" xfId="13029" xr:uid="{00000000-0005-0000-0000-0000C4320000}"/>
    <cellStyle name="Benutzer 3 3 7" xfId="13030" xr:uid="{00000000-0005-0000-0000-0000C5320000}"/>
    <cellStyle name="Benutzer 3 3 8" xfId="13031" xr:uid="{00000000-0005-0000-0000-0000C6320000}"/>
    <cellStyle name="Benutzer 3 3 9" xfId="13032" xr:uid="{00000000-0005-0000-0000-0000C7320000}"/>
    <cellStyle name="Benutzer 3 4" xfId="13033" xr:uid="{00000000-0005-0000-0000-0000C8320000}"/>
    <cellStyle name="Benutzer 3 5" xfId="13034" xr:uid="{00000000-0005-0000-0000-0000C9320000}"/>
    <cellStyle name="Benutzer 3 6" xfId="13035" xr:uid="{00000000-0005-0000-0000-0000CA320000}"/>
    <cellStyle name="Benutzer 3 7" xfId="13036" xr:uid="{00000000-0005-0000-0000-0000CB320000}"/>
    <cellStyle name="Benutzer 3 8" xfId="13037" xr:uid="{00000000-0005-0000-0000-0000CC320000}"/>
    <cellStyle name="Benutzer 3 9" xfId="13038" xr:uid="{00000000-0005-0000-0000-0000CD320000}"/>
    <cellStyle name="Benutzer 4" xfId="13039" xr:uid="{00000000-0005-0000-0000-0000CE320000}"/>
    <cellStyle name="Benutzer 4 10" xfId="13040" xr:uid="{00000000-0005-0000-0000-0000CF320000}"/>
    <cellStyle name="Benutzer 4 11" xfId="13041" xr:uid="{00000000-0005-0000-0000-0000D0320000}"/>
    <cellStyle name="Benutzer 4 12" xfId="13042" xr:uid="{00000000-0005-0000-0000-0000D1320000}"/>
    <cellStyle name="Benutzer 4 13" xfId="13043" xr:uid="{00000000-0005-0000-0000-0000D2320000}"/>
    <cellStyle name="Benutzer 4 2" xfId="13044" xr:uid="{00000000-0005-0000-0000-0000D3320000}"/>
    <cellStyle name="Benutzer 4 2 10" xfId="13045" xr:uid="{00000000-0005-0000-0000-0000D4320000}"/>
    <cellStyle name="Benutzer 4 2 11" xfId="13046" xr:uid="{00000000-0005-0000-0000-0000D5320000}"/>
    <cellStyle name="Benutzer 4 2 12" xfId="13047" xr:uid="{00000000-0005-0000-0000-0000D6320000}"/>
    <cellStyle name="Benutzer 4 2 2" xfId="13048" xr:uid="{00000000-0005-0000-0000-0000D7320000}"/>
    <cellStyle name="Benutzer 4 2 2 10" xfId="13049" xr:uid="{00000000-0005-0000-0000-0000D8320000}"/>
    <cellStyle name="Benutzer 4 2 2 2" xfId="13050" xr:uid="{00000000-0005-0000-0000-0000D9320000}"/>
    <cellStyle name="Benutzer 4 2 2 3" xfId="13051" xr:uid="{00000000-0005-0000-0000-0000DA320000}"/>
    <cellStyle name="Benutzer 4 2 2 4" xfId="13052" xr:uid="{00000000-0005-0000-0000-0000DB320000}"/>
    <cellStyle name="Benutzer 4 2 2 5" xfId="13053" xr:uid="{00000000-0005-0000-0000-0000DC320000}"/>
    <cellStyle name="Benutzer 4 2 2 6" xfId="13054" xr:uid="{00000000-0005-0000-0000-0000DD320000}"/>
    <cellStyle name="Benutzer 4 2 2 7" xfId="13055" xr:uid="{00000000-0005-0000-0000-0000DE320000}"/>
    <cellStyle name="Benutzer 4 2 2 8" xfId="13056" xr:uid="{00000000-0005-0000-0000-0000DF320000}"/>
    <cellStyle name="Benutzer 4 2 2 9" xfId="13057" xr:uid="{00000000-0005-0000-0000-0000E0320000}"/>
    <cellStyle name="Benutzer 4 2 3" xfId="13058" xr:uid="{00000000-0005-0000-0000-0000E1320000}"/>
    <cellStyle name="Benutzer 4 2 4" xfId="13059" xr:uid="{00000000-0005-0000-0000-0000E2320000}"/>
    <cellStyle name="Benutzer 4 2 5" xfId="13060" xr:uid="{00000000-0005-0000-0000-0000E3320000}"/>
    <cellStyle name="Benutzer 4 2 6" xfId="13061" xr:uid="{00000000-0005-0000-0000-0000E4320000}"/>
    <cellStyle name="Benutzer 4 2 7" xfId="13062" xr:uid="{00000000-0005-0000-0000-0000E5320000}"/>
    <cellStyle name="Benutzer 4 2 8" xfId="13063" xr:uid="{00000000-0005-0000-0000-0000E6320000}"/>
    <cellStyle name="Benutzer 4 2 9" xfId="13064" xr:uid="{00000000-0005-0000-0000-0000E7320000}"/>
    <cellStyle name="Benutzer 4 3" xfId="13065" xr:uid="{00000000-0005-0000-0000-0000E8320000}"/>
    <cellStyle name="Benutzer 4 3 10" xfId="13066" xr:uid="{00000000-0005-0000-0000-0000E9320000}"/>
    <cellStyle name="Benutzer 4 3 11" xfId="13067" xr:uid="{00000000-0005-0000-0000-0000EA320000}"/>
    <cellStyle name="Benutzer 4 3 2" xfId="13068" xr:uid="{00000000-0005-0000-0000-0000EB320000}"/>
    <cellStyle name="Benutzer 4 3 3" xfId="13069" xr:uid="{00000000-0005-0000-0000-0000EC320000}"/>
    <cellStyle name="Benutzer 4 3 4" xfId="13070" xr:uid="{00000000-0005-0000-0000-0000ED320000}"/>
    <cellStyle name="Benutzer 4 3 5" xfId="13071" xr:uid="{00000000-0005-0000-0000-0000EE320000}"/>
    <cellStyle name="Benutzer 4 3 6" xfId="13072" xr:uid="{00000000-0005-0000-0000-0000EF320000}"/>
    <cellStyle name="Benutzer 4 3 7" xfId="13073" xr:uid="{00000000-0005-0000-0000-0000F0320000}"/>
    <cellStyle name="Benutzer 4 3 8" xfId="13074" xr:uid="{00000000-0005-0000-0000-0000F1320000}"/>
    <cellStyle name="Benutzer 4 3 9" xfId="13075" xr:uid="{00000000-0005-0000-0000-0000F2320000}"/>
    <cellStyle name="Benutzer 4 4" xfId="13076" xr:uid="{00000000-0005-0000-0000-0000F3320000}"/>
    <cellStyle name="Benutzer 4 5" xfId="13077" xr:uid="{00000000-0005-0000-0000-0000F4320000}"/>
    <cellStyle name="Benutzer 4 6" xfId="13078" xr:uid="{00000000-0005-0000-0000-0000F5320000}"/>
    <cellStyle name="Benutzer 4 7" xfId="13079" xr:uid="{00000000-0005-0000-0000-0000F6320000}"/>
    <cellStyle name="Benutzer 4 8" xfId="13080" xr:uid="{00000000-0005-0000-0000-0000F7320000}"/>
    <cellStyle name="Benutzer 4 9" xfId="13081" xr:uid="{00000000-0005-0000-0000-0000F8320000}"/>
    <cellStyle name="Benutzer 5" xfId="13082" xr:uid="{00000000-0005-0000-0000-0000F9320000}"/>
    <cellStyle name="Benutzer 5 10" xfId="13083" xr:uid="{00000000-0005-0000-0000-0000FA320000}"/>
    <cellStyle name="Benutzer 5 11" xfId="13084" xr:uid="{00000000-0005-0000-0000-0000FB320000}"/>
    <cellStyle name="Benutzer 5 12" xfId="13085" xr:uid="{00000000-0005-0000-0000-0000FC320000}"/>
    <cellStyle name="Benutzer 5 13" xfId="13086" xr:uid="{00000000-0005-0000-0000-0000FD320000}"/>
    <cellStyle name="Benutzer 5 2" xfId="13087" xr:uid="{00000000-0005-0000-0000-0000FE320000}"/>
    <cellStyle name="Benutzer 5 2 10" xfId="13088" xr:uid="{00000000-0005-0000-0000-0000FF320000}"/>
    <cellStyle name="Benutzer 5 2 11" xfId="13089" xr:uid="{00000000-0005-0000-0000-000000330000}"/>
    <cellStyle name="Benutzer 5 2 12" xfId="13090" xr:uid="{00000000-0005-0000-0000-000001330000}"/>
    <cellStyle name="Benutzer 5 2 2" xfId="13091" xr:uid="{00000000-0005-0000-0000-000002330000}"/>
    <cellStyle name="Benutzer 5 2 2 10" xfId="13092" xr:uid="{00000000-0005-0000-0000-000003330000}"/>
    <cellStyle name="Benutzer 5 2 2 2" xfId="13093" xr:uid="{00000000-0005-0000-0000-000004330000}"/>
    <cellStyle name="Benutzer 5 2 2 3" xfId="13094" xr:uid="{00000000-0005-0000-0000-000005330000}"/>
    <cellStyle name="Benutzer 5 2 2 4" xfId="13095" xr:uid="{00000000-0005-0000-0000-000006330000}"/>
    <cellStyle name="Benutzer 5 2 2 5" xfId="13096" xr:uid="{00000000-0005-0000-0000-000007330000}"/>
    <cellStyle name="Benutzer 5 2 2 6" xfId="13097" xr:uid="{00000000-0005-0000-0000-000008330000}"/>
    <cellStyle name="Benutzer 5 2 2 7" xfId="13098" xr:uid="{00000000-0005-0000-0000-000009330000}"/>
    <cellStyle name="Benutzer 5 2 2 8" xfId="13099" xr:uid="{00000000-0005-0000-0000-00000A330000}"/>
    <cellStyle name="Benutzer 5 2 2 9" xfId="13100" xr:uid="{00000000-0005-0000-0000-00000B330000}"/>
    <cellStyle name="Benutzer 5 2 3" xfId="13101" xr:uid="{00000000-0005-0000-0000-00000C330000}"/>
    <cellStyle name="Benutzer 5 2 4" xfId="13102" xr:uid="{00000000-0005-0000-0000-00000D330000}"/>
    <cellStyle name="Benutzer 5 2 5" xfId="13103" xr:uid="{00000000-0005-0000-0000-00000E330000}"/>
    <cellStyle name="Benutzer 5 2 6" xfId="13104" xr:uid="{00000000-0005-0000-0000-00000F330000}"/>
    <cellStyle name="Benutzer 5 2 7" xfId="13105" xr:uid="{00000000-0005-0000-0000-000010330000}"/>
    <cellStyle name="Benutzer 5 2 8" xfId="13106" xr:uid="{00000000-0005-0000-0000-000011330000}"/>
    <cellStyle name="Benutzer 5 2 9" xfId="13107" xr:uid="{00000000-0005-0000-0000-000012330000}"/>
    <cellStyle name="Benutzer 5 3" xfId="13108" xr:uid="{00000000-0005-0000-0000-000013330000}"/>
    <cellStyle name="Benutzer 5 3 10" xfId="13109" xr:uid="{00000000-0005-0000-0000-000014330000}"/>
    <cellStyle name="Benutzer 5 3 11" xfId="13110" xr:uid="{00000000-0005-0000-0000-000015330000}"/>
    <cellStyle name="Benutzer 5 3 2" xfId="13111" xr:uid="{00000000-0005-0000-0000-000016330000}"/>
    <cellStyle name="Benutzer 5 3 3" xfId="13112" xr:uid="{00000000-0005-0000-0000-000017330000}"/>
    <cellStyle name="Benutzer 5 3 4" xfId="13113" xr:uid="{00000000-0005-0000-0000-000018330000}"/>
    <cellStyle name="Benutzer 5 3 5" xfId="13114" xr:uid="{00000000-0005-0000-0000-000019330000}"/>
    <cellStyle name="Benutzer 5 3 6" xfId="13115" xr:uid="{00000000-0005-0000-0000-00001A330000}"/>
    <cellStyle name="Benutzer 5 3 7" xfId="13116" xr:uid="{00000000-0005-0000-0000-00001B330000}"/>
    <cellStyle name="Benutzer 5 3 8" xfId="13117" xr:uid="{00000000-0005-0000-0000-00001C330000}"/>
    <cellStyle name="Benutzer 5 3 9" xfId="13118" xr:uid="{00000000-0005-0000-0000-00001D330000}"/>
    <cellStyle name="Benutzer 5 4" xfId="13119" xr:uid="{00000000-0005-0000-0000-00001E330000}"/>
    <cellStyle name="Benutzer 5 5" xfId="13120" xr:uid="{00000000-0005-0000-0000-00001F330000}"/>
    <cellStyle name="Benutzer 5 6" xfId="13121" xr:uid="{00000000-0005-0000-0000-000020330000}"/>
    <cellStyle name="Benutzer 5 7" xfId="13122" xr:uid="{00000000-0005-0000-0000-000021330000}"/>
    <cellStyle name="Benutzer 5 8" xfId="13123" xr:uid="{00000000-0005-0000-0000-000022330000}"/>
    <cellStyle name="Benutzer 5 9" xfId="13124" xr:uid="{00000000-0005-0000-0000-000023330000}"/>
    <cellStyle name="Benutzer 6" xfId="13125" xr:uid="{00000000-0005-0000-0000-000024330000}"/>
    <cellStyle name="Benutzer 6 10" xfId="13126" xr:uid="{00000000-0005-0000-0000-000025330000}"/>
    <cellStyle name="Benutzer 6 11" xfId="13127" xr:uid="{00000000-0005-0000-0000-000026330000}"/>
    <cellStyle name="Benutzer 6 12" xfId="13128" xr:uid="{00000000-0005-0000-0000-000027330000}"/>
    <cellStyle name="Benutzer 6 13" xfId="13129" xr:uid="{00000000-0005-0000-0000-000028330000}"/>
    <cellStyle name="Benutzer 6 2" xfId="13130" xr:uid="{00000000-0005-0000-0000-000029330000}"/>
    <cellStyle name="Benutzer 6 2 10" xfId="13131" xr:uid="{00000000-0005-0000-0000-00002A330000}"/>
    <cellStyle name="Benutzer 6 2 11" xfId="13132" xr:uid="{00000000-0005-0000-0000-00002B330000}"/>
    <cellStyle name="Benutzer 6 2 12" xfId="13133" xr:uid="{00000000-0005-0000-0000-00002C330000}"/>
    <cellStyle name="Benutzer 6 2 2" xfId="13134" xr:uid="{00000000-0005-0000-0000-00002D330000}"/>
    <cellStyle name="Benutzer 6 2 2 10" xfId="13135" xr:uid="{00000000-0005-0000-0000-00002E330000}"/>
    <cellStyle name="Benutzer 6 2 2 2" xfId="13136" xr:uid="{00000000-0005-0000-0000-00002F330000}"/>
    <cellStyle name="Benutzer 6 2 2 3" xfId="13137" xr:uid="{00000000-0005-0000-0000-000030330000}"/>
    <cellStyle name="Benutzer 6 2 2 4" xfId="13138" xr:uid="{00000000-0005-0000-0000-000031330000}"/>
    <cellStyle name="Benutzer 6 2 2 5" xfId="13139" xr:uid="{00000000-0005-0000-0000-000032330000}"/>
    <cellStyle name="Benutzer 6 2 2 6" xfId="13140" xr:uid="{00000000-0005-0000-0000-000033330000}"/>
    <cellStyle name="Benutzer 6 2 2 7" xfId="13141" xr:uid="{00000000-0005-0000-0000-000034330000}"/>
    <cellStyle name="Benutzer 6 2 2 8" xfId="13142" xr:uid="{00000000-0005-0000-0000-000035330000}"/>
    <cellStyle name="Benutzer 6 2 2 9" xfId="13143" xr:uid="{00000000-0005-0000-0000-000036330000}"/>
    <cellStyle name="Benutzer 6 2 3" xfId="13144" xr:uid="{00000000-0005-0000-0000-000037330000}"/>
    <cellStyle name="Benutzer 6 2 4" xfId="13145" xr:uid="{00000000-0005-0000-0000-000038330000}"/>
    <cellStyle name="Benutzer 6 2 5" xfId="13146" xr:uid="{00000000-0005-0000-0000-000039330000}"/>
    <cellStyle name="Benutzer 6 2 6" xfId="13147" xr:uid="{00000000-0005-0000-0000-00003A330000}"/>
    <cellStyle name="Benutzer 6 2 7" xfId="13148" xr:uid="{00000000-0005-0000-0000-00003B330000}"/>
    <cellStyle name="Benutzer 6 2 8" xfId="13149" xr:uid="{00000000-0005-0000-0000-00003C330000}"/>
    <cellStyle name="Benutzer 6 2 9" xfId="13150" xr:uid="{00000000-0005-0000-0000-00003D330000}"/>
    <cellStyle name="Benutzer 6 3" xfId="13151" xr:uid="{00000000-0005-0000-0000-00003E330000}"/>
    <cellStyle name="Benutzer 6 3 10" xfId="13152" xr:uid="{00000000-0005-0000-0000-00003F330000}"/>
    <cellStyle name="Benutzer 6 3 11" xfId="13153" xr:uid="{00000000-0005-0000-0000-000040330000}"/>
    <cellStyle name="Benutzer 6 3 2" xfId="13154" xr:uid="{00000000-0005-0000-0000-000041330000}"/>
    <cellStyle name="Benutzer 6 3 3" xfId="13155" xr:uid="{00000000-0005-0000-0000-000042330000}"/>
    <cellStyle name="Benutzer 6 3 4" xfId="13156" xr:uid="{00000000-0005-0000-0000-000043330000}"/>
    <cellStyle name="Benutzer 6 3 5" xfId="13157" xr:uid="{00000000-0005-0000-0000-000044330000}"/>
    <cellStyle name="Benutzer 6 3 6" xfId="13158" xr:uid="{00000000-0005-0000-0000-000045330000}"/>
    <cellStyle name="Benutzer 6 3 7" xfId="13159" xr:uid="{00000000-0005-0000-0000-000046330000}"/>
    <cellStyle name="Benutzer 6 3 8" xfId="13160" xr:uid="{00000000-0005-0000-0000-000047330000}"/>
    <cellStyle name="Benutzer 6 3 9" xfId="13161" xr:uid="{00000000-0005-0000-0000-000048330000}"/>
    <cellStyle name="Benutzer 6 4" xfId="13162" xr:uid="{00000000-0005-0000-0000-000049330000}"/>
    <cellStyle name="Benutzer 6 5" xfId="13163" xr:uid="{00000000-0005-0000-0000-00004A330000}"/>
    <cellStyle name="Benutzer 6 6" xfId="13164" xr:uid="{00000000-0005-0000-0000-00004B330000}"/>
    <cellStyle name="Benutzer 6 7" xfId="13165" xr:uid="{00000000-0005-0000-0000-00004C330000}"/>
    <cellStyle name="Benutzer 6 8" xfId="13166" xr:uid="{00000000-0005-0000-0000-00004D330000}"/>
    <cellStyle name="Benutzer 6 9" xfId="13167" xr:uid="{00000000-0005-0000-0000-00004E330000}"/>
    <cellStyle name="Benutzer 7" xfId="13168" xr:uid="{00000000-0005-0000-0000-00004F330000}"/>
    <cellStyle name="Benutzer 7 10" xfId="13169" xr:uid="{00000000-0005-0000-0000-000050330000}"/>
    <cellStyle name="Benutzer 7 11" xfId="13170" xr:uid="{00000000-0005-0000-0000-000051330000}"/>
    <cellStyle name="Benutzer 7 12" xfId="13171" xr:uid="{00000000-0005-0000-0000-000052330000}"/>
    <cellStyle name="Benutzer 7 13" xfId="13172" xr:uid="{00000000-0005-0000-0000-000053330000}"/>
    <cellStyle name="Benutzer 7 2" xfId="13173" xr:uid="{00000000-0005-0000-0000-000054330000}"/>
    <cellStyle name="Benutzer 7 2 10" xfId="13174" xr:uid="{00000000-0005-0000-0000-000055330000}"/>
    <cellStyle name="Benutzer 7 2 11" xfId="13175" xr:uid="{00000000-0005-0000-0000-000056330000}"/>
    <cellStyle name="Benutzer 7 2 12" xfId="13176" xr:uid="{00000000-0005-0000-0000-000057330000}"/>
    <cellStyle name="Benutzer 7 2 2" xfId="13177" xr:uid="{00000000-0005-0000-0000-000058330000}"/>
    <cellStyle name="Benutzer 7 2 2 10" xfId="13178" xr:uid="{00000000-0005-0000-0000-000059330000}"/>
    <cellStyle name="Benutzer 7 2 2 2" xfId="13179" xr:uid="{00000000-0005-0000-0000-00005A330000}"/>
    <cellStyle name="Benutzer 7 2 2 3" xfId="13180" xr:uid="{00000000-0005-0000-0000-00005B330000}"/>
    <cellStyle name="Benutzer 7 2 2 4" xfId="13181" xr:uid="{00000000-0005-0000-0000-00005C330000}"/>
    <cellStyle name="Benutzer 7 2 2 5" xfId="13182" xr:uid="{00000000-0005-0000-0000-00005D330000}"/>
    <cellStyle name="Benutzer 7 2 2 6" xfId="13183" xr:uid="{00000000-0005-0000-0000-00005E330000}"/>
    <cellStyle name="Benutzer 7 2 2 7" xfId="13184" xr:uid="{00000000-0005-0000-0000-00005F330000}"/>
    <cellStyle name="Benutzer 7 2 2 8" xfId="13185" xr:uid="{00000000-0005-0000-0000-000060330000}"/>
    <cellStyle name="Benutzer 7 2 2 9" xfId="13186" xr:uid="{00000000-0005-0000-0000-000061330000}"/>
    <cellStyle name="Benutzer 7 2 3" xfId="13187" xr:uid="{00000000-0005-0000-0000-000062330000}"/>
    <cellStyle name="Benutzer 7 2 4" xfId="13188" xr:uid="{00000000-0005-0000-0000-000063330000}"/>
    <cellStyle name="Benutzer 7 2 5" xfId="13189" xr:uid="{00000000-0005-0000-0000-000064330000}"/>
    <cellStyle name="Benutzer 7 2 6" xfId="13190" xr:uid="{00000000-0005-0000-0000-000065330000}"/>
    <cellStyle name="Benutzer 7 2 7" xfId="13191" xr:uid="{00000000-0005-0000-0000-000066330000}"/>
    <cellStyle name="Benutzer 7 2 8" xfId="13192" xr:uid="{00000000-0005-0000-0000-000067330000}"/>
    <cellStyle name="Benutzer 7 2 9" xfId="13193" xr:uid="{00000000-0005-0000-0000-000068330000}"/>
    <cellStyle name="Benutzer 7 3" xfId="13194" xr:uid="{00000000-0005-0000-0000-000069330000}"/>
    <cellStyle name="Benutzer 7 3 10" xfId="13195" xr:uid="{00000000-0005-0000-0000-00006A330000}"/>
    <cellStyle name="Benutzer 7 3 11" xfId="13196" xr:uid="{00000000-0005-0000-0000-00006B330000}"/>
    <cellStyle name="Benutzer 7 3 2" xfId="13197" xr:uid="{00000000-0005-0000-0000-00006C330000}"/>
    <cellStyle name="Benutzer 7 3 3" xfId="13198" xr:uid="{00000000-0005-0000-0000-00006D330000}"/>
    <cellStyle name="Benutzer 7 3 4" xfId="13199" xr:uid="{00000000-0005-0000-0000-00006E330000}"/>
    <cellStyle name="Benutzer 7 3 5" xfId="13200" xr:uid="{00000000-0005-0000-0000-00006F330000}"/>
    <cellStyle name="Benutzer 7 3 6" xfId="13201" xr:uid="{00000000-0005-0000-0000-000070330000}"/>
    <cellStyle name="Benutzer 7 3 7" xfId="13202" xr:uid="{00000000-0005-0000-0000-000071330000}"/>
    <cellStyle name="Benutzer 7 3 8" xfId="13203" xr:uid="{00000000-0005-0000-0000-000072330000}"/>
    <cellStyle name="Benutzer 7 3 9" xfId="13204" xr:uid="{00000000-0005-0000-0000-000073330000}"/>
    <cellStyle name="Benutzer 7 4" xfId="13205" xr:uid="{00000000-0005-0000-0000-000074330000}"/>
    <cellStyle name="Benutzer 7 5" xfId="13206" xr:uid="{00000000-0005-0000-0000-000075330000}"/>
    <cellStyle name="Benutzer 7 6" xfId="13207" xr:uid="{00000000-0005-0000-0000-000076330000}"/>
    <cellStyle name="Benutzer 7 7" xfId="13208" xr:uid="{00000000-0005-0000-0000-000077330000}"/>
    <cellStyle name="Benutzer 7 8" xfId="13209" xr:uid="{00000000-0005-0000-0000-000078330000}"/>
    <cellStyle name="Benutzer 7 9" xfId="13210" xr:uid="{00000000-0005-0000-0000-000079330000}"/>
    <cellStyle name="Benutzer 8" xfId="13211" xr:uid="{00000000-0005-0000-0000-00007A330000}"/>
    <cellStyle name="Benutzer 8 10" xfId="13212" xr:uid="{00000000-0005-0000-0000-00007B330000}"/>
    <cellStyle name="Benutzer 8 11" xfId="13213" xr:uid="{00000000-0005-0000-0000-00007C330000}"/>
    <cellStyle name="Benutzer 8 12" xfId="13214" xr:uid="{00000000-0005-0000-0000-00007D330000}"/>
    <cellStyle name="Benutzer 8 13" xfId="13215" xr:uid="{00000000-0005-0000-0000-00007E330000}"/>
    <cellStyle name="Benutzer 8 2" xfId="13216" xr:uid="{00000000-0005-0000-0000-00007F330000}"/>
    <cellStyle name="Benutzer 8 2 10" xfId="13217" xr:uid="{00000000-0005-0000-0000-000080330000}"/>
    <cellStyle name="Benutzer 8 2 11" xfId="13218" xr:uid="{00000000-0005-0000-0000-000081330000}"/>
    <cellStyle name="Benutzer 8 2 12" xfId="13219" xr:uid="{00000000-0005-0000-0000-000082330000}"/>
    <cellStyle name="Benutzer 8 2 2" xfId="13220" xr:uid="{00000000-0005-0000-0000-000083330000}"/>
    <cellStyle name="Benutzer 8 2 2 10" xfId="13221" xr:uid="{00000000-0005-0000-0000-000084330000}"/>
    <cellStyle name="Benutzer 8 2 2 2" xfId="13222" xr:uid="{00000000-0005-0000-0000-000085330000}"/>
    <cellStyle name="Benutzer 8 2 2 3" xfId="13223" xr:uid="{00000000-0005-0000-0000-000086330000}"/>
    <cellStyle name="Benutzer 8 2 2 4" xfId="13224" xr:uid="{00000000-0005-0000-0000-000087330000}"/>
    <cellStyle name="Benutzer 8 2 2 5" xfId="13225" xr:uid="{00000000-0005-0000-0000-000088330000}"/>
    <cellStyle name="Benutzer 8 2 2 6" xfId="13226" xr:uid="{00000000-0005-0000-0000-000089330000}"/>
    <cellStyle name="Benutzer 8 2 2 7" xfId="13227" xr:uid="{00000000-0005-0000-0000-00008A330000}"/>
    <cellStyle name="Benutzer 8 2 2 8" xfId="13228" xr:uid="{00000000-0005-0000-0000-00008B330000}"/>
    <cellStyle name="Benutzer 8 2 2 9" xfId="13229" xr:uid="{00000000-0005-0000-0000-00008C330000}"/>
    <cellStyle name="Benutzer 8 2 3" xfId="13230" xr:uid="{00000000-0005-0000-0000-00008D330000}"/>
    <cellStyle name="Benutzer 8 2 4" xfId="13231" xr:uid="{00000000-0005-0000-0000-00008E330000}"/>
    <cellStyle name="Benutzer 8 2 5" xfId="13232" xr:uid="{00000000-0005-0000-0000-00008F330000}"/>
    <cellStyle name="Benutzer 8 2 6" xfId="13233" xr:uid="{00000000-0005-0000-0000-000090330000}"/>
    <cellStyle name="Benutzer 8 2 7" xfId="13234" xr:uid="{00000000-0005-0000-0000-000091330000}"/>
    <cellStyle name="Benutzer 8 2 8" xfId="13235" xr:uid="{00000000-0005-0000-0000-000092330000}"/>
    <cellStyle name="Benutzer 8 2 9" xfId="13236" xr:uid="{00000000-0005-0000-0000-000093330000}"/>
    <cellStyle name="Benutzer 8 3" xfId="13237" xr:uid="{00000000-0005-0000-0000-000094330000}"/>
    <cellStyle name="Benutzer 8 3 10" xfId="13238" xr:uid="{00000000-0005-0000-0000-000095330000}"/>
    <cellStyle name="Benutzer 8 3 11" xfId="13239" xr:uid="{00000000-0005-0000-0000-000096330000}"/>
    <cellStyle name="Benutzer 8 3 2" xfId="13240" xr:uid="{00000000-0005-0000-0000-000097330000}"/>
    <cellStyle name="Benutzer 8 3 3" xfId="13241" xr:uid="{00000000-0005-0000-0000-000098330000}"/>
    <cellStyle name="Benutzer 8 3 4" xfId="13242" xr:uid="{00000000-0005-0000-0000-000099330000}"/>
    <cellStyle name="Benutzer 8 3 5" xfId="13243" xr:uid="{00000000-0005-0000-0000-00009A330000}"/>
    <cellStyle name="Benutzer 8 3 6" xfId="13244" xr:uid="{00000000-0005-0000-0000-00009B330000}"/>
    <cellStyle name="Benutzer 8 3 7" xfId="13245" xr:uid="{00000000-0005-0000-0000-00009C330000}"/>
    <cellStyle name="Benutzer 8 3 8" xfId="13246" xr:uid="{00000000-0005-0000-0000-00009D330000}"/>
    <cellStyle name="Benutzer 8 3 9" xfId="13247" xr:uid="{00000000-0005-0000-0000-00009E330000}"/>
    <cellStyle name="Benutzer 8 4" xfId="13248" xr:uid="{00000000-0005-0000-0000-00009F330000}"/>
    <cellStyle name="Benutzer 8 5" xfId="13249" xr:uid="{00000000-0005-0000-0000-0000A0330000}"/>
    <cellStyle name="Benutzer 8 6" xfId="13250" xr:uid="{00000000-0005-0000-0000-0000A1330000}"/>
    <cellStyle name="Benutzer 8 7" xfId="13251" xr:uid="{00000000-0005-0000-0000-0000A2330000}"/>
    <cellStyle name="Benutzer 8 8" xfId="13252" xr:uid="{00000000-0005-0000-0000-0000A3330000}"/>
    <cellStyle name="Benutzer 8 9" xfId="13253" xr:uid="{00000000-0005-0000-0000-0000A4330000}"/>
    <cellStyle name="Benutzer 9" xfId="13254" xr:uid="{00000000-0005-0000-0000-0000A5330000}"/>
    <cellStyle name="Benutzer 9 10" xfId="13255" xr:uid="{00000000-0005-0000-0000-0000A6330000}"/>
    <cellStyle name="Benutzer 9 11" xfId="13256" xr:uid="{00000000-0005-0000-0000-0000A7330000}"/>
    <cellStyle name="Benutzer 9 12" xfId="13257" xr:uid="{00000000-0005-0000-0000-0000A8330000}"/>
    <cellStyle name="Benutzer 9 13" xfId="13258" xr:uid="{00000000-0005-0000-0000-0000A9330000}"/>
    <cellStyle name="Benutzer 9 2" xfId="13259" xr:uid="{00000000-0005-0000-0000-0000AA330000}"/>
    <cellStyle name="Benutzer 9 2 10" xfId="13260" xr:uid="{00000000-0005-0000-0000-0000AB330000}"/>
    <cellStyle name="Benutzer 9 2 11" xfId="13261" xr:uid="{00000000-0005-0000-0000-0000AC330000}"/>
    <cellStyle name="Benutzer 9 2 12" xfId="13262" xr:uid="{00000000-0005-0000-0000-0000AD330000}"/>
    <cellStyle name="Benutzer 9 2 2" xfId="13263" xr:uid="{00000000-0005-0000-0000-0000AE330000}"/>
    <cellStyle name="Benutzer 9 2 2 10" xfId="13264" xr:uid="{00000000-0005-0000-0000-0000AF330000}"/>
    <cellStyle name="Benutzer 9 2 2 2" xfId="13265" xr:uid="{00000000-0005-0000-0000-0000B0330000}"/>
    <cellStyle name="Benutzer 9 2 2 3" xfId="13266" xr:uid="{00000000-0005-0000-0000-0000B1330000}"/>
    <cellStyle name="Benutzer 9 2 2 4" xfId="13267" xr:uid="{00000000-0005-0000-0000-0000B2330000}"/>
    <cellStyle name="Benutzer 9 2 2 5" xfId="13268" xr:uid="{00000000-0005-0000-0000-0000B3330000}"/>
    <cellStyle name="Benutzer 9 2 2 6" xfId="13269" xr:uid="{00000000-0005-0000-0000-0000B4330000}"/>
    <cellStyle name="Benutzer 9 2 2 7" xfId="13270" xr:uid="{00000000-0005-0000-0000-0000B5330000}"/>
    <cellStyle name="Benutzer 9 2 2 8" xfId="13271" xr:uid="{00000000-0005-0000-0000-0000B6330000}"/>
    <cellStyle name="Benutzer 9 2 2 9" xfId="13272" xr:uid="{00000000-0005-0000-0000-0000B7330000}"/>
    <cellStyle name="Benutzer 9 2 3" xfId="13273" xr:uid="{00000000-0005-0000-0000-0000B8330000}"/>
    <cellStyle name="Benutzer 9 2 4" xfId="13274" xr:uid="{00000000-0005-0000-0000-0000B9330000}"/>
    <cellStyle name="Benutzer 9 2 5" xfId="13275" xr:uid="{00000000-0005-0000-0000-0000BA330000}"/>
    <cellStyle name="Benutzer 9 2 6" xfId="13276" xr:uid="{00000000-0005-0000-0000-0000BB330000}"/>
    <cellStyle name="Benutzer 9 2 7" xfId="13277" xr:uid="{00000000-0005-0000-0000-0000BC330000}"/>
    <cellStyle name="Benutzer 9 2 8" xfId="13278" xr:uid="{00000000-0005-0000-0000-0000BD330000}"/>
    <cellStyle name="Benutzer 9 2 9" xfId="13279" xr:uid="{00000000-0005-0000-0000-0000BE330000}"/>
    <cellStyle name="Benutzer 9 3" xfId="13280" xr:uid="{00000000-0005-0000-0000-0000BF330000}"/>
    <cellStyle name="Benutzer 9 3 10" xfId="13281" xr:uid="{00000000-0005-0000-0000-0000C0330000}"/>
    <cellStyle name="Benutzer 9 3 11" xfId="13282" xr:uid="{00000000-0005-0000-0000-0000C1330000}"/>
    <cellStyle name="Benutzer 9 3 2" xfId="13283" xr:uid="{00000000-0005-0000-0000-0000C2330000}"/>
    <cellStyle name="Benutzer 9 3 3" xfId="13284" xr:uid="{00000000-0005-0000-0000-0000C3330000}"/>
    <cellStyle name="Benutzer 9 3 4" xfId="13285" xr:uid="{00000000-0005-0000-0000-0000C4330000}"/>
    <cellStyle name="Benutzer 9 3 5" xfId="13286" xr:uid="{00000000-0005-0000-0000-0000C5330000}"/>
    <cellStyle name="Benutzer 9 3 6" xfId="13287" xr:uid="{00000000-0005-0000-0000-0000C6330000}"/>
    <cellStyle name="Benutzer 9 3 7" xfId="13288" xr:uid="{00000000-0005-0000-0000-0000C7330000}"/>
    <cellStyle name="Benutzer 9 3 8" xfId="13289" xr:uid="{00000000-0005-0000-0000-0000C8330000}"/>
    <cellStyle name="Benutzer 9 3 9" xfId="13290" xr:uid="{00000000-0005-0000-0000-0000C9330000}"/>
    <cellStyle name="Benutzer 9 4" xfId="13291" xr:uid="{00000000-0005-0000-0000-0000CA330000}"/>
    <cellStyle name="Benutzer 9 5" xfId="13292" xr:uid="{00000000-0005-0000-0000-0000CB330000}"/>
    <cellStyle name="Benutzer 9 6" xfId="13293" xr:uid="{00000000-0005-0000-0000-0000CC330000}"/>
    <cellStyle name="Benutzer 9 7" xfId="13294" xr:uid="{00000000-0005-0000-0000-0000CD330000}"/>
    <cellStyle name="Benutzer 9 8" xfId="13295" xr:uid="{00000000-0005-0000-0000-0000CE330000}"/>
    <cellStyle name="Benutzer 9 9" xfId="13296" xr:uid="{00000000-0005-0000-0000-0000CF330000}"/>
    <cellStyle name="Betrag" xfId="13297" xr:uid="{00000000-0005-0000-0000-0000D0330000}"/>
    <cellStyle name="Betrag 2" xfId="13298" xr:uid="{00000000-0005-0000-0000-0000D1330000}"/>
    <cellStyle name="BetragS" xfId="13299" xr:uid="{00000000-0005-0000-0000-0000D2330000}"/>
    <cellStyle name="BetragVorjahr" xfId="13300" xr:uid="{00000000-0005-0000-0000-0000D3330000}"/>
    <cellStyle name="Beurteilung" xfId="13301" xr:uid="{00000000-0005-0000-0000-0000D4330000}"/>
    <cellStyle name="BewegArt" xfId="13302" xr:uid="{00000000-0005-0000-0000-0000D5330000}"/>
    <cellStyle name="Bewertung" xfId="13303" xr:uid="{00000000-0005-0000-0000-0000D6330000}"/>
    <cellStyle name="BewertungE" xfId="13304" xr:uid="{00000000-0005-0000-0000-0000D7330000}"/>
    <cellStyle name="BewertungS" xfId="13305" xr:uid="{00000000-0005-0000-0000-0000D8330000}"/>
    <cellStyle name="Bezeichnung" xfId="13306" xr:uid="{00000000-0005-0000-0000-0000D9330000}"/>
    <cellStyle name="Bezeichnung 2" xfId="13307" xr:uid="{00000000-0005-0000-0000-0000DA330000}"/>
    <cellStyle name="BlackStrike" xfId="13308" xr:uid="{00000000-0005-0000-0000-0000DB330000}"/>
    <cellStyle name="BlackText" xfId="13309" xr:uid="{00000000-0005-0000-0000-0000DC330000}"/>
    <cellStyle name="blank" xfId="13310" xr:uid="{00000000-0005-0000-0000-0000DD330000}"/>
    <cellStyle name="Blank [$]" xfId="13311" xr:uid="{00000000-0005-0000-0000-0000DE330000}"/>
    <cellStyle name="Blank [%]" xfId="13312" xr:uid="{00000000-0005-0000-0000-0000DF330000}"/>
    <cellStyle name="Blank [,]" xfId="13313" xr:uid="{00000000-0005-0000-0000-0000E0330000}"/>
    <cellStyle name="Blank [1$]" xfId="13314" xr:uid="{00000000-0005-0000-0000-0000E1330000}"/>
    <cellStyle name="Blank [1$] 2" xfId="13315" xr:uid="{00000000-0005-0000-0000-0000E2330000}"/>
    <cellStyle name="Blank [1%]" xfId="13316" xr:uid="{00000000-0005-0000-0000-0000E3330000}"/>
    <cellStyle name="Blank [1,]" xfId="13317" xr:uid="{00000000-0005-0000-0000-0000E4330000}"/>
    <cellStyle name="Blank [1,] 2" xfId="13318" xr:uid="{00000000-0005-0000-0000-0000E5330000}"/>
    <cellStyle name="Blank [2$]" xfId="13319" xr:uid="{00000000-0005-0000-0000-0000E6330000}"/>
    <cellStyle name="Blank [2%]" xfId="13320" xr:uid="{00000000-0005-0000-0000-0000E7330000}"/>
    <cellStyle name="Blank [2%] 2" xfId="13321" xr:uid="{00000000-0005-0000-0000-0000E8330000}"/>
    <cellStyle name="Blank [2,]" xfId="13322" xr:uid="{00000000-0005-0000-0000-0000E9330000}"/>
    <cellStyle name="Blue" xfId="13323" xr:uid="{00000000-0005-0000-0000-0000EA330000}"/>
    <cellStyle name="bluenodec" xfId="13324" xr:uid="{00000000-0005-0000-0000-0000EB330000}"/>
    <cellStyle name="bluepercent" xfId="13325" xr:uid="{00000000-0005-0000-0000-0000EC330000}"/>
    <cellStyle name="Body" xfId="13326" xr:uid="{00000000-0005-0000-0000-0000ED330000}"/>
    <cellStyle name="Body text" xfId="13327" xr:uid="{00000000-0005-0000-0000-0000EE330000}"/>
    <cellStyle name="Body_$Dollars" xfId="13328" xr:uid="{00000000-0005-0000-0000-0000EF330000}"/>
    <cellStyle name="Bold 11" xfId="13329" xr:uid="{00000000-0005-0000-0000-0000F0330000}"/>
    <cellStyle name="Bold.Sum" xfId="13330" xr:uid="{00000000-0005-0000-0000-0000F1330000}"/>
    <cellStyle name="Bold/Border" xfId="13331" xr:uid="{00000000-0005-0000-0000-0000F2330000}"/>
    <cellStyle name="BoldText" xfId="13332" xr:uid="{00000000-0005-0000-0000-0000F3330000}"/>
    <cellStyle name="bolet" xfId="13333" xr:uid="{00000000-0005-0000-0000-0000F4330000}"/>
    <cellStyle name="Bolivars" xfId="13334" xr:uid="{00000000-0005-0000-0000-0000F5330000}"/>
    <cellStyle name="Bolivars 2" xfId="13335" xr:uid="{00000000-0005-0000-0000-0000F6330000}"/>
    <cellStyle name="BORDA BRANCO" xfId="13336" xr:uid="{00000000-0005-0000-0000-0000F7330000}"/>
    <cellStyle name="BORDA CINZA" xfId="13337" xr:uid="{00000000-0005-0000-0000-0000F8330000}"/>
    <cellStyle name="Border" xfId="13338" xr:uid="{00000000-0005-0000-0000-0000F9330000}"/>
    <cellStyle name="Border 2" xfId="13339" xr:uid="{00000000-0005-0000-0000-0000FA330000}"/>
    <cellStyle name="Border 3" xfId="13340" xr:uid="{00000000-0005-0000-0000-0000FB330000}"/>
    <cellStyle name="Border 4" xfId="13341" xr:uid="{00000000-0005-0000-0000-0000FC330000}"/>
    <cellStyle name="Border 5" xfId="13342" xr:uid="{00000000-0005-0000-0000-0000FD330000}"/>
    <cellStyle name="Border Heavy" xfId="13343" xr:uid="{00000000-0005-0000-0000-0000FE330000}"/>
    <cellStyle name="Border Thin" xfId="13344" xr:uid="{00000000-0005-0000-0000-0000FF330000}"/>
    <cellStyle name="Border_Fenix_Model__(08.30.10)  Lenders" xfId="13345" xr:uid="{00000000-0005-0000-0000-000000340000}"/>
    <cellStyle name="bordi" xfId="13346" xr:uid="{00000000-0005-0000-0000-000001340000}"/>
    <cellStyle name="bordi 10" xfId="13347" xr:uid="{00000000-0005-0000-0000-000002340000}"/>
    <cellStyle name="bordi 10 10" xfId="13348" xr:uid="{00000000-0005-0000-0000-000003340000}"/>
    <cellStyle name="bordi 10 11" xfId="13349" xr:uid="{00000000-0005-0000-0000-000004340000}"/>
    <cellStyle name="bordi 10 12" xfId="13350" xr:uid="{00000000-0005-0000-0000-000005340000}"/>
    <cellStyle name="bordi 10 13" xfId="13351" xr:uid="{00000000-0005-0000-0000-000006340000}"/>
    <cellStyle name="bordi 10 2" xfId="13352" xr:uid="{00000000-0005-0000-0000-000007340000}"/>
    <cellStyle name="bordi 10 2 10" xfId="13353" xr:uid="{00000000-0005-0000-0000-000008340000}"/>
    <cellStyle name="bordi 10 2 11" xfId="13354" xr:uid="{00000000-0005-0000-0000-000009340000}"/>
    <cellStyle name="bordi 10 2 12" xfId="13355" xr:uid="{00000000-0005-0000-0000-00000A340000}"/>
    <cellStyle name="bordi 10 2 2" xfId="13356" xr:uid="{00000000-0005-0000-0000-00000B340000}"/>
    <cellStyle name="bordi 10 2 2 10" xfId="13357" xr:uid="{00000000-0005-0000-0000-00000C340000}"/>
    <cellStyle name="bordi 10 2 2 2" xfId="13358" xr:uid="{00000000-0005-0000-0000-00000D340000}"/>
    <cellStyle name="bordi 10 2 2 3" xfId="13359" xr:uid="{00000000-0005-0000-0000-00000E340000}"/>
    <cellStyle name="bordi 10 2 2 4" xfId="13360" xr:uid="{00000000-0005-0000-0000-00000F340000}"/>
    <cellStyle name="bordi 10 2 2 5" xfId="13361" xr:uid="{00000000-0005-0000-0000-000010340000}"/>
    <cellStyle name="bordi 10 2 2 6" xfId="13362" xr:uid="{00000000-0005-0000-0000-000011340000}"/>
    <cellStyle name="bordi 10 2 2 7" xfId="13363" xr:uid="{00000000-0005-0000-0000-000012340000}"/>
    <cellStyle name="bordi 10 2 2 8" xfId="13364" xr:uid="{00000000-0005-0000-0000-000013340000}"/>
    <cellStyle name="bordi 10 2 2 9" xfId="13365" xr:uid="{00000000-0005-0000-0000-000014340000}"/>
    <cellStyle name="bordi 10 2 3" xfId="13366" xr:uid="{00000000-0005-0000-0000-000015340000}"/>
    <cellStyle name="bordi 10 2 4" xfId="13367" xr:uid="{00000000-0005-0000-0000-000016340000}"/>
    <cellStyle name="bordi 10 2 5" xfId="13368" xr:uid="{00000000-0005-0000-0000-000017340000}"/>
    <cellStyle name="bordi 10 2 6" xfId="13369" xr:uid="{00000000-0005-0000-0000-000018340000}"/>
    <cellStyle name="bordi 10 2 7" xfId="13370" xr:uid="{00000000-0005-0000-0000-000019340000}"/>
    <cellStyle name="bordi 10 2 8" xfId="13371" xr:uid="{00000000-0005-0000-0000-00001A340000}"/>
    <cellStyle name="bordi 10 2 9" xfId="13372" xr:uid="{00000000-0005-0000-0000-00001B340000}"/>
    <cellStyle name="bordi 10 3" xfId="13373" xr:uid="{00000000-0005-0000-0000-00001C340000}"/>
    <cellStyle name="bordi 10 3 10" xfId="13374" xr:uid="{00000000-0005-0000-0000-00001D340000}"/>
    <cellStyle name="bordi 10 3 11" xfId="13375" xr:uid="{00000000-0005-0000-0000-00001E340000}"/>
    <cellStyle name="bordi 10 3 2" xfId="13376" xr:uid="{00000000-0005-0000-0000-00001F340000}"/>
    <cellStyle name="bordi 10 3 3" xfId="13377" xr:uid="{00000000-0005-0000-0000-000020340000}"/>
    <cellStyle name="bordi 10 3 4" xfId="13378" xr:uid="{00000000-0005-0000-0000-000021340000}"/>
    <cellStyle name="bordi 10 3 5" xfId="13379" xr:uid="{00000000-0005-0000-0000-000022340000}"/>
    <cellStyle name="bordi 10 3 6" xfId="13380" xr:uid="{00000000-0005-0000-0000-000023340000}"/>
    <cellStyle name="bordi 10 3 7" xfId="13381" xr:uid="{00000000-0005-0000-0000-000024340000}"/>
    <cellStyle name="bordi 10 3 8" xfId="13382" xr:uid="{00000000-0005-0000-0000-000025340000}"/>
    <cellStyle name="bordi 10 3 9" xfId="13383" xr:uid="{00000000-0005-0000-0000-000026340000}"/>
    <cellStyle name="bordi 10 4" xfId="13384" xr:uid="{00000000-0005-0000-0000-000027340000}"/>
    <cellStyle name="bordi 10 5" xfId="13385" xr:uid="{00000000-0005-0000-0000-000028340000}"/>
    <cellStyle name="bordi 10 6" xfId="13386" xr:uid="{00000000-0005-0000-0000-000029340000}"/>
    <cellStyle name="bordi 10 7" xfId="13387" xr:uid="{00000000-0005-0000-0000-00002A340000}"/>
    <cellStyle name="bordi 10 8" xfId="13388" xr:uid="{00000000-0005-0000-0000-00002B340000}"/>
    <cellStyle name="bordi 10 9" xfId="13389" xr:uid="{00000000-0005-0000-0000-00002C340000}"/>
    <cellStyle name="bordi 11" xfId="13390" xr:uid="{00000000-0005-0000-0000-00002D340000}"/>
    <cellStyle name="bordi 11 10" xfId="13391" xr:uid="{00000000-0005-0000-0000-00002E340000}"/>
    <cellStyle name="bordi 11 11" xfId="13392" xr:uid="{00000000-0005-0000-0000-00002F340000}"/>
    <cellStyle name="bordi 11 12" xfId="13393" xr:uid="{00000000-0005-0000-0000-000030340000}"/>
    <cellStyle name="bordi 11 13" xfId="13394" xr:uid="{00000000-0005-0000-0000-000031340000}"/>
    <cellStyle name="bordi 11 2" xfId="13395" xr:uid="{00000000-0005-0000-0000-000032340000}"/>
    <cellStyle name="bordi 11 2 10" xfId="13396" xr:uid="{00000000-0005-0000-0000-000033340000}"/>
    <cellStyle name="bordi 11 2 11" xfId="13397" xr:uid="{00000000-0005-0000-0000-000034340000}"/>
    <cellStyle name="bordi 11 2 12" xfId="13398" xr:uid="{00000000-0005-0000-0000-000035340000}"/>
    <cellStyle name="bordi 11 2 2" xfId="13399" xr:uid="{00000000-0005-0000-0000-000036340000}"/>
    <cellStyle name="bordi 11 2 2 10" xfId="13400" xr:uid="{00000000-0005-0000-0000-000037340000}"/>
    <cellStyle name="bordi 11 2 2 2" xfId="13401" xr:uid="{00000000-0005-0000-0000-000038340000}"/>
    <cellStyle name="bordi 11 2 2 3" xfId="13402" xr:uid="{00000000-0005-0000-0000-000039340000}"/>
    <cellStyle name="bordi 11 2 2 4" xfId="13403" xr:uid="{00000000-0005-0000-0000-00003A340000}"/>
    <cellStyle name="bordi 11 2 2 5" xfId="13404" xr:uid="{00000000-0005-0000-0000-00003B340000}"/>
    <cellStyle name="bordi 11 2 2 6" xfId="13405" xr:uid="{00000000-0005-0000-0000-00003C340000}"/>
    <cellStyle name="bordi 11 2 2 7" xfId="13406" xr:uid="{00000000-0005-0000-0000-00003D340000}"/>
    <cellStyle name="bordi 11 2 2 8" xfId="13407" xr:uid="{00000000-0005-0000-0000-00003E340000}"/>
    <cellStyle name="bordi 11 2 2 9" xfId="13408" xr:uid="{00000000-0005-0000-0000-00003F340000}"/>
    <cellStyle name="bordi 11 2 3" xfId="13409" xr:uid="{00000000-0005-0000-0000-000040340000}"/>
    <cellStyle name="bordi 11 2 4" xfId="13410" xr:uid="{00000000-0005-0000-0000-000041340000}"/>
    <cellStyle name="bordi 11 2 5" xfId="13411" xr:uid="{00000000-0005-0000-0000-000042340000}"/>
    <cellStyle name="bordi 11 2 6" xfId="13412" xr:uid="{00000000-0005-0000-0000-000043340000}"/>
    <cellStyle name="bordi 11 2 7" xfId="13413" xr:uid="{00000000-0005-0000-0000-000044340000}"/>
    <cellStyle name="bordi 11 2 8" xfId="13414" xr:uid="{00000000-0005-0000-0000-000045340000}"/>
    <cellStyle name="bordi 11 2 9" xfId="13415" xr:uid="{00000000-0005-0000-0000-000046340000}"/>
    <cellStyle name="bordi 11 3" xfId="13416" xr:uid="{00000000-0005-0000-0000-000047340000}"/>
    <cellStyle name="bordi 11 3 10" xfId="13417" xr:uid="{00000000-0005-0000-0000-000048340000}"/>
    <cellStyle name="bordi 11 3 11" xfId="13418" xr:uid="{00000000-0005-0000-0000-000049340000}"/>
    <cellStyle name="bordi 11 3 2" xfId="13419" xr:uid="{00000000-0005-0000-0000-00004A340000}"/>
    <cellStyle name="bordi 11 3 3" xfId="13420" xr:uid="{00000000-0005-0000-0000-00004B340000}"/>
    <cellStyle name="bordi 11 3 4" xfId="13421" xr:uid="{00000000-0005-0000-0000-00004C340000}"/>
    <cellStyle name="bordi 11 3 5" xfId="13422" xr:uid="{00000000-0005-0000-0000-00004D340000}"/>
    <cellStyle name="bordi 11 3 6" xfId="13423" xr:uid="{00000000-0005-0000-0000-00004E340000}"/>
    <cellStyle name="bordi 11 3 7" xfId="13424" xr:uid="{00000000-0005-0000-0000-00004F340000}"/>
    <cellStyle name="bordi 11 3 8" xfId="13425" xr:uid="{00000000-0005-0000-0000-000050340000}"/>
    <cellStyle name="bordi 11 3 9" xfId="13426" xr:uid="{00000000-0005-0000-0000-000051340000}"/>
    <cellStyle name="bordi 11 4" xfId="13427" xr:uid="{00000000-0005-0000-0000-000052340000}"/>
    <cellStyle name="bordi 11 5" xfId="13428" xr:uid="{00000000-0005-0000-0000-000053340000}"/>
    <cellStyle name="bordi 11 6" xfId="13429" xr:uid="{00000000-0005-0000-0000-000054340000}"/>
    <cellStyle name="bordi 11 7" xfId="13430" xr:uid="{00000000-0005-0000-0000-000055340000}"/>
    <cellStyle name="bordi 11 8" xfId="13431" xr:uid="{00000000-0005-0000-0000-000056340000}"/>
    <cellStyle name="bordi 11 9" xfId="13432" xr:uid="{00000000-0005-0000-0000-000057340000}"/>
    <cellStyle name="bordi 12" xfId="13433" xr:uid="{00000000-0005-0000-0000-000058340000}"/>
    <cellStyle name="bordi 12 10" xfId="13434" xr:uid="{00000000-0005-0000-0000-000059340000}"/>
    <cellStyle name="bordi 12 11" xfId="13435" xr:uid="{00000000-0005-0000-0000-00005A340000}"/>
    <cellStyle name="bordi 12 12" xfId="13436" xr:uid="{00000000-0005-0000-0000-00005B340000}"/>
    <cellStyle name="bordi 12 13" xfId="13437" xr:uid="{00000000-0005-0000-0000-00005C340000}"/>
    <cellStyle name="bordi 12 2" xfId="13438" xr:uid="{00000000-0005-0000-0000-00005D340000}"/>
    <cellStyle name="bordi 12 2 10" xfId="13439" xr:uid="{00000000-0005-0000-0000-00005E340000}"/>
    <cellStyle name="bordi 12 2 11" xfId="13440" xr:uid="{00000000-0005-0000-0000-00005F340000}"/>
    <cellStyle name="bordi 12 2 12" xfId="13441" xr:uid="{00000000-0005-0000-0000-000060340000}"/>
    <cellStyle name="bordi 12 2 2" xfId="13442" xr:uid="{00000000-0005-0000-0000-000061340000}"/>
    <cellStyle name="bordi 12 2 2 10" xfId="13443" xr:uid="{00000000-0005-0000-0000-000062340000}"/>
    <cellStyle name="bordi 12 2 2 2" xfId="13444" xr:uid="{00000000-0005-0000-0000-000063340000}"/>
    <cellStyle name="bordi 12 2 2 3" xfId="13445" xr:uid="{00000000-0005-0000-0000-000064340000}"/>
    <cellStyle name="bordi 12 2 2 4" xfId="13446" xr:uid="{00000000-0005-0000-0000-000065340000}"/>
    <cellStyle name="bordi 12 2 2 5" xfId="13447" xr:uid="{00000000-0005-0000-0000-000066340000}"/>
    <cellStyle name="bordi 12 2 2 6" xfId="13448" xr:uid="{00000000-0005-0000-0000-000067340000}"/>
    <cellStyle name="bordi 12 2 2 7" xfId="13449" xr:uid="{00000000-0005-0000-0000-000068340000}"/>
    <cellStyle name="bordi 12 2 2 8" xfId="13450" xr:uid="{00000000-0005-0000-0000-000069340000}"/>
    <cellStyle name="bordi 12 2 2 9" xfId="13451" xr:uid="{00000000-0005-0000-0000-00006A340000}"/>
    <cellStyle name="bordi 12 2 3" xfId="13452" xr:uid="{00000000-0005-0000-0000-00006B340000}"/>
    <cellStyle name="bordi 12 2 4" xfId="13453" xr:uid="{00000000-0005-0000-0000-00006C340000}"/>
    <cellStyle name="bordi 12 2 5" xfId="13454" xr:uid="{00000000-0005-0000-0000-00006D340000}"/>
    <cellStyle name="bordi 12 2 6" xfId="13455" xr:uid="{00000000-0005-0000-0000-00006E340000}"/>
    <cellStyle name="bordi 12 2 7" xfId="13456" xr:uid="{00000000-0005-0000-0000-00006F340000}"/>
    <cellStyle name="bordi 12 2 8" xfId="13457" xr:uid="{00000000-0005-0000-0000-000070340000}"/>
    <cellStyle name="bordi 12 2 9" xfId="13458" xr:uid="{00000000-0005-0000-0000-000071340000}"/>
    <cellStyle name="bordi 12 3" xfId="13459" xr:uid="{00000000-0005-0000-0000-000072340000}"/>
    <cellStyle name="bordi 12 3 10" xfId="13460" xr:uid="{00000000-0005-0000-0000-000073340000}"/>
    <cellStyle name="bordi 12 3 11" xfId="13461" xr:uid="{00000000-0005-0000-0000-000074340000}"/>
    <cellStyle name="bordi 12 3 2" xfId="13462" xr:uid="{00000000-0005-0000-0000-000075340000}"/>
    <cellStyle name="bordi 12 3 3" xfId="13463" xr:uid="{00000000-0005-0000-0000-000076340000}"/>
    <cellStyle name="bordi 12 3 4" xfId="13464" xr:uid="{00000000-0005-0000-0000-000077340000}"/>
    <cellStyle name="bordi 12 3 5" xfId="13465" xr:uid="{00000000-0005-0000-0000-000078340000}"/>
    <cellStyle name="bordi 12 3 6" xfId="13466" xr:uid="{00000000-0005-0000-0000-000079340000}"/>
    <cellStyle name="bordi 12 3 7" xfId="13467" xr:uid="{00000000-0005-0000-0000-00007A340000}"/>
    <cellStyle name="bordi 12 3 8" xfId="13468" xr:uid="{00000000-0005-0000-0000-00007B340000}"/>
    <cellStyle name="bordi 12 3 9" xfId="13469" xr:uid="{00000000-0005-0000-0000-00007C340000}"/>
    <cellStyle name="bordi 12 4" xfId="13470" xr:uid="{00000000-0005-0000-0000-00007D340000}"/>
    <cellStyle name="bordi 12 5" xfId="13471" xr:uid="{00000000-0005-0000-0000-00007E340000}"/>
    <cellStyle name="bordi 12 6" xfId="13472" xr:uid="{00000000-0005-0000-0000-00007F340000}"/>
    <cellStyle name="bordi 12 7" xfId="13473" xr:uid="{00000000-0005-0000-0000-000080340000}"/>
    <cellStyle name="bordi 12 8" xfId="13474" xr:uid="{00000000-0005-0000-0000-000081340000}"/>
    <cellStyle name="bordi 12 9" xfId="13475" xr:uid="{00000000-0005-0000-0000-000082340000}"/>
    <cellStyle name="bordi 13" xfId="13476" xr:uid="{00000000-0005-0000-0000-000083340000}"/>
    <cellStyle name="bordi 13 10" xfId="13477" xr:uid="{00000000-0005-0000-0000-000084340000}"/>
    <cellStyle name="bordi 13 11" xfId="13478" xr:uid="{00000000-0005-0000-0000-000085340000}"/>
    <cellStyle name="bordi 13 12" xfId="13479" xr:uid="{00000000-0005-0000-0000-000086340000}"/>
    <cellStyle name="bordi 13 2" xfId="13480" xr:uid="{00000000-0005-0000-0000-000087340000}"/>
    <cellStyle name="bordi 13 2 10" xfId="13481" xr:uid="{00000000-0005-0000-0000-000088340000}"/>
    <cellStyle name="bordi 13 2 2" xfId="13482" xr:uid="{00000000-0005-0000-0000-000089340000}"/>
    <cellStyle name="bordi 13 2 3" xfId="13483" xr:uid="{00000000-0005-0000-0000-00008A340000}"/>
    <cellStyle name="bordi 13 2 4" xfId="13484" xr:uid="{00000000-0005-0000-0000-00008B340000}"/>
    <cellStyle name="bordi 13 2 5" xfId="13485" xr:uid="{00000000-0005-0000-0000-00008C340000}"/>
    <cellStyle name="bordi 13 2 6" xfId="13486" xr:uid="{00000000-0005-0000-0000-00008D340000}"/>
    <cellStyle name="bordi 13 2 7" xfId="13487" xr:uid="{00000000-0005-0000-0000-00008E340000}"/>
    <cellStyle name="bordi 13 2 8" xfId="13488" xr:uid="{00000000-0005-0000-0000-00008F340000}"/>
    <cellStyle name="bordi 13 2 9" xfId="13489" xr:uid="{00000000-0005-0000-0000-000090340000}"/>
    <cellStyle name="bordi 13 3" xfId="13490" xr:uid="{00000000-0005-0000-0000-000091340000}"/>
    <cellStyle name="bordi 13 4" xfId="13491" xr:uid="{00000000-0005-0000-0000-000092340000}"/>
    <cellStyle name="bordi 13 5" xfId="13492" xr:uid="{00000000-0005-0000-0000-000093340000}"/>
    <cellStyle name="bordi 13 6" xfId="13493" xr:uid="{00000000-0005-0000-0000-000094340000}"/>
    <cellStyle name="bordi 13 7" xfId="13494" xr:uid="{00000000-0005-0000-0000-000095340000}"/>
    <cellStyle name="bordi 13 8" xfId="13495" xr:uid="{00000000-0005-0000-0000-000096340000}"/>
    <cellStyle name="bordi 13 9" xfId="13496" xr:uid="{00000000-0005-0000-0000-000097340000}"/>
    <cellStyle name="bordi 14" xfId="13497" xr:uid="{00000000-0005-0000-0000-000098340000}"/>
    <cellStyle name="bordi 14 10" xfId="13498" xr:uid="{00000000-0005-0000-0000-000099340000}"/>
    <cellStyle name="bordi 14 11" xfId="13499" xr:uid="{00000000-0005-0000-0000-00009A340000}"/>
    <cellStyle name="bordi 14 2" xfId="13500" xr:uid="{00000000-0005-0000-0000-00009B340000}"/>
    <cellStyle name="bordi 14 3" xfId="13501" xr:uid="{00000000-0005-0000-0000-00009C340000}"/>
    <cellStyle name="bordi 14 4" xfId="13502" xr:uid="{00000000-0005-0000-0000-00009D340000}"/>
    <cellStyle name="bordi 14 5" xfId="13503" xr:uid="{00000000-0005-0000-0000-00009E340000}"/>
    <cellStyle name="bordi 14 6" xfId="13504" xr:uid="{00000000-0005-0000-0000-00009F340000}"/>
    <cellStyle name="bordi 14 7" xfId="13505" xr:uid="{00000000-0005-0000-0000-0000A0340000}"/>
    <cellStyle name="bordi 14 8" xfId="13506" xr:uid="{00000000-0005-0000-0000-0000A1340000}"/>
    <cellStyle name="bordi 14 9" xfId="13507" xr:uid="{00000000-0005-0000-0000-0000A2340000}"/>
    <cellStyle name="bordi 15" xfId="13508" xr:uid="{00000000-0005-0000-0000-0000A3340000}"/>
    <cellStyle name="bordi 16" xfId="13509" xr:uid="{00000000-0005-0000-0000-0000A4340000}"/>
    <cellStyle name="bordi 17" xfId="13510" xr:uid="{00000000-0005-0000-0000-0000A5340000}"/>
    <cellStyle name="bordi 18" xfId="13511" xr:uid="{00000000-0005-0000-0000-0000A6340000}"/>
    <cellStyle name="bordi 19" xfId="13512" xr:uid="{00000000-0005-0000-0000-0000A7340000}"/>
    <cellStyle name="bordi 2" xfId="13513" xr:uid="{00000000-0005-0000-0000-0000A8340000}"/>
    <cellStyle name="bordi 2 10" xfId="13514" xr:uid="{00000000-0005-0000-0000-0000A9340000}"/>
    <cellStyle name="bordi 2 11" xfId="13515" xr:uid="{00000000-0005-0000-0000-0000AA340000}"/>
    <cellStyle name="bordi 2 12" xfId="13516" xr:uid="{00000000-0005-0000-0000-0000AB340000}"/>
    <cellStyle name="bordi 2 13" xfId="13517" xr:uid="{00000000-0005-0000-0000-0000AC340000}"/>
    <cellStyle name="bordi 2 2" xfId="13518" xr:uid="{00000000-0005-0000-0000-0000AD340000}"/>
    <cellStyle name="bordi 2 2 10" xfId="13519" xr:uid="{00000000-0005-0000-0000-0000AE340000}"/>
    <cellStyle name="bordi 2 2 11" xfId="13520" xr:uid="{00000000-0005-0000-0000-0000AF340000}"/>
    <cellStyle name="bordi 2 2 12" xfId="13521" xr:uid="{00000000-0005-0000-0000-0000B0340000}"/>
    <cellStyle name="bordi 2 2 2" xfId="13522" xr:uid="{00000000-0005-0000-0000-0000B1340000}"/>
    <cellStyle name="bordi 2 2 2 10" xfId="13523" xr:uid="{00000000-0005-0000-0000-0000B2340000}"/>
    <cellStyle name="bordi 2 2 2 2" xfId="13524" xr:uid="{00000000-0005-0000-0000-0000B3340000}"/>
    <cellStyle name="bordi 2 2 2 3" xfId="13525" xr:uid="{00000000-0005-0000-0000-0000B4340000}"/>
    <cellStyle name="bordi 2 2 2 4" xfId="13526" xr:uid="{00000000-0005-0000-0000-0000B5340000}"/>
    <cellStyle name="bordi 2 2 2 5" xfId="13527" xr:uid="{00000000-0005-0000-0000-0000B6340000}"/>
    <cellStyle name="bordi 2 2 2 6" xfId="13528" xr:uid="{00000000-0005-0000-0000-0000B7340000}"/>
    <cellStyle name="bordi 2 2 2 7" xfId="13529" xr:uid="{00000000-0005-0000-0000-0000B8340000}"/>
    <cellStyle name="bordi 2 2 2 8" xfId="13530" xr:uid="{00000000-0005-0000-0000-0000B9340000}"/>
    <cellStyle name="bordi 2 2 2 9" xfId="13531" xr:uid="{00000000-0005-0000-0000-0000BA340000}"/>
    <cellStyle name="bordi 2 2 3" xfId="13532" xr:uid="{00000000-0005-0000-0000-0000BB340000}"/>
    <cellStyle name="bordi 2 2 4" xfId="13533" xr:uid="{00000000-0005-0000-0000-0000BC340000}"/>
    <cellStyle name="bordi 2 2 5" xfId="13534" xr:uid="{00000000-0005-0000-0000-0000BD340000}"/>
    <cellStyle name="bordi 2 2 6" xfId="13535" xr:uid="{00000000-0005-0000-0000-0000BE340000}"/>
    <cellStyle name="bordi 2 2 7" xfId="13536" xr:uid="{00000000-0005-0000-0000-0000BF340000}"/>
    <cellStyle name="bordi 2 2 8" xfId="13537" xr:uid="{00000000-0005-0000-0000-0000C0340000}"/>
    <cellStyle name="bordi 2 2 9" xfId="13538" xr:uid="{00000000-0005-0000-0000-0000C1340000}"/>
    <cellStyle name="bordi 2 3" xfId="13539" xr:uid="{00000000-0005-0000-0000-0000C2340000}"/>
    <cellStyle name="bordi 2 3 10" xfId="13540" xr:uid="{00000000-0005-0000-0000-0000C3340000}"/>
    <cellStyle name="bordi 2 3 11" xfId="13541" xr:uid="{00000000-0005-0000-0000-0000C4340000}"/>
    <cellStyle name="bordi 2 3 2" xfId="13542" xr:uid="{00000000-0005-0000-0000-0000C5340000}"/>
    <cellStyle name="bordi 2 3 3" xfId="13543" xr:uid="{00000000-0005-0000-0000-0000C6340000}"/>
    <cellStyle name="bordi 2 3 4" xfId="13544" xr:uid="{00000000-0005-0000-0000-0000C7340000}"/>
    <cellStyle name="bordi 2 3 5" xfId="13545" xr:uid="{00000000-0005-0000-0000-0000C8340000}"/>
    <cellStyle name="bordi 2 3 6" xfId="13546" xr:uid="{00000000-0005-0000-0000-0000C9340000}"/>
    <cellStyle name="bordi 2 3 7" xfId="13547" xr:uid="{00000000-0005-0000-0000-0000CA340000}"/>
    <cellStyle name="bordi 2 3 8" xfId="13548" xr:uid="{00000000-0005-0000-0000-0000CB340000}"/>
    <cellStyle name="bordi 2 3 9" xfId="13549" xr:uid="{00000000-0005-0000-0000-0000CC340000}"/>
    <cellStyle name="bordi 2 4" xfId="13550" xr:uid="{00000000-0005-0000-0000-0000CD340000}"/>
    <cellStyle name="bordi 2 5" xfId="13551" xr:uid="{00000000-0005-0000-0000-0000CE340000}"/>
    <cellStyle name="bordi 2 6" xfId="13552" xr:uid="{00000000-0005-0000-0000-0000CF340000}"/>
    <cellStyle name="bordi 2 7" xfId="13553" xr:uid="{00000000-0005-0000-0000-0000D0340000}"/>
    <cellStyle name="bordi 2 8" xfId="13554" xr:uid="{00000000-0005-0000-0000-0000D1340000}"/>
    <cellStyle name="bordi 2 9" xfId="13555" xr:uid="{00000000-0005-0000-0000-0000D2340000}"/>
    <cellStyle name="bordi 20" xfId="13556" xr:uid="{00000000-0005-0000-0000-0000D3340000}"/>
    <cellStyle name="bordi 21" xfId="13557" xr:uid="{00000000-0005-0000-0000-0000D4340000}"/>
    <cellStyle name="bordi 22" xfId="13558" xr:uid="{00000000-0005-0000-0000-0000D5340000}"/>
    <cellStyle name="bordi 23" xfId="13559" xr:uid="{00000000-0005-0000-0000-0000D6340000}"/>
    <cellStyle name="bordi 24" xfId="13560" xr:uid="{00000000-0005-0000-0000-0000D7340000}"/>
    <cellStyle name="bordi 3" xfId="13561" xr:uid="{00000000-0005-0000-0000-0000D8340000}"/>
    <cellStyle name="bordi 3 10" xfId="13562" xr:uid="{00000000-0005-0000-0000-0000D9340000}"/>
    <cellStyle name="bordi 3 11" xfId="13563" xr:uid="{00000000-0005-0000-0000-0000DA340000}"/>
    <cellStyle name="bordi 3 12" xfId="13564" xr:uid="{00000000-0005-0000-0000-0000DB340000}"/>
    <cellStyle name="bordi 3 13" xfId="13565" xr:uid="{00000000-0005-0000-0000-0000DC340000}"/>
    <cellStyle name="bordi 3 2" xfId="13566" xr:uid="{00000000-0005-0000-0000-0000DD340000}"/>
    <cellStyle name="bordi 3 2 10" xfId="13567" xr:uid="{00000000-0005-0000-0000-0000DE340000}"/>
    <cellStyle name="bordi 3 2 11" xfId="13568" xr:uid="{00000000-0005-0000-0000-0000DF340000}"/>
    <cellStyle name="bordi 3 2 12" xfId="13569" xr:uid="{00000000-0005-0000-0000-0000E0340000}"/>
    <cellStyle name="bordi 3 2 2" xfId="13570" xr:uid="{00000000-0005-0000-0000-0000E1340000}"/>
    <cellStyle name="bordi 3 2 2 10" xfId="13571" xr:uid="{00000000-0005-0000-0000-0000E2340000}"/>
    <cellStyle name="bordi 3 2 2 2" xfId="13572" xr:uid="{00000000-0005-0000-0000-0000E3340000}"/>
    <cellStyle name="bordi 3 2 2 3" xfId="13573" xr:uid="{00000000-0005-0000-0000-0000E4340000}"/>
    <cellStyle name="bordi 3 2 2 4" xfId="13574" xr:uid="{00000000-0005-0000-0000-0000E5340000}"/>
    <cellStyle name="bordi 3 2 2 5" xfId="13575" xr:uid="{00000000-0005-0000-0000-0000E6340000}"/>
    <cellStyle name="bordi 3 2 2 6" xfId="13576" xr:uid="{00000000-0005-0000-0000-0000E7340000}"/>
    <cellStyle name="bordi 3 2 2 7" xfId="13577" xr:uid="{00000000-0005-0000-0000-0000E8340000}"/>
    <cellStyle name="bordi 3 2 2 8" xfId="13578" xr:uid="{00000000-0005-0000-0000-0000E9340000}"/>
    <cellStyle name="bordi 3 2 2 9" xfId="13579" xr:uid="{00000000-0005-0000-0000-0000EA340000}"/>
    <cellStyle name="bordi 3 2 3" xfId="13580" xr:uid="{00000000-0005-0000-0000-0000EB340000}"/>
    <cellStyle name="bordi 3 2 4" xfId="13581" xr:uid="{00000000-0005-0000-0000-0000EC340000}"/>
    <cellStyle name="bordi 3 2 5" xfId="13582" xr:uid="{00000000-0005-0000-0000-0000ED340000}"/>
    <cellStyle name="bordi 3 2 6" xfId="13583" xr:uid="{00000000-0005-0000-0000-0000EE340000}"/>
    <cellStyle name="bordi 3 2 7" xfId="13584" xr:uid="{00000000-0005-0000-0000-0000EF340000}"/>
    <cellStyle name="bordi 3 2 8" xfId="13585" xr:uid="{00000000-0005-0000-0000-0000F0340000}"/>
    <cellStyle name="bordi 3 2 9" xfId="13586" xr:uid="{00000000-0005-0000-0000-0000F1340000}"/>
    <cellStyle name="bordi 3 3" xfId="13587" xr:uid="{00000000-0005-0000-0000-0000F2340000}"/>
    <cellStyle name="bordi 3 3 10" xfId="13588" xr:uid="{00000000-0005-0000-0000-0000F3340000}"/>
    <cellStyle name="bordi 3 3 11" xfId="13589" xr:uid="{00000000-0005-0000-0000-0000F4340000}"/>
    <cellStyle name="bordi 3 3 2" xfId="13590" xr:uid="{00000000-0005-0000-0000-0000F5340000}"/>
    <cellStyle name="bordi 3 3 3" xfId="13591" xr:uid="{00000000-0005-0000-0000-0000F6340000}"/>
    <cellStyle name="bordi 3 3 4" xfId="13592" xr:uid="{00000000-0005-0000-0000-0000F7340000}"/>
    <cellStyle name="bordi 3 3 5" xfId="13593" xr:uid="{00000000-0005-0000-0000-0000F8340000}"/>
    <cellStyle name="bordi 3 3 6" xfId="13594" xr:uid="{00000000-0005-0000-0000-0000F9340000}"/>
    <cellStyle name="bordi 3 3 7" xfId="13595" xr:uid="{00000000-0005-0000-0000-0000FA340000}"/>
    <cellStyle name="bordi 3 3 8" xfId="13596" xr:uid="{00000000-0005-0000-0000-0000FB340000}"/>
    <cellStyle name="bordi 3 3 9" xfId="13597" xr:uid="{00000000-0005-0000-0000-0000FC340000}"/>
    <cellStyle name="bordi 3 4" xfId="13598" xr:uid="{00000000-0005-0000-0000-0000FD340000}"/>
    <cellStyle name="bordi 3 5" xfId="13599" xr:uid="{00000000-0005-0000-0000-0000FE340000}"/>
    <cellStyle name="bordi 3 6" xfId="13600" xr:uid="{00000000-0005-0000-0000-0000FF340000}"/>
    <cellStyle name="bordi 3 7" xfId="13601" xr:uid="{00000000-0005-0000-0000-000000350000}"/>
    <cellStyle name="bordi 3 8" xfId="13602" xr:uid="{00000000-0005-0000-0000-000001350000}"/>
    <cellStyle name="bordi 3 9" xfId="13603" xr:uid="{00000000-0005-0000-0000-000002350000}"/>
    <cellStyle name="bordi 4" xfId="13604" xr:uid="{00000000-0005-0000-0000-000003350000}"/>
    <cellStyle name="bordi 4 10" xfId="13605" xr:uid="{00000000-0005-0000-0000-000004350000}"/>
    <cellStyle name="bordi 4 11" xfId="13606" xr:uid="{00000000-0005-0000-0000-000005350000}"/>
    <cellStyle name="bordi 4 12" xfId="13607" xr:uid="{00000000-0005-0000-0000-000006350000}"/>
    <cellStyle name="bordi 4 13" xfId="13608" xr:uid="{00000000-0005-0000-0000-000007350000}"/>
    <cellStyle name="bordi 4 2" xfId="13609" xr:uid="{00000000-0005-0000-0000-000008350000}"/>
    <cellStyle name="bordi 4 2 10" xfId="13610" xr:uid="{00000000-0005-0000-0000-000009350000}"/>
    <cellStyle name="bordi 4 2 11" xfId="13611" xr:uid="{00000000-0005-0000-0000-00000A350000}"/>
    <cellStyle name="bordi 4 2 12" xfId="13612" xr:uid="{00000000-0005-0000-0000-00000B350000}"/>
    <cellStyle name="bordi 4 2 2" xfId="13613" xr:uid="{00000000-0005-0000-0000-00000C350000}"/>
    <cellStyle name="bordi 4 2 2 10" xfId="13614" xr:uid="{00000000-0005-0000-0000-00000D350000}"/>
    <cellStyle name="bordi 4 2 2 2" xfId="13615" xr:uid="{00000000-0005-0000-0000-00000E350000}"/>
    <cellStyle name="bordi 4 2 2 3" xfId="13616" xr:uid="{00000000-0005-0000-0000-00000F350000}"/>
    <cellStyle name="bordi 4 2 2 4" xfId="13617" xr:uid="{00000000-0005-0000-0000-000010350000}"/>
    <cellStyle name="bordi 4 2 2 5" xfId="13618" xr:uid="{00000000-0005-0000-0000-000011350000}"/>
    <cellStyle name="bordi 4 2 2 6" xfId="13619" xr:uid="{00000000-0005-0000-0000-000012350000}"/>
    <cellStyle name="bordi 4 2 2 7" xfId="13620" xr:uid="{00000000-0005-0000-0000-000013350000}"/>
    <cellStyle name="bordi 4 2 2 8" xfId="13621" xr:uid="{00000000-0005-0000-0000-000014350000}"/>
    <cellStyle name="bordi 4 2 2 9" xfId="13622" xr:uid="{00000000-0005-0000-0000-000015350000}"/>
    <cellStyle name="bordi 4 2 3" xfId="13623" xr:uid="{00000000-0005-0000-0000-000016350000}"/>
    <cellStyle name="bordi 4 2 4" xfId="13624" xr:uid="{00000000-0005-0000-0000-000017350000}"/>
    <cellStyle name="bordi 4 2 5" xfId="13625" xr:uid="{00000000-0005-0000-0000-000018350000}"/>
    <cellStyle name="bordi 4 2 6" xfId="13626" xr:uid="{00000000-0005-0000-0000-000019350000}"/>
    <cellStyle name="bordi 4 2 7" xfId="13627" xr:uid="{00000000-0005-0000-0000-00001A350000}"/>
    <cellStyle name="bordi 4 2 8" xfId="13628" xr:uid="{00000000-0005-0000-0000-00001B350000}"/>
    <cellStyle name="bordi 4 2 9" xfId="13629" xr:uid="{00000000-0005-0000-0000-00001C350000}"/>
    <cellStyle name="bordi 4 3" xfId="13630" xr:uid="{00000000-0005-0000-0000-00001D350000}"/>
    <cellStyle name="bordi 4 3 10" xfId="13631" xr:uid="{00000000-0005-0000-0000-00001E350000}"/>
    <cellStyle name="bordi 4 3 11" xfId="13632" xr:uid="{00000000-0005-0000-0000-00001F350000}"/>
    <cellStyle name="bordi 4 3 2" xfId="13633" xr:uid="{00000000-0005-0000-0000-000020350000}"/>
    <cellStyle name="bordi 4 3 3" xfId="13634" xr:uid="{00000000-0005-0000-0000-000021350000}"/>
    <cellStyle name="bordi 4 3 4" xfId="13635" xr:uid="{00000000-0005-0000-0000-000022350000}"/>
    <cellStyle name="bordi 4 3 5" xfId="13636" xr:uid="{00000000-0005-0000-0000-000023350000}"/>
    <cellStyle name="bordi 4 3 6" xfId="13637" xr:uid="{00000000-0005-0000-0000-000024350000}"/>
    <cellStyle name="bordi 4 3 7" xfId="13638" xr:uid="{00000000-0005-0000-0000-000025350000}"/>
    <cellStyle name="bordi 4 3 8" xfId="13639" xr:uid="{00000000-0005-0000-0000-000026350000}"/>
    <cellStyle name="bordi 4 3 9" xfId="13640" xr:uid="{00000000-0005-0000-0000-000027350000}"/>
    <cellStyle name="bordi 4 4" xfId="13641" xr:uid="{00000000-0005-0000-0000-000028350000}"/>
    <cellStyle name="bordi 4 5" xfId="13642" xr:uid="{00000000-0005-0000-0000-000029350000}"/>
    <cellStyle name="bordi 4 6" xfId="13643" xr:uid="{00000000-0005-0000-0000-00002A350000}"/>
    <cellStyle name="bordi 4 7" xfId="13644" xr:uid="{00000000-0005-0000-0000-00002B350000}"/>
    <cellStyle name="bordi 4 8" xfId="13645" xr:uid="{00000000-0005-0000-0000-00002C350000}"/>
    <cellStyle name="bordi 4 9" xfId="13646" xr:uid="{00000000-0005-0000-0000-00002D350000}"/>
    <cellStyle name="bordi 5" xfId="13647" xr:uid="{00000000-0005-0000-0000-00002E350000}"/>
    <cellStyle name="bordi 5 10" xfId="13648" xr:uid="{00000000-0005-0000-0000-00002F350000}"/>
    <cellStyle name="bordi 5 11" xfId="13649" xr:uid="{00000000-0005-0000-0000-000030350000}"/>
    <cellStyle name="bordi 5 12" xfId="13650" xr:uid="{00000000-0005-0000-0000-000031350000}"/>
    <cellStyle name="bordi 5 13" xfId="13651" xr:uid="{00000000-0005-0000-0000-000032350000}"/>
    <cellStyle name="bordi 5 2" xfId="13652" xr:uid="{00000000-0005-0000-0000-000033350000}"/>
    <cellStyle name="bordi 5 2 10" xfId="13653" xr:uid="{00000000-0005-0000-0000-000034350000}"/>
    <cellStyle name="bordi 5 2 11" xfId="13654" xr:uid="{00000000-0005-0000-0000-000035350000}"/>
    <cellStyle name="bordi 5 2 12" xfId="13655" xr:uid="{00000000-0005-0000-0000-000036350000}"/>
    <cellStyle name="bordi 5 2 2" xfId="13656" xr:uid="{00000000-0005-0000-0000-000037350000}"/>
    <cellStyle name="bordi 5 2 2 10" xfId="13657" xr:uid="{00000000-0005-0000-0000-000038350000}"/>
    <cellStyle name="bordi 5 2 2 2" xfId="13658" xr:uid="{00000000-0005-0000-0000-000039350000}"/>
    <cellStyle name="bordi 5 2 2 3" xfId="13659" xr:uid="{00000000-0005-0000-0000-00003A350000}"/>
    <cellStyle name="bordi 5 2 2 4" xfId="13660" xr:uid="{00000000-0005-0000-0000-00003B350000}"/>
    <cellStyle name="bordi 5 2 2 5" xfId="13661" xr:uid="{00000000-0005-0000-0000-00003C350000}"/>
    <cellStyle name="bordi 5 2 2 6" xfId="13662" xr:uid="{00000000-0005-0000-0000-00003D350000}"/>
    <cellStyle name="bordi 5 2 2 7" xfId="13663" xr:uid="{00000000-0005-0000-0000-00003E350000}"/>
    <cellStyle name="bordi 5 2 2 8" xfId="13664" xr:uid="{00000000-0005-0000-0000-00003F350000}"/>
    <cellStyle name="bordi 5 2 2 9" xfId="13665" xr:uid="{00000000-0005-0000-0000-000040350000}"/>
    <cellStyle name="bordi 5 2 3" xfId="13666" xr:uid="{00000000-0005-0000-0000-000041350000}"/>
    <cellStyle name="bordi 5 2 4" xfId="13667" xr:uid="{00000000-0005-0000-0000-000042350000}"/>
    <cellStyle name="bordi 5 2 5" xfId="13668" xr:uid="{00000000-0005-0000-0000-000043350000}"/>
    <cellStyle name="bordi 5 2 6" xfId="13669" xr:uid="{00000000-0005-0000-0000-000044350000}"/>
    <cellStyle name="bordi 5 2 7" xfId="13670" xr:uid="{00000000-0005-0000-0000-000045350000}"/>
    <cellStyle name="bordi 5 2 8" xfId="13671" xr:uid="{00000000-0005-0000-0000-000046350000}"/>
    <cellStyle name="bordi 5 2 9" xfId="13672" xr:uid="{00000000-0005-0000-0000-000047350000}"/>
    <cellStyle name="bordi 5 3" xfId="13673" xr:uid="{00000000-0005-0000-0000-000048350000}"/>
    <cellStyle name="bordi 5 3 10" xfId="13674" xr:uid="{00000000-0005-0000-0000-000049350000}"/>
    <cellStyle name="bordi 5 3 11" xfId="13675" xr:uid="{00000000-0005-0000-0000-00004A350000}"/>
    <cellStyle name="bordi 5 3 2" xfId="13676" xr:uid="{00000000-0005-0000-0000-00004B350000}"/>
    <cellStyle name="bordi 5 3 3" xfId="13677" xr:uid="{00000000-0005-0000-0000-00004C350000}"/>
    <cellStyle name="bordi 5 3 4" xfId="13678" xr:uid="{00000000-0005-0000-0000-00004D350000}"/>
    <cellStyle name="bordi 5 3 5" xfId="13679" xr:uid="{00000000-0005-0000-0000-00004E350000}"/>
    <cellStyle name="bordi 5 3 6" xfId="13680" xr:uid="{00000000-0005-0000-0000-00004F350000}"/>
    <cellStyle name="bordi 5 3 7" xfId="13681" xr:uid="{00000000-0005-0000-0000-000050350000}"/>
    <cellStyle name="bordi 5 3 8" xfId="13682" xr:uid="{00000000-0005-0000-0000-000051350000}"/>
    <cellStyle name="bordi 5 3 9" xfId="13683" xr:uid="{00000000-0005-0000-0000-000052350000}"/>
    <cellStyle name="bordi 5 4" xfId="13684" xr:uid="{00000000-0005-0000-0000-000053350000}"/>
    <cellStyle name="bordi 5 5" xfId="13685" xr:uid="{00000000-0005-0000-0000-000054350000}"/>
    <cellStyle name="bordi 5 6" xfId="13686" xr:uid="{00000000-0005-0000-0000-000055350000}"/>
    <cellStyle name="bordi 5 7" xfId="13687" xr:uid="{00000000-0005-0000-0000-000056350000}"/>
    <cellStyle name="bordi 5 8" xfId="13688" xr:uid="{00000000-0005-0000-0000-000057350000}"/>
    <cellStyle name="bordi 5 9" xfId="13689" xr:uid="{00000000-0005-0000-0000-000058350000}"/>
    <cellStyle name="bordi 6" xfId="13690" xr:uid="{00000000-0005-0000-0000-000059350000}"/>
    <cellStyle name="bordi 6 10" xfId="13691" xr:uid="{00000000-0005-0000-0000-00005A350000}"/>
    <cellStyle name="bordi 6 11" xfId="13692" xr:uid="{00000000-0005-0000-0000-00005B350000}"/>
    <cellStyle name="bordi 6 12" xfId="13693" xr:uid="{00000000-0005-0000-0000-00005C350000}"/>
    <cellStyle name="bordi 6 13" xfId="13694" xr:uid="{00000000-0005-0000-0000-00005D350000}"/>
    <cellStyle name="bordi 6 2" xfId="13695" xr:uid="{00000000-0005-0000-0000-00005E350000}"/>
    <cellStyle name="bordi 6 2 10" xfId="13696" xr:uid="{00000000-0005-0000-0000-00005F350000}"/>
    <cellStyle name="bordi 6 2 11" xfId="13697" xr:uid="{00000000-0005-0000-0000-000060350000}"/>
    <cellStyle name="bordi 6 2 12" xfId="13698" xr:uid="{00000000-0005-0000-0000-000061350000}"/>
    <cellStyle name="bordi 6 2 2" xfId="13699" xr:uid="{00000000-0005-0000-0000-000062350000}"/>
    <cellStyle name="bordi 6 2 2 10" xfId="13700" xr:uid="{00000000-0005-0000-0000-000063350000}"/>
    <cellStyle name="bordi 6 2 2 2" xfId="13701" xr:uid="{00000000-0005-0000-0000-000064350000}"/>
    <cellStyle name="bordi 6 2 2 3" xfId="13702" xr:uid="{00000000-0005-0000-0000-000065350000}"/>
    <cellStyle name="bordi 6 2 2 4" xfId="13703" xr:uid="{00000000-0005-0000-0000-000066350000}"/>
    <cellStyle name="bordi 6 2 2 5" xfId="13704" xr:uid="{00000000-0005-0000-0000-000067350000}"/>
    <cellStyle name="bordi 6 2 2 6" xfId="13705" xr:uid="{00000000-0005-0000-0000-000068350000}"/>
    <cellStyle name="bordi 6 2 2 7" xfId="13706" xr:uid="{00000000-0005-0000-0000-000069350000}"/>
    <cellStyle name="bordi 6 2 2 8" xfId="13707" xr:uid="{00000000-0005-0000-0000-00006A350000}"/>
    <cellStyle name="bordi 6 2 2 9" xfId="13708" xr:uid="{00000000-0005-0000-0000-00006B350000}"/>
    <cellStyle name="bordi 6 2 3" xfId="13709" xr:uid="{00000000-0005-0000-0000-00006C350000}"/>
    <cellStyle name="bordi 6 2 4" xfId="13710" xr:uid="{00000000-0005-0000-0000-00006D350000}"/>
    <cellStyle name="bordi 6 2 5" xfId="13711" xr:uid="{00000000-0005-0000-0000-00006E350000}"/>
    <cellStyle name="bordi 6 2 6" xfId="13712" xr:uid="{00000000-0005-0000-0000-00006F350000}"/>
    <cellStyle name="bordi 6 2 7" xfId="13713" xr:uid="{00000000-0005-0000-0000-000070350000}"/>
    <cellStyle name="bordi 6 2 8" xfId="13714" xr:uid="{00000000-0005-0000-0000-000071350000}"/>
    <cellStyle name="bordi 6 2 9" xfId="13715" xr:uid="{00000000-0005-0000-0000-000072350000}"/>
    <cellStyle name="bordi 6 3" xfId="13716" xr:uid="{00000000-0005-0000-0000-000073350000}"/>
    <cellStyle name="bordi 6 3 10" xfId="13717" xr:uid="{00000000-0005-0000-0000-000074350000}"/>
    <cellStyle name="bordi 6 3 11" xfId="13718" xr:uid="{00000000-0005-0000-0000-000075350000}"/>
    <cellStyle name="bordi 6 3 2" xfId="13719" xr:uid="{00000000-0005-0000-0000-000076350000}"/>
    <cellStyle name="bordi 6 3 3" xfId="13720" xr:uid="{00000000-0005-0000-0000-000077350000}"/>
    <cellStyle name="bordi 6 3 4" xfId="13721" xr:uid="{00000000-0005-0000-0000-000078350000}"/>
    <cellStyle name="bordi 6 3 5" xfId="13722" xr:uid="{00000000-0005-0000-0000-000079350000}"/>
    <cellStyle name="bordi 6 3 6" xfId="13723" xr:uid="{00000000-0005-0000-0000-00007A350000}"/>
    <cellStyle name="bordi 6 3 7" xfId="13724" xr:uid="{00000000-0005-0000-0000-00007B350000}"/>
    <cellStyle name="bordi 6 3 8" xfId="13725" xr:uid="{00000000-0005-0000-0000-00007C350000}"/>
    <cellStyle name="bordi 6 3 9" xfId="13726" xr:uid="{00000000-0005-0000-0000-00007D350000}"/>
    <cellStyle name="bordi 6 4" xfId="13727" xr:uid="{00000000-0005-0000-0000-00007E350000}"/>
    <cellStyle name="bordi 6 5" xfId="13728" xr:uid="{00000000-0005-0000-0000-00007F350000}"/>
    <cellStyle name="bordi 6 6" xfId="13729" xr:uid="{00000000-0005-0000-0000-000080350000}"/>
    <cellStyle name="bordi 6 7" xfId="13730" xr:uid="{00000000-0005-0000-0000-000081350000}"/>
    <cellStyle name="bordi 6 8" xfId="13731" xr:uid="{00000000-0005-0000-0000-000082350000}"/>
    <cellStyle name="bordi 6 9" xfId="13732" xr:uid="{00000000-0005-0000-0000-000083350000}"/>
    <cellStyle name="bordi 7" xfId="13733" xr:uid="{00000000-0005-0000-0000-000084350000}"/>
    <cellStyle name="bordi 7 10" xfId="13734" xr:uid="{00000000-0005-0000-0000-000085350000}"/>
    <cellStyle name="bordi 7 11" xfId="13735" xr:uid="{00000000-0005-0000-0000-000086350000}"/>
    <cellStyle name="bordi 7 12" xfId="13736" xr:uid="{00000000-0005-0000-0000-000087350000}"/>
    <cellStyle name="bordi 7 13" xfId="13737" xr:uid="{00000000-0005-0000-0000-000088350000}"/>
    <cellStyle name="bordi 7 2" xfId="13738" xr:uid="{00000000-0005-0000-0000-000089350000}"/>
    <cellStyle name="bordi 7 2 10" xfId="13739" xr:uid="{00000000-0005-0000-0000-00008A350000}"/>
    <cellStyle name="bordi 7 2 11" xfId="13740" xr:uid="{00000000-0005-0000-0000-00008B350000}"/>
    <cellStyle name="bordi 7 2 12" xfId="13741" xr:uid="{00000000-0005-0000-0000-00008C350000}"/>
    <cellStyle name="bordi 7 2 2" xfId="13742" xr:uid="{00000000-0005-0000-0000-00008D350000}"/>
    <cellStyle name="bordi 7 2 2 10" xfId="13743" xr:uid="{00000000-0005-0000-0000-00008E350000}"/>
    <cellStyle name="bordi 7 2 2 2" xfId="13744" xr:uid="{00000000-0005-0000-0000-00008F350000}"/>
    <cellStyle name="bordi 7 2 2 3" xfId="13745" xr:uid="{00000000-0005-0000-0000-000090350000}"/>
    <cellStyle name="bordi 7 2 2 4" xfId="13746" xr:uid="{00000000-0005-0000-0000-000091350000}"/>
    <cellStyle name="bordi 7 2 2 5" xfId="13747" xr:uid="{00000000-0005-0000-0000-000092350000}"/>
    <cellStyle name="bordi 7 2 2 6" xfId="13748" xr:uid="{00000000-0005-0000-0000-000093350000}"/>
    <cellStyle name="bordi 7 2 2 7" xfId="13749" xr:uid="{00000000-0005-0000-0000-000094350000}"/>
    <cellStyle name="bordi 7 2 2 8" xfId="13750" xr:uid="{00000000-0005-0000-0000-000095350000}"/>
    <cellStyle name="bordi 7 2 2 9" xfId="13751" xr:uid="{00000000-0005-0000-0000-000096350000}"/>
    <cellStyle name="bordi 7 2 3" xfId="13752" xr:uid="{00000000-0005-0000-0000-000097350000}"/>
    <cellStyle name="bordi 7 2 4" xfId="13753" xr:uid="{00000000-0005-0000-0000-000098350000}"/>
    <cellStyle name="bordi 7 2 5" xfId="13754" xr:uid="{00000000-0005-0000-0000-000099350000}"/>
    <cellStyle name="bordi 7 2 6" xfId="13755" xr:uid="{00000000-0005-0000-0000-00009A350000}"/>
    <cellStyle name="bordi 7 2 7" xfId="13756" xr:uid="{00000000-0005-0000-0000-00009B350000}"/>
    <cellStyle name="bordi 7 2 8" xfId="13757" xr:uid="{00000000-0005-0000-0000-00009C350000}"/>
    <cellStyle name="bordi 7 2 9" xfId="13758" xr:uid="{00000000-0005-0000-0000-00009D350000}"/>
    <cellStyle name="bordi 7 3" xfId="13759" xr:uid="{00000000-0005-0000-0000-00009E350000}"/>
    <cellStyle name="bordi 7 3 10" xfId="13760" xr:uid="{00000000-0005-0000-0000-00009F350000}"/>
    <cellStyle name="bordi 7 3 11" xfId="13761" xr:uid="{00000000-0005-0000-0000-0000A0350000}"/>
    <cellStyle name="bordi 7 3 2" xfId="13762" xr:uid="{00000000-0005-0000-0000-0000A1350000}"/>
    <cellStyle name="bordi 7 3 3" xfId="13763" xr:uid="{00000000-0005-0000-0000-0000A2350000}"/>
    <cellStyle name="bordi 7 3 4" xfId="13764" xr:uid="{00000000-0005-0000-0000-0000A3350000}"/>
    <cellStyle name="bordi 7 3 5" xfId="13765" xr:uid="{00000000-0005-0000-0000-0000A4350000}"/>
    <cellStyle name="bordi 7 3 6" xfId="13766" xr:uid="{00000000-0005-0000-0000-0000A5350000}"/>
    <cellStyle name="bordi 7 3 7" xfId="13767" xr:uid="{00000000-0005-0000-0000-0000A6350000}"/>
    <cellStyle name="bordi 7 3 8" xfId="13768" xr:uid="{00000000-0005-0000-0000-0000A7350000}"/>
    <cellStyle name="bordi 7 3 9" xfId="13769" xr:uid="{00000000-0005-0000-0000-0000A8350000}"/>
    <cellStyle name="bordi 7 4" xfId="13770" xr:uid="{00000000-0005-0000-0000-0000A9350000}"/>
    <cellStyle name="bordi 7 5" xfId="13771" xr:uid="{00000000-0005-0000-0000-0000AA350000}"/>
    <cellStyle name="bordi 7 6" xfId="13772" xr:uid="{00000000-0005-0000-0000-0000AB350000}"/>
    <cellStyle name="bordi 7 7" xfId="13773" xr:uid="{00000000-0005-0000-0000-0000AC350000}"/>
    <cellStyle name="bordi 7 8" xfId="13774" xr:uid="{00000000-0005-0000-0000-0000AD350000}"/>
    <cellStyle name="bordi 7 9" xfId="13775" xr:uid="{00000000-0005-0000-0000-0000AE350000}"/>
    <cellStyle name="bordi 8" xfId="13776" xr:uid="{00000000-0005-0000-0000-0000AF350000}"/>
    <cellStyle name="bordi 8 10" xfId="13777" xr:uid="{00000000-0005-0000-0000-0000B0350000}"/>
    <cellStyle name="bordi 8 11" xfId="13778" xr:uid="{00000000-0005-0000-0000-0000B1350000}"/>
    <cellStyle name="bordi 8 12" xfId="13779" xr:uid="{00000000-0005-0000-0000-0000B2350000}"/>
    <cellStyle name="bordi 8 13" xfId="13780" xr:uid="{00000000-0005-0000-0000-0000B3350000}"/>
    <cellStyle name="bordi 8 2" xfId="13781" xr:uid="{00000000-0005-0000-0000-0000B4350000}"/>
    <cellStyle name="bordi 8 2 10" xfId="13782" xr:uid="{00000000-0005-0000-0000-0000B5350000}"/>
    <cellStyle name="bordi 8 2 11" xfId="13783" xr:uid="{00000000-0005-0000-0000-0000B6350000}"/>
    <cellStyle name="bordi 8 2 12" xfId="13784" xr:uid="{00000000-0005-0000-0000-0000B7350000}"/>
    <cellStyle name="bordi 8 2 2" xfId="13785" xr:uid="{00000000-0005-0000-0000-0000B8350000}"/>
    <cellStyle name="bordi 8 2 2 10" xfId="13786" xr:uid="{00000000-0005-0000-0000-0000B9350000}"/>
    <cellStyle name="bordi 8 2 2 2" xfId="13787" xr:uid="{00000000-0005-0000-0000-0000BA350000}"/>
    <cellStyle name="bordi 8 2 2 3" xfId="13788" xr:uid="{00000000-0005-0000-0000-0000BB350000}"/>
    <cellStyle name="bordi 8 2 2 4" xfId="13789" xr:uid="{00000000-0005-0000-0000-0000BC350000}"/>
    <cellStyle name="bordi 8 2 2 5" xfId="13790" xr:uid="{00000000-0005-0000-0000-0000BD350000}"/>
    <cellStyle name="bordi 8 2 2 6" xfId="13791" xr:uid="{00000000-0005-0000-0000-0000BE350000}"/>
    <cellStyle name="bordi 8 2 2 7" xfId="13792" xr:uid="{00000000-0005-0000-0000-0000BF350000}"/>
    <cellStyle name="bordi 8 2 2 8" xfId="13793" xr:uid="{00000000-0005-0000-0000-0000C0350000}"/>
    <cellStyle name="bordi 8 2 2 9" xfId="13794" xr:uid="{00000000-0005-0000-0000-0000C1350000}"/>
    <cellStyle name="bordi 8 2 3" xfId="13795" xr:uid="{00000000-0005-0000-0000-0000C2350000}"/>
    <cellStyle name="bordi 8 2 4" xfId="13796" xr:uid="{00000000-0005-0000-0000-0000C3350000}"/>
    <cellStyle name="bordi 8 2 5" xfId="13797" xr:uid="{00000000-0005-0000-0000-0000C4350000}"/>
    <cellStyle name="bordi 8 2 6" xfId="13798" xr:uid="{00000000-0005-0000-0000-0000C5350000}"/>
    <cellStyle name="bordi 8 2 7" xfId="13799" xr:uid="{00000000-0005-0000-0000-0000C6350000}"/>
    <cellStyle name="bordi 8 2 8" xfId="13800" xr:uid="{00000000-0005-0000-0000-0000C7350000}"/>
    <cellStyle name="bordi 8 2 9" xfId="13801" xr:uid="{00000000-0005-0000-0000-0000C8350000}"/>
    <cellStyle name="bordi 8 3" xfId="13802" xr:uid="{00000000-0005-0000-0000-0000C9350000}"/>
    <cellStyle name="bordi 8 3 10" xfId="13803" xr:uid="{00000000-0005-0000-0000-0000CA350000}"/>
    <cellStyle name="bordi 8 3 11" xfId="13804" xr:uid="{00000000-0005-0000-0000-0000CB350000}"/>
    <cellStyle name="bordi 8 3 2" xfId="13805" xr:uid="{00000000-0005-0000-0000-0000CC350000}"/>
    <cellStyle name="bordi 8 3 3" xfId="13806" xr:uid="{00000000-0005-0000-0000-0000CD350000}"/>
    <cellStyle name="bordi 8 3 4" xfId="13807" xr:uid="{00000000-0005-0000-0000-0000CE350000}"/>
    <cellStyle name="bordi 8 3 5" xfId="13808" xr:uid="{00000000-0005-0000-0000-0000CF350000}"/>
    <cellStyle name="bordi 8 3 6" xfId="13809" xr:uid="{00000000-0005-0000-0000-0000D0350000}"/>
    <cellStyle name="bordi 8 3 7" xfId="13810" xr:uid="{00000000-0005-0000-0000-0000D1350000}"/>
    <cellStyle name="bordi 8 3 8" xfId="13811" xr:uid="{00000000-0005-0000-0000-0000D2350000}"/>
    <cellStyle name="bordi 8 3 9" xfId="13812" xr:uid="{00000000-0005-0000-0000-0000D3350000}"/>
    <cellStyle name="bordi 8 4" xfId="13813" xr:uid="{00000000-0005-0000-0000-0000D4350000}"/>
    <cellStyle name="bordi 8 5" xfId="13814" xr:uid="{00000000-0005-0000-0000-0000D5350000}"/>
    <cellStyle name="bordi 8 6" xfId="13815" xr:uid="{00000000-0005-0000-0000-0000D6350000}"/>
    <cellStyle name="bordi 8 7" xfId="13816" xr:uid="{00000000-0005-0000-0000-0000D7350000}"/>
    <cellStyle name="bordi 8 8" xfId="13817" xr:uid="{00000000-0005-0000-0000-0000D8350000}"/>
    <cellStyle name="bordi 8 9" xfId="13818" xr:uid="{00000000-0005-0000-0000-0000D9350000}"/>
    <cellStyle name="bordi 9" xfId="13819" xr:uid="{00000000-0005-0000-0000-0000DA350000}"/>
    <cellStyle name="bordi 9 10" xfId="13820" xr:uid="{00000000-0005-0000-0000-0000DB350000}"/>
    <cellStyle name="bordi 9 11" xfId="13821" xr:uid="{00000000-0005-0000-0000-0000DC350000}"/>
    <cellStyle name="bordi 9 12" xfId="13822" xr:uid="{00000000-0005-0000-0000-0000DD350000}"/>
    <cellStyle name="bordi 9 13" xfId="13823" xr:uid="{00000000-0005-0000-0000-0000DE350000}"/>
    <cellStyle name="bordi 9 2" xfId="13824" xr:uid="{00000000-0005-0000-0000-0000DF350000}"/>
    <cellStyle name="bordi 9 2 10" xfId="13825" xr:uid="{00000000-0005-0000-0000-0000E0350000}"/>
    <cellStyle name="bordi 9 2 11" xfId="13826" xr:uid="{00000000-0005-0000-0000-0000E1350000}"/>
    <cellStyle name="bordi 9 2 12" xfId="13827" xr:uid="{00000000-0005-0000-0000-0000E2350000}"/>
    <cellStyle name="bordi 9 2 2" xfId="13828" xr:uid="{00000000-0005-0000-0000-0000E3350000}"/>
    <cellStyle name="bordi 9 2 2 10" xfId="13829" xr:uid="{00000000-0005-0000-0000-0000E4350000}"/>
    <cellStyle name="bordi 9 2 2 2" xfId="13830" xr:uid="{00000000-0005-0000-0000-0000E5350000}"/>
    <cellStyle name="bordi 9 2 2 3" xfId="13831" xr:uid="{00000000-0005-0000-0000-0000E6350000}"/>
    <cellStyle name="bordi 9 2 2 4" xfId="13832" xr:uid="{00000000-0005-0000-0000-0000E7350000}"/>
    <cellStyle name="bordi 9 2 2 5" xfId="13833" xr:uid="{00000000-0005-0000-0000-0000E8350000}"/>
    <cellStyle name="bordi 9 2 2 6" xfId="13834" xr:uid="{00000000-0005-0000-0000-0000E9350000}"/>
    <cellStyle name="bordi 9 2 2 7" xfId="13835" xr:uid="{00000000-0005-0000-0000-0000EA350000}"/>
    <cellStyle name="bordi 9 2 2 8" xfId="13836" xr:uid="{00000000-0005-0000-0000-0000EB350000}"/>
    <cellStyle name="bordi 9 2 2 9" xfId="13837" xr:uid="{00000000-0005-0000-0000-0000EC350000}"/>
    <cellStyle name="bordi 9 2 3" xfId="13838" xr:uid="{00000000-0005-0000-0000-0000ED350000}"/>
    <cellStyle name="bordi 9 2 4" xfId="13839" xr:uid="{00000000-0005-0000-0000-0000EE350000}"/>
    <cellStyle name="bordi 9 2 5" xfId="13840" xr:uid="{00000000-0005-0000-0000-0000EF350000}"/>
    <cellStyle name="bordi 9 2 6" xfId="13841" xr:uid="{00000000-0005-0000-0000-0000F0350000}"/>
    <cellStyle name="bordi 9 2 7" xfId="13842" xr:uid="{00000000-0005-0000-0000-0000F1350000}"/>
    <cellStyle name="bordi 9 2 8" xfId="13843" xr:uid="{00000000-0005-0000-0000-0000F2350000}"/>
    <cellStyle name="bordi 9 2 9" xfId="13844" xr:uid="{00000000-0005-0000-0000-0000F3350000}"/>
    <cellStyle name="bordi 9 3" xfId="13845" xr:uid="{00000000-0005-0000-0000-0000F4350000}"/>
    <cellStyle name="bordi 9 3 10" xfId="13846" xr:uid="{00000000-0005-0000-0000-0000F5350000}"/>
    <cellStyle name="bordi 9 3 11" xfId="13847" xr:uid="{00000000-0005-0000-0000-0000F6350000}"/>
    <cellStyle name="bordi 9 3 2" xfId="13848" xr:uid="{00000000-0005-0000-0000-0000F7350000}"/>
    <cellStyle name="bordi 9 3 3" xfId="13849" xr:uid="{00000000-0005-0000-0000-0000F8350000}"/>
    <cellStyle name="bordi 9 3 4" xfId="13850" xr:uid="{00000000-0005-0000-0000-0000F9350000}"/>
    <cellStyle name="bordi 9 3 5" xfId="13851" xr:uid="{00000000-0005-0000-0000-0000FA350000}"/>
    <cellStyle name="bordi 9 3 6" xfId="13852" xr:uid="{00000000-0005-0000-0000-0000FB350000}"/>
    <cellStyle name="bordi 9 3 7" xfId="13853" xr:uid="{00000000-0005-0000-0000-0000FC350000}"/>
    <cellStyle name="bordi 9 3 8" xfId="13854" xr:uid="{00000000-0005-0000-0000-0000FD350000}"/>
    <cellStyle name="bordi 9 3 9" xfId="13855" xr:uid="{00000000-0005-0000-0000-0000FE350000}"/>
    <cellStyle name="bordi 9 4" xfId="13856" xr:uid="{00000000-0005-0000-0000-0000FF350000}"/>
    <cellStyle name="bordi 9 5" xfId="13857" xr:uid="{00000000-0005-0000-0000-000000360000}"/>
    <cellStyle name="bordi 9 6" xfId="13858" xr:uid="{00000000-0005-0000-0000-000001360000}"/>
    <cellStyle name="bordi 9 7" xfId="13859" xr:uid="{00000000-0005-0000-0000-000002360000}"/>
    <cellStyle name="bordi 9 8" xfId="13860" xr:uid="{00000000-0005-0000-0000-000003360000}"/>
    <cellStyle name="bordi 9 9" xfId="13861" xr:uid="{00000000-0005-0000-0000-000004360000}"/>
    <cellStyle name="Bottom Edge" xfId="13862" xr:uid="{00000000-0005-0000-0000-000005360000}"/>
    <cellStyle name="BottomRow" xfId="13863" xr:uid="{00000000-0005-0000-0000-000006360000}"/>
    <cellStyle name="BOX" xfId="13864" xr:uid="{00000000-0005-0000-0000-000007360000}"/>
    <cellStyle name="bp--" xfId="13865" xr:uid="{00000000-0005-0000-0000-000008360000}"/>
    <cellStyle name="Budget" xfId="13866" xr:uid="{00000000-0005-0000-0000-000009360000}"/>
    <cellStyle name="Buena 10" xfId="13867" xr:uid="{00000000-0005-0000-0000-00000A360000}"/>
    <cellStyle name="Buena 11" xfId="13868" xr:uid="{00000000-0005-0000-0000-00000B360000}"/>
    <cellStyle name="Buena 12" xfId="13869" xr:uid="{00000000-0005-0000-0000-00000C360000}"/>
    <cellStyle name="Buena 13" xfId="13870" xr:uid="{00000000-0005-0000-0000-00000D360000}"/>
    <cellStyle name="Buena 14" xfId="13871" xr:uid="{00000000-0005-0000-0000-00000E360000}"/>
    <cellStyle name="Buena 15" xfId="13872" xr:uid="{00000000-0005-0000-0000-00000F360000}"/>
    <cellStyle name="Buena 16" xfId="13873" xr:uid="{00000000-0005-0000-0000-000010360000}"/>
    <cellStyle name="Buena 2" xfId="13874" xr:uid="{00000000-0005-0000-0000-000011360000}"/>
    <cellStyle name="Buena 2 10" xfId="13875" xr:uid="{00000000-0005-0000-0000-000012360000}"/>
    <cellStyle name="Buena 2 11" xfId="13876" xr:uid="{00000000-0005-0000-0000-000013360000}"/>
    <cellStyle name="Buena 2 12" xfId="13877" xr:uid="{00000000-0005-0000-0000-000014360000}"/>
    <cellStyle name="Buena 2 13" xfId="13878" xr:uid="{00000000-0005-0000-0000-000015360000}"/>
    <cellStyle name="Buena 2 14" xfId="13879" xr:uid="{00000000-0005-0000-0000-000016360000}"/>
    <cellStyle name="Buena 2 15" xfId="13880" xr:uid="{00000000-0005-0000-0000-000017360000}"/>
    <cellStyle name="Buena 2 16" xfId="13881" xr:uid="{00000000-0005-0000-0000-000018360000}"/>
    <cellStyle name="Buena 2 17" xfId="13882" xr:uid="{00000000-0005-0000-0000-000019360000}"/>
    <cellStyle name="Buena 2 18" xfId="13883" xr:uid="{00000000-0005-0000-0000-00001A360000}"/>
    <cellStyle name="Buena 2 19" xfId="13884" xr:uid="{00000000-0005-0000-0000-00001B360000}"/>
    <cellStyle name="Buena 2 2" xfId="13885" xr:uid="{00000000-0005-0000-0000-00001C360000}"/>
    <cellStyle name="Buena 2 20" xfId="13886" xr:uid="{00000000-0005-0000-0000-00001D360000}"/>
    <cellStyle name="Buena 2 21" xfId="13887" xr:uid="{00000000-0005-0000-0000-00001E360000}"/>
    <cellStyle name="Buena 2 22" xfId="13888" xr:uid="{00000000-0005-0000-0000-00001F360000}"/>
    <cellStyle name="Buena 2 23" xfId="13889" xr:uid="{00000000-0005-0000-0000-000020360000}"/>
    <cellStyle name="Buena 2 24" xfId="13890" xr:uid="{00000000-0005-0000-0000-000021360000}"/>
    <cellStyle name="Buena 2 25" xfId="13891" xr:uid="{00000000-0005-0000-0000-000022360000}"/>
    <cellStyle name="Buena 2 26" xfId="13892" xr:uid="{00000000-0005-0000-0000-000023360000}"/>
    <cellStyle name="Buena 2 27" xfId="13893" xr:uid="{00000000-0005-0000-0000-000024360000}"/>
    <cellStyle name="Buena 2 28" xfId="13894" xr:uid="{00000000-0005-0000-0000-000025360000}"/>
    <cellStyle name="Buena 2 29" xfId="13895" xr:uid="{00000000-0005-0000-0000-000026360000}"/>
    <cellStyle name="Buena 2 3" xfId="13896" xr:uid="{00000000-0005-0000-0000-000027360000}"/>
    <cellStyle name="Buena 2 30" xfId="13897" xr:uid="{00000000-0005-0000-0000-000028360000}"/>
    <cellStyle name="Buena 2 31" xfId="13898" xr:uid="{00000000-0005-0000-0000-000029360000}"/>
    <cellStyle name="Buena 2 32" xfId="13899" xr:uid="{00000000-0005-0000-0000-00002A360000}"/>
    <cellStyle name="Buena 2 33" xfId="13900" xr:uid="{00000000-0005-0000-0000-00002B360000}"/>
    <cellStyle name="Buena 2 34" xfId="13901" xr:uid="{00000000-0005-0000-0000-00002C360000}"/>
    <cellStyle name="Buena 2 35" xfId="13902" xr:uid="{00000000-0005-0000-0000-00002D360000}"/>
    <cellStyle name="Buena 2 36" xfId="13903" xr:uid="{00000000-0005-0000-0000-00002E360000}"/>
    <cellStyle name="Buena 2 37" xfId="13904" xr:uid="{00000000-0005-0000-0000-00002F360000}"/>
    <cellStyle name="Buena 2 38" xfId="13905" xr:uid="{00000000-0005-0000-0000-000030360000}"/>
    <cellStyle name="Buena 2 4" xfId="13906" xr:uid="{00000000-0005-0000-0000-000031360000}"/>
    <cellStyle name="Buena 2 5" xfId="13907" xr:uid="{00000000-0005-0000-0000-000032360000}"/>
    <cellStyle name="Buena 2 6" xfId="13908" xr:uid="{00000000-0005-0000-0000-000033360000}"/>
    <cellStyle name="Buena 2 7" xfId="13909" xr:uid="{00000000-0005-0000-0000-000034360000}"/>
    <cellStyle name="Buena 2 8" xfId="13910" xr:uid="{00000000-0005-0000-0000-000035360000}"/>
    <cellStyle name="Buena 2 9" xfId="13911" xr:uid="{00000000-0005-0000-0000-000036360000}"/>
    <cellStyle name="Buena 3" xfId="13912" xr:uid="{00000000-0005-0000-0000-000037360000}"/>
    <cellStyle name="Buena 3 10" xfId="13913" xr:uid="{00000000-0005-0000-0000-000038360000}"/>
    <cellStyle name="Buena 3 11" xfId="13914" xr:uid="{00000000-0005-0000-0000-000039360000}"/>
    <cellStyle name="Buena 3 12" xfId="13915" xr:uid="{00000000-0005-0000-0000-00003A360000}"/>
    <cellStyle name="Buena 3 13" xfId="13916" xr:uid="{00000000-0005-0000-0000-00003B360000}"/>
    <cellStyle name="Buena 3 14" xfId="13917" xr:uid="{00000000-0005-0000-0000-00003C360000}"/>
    <cellStyle name="Buena 3 15" xfId="13918" xr:uid="{00000000-0005-0000-0000-00003D360000}"/>
    <cellStyle name="Buena 3 16" xfId="13919" xr:uid="{00000000-0005-0000-0000-00003E360000}"/>
    <cellStyle name="Buena 3 17" xfId="13920" xr:uid="{00000000-0005-0000-0000-00003F360000}"/>
    <cellStyle name="Buena 3 18" xfId="13921" xr:uid="{00000000-0005-0000-0000-000040360000}"/>
    <cellStyle name="Buena 3 19" xfId="13922" xr:uid="{00000000-0005-0000-0000-000041360000}"/>
    <cellStyle name="Buena 3 2" xfId="13923" xr:uid="{00000000-0005-0000-0000-000042360000}"/>
    <cellStyle name="Buena 3 20" xfId="13924" xr:uid="{00000000-0005-0000-0000-000043360000}"/>
    <cellStyle name="Buena 3 21" xfId="13925" xr:uid="{00000000-0005-0000-0000-000044360000}"/>
    <cellStyle name="Buena 3 22" xfId="13926" xr:uid="{00000000-0005-0000-0000-000045360000}"/>
    <cellStyle name="Buena 3 23" xfId="13927" xr:uid="{00000000-0005-0000-0000-000046360000}"/>
    <cellStyle name="Buena 3 24" xfId="13928" xr:uid="{00000000-0005-0000-0000-000047360000}"/>
    <cellStyle name="Buena 3 25" xfId="13929" xr:uid="{00000000-0005-0000-0000-000048360000}"/>
    <cellStyle name="Buena 3 26" xfId="13930" xr:uid="{00000000-0005-0000-0000-000049360000}"/>
    <cellStyle name="Buena 3 27" xfId="13931" xr:uid="{00000000-0005-0000-0000-00004A360000}"/>
    <cellStyle name="Buena 3 28" xfId="13932" xr:uid="{00000000-0005-0000-0000-00004B360000}"/>
    <cellStyle name="Buena 3 29" xfId="13933" xr:uid="{00000000-0005-0000-0000-00004C360000}"/>
    <cellStyle name="Buena 3 3" xfId="13934" xr:uid="{00000000-0005-0000-0000-00004D360000}"/>
    <cellStyle name="Buena 3 30" xfId="13935" xr:uid="{00000000-0005-0000-0000-00004E360000}"/>
    <cellStyle name="Buena 3 31" xfId="13936" xr:uid="{00000000-0005-0000-0000-00004F360000}"/>
    <cellStyle name="Buena 3 32" xfId="13937" xr:uid="{00000000-0005-0000-0000-000050360000}"/>
    <cellStyle name="Buena 3 33" xfId="13938" xr:uid="{00000000-0005-0000-0000-000051360000}"/>
    <cellStyle name="Buena 3 34" xfId="13939" xr:uid="{00000000-0005-0000-0000-000052360000}"/>
    <cellStyle name="Buena 3 4" xfId="13940" xr:uid="{00000000-0005-0000-0000-000053360000}"/>
    <cellStyle name="Buena 3 5" xfId="13941" xr:uid="{00000000-0005-0000-0000-000054360000}"/>
    <cellStyle name="Buena 3 6" xfId="13942" xr:uid="{00000000-0005-0000-0000-000055360000}"/>
    <cellStyle name="Buena 3 7" xfId="13943" xr:uid="{00000000-0005-0000-0000-000056360000}"/>
    <cellStyle name="Buena 3 8" xfId="13944" xr:uid="{00000000-0005-0000-0000-000057360000}"/>
    <cellStyle name="Buena 3 9" xfId="13945" xr:uid="{00000000-0005-0000-0000-000058360000}"/>
    <cellStyle name="Buena 4" xfId="13946" xr:uid="{00000000-0005-0000-0000-000059360000}"/>
    <cellStyle name="Buena 4 2" xfId="13947" xr:uid="{00000000-0005-0000-0000-00005A360000}"/>
    <cellStyle name="Buena 4 3" xfId="13948" xr:uid="{00000000-0005-0000-0000-00005B360000}"/>
    <cellStyle name="Buena 4 4" xfId="13949" xr:uid="{00000000-0005-0000-0000-00005C360000}"/>
    <cellStyle name="Buena 5" xfId="13950" xr:uid="{00000000-0005-0000-0000-00005D360000}"/>
    <cellStyle name="Buena 5 2" xfId="13951" xr:uid="{00000000-0005-0000-0000-00005E360000}"/>
    <cellStyle name="Buena 5 3" xfId="13952" xr:uid="{00000000-0005-0000-0000-00005F360000}"/>
    <cellStyle name="Buena 5 4" xfId="13953" xr:uid="{00000000-0005-0000-0000-000060360000}"/>
    <cellStyle name="Buena 6" xfId="13954" xr:uid="{00000000-0005-0000-0000-000061360000}"/>
    <cellStyle name="Buena 6 2" xfId="13955" xr:uid="{00000000-0005-0000-0000-000062360000}"/>
    <cellStyle name="Buena 7" xfId="13956" xr:uid="{00000000-0005-0000-0000-000063360000}"/>
    <cellStyle name="Buena 7 2" xfId="13957" xr:uid="{00000000-0005-0000-0000-000064360000}"/>
    <cellStyle name="Buena 8" xfId="13958" xr:uid="{00000000-0005-0000-0000-000065360000}"/>
    <cellStyle name="Buena 9" xfId="13959" xr:uid="{00000000-0005-0000-0000-000066360000}"/>
    <cellStyle name="Bueno" xfId="31" builtinId="26" customBuiltin="1"/>
    <cellStyle name="Bullet" xfId="13960" xr:uid="{00000000-0005-0000-0000-000068360000}"/>
    <cellStyle name="c" xfId="13961" xr:uid="{00000000-0005-0000-0000-000069360000}"/>
    <cellStyle name="C.Auxil" xfId="13962" xr:uid="{00000000-0005-0000-0000-00006A360000}"/>
    <cellStyle name="C.Auxil 2" xfId="13963" xr:uid="{00000000-0005-0000-0000-00006B360000}"/>
    <cellStyle name="C?AØ_Spectre_23_Mar_00" xfId="13964" xr:uid="{00000000-0005-0000-0000-00006C360000}"/>
    <cellStyle name="C|‰" xfId="13965" xr:uid="{00000000-0005-0000-0000-00006D360000}"/>
    <cellStyle name="C|‰ 2" xfId="13966" xr:uid="{00000000-0005-0000-0000-00006E360000}"/>
    <cellStyle name="C|‰ 2 2" xfId="13967" xr:uid="{00000000-0005-0000-0000-00006F360000}"/>
    <cellStyle name="C¡ÍA¨ª_Spectre_23_Mar_00" xfId="13968" xr:uid="{00000000-0005-0000-0000-000070360000}"/>
    <cellStyle name="C￥AØ_¾ÆA§AU¾÷" xfId="13969" xr:uid="{00000000-0005-0000-0000-000071360000}"/>
    <cellStyle name="c0" xfId="13970" xr:uid="{00000000-0005-0000-0000-000072360000}"/>
    <cellStyle name="c0'" xfId="13971" xr:uid="{00000000-0005-0000-0000-000073360000}"/>
    <cellStyle name="c0-" xfId="13972" xr:uid="{00000000-0005-0000-0000-000074360000}"/>
    <cellStyle name="c0- 2" xfId="13973" xr:uid="{00000000-0005-0000-0000-000075360000}"/>
    <cellStyle name="c0]" xfId="13974" xr:uid="{00000000-0005-0000-0000-000076360000}"/>
    <cellStyle name="c0-_Databook library PPART" xfId="13975" xr:uid="{00000000-0005-0000-0000-000077360000}"/>
    <cellStyle name="C00A" xfId="13976" xr:uid="{00000000-0005-0000-0000-000078360000}"/>
    <cellStyle name="C00B" xfId="13977" xr:uid="{00000000-0005-0000-0000-000079360000}"/>
    <cellStyle name="C00L" xfId="13978" xr:uid="{00000000-0005-0000-0000-00007A360000}"/>
    <cellStyle name="C01A" xfId="13979" xr:uid="{00000000-0005-0000-0000-00007B360000}"/>
    <cellStyle name="C01B" xfId="13980" xr:uid="{00000000-0005-0000-0000-00007C360000}"/>
    <cellStyle name="C01H" xfId="13981" xr:uid="{00000000-0005-0000-0000-00007D360000}"/>
    <cellStyle name="C01L" xfId="13982" xr:uid="{00000000-0005-0000-0000-00007E360000}"/>
    <cellStyle name="C02A" xfId="13983" xr:uid="{00000000-0005-0000-0000-00007F360000}"/>
    <cellStyle name="C02B" xfId="13984" xr:uid="{00000000-0005-0000-0000-000080360000}"/>
    <cellStyle name="C02H" xfId="13985" xr:uid="{00000000-0005-0000-0000-000081360000}"/>
    <cellStyle name="C02L" xfId="13986" xr:uid="{00000000-0005-0000-0000-000082360000}"/>
    <cellStyle name="C03A" xfId="13987" xr:uid="{00000000-0005-0000-0000-000083360000}"/>
    <cellStyle name="C03B" xfId="13988" xr:uid="{00000000-0005-0000-0000-000084360000}"/>
    <cellStyle name="C03H" xfId="13989" xr:uid="{00000000-0005-0000-0000-000085360000}"/>
    <cellStyle name="C03L" xfId="13990" xr:uid="{00000000-0005-0000-0000-000086360000}"/>
    <cellStyle name="C04A" xfId="13991" xr:uid="{00000000-0005-0000-0000-000087360000}"/>
    <cellStyle name="C04B" xfId="13992" xr:uid="{00000000-0005-0000-0000-000088360000}"/>
    <cellStyle name="C04H" xfId="13993" xr:uid="{00000000-0005-0000-0000-000089360000}"/>
    <cellStyle name="C04L" xfId="13994" xr:uid="{00000000-0005-0000-0000-00008A360000}"/>
    <cellStyle name="C05A" xfId="13995" xr:uid="{00000000-0005-0000-0000-00008B360000}"/>
    <cellStyle name="C05B" xfId="13996" xr:uid="{00000000-0005-0000-0000-00008C360000}"/>
    <cellStyle name="C05H" xfId="13997" xr:uid="{00000000-0005-0000-0000-00008D360000}"/>
    <cellStyle name="C05L" xfId="13998" xr:uid="{00000000-0005-0000-0000-00008E360000}"/>
    <cellStyle name="C06A" xfId="13999" xr:uid="{00000000-0005-0000-0000-00008F360000}"/>
    <cellStyle name="C06B" xfId="14000" xr:uid="{00000000-0005-0000-0000-000090360000}"/>
    <cellStyle name="C06H" xfId="14001" xr:uid="{00000000-0005-0000-0000-000091360000}"/>
    <cellStyle name="C06L" xfId="14002" xr:uid="{00000000-0005-0000-0000-000092360000}"/>
    <cellStyle name="C07A" xfId="14003" xr:uid="{00000000-0005-0000-0000-000093360000}"/>
    <cellStyle name="C07B" xfId="14004" xr:uid="{00000000-0005-0000-0000-000094360000}"/>
    <cellStyle name="C07H" xfId="14005" xr:uid="{00000000-0005-0000-0000-000095360000}"/>
    <cellStyle name="C07L" xfId="14006" xr:uid="{00000000-0005-0000-0000-000096360000}"/>
    <cellStyle name="c09" xfId="14007" xr:uid="{00000000-0005-0000-0000-000097360000}"/>
    <cellStyle name="c09 10" xfId="14008" xr:uid="{00000000-0005-0000-0000-000098360000}"/>
    <cellStyle name="c09 10 10" xfId="14009" xr:uid="{00000000-0005-0000-0000-000099360000}"/>
    <cellStyle name="c09 10 11" xfId="14010" xr:uid="{00000000-0005-0000-0000-00009A360000}"/>
    <cellStyle name="c09 10 12" xfId="14011" xr:uid="{00000000-0005-0000-0000-00009B360000}"/>
    <cellStyle name="c09 10 13" xfId="14012" xr:uid="{00000000-0005-0000-0000-00009C360000}"/>
    <cellStyle name="c09 10 2" xfId="14013" xr:uid="{00000000-0005-0000-0000-00009D360000}"/>
    <cellStyle name="c09 10 2 10" xfId="14014" xr:uid="{00000000-0005-0000-0000-00009E360000}"/>
    <cellStyle name="c09 10 2 11" xfId="14015" xr:uid="{00000000-0005-0000-0000-00009F360000}"/>
    <cellStyle name="c09 10 2 12" xfId="14016" xr:uid="{00000000-0005-0000-0000-0000A0360000}"/>
    <cellStyle name="c09 10 2 2" xfId="14017" xr:uid="{00000000-0005-0000-0000-0000A1360000}"/>
    <cellStyle name="c09 10 2 2 10" xfId="14018" xr:uid="{00000000-0005-0000-0000-0000A2360000}"/>
    <cellStyle name="c09 10 2 2 2" xfId="14019" xr:uid="{00000000-0005-0000-0000-0000A3360000}"/>
    <cellStyle name="c09 10 2 2 3" xfId="14020" xr:uid="{00000000-0005-0000-0000-0000A4360000}"/>
    <cellStyle name="c09 10 2 2 4" xfId="14021" xr:uid="{00000000-0005-0000-0000-0000A5360000}"/>
    <cellStyle name="c09 10 2 2 5" xfId="14022" xr:uid="{00000000-0005-0000-0000-0000A6360000}"/>
    <cellStyle name="c09 10 2 2 6" xfId="14023" xr:uid="{00000000-0005-0000-0000-0000A7360000}"/>
    <cellStyle name="c09 10 2 2 7" xfId="14024" xr:uid="{00000000-0005-0000-0000-0000A8360000}"/>
    <cellStyle name="c09 10 2 2 8" xfId="14025" xr:uid="{00000000-0005-0000-0000-0000A9360000}"/>
    <cellStyle name="c09 10 2 2 9" xfId="14026" xr:uid="{00000000-0005-0000-0000-0000AA360000}"/>
    <cellStyle name="c09 10 2 3" xfId="14027" xr:uid="{00000000-0005-0000-0000-0000AB360000}"/>
    <cellStyle name="c09 10 2 4" xfId="14028" xr:uid="{00000000-0005-0000-0000-0000AC360000}"/>
    <cellStyle name="c09 10 2 5" xfId="14029" xr:uid="{00000000-0005-0000-0000-0000AD360000}"/>
    <cellStyle name="c09 10 2 6" xfId="14030" xr:uid="{00000000-0005-0000-0000-0000AE360000}"/>
    <cellStyle name="c09 10 2 7" xfId="14031" xr:uid="{00000000-0005-0000-0000-0000AF360000}"/>
    <cellStyle name="c09 10 2 8" xfId="14032" xr:uid="{00000000-0005-0000-0000-0000B0360000}"/>
    <cellStyle name="c09 10 2 9" xfId="14033" xr:uid="{00000000-0005-0000-0000-0000B1360000}"/>
    <cellStyle name="c09 10 3" xfId="14034" xr:uid="{00000000-0005-0000-0000-0000B2360000}"/>
    <cellStyle name="c09 10 3 10" xfId="14035" xr:uid="{00000000-0005-0000-0000-0000B3360000}"/>
    <cellStyle name="c09 10 3 11" xfId="14036" xr:uid="{00000000-0005-0000-0000-0000B4360000}"/>
    <cellStyle name="c09 10 3 2" xfId="14037" xr:uid="{00000000-0005-0000-0000-0000B5360000}"/>
    <cellStyle name="c09 10 3 3" xfId="14038" xr:uid="{00000000-0005-0000-0000-0000B6360000}"/>
    <cellStyle name="c09 10 3 4" xfId="14039" xr:uid="{00000000-0005-0000-0000-0000B7360000}"/>
    <cellStyle name="c09 10 3 5" xfId="14040" xr:uid="{00000000-0005-0000-0000-0000B8360000}"/>
    <cellStyle name="c09 10 3 6" xfId="14041" xr:uid="{00000000-0005-0000-0000-0000B9360000}"/>
    <cellStyle name="c09 10 3 7" xfId="14042" xr:uid="{00000000-0005-0000-0000-0000BA360000}"/>
    <cellStyle name="c09 10 3 8" xfId="14043" xr:uid="{00000000-0005-0000-0000-0000BB360000}"/>
    <cellStyle name="c09 10 3 9" xfId="14044" xr:uid="{00000000-0005-0000-0000-0000BC360000}"/>
    <cellStyle name="c09 10 4" xfId="14045" xr:uid="{00000000-0005-0000-0000-0000BD360000}"/>
    <cellStyle name="c09 10 5" xfId="14046" xr:uid="{00000000-0005-0000-0000-0000BE360000}"/>
    <cellStyle name="c09 10 6" xfId="14047" xr:uid="{00000000-0005-0000-0000-0000BF360000}"/>
    <cellStyle name="c09 10 7" xfId="14048" xr:uid="{00000000-0005-0000-0000-0000C0360000}"/>
    <cellStyle name="c09 10 8" xfId="14049" xr:uid="{00000000-0005-0000-0000-0000C1360000}"/>
    <cellStyle name="c09 10 9" xfId="14050" xr:uid="{00000000-0005-0000-0000-0000C2360000}"/>
    <cellStyle name="c09 11" xfId="14051" xr:uid="{00000000-0005-0000-0000-0000C3360000}"/>
    <cellStyle name="c09 11 10" xfId="14052" xr:uid="{00000000-0005-0000-0000-0000C4360000}"/>
    <cellStyle name="c09 11 11" xfId="14053" xr:uid="{00000000-0005-0000-0000-0000C5360000}"/>
    <cellStyle name="c09 11 12" xfId="14054" xr:uid="{00000000-0005-0000-0000-0000C6360000}"/>
    <cellStyle name="c09 11 13" xfId="14055" xr:uid="{00000000-0005-0000-0000-0000C7360000}"/>
    <cellStyle name="c09 11 2" xfId="14056" xr:uid="{00000000-0005-0000-0000-0000C8360000}"/>
    <cellStyle name="c09 11 2 10" xfId="14057" xr:uid="{00000000-0005-0000-0000-0000C9360000}"/>
    <cellStyle name="c09 11 2 11" xfId="14058" xr:uid="{00000000-0005-0000-0000-0000CA360000}"/>
    <cellStyle name="c09 11 2 12" xfId="14059" xr:uid="{00000000-0005-0000-0000-0000CB360000}"/>
    <cellStyle name="c09 11 2 2" xfId="14060" xr:uid="{00000000-0005-0000-0000-0000CC360000}"/>
    <cellStyle name="c09 11 2 2 10" xfId="14061" xr:uid="{00000000-0005-0000-0000-0000CD360000}"/>
    <cellStyle name="c09 11 2 2 2" xfId="14062" xr:uid="{00000000-0005-0000-0000-0000CE360000}"/>
    <cellStyle name="c09 11 2 2 3" xfId="14063" xr:uid="{00000000-0005-0000-0000-0000CF360000}"/>
    <cellStyle name="c09 11 2 2 4" xfId="14064" xr:uid="{00000000-0005-0000-0000-0000D0360000}"/>
    <cellStyle name="c09 11 2 2 5" xfId="14065" xr:uid="{00000000-0005-0000-0000-0000D1360000}"/>
    <cellStyle name="c09 11 2 2 6" xfId="14066" xr:uid="{00000000-0005-0000-0000-0000D2360000}"/>
    <cellStyle name="c09 11 2 2 7" xfId="14067" xr:uid="{00000000-0005-0000-0000-0000D3360000}"/>
    <cellStyle name="c09 11 2 2 8" xfId="14068" xr:uid="{00000000-0005-0000-0000-0000D4360000}"/>
    <cellStyle name="c09 11 2 2 9" xfId="14069" xr:uid="{00000000-0005-0000-0000-0000D5360000}"/>
    <cellStyle name="c09 11 2 3" xfId="14070" xr:uid="{00000000-0005-0000-0000-0000D6360000}"/>
    <cellStyle name="c09 11 2 4" xfId="14071" xr:uid="{00000000-0005-0000-0000-0000D7360000}"/>
    <cellStyle name="c09 11 2 5" xfId="14072" xr:uid="{00000000-0005-0000-0000-0000D8360000}"/>
    <cellStyle name="c09 11 2 6" xfId="14073" xr:uid="{00000000-0005-0000-0000-0000D9360000}"/>
    <cellStyle name="c09 11 2 7" xfId="14074" xr:uid="{00000000-0005-0000-0000-0000DA360000}"/>
    <cellStyle name="c09 11 2 8" xfId="14075" xr:uid="{00000000-0005-0000-0000-0000DB360000}"/>
    <cellStyle name="c09 11 2 9" xfId="14076" xr:uid="{00000000-0005-0000-0000-0000DC360000}"/>
    <cellStyle name="c09 11 3" xfId="14077" xr:uid="{00000000-0005-0000-0000-0000DD360000}"/>
    <cellStyle name="c09 11 3 10" xfId="14078" xr:uid="{00000000-0005-0000-0000-0000DE360000}"/>
    <cellStyle name="c09 11 3 11" xfId="14079" xr:uid="{00000000-0005-0000-0000-0000DF360000}"/>
    <cellStyle name="c09 11 3 2" xfId="14080" xr:uid="{00000000-0005-0000-0000-0000E0360000}"/>
    <cellStyle name="c09 11 3 3" xfId="14081" xr:uid="{00000000-0005-0000-0000-0000E1360000}"/>
    <cellStyle name="c09 11 3 4" xfId="14082" xr:uid="{00000000-0005-0000-0000-0000E2360000}"/>
    <cellStyle name="c09 11 3 5" xfId="14083" xr:uid="{00000000-0005-0000-0000-0000E3360000}"/>
    <cellStyle name="c09 11 3 6" xfId="14084" xr:uid="{00000000-0005-0000-0000-0000E4360000}"/>
    <cellStyle name="c09 11 3 7" xfId="14085" xr:uid="{00000000-0005-0000-0000-0000E5360000}"/>
    <cellStyle name="c09 11 3 8" xfId="14086" xr:uid="{00000000-0005-0000-0000-0000E6360000}"/>
    <cellStyle name="c09 11 3 9" xfId="14087" xr:uid="{00000000-0005-0000-0000-0000E7360000}"/>
    <cellStyle name="c09 11 4" xfId="14088" xr:uid="{00000000-0005-0000-0000-0000E8360000}"/>
    <cellStyle name="c09 11 5" xfId="14089" xr:uid="{00000000-0005-0000-0000-0000E9360000}"/>
    <cellStyle name="c09 11 6" xfId="14090" xr:uid="{00000000-0005-0000-0000-0000EA360000}"/>
    <cellStyle name="c09 11 7" xfId="14091" xr:uid="{00000000-0005-0000-0000-0000EB360000}"/>
    <cellStyle name="c09 11 8" xfId="14092" xr:uid="{00000000-0005-0000-0000-0000EC360000}"/>
    <cellStyle name="c09 11 9" xfId="14093" xr:uid="{00000000-0005-0000-0000-0000ED360000}"/>
    <cellStyle name="c09 12" xfId="14094" xr:uid="{00000000-0005-0000-0000-0000EE360000}"/>
    <cellStyle name="c09 12 10" xfId="14095" xr:uid="{00000000-0005-0000-0000-0000EF360000}"/>
    <cellStyle name="c09 12 11" xfId="14096" xr:uid="{00000000-0005-0000-0000-0000F0360000}"/>
    <cellStyle name="c09 12 12" xfId="14097" xr:uid="{00000000-0005-0000-0000-0000F1360000}"/>
    <cellStyle name="c09 12 13" xfId="14098" xr:uid="{00000000-0005-0000-0000-0000F2360000}"/>
    <cellStyle name="c09 12 2" xfId="14099" xr:uid="{00000000-0005-0000-0000-0000F3360000}"/>
    <cellStyle name="c09 12 2 10" xfId="14100" xr:uid="{00000000-0005-0000-0000-0000F4360000}"/>
    <cellStyle name="c09 12 2 11" xfId="14101" xr:uid="{00000000-0005-0000-0000-0000F5360000}"/>
    <cellStyle name="c09 12 2 12" xfId="14102" xr:uid="{00000000-0005-0000-0000-0000F6360000}"/>
    <cellStyle name="c09 12 2 2" xfId="14103" xr:uid="{00000000-0005-0000-0000-0000F7360000}"/>
    <cellStyle name="c09 12 2 2 10" xfId="14104" xr:uid="{00000000-0005-0000-0000-0000F8360000}"/>
    <cellStyle name="c09 12 2 2 2" xfId="14105" xr:uid="{00000000-0005-0000-0000-0000F9360000}"/>
    <cellStyle name="c09 12 2 2 3" xfId="14106" xr:uid="{00000000-0005-0000-0000-0000FA360000}"/>
    <cellStyle name="c09 12 2 2 4" xfId="14107" xr:uid="{00000000-0005-0000-0000-0000FB360000}"/>
    <cellStyle name="c09 12 2 2 5" xfId="14108" xr:uid="{00000000-0005-0000-0000-0000FC360000}"/>
    <cellStyle name="c09 12 2 2 6" xfId="14109" xr:uid="{00000000-0005-0000-0000-0000FD360000}"/>
    <cellStyle name="c09 12 2 2 7" xfId="14110" xr:uid="{00000000-0005-0000-0000-0000FE360000}"/>
    <cellStyle name="c09 12 2 2 8" xfId="14111" xr:uid="{00000000-0005-0000-0000-0000FF360000}"/>
    <cellStyle name="c09 12 2 2 9" xfId="14112" xr:uid="{00000000-0005-0000-0000-000000370000}"/>
    <cellStyle name="c09 12 2 3" xfId="14113" xr:uid="{00000000-0005-0000-0000-000001370000}"/>
    <cellStyle name="c09 12 2 4" xfId="14114" xr:uid="{00000000-0005-0000-0000-000002370000}"/>
    <cellStyle name="c09 12 2 5" xfId="14115" xr:uid="{00000000-0005-0000-0000-000003370000}"/>
    <cellStyle name="c09 12 2 6" xfId="14116" xr:uid="{00000000-0005-0000-0000-000004370000}"/>
    <cellStyle name="c09 12 2 7" xfId="14117" xr:uid="{00000000-0005-0000-0000-000005370000}"/>
    <cellStyle name="c09 12 2 8" xfId="14118" xr:uid="{00000000-0005-0000-0000-000006370000}"/>
    <cellStyle name="c09 12 2 9" xfId="14119" xr:uid="{00000000-0005-0000-0000-000007370000}"/>
    <cellStyle name="c09 12 3" xfId="14120" xr:uid="{00000000-0005-0000-0000-000008370000}"/>
    <cellStyle name="c09 12 3 10" xfId="14121" xr:uid="{00000000-0005-0000-0000-000009370000}"/>
    <cellStyle name="c09 12 3 11" xfId="14122" xr:uid="{00000000-0005-0000-0000-00000A370000}"/>
    <cellStyle name="c09 12 3 2" xfId="14123" xr:uid="{00000000-0005-0000-0000-00000B370000}"/>
    <cellStyle name="c09 12 3 3" xfId="14124" xr:uid="{00000000-0005-0000-0000-00000C370000}"/>
    <cellStyle name="c09 12 3 4" xfId="14125" xr:uid="{00000000-0005-0000-0000-00000D370000}"/>
    <cellStyle name="c09 12 3 5" xfId="14126" xr:uid="{00000000-0005-0000-0000-00000E370000}"/>
    <cellStyle name="c09 12 3 6" xfId="14127" xr:uid="{00000000-0005-0000-0000-00000F370000}"/>
    <cellStyle name="c09 12 3 7" xfId="14128" xr:uid="{00000000-0005-0000-0000-000010370000}"/>
    <cellStyle name="c09 12 3 8" xfId="14129" xr:uid="{00000000-0005-0000-0000-000011370000}"/>
    <cellStyle name="c09 12 3 9" xfId="14130" xr:uid="{00000000-0005-0000-0000-000012370000}"/>
    <cellStyle name="c09 12 4" xfId="14131" xr:uid="{00000000-0005-0000-0000-000013370000}"/>
    <cellStyle name="c09 12 5" xfId="14132" xr:uid="{00000000-0005-0000-0000-000014370000}"/>
    <cellStyle name="c09 12 6" xfId="14133" xr:uid="{00000000-0005-0000-0000-000015370000}"/>
    <cellStyle name="c09 12 7" xfId="14134" xr:uid="{00000000-0005-0000-0000-000016370000}"/>
    <cellStyle name="c09 12 8" xfId="14135" xr:uid="{00000000-0005-0000-0000-000017370000}"/>
    <cellStyle name="c09 12 9" xfId="14136" xr:uid="{00000000-0005-0000-0000-000018370000}"/>
    <cellStyle name="c09 13" xfId="14137" xr:uid="{00000000-0005-0000-0000-000019370000}"/>
    <cellStyle name="c09 13 10" xfId="14138" xr:uid="{00000000-0005-0000-0000-00001A370000}"/>
    <cellStyle name="c09 13 11" xfId="14139" xr:uid="{00000000-0005-0000-0000-00001B370000}"/>
    <cellStyle name="c09 13 12" xfId="14140" xr:uid="{00000000-0005-0000-0000-00001C370000}"/>
    <cellStyle name="c09 13 2" xfId="14141" xr:uid="{00000000-0005-0000-0000-00001D370000}"/>
    <cellStyle name="c09 13 2 10" xfId="14142" xr:uid="{00000000-0005-0000-0000-00001E370000}"/>
    <cellStyle name="c09 13 2 2" xfId="14143" xr:uid="{00000000-0005-0000-0000-00001F370000}"/>
    <cellStyle name="c09 13 2 3" xfId="14144" xr:uid="{00000000-0005-0000-0000-000020370000}"/>
    <cellStyle name="c09 13 2 4" xfId="14145" xr:uid="{00000000-0005-0000-0000-000021370000}"/>
    <cellStyle name="c09 13 2 5" xfId="14146" xr:uid="{00000000-0005-0000-0000-000022370000}"/>
    <cellStyle name="c09 13 2 6" xfId="14147" xr:uid="{00000000-0005-0000-0000-000023370000}"/>
    <cellStyle name="c09 13 2 7" xfId="14148" xr:uid="{00000000-0005-0000-0000-000024370000}"/>
    <cellStyle name="c09 13 2 8" xfId="14149" xr:uid="{00000000-0005-0000-0000-000025370000}"/>
    <cellStyle name="c09 13 2 9" xfId="14150" xr:uid="{00000000-0005-0000-0000-000026370000}"/>
    <cellStyle name="c09 13 3" xfId="14151" xr:uid="{00000000-0005-0000-0000-000027370000}"/>
    <cellStyle name="c09 13 4" xfId="14152" xr:uid="{00000000-0005-0000-0000-000028370000}"/>
    <cellStyle name="c09 13 5" xfId="14153" xr:uid="{00000000-0005-0000-0000-000029370000}"/>
    <cellStyle name="c09 13 6" xfId="14154" xr:uid="{00000000-0005-0000-0000-00002A370000}"/>
    <cellStyle name="c09 13 7" xfId="14155" xr:uid="{00000000-0005-0000-0000-00002B370000}"/>
    <cellStyle name="c09 13 8" xfId="14156" xr:uid="{00000000-0005-0000-0000-00002C370000}"/>
    <cellStyle name="c09 13 9" xfId="14157" xr:uid="{00000000-0005-0000-0000-00002D370000}"/>
    <cellStyle name="c09 14" xfId="14158" xr:uid="{00000000-0005-0000-0000-00002E370000}"/>
    <cellStyle name="c09 14 10" xfId="14159" xr:uid="{00000000-0005-0000-0000-00002F370000}"/>
    <cellStyle name="c09 14 11" xfId="14160" xr:uid="{00000000-0005-0000-0000-000030370000}"/>
    <cellStyle name="c09 14 2" xfId="14161" xr:uid="{00000000-0005-0000-0000-000031370000}"/>
    <cellStyle name="c09 14 3" xfId="14162" xr:uid="{00000000-0005-0000-0000-000032370000}"/>
    <cellStyle name="c09 14 4" xfId="14163" xr:uid="{00000000-0005-0000-0000-000033370000}"/>
    <cellStyle name="c09 14 5" xfId="14164" xr:uid="{00000000-0005-0000-0000-000034370000}"/>
    <cellStyle name="c09 14 6" xfId="14165" xr:uid="{00000000-0005-0000-0000-000035370000}"/>
    <cellStyle name="c09 14 7" xfId="14166" xr:uid="{00000000-0005-0000-0000-000036370000}"/>
    <cellStyle name="c09 14 8" xfId="14167" xr:uid="{00000000-0005-0000-0000-000037370000}"/>
    <cellStyle name="c09 14 9" xfId="14168" xr:uid="{00000000-0005-0000-0000-000038370000}"/>
    <cellStyle name="c09 15" xfId="14169" xr:uid="{00000000-0005-0000-0000-000039370000}"/>
    <cellStyle name="c09 16" xfId="14170" xr:uid="{00000000-0005-0000-0000-00003A370000}"/>
    <cellStyle name="c09 17" xfId="14171" xr:uid="{00000000-0005-0000-0000-00003B370000}"/>
    <cellStyle name="c09 18" xfId="14172" xr:uid="{00000000-0005-0000-0000-00003C370000}"/>
    <cellStyle name="c09 19" xfId="14173" xr:uid="{00000000-0005-0000-0000-00003D370000}"/>
    <cellStyle name="c09 2" xfId="14174" xr:uid="{00000000-0005-0000-0000-00003E370000}"/>
    <cellStyle name="c09 2 10" xfId="14175" xr:uid="{00000000-0005-0000-0000-00003F370000}"/>
    <cellStyle name="c09 2 11" xfId="14176" xr:uid="{00000000-0005-0000-0000-000040370000}"/>
    <cellStyle name="c09 2 12" xfId="14177" xr:uid="{00000000-0005-0000-0000-000041370000}"/>
    <cellStyle name="c09 2 13" xfId="14178" xr:uid="{00000000-0005-0000-0000-000042370000}"/>
    <cellStyle name="c09 2 2" xfId="14179" xr:uid="{00000000-0005-0000-0000-000043370000}"/>
    <cellStyle name="c09 2 2 10" xfId="14180" xr:uid="{00000000-0005-0000-0000-000044370000}"/>
    <cellStyle name="c09 2 2 11" xfId="14181" xr:uid="{00000000-0005-0000-0000-000045370000}"/>
    <cellStyle name="c09 2 2 12" xfId="14182" xr:uid="{00000000-0005-0000-0000-000046370000}"/>
    <cellStyle name="c09 2 2 2" xfId="14183" xr:uid="{00000000-0005-0000-0000-000047370000}"/>
    <cellStyle name="c09 2 2 2 10" xfId="14184" xr:uid="{00000000-0005-0000-0000-000048370000}"/>
    <cellStyle name="c09 2 2 2 2" xfId="14185" xr:uid="{00000000-0005-0000-0000-000049370000}"/>
    <cellStyle name="c09 2 2 2 3" xfId="14186" xr:uid="{00000000-0005-0000-0000-00004A370000}"/>
    <cellStyle name="c09 2 2 2 4" xfId="14187" xr:uid="{00000000-0005-0000-0000-00004B370000}"/>
    <cellStyle name="c09 2 2 2 5" xfId="14188" xr:uid="{00000000-0005-0000-0000-00004C370000}"/>
    <cellStyle name="c09 2 2 2 6" xfId="14189" xr:uid="{00000000-0005-0000-0000-00004D370000}"/>
    <cellStyle name="c09 2 2 2 7" xfId="14190" xr:uid="{00000000-0005-0000-0000-00004E370000}"/>
    <cellStyle name="c09 2 2 2 8" xfId="14191" xr:uid="{00000000-0005-0000-0000-00004F370000}"/>
    <cellStyle name="c09 2 2 2 9" xfId="14192" xr:uid="{00000000-0005-0000-0000-000050370000}"/>
    <cellStyle name="c09 2 2 3" xfId="14193" xr:uid="{00000000-0005-0000-0000-000051370000}"/>
    <cellStyle name="c09 2 2 4" xfId="14194" xr:uid="{00000000-0005-0000-0000-000052370000}"/>
    <cellStyle name="c09 2 2 5" xfId="14195" xr:uid="{00000000-0005-0000-0000-000053370000}"/>
    <cellStyle name="c09 2 2 6" xfId="14196" xr:uid="{00000000-0005-0000-0000-000054370000}"/>
    <cellStyle name="c09 2 2 7" xfId="14197" xr:uid="{00000000-0005-0000-0000-000055370000}"/>
    <cellStyle name="c09 2 2 8" xfId="14198" xr:uid="{00000000-0005-0000-0000-000056370000}"/>
    <cellStyle name="c09 2 2 9" xfId="14199" xr:uid="{00000000-0005-0000-0000-000057370000}"/>
    <cellStyle name="c09 2 3" xfId="14200" xr:uid="{00000000-0005-0000-0000-000058370000}"/>
    <cellStyle name="c09 2 3 10" xfId="14201" xr:uid="{00000000-0005-0000-0000-000059370000}"/>
    <cellStyle name="c09 2 3 11" xfId="14202" xr:uid="{00000000-0005-0000-0000-00005A370000}"/>
    <cellStyle name="c09 2 3 2" xfId="14203" xr:uid="{00000000-0005-0000-0000-00005B370000}"/>
    <cellStyle name="c09 2 3 3" xfId="14204" xr:uid="{00000000-0005-0000-0000-00005C370000}"/>
    <cellStyle name="c09 2 3 4" xfId="14205" xr:uid="{00000000-0005-0000-0000-00005D370000}"/>
    <cellStyle name="c09 2 3 5" xfId="14206" xr:uid="{00000000-0005-0000-0000-00005E370000}"/>
    <cellStyle name="c09 2 3 6" xfId="14207" xr:uid="{00000000-0005-0000-0000-00005F370000}"/>
    <cellStyle name="c09 2 3 7" xfId="14208" xr:uid="{00000000-0005-0000-0000-000060370000}"/>
    <cellStyle name="c09 2 3 8" xfId="14209" xr:uid="{00000000-0005-0000-0000-000061370000}"/>
    <cellStyle name="c09 2 3 9" xfId="14210" xr:uid="{00000000-0005-0000-0000-000062370000}"/>
    <cellStyle name="c09 2 4" xfId="14211" xr:uid="{00000000-0005-0000-0000-000063370000}"/>
    <cellStyle name="c09 2 5" xfId="14212" xr:uid="{00000000-0005-0000-0000-000064370000}"/>
    <cellStyle name="c09 2 6" xfId="14213" xr:uid="{00000000-0005-0000-0000-000065370000}"/>
    <cellStyle name="c09 2 7" xfId="14214" xr:uid="{00000000-0005-0000-0000-000066370000}"/>
    <cellStyle name="c09 2 8" xfId="14215" xr:uid="{00000000-0005-0000-0000-000067370000}"/>
    <cellStyle name="c09 2 9" xfId="14216" xr:uid="{00000000-0005-0000-0000-000068370000}"/>
    <cellStyle name="c09 20" xfId="14217" xr:uid="{00000000-0005-0000-0000-000069370000}"/>
    <cellStyle name="c09 21" xfId="14218" xr:uid="{00000000-0005-0000-0000-00006A370000}"/>
    <cellStyle name="c09 22" xfId="14219" xr:uid="{00000000-0005-0000-0000-00006B370000}"/>
    <cellStyle name="c09 23" xfId="14220" xr:uid="{00000000-0005-0000-0000-00006C370000}"/>
    <cellStyle name="c09 24" xfId="14221" xr:uid="{00000000-0005-0000-0000-00006D370000}"/>
    <cellStyle name="c09 3" xfId="14222" xr:uid="{00000000-0005-0000-0000-00006E370000}"/>
    <cellStyle name="c09 3 10" xfId="14223" xr:uid="{00000000-0005-0000-0000-00006F370000}"/>
    <cellStyle name="c09 3 11" xfId="14224" xr:uid="{00000000-0005-0000-0000-000070370000}"/>
    <cellStyle name="c09 3 12" xfId="14225" xr:uid="{00000000-0005-0000-0000-000071370000}"/>
    <cellStyle name="c09 3 13" xfId="14226" xr:uid="{00000000-0005-0000-0000-000072370000}"/>
    <cellStyle name="c09 3 2" xfId="14227" xr:uid="{00000000-0005-0000-0000-000073370000}"/>
    <cellStyle name="c09 3 2 10" xfId="14228" xr:uid="{00000000-0005-0000-0000-000074370000}"/>
    <cellStyle name="c09 3 2 11" xfId="14229" xr:uid="{00000000-0005-0000-0000-000075370000}"/>
    <cellStyle name="c09 3 2 12" xfId="14230" xr:uid="{00000000-0005-0000-0000-000076370000}"/>
    <cellStyle name="c09 3 2 2" xfId="14231" xr:uid="{00000000-0005-0000-0000-000077370000}"/>
    <cellStyle name="c09 3 2 2 10" xfId="14232" xr:uid="{00000000-0005-0000-0000-000078370000}"/>
    <cellStyle name="c09 3 2 2 2" xfId="14233" xr:uid="{00000000-0005-0000-0000-000079370000}"/>
    <cellStyle name="c09 3 2 2 3" xfId="14234" xr:uid="{00000000-0005-0000-0000-00007A370000}"/>
    <cellStyle name="c09 3 2 2 4" xfId="14235" xr:uid="{00000000-0005-0000-0000-00007B370000}"/>
    <cellStyle name="c09 3 2 2 5" xfId="14236" xr:uid="{00000000-0005-0000-0000-00007C370000}"/>
    <cellStyle name="c09 3 2 2 6" xfId="14237" xr:uid="{00000000-0005-0000-0000-00007D370000}"/>
    <cellStyle name="c09 3 2 2 7" xfId="14238" xr:uid="{00000000-0005-0000-0000-00007E370000}"/>
    <cellStyle name="c09 3 2 2 8" xfId="14239" xr:uid="{00000000-0005-0000-0000-00007F370000}"/>
    <cellStyle name="c09 3 2 2 9" xfId="14240" xr:uid="{00000000-0005-0000-0000-000080370000}"/>
    <cellStyle name="c09 3 2 3" xfId="14241" xr:uid="{00000000-0005-0000-0000-000081370000}"/>
    <cellStyle name="c09 3 2 4" xfId="14242" xr:uid="{00000000-0005-0000-0000-000082370000}"/>
    <cellStyle name="c09 3 2 5" xfId="14243" xr:uid="{00000000-0005-0000-0000-000083370000}"/>
    <cellStyle name="c09 3 2 6" xfId="14244" xr:uid="{00000000-0005-0000-0000-000084370000}"/>
    <cellStyle name="c09 3 2 7" xfId="14245" xr:uid="{00000000-0005-0000-0000-000085370000}"/>
    <cellStyle name="c09 3 2 8" xfId="14246" xr:uid="{00000000-0005-0000-0000-000086370000}"/>
    <cellStyle name="c09 3 2 9" xfId="14247" xr:uid="{00000000-0005-0000-0000-000087370000}"/>
    <cellStyle name="c09 3 3" xfId="14248" xr:uid="{00000000-0005-0000-0000-000088370000}"/>
    <cellStyle name="c09 3 3 10" xfId="14249" xr:uid="{00000000-0005-0000-0000-000089370000}"/>
    <cellStyle name="c09 3 3 11" xfId="14250" xr:uid="{00000000-0005-0000-0000-00008A370000}"/>
    <cellStyle name="c09 3 3 2" xfId="14251" xr:uid="{00000000-0005-0000-0000-00008B370000}"/>
    <cellStyle name="c09 3 3 3" xfId="14252" xr:uid="{00000000-0005-0000-0000-00008C370000}"/>
    <cellStyle name="c09 3 3 4" xfId="14253" xr:uid="{00000000-0005-0000-0000-00008D370000}"/>
    <cellStyle name="c09 3 3 5" xfId="14254" xr:uid="{00000000-0005-0000-0000-00008E370000}"/>
    <cellStyle name="c09 3 3 6" xfId="14255" xr:uid="{00000000-0005-0000-0000-00008F370000}"/>
    <cellStyle name="c09 3 3 7" xfId="14256" xr:uid="{00000000-0005-0000-0000-000090370000}"/>
    <cellStyle name="c09 3 3 8" xfId="14257" xr:uid="{00000000-0005-0000-0000-000091370000}"/>
    <cellStyle name="c09 3 3 9" xfId="14258" xr:uid="{00000000-0005-0000-0000-000092370000}"/>
    <cellStyle name="c09 3 4" xfId="14259" xr:uid="{00000000-0005-0000-0000-000093370000}"/>
    <cellStyle name="c09 3 5" xfId="14260" xr:uid="{00000000-0005-0000-0000-000094370000}"/>
    <cellStyle name="c09 3 6" xfId="14261" xr:uid="{00000000-0005-0000-0000-000095370000}"/>
    <cellStyle name="c09 3 7" xfId="14262" xr:uid="{00000000-0005-0000-0000-000096370000}"/>
    <cellStyle name="c09 3 8" xfId="14263" xr:uid="{00000000-0005-0000-0000-000097370000}"/>
    <cellStyle name="c09 3 9" xfId="14264" xr:uid="{00000000-0005-0000-0000-000098370000}"/>
    <cellStyle name="c09 4" xfId="14265" xr:uid="{00000000-0005-0000-0000-000099370000}"/>
    <cellStyle name="c09 4 10" xfId="14266" xr:uid="{00000000-0005-0000-0000-00009A370000}"/>
    <cellStyle name="c09 4 11" xfId="14267" xr:uid="{00000000-0005-0000-0000-00009B370000}"/>
    <cellStyle name="c09 4 12" xfId="14268" xr:uid="{00000000-0005-0000-0000-00009C370000}"/>
    <cellStyle name="c09 4 13" xfId="14269" xr:uid="{00000000-0005-0000-0000-00009D370000}"/>
    <cellStyle name="c09 4 2" xfId="14270" xr:uid="{00000000-0005-0000-0000-00009E370000}"/>
    <cellStyle name="c09 4 2 10" xfId="14271" xr:uid="{00000000-0005-0000-0000-00009F370000}"/>
    <cellStyle name="c09 4 2 11" xfId="14272" xr:uid="{00000000-0005-0000-0000-0000A0370000}"/>
    <cellStyle name="c09 4 2 12" xfId="14273" xr:uid="{00000000-0005-0000-0000-0000A1370000}"/>
    <cellStyle name="c09 4 2 2" xfId="14274" xr:uid="{00000000-0005-0000-0000-0000A2370000}"/>
    <cellStyle name="c09 4 2 2 10" xfId="14275" xr:uid="{00000000-0005-0000-0000-0000A3370000}"/>
    <cellStyle name="c09 4 2 2 2" xfId="14276" xr:uid="{00000000-0005-0000-0000-0000A4370000}"/>
    <cellStyle name="c09 4 2 2 3" xfId="14277" xr:uid="{00000000-0005-0000-0000-0000A5370000}"/>
    <cellStyle name="c09 4 2 2 4" xfId="14278" xr:uid="{00000000-0005-0000-0000-0000A6370000}"/>
    <cellStyle name="c09 4 2 2 5" xfId="14279" xr:uid="{00000000-0005-0000-0000-0000A7370000}"/>
    <cellStyle name="c09 4 2 2 6" xfId="14280" xr:uid="{00000000-0005-0000-0000-0000A8370000}"/>
    <cellStyle name="c09 4 2 2 7" xfId="14281" xr:uid="{00000000-0005-0000-0000-0000A9370000}"/>
    <cellStyle name="c09 4 2 2 8" xfId="14282" xr:uid="{00000000-0005-0000-0000-0000AA370000}"/>
    <cellStyle name="c09 4 2 2 9" xfId="14283" xr:uid="{00000000-0005-0000-0000-0000AB370000}"/>
    <cellStyle name="c09 4 2 3" xfId="14284" xr:uid="{00000000-0005-0000-0000-0000AC370000}"/>
    <cellStyle name="c09 4 2 4" xfId="14285" xr:uid="{00000000-0005-0000-0000-0000AD370000}"/>
    <cellStyle name="c09 4 2 5" xfId="14286" xr:uid="{00000000-0005-0000-0000-0000AE370000}"/>
    <cellStyle name="c09 4 2 6" xfId="14287" xr:uid="{00000000-0005-0000-0000-0000AF370000}"/>
    <cellStyle name="c09 4 2 7" xfId="14288" xr:uid="{00000000-0005-0000-0000-0000B0370000}"/>
    <cellStyle name="c09 4 2 8" xfId="14289" xr:uid="{00000000-0005-0000-0000-0000B1370000}"/>
    <cellStyle name="c09 4 2 9" xfId="14290" xr:uid="{00000000-0005-0000-0000-0000B2370000}"/>
    <cellStyle name="c09 4 3" xfId="14291" xr:uid="{00000000-0005-0000-0000-0000B3370000}"/>
    <cellStyle name="c09 4 3 10" xfId="14292" xr:uid="{00000000-0005-0000-0000-0000B4370000}"/>
    <cellStyle name="c09 4 3 11" xfId="14293" xr:uid="{00000000-0005-0000-0000-0000B5370000}"/>
    <cellStyle name="c09 4 3 2" xfId="14294" xr:uid="{00000000-0005-0000-0000-0000B6370000}"/>
    <cellStyle name="c09 4 3 3" xfId="14295" xr:uid="{00000000-0005-0000-0000-0000B7370000}"/>
    <cellStyle name="c09 4 3 4" xfId="14296" xr:uid="{00000000-0005-0000-0000-0000B8370000}"/>
    <cellStyle name="c09 4 3 5" xfId="14297" xr:uid="{00000000-0005-0000-0000-0000B9370000}"/>
    <cellStyle name="c09 4 3 6" xfId="14298" xr:uid="{00000000-0005-0000-0000-0000BA370000}"/>
    <cellStyle name="c09 4 3 7" xfId="14299" xr:uid="{00000000-0005-0000-0000-0000BB370000}"/>
    <cellStyle name="c09 4 3 8" xfId="14300" xr:uid="{00000000-0005-0000-0000-0000BC370000}"/>
    <cellStyle name="c09 4 3 9" xfId="14301" xr:uid="{00000000-0005-0000-0000-0000BD370000}"/>
    <cellStyle name="c09 4 4" xfId="14302" xr:uid="{00000000-0005-0000-0000-0000BE370000}"/>
    <cellStyle name="c09 4 5" xfId="14303" xr:uid="{00000000-0005-0000-0000-0000BF370000}"/>
    <cellStyle name="c09 4 6" xfId="14304" xr:uid="{00000000-0005-0000-0000-0000C0370000}"/>
    <cellStyle name="c09 4 7" xfId="14305" xr:uid="{00000000-0005-0000-0000-0000C1370000}"/>
    <cellStyle name="c09 4 8" xfId="14306" xr:uid="{00000000-0005-0000-0000-0000C2370000}"/>
    <cellStyle name="c09 4 9" xfId="14307" xr:uid="{00000000-0005-0000-0000-0000C3370000}"/>
    <cellStyle name="c09 5" xfId="14308" xr:uid="{00000000-0005-0000-0000-0000C4370000}"/>
    <cellStyle name="c09 5 10" xfId="14309" xr:uid="{00000000-0005-0000-0000-0000C5370000}"/>
    <cellStyle name="c09 5 11" xfId="14310" xr:uid="{00000000-0005-0000-0000-0000C6370000}"/>
    <cellStyle name="c09 5 12" xfId="14311" xr:uid="{00000000-0005-0000-0000-0000C7370000}"/>
    <cellStyle name="c09 5 13" xfId="14312" xr:uid="{00000000-0005-0000-0000-0000C8370000}"/>
    <cellStyle name="c09 5 2" xfId="14313" xr:uid="{00000000-0005-0000-0000-0000C9370000}"/>
    <cellStyle name="c09 5 2 10" xfId="14314" xr:uid="{00000000-0005-0000-0000-0000CA370000}"/>
    <cellStyle name="c09 5 2 11" xfId="14315" xr:uid="{00000000-0005-0000-0000-0000CB370000}"/>
    <cellStyle name="c09 5 2 12" xfId="14316" xr:uid="{00000000-0005-0000-0000-0000CC370000}"/>
    <cellStyle name="c09 5 2 2" xfId="14317" xr:uid="{00000000-0005-0000-0000-0000CD370000}"/>
    <cellStyle name="c09 5 2 2 10" xfId="14318" xr:uid="{00000000-0005-0000-0000-0000CE370000}"/>
    <cellStyle name="c09 5 2 2 2" xfId="14319" xr:uid="{00000000-0005-0000-0000-0000CF370000}"/>
    <cellStyle name="c09 5 2 2 3" xfId="14320" xr:uid="{00000000-0005-0000-0000-0000D0370000}"/>
    <cellStyle name="c09 5 2 2 4" xfId="14321" xr:uid="{00000000-0005-0000-0000-0000D1370000}"/>
    <cellStyle name="c09 5 2 2 5" xfId="14322" xr:uid="{00000000-0005-0000-0000-0000D2370000}"/>
    <cellStyle name="c09 5 2 2 6" xfId="14323" xr:uid="{00000000-0005-0000-0000-0000D3370000}"/>
    <cellStyle name="c09 5 2 2 7" xfId="14324" xr:uid="{00000000-0005-0000-0000-0000D4370000}"/>
    <cellStyle name="c09 5 2 2 8" xfId="14325" xr:uid="{00000000-0005-0000-0000-0000D5370000}"/>
    <cellStyle name="c09 5 2 2 9" xfId="14326" xr:uid="{00000000-0005-0000-0000-0000D6370000}"/>
    <cellStyle name="c09 5 2 3" xfId="14327" xr:uid="{00000000-0005-0000-0000-0000D7370000}"/>
    <cellStyle name="c09 5 2 4" xfId="14328" xr:uid="{00000000-0005-0000-0000-0000D8370000}"/>
    <cellStyle name="c09 5 2 5" xfId="14329" xr:uid="{00000000-0005-0000-0000-0000D9370000}"/>
    <cellStyle name="c09 5 2 6" xfId="14330" xr:uid="{00000000-0005-0000-0000-0000DA370000}"/>
    <cellStyle name="c09 5 2 7" xfId="14331" xr:uid="{00000000-0005-0000-0000-0000DB370000}"/>
    <cellStyle name="c09 5 2 8" xfId="14332" xr:uid="{00000000-0005-0000-0000-0000DC370000}"/>
    <cellStyle name="c09 5 2 9" xfId="14333" xr:uid="{00000000-0005-0000-0000-0000DD370000}"/>
    <cellStyle name="c09 5 3" xfId="14334" xr:uid="{00000000-0005-0000-0000-0000DE370000}"/>
    <cellStyle name="c09 5 3 10" xfId="14335" xr:uid="{00000000-0005-0000-0000-0000DF370000}"/>
    <cellStyle name="c09 5 3 11" xfId="14336" xr:uid="{00000000-0005-0000-0000-0000E0370000}"/>
    <cellStyle name="c09 5 3 2" xfId="14337" xr:uid="{00000000-0005-0000-0000-0000E1370000}"/>
    <cellStyle name="c09 5 3 3" xfId="14338" xr:uid="{00000000-0005-0000-0000-0000E2370000}"/>
    <cellStyle name="c09 5 3 4" xfId="14339" xr:uid="{00000000-0005-0000-0000-0000E3370000}"/>
    <cellStyle name="c09 5 3 5" xfId="14340" xr:uid="{00000000-0005-0000-0000-0000E4370000}"/>
    <cellStyle name="c09 5 3 6" xfId="14341" xr:uid="{00000000-0005-0000-0000-0000E5370000}"/>
    <cellStyle name="c09 5 3 7" xfId="14342" xr:uid="{00000000-0005-0000-0000-0000E6370000}"/>
    <cellStyle name="c09 5 3 8" xfId="14343" xr:uid="{00000000-0005-0000-0000-0000E7370000}"/>
    <cellStyle name="c09 5 3 9" xfId="14344" xr:uid="{00000000-0005-0000-0000-0000E8370000}"/>
    <cellStyle name="c09 5 4" xfId="14345" xr:uid="{00000000-0005-0000-0000-0000E9370000}"/>
    <cellStyle name="c09 5 5" xfId="14346" xr:uid="{00000000-0005-0000-0000-0000EA370000}"/>
    <cellStyle name="c09 5 6" xfId="14347" xr:uid="{00000000-0005-0000-0000-0000EB370000}"/>
    <cellStyle name="c09 5 7" xfId="14348" xr:uid="{00000000-0005-0000-0000-0000EC370000}"/>
    <cellStyle name="c09 5 8" xfId="14349" xr:uid="{00000000-0005-0000-0000-0000ED370000}"/>
    <cellStyle name="c09 5 9" xfId="14350" xr:uid="{00000000-0005-0000-0000-0000EE370000}"/>
    <cellStyle name="c09 6" xfId="14351" xr:uid="{00000000-0005-0000-0000-0000EF370000}"/>
    <cellStyle name="c09 6 10" xfId="14352" xr:uid="{00000000-0005-0000-0000-0000F0370000}"/>
    <cellStyle name="c09 6 11" xfId="14353" xr:uid="{00000000-0005-0000-0000-0000F1370000}"/>
    <cellStyle name="c09 6 12" xfId="14354" xr:uid="{00000000-0005-0000-0000-0000F2370000}"/>
    <cellStyle name="c09 6 13" xfId="14355" xr:uid="{00000000-0005-0000-0000-0000F3370000}"/>
    <cellStyle name="c09 6 2" xfId="14356" xr:uid="{00000000-0005-0000-0000-0000F4370000}"/>
    <cellStyle name="c09 6 2 10" xfId="14357" xr:uid="{00000000-0005-0000-0000-0000F5370000}"/>
    <cellStyle name="c09 6 2 11" xfId="14358" xr:uid="{00000000-0005-0000-0000-0000F6370000}"/>
    <cellStyle name="c09 6 2 12" xfId="14359" xr:uid="{00000000-0005-0000-0000-0000F7370000}"/>
    <cellStyle name="c09 6 2 2" xfId="14360" xr:uid="{00000000-0005-0000-0000-0000F8370000}"/>
    <cellStyle name="c09 6 2 2 10" xfId="14361" xr:uid="{00000000-0005-0000-0000-0000F9370000}"/>
    <cellStyle name="c09 6 2 2 2" xfId="14362" xr:uid="{00000000-0005-0000-0000-0000FA370000}"/>
    <cellStyle name="c09 6 2 2 3" xfId="14363" xr:uid="{00000000-0005-0000-0000-0000FB370000}"/>
    <cellStyle name="c09 6 2 2 4" xfId="14364" xr:uid="{00000000-0005-0000-0000-0000FC370000}"/>
    <cellStyle name="c09 6 2 2 5" xfId="14365" xr:uid="{00000000-0005-0000-0000-0000FD370000}"/>
    <cellStyle name="c09 6 2 2 6" xfId="14366" xr:uid="{00000000-0005-0000-0000-0000FE370000}"/>
    <cellStyle name="c09 6 2 2 7" xfId="14367" xr:uid="{00000000-0005-0000-0000-0000FF370000}"/>
    <cellStyle name="c09 6 2 2 8" xfId="14368" xr:uid="{00000000-0005-0000-0000-000000380000}"/>
    <cellStyle name="c09 6 2 2 9" xfId="14369" xr:uid="{00000000-0005-0000-0000-000001380000}"/>
    <cellStyle name="c09 6 2 3" xfId="14370" xr:uid="{00000000-0005-0000-0000-000002380000}"/>
    <cellStyle name="c09 6 2 4" xfId="14371" xr:uid="{00000000-0005-0000-0000-000003380000}"/>
    <cellStyle name="c09 6 2 5" xfId="14372" xr:uid="{00000000-0005-0000-0000-000004380000}"/>
    <cellStyle name="c09 6 2 6" xfId="14373" xr:uid="{00000000-0005-0000-0000-000005380000}"/>
    <cellStyle name="c09 6 2 7" xfId="14374" xr:uid="{00000000-0005-0000-0000-000006380000}"/>
    <cellStyle name="c09 6 2 8" xfId="14375" xr:uid="{00000000-0005-0000-0000-000007380000}"/>
    <cellStyle name="c09 6 2 9" xfId="14376" xr:uid="{00000000-0005-0000-0000-000008380000}"/>
    <cellStyle name="c09 6 3" xfId="14377" xr:uid="{00000000-0005-0000-0000-000009380000}"/>
    <cellStyle name="c09 6 3 10" xfId="14378" xr:uid="{00000000-0005-0000-0000-00000A380000}"/>
    <cellStyle name="c09 6 3 11" xfId="14379" xr:uid="{00000000-0005-0000-0000-00000B380000}"/>
    <cellStyle name="c09 6 3 2" xfId="14380" xr:uid="{00000000-0005-0000-0000-00000C380000}"/>
    <cellStyle name="c09 6 3 3" xfId="14381" xr:uid="{00000000-0005-0000-0000-00000D380000}"/>
    <cellStyle name="c09 6 3 4" xfId="14382" xr:uid="{00000000-0005-0000-0000-00000E380000}"/>
    <cellStyle name="c09 6 3 5" xfId="14383" xr:uid="{00000000-0005-0000-0000-00000F380000}"/>
    <cellStyle name="c09 6 3 6" xfId="14384" xr:uid="{00000000-0005-0000-0000-000010380000}"/>
    <cellStyle name="c09 6 3 7" xfId="14385" xr:uid="{00000000-0005-0000-0000-000011380000}"/>
    <cellStyle name="c09 6 3 8" xfId="14386" xr:uid="{00000000-0005-0000-0000-000012380000}"/>
    <cellStyle name="c09 6 3 9" xfId="14387" xr:uid="{00000000-0005-0000-0000-000013380000}"/>
    <cellStyle name="c09 6 4" xfId="14388" xr:uid="{00000000-0005-0000-0000-000014380000}"/>
    <cellStyle name="c09 6 5" xfId="14389" xr:uid="{00000000-0005-0000-0000-000015380000}"/>
    <cellStyle name="c09 6 6" xfId="14390" xr:uid="{00000000-0005-0000-0000-000016380000}"/>
    <cellStyle name="c09 6 7" xfId="14391" xr:uid="{00000000-0005-0000-0000-000017380000}"/>
    <cellStyle name="c09 6 8" xfId="14392" xr:uid="{00000000-0005-0000-0000-000018380000}"/>
    <cellStyle name="c09 6 9" xfId="14393" xr:uid="{00000000-0005-0000-0000-000019380000}"/>
    <cellStyle name="c09 7" xfId="14394" xr:uid="{00000000-0005-0000-0000-00001A380000}"/>
    <cellStyle name="c09 7 10" xfId="14395" xr:uid="{00000000-0005-0000-0000-00001B380000}"/>
    <cellStyle name="c09 7 11" xfId="14396" xr:uid="{00000000-0005-0000-0000-00001C380000}"/>
    <cellStyle name="c09 7 12" xfId="14397" xr:uid="{00000000-0005-0000-0000-00001D380000}"/>
    <cellStyle name="c09 7 13" xfId="14398" xr:uid="{00000000-0005-0000-0000-00001E380000}"/>
    <cellStyle name="c09 7 2" xfId="14399" xr:uid="{00000000-0005-0000-0000-00001F380000}"/>
    <cellStyle name="c09 7 2 10" xfId="14400" xr:uid="{00000000-0005-0000-0000-000020380000}"/>
    <cellStyle name="c09 7 2 11" xfId="14401" xr:uid="{00000000-0005-0000-0000-000021380000}"/>
    <cellStyle name="c09 7 2 12" xfId="14402" xr:uid="{00000000-0005-0000-0000-000022380000}"/>
    <cellStyle name="c09 7 2 2" xfId="14403" xr:uid="{00000000-0005-0000-0000-000023380000}"/>
    <cellStyle name="c09 7 2 2 10" xfId="14404" xr:uid="{00000000-0005-0000-0000-000024380000}"/>
    <cellStyle name="c09 7 2 2 2" xfId="14405" xr:uid="{00000000-0005-0000-0000-000025380000}"/>
    <cellStyle name="c09 7 2 2 3" xfId="14406" xr:uid="{00000000-0005-0000-0000-000026380000}"/>
    <cellStyle name="c09 7 2 2 4" xfId="14407" xr:uid="{00000000-0005-0000-0000-000027380000}"/>
    <cellStyle name="c09 7 2 2 5" xfId="14408" xr:uid="{00000000-0005-0000-0000-000028380000}"/>
    <cellStyle name="c09 7 2 2 6" xfId="14409" xr:uid="{00000000-0005-0000-0000-000029380000}"/>
    <cellStyle name="c09 7 2 2 7" xfId="14410" xr:uid="{00000000-0005-0000-0000-00002A380000}"/>
    <cellStyle name="c09 7 2 2 8" xfId="14411" xr:uid="{00000000-0005-0000-0000-00002B380000}"/>
    <cellStyle name="c09 7 2 2 9" xfId="14412" xr:uid="{00000000-0005-0000-0000-00002C380000}"/>
    <cellStyle name="c09 7 2 3" xfId="14413" xr:uid="{00000000-0005-0000-0000-00002D380000}"/>
    <cellStyle name="c09 7 2 4" xfId="14414" xr:uid="{00000000-0005-0000-0000-00002E380000}"/>
    <cellStyle name="c09 7 2 5" xfId="14415" xr:uid="{00000000-0005-0000-0000-00002F380000}"/>
    <cellStyle name="c09 7 2 6" xfId="14416" xr:uid="{00000000-0005-0000-0000-000030380000}"/>
    <cellStyle name="c09 7 2 7" xfId="14417" xr:uid="{00000000-0005-0000-0000-000031380000}"/>
    <cellStyle name="c09 7 2 8" xfId="14418" xr:uid="{00000000-0005-0000-0000-000032380000}"/>
    <cellStyle name="c09 7 2 9" xfId="14419" xr:uid="{00000000-0005-0000-0000-000033380000}"/>
    <cellStyle name="c09 7 3" xfId="14420" xr:uid="{00000000-0005-0000-0000-000034380000}"/>
    <cellStyle name="c09 7 3 10" xfId="14421" xr:uid="{00000000-0005-0000-0000-000035380000}"/>
    <cellStyle name="c09 7 3 11" xfId="14422" xr:uid="{00000000-0005-0000-0000-000036380000}"/>
    <cellStyle name="c09 7 3 2" xfId="14423" xr:uid="{00000000-0005-0000-0000-000037380000}"/>
    <cellStyle name="c09 7 3 3" xfId="14424" xr:uid="{00000000-0005-0000-0000-000038380000}"/>
    <cellStyle name="c09 7 3 4" xfId="14425" xr:uid="{00000000-0005-0000-0000-000039380000}"/>
    <cellStyle name="c09 7 3 5" xfId="14426" xr:uid="{00000000-0005-0000-0000-00003A380000}"/>
    <cellStyle name="c09 7 3 6" xfId="14427" xr:uid="{00000000-0005-0000-0000-00003B380000}"/>
    <cellStyle name="c09 7 3 7" xfId="14428" xr:uid="{00000000-0005-0000-0000-00003C380000}"/>
    <cellStyle name="c09 7 3 8" xfId="14429" xr:uid="{00000000-0005-0000-0000-00003D380000}"/>
    <cellStyle name="c09 7 3 9" xfId="14430" xr:uid="{00000000-0005-0000-0000-00003E380000}"/>
    <cellStyle name="c09 7 4" xfId="14431" xr:uid="{00000000-0005-0000-0000-00003F380000}"/>
    <cellStyle name="c09 7 5" xfId="14432" xr:uid="{00000000-0005-0000-0000-000040380000}"/>
    <cellStyle name="c09 7 6" xfId="14433" xr:uid="{00000000-0005-0000-0000-000041380000}"/>
    <cellStyle name="c09 7 7" xfId="14434" xr:uid="{00000000-0005-0000-0000-000042380000}"/>
    <cellStyle name="c09 7 8" xfId="14435" xr:uid="{00000000-0005-0000-0000-000043380000}"/>
    <cellStyle name="c09 7 9" xfId="14436" xr:uid="{00000000-0005-0000-0000-000044380000}"/>
    <cellStyle name="c09 8" xfId="14437" xr:uid="{00000000-0005-0000-0000-000045380000}"/>
    <cellStyle name="c09 8 10" xfId="14438" xr:uid="{00000000-0005-0000-0000-000046380000}"/>
    <cellStyle name="c09 8 11" xfId="14439" xr:uid="{00000000-0005-0000-0000-000047380000}"/>
    <cellStyle name="c09 8 12" xfId="14440" xr:uid="{00000000-0005-0000-0000-000048380000}"/>
    <cellStyle name="c09 8 13" xfId="14441" xr:uid="{00000000-0005-0000-0000-000049380000}"/>
    <cellStyle name="c09 8 2" xfId="14442" xr:uid="{00000000-0005-0000-0000-00004A380000}"/>
    <cellStyle name="c09 8 2 10" xfId="14443" xr:uid="{00000000-0005-0000-0000-00004B380000}"/>
    <cellStyle name="c09 8 2 11" xfId="14444" xr:uid="{00000000-0005-0000-0000-00004C380000}"/>
    <cellStyle name="c09 8 2 12" xfId="14445" xr:uid="{00000000-0005-0000-0000-00004D380000}"/>
    <cellStyle name="c09 8 2 2" xfId="14446" xr:uid="{00000000-0005-0000-0000-00004E380000}"/>
    <cellStyle name="c09 8 2 2 10" xfId="14447" xr:uid="{00000000-0005-0000-0000-00004F380000}"/>
    <cellStyle name="c09 8 2 2 2" xfId="14448" xr:uid="{00000000-0005-0000-0000-000050380000}"/>
    <cellStyle name="c09 8 2 2 3" xfId="14449" xr:uid="{00000000-0005-0000-0000-000051380000}"/>
    <cellStyle name="c09 8 2 2 4" xfId="14450" xr:uid="{00000000-0005-0000-0000-000052380000}"/>
    <cellStyle name="c09 8 2 2 5" xfId="14451" xr:uid="{00000000-0005-0000-0000-000053380000}"/>
    <cellStyle name="c09 8 2 2 6" xfId="14452" xr:uid="{00000000-0005-0000-0000-000054380000}"/>
    <cellStyle name="c09 8 2 2 7" xfId="14453" xr:uid="{00000000-0005-0000-0000-000055380000}"/>
    <cellStyle name="c09 8 2 2 8" xfId="14454" xr:uid="{00000000-0005-0000-0000-000056380000}"/>
    <cellStyle name="c09 8 2 2 9" xfId="14455" xr:uid="{00000000-0005-0000-0000-000057380000}"/>
    <cellStyle name="c09 8 2 3" xfId="14456" xr:uid="{00000000-0005-0000-0000-000058380000}"/>
    <cellStyle name="c09 8 2 4" xfId="14457" xr:uid="{00000000-0005-0000-0000-000059380000}"/>
    <cellStyle name="c09 8 2 5" xfId="14458" xr:uid="{00000000-0005-0000-0000-00005A380000}"/>
    <cellStyle name="c09 8 2 6" xfId="14459" xr:uid="{00000000-0005-0000-0000-00005B380000}"/>
    <cellStyle name="c09 8 2 7" xfId="14460" xr:uid="{00000000-0005-0000-0000-00005C380000}"/>
    <cellStyle name="c09 8 2 8" xfId="14461" xr:uid="{00000000-0005-0000-0000-00005D380000}"/>
    <cellStyle name="c09 8 2 9" xfId="14462" xr:uid="{00000000-0005-0000-0000-00005E380000}"/>
    <cellStyle name="c09 8 3" xfId="14463" xr:uid="{00000000-0005-0000-0000-00005F380000}"/>
    <cellStyle name="c09 8 3 10" xfId="14464" xr:uid="{00000000-0005-0000-0000-000060380000}"/>
    <cellStyle name="c09 8 3 11" xfId="14465" xr:uid="{00000000-0005-0000-0000-000061380000}"/>
    <cellStyle name="c09 8 3 2" xfId="14466" xr:uid="{00000000-0005-0000-0000-000062380000}"/>
    <cellStyle name="c09 8 3 3" xfId="14467" xr:uid="{00000000-0005-0000-0000-000063380000}"/>
    <cellStyle name="c09 8 3 4" xfId="14468" xr:uid="{00000000-0005-0000-0000-000064380000}"/>
    <cellStyle name="c09 8 3 5" xfId="14469" xr:uid="{00000000-0005-0000-0000-000065380000}"/>
    <cellStyle name="c09 8 3 6" xfId="14470" xr:uid="{00000000-0005-0000-0000-000066380000}"/>
    <cellStyle name="c09 8 3 7" xfId="14471" xr:uid="{00000000-0005-0000-0000-000067380000}"/>
    <cellStyle name="c09 8 3 8" xfId="14472" xr:uid="{00000000-0005-0000-0000-000068380000}"/>
    <cellStyle name="c09 8 3 9" xfId="14473" xr:uid="{00000000-0005-0000-0000-000069380000}"/>
    <cellStyle name="c09 8 4" xfId="14474" xr:uid="{00000000-0005-0000-0000-00006A380000}"/>
    <cellStyle name="c09 8 5" xfId="14475" xr:uid="{00000000-0005-0000-0000-00006B380000}"/>
    <cellStyle name="c09 8 6" xfId="14476" xr:uid="{00000000-0005-0000-0000-00006C380000}"/>
    <cellStyle name="c09 8 7" xfId="14477" xr:uid="{00000000-0005-0000-0000-00006D380000}"/>
    <cellStyle name="c09 8 8" xfId="14478" xr:uid="{00000000-0005-0000-0000-00006E380000}"/>
    <cellStyle name="c09 8 9" xfId="14479" xr:uid="{00000000-0005-0000-0000-00006F380000}"/>
    <cellStyle name="c09 9" xfId="14480" xr:uid="{00000000-0005-0000-0000-000070380000}"/>
    <cellStyle name="c09 9 10" xfId="14481" xr:uid="{00000000-0005-0000-0000-000071380000}"/>
    <cellStyle name="c09 9 11" xfId="14482" xr:uid="{00000000-0005-0000-0000-000072380000}"/>
    <cellStyle name="c09 9 12" xfId="14483" xr:uid="{00000000-0005-0000-0000-000073380000}"/>
    <cellStyle name="c09 9 13" xfId="14484" xr:uid="{00000000-0005-0000-0000-000074380000}"/>
    <cellStyle name="c09 9 2" xfId="14485" xr:uid="{00000000-0005-0000-0000-000075380000}"/>
    <cellStyle name="c09 9 2 10" xfId="14486" xr:uid="{00000000-0005-0000-0000-000076380000}"/>
    <cellStyle name="c09 9 2 11" xfId="14487" xr:uid="{00000000-0005-0000-0000-000077380000}"/>
    <cellStyle name="c09 9 2 12" xfId="14488" xr:uid="{00000000-0005-0000-0000-000078380000}"/>
    <cellStyle name="c09 9 2 2" xfId="14489" xr:uid="{00000000-0005-0000-0000-000079380000}"/>
    <cellStyle name="c09 9 2 2 10" xfId="14490" xr:uid="{00000000-0005-0000-0000-00007A380000}"/>
    <cellStyle name="c09 9 2 2 2" xfId="14491" xr:uid="{00000000-0005-0000-0000-00007B380000}"/>
    <cellStyle name="c09 9 2 2 3" xfId="14492" xr:uid="{00000000-0005-0000-0000-00007C380000}"/>
    <cellStyle name="c09 9 2 2 4" xfId="14493" xr:uid="{00000000-0005-0000-0000-00007D380000}"/>
    <cellStyle name="c09 9 2 2 5" xfId="14494" xr:uid="{00000000-0005-0000-0000-00007E380000}"/>
    <cellStyle name="c09 9 2 2 6" xfId="14495" xr:uid="{00000000-0005-0000-0000-00007F380000}"/>
    <cellStyle name="c09 9 2 2 7" xfId="14496" xr:uid="{00000000-0005-0000-0000-000080380000}"/>
    <cellStyle name="c09 9 2 2 8" xfId="14497" xr:uid="{00000000-0005-0000-0000-000081380000}"/>
    <cellStyle name="c09 9 2 2 9" xfId="14498" xr:uid="{00000000-0005-0000-0000-000082380000}"/>
    <cellStyle name="c09 9 2 3" xfId="14499" xr:uid="{00000000-0005-0000-0000-000083380000}"/>
    <cellStyle name="c09 9 2 4" xfId="14500" xr:uid="{00000000-0005-0000-0000-000084380000}"/>
    <cellStyle name="c09 9 2 5" xfId="14501" xr:uid="{00000000-0005-0000-0000-000085380000}"/>
    <cellStyle name="c09 9 2 6" xfId="14502" xr:uid="{00000000-0005-0000-0000-000086380000}"/>
    <cellStyle name="c09 9 2 7" xfId="14503" xr:uid="{00000000-0005-0000-0000-000087380000}"/>
    <cellStyle name="c09 9 2 8" xfId="14504" xr:uid="{00000000-0005-0000-0000-000088380000}"/>
    <cellStyle name="c09 9 2 9" xfId="14505" xr:uid="{00000000-0005-0000-0000-000089380000}"/>
    <cellStyle name="c09 9 3" xfId="14506" xr:uid="{00000000-0005-0000-0000-00008A380000}"/>
    <cellStyle name="c09 9 3 10" xfId="14507" xr:uid="{00000000-0005-0000-0000-00008B380000}"/>
    <cellStyle name="c09 9 3 11" xfId="14508" xr:uid="{00000000-0005-0000-0000-00008C380000}"/>
    <cellStyle name="c09 9 3 2" xfId="14509" xr:uid="{00000000-0005-0000-0000-00008D380000}"/>
    <cellStyle name="c09 9 3 3" xfId="14510" xr:uid="{00000000-0005-0000-0000-00008E380000}"/>
    <cellStyle name="c09 9 3 4" xfId="14511" xr:uid="{00000000-0005-0000-0000-00008F380000}"/>
    <cellStyle name="c09 9 3 5" xfId="14512" xr:uid="{00000000-0005-0000-0000-000090380000}"/>
    <cellStyle name="c09 9 3 6" xfId="14513" xr:uid="{00000000-0005-0000-0000-000091380000}"/>
    <cellStyle name="c09 9 3 7" xfId="14514" xr:uid="{00000000-0005-0000-0000-000092380000}"/>
    <cellStyle name="c09 9 3 8" xfId="14515" xr:uid="{00000000-0005-0000-0000-000093380000}"/>
    <cellStyle name="c09 9 3 9" xfId="14516" xr:uid="{00000000-0005-0000-0000-000094380000}"/>
    <cellStyle name="c09 9 4" xfId="14517" xr:uid="{00000000-0005-0000-0000-000095380000}"/>
    <cellStyle name="c09 9 5" xfId="14518" xr:uid="{00000000-0005-0000-0000-000096380000}"/>
    <cellStyle name="c09 9 6" xfId="14519" xr:uid="{00000000-0005-0000-0000-000097380000}"/>
    <cellStyle name="c09 9 7" xfId="14520" xr:uid="{00000000-0005-0000-0000-000098380000}"/>
    <cellStyle name="c09 9 8" xfId="14521" xr:uid="{00000000-0005-0000-0000-000099380000}"/>
    <cellStyle name="c09 9 9" xfId="14522" xr:uid="{00000000-0005-0000-0000-00009A380000}"/>
    <cellStyle name="c1" xfId="14523" xr:uid="{00000000-0005-0000-0000-00009B380000}"/>
    <cellStyle name="c1 2" xfId="14524" xr:uid="{00000000-0005-0000-0000-00009C380000}"/>
    <cellStyle name="c2" xfId="14525" xr:uid="{00000000-0005-0000-0000-00009D380000}"/>
    <cellStyle name="c2 2" xfId="14526" xr:uid="{00000000-0005-0000-0000-00009E380000}"/>
    <cellStyle name="c22" xfId="14527" xr:uid="{00000000-0005-0000-0000-00009F380000}"/>
    <cellStyle name="c2x" xfId="14528" xr:uid="{00000000-0005-0000-0000-0000A0380000}"/>
    <cellStyle name="c3" xfId="14529" xr:uid="{00000000-0005-0000-0000-0000A1380000}"/>
    <cellStyle name="c3 2" xfId="14530" xr:uid="{00000000-0005-0000-0000-0000A2380000}"/>
    <cellStyle name="Cabecera 1" xfId="14531" xr:uid="{00000000-0005-0000-0000-0000A3380000}"/>
    <cellStyle name="Cabecera 1 2" xfId="14532" xr:uid="{00000000-0005-0000-0000-0000A4380000}"/>
    <cellStyle name="Cabecera 1 3" xfId="14533" xr:uid="{00000000-0005-0000-0000-0000A5380000}"/>
    <cellStyle name="Cabecera 1_Lista Supervisadas" xfId="14534" xr:uid="{00000000-0005-0000-0000-0000A6380000}"/>
    <cellStyle name="Cabecera 2" xfId="14535" xr:uid="{00000000-0005-0000-0000-0000A7380000}"/>
    <cellStyle name="Cabecera 2 2" xfId="14536" xr:uid="{00000000-0005-0000-0000-0000A8380000}"/>
    <cellStyle name="Cabecera 2 3" xfId="14537" xr:uid="{00000000-0005-0000-0000-0000A9380000}"/>
    <cellStyle name="Cabecera 2_Lista Supervisadas" xfId="14538" xr:uid="{00000000-0005-0000-0000-0000AA380000}"/>
    <cellStyle name="cal.General" xfId="14539" xr:uid="{00000000-0005-0000-0000-0000AB380000}"/>
    <cellStyle name="cal.General.or" xfId="14540" xr:uid="{00000000-0005-0000-0000-0000AC380000}"/>
    <cellStyle name="cal.General.or 2" xfId="14541" xr:uid="{00000000-0005-0000-0000-0000AD380000}"/>
    <cellStyle name="cal.General1" xfId="14542" xr:uid="{00000000-0005-0000-0000-0000AE380000}"/>
    <cellStyle name="cal.General1 10" xfId="14543" xr:uid="{00000000-0005-0000-0000-0000AF380000}"/>
    <cellStyle name="cal.General1 10 10" xfId="14544" xr:uid="{00000000-0005-0000-0000-0000B0380000}"/>
    <cellStyle name="cal.General1 10 11" xfId="14545" xr:uid="{00000000-0005-0000-0000-0000B1380000}"/>
    <cellStyle name="cal.General1 10 12" xfId="14546" xr:uid="{00000000-0005-0000-0000-0000B2380000}"/>
    <cellStyle name="cal.General1 10 13" xfId="14547" xr:uid="{00000000-0005-0000-0000-0000B3380000}"/>
    <cellStyle name="cal.General1 10 2" xfId="14548" xr:uid="{00000000-0005-0000-0000-0000B4380000}"/>
    <cellStyle name="cal.General1 10 2 10" xfId="14549" xr:uid="{00000000-0005-0000-0000-0000B5380000}"/>
    <cellStyle name="cal.General1 10 2 11" xfId="14550" xr:uid="{00000000-0005-0000-0000-0000B6380000}"/>
    <cellStyle name="cal.General1 10 2 12" xfId="14551" xr:uid="{00000000-0005-0000-0000-0000B7380000}"/>
    <cellStyle name="cal.General1 10 2 2" xfId="14552" xr:uid="{00000000-0005-0000-0000-0000B8380000}"/>
    <cellStyle name="cal.General1 10 2 2 10" xfId="14553" xr:uid="{00000000-0005-0000-0000-0000B9380000}"/>
    <cellStyle name="cal.General1 10 2 2 2" xfId="14554" xr:uid="{00000000-0005-0000-0000-0000BA380000}"/>
    <cellStyle name="cal.General1 10 2 2 3" xfId="14555" xr:uid="{00000000-0005-0000-0000-0000BB380000}"/>
    <cellStyle name="cal.General1 10 2 2 4" xfId="14556" xr:uid="{00000000-0005-0000-0000-0000BC380000}"/>
    <cellStyle name="cal.General1 10 2 2 5" xfId="14557" xr:uid="{00000000-0005-0000-0000-0000BD380000}"/>
    <cellStyle name="cal.General1 10 2 2 6" xfId="14558" xr:uid="{00000000-0005-0000-0000-0000BE380000}"/>
    <cellStyle name="cal.General1 10 2 2 7" xfId="14559" xr:uid="{00000000-0005-0000-0000-0000BF380000}"/>
    <cellStyle name="cal.General1 10 2 2 8" xfId="14560" xr:uid="{00000000-0005-0000-0000-0000C0380000}"/>
    <cellStyle name="cal.General1 10 2 2 9" xfId="14561" xr:uid="{00000000-0005-0000-0000-0000C1380000}"/>
    <cellStyle name="cal.General1 10 2 3" xfId="14562" xr:uid="{00000000-0005-0000-0000-0000C2380000}"/>
    <cellStyle name="cal.General1 10 2 4" xfId="14563" xr:uid="{00000000-0005-0000-0000-0000C3380000}"/>
    <cellStyle name="cal.General1 10 2 5" xfId="14564" xr:uid="{00000000-0005-0000-0000-0000C4380000}"/>
    <cellStyle name="cal.General1 10 2 6" xfId="14565" xr:uid="{00000000-0005-0000-0000-0000C5380000}"/>
    <cellStyle name="cal.General1 10 2 7" xfId="14566" xr:uid="{00000000-0005-0000-0000-0000C6380000}"/>
    <cellStyle name="cal.General1 10 2 8" xfId="14567" xr:uid="{00000000-0005-0000-0000-0000C7380000}"/>
    <cellStyle name="cal.General1 10 2 9" xfId="14568" xr:uid="{00000000-0005-0000-0000-0000C8380000}"/>
    <cellStyle name="cal.General1 10 3" xfId="14569" xr:uid="{00000000-0005-0000-0000-0000C9380000}"/>
    <cellStyle name="cal.General1 10 3 10" xfId="14570" xr:uid="{00000000-0005-0000-0000-0000CA380000}"/>
    <cellStyle name="cal.General1 10 3 11" xfId="14571" xr:uid="{00000000-0005-0000-0000-0000CB380000}"/>
    <cellStyle name="cal.General1 10 3 2" xfId="14572" xr:uid="{00000000-0005-0000-0000-0000CC380000}"/>
    <cellStyle name="cal.General1 10 3 3" xfId="14573" xr:uid="{00000000-0005-0000-0000-0000CD380000}"/>
    <cellStyle name="cal.General1 10 3 4" xfId="14574" xr:uid="{00000000-0005-0000-0000-0000CE380000}"/>
    <cellStyle name="cal.General1 10 3 5" xfId="14575" xr:uid="{00000000-0005-0000-0000-0000CF380000}"/>
    <cellStyle name="cal.General1 10 3 6" xfId="14576" xr:uid="{00000000-0005-0000-0000-0000D0380000}"/>
    <cellStyle name="cal.General1 10 3 7" xfId="14577" xr:uid="{00000000-0005-0000-0000-0000D1380000}"/>
    <cellStyle name="cal.General1 10 3 8" xfId="14578" xr:uid="{00000000-0005-0000-0000-0000D2380000}"/>
    <cellStyle name="cal.General1 10 3 9" xfId="14579" xr:uid="{00000000-0005-0000-0000-0000D3380000}"/>
    <cellStyle name="cal.General1 10 4" xfId="14580" xr:uid="{00000000-0005-0000-0000-0000D4380000}"/>
    <cellStyle name="cal.General1 10 5" xfId="14581" xr:uid="{00000000-0005-0000-0000-0000D5380000}"/>
    <cellStyle name="cal.General1 10 6" xfId="14582" xr:uid="{00000000-0005-0000-0000-0000D6380000}"/>
    <cellStyle name="cal.General1 10 7" xfId="14583" xr:uid="{00000000-0005-0000-0000-0000D7380000}"/>
    <cellStyle name="cal.General1 10 8" xfId="14584" xr:uid="{00000000-0005-0000-0000-0000D8380000}"/>
    <cellStyle name="cal.General1 10 9" xfId="14585" xr:uid="{00000000-0005-0000-0000-0000D9380000}"/>
    <cellStyle name="cal.General1 11" xfId="14586" xr:uid="{00000000-0005-0000-0000-0000DA380000}"/>
    <cellStyle name="cal.General1 11 10" xfId="14587" xr:uid="{00000000-0005-0000-0000-0000DB380000}"/>
    <cellStyle name="cal.General1 11 11" xfId="14588" xr:uid="{00000000-0005-0000-0000-0000DC380000}"/>
    <cellStyle name="cal.General1 11 12" xfId="14589" xr:uid="{00000000-0005-0000-0000-0000DD380000}"/>
    <cellStyle name="cal.General1 11 13" xfId="14590" xr:uid="{00000000-0005-0000-0000-0000DE380000}"/>
    <cellStyle name="cal.General1 11 2" xfId="14591" xr:uid="{00000000-0005-0000-0000-0000DF380000}"/>
    <cellStyle name="cal.General1 11 2 10" xfId="14592" xr:uid="{00000000-0005-0000-0000-0000E0380000}"/>
    <cellStyle name="cal.General1 11 2 11" xfId="14593" xr:uid="{00000000-0005-0000-0000-0000E1380000}"/>
    <cellStyle name="cal.General1 11 2 12" xfId="14594" xr:uid="{00000000-0005-0000-0000-0000E2380000}"/>
    <cellStyle name="cal.General1 11 2 2" xfId="14595" xr:uid="{00000000-0005-0000-0000-0000E3380000}"/>
    <cellStyle name="cal.General1 11 2 2 10" xfId="14596" xr:uid="{00000000-0005-0000-0000-0000E4380000}"/>
    <cellStyle name="cal.General1 11 2 2 2" xfId="14597" xr:uid="{00000000-0005-0000-0000-0000E5380000}"/>
    <cellStyle name="cal.General1 11 2 2 3" xfId="14598" xr:uid="{00000000-0005-0000-0000-0000E6380000}"/>
    <cellStyle name="cal.General1 11 2 2 4" xfId="14599" xr:uid="{00000000-0005-0000-0000-0000E7380000}"/>
    <cellStyle name="cal.General1 11 2 2 5" xfId="14600" xr:uid="{00000000-0005-0000-0000-0000E8380000}"/>
    <cellStyle name="cal.General1 11 2 2 6" xfId="14601" xr:uid="{00000000-0005-0000-0000-0000E9380000}"/>
    <cellStyle name="cal.General1 11 2 2 7" xfId="14602" xr:uid="{00000000-0005-0000-0000-0000EA380000}"/>
    <cellStyle name="cal.General1 11 2 2 8" xfId="14603" xr:uid="{00000000-0005-0000-0000-0000EB380000}"/>
    <cellStyle name="cal.General1 11 2 2 9" xfId="14604" xr:uid="{00000000-0005-0000-0000-0000EC380000}"/>
    <cellStyle name="cal.General1 11 2 3" xfId="14605" xr:uid="{00000000-0005-0000-0000-0000ED380000}"/>
    <cellStyle name="cal.General1 11 2 4" xfId="14606" xr:uid="{00000000-0005-0000-0000-0000EE380000}"/>
    <cellStyle name="cal.General1 11 2 5" xfId="14607" xr:uid="{00000000-0005-0000-0000-0000EF380000}"/>
    <cellStyle name="cal.General1 11 2 6" xfId="14608" xr:uid="{00000000-0005-0000-0000-0000F0380000}"/>
    <cellStyle name="cal.General1 11 2 7" xfId="14609" xr:uid="{00000000-0005-0000-0000-0000F1380000}"/>
    <cellStyle name="cal.General1 11 2 8" xfId="14610" xr:uid="{00000000-0005-0000-0000-0000F2380000}"/>
    <cellStyle name="cal.General1 11 2 9" xfId="14611" xr:uid="{00000000-0005-0000-0000-0000F3380000}"/>
    <cellStyle name="cal.General1 11 3" xfId="14612" xr:uid="{00000000-0005-0000-0000-0000F4380000}"/>
    <cellStyle name="cal.General1 11 3 10" xfId="14613" xr:uid="{00000000-0005-0000-0000-0000F5380000}"/>
    <cellStyle name="cal.General1 11 3 11" xfId="14614" xr:uid="{00000000-0005-0000-0000-0000F6380000}"/>
    <cellStyle name="cal.General1 11 3 2" xfId="14615" xr:uid="{00000000-0005-0000-0000-0000F7380000}"/>
    <cellStyle name="cal.General1 11 3 3" xfId="14616" xr:uid="{00000000-0005-0000-0000-0000F8380000}"/>
    <cellStyle name="cal.General1 11 3 4" xfId="14617" xr:uid="{00000000-0005-0000-0000-0000F9380000}"/>
    <cellStyle name="cal.General1 11 3 5" xfId="14618" xr:uid="{00000000-0005-0000-0000-0000FA380000}"/>
    <cellStyle name="cal.General1 11 3 6" xfId="14619" xr:uid="{00000000-0005-0000-0000-0000FB380000}"/>
    <cellStyle name="cal.General1 11 3 7" xfId="14620" xr:uid="{00000000-0005-0000-0000-0000FC380000}"/>
    <cellStyle name="cal.General1 11 3 8" xfId="14621" xr:uid="{00000000-0005-0000-0000-0000FD380000}"/>
    <cellStyle name="cal.General1 11 3 9" xfId="14622" xr:uid="{00000000-0005-0000-0000-0000FE380000}"/>
    <cellStyle name="cal.General1 11 4" xfId="14623" xr:uid="{00000000-0005-0000-0000-0000FF380000}"/>
    <cellStyle name="cal.General1 11 5" xfId="14624" xr:uid="{00000000-0005-0000-0000-000000390000}"/>
    <cellStyle name="cal.General1 11 6" xfId="14625" xr:uid="{00000000-0005-0000-0000-000001390000}"/>
    <cellStyle name="cal.General1 11 7" xfId="14626" xr:uid="{00000000-0005-0000-0000-000002390000}"/>
    <cellStyle name="cal.General1 11 8" xfId="14627" xr:uid="{00000000-0005-0000-0000-000003390000}"/>
    <cellStyle name="cal.General1 11 9" xfId="14628" xr:uid="{00000000-0005-0000-0000-000004390000}"/>
    <cellStyle name="cal.General1 12" xfId="14629" xr:uid="{00000000-0005-0000-0000-000005390000}"/>
    <cellStyle name="cal.General1 12 10" xfId="14630" xr:uid="{00000000-0005-0000-0000-000006390000}"/>
    <cellStyle name="cal.General1 12 11" xfId="14631" xr:uid="{00000000-0005-0000-0000-000007390000}"/>
    <cellStyle name="cal.General1 12 12" xfId="14632" xr:uid="{00000000-0005-0000-0000-000008390000}"/>
    <cellStyle name="cal.General1 12 13" xfId="14633" xr:uid="{00000000-0005-0000-0000-000009390000}"/>
    <cellStyle name="cal.General1 12 2" xfId="14634" xr:uid="{00000000-0005-0000-0000-00000A390000}"/>
    <cellStyle name="cal.General1 12 2 10" xfId="14635" xr:uid="{00000000-0005-0000-0000-00000B390000}"/>
    <cellStyle name="cal.General1 12 2 11" xfId="14636" xr:uid="{00000000-0005-0000-0000-00000C390000}"/>
    <cellStyle name="cal.General1 12 2 12" xfId="14637" xr:uid="{00000000-0005-0000-0000-00000D390000}"/>
    <cellStyle name="cal.General1 12 2 2" xfId="14638" xr:uid="{00000000-0005-0000-0000-00000E390000}"/>
    <cellStyle name="cal.General1 12 2 2 10" xfId="14639" xr:uid="{00000000-0005-0000-0000-00000F390000}"/>
    <cellStyle name="cal.General1 12 2 2 2" xfId="14640" xr:uid="{00000000-0005-0000-0000-000010390000}"/>
    <cellStyle name="cal.General1 12 2 2 3" xfId="14641" xr:uid="{00000000-0005-0000-0000-000011390000}"/>
    <cellStyle name="cal.General1 12 2 2 4" xfId="14642" xr:uid="{00000000-0005-0000-0000-000012390000}"/>
    <cellStyle name="cal.General1 12 2 2 5" xfId="14643" xr:uid="{00000000-0005-0000-0000-000013390000}"/>
    <cellStyle name="cal.General1 12 2 2 6" xfId="14644" xr:uid="{00000000-0005-0000-0000-000014390000}"/>
    <cellStyle name="cal.General1 12 2 2 7" xfId="14645" xr:uid="{00000000-0005-0000-0000-000015390000}"/>
    <cellStyle name="cal.General1 12 2 2 8" xfId="14646" xr:uid="{00000000-0005-0000-0000-000016390000}"/>
    <cellStyle name="cal.General1 12 2 2 9" xfId="14647" xr:uid="{00000000-0005-0000-0000-000017390000}"/>
    <cellStyle name="cal.General1 12 2 3" xfId="14648" xr:uid="{00000000-0005-0000-0000-000018390000}"/>
    <cellStyle name="cal.General1 12 2 4" xfId="14649" xr:uid="{00000000-0005-0000-0000-000019390000}"/>
    <cellStyle name="cal.General1 12 2 5" xfId="14650" xr:uid="{00000000-0005-0000-0000-00001A390000}"/>
    <cellStyle name="cal.General1 12 2 6" xfId="14651" xr:uid="{00000000-0005-0000-0000-00001B390000}"/>
    <cellStyle name="cal.General1 12 2 7" xfId="14652" xr:uid="{00000000-0005-0000-0000-00001C390000}"/>
    <cellStyle name="cal.General1 12 2 8" xfId="14653" xr:uid="{00000000-0005-0000-0000-00001D390000}"/>
    <cellStyle name="cal.General1 12 2 9" xfId="14654" xr:uid="{00000000-0005-0000-0000-00001E390000}"/>
    <cellStyle name="cal.General1 12 3" xfId="14655" xr:uid="{00000000-0005-0000-0000-00001F390000}"/>
    <cellStyle name="cal.General1 12 3 10" xfId="14656" xr:uid="{00000000-0005-0000-0000-000020390000}"/>
    <cellStyle name="cal.General1 12 3 11" xfId="14657" xr:uid="{00000000-0005-0000-0000-000021390000}"/>
    <cellStyle name="cal.General1 12 3 2" xfId="14658" xr:uid="{00000000-0005-0000-0000-000022390000}"/>
    <cellStyle name="cal.General1 12 3 3" xfId="14659" xr:uid="{00000000-0005-0000-0000-000023390000}"/>
    <cellStyle name="cal.General1 12 3 4" xfId="14660" xr:uid="{00000000-0005-0000-0000-000024390000}"/>
    <cellStyle name="cal.General1 12 3 5" xfId="14661" xr:uid="{00000000-0005-0000-0000-000025390000}"/>
    <cellStyle name="cal.General1 12 3 6" xfId="14662" xr:uid="{00000000-0005-0000-0000-000026390000}"/>
    <cellStyle name="cal.General1 12 3 7" xfId="14663" xr:uid="{00000000-0005-0000-0000-000027390000}"/>
    <cellStyle name="cal.General1 12 3 8" xfId="14664" xr:uid="{00000000-0005-0000-0000-000028390000}"/>
    <cellStyle name="cal.General1 12 3 9" xfId="14665" xr:uid="{00000000-0005-0000-0000-000029390000}"/>
    <cellStyle name="cal.General1 12 4" xfId="14666" xr:uid="{00000000-0005-0000-0000-00002A390000}"/>
    <cellStyle name="cal.General1 12 5" xfId="14667" xr:uid="{00000000-0005-0000-0000-00002B390000}"/>
    <cellStyle name="cal.General1 12 6" xfId="14668" xr:uid="{00000000-0005-0000-0000-00002C390000}"/>
    <cellStyle name="cal.General1 12 7" xfId="14669" xr:uid="{00000000-0005-0000-0000-00002D390000}"/>
    <cellStyle name="cal.General1 12 8" xfId="14670" xr:uid="{00000000-0005-0000-0000-00002E390000}"/>
    <cellStyle name="cal.General1 12 9" xfId="14671" xr:uid="{00000000-0005-0000-0000-00002F390000}"/>
    <cellStyle name="cal.General1 13" xfId="14672" xr:uid="{00000000-0005-0000-0000-000030390000}"/>
    <cellStyle name="cal.General1 13 10" xfId="14673" xr:uid="{00000000-0005-0000-0000-000031390000}"/>
    <cellStyle name="cal.General1 13 11" xfId="14674" xr:uid="{00000000-0005-0000-0000-000032390000}"/>
    <cellStyle name="cal.General1 13 12" xfId="14675" xr:uid="{00000000-0005-0000-0000-000033390000}"/>
    <cellStyle name="cal.General1 13 2" xfId="14676" xr:uid="{00000000-0005-0000-0000-000034390000}"/>
    <cellStyle name="cal.General1 13 2 10" xfId="14677" xr:uid="{00000000-0005-0000-0000-000035390000}"/>
    <cellStyle name="cal.General1 13 2 2" xfId="14678" xr:uid="{00000000-0005-0000-0000-000036390000}"/>
    <cellStyle name="cal.General1 13 2 3" xfId="14679" xr:uid="{00000000-0005-0000-0000-000037390000}"/>
    <cellStyle name="cal.General1 13 2 4" xfId="14680" xr:uid="{00000000-0005-0000-0000-000038390000}"/>
    <cellStyle name="cal.General1 13 2 5" xfId="14681" xr:uid="{00000000-0005-0000-0000-000039390000}"/>
    <cellStyle name="cal.General1 13 2 6" xfId="14682" xr:uid="{00000000-0005-0000-0000-00003A390000}"/>
    <cellStyle name="cal.General1 13 2 7" xfId="14683" xr:uid="{00000000-0005-0000-0000-00003B390000}"/>
    <cellStyle name="cal.General1 13 2 8" xfId="14684" xr:uid="{00000000-0005-0000-0000-00003C390000}"/>
    <cellStyle name="cal.General1 13 2 9" xfId="14685" xr:uid="{00000000-0005-0000-0000-00003D390000}"/>
    <cellStyle name="cal.General1 13 3" xfId="14686" xr:uid="{00000000-0005-0000-0000-00003E390000}"/>
    <cellStyle name="cal.General1 13 4" xfId="14687" xr:uid="{00000000-0005-0000-0000-00003F390000}"/>
    <cellStyle name="cal.General1 13 5" xfId="14688" xr:uid="{00000000-0005-0000-0000-000040390000}"/>
    <cellStyle name="cal.General1 13 6" xfId="14689" xr:uid="{00000000-0005-0000-0000-000041390000}"/>
    <cellStyle name="cal.General1 13 7" xfId="14690" xr:uid="{00000000-0005-0000-0000-000042390000}"/>
    <cellStyle name="cal.General1 13 8" xfId="14691" xr:uid="{00000000-0005-0000-0000-000043390000}"/>
    <cellStyle name="cal.General1 13 9" xfId="14692" xr:uid="{00000000-0005-0000-0000-000044390000}"/>
    <cellStyle name="cal.General1 14" xfId="14693" xr:uid="{00000000-0005-0000-0000-000045390000}"/>
    <cellStyle name="cal.General1 14 10" xfId="14694" xr:uid="{00000000-0005-0000-0000-000046390000}"/>
    <cellStyle name="cal.General1 14 11" xfId="14695" xr:uid="{00000000-0005-0000-0000-000047390000}"/>
    <cellStyle name="cal.General1 14 2" xfId="14696" xr:uid="{00000000-0005-0000-0000-000048390000}"/>
    <cellStyle name="cal.General1 14 3" xfId="14697" xr:uid="{00000000-0005-0000-0000-000049390000}"/>
    <cellStyle name="cal.General1 14 4" xfId="14698" xr:uid="{00000000-0005-0000-0000-00004A390000}"/>
    <cellStyle name="cal.General1 14 5" xfId="14699" xr:uid="{00000000-0005-0000-0000-00004B390000}"/>
    <cellStyle name="cal.General1 14 6" xfId="14700" xr:uid="{00000000-0005-0000-0000-00004C390000}"/>
    <cellStyle name="cal.General1 14 7" xfId="14701" xr:uid="{00000000-0005-0000-0000-00004D390000}"/>
    <cellStyle name="cal.General1 14 8" xfId="14702" xr:uid="{00000000-0005-0000-0000-00004E390000}"/>
    <cellStyle name="cal.General1 14 9" xfId="14703" xr:uid="{00000000-0005-0000-0000-00004F390000}"/>
    <cellStyle name="cal.General1 15" xfId="14704" xr:uid="{00000000-0005-0000-0000-000050390000}"/>
    <cellStyle name="cal.General1 16" xfId="14705" xr:uid="{00000000-0005-0000-0000-000051390000}"/>
    <cellStyle name="cal.General1 17" xfId="14706" xr:uid="{00000000-0005-0000-0000-000052390000}"/>
    <cellStyle name="cal.General1 18" xfId="14707" xr:uid="{00000000-0005-0000-0000-000053390000}"/>
    <cellStyle name="cal.General1 19" xfId="14708" xr:uid="{00000000-0005-0000-0000-000054390000}"/>
    <cellStyle name="cal.General1 2" xfId="14709" xr:uid="{00000000-0005-0000-0000-000055390000}"/>
    <cellStyle name="cal.General1 2 10" xfId="14710" xr:uid="{00000000-0005-0000-0000-000056390000}"/>
    <cellStyle name="cal.General1 2 11" xfId="14711" xr:uid="{00000000-0005-0000-0000-000057390000}"/>
    <cellStyle name="cal.General1 2 12" xfId="14712" xr:uid="{00000000-0005-0000-0000-000058390000}"/>
    <cellStyle name="cal.General1 2 13" xfId="14713" xr:uid="{00000000-0005-0000-0000-000059390000}"/>
    <cellStyle name="cal.General1 2 2" xfId="14714" xr:uid="{00000000-0005-0000-0000-00005A390000}"/>
    <cellStyle name="cal.General1 2 2 10" xfId="14715" xr:uid="{00000000-0005-0000-0000-00005B390000}"/>
    <cellStyle name="cal.General1 2 2 11" xfId="14716" xr:uid="{00000000-0005-0000-0000-00005C390000}"/>
    <cellStyle name="cal.General1 2 2 12" xfId="14717" xr:uid="{00000000-0005-0000-0000-00005D390000}"/>
    <cellStyle name="cal.General1 2 2 2" xfId="14718" xr:uid="{00000000-0005-0000-0000-00005E390000}"/>
    <cellStyle name="cal.General1 2 2 2 10" xfId="14719" xr:uid="{00000000-0005-0000-0000-00005F390000}"/>
    <cellStyle name="cal.General1 2 2 2 2" xfId="14720" xr:uid="{00000000-0005-0000-0000-000060390000}"/>
    <cellStyle name="cal.General1 2 2 2 3" xfId="14721" xr:uid="{00000000-0005-0000-0000-000061390000}"/>
    <cellStyle name="cal.General1 2 2 2 4" xfId="14722" xr:uid="{00000000-0005-0000-0000-000062390000}"/>
    <cellStyle name="cal.General1 2 2 2 5" xfId="14723" xr:uid="{00000000-0005-0000-0000-000063390000}"/>
    <cellStyle name="cal.General1 2 2 2 6" xfId="14724" xr:uid="{00000000-0005-0000-0000-000064390000}"/>
    <cellStyle name="cal.General1 2 2 2 7" xfId="14725" xr:uid="{00000000-0005-0000-0000-000065390000}"/>
    <cellStyle name="cal.General1 2 2 2 8" xfId="14726" xr:uid="{00000000-0005-0000-0000-000066390000}"/>
    <cellStyle name="cal.General1 2 2 2 9" xfId="14727" xr:uid="{00000000-0005-0000-0000-000067390000}"/>
    <cellStyle name="cal.General1 2 2 3" xfId="14728" xr:uid="{00000000-0005-0000-0000-000068390000}"/>
    <cellStyle name="cal.General1 2 2 4" xfId="14729" xr:uid="{00000000-0005-0000-0000-000069390000}"/>
    <cellStyle name="cal.General1 2 2 5" xfId="14730" xr:uid="{00000000-0005-0000-0000-00006A390000}"/>
    <cellStyle name="cal.General1 2 2 6" xfId="14731" xr:uid="{00000000-0005-0000-0000-00006B390000}"/>
    <cellStyle name="cal.General1 2 2 7" xfId="14732" xr:uid="{00000000-0005-0000-0000-00006C390000}"/>
    <cellStyle name="cal.General1 2 2 8" xfId="14733" xr:uid="{00000000-0005-0000-0000-00006D390000}"/>
    <cellStyle name="cal.General1 2 2 9" xfId="14734" xr:uid="{00000000-0005-0000-0000-00006E390000}"/>
    <cellStyle name="cal.General1 2 3" xfId="14735" xr:uid="{00000000-0005-0000-0000-00006F390000}"/>
    <cellStyle name="cal.General1 2 3 10" xfId="14736" xr:uid="{00000000-0005-0000-0000-000070390000}"/>
    <cellStyle name="cal.General1 2 3 11" xfId="14737" xr:uid="{00000000-0005-0000-0000-000071390000}"/>
    <cellStyle name="cal.General1 2 3 2" xfId="14738" xr:uid="{00000000-0005-0000-0000-000072390000}"/>
    <cellStyle name="cal.General1 2 3 3" xfId="14739" xr:uid="{00000000-0005-0000-0000-000073390000}"/>
    <cellStyle name="cal.General1 2 3 4" xfId="14740" xr:uid="{00000000-0005-0000-0000-000074390000}"/>
    <cellStyle name="cal.General1 2 3 5" xfId="14741" xr:uid="{00000000-0005-0000-0000-000075390000}"/>
    <cellStyle name="cal.General1 2 3 6" xfId="14742" xr:uid="{00000000-0005-0000-0000-000076390000}"/>
    <cellStyle name="cal.General1 2 3 7" xfId="14743" xr:uid="{00000000-0005-0000-0000-000077390000}"/>
    <cellStyle name="cal.General1 2 3 8" xfId="14744" xr:uid="{00000000-0005-0000-0000-000078390000}"/>
    <cellStyle name="cal.General1 2 3 9" xfId="14745" xr:uid="{00000000-0005-0000-0000-000079390000}"/>
    <cellStyle name="cal.General1 2 4" xfId="14746" xr:uid="{00000000-0005-0000-0000-00007A390000}"/>
    <cellStyle name="cal.General1 2 5" xfId="14747" xr:uid="{00000000-0005-0000-0000-00007B390000}"/>
    <cellStyle name="cal.General1 2 6" xfId="14748" xr:uid="{00000000-0005-0000-0000-00007C390000}"/>
    <cellStyle name="cal.General1 2 7" xfId="14749" xr:uid="{00000000-0005-0000-0000-00007D390000}"/>
    <cellStyle name="cal.General1 2 8" xfId="14750" xr:uid="{00000000-0005-0000-0000-00007E390000}"/>
    <cellStyle name="cal.General1 2 9" xfId="14751" xr:uid="{00000000-0005-0000-0000-00007F390000}"/>
    <cellStyle name="cal.General1 20" xfId="14752" xr:uid="{00000000-0005-0000-0000-000080390000}"/>
    <cellStyle name="cal.General1 21" xfId="14753" xr:uid="{00000000-0005-0000-0000-000081390000}"/>
    <cellStyle name="cal.General1 22" xfId="14754" xr:uid="{00000000-0005-0000-0000-000082390000}"/>
    <cellStyle name="cal.General1 23" xfId="14755" xr:uid="{00000000-0005-0000-0000-000083390000}"/>
    <cellStyle name="cal.General1 24" xfId="14756" xr:uid="{00000000-0005-0000-0000-000084390000}"/>
    <cellStyle name="cal.General1 3" xfId="14757" xr:uid="{00000000-0005-0000-0000-000085390000}"/>
    <cellStyle name="cal.General1 3 10" xfId="14758" xr:uid="{00000000-0005-0000-0000-000086390000}"/>
    <cellStyle name="cal.General1 3 11" xfId="14759" xr:uid="{00000000-0005-0000-0000-000087390000}"/>
    <cellStyle name="cal.General1 3 12" xfId="14760" xr:uid="{00000000-0005-0000-0000-000088390000}"/>
    <cellStyle name="cal.General1 3 13" xfId="14761" xr:uid="{00000000-0005-0000-0000-000089390000}"/>
    <cellStyle name="cal.General1 3 2" xfId="14762" xr:uid="{00000000-0005-0000-0000-00008A390000}"/>
    <cellStyle name="cal.General1 3 2 10" xfId="14763" xr:uid="{00000000-0005-0000-0000-00008B390000}"/>
    <cellStyle name="cal.General1 3 2 11" xfId="14764" xr:uid="{00000000-0005-0000-0000-00008C390000}"/>
    <cellStyle name="cal.General1 3 2 12" xfId="14765" xr:uid="{00000000-0005-0000-0000-00008D390000}"/>
    <cellStyle name="cal.General1 3 2 2" xfId="14766" xr:uid="{00000000-0005-0000-0000-00008E390000}"/>
    <cellStyle name="cal.General1 3 2 2 10" xfId="14767" xr:uid="{00000000-0005-0000-0000-00008F390000}"/>
    <cellStyle name="cal.General1 3 2 2 2" xfId="14768" xr:uid="{00000000-0005-0000-0000-000090390000}"/>
    <cellStyle name="cal.General1 3 2 2 3" xfId="14769" xr:uid="{00000000-0005-0000-0000-000091390000}"/>
    <cellStyle name="cal.General1 3 2 2 4" xfId="14770" xr:uid="{00000000-0005-0000-0000-000092390000}"/>
    <cellStyle name="cal.General1 3 2 2 5" xfId="14771" xr:uid="{00000000-0005-0000-0000-000093390000}"/>
    <cellStyle name="cal.General1 3 2 2 6" xfId="14772" xr:uid="{00000000-0005-0000-0000-000094390000}"/>
    <cellStyle name="cal.General1 3 2 2 7" xfId="14773" xr:uid="{00000000-0005-0000-0000-000095390000}"/>
    <cellStyle name="cal.General1 3 2 2 8" xfId="14774" xr:uid="{00000000-0005-0000-0000-000096390000}"/>
    <cellStyle name="cal.General1 3 2 2 9" xfId="14775" xr:uid="{00000000-0005-0000-0000-000097390000}"/>
    <cellStyle name="cal.General1 3 2 3" xfId="14776" xr:uid="{00000000-0005-0000-0000-000098390000}"/>
    <cellStyle name="cal.General1 3 2 4" xfId="14777" xr:uid="{00000000-0005-0000-0000-000099390000}"/>
    <cellStyle name="cal.General1 3 2 5" xfId="14778" xr:uid="{00000000-0005-0000-0000-00009A390000}"/>
    <cellStyle name="cal.General1 3 2 6" xfId="14779" xr:uid="{00000000-0005-0000-0000-00009B390000}"/>
    <cellStyle name="cal.General1 3 2 7" xfId="14780" xr:uid="{00000000-0005-0000-0000-00009C390000}"/>
    <cellStyle name="cal.General1 3 2 8" xfId="14781" xr:uid="{00000000-0005-0000-0000-00009D390000}"/>
    <cellStyle name="cal.General1 3 2 9" xfId="14782" xr:uid="{00000000-0005-0000-0000-00009E390000}"/>
    <cellStyle name="cal.General1 3 3" xfId="14783" xr:uid="{00000000-0005-0000-0000-00009F390000}"/>
    <cellStyle name="cal.General1 3 3 10" xfId="14784" xr:uid="{00000000-0005-0000-0000-0000A0390000}"/>
    <cellStyle name="cal.General1 3 3 11" xfId="14785" xr:uid="{00000000-0005-0000-0000-0000A1390000}"/>
    <cellStyle name="cal.General1 3 3 2" xfId="14786" xr:uid="{00000000-0005-0000-0000-0000A2390000}"/>
    <cellStyle name="cal.General1 3 3 3" xfId="14787" xr:uid="{00000000-0005-0000-0000-0000A3390000}"/>
    <cellStyle name="cal.General1 3 3 4" xfId="14788" xr:uid="{00000000-0005-0000-0000-0000A4390000}"/>
    <cellStyle name="cal.General1 3 3 5" xfId="14789" xr:uid="{00000000-0005-0000-0000-0000A5390000}"/>
    <cellStyle name="cal.General1 3 3 6" xfId="14790" xr:uid="{00000000-0005-0000-0000-0000A6390000}"/>
    <cellStyle name="cal.General1 3 3 7" xfId="14791" xr:uid="{00000000-0005-0000-0000-0000A7390000}"/>
    <cellStyle name="cal.General1 3 3 8" xfId="14792" xr:uid="{00000000-0005-0000-0000-0000A8390000}"/>
    <cellStyle name="cal.General1 3 3 9" xfId="14793" xr:uid="{00000000-0005-0000-0000-0000A9390000}"/>
    <cellStyle name="cal.General1 3 4" xfId="14794" xr:uid="{00000000-0005-0000-0000-0000AA390000}"/>
    <cellStyle name="cal.General1 3 5" xfId="14795" xr:uid="{00000000-0005-0000-0000-0000AB390000}"/>
    <cellStyle name="cal.General1 3 6" xfId="14796" xr:uid="{00000000-0005-0000-0000-0000AC390000}"/>
    <cellStyle name="cal.General1 3 7" xfId="14797" xr:uid="{00000000-0005-0000-0000-0000AD390000}"/>
    <cellStyle name="cal.General1 3 8" xfId="14798" xr:uid="{00000000-0005-0000-0000-0000AE390000}"/>
    <cellStyle name="cal.General1 3 9" xfId="14799" xr:uid="{00000000-0005-0000-0000-0000AF390000}"/>
    <cellStyle name="cal.General1 4" xfId="14800" xr:uid="{00000000-0005-0000-0000-0000B0390000}"/>
    <cellStyle name="cal.General1 4 10" xfId="14801" xr:uid="{00000000-0005-0000-0000-0000B1390000}"/>
    <cellStyle name="cal.General1 4 11" xfId="14802" xr:uid="{00000000-0005-0000-0000-0000B2390000}"/>
    <cellStyle name="cal.General1 4 12" xfId="14803" xr:uid="{00000000-0005-0000-0000-0000B3390000}"/>
    <cellStyle name="cal.General1 4 13" xfId="14804" xr:uid="{00000000-0005-0000-0000-0000B4390000}"/>
    <cellStyle name="cal.General1 4 2" xfId="14805" xr:uid="{00000000-0005-0000-0000-0000B5390000}"/>
    <cellStyle name="cal.General1 4 2 10" xfId="14806" xr:uid="{00000000-0005-0000-0000-0000B6390000}"/>
    <cellStyle name="cal.General1 4 2 11" xfId="14807" xr:uid="{00000000-0005-0000-0000-0000B7390000}"/>
    <cellStyle name="cal.General1 4 2 12" xfId="14808" xr:uid="{00000000-0005-0000-0000-0000B8390000}"/>
    <cellStyle name="cal.General1 4 2 2" xfId="14809" xr:uid="{00000000-0005-0000-0000-0000B9390000}"/>
    <cellStyle name="cal.General1 4 2 2 10" xfId="14810" xr:uid="{00000000-0005-0000-0000-0000BA390000}"/>
    <cellStyle name="cal.General1 4 2 2 2" xfId="14811" xr:uid="{00000000-0005-0000-0000-0000BB390000}"/>
    <cellStyle name="cal.General1 4 2 2 3" xfId="14812" xr:uid="{00000000-0005-0000-0000-0000BC390000}"/>
    <cellStyle name="cal.General1 4 2 2 4" xfId="14813" xr:uid="{00000000-0005-0000-0000-0000BD390000}"/>
    <cellStyle name="cal.General1 4 2 2 5" xfId="14814" xr:uid="{00000000-0005-0000-0000-0000BE390000}"/>
    <cellStyle name="cal.General1 4 2 2 6" xfId="14815" xr:uid="{00000000-0005-0000-0000-0000BF390000}"/>
    <cellStyle name="cal.General1 4 2 2 7" xfId="14816" xr:uid="{00000000-0005-0000-0000-0000C0390000}"/>
    <cellStyle name="cal.General1 4 2 2 8" xfId="14817" xr:uid="{00000000-0005-0000-0000-0000C1390000}"/>
    <cellStyle name="cal.General1 4 2 2 9" xfId="14818" xr:uid="{00000000-0005-0000-0000-0000C2390000}"/>
    <cellStyle name="cal.General1 4 2 3" xfId="14819" xr:uid="{00000000-0005-0000-0000-0000C3390000}"/>
    <cellStyle name="cal.General1 4 2 4" xfId="14820" xr:uid="{00000000-0005-0000-0000-0000C4390000}"/>
    <cellStyle name="cal.General1 4 2 5" xfId="14821" xr:uid="{00000000-0005-0000-0000-0000C5390000}"/>
    <cellStyle name="cal.General1 4 2 6" xfId="14822" xr:uid="{00000000-0005-0000-0000-0000C6390000}"/>
    <cellStyle name="cal.General1 4 2 7" xfId="14823" xr:uid="{00000000-0005-0000-0000-0000C7390000}"/>
    <cellStyle name="cal.General1 4 2 8" xfId="14824" xr:uid="{00000000-0005-0000-0000-0000C8390000}"/>
    <cellStyle name="cal.General1 4 2 9" xfId="14825" xr:uid="{00000000-0005-0000-0000-0000C9390000}"/>
    <cellStyle name="cal.General1 4 3" xfId="14826" xr:uid="{00000000-0005-0000-0000-0000CA390000}"/>
    <cellStyle name="cal.General1 4 3 10" xfId="14827" xr:uid="{00000000-0005-0000-0000-0000CB390000}"/>
    <cellStyle name="cal.General1 4 3 11" xfId="14828" xr:uid="{00000000-0005-0000-0000-0000CC390000}"/>
    <cellStyle name="cal.General1 4 3 2" xfId="14829" xr:uid="{00000000-0005-0000-0000-0000CD390000}"/>
    <cellStyle name="cal.General1 4 3 3" xfId="14830" xr:uid="{00000000-0005-0000-0000-0000CE390000}"/>
    <cellStyle name="cal.General1 4 3 4" xfId="14831" xr:uid="{00000000-0005-0000-0000-0000CF390000}"/>
    <cellStyle name="cal.General1 4 3 5" xfId="14832" xr:uid="{00000000-0005-0000-0000-0000D0390000}"/>
    <cellStyle name="cal.General1 4 3 6" xfId="14833" xr:uid="{00000000-0005-0000-0000-0000D1390000}"/>
    <cellStyle name="cal.General1 4 3 7" xfId="14834" xr:uid="{00000000-0005-0000-0000-0000D2390000}"/>
    <cellStyle name="cal.General1 4 3 8" xfId="14835" xr:uid="{00000000-0005-0000-0000-0000D3390000}"/>
    <cellStyle name="cal.General1 4 3 9" xfId="14836" xr:uid="{00000000-0005-0000-0000-0000D4390000}"/>
    <cellStyle name="cal.General1 4 4" xfId="14837" xr:uid="{00000000-0005-0000-0000-0000D5390000}"/>
    <cellStyle name="cal.General1 4 5" xfId="14838" xr:uid="{00000000-0005-0000-0000-0000D6390000}"/>
    <cellStyle name="cal.General1 4 6" xfId="14839" xr:uid="{00000000-0005-0000-0000-0000D7390000}"/>
    <cellStyle name="cal.General1 4 7" xfId="14840" xr:uid="{00000000-0005-0000-0000-0000D8390000}"/>
    <cellStyle name="cal.General1 4 8" xfId="14841" xr:uid="{00000000-0005-0000-0000-0000D9390000}"/>
    <cellStyle name="cal.General1 4 9" xfId="14842" xr:uid="{00000000-0005-0000-0000-0000DA390000}"/>
    <cellStyle name="cal.General1 5" xfId="14843" xr:uid="{00000000-0005-0000-0000-0000DB390000}"/>
    <cellStyle name="cal.General1 5 10" xfId="14844" xr:uid="{00000000-0005-0000-0000-0000DC390000}"/>
    <cellStyle name="cal.General1 5 11" xfId="14845" xr:uid="{00000000-0005-0000-0000-0000DD390000}"/>
    <cellStyle name="cal.General1 5 12" xfId="14846" xr:uid="{00000000-0005-0000-0000-0000DE390000}"/>
    <cellStyle name="cal.General1 5 13" xfId="14847" xr:uid="{00000000-0005-0000-0000-0000DF390000}"/>
    <cellStyle name="cal.General1 5 2" xfId="14848" xr:uid="{00000000-0005-0000-0000-0000E0390000}"/>
    <cellStyle name="cal.General1 5 2 10" xfId="14849" xr:uid="{00000000-0005-0000-0000-0000E1390000}"/>
    <cellStyle name="cal.General1 5 2 11" xfId="14850" xr:uid="{00000000-0005-0000-0000-0000E2390000}"/>
    <cellStyle name="cal.General1 5 2 12" xfId="14851" xr:uid="{00000000-0005-0000-0000-0000E3390000}"/>
    <cellStyle name="cal.General1 5 2 2" xfId="14852" xr:uid="{00000000-0005-0000-0000-0000E4390000}"/>
    <cellStyle name="cal.General1 5 2 2 10" xfId="14853" xr:uid="{00000000-0005-0000-0000-0000E5390000}"/>
    <cellStyle name="cal.General1 5 2 2 2" xfId="14854" xr:uid="{00000000-0005-0000-0000-0000E6390000}"/>
    <cellStyle name="cal.General1 5 2 2 3" xfId="14855" xr:uid="{00000000-0005-0000-0000-0000E7390000}"/>
    <cellStyle name="cal.General1 5 2 2 4" xfId="14856" xr:uid="{00000000-0005-0000-0000-0000E8390000}"/>
    <cellStyle name="cal.General1 5 2 2 5" xfId="14857" xr:uid="{00000000-0005-0000-0000-0000E9390000}"/>
    <cellStyle name="cal.General1 5 2 2 6" xfId="14858" xr:uid="{00000000-0005-0000-0000-0000EA390000}"/>
    <cellStyle name="cal.General1 5 2 2 7" xfId="14859" xr:uid="{00000000-0005-0000-0000-0000EB390000}"/>
    <cellStyle name="cal.General1 5 2 2 8" xfId="14860" xr:uid="{00000000-0005-0000-0000-0000EC390000}"/>
    <cellStyle name="cal.General1 5 2 2 9" xfId="14861" xr:uid="{00000000-0005-0000-0000-0000ED390000}"/>
    <cellStyle name="cal.General1 5 2 3" xfId="14862" xr:uid="{00000000-0005-0000-0000-0000EE390000}"/>
    <cellStyle name="cal.General1 5 2 4" xfId="14863" xr:uid="{00000000-0005-0000-0000-0000EF390000}"/>
    <cellStyle name="cal.General1 5 2 5" xfId="14864" xr:uid="{00000000-0005-0000-0000-0000F0390000}"/>
    <cellStyle name="cal.General1 5 2 6" xfId="14865" xr:uid="{00000000-0005-0000-0000-0000F1390000}"/>
    <cellStyle name="cal.General1 5 2 7" xfId="14866" xr:uid="{00000000-0005-0000-0000-0000F2390000}"/>
    <cellStyle name="cal.General1 5 2 8" xfId="14867" xr:uid="{00000000-0005-0000-0000-0000F3390000}"/>
    <cellStyle name="cal.General1 5 2 9" xfId="14868" xr:uid="{00000000-0005-0000-0000-0000F4390000}"/>
    <cellStyle name="cal.General1 5 3" xfId="14869" xr:uid="{00000000-0005-0000-0000-0000F5390000}"/>
    <cellStyle name="cal.General1 5 3 10" xfId="14870" xr:uid="{00000000-0005-0000-0000-0000F6390000}"/>
    <cellStyle name="cal.General1 5 3 11" xfId="14871" xr:uid="{00000000-0005-0000-0000-0000F7390000}"/>
    <cellStyle name="cal.General1 5 3 2" xfId="14872" xr:uid="{00000000-0005-0000-0000-0000F8390000}"/>
    <cellStyle name="cal.General1 5 3 3" xfId="14873" xr:uid="{00000000-0005-0000-0000-0000F9390000}"/>
    <cellStyle name="cal.General1 5 3 4" xfId="14874" xr:uid="{00000000-0005-0000-0000-0000FA390000}"/>
    <cellStyle name="cal.General1 5 3 5" xfId="14875" xr:uid="{00000000-0005-0000-0000-0000FB390000}"/>
    <cellStyle name="cal.General1 5 3 6" xfId="14876" xr:uid="{00000000-0005-0000-0000-0000FC390000}"/>
    <cellStyle name="cal.General1 5 3 7" xfId="14877" xr:uid="{00000000-0005-0000-0000-0000FD390000}"/>
    <cellStyle name="cal.General1 5 3 8" xfId="14878" xr:uid="{00000000-0005-0000-0000-0000FE390000}"/>
    <cellStyle name="cal.General1 5 3 9" xfId="14879" xr:uid="{00000000-0005-0000-0000-0000FF390000}"/>
    <cellStyle name="cal.General1 5 4" xfId="14880" xr:uid="{00000000-0005-0000-0000-0000003A0000}"/>
    <cellStyle name="cal.General1 5 5" xfId="14881" xr:uid="{00000000-0005-0000-0000-0000013A0000}"/>
    <cellStyle name="cal.General1 5 6" xfId="14882" xr:uid="{00000000-0005-0000-0000-0000023A0000}"/>
    <cellStyle name="cal.General1 5 7" xfId="14883" xr:uid="{00000000-0005-0000-0000-0000033A0000}"/>
    <cellStyle name="cal.General1 5 8" xfId="14884" xr:uid="{00000000-0005-0000-0000-0000043A0000}"/>
    <cellStyle name="cal.General1 5 9" xfId="14885" xr:uid="{00000000-0005-0000-0000-0000053A0000}"/>
    <cellStyle name="cal.General1 6" xfId="14886" xr:uid="{00000000-0005-0000-0000-0000063A0000}"/>
    <cellStyle name="cal.General1 6 10" xfId="14887" xr:uid="{00000000-0005-0000-0000-0000073A0000}"/>
    <cellStyle name="cal.General1 6 11" xfId="14888" xr:uid="{00000000-0005-0000-0000-0000083A0000}"/>
    <cellStyle name="cal.General1 6 12" xfId="14889" xr:uid="{00000000-0005-0000-0000-0000093A0000}"/>
    <cellStyle name="cal.General1 6 13" xfId="14890" xr:uid="{00000000-0005-0000-0000-00000A3A0000}"/>
    <cellStyle name="cal.General1 6 2" xfId="14891" xr:uid="{00000000-0005-0000-0000-00000B3A0000}"/>
    <cellStyle name="cal.General1 6 2 10" xfId="14892" xr:uid="{00000000-0005-0000-0000-00000C3A0000}"/>
    <cellStyle name="cal.General1 6 2 11" xfId="14893" xr:uid="{00000000-0005-0000-0000-00000D3A0000}"/>
    <cellStyle name="cal.General1 6 2 12" xfId="14894" xr:uid="{00000000-0005-0000-0000-00000E3A0000}"/>
    <cellStyle name="cal.General1 6 2 2" xfId="14895" xr:uid="{00000000-0005-0000-0000-00000F3A0000}"/>
    <cellStyle name="cal.General1 6 2 2 10" xfId="14896" xr:uid="{00000000-0005-0000-0000-0000103A0000}"/>
    <cellStyle name="cal.General1 6 2 2 2" xfId="14897" xr:uid="{00000000-0005-0000-0000-0000113A0000}"/>
    <cellStyle name="cal.General1 6 2 2 3" xfId="14898" xr:uid="{00000000-0005-0000-0000-0000123A0000}"/>
    <cellStyle name="cal.General1 6 2 2 4" xfId="14899" xr:uid="{00000000-0005-0000-0000-0000133A0000}"/>
    <cellStyle name="cal.General1 6 2 2 5" xfId="14900" xr:uid="{00000000-0005-0000-0000-0000143A0000}"/>
    <cellStyle name="cal.General1 6 2 2 6" xfId="14901" xr:uid="{00000000-0005-0000-0000-0000153A0000}"/>
    <cellStyle name="cal.General1 6 2 2 7" xfId="14902" xr:uid="{00000000-0005-0000-0000-0000163A0000}"/>
    <cellStyle name="cal.General1 6 2 2 8" xfId="14903" xr:uid="{00000000-0005-0000-0000-0000173A0000}"/>
    <cellStyle name="cal.General1 6 2 2 9" xfId="14904" xr:uid="{00000000-0005-0000-0000-0000183A0000}"/>
    <cellStyle name="cal.General1 6 2 3" xfId="14905" xr:uid="{00000000-0005-0000-0000-0000193A0000}"/>
    <cellStyle name="cal.General1 6 2 4" xfId="14906" xr:uid="{00000000-0005-0000-0000-00001A3A0000}"/>
    <cellStyle name="cal.General1 6 2 5" xfId="14907" xr:uid="{00000000-0005-0000-0000-00001B3A0000}"/>
    <cellStyle name="cal.General1 6 2 6" xfId="14908" xr:uid="{00000000-0005-0000-0000-00001C3A0000}"/>
    <cellStyle name="cal.General1 6 2 7" xfId="14909" xr:uid="{00000000-0005-0000-0000-00001D3A0000}"/>
    <cellStyle name="cal.General1 6 2 8" xfId="14910" xr:uid="{00000000-0005-0000-0000-00001E3A0000}"/>
    <cellStyle name="cal.General1 6 2 9" xfId="14911" xr:uid="{00000000-0005-0000-0000-00001F3A0000}"/>
    <cellStyle name="cal.General1 6 3" xfId="14912" xr:uid="{00000000-0005-0000-0000-0000203A0000}"/>
    <cellStyle name="cal.General1 6 3 10" xfId="14913" xr:uid="{00000000-0005-0000-0000-0000213A0000}"/>
    <cellStyle name="cal.General1 6 3 11" xfId="14914" xr:uid="{00000000-0005-0000-0000-0000223A0000}"/>
    <cellStyle name="cal.General1 6 3 2" xfId="14915" xr:uid="{00000000-0005-0000-0000-0000233A0000}"/>
    <cellStyle name="cal.General1 6 3 3" xfId="14916" xr:uid="{00000000-0005-0000-0000-0000243A0000}"/>
    <cellStyle name="cal.General1 6 3 4" xfId="14917" xr:uid="{00000000-0005-0000-0000-0000253A0000}"/>
    <cellStyle name="cal.General1 6 3 5" xfId="14918" xr:uid="{00000000-0005-0000-0000-0000263A0000}"/>
    <cellStyle name="cal.General1 6 3 6" xfId="14919" xr:uid="{00000000-0005-0000-0000-0000273A0000}"/>
    <cellStyle name="cal.General1 6 3 7" xfId="14920" xr:uid="{00000000-0005-0000-0000-0000283A0000}"/>
    <cellStyle name="cal.General1 6 3 8" xfId="14921" xr:uid="{00000000-0005-0000-0000-0000293A0000}"/>
    <cellStyle name="cal.General1 6 3 9" xfId="14922" xr:uid="{00000000-0005-0000-0000-00002A3A0000}"/>
    <cellStyle name="cal.General1 6 4" xfId="14923" xr:uid="{00000000-0005-0000-0000-00002B3A0000}"/>
    <cellStyle name="cal.General1 6 5" xfId="14924" xr:uid="{00000000-0005-0000-0000-00002C3A0000}"/>
    <cellStyle name="cal.General1 6 6" xfId="14925" xr:uid="{00000000-0005-0000-0000-00002D3A0000}"/>
    <cellStyle name="cal.General1 6 7" xfId="14926" xr:uid="{00000000-0005-0000-0000-00002E3A0000}"/>
    <cellStyle name="cal.General1 6 8" xfId="14927" xr:uid="{00000000-0005-0000-0000-00002F3A0000}"/>
    <cellStyle name="cal.General1 6 9" xfId="14928" xr:uid="{00000000-0005-0000-0000-0000303A0000}"/>
    <cellStyle name="cal.General1 7" xfId="14929" xr:uid="{00000000-0005-0000-0000-0000313A0000}"/>
    <cellStyle name="cal.General1 7 10" xfId="14930" xr:uid="{00000000-0005-0000-0000-0000323A0000}"/>
    <cellStyle name="cal.General1 7 11" xfId="14931" xr:uid="{00000000-0005-0000-0000-0000333A0000}"/>
    <cellStyle name="cal.General1 7 12" xfId="14932" xr:uid="{00000000-0005-0000-0000-0000343A0000}"/>
    <cellStyle name="cal.General1 7 13" xfId="14933" xr:uid="{00000000-0005-0000-0000-0000353A0000}"/>
    <cellStyle name="cal.General1 7 2" xfId="14934" xr:uid="{00000000-0005-0000-0000-0000363A0000}"/>
    <cellStyle name="cal.General1 7 2 10" xfId="14935" xr:uid="{00000000-0005-0000-0000-0000373A0000}"/>
    <cellStyle name="cal.General1 7 2 11" xfId="14936" xr:uid="{00000000-0005-0000-0000-0000383A0000}"/>
    <cellStyle name="cal.General1 7 2 12" xfId="14937" xr:uid="{00000000-0005-0000-0000-0000393A0000}"/>
    <cellStyle name="cal.General1 7 2 2" xfId="14938" xr:uid="{00000000-0005-0000-0000-00003A3A0000}"/>
    <cellStyle name="cal.General1 7 2 2 10" xfId="14939" xr:uid="{00000000-0005-0000-0000-00003B3A0000}"/>
    <cellStyle name="cal.General1 7 2 2 2" xfId="14940" xr:uid="{00000000-0005-0000-0000-00003C3A0000}"/>
    <cellStyle name="cal.General1 7 2 2 3" xfId="14941" xr:uid="{00000000-0005-0000-0000-00003D3A0000}"/>
    <cellStyle name="cal.General1 7 2 2 4" xfId="14942" xr:uid="{00000000-0005-0000-0000-00003E3A0000}"/>
    <cellStyle name="cal.General1 7 2 2 5" xfId="14943" xr:uid="{00000000-0005-0000-0000-00003F3A0000}"/>
    <cellStyle name="cal.General1 7 2 2 6" xfId="14944" xr:uid="{00000000-0005-0000-0000-0000403A0000}"/>
    <cellStyle name="cal.General1 7 2 2 7" xfId="14945" xr:uid="{00000000-0005-0000-0000-0000413A0000}"/>
    <cellStyle name="cal.General1 7 2 2 8" xfId="14946" xr:uid="{00000000-0005-0000-0000-0000423A0000}"/>
    <cellStyle name="cal.General1 7 2 2 9" xfId="14947" xr:uid="{00000000-0005-0000-0000-0000433A0000}"/>
    <cellStyle name="cal.General1 7 2 3" xfId="14948" xr:uid="{00000000-0005-0000-0000-0000443A0000}"/>
    <cellStyle name="cal.General1 7 2 4" xfId="14949" xr:uid="{00000000-0005-0000-0000-0000453A0000}"/>
    <cellStyle name="cal.General1 7 2 5" xfId="14950" xr:uid="{00000000-0005-0000-0000-0000463A0000}"/>
    <cellStyle name="cal.General1 7 2 6" xfId="14951" xr:uid="{00000000-0005-0000-0000-0000473A0000}"/>
    <cellStyle name="cal.General1 7 2 7" xfId="14952" xr:uid="{00000000-0005-0000-0000-0000483A0000}"/>
    <cellStyle name="cal.General1 7 2 8" xfId="14953" xr:uid="{00000000-0005-0000-0000-0000493A0000}"/>
    <cellStyle name="cal.General1 7 2 9" xfId="14954" xr:uid="{00000000-0005-0000-0000-00004A3A0000}"/>
    <cellStyle name="cal.General1 7 3" xfId="14955" xr:uid="{00000000-0005-0000-0000-00004B3A0000}"/>
    <cellStyle name="cal.General1 7 3 10" xfId="14956" xr:uid="{00000000-0005-0000-0000-00004C3A0000}"/>
    <cellStyle name="cal.General1 7 3 11" xfId="14957" xr:uid="{00000000-0005-0000-0000-00004D3A0000}"/>
    <cellStyle name="cal.General1 7 3 2" xfId="14958" xr:uid="{00000000-0005-0000-0000-00004E3A0000}"/>
    <cellStyle name="cal.General1 7 3 3" xfId="14959" xr:uid="{00000000-0005-0000-0000-00004F3A0000}"/>
    <cellStyle name="cal.General1 7 3 4" xfId="14960" xr:uid="{00000000-0005-0000-0000-0000503A0000}"/>
    <cellStyle name="cal.General1 7 3 5" xfId="14961" xr:uid="{00000000-0005-0000-0000-0000513A0000}"/>
    <cellStyle name="cal.General1 7 3 6" xfId="14962" xr:uid="{00000000-0005-0000-0000-0000523A0000}"/>
    <cellStyle name="cal.General1 7 3 7" xfId="14963" xr:uid="{00000000-0005-0000-0000-0000533A0000}"/>
    <cellStyle name="cal.General1 7 3 8" xfId="14964" xr:uid="{00000000-0005-0000-0000-0000543A0000}"/>
    <cellStyle name="cal.General1 7 3 9" xfId="14965" xr:uid="{00000000-0005-0000-0000-0000553A0000}"/>
    <cellStyle name="cal.General1 7 4" xfId="14966" xr:uid="{00000000-0005-0000-0000-0000563A0000}"/>
    <cellStyle name="cal.General1 7 5" xfId="14967" xr:uid="{00000000-0005-0000-0000-0000573A0000}"/>
    <cellStyle name="cal.General1 7 6" xfId="14968" xr:uid="{00000000-0005-0000-0000-0000583A0000}"/>
    <cellStyle name="cal.General1 7 7" xfId="14969" xr:uid="{00000000-0005-0000-0000-0000593A0000}"/>
    <cellStyle name="cal.General1 7 8" xfId="14970" xr:uid="{00000000-0005-0000-0000-00005A3A0000}"/>
    <cellStyle name="cal.General1 7 9" xfId="14971" xr:uid="{00000000-0005-0000-0000-00005B3A0000}"/>
    <cellStyle name="cal.General1 8" xfId="14972" xr:uid="{00000000-0005-0000-0000-00005C3A0000}"/>
    <cellStyle name="cal.General1 8 10" xfId="14973" xr:uid="{00000000-0005-0000-0000-00005D3A0000}"/>
    <cellStyle name="cal.General1 8 11" xfId="14974" xr:uid="{00000000-0005-0000-0000-00005E3A0000}"/>
    <cellStyle name="cal.General1 8 12" xfId="14975" xr:uid="{00000000-0005-0000-0000-00005F3A0000}"/>
    <cellStyle name="cal.General1 8 13" xfId="14976" xr:uid="{00000000-0005-0000-0000-0000603A0000}"/>
    <cellStyle name="cal.General1 8 2" xfId="14977" xr:uid="{00000000-0005-0000-0000-0000613A0000}"/>
    <cellStyle name="cal.General1 8 2 10" xfId="14978" xr:uid="{00000000-0005-0000-0000-0000623A0000}"/>
    <cellStyle name="cal.General1 8 2 11" xfId="14979" xr:uid="{00000000-0005-0000-0000-0000633A0000}"/>
    <cellStyle name="cal.General1 8 2 12" xfId="14980" xr:uid="{00000000-0005-0000-0000-0000643A0000}"/>
    <cellStyle name="cal.General1 8 2 2" xfId="14981" xr:uid="{00000000-0005-0000-0000-0000653A0000}"/>
    <cellStyle name="cal.General1 8 2 2 10" xfId="14982" xr:uid="{00000000-0005-0000-0000-0000663A0000}"/>
    <cellStyle name="cal.General1 8 2 2 2" xfId="14983" xr:uid="{00000000-0005-0000-0000-0000673A0000}"/>
    <cellStyle name="cal.General1 8 2 2 3" xfId="14984" xr:uid="{00000000-0005-0000-0000-0000683A0000}"/>
    <cellStyle name="cal.General1 8 2 2 4" xfId="14985" xr:uid="{00000000-0005-0000-0000-0000693A0000}"/>
    <cellStyle name="cal.General1 8 2 2 5" xfId="14986" xr:uid="{00000000-0005-0000-0000-00006A3A0000}"/>
    <cellStyle name="cal.General1 8 2 2 6" xfId="14987" xr:uid="{00000000-0005-0000-0000-00006B3A0000}"/>
    <cellStyle name="cal.General1 8 2 2 7" xfId="14988" xr:uid="{00000000-0005-0000-0000-00006C3A0000}"/>
    <cellStyle name="cal.General1 8 2 2 8" xfId="14989" xr:uid="{00000000-0005-0000-0000-00006D3A0000}"/>
    <cellStyle name="cal.General1 8 2 2 9" xfId="14990" xr:uid="{00000000-0005-0000-0000-00006E3A0000}"/>
    <cellStyle name="cal.General1 8 2 3" xfId="14991" xr:uid="{00000000-0005-0000-0000-00006F3A0000}"/>
    <cellStyle name="cal.General1 8 2 4" xfId="14992" xr:uid="{00000000-0005-0000-0000-0000703A0000}"/>
    <cellStyle name="cal.General1 8 2 5" xfId="14993" xr:uid="{00000000-0005-0000-0000-0000713A0000}"/>
    <cellStyle name="cal.General1 8 2 6" xfId="14994" xr:uid="{00000000-0005-0000-0000-0000723A0000}"/>
    <cellStyle name="cal.General1 8 2 7" xfId="14995" xr:uid="{00000000-0005-0000-0000-0000733A0000}"/>
    <cellStyle name="cal.General1 8 2 8" xfId="14996" xr:uid="{00000000-0005-0000-0000-0000743A0000}"/>
    <cellStyle name="cal.General1 8 2 9" xfId="14997" xr:uid="{00000000-0005-0000-0000-0000753A0000}"/>
    <cellStyle name="cal.General1 8 3" xfId="14998" xr:uid="{00000000-0005-0000-0000-0000763A0000}"/>
    <cellStyle name="cal.General1 8 3 10" xfId="14999" xr:uid="{00000000-0005-0000-0000-0000773A0000}"/>
    <cellStyle name="cal.General1 8 3 11" xfId="15000" xr:uid="{00000000-0005-0000-0000-0000783A0000}"/>
    <cellStyle name="cal.General1 8 3 2" xfId="15001" xr:uid="{00000000-0005-0000-0000-0000793A0000}"/>
    <cellStyle name="cal.General1 8 3 3" xfId="15002" xr:uid="{00000000-0005-0000-0000-00007A3A0000}"/>
    <cellStyle name="cal.General1 8 3 4" xfId="15003" xr:uid="{00000000-0005-0000-0000-00007B3A0000}"/>
    <cellStyle name="cal.General1 8 3 5" xfId="15004" xr:uid="{00000000-0005-0000-0000-00007C3A0000}"/>
    <cellStyle name="cal.General1 8 3 6" xfId="15005" xr:uid="{00000000-0005-0000-0000-00007D3A0000}"/>
    <cellStyle name="cal.General1 8 3 7" xfId="15006" xr:uid="{00000000-0005-0000-0000-00007E3A0000}"/>
    <cellStyle name="cal.General1 8 3 8" xfId="15007" xr:uid="{00000000-0005-0000-0000-00007F3A0000}"/>
    <cellStyle name="cal.General1 8 3 9" xfId="15008" xr:uid="{00000000-0005-0000-0000-0000803A0000}"/>
    <cellStyle name="cal.General1 8 4" xfId="15009" xr:uid="{00000000-0005-0000-0000-0000813A0000}"/>
    <cellStyle name="cal.General1 8 5" xfId="15010" xr:uid="{00000000-0005-0000-0000-0000823A0000}"/>
    <cellStyle name="cal.General1 8 6" xfId="15011" xr:uid="{00000000-0005-0000-0000-0000833A0000}"/>
    <cellStyle name="cal.General1 8 7" xfId="15012" xr:uid="{00000000-0005-0000-0000-0000843A0000}"/>
    <cellStyle name="cal.General1 8 8" xfId="15013" xr:uid="{00000000-0005-0000-0000-0000853A0000}"/>
    <cellStyle name="cal.General1 8 9" xfId="15014" xr:uid="{00000000-0005-0000-0000-0000863A0000}"/>
    <cellStyle name="cal.General1 9" xfId="15015" xr:uid="{00000000-0005-0000-0000-0000873A0000}"/>
    <cellStyle name="cal.General1 9 10" xfId="15016" xr:uid="{00000000-0005-0000-0000-0000883A0000}"/>
    <cellStyle name="cal.General1 9 11" xfId="15017" xr:uid="{00000000-0005-0000-0000-0000893A0000}"/>
    <cellStyle name="cal.General1 9 12" xfId="15018" xr:uid="{00000000-0005-0000-0000-00008A3A0000}"/>
    <cellStyle name="cal.General1 9 13" xfId="15019" xr:uid="{00000000-0005-0000-0000-00008B3A0000}"/>
    <cellStyle name="cal.General1 9 2" xfId="15020" xr:uid="{00000000-0005-0000-0000-00008C3A0000}"/>
    <cellStyle name="cal.General1 9 2 10" xfId="15021" xr:uid="{00000000-0005-0000-0000-00008D3A0000}"/>
    <cellStyle name="cal.General1 9 2 11" xfId="15022" xr:uid="{00000000-0005-0000-0000-00008E3A0000}"/>
    <cellStyle name="cal.General1 9 2 12" xfId="15023" xr:uid="{00000000-0005-0000-0000-00008F3A0000}"/>
    <cellStyle name="cal.General1 9 2 2" xfId="15024" xr:uid="{00000000-0005-0000-0000-0000903A0000}"/>
    <cellStyle name="cal.General1 9 2 2 10" xfId="15025" xr:uid="{00000000-0005-0000-0000-0000913A0000}"/>
    <cellStyle name="cal.General1 9 2 2 2" xfId="15026" xr:uid="{00000000-0005-0000-0000-0000923A0000}"/>
    <cellStyle name="cal.General1 9 2 2 3" xfId="15027" xr:uid="{00000000-0005-0000-0000-0000933A0000}"/>
    <cellStyle name="cal.General1 9 2 2 4" xfId="15028" xr:uid="{00000000-0005-0000-0000-0000943A0000}"/>
    <cellStyle name="cal.General1 9 2 2 5" xfId="15029" xr:uid="{00000000-0005-0000-0000-0000953A0000}"/>
    <cellStyle name="cal.General1 9 2 2 6" xfId="15030" xr:uid="{00000000-0005-0000-0000-0000963A0000}"/>
    <cellStyle name="cal.General1 9 2 2 7" xfId="15031" xr:uid="{00000000-0005-0000-0000-0000973A0000}"/>
    <cellStyle name="cal.General1 9 2 2 8" xfId="15032" xr:uid="{00000000-0005-0000-0000-0000983A0000}"/>
    <cellStyle name="cal.General1 9 2 2 9" xfId="15033" xr:uid="{00000000-0005-0000-0000-0000993A0000}"/>
    <cellStyle name="cal.General1 9 2 3" xfId="15034" xr:uid="{00000000-0005-0000-0000-00009A3A0000}"/>
    <cellStyle name="cal.General1 9 2 4" xfId="15035" xr:uid="{00000000-0005-0000-0000-00009B3A0000}"/>
    <cellStyle name="cal.General1 9 2 5" xfId="15036" xr:uid="{00000000-0005-0000-0000-00009C3A0000}"/>
    <cellStyle name="cal.General1 9 2 6" xfId="15037" xr:uid="{00000000-0005-0000-0000-00009D3A0000}"/>
    <cellStyle name="cal.General1 9 2 7" xfId="15038" xr:uid="{00000000-0005-0000-0000-00009E3A0000}"/>
    <cellStyle name="cal.General1 9 2 8" xfId="15039" xr:uid="{00000000-0005-0000-0000-00009F3A0000}"/>
    <cellStyle name="cal.General1 9 2 9" xfId="15040" xr:uid="{00000000-0005-0000-0000-0000A03A0000}"/>
    <cellStyle name="cal.General1 9 3" xfId="15041" xr:uid="{00000000-0005-0000-0000-0000A13A0000}"/>
    <cellStyle name="cal.General1 9 3 10" xfId="15042" xr:uid="{00000000-0005-0000-0000-0000A23A0000}"/>
    <cellStyle name="cal.General1 9 3 11" xfId="15043" xr:uid="{00000000-0005-0000-0000-0000A33A0000}"/>
    <cellStyle name="cal.General1 9 3 2" xfId="15044" xr:uid="{00000000-0005-0000-0000-0000A43A0000}"/>
    <cellStyle name="cal.General1 9 3 3" xfId="15045" xr:uid="{00000000-0005-0000-0000-0000A53A0000}"/>
    <cellStyle name="cal.General1 9 3 4" xfId="15046" xr:uid="{00000000-0005-0000-0000-0000A63A0000}"/>
    <cellStyle name="cal.General1 9 3 5" xfId="15047" xr:uid="{00000000-0005-0000-0000-0000A73A0000}"/>
    <cellStyle name="cal.General1 9 3 6" xfId="15048" xr:uid="{00000000-0005-0000-0000-0000A83A0000}"/>
    <cellStyle name="cal.General1 9 3 7" xfId="15049" xr:uid="{00000000-0005-0000-0000-0000A93A0000}"/>
    <cellStyle name="cal.General1 9 3 8" xfId="15050" xr:uid="{00000000-0005-0000-0000-0000AA3A0000}"/>
    <cellStyle name="cal.General1 9 3 9" xfId="15051" xr:uid="{00000000-0005-0000-0000-0000AB3A0000}"/>
    <cellStyle name="cal.General1 9 4" xfId="15052" xr:uid="{00000000-0005-0000-0000-0000AC3A0000}"/>
    <cellStyle name="cal.General1 9 5" xfId="15053" xr:uid="{00000000-0005-0000-0000-0000AD3A0000}"/>
    <cellStyle name="cal.General1 9 6" xfId="15054" xr:uid="{00000000-0005-0000-0000-0000AE3A0000}"/>
    <cellStyle name="cal.General1 9 7" xfId="15055" xr:uid="{00000000-0005-0000-0000-0000AF3A0000}"/>
    <cellStyle name="cal.General1 9 8" xfId="15056" xr:uid="{00000000-0005-0000-0000-0000B03A0000}"/>
    <cellStyle name="cal.General1 9 9" xfId="15057" xr:uid="{00000000-0005-0000-0000-0000B13A0000}"/>
    <cellStyle name="cal.Link" xfId="15058" xr:uid="{00000000-0005-0000-0000-0000B23A0000}"/>
    <cellStyle name="cal.Link7" xfId="15059" xr:uid="{00000000-0005-0000-0000-0000B33A0000}"/>
    <cellStyle name="calc" xfId="15060" xr:uid="{00000000-0005-0000-0000-0000B43A0000}"/>
    <cellStyle name="Calc Cell" xfId="15061" xr:uid="{00000000-0005-0000-0000-0000B53A0000}"/>
    <cellStyle name="Calc Currency (0)" xfId="15062" xr:uid="{00000000-0005-0000-0000-0000B63A0000}"/>
    <cellStyle name="Calc Currency (0) 10" xfId="15063" xr:uid="{00000000-0005-0000-0000-0000B73A0000}"/>
    <cellStyle name="Calc Currency (0) 11" xfId="15064" xr:uid="{00000000-0005-0000-0000-0000B83A0000}"/>
    <cellStyle name="Calc Currency (0) 12" xfId="15065" xr:uid="{00000000-0005-0000-0000-0000B93A0000}"/>
    <cellStyle name="Calc Currency (0) 13" xfId="15066" xr:uid="{00000000-0005-0000-0000-0000BA3A0000}"/>
    <cellStyle name="Calc Currency (0) 14" xfId="15067" xr:uid="{00000000-0005-0000-0000-0000BB3A0000}"/>
    <cellStyle name="Calc Currency (0) 15" xfId="15068" xr:uid="{00000000-0005-0000-0000-0000BC3A0000}"/>
    <cellStyle name="Calc Currency (0) 16" xfId="15069" xr:uid="{00000000-0005-0000-0000-0000BD3A0000}"/>
    <cellStyle name="Calc Currency (0) 17" xfId="15070" xr:uid="{00000000-0005-0000-0000-0000BE3A0000}"/>
    <cellStyle name="Calc Currency (0) 18" xfId="15071" xr:uid="{00000000-0005-0000-0000-0000BF3A0000}"/>
    <cellStyle name="Calc Currency (0) 19" xfId="15072" xr:uid="{00000000-0005-0000-0000-0000C03A0000}"/>
    <cellStyle name="Calc Currency (0) 2" xfId="15073" xr:uid="{00000000-0005-0000-0000-0000C13A0000}"/>
    <cellStyle name="Calc Currency (0) 20" xfId="15074" xr:uid="{00000000-0005-0000-0000-0000C23A0000}"/>
    <cellStyle name="Calc Currency (0) 21" xfId="15075" xr:uid="{00000000-0005-0000-0000-0000C33A0000}"/>
    <cellStyle name="Calc Currency (0) 22" xfId="15076" xr:uid="{00000000-0005-0000-0000-0000C43A0000}"/>
    <cellStyle name="Calc Currency (0) 23" xfId="15077" xr:uid="{00000000-0005-0000-0000-0000C53A0000}"/>
    <cellStyle name="Calc Currency (0) 24" xfId="15078" xr:uid="{00000000-0005-0000-0000-0000C63A0000}"/>
    <cellStyle name="Calc Currency (0) 25" xfId="15079" xr:uid="{00000000-0005-0000-0000-0000C73A0000}"/>
    <cellStyle name="Calc Currency (0) 26" xfId="15080" xr:uid="{00000000-0005-0000-0000-0000C83A0000}"/>
    <cellStyle name="Calc Currency (0) 27" xfId="15081" xr:uid="{00000000-0005-0000-0000-0000C93A0000}"/>
    <cellStyle name="Calc Currency (0) 28" xfId="15082" xr:uid="{00000000-0005-0000-0000-0000CA3A0000}"/>
    <cellStyle name="Calc Currency (0) 29" xfId="15083" xr:uid="{00000000-0005-0000-0000-0000CB3A0000}"/>
    <cellStyle name="Calc Currency (0) 3" xfId="15084" xr:uid="{00000000-0005-0000-0000-0000CC3A0000}"/>
    <cellStyle name="Calc Currency (0) 30" xfId="15085" xr:uid="{00000000-0005-0000-0000-0000CD3A0000}"/>
    <cellStyle name="Calc Currency (0) 31" xfId="15086" xr:uid="{00000000-0005-0000-0000-0000CE3A0000}"/>
    <cellStyle name="Calc Currency (0) 32" xfId="15087" xr:uid="{00000000-0005-0000-0000-0000CF3A0000}"/>
    <cellStyle name="Calc Currency (0) 33" xfId="15088" xr:uid="{00000000-0005-0000-0000-0000D03A0000}"/>
    <cellStyle name="Calc Currency (0) 34" xfId="15089" xr:uid="{00000000-0005-0000-0000-0000D13A0000}"/>
    <cellStyle name="Calc Currency (0) 35" xfId="15090" xr:uid="{00000000-0005-0000-0000-0000D23A0000}"/>
    <cellStyle name="Calc Currency (0) 36" xfId="15091" xr:uid="{00000000-0005-0000-0000-0000D33A0000}"/>
    <cellStyle name="Calc Currency (0) 37" xfId="15092" xr:uid="{00000000-0005-0000-0000-0000D43A0000}"/>
    <cellStyle name="Calc Currency (0) 38" xfId="15093" xr:uid="{00000000-0005-0000-0000-0000D53A0000}"/>
    <cellStyle name="Calc Currency (0) 39" xfId="15094" xr:uid="{00000000-0005-0000-0000-0000D63A0000}"/>
    <cellStyle name="Calc Currency (0) 4" xfId="15095" xr:uid="{00000000-0005-0000-0000-0000D73A0000}"/>
    <cellStyle name="Calc Currency (0) 40" xfId="15096" xr:uid="{00000000-0005-0000-0000-0000D83A0000}"/>
    <cellStyle name="Calc Currency (0) 41" xfId="15097" xr:uid="{00000000-0005-0000-0000-0000D93A0000}"/>
    <cellStyle name="Calc Currency (0) 42" xfId="15098" xr:uid="{00000000-0005-0000-0000-0000DA3A0000}"/>
    <cellStyle name="Calc Currency (0) 43" xfId="15099" xr:uid="{00000000-0005-0000-0000-0000DB3A0000}"/>
    <cellStyle name="Calc Currency (0) 44" xfId="15100" xr:uid="{00000000-0005-0000-0000-0000DC3A0000}"/>
    <cellStyle name="Calc Currency (0) 45" xfId="15101" xr:uid="{00000000-0005-0000-0000-0000DD3A0000}"/>
    <cellStyle name="Calc Currency (0) 46" xfId="15102" xr:uid="{00000000-0005-0000-0000-0000DE3A0000}"/>
    <cellStyle name="Calc Currency (0) 47" xfId="15103" xr:uid="{00000000-0005-0000-0000-0000DF3A0000}"/>
    <cellStyle name="Calc Currency (0) 5" xfId="15104" xr:uid="{00000000-0005-0000-0000-0000E03A0000}"/>
    <cellStyle name="Calc Currency (0) 6" xfId="15105" xr:uid="{00000000-0005-0000-0000-0000E13A0000}"/>
    <cellStyle name="Calc Currency (0) 7" xfId="15106" xr:uid="{00000000-0005-0000-0000-0000E23A0000}"/>
    <cellStyle name="Calc Currency (0) 8" xfId="15107" xr:uid="{00000000-0005-0000-0000-0000E33A0000}"/>
    <cellStyle name="Calc Currency (0) 9" xfId="15108" xr:uid="{00000000-0005-0000-0000-0000E43A0000}"/>
    <cellStyle name="Calc Currency (0)_Cuadros paraPresentación de Sindicado de Palmas del Espino (V 05 12 08)}" xfId="15109" xr:uid="{00000000-0005-0000-0000-0000E53A0000}"/>
    <cellStyle name="Calc Currency (2)" xfId="15110" xr:uid="{00000000-0005-0000-0000-0000E63A0000}"/>
    <cellStyle name="Calc Currency (2) 10" xfId="15111" xr:uid="{00000000-0005-0000-0000-0000E73A0000}"/>
    <cellStyle name="Calc Currency (2) 11" xfId="15112" xr:uid="{00000000-0005-0000-0000-0000E83A0000}"/>
    <cellStyle name="Calc Currency (2) 12" xfId="15113" xr:uid="{00000000-0005-0000-0000-0000E93A0000}"/>
    <cellStyle name="Calc Currency (2) 2" xfId="15114" xr:uid="{00000000-0005-0000-0000-0000EA3A0000}"/>
    <cellStyle name="Calc Currency (2) 3" xfId="15115" xr:uid="{00000000-0005-0000-0000-0000EB3A0000}"/>
    <cellStyle name="Calc Currency (2) 4" xfId="15116" xr:uid="{00000000-0005-0000-0000-0000EC3A0000}"/>
    <cellStyle name="Calc Currency (2) 5" xfId="15117" xr:uid="{00000000-0005-0000-0000-0000ED3A0000}"/>
    <cellStyle name="Calc Currency (2) 6" xfId="15118" xr:uid="{00000000-0005-0000-0000-0000EE3A0000}"/>
    <cellStyle name="Calc Currency (2) 7" xfId="15119" xr:uid="{00000000-0005-0000-0000-0000EF3A0000}"/>
    <cellStyle name="Calc Currency (2) 8" xfId="15120" xr:uid="{00000000-0005-0000-0000-0000F03A0000}"/>
    <cellStyle name="Calc Currency (2) 9" xfId="15121" xr:uid="{00000000-0005-0000-0000-0000F13A0000}"/>
    <cellStyle name="Calc Percent (0)" xfId="15122" xr:uid="{00000000-0005-0000-0000-0000F23A0000}"/>
    <cellStyle name="Calc Percent (0) 10" xfId="15123" xr:uid="{00000000-0005-0000-0000-0000F33A0000}"/>
    <cellStyle name="Calc Percent (0) 11" xfId="15124" xr:uid="{00000000-0005-0000-0000-0000F43A0000}"/>
    <cellStyle name="Calc Percent (0) 12" xfId="15125" xr:uid="{00000000-0005-0000-0000-0000F53A0000}"/>
    <cellStyle name="Calc Percent (0) 13" xfId="15126" xr:uid="{00000000-0005-0000-0000-0000F63A0000}"/>
    <cellStyle name="Calc Percent (0) 14" xfId="15127" xr:uid="{00000000-0005-0000-0000-0000F73A0000}"/>
    <cellStyle name="Calc Percent (0) 15" xfId="15128" xr:uid="{00000000-0005-0000-0000-0000F83A0000}"/>
    <cellStyle name="Calc Percent (0) 16" xfId="15129" xr:uid="{00000000-0005-0000-0000-0000F93A0000}"/>
    <cellStyle name="Calc Percent (0) 17" xfId="15130" xr:uid="{00000000-0005-0000-0000-0000FA3A0000}"/>
    <cellStyle name="Calc Percent (0) 18" xfId="15131" xr:uid="{00000000-0005-0000-0000-0000FB3A0000}"/>
    <cellStyle name="Calc Percent (0) 19" xfId="15132" xr:uid="{00000000-0005-0000-0000-0000FC3A0000}"/>
    <cellStyle name="Calc Percent (0) 2" xfId="15133" xr:uid="{00000000-0005-0000-0000-0000FD3A0000}"/>
    <cellStyle name="Calc Percent (0) 20" xfId="15134" xr:uid="{00000000-0005-0000-0000-0000FE3A0000}"/>
    <cellStyle name="Calc Percent (0) 21" xfId="15135" xr:uid="{00000000-0005-0000-0000-0000FF3A0000}"/>
    <cellStyle name="Calc Percent (0) 22" xfId="15136" xr:uid="{00000000-0005-0000-0000-0000003B0000}"/>
    <cellStyle name="Calc Percent (0) 23" xfId="15137" xr:uid="{00000000-0005-0000-0000-0000013B0000}"/>
    <cellStyle name="Calc Percent (0) 24" xfId="15138" xr:uid="{00000000-0005-0000-0000-0000023B0000}"/>
    <cellStyle name="Calc Percent (0) 25" xfId="15139" xr:uid="{00000000-0005-0000-0000-0000033B0000}"/>
    <cellStyle name="Calc Percent (0) 26" xfId="15140" xr:uid="{00000000-0005-0000-0000-0000043B0000}"/>
    <cellStyle name="Calc Percent (0) 27" xfId="15141" xr:uid="{00000000-0005-0000-0000-0000053B0000}"/>
    <cellStyle name="Calc Percent (0) 28" xfId="15142" xr:uid="{00000000-0005-0000-0000-0000063B0000}"/>
    <cellStyle name="Calc Percent (0) 29" xfId="15143" xr:uid="{00000000-0005-0000-0000-0000073B0000}"/>
    <cellStyle name="Calc Percent (0) 3" xfId="15144" xr:uid="{00000000-0005-0000-0000-0000083B0000}"/>
    <cellStyle name="Calc Percent (0) 30" xfId="15145" xr:uid="{00000000-0005-0000-0000-0000093B0000}"/>
    <cellStyle name="Calc Percent (0) 31" xfId="15146" xr:uid="{00000000-0005-0000-0000-00000A3B0000}"/>
    <cellStyle name="Calc Percent (0) 32" xfId="15147" xr:uid="{00000000-0005-0000-0000-00000B3B0000}"/>
    <cellStyle name="Calc Percent (0) 33" xfId="15148" xr:uid="{00000000-0005-0000-0000-00000C3B0000}"/>
    <cellStyle name="Calc Percent (0) 34" xfId="15149" xr:uid="{00000000-0005-0000-0000-00000D3B0000}"/>
    <cellStyle name="Calc Percent (0) 35" xfId="15150" xr:uid="{00000000-0005-0000-0000-00000E3B0000}"/>
    <cellStyle name="Calc Percent (0) 36" xfId="15151" xr:uid="{00000000-0005-0000-0000-00000F3B0000}"/>
    <cellStyle name="Calc Percent (0) 37" xfId="15152" xr:uid="{00000000-0005-0000-0000-0000103B0000}"/>
    <cellStyle name="Calc Percent (0) 38" xfId="15153" xr:uid="{00000000-0005-0000-0000-0000113B0000}"/>
    <cellStyle name="Calc Percent (0) 39" xfId="15154" xr:uid="{00000000-0005-0000-0000-0000123B0000}"/>
    <cellStyle name="Calc Percent (0) 4" xfId="15155" xr:uid="{00000000-0005-0000-0000-0000133B0000}"/>
    <cellStyle name="Calc Percent (0) 40" xfId="15156" xr:uid="{00000000-0005-0000-0000-0000143B0000}"/>
    <cellStyle name="Calc Percent (0) 41" xfId="15157" xr:uid="{00000000-0005-0000-0000-0000153B0000}"/>
    <cellStyle name="Calc Percent (0) 42" xfId="15158" xr:uid="{00000000-0005-0000-0000-0000163B0000}"/>
    <cellStyle name="Calc Percent (0) 43" xfId="15159" xr:uid="{00000000-0005-0000-0000-0000173B0000}"/>
    <cellStyle name="Calc Percent (0) 44" xfId="15160" xr:uid="{00000000-0005-0000-0000-0000183B0000}"/>
    <cellStyle name="Calc Percent (0) 45" xfId="15161" xr:uid="{00000000-0005-0000-0000-0000193B0000}"/>
    <cellStyle name="Calc Percent (0) 46" xfId="15162" xr:uid="{00000000-0005-0000-0000-00001A3B0000}"/>
    <cellStyle name="Calc Percent (0) 47" xfId="15163" xr:uid="{00000000-0005-0000-0000-00001B3B0000}"/>
    <cellStyle name="Calc Percent (0) 5" xfId="15164" xr:uid="{00000000-0005-0000-0000-00001C3B0000}"/>
    <cellStyle name="Calc Percent (0) 6" xfId="15165" xr:uid="{00000000-0005-0000-0000-00001D3B0000}"/>
    <cellStyle name="Calc Percent (0) 7" xfId="15166" xr:uid="{00000000-0005-0000-0000-00001E3B0000}"/>
    <cellStyle name="Calc Percent (0) 8" xfId="15167" xr:uid="{00000000-0005-0000-0000-00001F3B0000}"/>
    <cellStyle name="Calc Percent (0) 9" xfId="15168" xr:uid="{00000000-0005-0000-0000-0000203B0000}"/>
    <cellStyle name="Calc Percent (1)" xfId="15169" xr:uid="{00000000-0005-0000-0000-0000213B0000}"/>
    <cellStyle name="Calc Percent (1) 10" xfId="15170" xr:uid="{00000000-0005-0000-0000-0000223B0000}"/>
    <cellStyle name="Calc Percent (1) 11" xfId="15171" xr:uid="{00000000-0005-0000-0000-0000233B0000}"/>
    <cellStyle name="Calc Percent (1) 12" xfId="15172" xr:uid="{00000000-0005-0000-0000-0000243B0000}"/>
    <cellStyle name="Calc Percent (1) 13" xfId="15173" xr:uid="{00000000-0005-0000-0000-0000253B0000}"/>
    <cellStyle name="Calc Percent (1) 14" xfId="15174" xr:uid="{00000000-0005-0000-0000-0000263B0000}"/>
    <cellStyle name="Calc Percent (1) 15" xfId="15175" xr:uid="{00000000-0005-0000-0000-0000273B0000}"/>
    <cellStyle name="Calc Percent (1) 16" xfId="15176" xr:uid="{00000000-0005-0000-0000-0000283B0000}"/>
    <cellStyle name="Calc Percent (1) 17" xfId="15177" xr:uid="{00000000-0005-0000-0000-0000293B0000}"/>
    <cellStyle name="Calc Percent (1) 18" xfId="15178" xr:uid="{00000000-0005-0000-0000-00002A3B0000}"/>
    <cellStyle name="Calc Percent (1) 19" xfId="15179" xr:uid="{00000000-0005-0000-0000-00002B3B0000}"/>
    <cellStyle name="Calc Percent (1) 2" xfId="15180" xr:uid="{00000000-0005-0000-0000-00002C3B0000}"/>
    <cellStyle name="Calc Percent (1) 20" xfId="15181" xr:uid="{00000000-0005-0000-0000-00002D3B0000}"/>
    <cellStyle name="Calc Percent (1) 21" xfId="15182" xr:uid="{00000000-0005-0000-0000-00002E3B0000}"/>
    <cellStyle name="Calc Percent (1) 22" xfId="15183" xr:uid="{00000000-0005-0000-0000-00002F3B0000}"/>
    <cellStyle name="Calc Percent (1) 23" xfId="15184" xr:uid="{00000000-0005-0000-0000-0000303B0000}"/>
    <cellStyle name="Calc Percent (1) 24" xfId="15185" xr:uid="{00000000-0005-0000-0000-0000313B0000}"/>
    <cellStyle name="Calc Percent (1) 25" xfId="15186" xr:uid="{00000000-0005-0000-0000-0000323B0000}"/>
    <cellStyle name="Calc Percent (1) 26" xfId="15187" xr:uid="{00000000-0005-0000-0000-0000333B0000}"/>
    <cellStyle name="Calc Percent (1) 27" xfId="15188" xr:uid="{00000000-0005-0000-0000-0000343B0000}"/>
    <cellStyle name="Calc Percent (1) 28" xfId="15189" xr:uid="{00000000-0005-0000-0000-0000353B0000}"/>
    <cellStyle name="Calc Percent (1) 29" xfId="15190" xr:uid="{00000000-0005-0000-0000-0000363B0000}"/>
    <cellStyle name="Calc Percent (1) 3" xfId="15191" xr:uid="{00000000-0005-0000-0000-0000373B0000}"/>
    <cellStyle name="Calc Percent (1) 30" xfId="15192" xr:uid="{00000000-0005-0000-0000-0000383B0000}"/>
    <cellStyle name="Calc Percent (1) 31" xfId="15193" xr:uid="{00000000-0005-0000-0000-0000393B0000}"/>
    <cellStyle name="Calc Percent (1) 32" xfId="15194" xr:uid="{00000000-0005-0000-0000-00003A3B0000}"/>
    <cellStyle name="Calc Percent (1) 33" xfId="15195" xr:uid="{00000000-0005-0000-0000-00003B3B0000}"/>
    <cellStyle name="Calc Percent (1) 34" xfId="15196" xr:uid="{00000000-0005-0000-0000-00003C3B0000}"/>
    <cellStyle name="Calc Percent (1) 35" xfId="15197" xr:uid="{00000000-0005-0000-0000-00003D3B0000}"/>
    <cellStyle name="Calc Percent (1) 36" xfId="15198" xr:uid="{00000000-0005-0000-0000-00003E3B0000}"/>
    <cellStyle name="Calc Percent (1) 37" xfId="15199" xr:uid="{00000000-0005-0000-0000-00003F3B0000}"/>
    <cellStyle name="Calc Percent (1) 38" xfId="15200" xr:uid="{00000000-0005-0000-0000-0000403B0000}"/>
    <cellStyle name="Calc Percent (1) 39" xfId="15201" xr:uid="{00000000-0005-0000-0000-0000413B0000}"/>
    <cellStyle name="Calc Percent (1) 4" xfId="15202" xr:uid="{00000000-0005-0000-0000-0000423B0000}"/>
    <cellStyle name="Calc Percent (1) 40" xfId="15203" xr:uid="{00000000-0005-0000-0000-0000433B0000}"/>
    <cellStyle name="Calc Percent (1) 41" xfId="15204" xr:uid="{00000000-0005-0000-0000-0000443B0000}"/>
    <cellStyle name="Calc Percent (1) 42" xfId="15205" xr:uid="{00000000-0005-0000-0000-0000453B0000}"/>
    <cellStyle name="Calc Percent (1) 43" xfId="15206" xr:uid="{00000000-0005-0000-0000-0000463B0000}"/>
    <cellStyle name="Calc Percent (1) 44" xfId="15207" xr:uid="{00000000-0005-0000-0000-0000473B0000}"/>
    <cellStyle name="Calc Percent (1) 45" xfId="15208" xr:uid="{00000000-0005-0000-0000-0000483B0000}"/>
    <cellStyle name="Calc Percent (1) 46" xfId="15209" xr:uid="{00000000-0005-0000-0000-0000493B0000}"/>
    <cellStyle name="Calc Percent (1) 47" xfId="15210" xr:uid="{00000000-0005-0000-0000-00004A3B0000}"/>
    <cellStyle name="Calc Percent (1) 5" xfId="15211" xr:uid="{00000000-0005-0000-0000-00004B3B0000}"/>
    <cellStyle name="Calc Percent (1) 6" xfId="15212" xr:uid="{00000000-0005-0000-0000-00004C3B0000}"/>
    <cellStyle name="Calc Percent (1) 7" xfId="15213" xr:uid="{00000000-0005-0000-0000-00004D3B0000}"/>
    <cellStyle name="Calc Percent (1) 8" xfId="15214" xr:uid="{00000000-0005-0000-0000-00004E3B0000}"/>
    <cellStyle name="Calc Percent (1) 9" xfId="15215" xr:uid="{00000000-0005-0000-0000-00004F3B0000}"/>
    <cellStyle name="Calc Percent (2)" xfId="15216" xr:uid="{00000000-0005-0000-0000-0000503B0000}"/>
    <cellStyle name="Calc Percent (2) 10" xfId="15217" xr:uid="{00000000-0005-0000-0000-0000513B0000}"/>
    <cellStyle name="Calc Percent (2) 11" xfId="15218" xr:uid="{00000000-0005-0000-0000-0000523B0000}"/>
    <cellStyle name="Calc Percent (2) 12" xfId="15219" xr:uid="{00000000-0005-0000-0000-0000533B0000}"/>
    <cellStyle name="Calc Percent (2) 13" xfId="15220" xr:uid="{00000000-0005-0000-0000-0000543B0000}"/>
    <cellStyle name="Calc Percent (2) 14" xfId="15221" xr:uid="{00000000-0005-0000-0000-0000553B0000}"/>
    <cellStyle name="Calc Percent (2) 15" xfId="15222" xr:uid="{00000000-0005-0000-0000-0000563B0000}"/>
    <cellStyle name="Calc Percent (2) 16" xfId="15223" xr:uid="{00000000-0005-0000-0000-0000573B0000}"/>
    <cellStyle name="Calc Percent (2) 17" xfId="15224" xr:uid="{00000000-0005-0000-0000-0000583B0000}"/>
    <cellStyle name="Calc Percent (2) 18" xfId="15225" xr:uid="{00000000-0005-0000-0000-0000593B0000}"/>
    <cellStyle name="Calc Percent (2) 19" xfId="15226" xr:uid="{00000000-0005-0000-0000-00005A3B0000}"/>
    <cellStyle name="Calc Percent (2) 2" xfId="15227" xr:uid="{00000000-0005-0000-0000-00005B3B0000}"/>
    <cellStyle name="Calc Percent (2) 20" xfId="15228" xr:uid="{00000000-0005-0000-0000-00005C3B0000}"/>
    <cellStyle name="Calc Percent (2) 21" xfId="15229" xr:uid="{00000000-0005-0000-0000-00005D3B0000}"/>
    <cellStyle name="Calc Percent (2) 22" xfId="15230" xr:uid="{00000000-0005-0000-0000-00005E3B0000}"/>
    <cellStyle name="Calc Percent (2) 23" xfId="15231" xr:uid="{00000000-0005-0000-0000-00005F3B0000}"/>
    <cellStyle name="Calc Percent (2) 24" xfId="15232" xr:uid="{00000000-0005-0000-0000-0000603B0000}"/>
    <cellStyle name="Calc Percent (2) 25" xfId="15233" xr:uid="{00000000-0005-0000-0000-0000613B0000}"/>
    <cellStyle name="Calc Percent (2) 26" xfId="15234" xr:uid="{00000000-0005-0000-0000-0000623B0000}"/>
    <cellStyle name="Calc Percent (2) 27" xfId="15235" xr:uid="{00000000-0005-0000-0000-0000633B0000}"/>
    <cellStyle name="Calc Percent (2) 28" xfId="15236" xr:uid="{00000000-0005-0000-0000-0000643B0000}"/>
    <cellStyle name="Calc Percent (2) 29" xfId="15237" xr:uid="{00000000-0005-0000-0000-0000653B0000}"/>
    <cellStyle name="Calc Percent (2) 3" xfId="15238" xr:uid="{00000000-0005-0000-0000-0000663B0000}"/>
    <cellStyle name="Calc Percent (2) 30" xfId="15239" xr:uid="{00000000-0005-0000-0000-0000673B0000}"/>
    <cellStyle name="Calc Percent (2) 31" xfId="15240" xr:uid="{00000000-0005-0000-0000-0000683B0000}"/>
    <cellStyle name="Calc Percent (2) 32" xfId="15241" xr:uid="{00000000-0005-0000-0000-0000693B0000}"/>
    <cellStyle name="Calc Percent (2) 33" xfId="15242" xr:uid="{00000000-0005-0000-0000-00006A3B0000}"/>
    <cellStyle name="Calc Percent (2) 34" xfId="15243" xr:uid="{00000000-0005-0000-0000-00006B3B0000}"/>
    <cellStyle name="Calc Percent (2) 35" xfId="15244" xr:uid="{00000000-0005-0000-0000-00006C3B0000}"/>
    <cellStyle name="Calc Percent (2) 36" xfId="15245" xr:uid="{00000000-0005-0000-0000-00006D3B0000}"/>
    <cellStyle name="Calc Percent (2) 37" xfId="15246" xr:uid="{00000000-0005-0000-0000-00006E3B0000}"/>
    <cellStyle name="Calc Percent (2) 38" xfId="15247" xr:uid="{00000000-0005-0000-0000-00006F3B0000}"/>
    <cellStyle name="Calc Percent (2) 39" xfId="15248" xr:uid="{00000000-0005-0000-0000-0000703B0000}"/>
    <cellStyle name="Calc Percent (2) 4" xfId="15249" xr:uid="{00000000-0005-0000-0000-0000713B0000}"/>
    <cellStyle name="Calc Percent (2) 40" xfId="15250" xr:uid="{00000000-0005-0000-0000-0000723B0000}"/>
    <cellStyle name="Calc Percent (2) 41" xfId="15251" xr:uid="{00000000-0005-0000-0000-0000733B0000}"/>
    <cellStyle name="Calc Percent (2) 42" xfId="15252" xr:uid="{00000000-0005-0000-0000-0000743B0000}"/>
    <cellStyle name="Calc Percent (2) 43" xfId="15253" xr:uid="{00000000-0005-0000-0000-0000753B0000}"/>
    <cellStyle name="Calc Percent (2) 44" xfId="15254" xr:uid="{00000000-0005-0000-0000-0000763B0000}"/>
    <cellStyle name="Calc Percent (2) 45" xfId="15255" xr:uid="{00000000-0005-0000-0000-0000773B0000}"/>
    <cellStyle name="Calc Percent (2) 46" xfId="15256" xr:uid="{00000000-0005-0000-0000-0000783B0000}"/>
    <cellStyle name="Calc Percent (2) 47" xfId="15257" xr:uid="{00000000-0005-0000-0000-0000793B0000}"/>
    <cellStyle name="Calc Percent (2) 5" xfId="15258" xr:uid="{00000000-0005-0000-0000-00007A3B0000}"/>
    <cellStyle name="Calc Percent (2) 6" xfId="15259" xr:uid="{00000000-0005-0000-0000-00007B3B0000}"/>
    <cellStyle name="Calc Percent (2) 7" xfId="15260" xr:uid="{00000000-0005-0000-0000-00007C3B0000}"/>
    <cellStyle name="Calc Percent (2) 8" xfId="15261" xr:uid="{00000000-0005-0000-0000-00007D3B0000}"/>
    <cellStyle name="Calc Percent (2) 9" xfId="15262" xr:uid="{00000000-0005-0000-0000-00007E3B0000}"/>
    <cellStyle name="Calc Units (0)" xfId="15263" xr:uid="{00000000-0005-0000-0000-00007F3B0000}"/>
    <cellStyle name="Calc Units (0) 10" xfId="15264" xr:uid="{00000000-0005-0000-0000-0000803B0000}"/>
    <cellStyle name="Calc Units (0) 11" xfId="15265" xr:uid="{00000000-0005-0000-0000-0000813B0000}"/>
    <cellStyle name="Calc Units (0) 12" xfId="15266" xr:uid="{00000000-0005-0000-0000-0000823B0000}"/>
    <cellStyle name="Calc Units (0) 2" xfId="15267" xr:uid="{00000000-0005-0000-0000-0000833B0000}"/>
    <cellStyle name="Calc Units (0) 3" xfId="15268" xr:uid="{00000000-0005-0000-0000-0000843B0000}"/>
    <cellStyle name="Calc Units (0) 4" xfId="15269" xr:uid="{00000000-0005-0000-0000-0000853B0000}"/>
    <cellStyle name="Calc Units (0) 5" xfId="15270" xr:uid="{00000000-0005-0000-0000-0000863B0000}"/>
    <cellStyle name="Calc Units (0) 6" xfId="15271" xr:uid="{00000000-0005-0000-0000-0000873B0000}"/>
    <cellStyle name="Calc Units (0) 7" xfId="15272" xr:uid="{00000000-0005-0000-0000-0000883B0000}"/>
    <cellStyle name="Calc Units (0) 8" xfId="15273" xr:uid="{00000000-0005-0000-0000-0000893B0000}"/>
    <cellStyle name="Calc Units (0) 9" xfId="15274" xr:uid="{00000000-0005-0000-0000-00008A3B0000}"/>
    <cellStyle name="Calc Units (1)" xfId="15275" xr:uid="{00000000-0005-0000-0000-00008B3B0000}"/>
    <cellStyle name="Calc Units (1) 10" xfId="15276" xr:uid="{00000000-0005-0000-0000-00008C3B0000}"/>
    <cellStyle name="Calc Units (1) 11" xfId="15277" xr:uid="{00000000-0005-0000-0000-00008D3B0000}"/>
    <cellStyle name="Calc Units (1) 12" xfId="15278" xr:uid="{00000000-0005-0000-0000-00008E3B0000}"/>
    <cellStyle name="Calc Units (1) 13" xfId="15279" xr:uid="{00000000-0005-0000-0000-00008F3B0000}"/>
    <cellStyle name="Calc Units (1) 14" xfId="15280" xr:uid="{00000000-0005-0000-0000-0000903B0000}"/>
    <cellStyle name="Calc Units (1) 15" xfId="15281" xr:uid="{00000000-0005-0000-0000-0000913B0000}"/>
    <cellStyle name="Calc Units (1) 16" xfId="15282" xr:uid="{00000000-0005-0000-0000-0000923B0000}"/>
    <cellStyle name="Calc Units (1) 17" xfId="15283" xr:uid="{00000000-0005-0000-0000-0000933B0000}"/>
    <cellStyle name="Calc Units (1) 18" xfId="15284" xr:uid="{00000000-0005-0000-0000-0000943B0000}"/>
    <cellStyle name="Calc Units (1) 19" xfId="15285" xr:uid="{00000000-0005-0000-0000-0000953B0000}"/>
    <cellStyle name="Calc Units (1) 2" xfId="15286" xr:uid="{00000000-0005-0000-0000-0000963B0000}"/>
    <cellStyle name="Calc Units (1) 20" xfId="15287" xr:uid="{00000000-0005-0000-0000-0000973B0000}"/>
    <cellStyle name="Calc Units (1) 21" xfId="15288" xr:uid="{00000000-0005-0000-0000-0000983B0000}"/>
    <cellStyle name="Calc Units (1) 22" xfId="15289" xr:uid="{00000000-0005-0000-0000-0000993B0000}"/>
    <cellStyle name="Calc Units (1) 23" xfId="15290" xr:uid="{00000000-0005-0000-0000-00009A3B0000}"/>
    <cellStyle name="Calc Units (1) 24" xfId="15291" xr:uid="{00000000-0005-0000-0000-00009B3B0000}"/>
    <cellStyle name="Calc Units (1) 25" xfId="15292" xr:uid="{00000000-0005-0000-0000-00009C3B0000}"/>
    <cellStyle name="Calc Units (1) 26" xfId="15293" xr:uid="{00000000-0005-0000-0000-00009D3B0000}"/>
    <cellStyle name="Calc Units (1) 27" xfId="15294" xr:uid="{00000000-0005-0000-0000-00009E3B0000}"/>
    <cellStyle name="Calc Units (1) 28" xfId="15295" xr:uid="{00000000-0005-0000-0000-00009F3B0000}"/>
    <cellStyle name="Calc Units (1) 29" xfId="15296" xr:uid="{00000000-0005-0000-0000-0000A03B0000}"/>
    <cellStyle name="Calc Units (1) 3" xfId="15297" xr:uid="{00000000-0005-0000-0000-0000A13B0000}"/>
    <cellStyle name="Calc Units (1) 30" xfId="15298" xr:uid="{00000000-0005-0000-0000-0000A23B0000}"/>
    <cellStyle name="Calc Units (1) 31" xfId="15299" xr:uid="{00000000-0005-0000-0000-0000A33B0000}"/>
    <cellStyle name="Calc Units (1) 32" xfId="15300" xr:uid="{00000000-0005-0000-0000-0000A43B0000}"/>
    <cellStyle name="Calc Units (1) 33" xfId="15301" xr:uid="{00000000-0005-0000-0000-0000A53B0000}"/>
    <cellStyle name="Calc Units (1) 34" xfId="15302" xr:uid="{00000000-0005-0000-0000-0000A63B0000}"/>
    <cellStyle name="Calc Units (1) 35" xfId="15303" xr:uid="{00000000-0005-0000-0000-0000A73B0000}"/>
    <cellStyle name="Calc Units (1) 36" xfId="15304" xr:uid="{00000000-0005-0000-0000-0000A83B0000}"/>
    <cellStyle name="Calc Units (1) 37" xfId="15305" xr:uid="{00000000-0005-0000-0000-0000A93B0000}"/>
    <cellStyle name="Calc Units (1) 38" xfId="15306" xr:uid="{00000000-0005-0000-0000-0000AA3B0000}"/>
    <cellStyle name="Calc Units (1) 39" xfId="15307" xr:uid="{00000000-0005-0000-0000-0000AB3B0000}"/>
    <cellStyle name="Calc Units (1) 4" xfId="15308" xr:uid="{00000000-0005-0000-0000-0000AC3B0000}"/>
    <cellStyle name="Calc Units (1) 40" xfId="15309" xr:uid="{00000000-0005-0000-0000-0000AD3B0000}"/>
    <cellStyle name="Calc Units (1) 41" xfId="15310" xr:uid="{00000000-0005-0000-0000-0000AE3B0000}"/>
    <cellStyle name="Calc Units (1) 42" xfId="15311" xr:uid="{00000000-0005-0000-0000-0000AF3B0000}"/>
    <cellStyle name="Calc Units (1) 43" xfId="15312" xr:uid="{00000000-0005-0000-0000-0000B03B0000}"/>
    <cellStyle name="Calc Units (1) 44" xfId="15313" xr:uid="{00000000-0005-0000-0000-0000B13B0000}"/>
    <cellStyle name="Calc Units (1) 45" xfId="15314" xr:uid="{00000000-0005-0000-0000-0000B23B0000}"/>
    <cellStyle name="Calc Units (1) 46" xfId="15315" xr:uid="{00000000-0005-0000-0000-0000B33B0000}"/>
    <cellStyle name="Calc Units (1) 47" xfId="15316" xr:uid="{00000000-0005-0000-0000-0000B43B0000}"/>
    <cellStyle name="Calc Units (1) 5" xfId="15317" xr:uid="{00000000-0005-0000-0000-0000B53B0000}"/>
    <cellStyle name="Calc Units (1) 6" xfId="15318" xr:uid="{00000000-0005-0000-0000-0000B63B0000}"/>
    <cellStyle name="Calc Units (1) 7" xfId="15319" xr:uid="{00000000-0005-0000-0000-0000B73B0000}"/>
    <cellStyle name="Calc Units (1) 8" xfId="15320" xr:uid="{00000000-0005-0000-0000-0000B83B0000}"/>
    <cellStyle name="Calc Units (1) 9" xfId="15321" xr:uid="{00000000-0005-0000-0000-0000B93B0000}"/>
    <cellStyle name="Calc Units (2)" xfId="15322" xr:uid="{00000000-0005-0000-0000-0000BA3B0000}"/>
    <cellStyle name="Calc Units (2) 10" xfId="15323" xr:uid="{00000000-0005-0000-0000-0000BB3B0000}"/>
    <cellStyle name="Calc Units (2) 11" xfId="15324" xr:uid="{00000000-0005-0000-0000-0000BC3B0000}"/>
    <cellStyle name="Calc Units (2) 12" xfId="15325" xr:uid="{00000000-0005-0000-0000-0000BD3B0000}"/>
    <cellStyle name="Calc Units (2) 2" xfId="15326" xr:uid="{00000000-0005-0000-0000-0000BE3B0000}"/>
    <cellStyle name="Calc Units (2) 3" xfId="15327" xr:uid="{00000000-0005-0000-0000-0000BF3B0000}"/>
    <cellStyle name="Calc Units (2) 4" xfId="15328" xr:uid="{00000000-0005-0000-0000-0000C03B0000}"/>
    <cellStyle name="Calc Units (2) 5" xfId="15329" xr:uid="{00000000-0005-0000-0000-0000C13B0000}"/>
    <cellStyle name="Calc Units (2) 6" xfId="15330" xr:uid="{00000000-0005-0000-0000-0000C23B0000}"/>
    <cellStyle name="Calc Units (2) 7" xfId="15331" xr:uid="{00000000-0005-0000-0000-0000C33B0000}"/>
    <cellStyle name="Calc Units (2) 8" xfId="15332" xr:uid="{00000000-0005-0000-0000-0000C43B0000}"/>
    <cellStyle name="Calc Units (2) 9" xfId="15333" xr:uid="{00000000-0005-0000-0000-0000C53B0000}"/>
    <cellStyle name="Calc_AEI Master Model v1.18" xfId="15334" xr:uid="{00000000-0005-0000-0000-0000C63B0000}"/>
    <cellStyle name="Calcd" xfId="15335" xr:uid="{00000000-0005-0000-0000-0000C73B0000}"/>
    <cellStyle name="Calcs" xfId="15336" xr:uid="{00000000-0005-0000-0000-0000C83B0000}"/>
    <cellStyle name="Calcs 10" xfId="15337" xr:uid="{00000000-0005-0000-0000-0000C93B0000}"/>
    <cellStyle name="Calcs 10 10" xfId="15338" xr:uid="{00000000-0005-0000-0000-0000CA3B0000}"/>
    <cellStyle name="Calcs 10 11" xfId="15339" xr:uid="{00000000-0005-0000-0000-0000CB3B0000}"/>
    <cellStyle name="Calcs 10 12" xfId="15340" xr:uid="{00000000-0005-0000-0000-0000CC3B0000}"/>
    <cellStyle name="Calcs 10 13" xfId="15341" xr:uid="{00000000-0005-0000-0000-0000CD3B0000}"/>
    <cellStyle name="Calcs 10 2" xfId="15342" xr:uid="{00000000-0005-0000-0000-0000CE3B0000}"/>
    <cellStyle name="Calcs 10 2 10" xfId="15343" xr:uid="{00000000-0005-0000-0000-0000CF3B0000}"/>
    <cellStyle name="Calcs 10 2 11" xfId="15344" xr:uid="{00000000-0005-0000-0000-0000D03B0000}"/>
    <cellStyle name="Calcs 10 2 12" xfId="15345" xr:uid="{00000000-0005-0000-0000-0000D13B0000}"/>
    <cellStyle name="Calcs 10 2 2" xfId="15346" xr:uid="{00000000-0005-0000-0000-0000D23B0000}"/>
    <cellStyle name="Calcs 10 2 2 10" xfId="15347" xr:uid="{00000000-0005-0000-0000-0000D33B0000}"/>
    <cellStyle name="Calcs 10 2 2 2" xfId="15348" xr:uid="{00000000-0005-0000-0000-0000D43B0000}"/>
    <cellStyle name="Calcs 10 2 2 3" xfId="15349" xr:uid="{00000000-0005-0000-0000-0000D53B0000}"/>
    <cellStyle name="Calcs 10 2 2 4" xfId="15350" xr:uid="{00000000-0005-0000-0000-0000D63B0000}"/>
    <cellStyle name="Calcs 10 2 2 5" xfId="15351" xr:uid="{00000000-0005-0000-0000-0000D73B0000}"/>
    <cellStyle name="Calcs 10 2 2 6" xfId="15352" xr:uid="{00000000-0005-0000-0000-0000D83B0000}"/>
    <cellStyle name="Calcs 10 2 2 7" xfId="15353" xr:uid="{00000000-0005-0000-0000-0000D93B0000}"/>
    <cellStyle name="Calcs 10 2 2 8" xfId="15354" xr:uid="{00000000-0005-0000-0000-0000DA3B0000}"/>
    <cellStyle name="Calcs 10 2 2 9" xfId="15355" xr:uid="{00000000-0005-0000-0000-0000DB3B0000}"/>
    <cellStyle name="Calcs 10 2 3" xfId="15356" xr:uid="{00000000-0005-0000-0000-0000DC3B0000}"/>
    <cellStyle name="Calcs 10 2 4" xfId="15357" xr:uid="{00000000-0005-0000-0000-0000DD3B0000}"/>
    <cellStyle name="Calcs 10 2 5" xfId="15358" xr:uid="{00000000-0005-0000-0000-0000DE3B0000}"/>
    <cellStyle name="Calcs 10 2 6" xfId="15359" xr:uid="{00000000-0005-0000-0000-0000DF3B0000}"/>
    <cellStyle name="Calcs 10 2 7" xfId="15360" xr:uid="{00000000-0005-0000-0000-0000E03B0000}"/>
    <cellStyle name="Calcs 10 2 8" xfId="15361" xr:uid="{00000000-0005-0000-0000-0000E13B0000}"/>
    <cellStyle name="Calcs 10 2 9" xfId="15362" xr:uid="{00000000-0005-0000-0000-0000E23B0000}"/>
    <cellStyle name="Calcs 10 3" xfId="15363" xr:uid="{00000000-0005-0000-0000-0000E33B0000}"/>
    <cellStyle name="Calcs 10 3 10" xfId="15364" xr:uid="{00000000-0005-0000-0000-0000E43B0000}"/>
    <cellStyle name="Calcs 10 3 11" xfId="15365" xr:uid="{00000000-0005-0000-0000-0000E53B0000}"/>
    <cellStyle name="Calcs 10 3 2" xfId="15366" xr:uid="{00000000-0005-0000-0000-0000E63B0000}"/>
    <cellStyle name="Calcs 10 3 3" xfId="15367" xr:uid="{00000000-0005-0000-0000-0000E73B0000}"/>
    <cellStyle name="Calcs 10 3 4" xfId="15368" xr:uid="{00000000-0005-0000-0000-0000E83B0000}"/>
    <cellStyle name="Calcs 10 3 5" xfId="15369" xr:uid="{00000000-0005-0000-0000-0000E93B0000}"/>
    <cellStyle name="Calcs 10 3 6" xfId="15370" xr:uid="{00000000-0005-0000-0000-0000EA3B0000}"/>
    <cellStyle name="Calcs 10 3 7" xfId="15371" xr:uid="{00000000-0005-0000-0000-0000EB3B0000}"/>
    <cellStyle name="Calcs 10 3 8" xfId="15372" xr:uid="{00000000-0005-0000-0000-0000EC3B0000}"/>
    <cellStyle name="Calcs 10 3 9" xfId="15373" xr:uid="{00000000-0005-0000-0000-0000ED3B0000}"/>
    <cellStyle name="Calcs 10 4" xfId="15374" xr:uid="{00000000-0005-0000-0000-0000EE3B0000}"/>
    <cellStyle name="Calcs 10 5" xfId="15375" xr:uid="{00000000-0005-0000-0000-0000EF3B0000}"/>
    <cellStyle name="Calcs 10 6" xfId="15376" xr:uid="{00000000-0005-0000-0000-0000F03B0000}"/>
    <cellStyle name="Calcs 10 7" xfId="15377" xr:uid="{00000000-0005-0000-0000-0000F13B0000}"/>
    <cellStyle name="Calcs 10 8" xfId="15378" xr:uid="{00000000-0005-0000-0000-0000F23B0000}"/>
    <cellStyle name="Calcs 10 9" xfId="15379" xr:uid="{00000000-0005-0000-0000-0000F33B0000}"/>
    <cellStyle name="Calcs 11" xfId="15380" xr:uid="{00000000-0005-0000-0000-0000F43B0000}"/>
    <cellStyle name="Calcs 11 10" xfId="15381" xr:uid="{00000000-0005-0000-0000-0000F53B0000}"/>
    <cellStyle name="Calcs 11 11" xfId="15382" xr:uid="{00000000-0005-0000-0000-0000F63B0000}"/>
    <cellStyle name="Calcs 11 12" xfId="15383" xr:uid="{00000000-0005-0000-0000-0000F73B0000}"/>
    <cellStyle name="Calcs 11 13" xfId="15384" xr:uid="{00000000-0005-0000-0000-0000F83B0000}"/>
    <cellStyle name="Calcs 11 2" xfId="15385" xr:uid="{00000000-0005-0000-0000-0000F93B0000}"/>
    <cellStyle name="Calcs 11 2 10" xfId="15386" xr:uid="{00000000-0005-0000-0000-0000FA3B0000}"/>
    <cellStyle name="Calcs 11 2 11" xfId="15387" xr:uid="{00000000-0005-0000-0000-0000FB3B0000}"/>
    <cellStyle name="Calcs 11 2 12" xfId="15388" xr:uid="{00000000-0005-0000-0000-0000FC3B0000}"/>
    <cellStyle name="Calcs 11 2 2" xfId="15389" xr:uid="{00000000-0005-0000-0000-0000FD3B0000}"/>
    <cellStyle name="Calcs 11 2 2 10" xfId="15390" xr:uid="{00000000-0005-0000-0000-0000FE3B0000}"/>
    <cellStyle name="Calcs 11 2 2 2" xfId="15391" xr:uid="{00000000-0005-0000-0000-0000FF3B0000}"/>
    <cellStyle name="Calcs 11 2 2 3" xfId="15392" xr:uid="{00000000-0005-0000-0000-0000003C0000}"/>
    <cellStyle name="Calcs 11 2 2 4" xfId="15393" xr:uid="{00000000-0005-0000-0000-0000013C0000}"/>
    <cellStyle name="Calcs 11 2 2 5" xfId="15394" xr:uid="{00000000-0005-0000-0000-0000023C0000}"/>
    <cellStyle name="Calcs 11 2 2 6" xfId="15395" xr:uid="{00000000-0005-0000-0000-0000033C0000}"/>
    <cellStyle name="Calcs 11 2 2 7" xfId="15396" xr:uid="{00000000-0005-0000-0000-0000043C0000}"/>
    <cellStyle name="Calcs 11 2 2 8" xfId="15397" xr:uid="{00000000-0005-0000-0000-0000053C0000}"/>
    <cellStyle name="Calcs 11 2 2 9" xfId="15398" xr:uid="{00000000-0005-0000-0000-0000063C0000}"/>
    <cellStyle name="Calcs 11 2 3" xfId="15399" xr:uid="{00000000-0005-0000-0000-0000073C0000}"/>
    <cellStyle name="Calcs 11 2 4" xfId="15400" xr:uid="{00000000-0005-0000-0000-0000083C0000}"/>
    <cellStyle name="Calcs 11 2 5" xfId="15401" xr:uid="{00000000-0005-0000-0000-0000093C0000}"/>
    <cellStyle name="Calcs 11 2 6" xfId="15402" xr:uid="{00000000-0005-0000-0000-00000A3C0000}"/>
    <cellStyle name="Calcs 11 2 7" xfId="15403" xr:uid="{00000000-0005-0000-0000-00000B3C0000}"/>
    <cellStyle name="Calcs 11 2 8" xfId="15404" xr:uid="{00000000-0005-0000-0000-00000C3C0000}"/>
    <cellStyle name="Calcs 11 2 9" xfId="15405" xr:uid="{00000000-0005-0000-0000-00000D3C0000}"/>
    <cellStyle name="Calcs 11 3" xfId="15406" xr:uid="{00000000-0005-0000-0000-00000E3C0000}"/>
    <cellStyle name="Calcs 11 3 10" xfId="15407" xr:uid="{00000000-0005-0000-0000-00000F3C0000}"/>
    <cellStyle name="Calcs 11 3 11" xfId="15408" xr:uid="{00000000-0005-0000-0000-0000103C0000}"/>
    <cellStyle name="Calcs 11 3 2" xfId="15409" xr:uid="{00000000-0005-0000-0000-0000113C0000}"/>
    <cellStyle name="Calcs 11 3 3" xfId="15410" xr:uid="{00000000-0005-0000-0000-0000123C0000}"/>
    <cellStyle name="Calcs 11 3 4" xfId="15411" xr:uid="{00000000-0005-0000-0000-0000133C0000}"/>
    <cellStyle name="Calcs 11 3 5" xfId="15412" xr:uid="{00000000-0005-0000-0000-0000143C0000}"/>
    <cellStyle name="Calcs 11 3 6" xfId="15413" xr:uid="{00000000-0005-0000-0000-0000153C0000}"/>
    <cellStyle name="Calcs 11 3 7" xfId="15414" xr:uid="{00000000-0005-0000-0000-0000163C0000}"/>
    <cellStyle name="Calcs 11 3 8" xfId="15415" xr:uid="{00000000-0005-0000-0000-0000173C0000}"/>
    <cellStyle name="Calcs 11 3 9" xfId="15416" xr:uid="{00000000-0005-0000-0000-0000183C0000}"/>
    <cellStyle name="Calcs 11 4" xfId="15417" xr:uid="{00000000-0005-0000-0000-0000193C0000}"/>
    <cellStyle name="Calcs 11 5" xfId="15418" xr:uid="{00000000-0005-0000-0000-00001A3C0000}"/>
    <cellStyle name="Calcs 11 6" xfId="15419" xr:uid="{00000000-0005-0000-0000-00001B3C0000}"/>
    <cellStyle name="Calcs 11 7" xfId="15420" xr:uid="{00000000-0005-0000-0000-00001C3C0000}"/>
    <cellStyle name="Calcs 11 8" xfId="15421" xr:uid="{00000000-0005-0000-0000-00001D3C0000}"/>
    <cellStyle name="Calcs 11 9" xfId="15422" xr:uid="{00000000-0005-0000-0000-00001E3C0000}"/>
    <cellStyle name="Calcs 12" xfId="15423" xr:uid="{00000000-0005-0000-0000-00001F3C0000}"/>
    <cellStyle name="Calcs 12 10" xfId="15424" xr:uid="{00000000-0005-0000-0000-0000203C0000}"/>
    <cellStyle name="Calcs 12 11" xfId="15425" xr:uid="{00000000-0005-0000-0000-0000213C0000}"/>
    <cellStyle name="Calcs 12 12" xfId="15426" xr:uid="{00000000-0005-0000-0000-0000223C0000}"/>
    <cellStyle name="Calcs 12 13" xfId="15427" xr:uid="{00000000-0005-0000-0000-0000233C0000}"/>
    <cellStyle name="Calcs 12 2" xfId="15428" xr:uid="{00000000-0005-0000-0000-0000243C0000}"/>
    <cellStyle name="Calcs 12 2 10" xfId="15429" xr:uid="{00000000-0005-0000-0000-0000253C0000}"/>
    <cellStyle name="Calcs 12 2 11" xfId="15430" xr:uid="{00000000-0005-0000-0000-0000263C0000}"/>
    <cellStyle name="Calcs 12 2 12" xfId="15431" xr:uid="{00000000-0005-0000-0000-0000273C0000}"/>
    <cellStyle name="Calcs 12 2 2" xfId="15432" xr:uid="{00000000-0005-0000-0000-0000283C0000}"/>
    <cellStyle name="Calcs 12 2 2 10" xfId="15433" xr:uid="{00000000-0005-0000-0000-0000293C0000}"/>
    <cellStyle name="Calcs 12 2 2 2" xfId="15434" xr:uid="{00000000-0005-0000-0000-00002A3C0000}"/>
    <cellStyle name="Calcs 12 2 2 3" xfId="15435" xr:uid="{00000000-0005-0000-0000-00002B3C0000}"/>
    <cellStyle name="Calcs 12 2 2 4" xfId="15436" xr:uid="{00000000-0005-0000-0000-00002C3C0000}"/>
    <cellStyle name="Calcs 12 2 2 5" xfId="15437" xr:uid="{00000000-0005-0000-0000-00002D3C0000}"/>
    <cellStyle name="Calcs 12 2 2 6" xfId="15438" xr:uid="{00000000-0005-0000-0000-00002E3C0000}"/>
    <cellStyle name="Calcs 12 2 2 7" xfId="15439" xr:uid="{00000000-0005-0000-0000-00002F3C0000}"/>
    <cellStyle name="Calcs 12 2 2 8" xfId="15440" xr:uid="{00000000-0005-0000-0000-0000303C0000}"/>
    <cellStyle name="Calcs 12 2 2 9" xfId="15441" xr:uid="{00000000-0005-0000-0000-0000313C0000}"/>
    <cellStyle name="Calcs 12 2 3" xfId="15442" xr:uid="{00000000-0005-0000-0000-0000323C0000}"/>
    <cellStyle name="Calcs 12 2 4" xfId="15443" xr:uid="{00000000-0005-0000-0000-0000333C0000}"/>
    <cellStyle name="Calcs 12 2 5" xfId="15444" xr:uid="{00000000-0005-0000-0000-0000343C0000}"/>
    <cellStyle name="Calcs 12 2 6" xfId="15445" xr:uid="{00000000-0005-0000-0000-0000353C0000}"/>
    <cellStyle name="Calcs 12 2 7" xfId="15446" xr:uid="{00000000-0005-0000-0000-0000363C0000}"/>
    <cellStyle name="Calcs 12 2 8" xfId="15447" xr:uid="{00000000-0005-0000-0000-0000373C0000}"/>
    <cellStyle name="Calcs 12 2 9" xfId="15448" xr:uid="{00000000-0005-0000-0000-0000383C0000}"/>
    <cellStyle name="Calcs 12 3" xfId="15449" xr:uid="{00000000-0005-0000-0000-0000393C0000}"/>
    <cellStyle name="Calcs 12 3 10" xfId="15450" xr:uid="{00000000-0005-0000-0000-00003A3C0000}"/>
    <cellStyle name="Calcs 12 3 11" xfId="15451" xr:uid="{00000000-0005-0000-0000-00003B3C0000}"/>
    <cellStyle name="Calcs 12 3 2" xfId="15452" xr:uid="{00000000-0005-0000-0000-00003C3C0000}"/>
    <cellStyle name="Calcs 12 3 3" xfId="15453" xr:uid="{00000000-0005-0000-0000-00003D3C0000}"/>
    <cellStyle name="Calcs 12 3 4" xfId="15454" xr:uid="{00000000-0005-0000-0000-00003E3C0000}"/>
    <cellStyle name="Calcs 12 3 5" xfId="15455" xr:uid="{00000000-0005-0000-0000-00003F3C0000}"/>
    <cellStyle name="Calcs 12 3 6" xfId="15456" xr:uid="{00000000-0005-0000-0000-0000403C0000}"/>
    <cellStyle name="Calcs 12 3 7" xfId="15457" xr:uid="{00000000-0005-0000-0000-0000413C0000}"/>
    <cellStyle name="Calcs 12 3 8" xfId="15458" xr:uid="{00000000-0005-0000-0000-0000423C0000}"/>
    <cellStyle name="Calcs 12 3 9" xfId="15459" xr:uid="{00000000-0005-0000-0000-0000433C0000}"/>
    <cellStyle name="Calcs 12 4" xfId="15460" xr:uid="{00000000-0005-0000-0000-0000443C0000}"/>
    <cellStyle name="Calcs 12 5" xfId="15461" xr:uid="{00000000-0005-0000-0000-0000453C0000}"/>
    <cellStyle name="Calcs 12 6" xfId="15462" xr:uid="{00000000-0005-0000-0000-0000463C0000}"/>
    <cellStyle name="Calcs 12 7" xfId="15463" xr:uid="{00000000-0005-0000-0000-0000473C0000}"/>
    <cellStyle name="Calcs 12 8" xfId="15464" xr:uid="{00000000-0005-0000-0000-0000483C0000}"/>
    <cellStyle name="Calcs 12 9" xfId="15465" xr:uid="{00000000-0005-0000-0000-0000493C0000}"/>
    <cellStyle name="Calcs 13" xfId="15466" xr:uid="{00000000-0005-0000-0000-00004A3C0000}"/>
    <cellStyle name="Calcs 13 10" xfId="15467" xr:uid="{00000000-0005-0000-0000-00004B3C0000}"/>
    <cellStyle name="Calcs 13 11" xfId="15468" xr:uid="{00000000-0005-0000-0000-00004C3C0000}"/>
    <cellStyle name="Calcs 13 12" xfId="15469" xr:uid="{00000000-0005-0000-0000-00004D3C0000}"/>
    <cellStyle name="Calcs 13 13" xfId="15470" xr:uid="{00000000-0005-0000-0000-00004E3C0000}"/>
    <cellStyle name="Calcs 13 2" xfId="15471" xr:uid="{00000000-0005-0000-0000-00004F3C0000}"/>
    <cellStyle name="Calcs 13 2 10" xfId="15472" xr:uid="{00000000-0005-0000-0000-0000503C0000}"/>
    <cellStyle name="Calcs 13 2 11" xfId="15473" xr:uid="{00000000-0005-0000-0000-0000513C0000}"/>
    <cellStyle name="Calcs 13 2 12" xfId="15474" xr:uid="{00000000-0005-0000-0000-0000523C0000}"/>
    <cellStyle name="Calcs 13 2 2" xfId="15475" xr:uid="{00000000-0005-0000-0000-0000533C0000}"/>
    <cellStyle name="Calcs 13 2 2 10" xfId="15476" xr:uid="{00000000-0005-0000-0000-0000543C0000}"/>
    <cellStyle name="Calcs 13 2 2 2" xfId="15477" xr:uid="{00000000-0005-0000-0000-0000553C0000}"/>
    <cellStyle name="Calcs 13 2 2 3" xfId="15478" xr:uid="{00000000-0005-0000-0000-0000563C0000}"/>
    <cellStyle name="Calcs 13 2 2 4" xfId="15479" xr:uid="{00000000-0005-0000-0000-0000573C0000}"/>
    <cellStyle name="Calcs 13 2 2 5" xfId="15480" xr:uid="{00000000-0005-0000-0000-0000583C0000}"/>
    <cellStyle name="Calcs 13 2 2 6" xfId="15481" xr:uid="{00000000-0005-0000-0000-0000593C0000}"/>
    <cellStyle name="Calcs 13 2 2 7" xfId="15482" xr:uid="{00000000-0005-0000-0000-00005A3C0000}"/>
    <cellStyle name="Calcs 13 2 2 8" xfId="15483" xr:uid="{00000000-0005-0000-0000-00005B3C0000}"/>
    <cellStyle name="Calcs 13 2 2 9" xfId="15484" xr:uid="{00000000-0005-0000-0000-00005C3C0000}"/>
    <cellStyle name="Calcs 13 2 3" xfId="15485" xr:uid="{00000000-0005-0000-0000-00005D3C0000}"/>
    <cellStyle name="Calcs 13 2 4" xfId="15486" xr:uid="{00000000-0005-0000-0000-00005E3C0000}"/>
    <cellStyle name="Calcs 13 2 5" xfId="15487" xr:uid="{00000000-0005-0000-0000-00005F3C0000}"/>
    <cellStyle name="Calcs 13 2 6" xfId="15488" xr:uid="{00000000-0005-0000-0000-0000603C0000}"/>
    <cellStyle name="Calcs 13 2 7" xfId="15489" xr:uid="{00000000-0005-0000-0000-0000613C0000}"/>
    <cellStyle name="Calcs 13 2 8" xfId="15490" xr:uid="{00000000-0005-0000-0000-0000623C0000}"/>
    <cellStyle name="Calcs 13 2 9" xfId="15491" xr:uid="{00000000-0005-0000-0000-0000633C0000}"/>
    <cellStyle name="Calcs 13 3" xfId="15492" xr:uid="{00000000-0005-0000-0000-0000643C0000}"/>
    <cellStyle name="Calcs 13 3 10" xfId="15493" xr:uid="{00000000-0005-0000-0000-0000653C0000}"/>
    <cellStyle name="Calcs 13 3 11" xfId="15494" xr:uid="{00000000-0005-0000-0000-0000663C0000}"/>
    <cellStyle name="Calcs 13 3 2" xfId="15495" xr:uid="{00000000-0005-0000-0000-0000673C0000}"/>
    <cellStyle name="Calcs 13 3 3" xfId="15496" xr:uid="{00000000-0005-0000-0000-0000683C0000}"/>
    <cellStyle name="Calcs 13 3 4" xfId="15497" xr:uid="{00000000-0005-0000-0000-0000693C0000}"/>
    <cellStyle name="Calcs 13 3 5" xfId="15498" xr:uid="{00000000-0005-0000-0000-00006A3C0000}"/>
    <cellStyle name="Calcs 13 3 6" xfId="15499" xr:uid="{00000000-0005-0000-0000-00006B3C0000}"/>
    <cellStyle name="Calcs 13 3 7" xfId="15500" xr:uid="{00000000-0005-0000-0000-00006C3C0000}"/>
    <cellStyle name="Calcs 13 3 8" xfId="15501" xr:uid="{00000000-0005-0000-0000-00006D3C0000}"/>
    <cellStyle name="Calcs 13 3 9" xfId="15502" xr:uid="{00000000-0005-0000-0000-00006E3C0000}"/>
    <cellStyle name="Calcs 13 4" xfId="15503" xr:uid="{00000000-0005-0000-0000-00006F3C0000}"/>
    <cellStyle name="Calcs 13 5" xfId="15504" xr:uid="{00000000-0005-0000-0000-0000703C0000}"/>
    <cellStyle name="Calcs 13 6" xfId="15505" xr:uid="{00000000-0005-0000-0000-0000713C0000}"/>
    <cellStyle name="Calcs 13 7" xfId="15506" xr:uid="{00000000-0005-0000-0000-0000723C0000}"/>
    <cellStyle name="Calcs 13 8" xfId="15507" xr:uid="{00000000-0005-0000-0000-0000733C0000}"/>
    <cellStyle name="Calcs 13 9" xfId="15508" xr:uid="{00000000-0005-0000-0000-0000743C0000}"/>
    <cellStyle name="Calcs 14" xfId="15509" xr:uid="{00000000-0005-0000-0000-0000753C0000}"/>
    <cellStyle name="Calcs 14 10" xfId="15510" xr:uid="{00000000-0005-0000-0000-0000763C0000}"/>
    <cellStyle name="Calcs 14 11" xfId="15511" xr:uid="{00000000-0005-0000-0000-0000773C0000}"/>
    <cellStyle name="Calcs 14 12" xfId="15512" xr:uid="{00000000-0005-0000-0000-0000783C0000}"/>
    <cellStyle name="Calcs 14 2" xfId="15513" xr:uid="{00000000-0005-0000-0000-0000793C0000}"/>
    <cellStyle name="Calcs 14 2 10" xfId="15514" xr:uid="{00000000-0005-0000-0000-00007A3C0000}"/>
    <cellStyle name="Calcs 14 2 2" xfId="15515" xr:uid="{00000000-0005-0000-0000-00007B3C0000}"/>
    <cellStyle name="Calcs 14 2 3" xfId="15516" xr:uid="{00000000-0005-0000-0000-00007C3C0000}"/>
    <cellStyle name="Calcs 14 2 4" xfId="15517" xr:uid="{00000000-0005-0000-0000-00007D3C0000}"/>
    <cellStyle name="Calcs 14 2 5" xfId="15518" xr:uid="{00000000-0005-0000-0000-00007E3C0000}"/>
    <cellStyle name="Calcs 14 2 6" xfId="15519" xr:uid="{00000000-0005-0000-0000-00007F3C0000}"/>
    <cellStyle name="Calcs 14 2 7" xfId="15520" xr:uid="{00000000-0005-0000-0000-0000803C0000}"/>
    <cellStyle name="Calcs 14 2 8" xfId="15521" xr:uid="{00000000-0005-0000-0000-0000813C0000}"/>
    <cellStyle name="Calcs 14 2 9" xfId="15522" xr:uid="{00000000-0005-0000-0000-0000823C0000}"/>
    <cellStyle name="Calcs 14 3" xfId="15523" xr:uid="{00000000-0005-0000-0000-0000833C0000}"/>
    <cellStyle name="Calcs 14 4" xfId="15524" xr:uid="{00000000-0005-0000-0000-0000843C0000}"/>
    <cellStyle name="Calcs 14 5" xfId="15525" xr:uid="{00000000-0005-0000-0000-0000853C0000}"/>
    <cellStyle name="Calcs 14 6" xfId="15526" xr:uid="{00000000-0005-0000-0000-0000863C0000}"/>
    <cellStyle name="Calcs 14 7" xfId="15527" xr:uid="{00000000-0005-0000-0000-0000873C0000}"/>
    <cellStyle name="Calcs 14 8" xfId="15528" xr:uid="{00000000-0005-0000-0000-0000883C0000}"/>
    <cellStyle name="Calcs 14 9" xfId="15529" xr:uid="{00000000-0005-0000-0000-0000893C0000}"/>
    <cellStyle name="Calcs 15" xfId="15530" xr:uid="{00000000-0005-0000-0000-00008A3C0000}"/>
    <cellStyle name="Calcs 15 10" xfId="15531" xr:uid="{00000000-0005-0000-0000-00008B3C0000}"/>
    <cellStyle name="Calcs 15 11" xfId="15532" xr:uid="{00000000-0005-0000-0000-00008C3C0000}"/>
    <cellStyle name="Calcs 15 2" xfId="15533" xr:uid="{00000000-0005-0000-0000-00008D3C0000}"/>
    <cellStyle name="Calcs 15 3" xfId="15534" xr:uid="{00000000-0005-0000-0000-00008E3C0000}"/>
    <cellStyle name="Calcs 15 4" xfId="15535" xr:uid="{00000000-0005-0000-0000-00008F3C0000}"/>
    <cellStyle name="Calcs 15 5" xfId="15536" xr:uid="{00000000-0005-0000-0000-0000903C0000}"/>
    <cellStyle name="Calcs 15 6" xfId="15537" xr:uid="{00000000-0005-0000-0000-0000913C0000}"/>
    <cellStyle name="Calcs 15 7" xfId="15538" xr:uid="{00000000-0005-0000-0000-0000923C0000}"/>
    <cellStyle name="Calcs 15 8" xfId="15539" xr:uid="{00000000-0005-0000-0000-0000933C0000}"/>
    <cellStyle name="Calcs 15 9" xfId="15540" xr:uid="{00000000-0005-0000-0000-0000943C0000}"/>
    <cellStyle name="Calcs 16" xfId="15541" xr:uid="{00000000-0005-0000-0000-0000953C0000}"/>
    <cellStyle name="Calcs 17" xfId="15542" xr:uid="{00000000-0005-0000-0000-0000963C0000}"/>
    <cellStyle name="Calcs 18" xfId="15543" xr:uid="{00000000-0005-0000-0000-0000973C0000}"/>
    <cellStyle name="Calcs 19" xfId="15544" xr:uid="{00000000-0005-0000-0000-0000983C0000}"/>
    <cellStyle name="Calcs 2" xfId="15545" xr:uid="{00000000-0005-0000-0000-0000993C0000}"/>
    <cellStyle name="Calcs 2 10" xfId="15546" xr:uid="{00000000-0005-0000-0000-00009A3C0000}"/>
    <cellStyle name="Calcs 2 10 10" xfId="15547" xr:uid="{00000000-0005-0000-0000-00009B3C0000}"/>
    <cellStyle name="Calcs 2 10 11" xfId="15548" xr:uid="{00000000-0005-0000-0000-00009C3C0000}"/>
    <cellStyle name="Calcs 2 10 12" xfId="15549" xr:uid="{00000000-0005-0000-0000-00009D3C0000}"/>
    <cellStyle name="Calcs 2 10 13" xfId="15550" xr:uid="{00000000-0005-0000-0000-00009E3C0000}"/>
    <cellStyle name="Calcs 2 10 2" xfId="15551" xr:uid="{00000000-0005-0000-0000-00009F3C0000}"/>
    <cellStyle name="Calcs 2 10 2 10" xfId="15552" xr:uid="{00000000-0005-0000-0000-0000A03C0000}"/>
    <cellStyle name="Calcs 2 10 2 11" xfId="15553" xr:uid="{00000000-0005-0000-0000-0000A13C0000}"/>
    <cellStyle name="Calcs 2 10 2 12" xfId="15554" xr:uid="{00000000-0005-0000-0000-0000A23C0000}"/>
    <cellStyle name="Calcs 2 10 2 2" xfId="15555" xr:uid="{00000000-0005-0000-0000-0000A33C0000}"/>
    <cellStyle name="Calcs 2 10 2 2 10" xfId="15556" xr:uid="{00000000-0005-0000-0000-0000A43C0000}"/>
    <cellStyle name="Calcs 2 10 2 2 2" xfId="15557" xr:uid="{00000000-0005-0000-0000-0000A53C0000}"/>
    <cellStyle name="Calcs 2 10 2 2 3" xfId="15558" xr:uid="{00000000-0005-0000-0000-0000A63C0000}"/>
    <cellStyle name="Calcs 2 10 2 2 4" xfId="15559" xr:uid="{00000000-0005-0000-0000-0000A73C0000}"/>
    <cellStyle name="Calcs 2 10 2 2 5" xfId="15560" xr:uid="{00000000-0005-0000-0000-0000A83C0000}"/>
    <cellStyle name="Calcs 2 10 2 2 6" xfId="15561" xr:uid="{00000000-0005-0000-0000-0000A93C0000}"/>
    <cellStyle name="Calcs 2 10 2 2 7" xfId="15562" xr:uid="{00000000-0005-0000-0000-0000AA3C0000}"/>
    <cellStyle name="Calcs 2 10 2 2 8" xfId="15563" xr:uid="{00000000-0005-0000-0000-0000AB3C0000}"/>
    <cellStyle name="Calcs 2 10 2 2 9" xfId="15564" xr:uid="{00000000-0005-0000-0000-0000AC3C0000}"/>
    <cellStyle name="Calcs 2 10 2 3" xfId="15565" xr:uid="{00000000-0005-0000-0000-0000AD3C0000}"/>
    <cellStyle name="Calcs 2 10 2 4" xfId="15566" xr:uid="{00000000-0005-0000-0000-0000AE3C0000}"/>
    <cellStyle name="Calcs 2 10 2 5" xfId="15567" xr:uid="{00000000-0005-0000-0000-0000AF3C0000}"/>
    <cellStyle name="Calcs 2 10 2 6" xfId="15568" xr:uid="{00000000-0005-0000-0000-0000B03C0000}"/>
    <cellStyle name="Calcs 2 10 2 7" xfId="15569" xr:uid="{00000000-0005-0000-0000-0000B13C0000}"/>
    <cellStyle name="Calcs 2 10 2 8" xfId="15570" xr:uid="{00000000-0005-0000-0000-0000B23C0000}"/>
    <cellStyle name="Calcs 2 10 2 9" xfId="15571" xr:uid="{00000000-0005-0000-0000-0000B33C0000}"/>
    <cellStyle name="Calcs 2 10 3" xfId="15572" xr:uid="{00000000-0005-0000-0000-0000B43C0000}"/>
    <cellStyle name="Calcs 2 10 3 10" xfId="15573" xr:uid="{00000000-0005-0000-0000-0000B53C0000}"/>
    <cellStyle name="Calcs 2 10 3 11" xfId="15574" xr:uid="{00000000-0005-0000-0000-0000B63C0000}"/>
    <cellStyle name="Calcs 2 10 3 2" xfId="15575" xr:uid="{00000000-0005-0000-0000-0000B73C0000}"/>
    <cellStyle name="Calcs 2 10 3 3" xfId="15576" xr:uid="{00000000-0005-0000-0000-0000B83C0000}"/>
    <cellStyle name="Calcs 2 10 3 4" xfId="15577" xr:uid="{00000000-0005-0000-0000-0000B93C0000}"/>
    <cellStyle name="Calcs 2 10 3 5" xfId="15578" xr:uid="{00000000-0005-0000-0000-0000BA3C0000}"/>
    <cellStyle name="Calcs 2 10 3 6" xfId="15579" xr:uid="{00000000-0005-0000-0000-0000BB3C0000}"/>
    <cellStyle name="Calcs 2 10 3 7" xfId="15580" xr:uid="{00000000-0005-0000-0000-0000BC3C0000}"/>
    <cellStyle name="Calcs 2 10 3 8" xfId="15581" xr:uid="{00000000-0005-0000-0000-0000BD3C0000}"/>
    <cellStyle name="Calcs 2 10 3 9" xfId="15582" xr:uid="{00000000-0005-0000-0000-0000BE3C0000}"/>
    <cellStyle name="Calcs 2 10 4" xfId="15583" xr:uid="{00000000-0005-0000-0000-0000BF3C0000}"/>
    <cellStyle name="Calcs 2 10 5" xfId="15584" xr:uid="{00000000-0005-0000-0000-0000C03C0000}"/>
    <cellStyle name="Calcs 2 10 6" xfId="15585" xr:uid="{00000000-0005-0000-0000-0000C13C0000}"/>
    <cellStyle name="Calcs 2 10 7" xfId="15586" xr:uid="{00000000-0005-0000-0000-0000C23C0000}"/>
    <cellStyle name="Calcs 2 10 8" xfId="15587" xr:uid="{00000000-0005-0000-0000-0000C33C0000}"/>
    <cellStyle name="Calcs 2 10 9" xfId="15588" xr:uid="{00000000-0005-0000-0000-0000C43C0000}"/>
    <cellStyle name="Calcs 2 11" xfId="15589" xr:uid="{00000000-0005-0000-0000-0000C53C0000}"/>
    <cellStyle name="Calcs 2 11 10" xfId="15590" xr:uid="{00000000-0005-0000-0000-0000C63C0000}"/>
    <cellStyle name="Calcs 2 11 11" xfId="15591" xr:uid="{00000000-0005-0000-0000-0000C73C0000}"/>
    <cellStyle name="Calcs 2 11 12" xfId="15592" xr:uid="{00000000-0005-0000-0000-0000C83C0000}"/>
    <cellStyle name="Calcs 2 11 13" xfId="15593" xr:uid="{00000000-0005-0000-0000-0000C93C0000}"/>
    <cellStyle name="Calcs 2 11 2" xfId="15594" xr:uid="{00000000-0005-0000-0000-0000CA3C0000}"/>
    <cellStyle name="Calcs 2 11 2 10" xfId="15595" xr:uid="{00000000-0005-0000-0000-0000CB3C0000}"/>
    <cellStyle name="Calcs 2 11 2 11" xfId="15596" xr:uid="{00000000-0005-0000-0000-0000CC3C0000}"/>
    <cellStyle name="Calcs 2 11 2 12" xfId="15597" xr:uid="{00000000-0005-0000-0000-0000CD3C0000}"/>
    <cellStyle name="Calcs 2 11 2 2" xfId="15598" xr:uid="{00000000-0005-0000-0000-0000CE3C0000}"/>
    <cellStyle name="Calcs 2 11 2 2 10" xfId="15599" xr:uid="{00000000-0005-0000-0000-0000CF3C0000}"/>
    <cellStyle name="Calcs 2 11 2 2 2" xfId="15600" xr:uid="{00000000-0005-0000-0000-0000D03C0000}"/>
    <cellStyle name="Calcs 2 11 2 2 3" xfId="15601" xr:uid="{00000000-0005-0000-0000-0000D13C0000}"/>
    <cellStyle name="Calcs 2 11 2 2 4" xfId="15602" xr:uid="{00000000-0005-0000-0000-0000D23C0000}"/>
    <cellStyle name="Calcs 2 11 2 2 5" xfId="15603" xr:uid="{00000000-0005-0000-0000-0000D33C0000}"/>
    <cellStyle name="Calcs 2 11 2 2 6" xfId="15604" xr:uid="{00000000-0005-0000-0000-0000D43C0000}"/>
    <cellStyle name="Calcs 2 11 2 2 7" xfId="15605" xr:uid="{00000000-0005-0000-0000-0000D53C0000}"/>
    <cellStyle name="Calcs 2 11 2 2 8" xfId="15606" xr:uid="{00000000-0005-0000-0000-0000D63C0000}"/>
    <cellStyle name="Calcs 2 11 2 2 9" xfId="15607" xr:uid="{00000000-0005-0000-0000-0000D73C0000}"/>
    <cellStyle name="Calcs 2 11 2 3" xfId="15608" xr:uid="{00000000-0005-0000-0000-0000D83C0000}"/>
    <cellStyle name="Calcs 2 11 2 4" xfId="15609" xr:uid="{00000000-0005-0000-0000-0000D93C0000}"/>
    <cellStyle name="Calcs 2 11 2 5" xfId="15610" xr:uid="{00000000-0005-0000-0000-0000DA3C0000}"/>
    <cellStyle name="Calcs 2 11 2 6" xfId="15611" xr:uid="{00000000-0005-0000-0000-0000DB3C0000}"/>
    <cellStyle name="Calcs 2 11 2 7" xfId="15612" xr:uid="{00000000-0005-0000-0000-0000DC3C0000}"/>
    <cellStyle name="Calcs 2 11 2 8" xfId="15613" xr:uid="{00000000-0005-0000-0000-0000DD3C0000}"/>
    <cellStyle name="Calcs 2 11 2 9" xfId="15614" xr:uid="{00000000-0005-0000-0000-0000DE3C0000}"/>
    <cellStyle name="Calcs 2 11 3" xfId="15615" xr:uid="{00000000-0005-0000-0000-0000DF3C0000}"/>
    <cellStyle name="Calcs 2 11 3 10" xfId="15616" xr:uid="{00000000-0005-0000-0000-0000E03C0000}"/>
    <cellStyle name="Calcs 2 11 3 11" xfId="15617" xr:uid="{00000000-0005-0000-0000-0000E13C0000}"/>
    <cellStyle name="Calcs 2 11 3 2" xfId="15618" xr:uid="{00000000-0005-0000-0000-0000E23C0000}"/>
    <cellStyle name="Calcs 2 11 3 3" xfId="15619" xr:uid="{00000000-0005-0000-0000-0000E33C0000}"/>
    <cellStyle name="Calcs 2 11 3 4" xfId="15620" xr:uid="{00000000-0005-0000-0000-0000E43C0000}"/>
    <cellStyle name="Calcs 2 11 3 5" xfId="15621" xr:uid="{00000000-0005-0000-0000-0000E53C0000}"/>
    <cellStyle name="Calcs 2 11 3 6" xfId="15622" xr:uid="{00000000-0005-0000-0000-0000E63C0000}"/>
    <cellStyle name="Calcs 2 11 3 7" xfId="15623" xr:uid="{00000000-0005-0000-0000-0000E73C0000}"/>
    <cellStyle name="Calcs 2 11 3 8" xfId="15624" xr:uid="{00000000-0005-0000-0000-0000E83C0000}"/>
    <cellStyle name="Calcs 2 11 3 9" xfId="15625" xr:uid="{00000000-0005-0000-0000-0000E93C0000}"/>
    <cellStyle name="Calcs 2 11 4" xfId="15626" xr:uid="{00000000-0005-0000-0000-0000EA3C0000}"/>
    <cellStyle name="Calcs 2 11 5" xfId="15627" xr:uid="{00000000-0005-0000-0000-0000EB3C0000}"/>
    <cellStyle name="Calcs 2 11 6" xfId="15628" xr:uid="{00000000-0005-0000-0000-0000EC3C0000}"/>
    <cellStyle name="Calcs 2 11 7" xfId="15629" xr:uid="{00000000-0005-0000-0000-0000ED3C0000}"/>
    <cellStyle name="Calcs 2 11 8" xfId="15630" xr:uid="{00000000-0005-0000-0000-0000EE3C0000}"/>
    <cellStyle name="Calcs 2 11 9" xfId="15631" xr:uid="{00000000-0005-0000-0000-0000EF3C0000}"/>
    <cellStyle name="Calcs 2 12" xfId="15632" xr:uid="{00000000-0005-0000-0000-0000F03C0000}"/>
    <cellStyle name="Calcs 2 12 10" xfId="15633" xr:uid="{00000000-0005-0000-0000-0000F13C0000}"/>
    <cellStyle name="Calcs 2 12 11" xfId="15634" xr:uid="{00000000-0005-0000-0000-0000F23C0000}"/>
    <cellStyle name="Calcs 2 12 12" xfId="15635" xr:uid="{00000000-0005-0000-0000-0000F33C0000}"/>
    <cellStyle name="Calcs 2 12 13" xfId="15636" xr:uid="{00000000-0005-0000-0000-0000F43C0000}"/>
    <cellStyle name="Calcs 2 12 2" xfId="15637" xr:uid="{00000000-0005-0000-0000-0000F53C0000}"/>
    <cellStyle name="Calcs 2 12 2 10" xfId="15638" xr:uid="{00000000-0005-0000-0000-0000F63C0000}"/>
    <cellStyle name="Calcs 2 12 2 11" xfId="15639" xr:uid="{00000000-0005-0000-0000-0000F73C0000}"/>
    <cellStyle name="Calcs 2 12 2 12" xfId="15640" xr:uid="{00000000-0005-0000-0000-0000F83C0000}"/>
    <cellStyle name="Calcs 2 12 2 2" xfId="15641" xr:uid="{00000000-0005-0000-0000-0000F93C0000}"/>
    <cellStyle name="Calcs 2 12 2 2 10" xfId="15642" xr:uid="{00000000-0005-0000-0000-0000FA3C0000}"/>
    <cellStyle name="Calcs 2 12 2 2 2" xfId="15643" xr:uid="{00000000-0005-0000-0000-0000FB3C0000}"/>
    <cellStyle name="Calcs 2 12 2 2 3" xfId="15644" xr:uid="{00000000-0005-0000-0000-0000FC3C0000}"/>
    <cellStyle name="Calcs 2 12 2 2 4" xfId="15645" xr:uid="{00000000-0005-0000-0000-0000FD3C0000}"/>
    <cellStyle name="Calcs 2 12 2 2 5" xfId="15646" xr:uid="{00000000-0005-0000-0000-0000FE3C0000}"/>
    <cellStyle name="Calcs 2 12 2 2 6" xfId="15647" xr:uid="{00000000-0005-0000-0000-0000FF3C0000}"/>
    <cellStyle name="Calcs 2 12 2 2 7" xfId="15648" xr:uid="{00000000-0005-0000-0000-0000003D0000}"/>
    <cellStyle name="Calcs 2 12 2 2 8" xfId="15649" xr:uid="{00000000-0005-0000-0000-0000013D0000}"/>
    <cellStyle name="Calcs 2 12 2 2 9" xfId="15650" xr:uid="{00000000-0005-0000-0000-0000023D0000}"/>
    <cellStyle name="Calcs 2 12 2 3" xfId="15651" xr:uid="{00000000-0005-0000-0000-0000033D0000}"/>
    <cellStyle name="Calcs 2 12 2 4" xfId="15652" xr:uid="{00000000-0005-0000-0000-0000043D0000}"/>
    <cellStyle name="Calcs 2 12 2 5" xfId="15653" xr:uid="{00000000-0005-0000-0000-0000053D0000}"/>
    <cellStyle name="Calcs 2 12 2 6" xfId="15654" xr:uid="{00000000-0005-0000-0000-0000063D0000}"/>
    <cellStyle name="Calcs 2 12 2 7" xfId="15655" xr:uid="{00000000-0005-0000-0000-0000073D0000}"/>
    <cellStyle name="Calcs 2 12 2 8" xfId="15656" xr:uid="{00000000-0005-0000-0000-0000083D0000}"/>
    <cellStyle name="Calcs 2 12 2 9" xfId="15657" xr:uid="{00000000-0005-0000-0000-0000093D0000}"/>
    <cellStyle name="Calcs 2 12 3" xfId="15658" xr:uid="{00000000-0005-0000-0000-00000A3D0000}"/>
    <cellStyle name="Calcs 2 12 3 10" xfId="15659" xr:uid="{00000000-0005-0000-0000-00000B3D0000}"/>
    <cellStyle name="Calcs 2 12 3 11" xfId="15660" xr:uid="{00000000-0005-0000-0000-00000C3D0000}"/>
    <cellStyle name="Calcs 2 12 3 2" xfId="15661" xr:uid="{00000000-0005-0000-0000-00000D3D0000}"/>
    <cellStyle name="Calcs 2 12 3 3" xfId="15662" xr:uid="{00000000-0005-0000-0000-00000E3D0000}"/>
    <cellStyle name="Calcs 2 12 3 4" xfId="15663" xr:uid="{00000000-0005-0000-0000-00000F3D0000}"/>
    <cellStyle name="Calcs 2 12 3 5" xfId="15664" xr:uid="{00000000-0005-0000-0000-0000103D0000}"/>
    <cellStyle name="Calcs 2 12 3 6" xfId="15665" xr:uid="{00000000-0005-0000-0000-0000113D0000}"/>
    <cellStyle name="Calcs 2 12 3 7" xfId="15666" xr:uid="{00000000-0005-0000-0000-0000123D0000}"/>
    <cellStyle name="Calcs 2 12 3 8" xfId="15667" xr:uid="{00000000-0005-0000-0000-0000133D0000}"/>
    <cellStyle name="Calcs 2 12 3 9" xfId="15668" xr:uid="{00000000-0005-0000-0000-0000143D0000}"/>
    <cellStyle name="Calcs 2 12 4" xfId="15669" xr:uid="{00000000-0005-0000-0000-0000153D0000}"/>
    <cellStyle name="Calcs 2 12 5" xfId="15670" xr:uid="{00000000-0005-0000-0000-0000163D0000}"/>
    <cellStyle name="Calcs 2 12 6" xfId="15671" xr:uid="{00000000-0005-0000-0000-0000173D0000}"/>
    <cellStyle name="Calcs 2 12 7" xfId="15672" xr:uid="{00000000-0005-0000-0000-0000183D0000}"/>
    <cellStyle name="Calcs 2 12 8" xfId="15673" xr:uid="{00000000-0005-0000-0000-0000193D0000}"/>
    <cellStyle name="Calcs 2 12 9" xfId="15674" xr:uid="{00000000-0005-0000-0000-00001A3D0000}"/>
    <cellStyle name="Calcs 2 13" xfId="15675" xr:uid="{00000000-0005-0000-0000-00001B3D0000}"/>
    <cellStyle name="Calcs 2 13 10" xfId="15676" xr:uid="{00000000-0005-0000-0000-00001C3D0000}"/>
    <cellStyle name="Calcs 2 13 11" xfId="15677" xr:uid="{00000000-0005-0000-0000-00001D3D0000}"/>
    <cellStyle name="Calcs 2 13 12" xfId="15678" xr:uid="{00000000-0005-0000-0000-00001E3D0000}"/>
    <cellStyle name="Calcs 2 13 2" xfId="15679" xr:uid="{00000000-0005-0000-0000-00001F3D0000}"/>
    <cellStyle name="Calcs 2 13 2 10" xfId="15680" xr:uid="{00000000-0005-0000-0000-0000203D0000}"/>
    <cellStyle name="Calcs 2 13 2 2" xfId="15681" xr:uid="{00000000-0005-0000-0000-0000213D0000}"/>
    <cellStyle name="Calcs 2 13 2 3" xfId="15682" xr:uid="{00000000-0005-0000-0000-0000223D0000}"/>
    <cellStyle name="Calcs 2 13 2 4" xfId="15683" xr:uid="{00000000-0005-0000-0000-0000233D0000}"/>
    <cellStyle name="Calcs 2 13 2 5" xfId="15684" xr:uid="{00000000-0005-0000-0000-0000243D0000}"/>
    <cellStyle name="Calcs 2 13 2 6" xfId="15685" xr:uid="{00000000-0005-0000-0000-0000253D0000}"/>
    <cellStyle name="Calcs 2 13 2 7" xfId="15686" xr:uid="{00000000-0005-0000-0000-0000263D0000}"/>
    <cellStyle name="Calcs 2 13 2 8" xfId="15687" xr:uid="{00000000-0005-0000-0000-0000273D0000}"/>
    <cellStyle name="Calcs 2 13 2 9" xfId="15688" xr:uid="{00000000-0005-0000-0000-0000283D0000}"/>
    <cellStyle name="Calcs 2 13 3" xfId="15689" xr:uid="{00000000-0005-0000-0000-0000293D0000}"/>
    <cellStyle name="Calcs 2 13 4" xfId="15690" xr:uid="{00000000-0005-0000-0000-00002A3D0000}"/>
    <cellStyle name="Calcs 2 13 5" xfId="15691" xr:uid="{00000000-0005-0000-0000-00002B3D0000}"/>
    <cellStyle name="Calcs 2 13 6" xfId="15692" xr:uid="{00000000-0005-0000-0000-00002C3D0000}"/>
    <cellStyle name="Calcs 2 13 7" xfId="15693" xr:uid="{00000000-0005-0000-0000-00002D3D0000}"/>
    <cellStyle name="Calcs 2 13 8" xfId="15694" xr:uid="{00000000-0005-0000-0000-00002E3D0000}"/>
    <cellStyle name="Calcs 2 13 9" xfId="15695" xr:uid="{00000000-0005-0000-0000-00002F3D0000}"/>
    <cellStyle name="Calcs 2 14" xfId="15696" xr:uid="{00000000-0005-0000-0000-0000303D0000}"/>
    <cellStyle name="Calcs 2 14 10" xfId="15697" xr:uid="{00000000-0005-0000-0000-0000313D0000}"/>
    <cellStyle name="Calcs 2 14 11" xfId="15698" xr:uid="{00000000-0005-0000-0000-0000323D0000}"/>
    <cellStyle name="Calcs 2 14 2" xfId="15699" xr:uid="{00000000-0005-0000-0000-0000333D0000}"/>
    <cellStyle name="Calcs 2 14 3" xfId="15700" xr:uid="{00000000-0005-0000-0000-0000343D0000}"/>
    <cellStyle name="Calcs 2 14 4" xfId="15701" xr:uid="{00000000-0005-0000-0000-0000353D0000}"/>
    <cellStyle name="Calcs 2 14 5" xfId="15702" xr:uid="{00000000-0005-0000-0000-0000363D0000}"/>
    <cellStyle name="Calcs 2 14 6" xfId="15703" xr:uid="{00000000-0005-0000-0000-0000373D0000}"/>
    <cellStyle name="Calcs 2 14 7" xfId="15704" xr:uid="{00000000-0005-0000-0000-0000383D0000}"/>
    <cellStyle name="Calcs 2 14 8" xfId="15705" xr:uid="{00000000-0005-0000-0000-0000393D0000}"/>
    <cellStyle name="Calcs 2 14 9" xfId="15706" xr:uid="{00000000-0005-0000-0000-00003A3D0000}"/>
    <cellStyle name="Calcs 2 15" xfId="15707" xr:uid="{00000000-0005-0000-0000-00003B3D0000}"/>
    <cellStyle name="Calcs 2 16" xfId="15708" xr:uid="{00000000-0005-0000-0000-00003C3D0000}"/>
    <cellStyle name="Calcs 2 17" xfId="15709" xr:uid="{00000000-0005-0000-0000-00003D3D0000}"/>
    <cellStyle name="Calcs 2 18" xfId="15710" xr:uid="{00000000-0005-0000-0000-00003E3D0000}"/>
    <cellStyle name="Calcs 2 19" xfId="15711" xr:uid="{00000000-0005-0000-0000-00003F3D0000}"/>
    <cellStyle name="Calcs 2 2" xfId="15712" xr:uid="{00000000-0005-0000-0000-0000403D0000}"/>
    <cellStyle name="Calcs 2 2 10" xfId="15713" xr:uid="{00000000-0005-0000-0000-0000413D0000}"/>
    <cellStyle name="Calcs 2 2 11" xfId="15714" xr:uid="{00000000-0005-0000-0000-0000423D0000}"/>
    <cellStyle name="Calcs 2 2 12" xfId="15715" xr:uid="{00000000-0005-0000-0000-0000433D0000}"/>
    <cellStyle name="Calcs 2 2 13" xfId="15716" xr:uid="{00000000-0005-0000-0000-0000443D0000}"/>
    <cellStyle name="Calcs 2 2 2" xfId="15717" xr:uid="{00000000-0005-0000-0000-0000453D0000}"/>
    <cellStyle name="Calcs 2 2 2 10" xfId="15718" xr:uid="{00000000-0005-0000-0000-0000463D0000}"/>
    <cellStyle name="Calcs 2 2 2 11" xfId="15719" xr:uid="{00000000-0005-0000-0000-0000473D0000}"/>
    <cellStyle name="Calcs 2 2 2 12" xfId="15720" xr:uid="{00000000-0005-0000-0000-0000483D0000}"/>
    <cellStyle name="Calcs 2 2 2 2" xfId="15721" xr:uid="{00000000-0005-0000-0000-0000493D0000}"/>
    <cellStyle name="Calcs 2 2 2 2 10" xfId="15722" xr:uid="{00000000-0005-0000-0000-00004A3D0000}"/>
    <cellStyle name="Calcs 2 2 2 2 2" xfId="15723" xr:uid="{00000000-0005-0000-0000-00004B3D0000}"/>
    <cellStyle name="Calcs 2 2 2 2 3" xfId="15724" xr:uid="{00000000-0005-0000-0000-00004C3D0000}"/>
    <cellStyle name="Calcs 2 2 2 2 4" xfId="15725" xr:uid="{00000000-0005-0000-0000-00004D3D0000}"/>
    <cellStyle name="Calcs 2 2 2 2 5" xfId="15726" xr:uid="{00000000-0005-0000-0000-00004E3D0000}"/>
    <cellStyle name="Calcs 2 2 2 2 6" xfId="15727" xr:uid="{00000000-0005-0000-0000-00004F3D0000}"/>
    <cellStyle name="Calcs 2 2 2 2 7" xfId="15728" xr:uid="{00000000-0005-0000-0000-0000503D0000}"/>
    <cellStyle name="Calcs 2 2 2 2 8" xfId="15729" xr:uid="{00000000-0005-0000-0000-0000513D0000}"/>
    <cellStyle name="Calcs 2 2 2 2 9" xfId="15730" xr:uid="{00000000-0005-0000-0000-0000523D0000}"/>
    <cellStyle name="Calcs 2 2 2 3" xfId="15731" xr:uid="{00000000-0005-0000-0000-0000533D0000}"/>
    <cellStyle name="Calcs 2 2 2 4" xfId="15732" xr:uid="{00000000-0005-0000-0000-0000543D0000}"/>
    <cellStyle name="Calcs 2 2 2 5" xfId="15733" xr:uid="{00000000-0005-0000-0000-0000553D0000}"/>
    <cellStyle name="Calcs 2 2 2 6" xfId="15734" xr:uid="{00000000-0005-0000-0000-0000563D0000}"/>
    <cellStyle name="Calcs 2 2 2 7" xfId="15735" xr:uid="{00000000-0005-0000-0000-0000573D0000}"/>
    <cellStyle name="Calcs 2 2 2 8" xfId="15736" xr:uid="{00000000-0005-0000-0000-0000583D0000}"/>
    <cellStyle name="Calcs 2 2 2 9" xfId="15737" xr:uid="{00000000-0005-0000-0000-0000593D0000}"/>
    <cellStyle name="Calcs 2 2 3" xfId="15738" xr:uid="{00000000-0005-0000-0000-00005A3D0000}"/>
    <cellStyle name="Calcs 2 2 3 10" xfId="15739" xr:uid="{00000000-0005-0000-0000-00005B3D0000}"/>
    <cellStyle name="Calcs 2 2 3 11" xfId="15740" xr:uid="{00000000-0005-0000-0000-00005C3D0000}"/>
    <cellStyle name="Calcs 2 2 3 2" xfId="15741" xr:uid="{00000000-0005-0000-0000-00005D3D0000}"/>
    <cellStyle name="Calcs 2 2 3 3" xfId="15742" xr:uid="{00000000-0005-0000-0000-00005E3D0000}"/>
    <cellStyle name="Calcs 2 2 3 4" xfId="15743" xr:uid="{00000000-0005-0000-0000-00005F3D0000}"/>
    <cellStyle name="Calcs 2 2 3 5" xfId="15744" xr:uid="{00000000-0005-0000-0000-0000603D0000}"/>
    <cellStyle name="Calcs 2 2 3 6" xfId="15745" xr:uid="{00000000-0005-0000-0000-0000613D0000}"/>
    <cellStyle name="Calcs 2 2 3 7" xfId="15746" xr:uid="{00000000-0005-0000-0000-0000623D0000}"/>
    <cellStyle name="Calcs 2 2 3 8" xfId="15747" xr:uid="{00000000-0005-0000-0000-0000633D0000}"/>
    <cellStyle name="Calcs 2 2 3 9" xfId="15748" xr:uid="{00000000-0005-0000-0000-0000643D0000}"/>
    <cellStyle name="Calcs 2 2 4" xfId="15749" xr:uid="{00000000-0005-0000-0000-0000653D0000}"/>
    <cellStyle name="Calcs 2 2 5" xfId="15750" xr:uid="{00000000-0005-0000-0000-0000663D0000}"/>
    <cellStyle name="Calcs 2 2 6" xfId="15751" xr:uid="{00000000-0005-0000-0000-0000673D0000}"/>
    <cellStyle name="Calcs 2 2 7" xfId="15752" xr:uid="{00000000-0005-0000-0000-0000683D0000}"/>
    <cellStyle name="Calcs 2 2 8" xfId="15753" xr:uid="{00000000-0005-0000-0000-0000693D0000}"/>
    <cellStyle name="Calcs 2 2 9" xfId="15754" xr:uid="{00000000-0005-0000-0000-00006A3D0000}"/>
    <cellStyle name="Calcs 2 20" xfId="15755" xr:uid="{00000000-0005-0000-0000-00006B3D0000}"/>
    <cellStyle name="Calcs 2 21" xfId="15756" xr:uid="{00000000-0005-0000-0000-00006C3D0000}"/>
    <cellStyle name="Calcs 2 22" xfId="15757" xr:uid="{00000000-0005-0000-0000-00006D3D0000}"/>
    <cellStyle name="Calcs 2 23" xfId="15758" xr:uid="{00000000-0005-0000-0000-00006E3D0000}"/>
    <cellStyle name="Calcs 2 24" xfId="15759" xr:uid="{00000000-0005-0000-0000-00006F3D0000}"/>
    <cellStyle name="Calcs 2 3" xfId="15760" xr:uid="{00000000-0005-0000-0000-0000703D0000}"/>
    <cellStyle name="Calcs 2 3 10" xfId="15761" xr:uid="{00000000-0005-0000-0000-0000713D0000}"/>
    <cellStyle name="Calcs 2 3 11" xfId="15762" xr:uid="{00000000-0005-0000-0000-0000723D0000}"/>
    <cellStyle name="Calcs 2 3 12" xfId="15763" xr:uid="{00000000-0005-0000-0000-0000733D0000}"/>
    <cellStyle name="Calcs 2 3 13" xfId="15764" xr:uid="{00000000-0005-0000-0000-0000743D0000}"/>
    <cellStyle name="Calcs 2 3 2" xfId="15765" xr:uid="{00000000-0005-0000-0000-0000753D0000}"/>
    <cellStyle name="Calcs 2 3 2 10" xfId="15766" xr:uid="{00000000-0005-0000-0000-0000763D0000}"/>
    <cellStyle name="Calcs 2 3 2 11" xfId="15767" xr:uid="{00000000-0005-0000-0000-0000773D0000}"/>
    <cellStyle name="Calcs 2 3 2 12" xfId="15768" xr:uid="{00000000-0005-0000-0000-0000783D0000}"/>
    <cellStyle name="Calcs 2 3 2 2" xfId="15769" xr:uid="{00000000-0005-0000-0000-0000793D0000}"/>
    <cellStyle name="Calcs 2 3 2 2 10" xfId="15770" xr:uid="{00000000-0005-0000-0000-00007A3D0000}"/>
    <cellStyle name="Calcs 2 3 2 2 2" xfId="15771" xr:uid="{00000000-0005-0000-0000-00007B3D0000}"/>
    <cellStyle name="Calcs 2 3 2 2 3" xfId="15772" xr:uid="{00000000-0005-0000-0000-00007C3D0000}"/>
    <cellStyle name="Calcs 2 3 2 2 4" xfId="15773" xr:uid="{00000000-0005-0000-0000-00007D3D0000}"/>
    <cellStyle name="Calcs 2 3 2 2 5" xfId="15774" xr:uid="{00000000-0005-0000-0000-00007E3D0000}"/>
    <cellStyle name="Calcs 2 3 2 2 6" xfId="15775" xr:uid="{00000000-0005-0000-0000-00007F3D0000}"/>
    <cellStyle name="Calcs 2 3 2 2 7" xfId="15776" xr:uid="{00000000-0005-0000-0000-0000803D0000}"/>
    <cellStyle name="Calcs 2 3 2 2 8" xfId="15777" xr:uid="{00000000-0005-0000-0000-0000813D0000}"/>
    <cellStyle name="Calcs 2 3 2 2 9" xfId="15778" xr:uid="{00000000-0005-0000-0000-0000823D0000}"/>
    <cellStyle name="Calcs 2 3 2 3" xfId="15779" xr:uid="{00000000-0005-0000-0000-0000833D0000}"/>
    <cellStyle name="Calcs 2 3 2 4" xfId="15780" xr:uid="{00000000-0005-0000-0000-0000843D0000}"/>
    <cellStyle name="Calcs 2 3 2 5" xfId="15781" xr:uid="{00000000-0005-0000-0000-0000853D0000}"/>
    <cellStyle name="Calcs 2 3 2 6" xfId="15782" xr:uid="{00000000-0005-0000-0000-0000863D0000}"/>
    <cellStyle name="Calcs 2 3 2 7" xfId="15783" xr:uid="{00000000-0005-0000-0000-0000873D0000}"/>
    <cellStyle name="Calcs 2 3 2 8" xfId="15784" xr:uid="{00000000-0005-0000-0000-0000883D0000}"/>
    <cellStyle name="Calcs 2 3 2 9" xfId="15785" xr:uid="{00000000-0005-0000-0000-0000893D0000}"/>
    <cellStyle name="Calcs 2 3 3" xfId="15786" xr:uid="{00000000-0005-0000-0000-00008A3D0000}"/>
    <cellStyle name="Calcs 2 3 3 10" xfId="15787" xr:uid="{00000000-0005-0000-0000-00008B3D0000}"/>
    <cellStyle name="Calcs 2 3 3 11" xfId="15788" xr:uid="{00000000-0005-0000-0000-00008C3D0000}"/>
    <cellStyle name="Calcs 2 3 3 2" xfId="15789" xr:uid="{00000000-0005-0000-0000-00008D3D0000}"/>
    <cellStyle name="Calcs 2 3 3 3" xfId="15790" xr:uid="{00000000-0005-0000-0000-00008E3D0000}"/>
    <cellStyle name="Calcs 2 3 3 4" xfId="15791" xr:uid="{00000000-0005-0000-0000-00008F3D0000}"/>
    <cellStyle name="Calcs 2 3 3 5" xfId="15792" xr:uid="{00000000-0005-0000-0000-0000903D0000}"/>
    <cellStyle name="Calcs 2 3 3 6" xfId="15793" xr:uid="{00000000-0005-0000-0000-0000913D0000}"/>
    <cellStyle name="Calcs 2 3 3 7" xfId="15794" xr:uid="{00000000-0005-0000-0000-0000923D0000}"/>
    <cellStyle name="Calcs 2 3 3 8" xfId="15795" xr:uid="{00000000-0005-0000-0000-0000933D0000}"/>
    <cellStyle name="Calcs 2 3 3 9" xfId="15796" xr:uid="{00000000-0005-0000-0000-0000943D0000}"/>
    <cellStyle name="Calcs 2 3 4" xfId="15797" xr:uid="{00000000-0005-0000-0000-0000953D0000}"/>
    <cellStyle name="Calcs 2 3 5" xfId="15798" xr:uid="{00000000-0005-0000-0000-0000963D0000}"/>
    <cellStyle name="Calcs 2 3 6" xfId="15799" xr:uid="{00000000-0005-0000-0000-0000973D0000}"/>
    <cellStyle name="Calcs 2 3 7" xfId="15800" xr:uid="{00000000-0005-0000-0000-0000983D0000}"/>
    <cellStyle name="Calcs 2 3 8" xfId="15801" xr:uid="{00000000-0005-0000-0000-0000993D0000}"/>
    <cellStyle name="Calcs 2 3 9" xfId="15802" xr:uid="{00000000-0005-0000-0000-00009A3D0000}"/>
    <cellStyle name="Calcs 2 4" xfId="15803" xr:uid="{00000000-0005-0000-0000-00009B3D0000}"/>
    <cellStyle name="Calcs 2 4 10" xfId="15804" xr:uid="{00000000-0005-0000-0000-00009C3D0000}"/>
    <cellStyle name="Calcs 2 4 11" xfId="15805" xr:uid="{00000000-0005-0000-0000-00009D3D0000}"/>
    <cellStyle name="Calcs 2 4 12" xfId="15806" xr:uid="{00000000-0005-0000-0000-00009E3D0000}"/>
    <cellStyle name="Calcs 2 4 13" xfId="15807" xr:uid="{00000000-0005-0000-0000-00009F3D0000}"/>
    <cellStyle name="Calcs 2 4 2" xfId="15808" xr:uid="{00000000-0005-0000-0000-0000A03D0000}"/>
    <cellStyle name="Calcs 2 4 2 10" xfId="15809" xr:uid="{00000000-0005-0000-0000-0000A13D0000}"/>
    <cellStyle name="Calcs 2 4 2 11" xfId="15810" xr:uid="{00000000-0005-0000-0000-0000A23D0000}"/>
    <cellStyle name="Calcs 2 4 2 12" xfId="15811" xr:uid="{00000000-0005-0000-0000-0000A33D0000}"/>
    <cellStyle name="Calcs 2 4 2 2" xfId="15812" xr:uid="{00000000-0005-0000-0000-0000A43D0000}"/>
    <cellStyle name="Calcs 2 4 2 2 10" xfId="15813" xr:uid="{00000000-0005-0000-0000-0000A53D0000}"/>
    <cellStyle name="Calcs 2 4 2 2 2" xfId="15814" xr:uid="{00000000-0005-0000-0000-0000A63D0000}"/>
    <cellStyle name="Calcs 2 4 2 2 3" xfId="15815" xr:uid="{00000000-0005-0000-0000-0000A73D0000}"/>
    <cellStyle name="Calcs 2 4 2 2 4" xfId="15816" xr:uid="{00000000-0005-0000-0000-0000A83D0000}"/>
    <cellStyle name="Calcs 2 4 2 2 5" xfId="15817" xr:uid="{00000000-0005-0000-0000-0000A93D0000}"/>
    <cellStyle name="Calcs 2 4 2 2 6" xfId="15818" xr:uid="{00000000-0005-0000-0000-0000AA3D0000}"/>
    <cellStyle name="Calcs 2 4 2 2 7" xfId="15819" xr:uid="{00000000-0005-0000-0000-0000AB3D0000}"/>
    <cellStyle name="Calcs 2 4 2 2 8" xfId="15820" xr:uid="{00000000-0005-0000-0000-0000AC3D0000}"/>
    <cellStyle name="Calcs 2 4 2 2 9" xfId="15821" xr:uid="{00000000-0005-0000-0000-0000AD3D0000}"/>
    <cellStyle name="Calcs 2 4 2 3" xfId="15822" xr:uid="{00000000-0005-0000-0000-0000AE3D0000}"/>
    <cellStyle name="Calcs 2 4 2 4" xfId="15823" xr:uid="{00000000-0005-0000-0000-0000AF3D0000}"/>
    <cellStyle name="Calcs 2 4 2 5" xfId="15824" xr:uid="{00000000-0005-0000-0000-0000B03D0000}"/>
    <cellStyle name="Calcs 2 4 2 6" xfId="15825" xr:uid="{00000000-0005-0000-0000-0000B13D0000}"/>
    <cellStyle name="Calcs 2 4 2 7" xfId="15826" xr:uid="{00000000-0005-0000-0000-0000B23D0000}"/>
    <cellStyle name="Calcs 2 4 2 8" xfId="15827" xr:uid="{00000000-0005-0000-0000-0000B33D0000}"/>
    <cellStyle name="Calcs 2 4 2 9" xfId="15828" xr:uid="{00000000-0005-0000-0000-0000B43D0000}"/>
    <cellStyle name="Calcs 2 4 3" xfId="15829" xr:uid="{00000000-0005-0000-0000-0000B53D0000}"/>
    <cellStyle name="Calcs 2 4 3 10" xfId="15830" xr:uid="{00000000-0005-0000-0000-0000B63D0000}"/>
    <cellStyle name="Calcs 2 4 3 11" xfId="15831" xr:uid="{00000000-0005-0000-0000-0000B73D0000}"/>
    <cellStyle name="Calcs 2 4 3 2" xfId="15832" xr:uid="{00000000-0005-0000-0000-0000B83D0000}"/>
    <cellStyle name="Calcs 2 4 3 3" xfId="15833" xr:uid="{00000000-0005-0000-0000-0000B93D0000}"/>
    <cellStyle name="Calcs 2 4 3 4" xfId="15834" xr:uid="{00000000-0005-0000-0000-0000BA3D0000}"/>
    <cellStyle name="Calcs 2 4 3 5" xfId="15835" xr:uid="{00000000-0005-0000-0000-0000BB3D0000}"/>
    <cellStyle name="Calcs 2 4 3 6" xfId="15836" xr:uid="{00000000-0005-0000-0000-0000BC3D0000}"/>
    <cellStyle name="Calcs 2 4 3 7" xfId="15837" xr:uid="{00000000-0005-0000-0000-0000BD3D0000}"/>
    <cellStyle name="Calcs 2 4 3 8" xfId="15838" xr:uid="{00000000-0005-0000-0000-0000BE3D0000}"/>
    <cellStyle name="Calcs 2 4 3 9" xfId="15839" xr:uid="{00000000-0005-0000-0000-0000BF3D0000}"/>
    <cellStyle name="Calcs 2 4 4" xfId="15840" xr:uid="{00000000-0005-0000-0000-0000C03D0000}"/>
    <cellStyle name="Calcs 2 4 5" xfId="15841" xr:uid="{00000000-0005-0000-0000-0000C13D0000}"/>
    <cellStyle name="Calcs 2 4 6" xfId="15842" xr:uid="{00000000-0005-0000-0000-0000C23D0000}"/>
    <cellStyle name="Calcs 2 4 7" xfId="15843" xr:uid="{00000000-0005-0000-0000-0000C33D0000}"/>
    <cellStyle name="Calcs 2 4 8" xfId="15844" xr:uid="{00000000-0005-0000-0000-0000C43D0000}"/>
    <cellStyle name="Calcs 2 4 9" xfId="15845" xr:uid="{00000000-0005-0000-0000-0000C53D0000}"/>
    <cellStyle name="Calcs 2 5" xfId="15846" xr:uid="{00000000-0005-0000-0000-0000C63D0000}"/>
    <cellStyle name="Calcs 2 5 10" xfId="15847" xr:uid="{00000000-0005-0000-0000-0000C73D0000}"/>
    <cellStyle name="Calcs 2 5 11" xfId="15848" xr:uid="{00000000-0005-0000-0000-0000C83D0000}"/>
    <cellStyle name="Calcs 2 5 12" xfId="15849" xr:uid="{00000000-0005-0000-0000-0000C93D0000}"/>
    <cellStyle name="Calcs 2 5 13" xfId="15850" xr:uid="{00000000-0005-0000-0000-0000CA3D0000}"/>
    <cellStyle name="Calcs 2 5 2" xfId="15851" xr:uid="{00000000-0005-0000-0000-0000CB3D0000}"/>
    <cellStyle name="Calcs 2 5 2 10" xfId="15852" xr:uid="{00000000-0005-0000-0000-0000CC3D0000}"/>
    <cellStyle name="Calcs 2 5 2 11" xfId="15853" xr:uid="{00000000-0005-0000-0000-0000CD3D0000}"/>
    <cellStyle name="Calcs 2 5 2 12" xfId="15854" xr:uid="{00000000-0005-0000-0000-0000CE3D0000}"/>
    <cellStyle name="Calcs 2 5 2 2" xfId="15855" xr:uid="{00000000-0005-0000-0000-0000CF3D0000}"/>
    <cellStyle name="Calcs 2 5 2 2 10" xfId="15856" xr:uid="{00000000-0005-0000-0000-0000D03D0000}"/>
    <cellStyle name="Calcs 2 5 2 2 2" xfId="15857" xr:uid="{00000000-0005-0000-0000-0000D13D0000}"/>
    <cellStyle name="Calcs 2 5 2 2 3" xfId="15858" xr:uid="{00000000-0005-0000-0000-0000D23D0000}"/>
    <cellStyle name="Calcs 2 5 2 2 4" xfId="15859" xr:uid="{00000000-0005-0000-0000-0000D33D0000}"/>
    <cellStyle name="Calcs 2 5 2 2 5" xfId="15860" xr:uid="{00000000-0005-0000-0000-0000D43D0000}"/>
    <cellStyle name="Calcs 2 5 2 2 6" xfId="15861" xr:uid="{00000000-0005-0000-0000-0000D53D0000}"/>
    <cellStyle name="Calcs 2 5 2 2 7" xfId="15862" xr:uid="{00000000-0005-0000-0000-0000D63D0000}"/>
    <cellStyle name="Calcs 2 5 2 2 8" xfId="15863" xr:uid="{00000000-0005-0000-0000-0000D73D0000}"/>
    <cellStyle name="Calcs 2 5 2 2 9" xfId="15864" xr:uid="{00000000-0005-0000-0000-0000D83D0000}"/>
    <cellStyle name="Calcs 2 5 2 3" xfId="15865" xr:uid="{00000000-0005-0000-0000-0000D93D0000}"/>
    <cellStyle name="Calcs 2 5 2 4" xfId="15866" xr:uid="{00000000-0005-0000-0000-0000DA3D0000}"/>
    <cellStyle name="Calcs 2 5 2 5" xfId="15867" xr:uid="{00000000-0005-0000-0000-0000DB3D0000}"/>
    <cellStyle name="Calcs 2 5 2 6" xfId="15868" xr:uid="{00000000-0005-0000-0000-0000DC3D0000}"/>
    <cellStyle name="Calcs 2 5 2 7" xfId="15869" xr:uid="{00000000-0005-0000-0000-0000DD3D0000}"/>
    <cellStyle name="Calcs 2 5 2 8" xfId="15870" xr:uid="{00000000-0005-0000-0000-0000DE3D0000}"/>
    <cellStyle name="Calcs 2 5 2 9" xfId="15871" xr:uid="{00000000-0005-0000-0000-0000DF3D0000}"/>
    <cellStyle name="Calcs 2 5 3" xfId="15872" xr:uid="{00000000-0005-0000-0000-0000E03D0000}"/>
    <cellStyle name="Calcs 2 5 3 10" xfId="15873" xr:uid="{00000000-0005-0000-0000-0000E13D0000}"/>
    <cellStyle name="Calcs 2 5 3 11" xfId="15874" xr:uid="{00000000-0005-0000-0000-0000E23D0000}"/>
    <cellStyle name="Calcs 2 5 3 2" xfId="15875" xr:uid="{00000000-0005-0000-0000-0000E33D0000}"/>
    <cellStyle name="Calcs 2 5 3 3" xfId="15876" xr:uid="{00000000-0005-0000-0000-0000E43D0000}"/>
    <cellStyle name="Calcs 2 5 3 4" xfId="15877" xr:uid="{00000000-0005-0000-0000-0000E53D0000}"/>
    <cellStyle name="Calcs 2 5 3 5" xfId="15878" xr:uid="{00000000-0005-0000-0000-0000E63D0000}"/>
    <cellStyle name="Calcs 2 5 3 6" xfId="15879" xr:uid="{00000000-0005-0000-0000-0000E73D0000}"/>
    <cellStyle name="Calcs 2 5 3 7" xfId="15880" xr:uid="{00000000-0005-0000-0000-0000E83D0000}"/>
    <cellStyle name="Calcs 2 5 3 8" xfId="15881" xr:uid="{00000000-0005-0000-0000-0000E93D0000}"/>
    <cellStyle name="Calcs 2 5 3 9" xfId="15882" xr:uid="{00000000-0005-0000-0000-0000EA3D0000}"/>
    <cellStyle name="Calcs 2 5 4" xfId="15883" xr:uid="{00000000-0005-0000-0000-0000EB3D0000}"/>
    <cellStyle name="Calcs 2 5 5" xfId="15884" xr:uid="{00000000-0005-0000-0000-0000EC3D0000}"/>
    <cellStyle name="Calcs 2 5 6" xfId="15885" xr:uid="{00000000-0005-0000-0000-0000ED3D0000}"/>
    <cellStyle name="Calcs 2 5 7" xfId="15886" xr:uid="{00000000-0005-0000-0000-0000EE3D0000}"/>
    <cellStyle name="Calcs 2 5 8" xfId="15887" xr:uid="{00000000-0005-0000-0000-0000EF3D0000}"/>
    <cellStyle name="Calcs 2 5 9" xfId="15888" xr:uid="{00000000-0005-0000-0000-0000F03D0000}"/>
    <cellStyle name="Calcs 2 6" xfId="15889" xr:uid="{00000000-0005-0000-0000-0000F13D0000}"/>
    <cellStyle name="Calcs 2 6 10" xfId="15890" xr:uid="{00000000-0005-0000-0000-0000F23D0000}"/>
    <cellStyle name="Calcs 2 6 11" xfId="15891" xr:uid="{00000000-0005-0000-0000-0000F33D0000}"/>
    <cellStyle name="Calcs 2 6 12" xfId="15892" xr:uid="{00000000-0005-0000-0000-0000F43D0000}"/>
    <cellStyle name="Calcs 2 6 13" xfId="15893" xr:uid="{00000000-0005-0000-0000-0000F53D0000}"/>
    <cellStyle name="Calcs 2 6 2" xfId="15894" xr:uid="{00000000-0005-0000-0000-0000F63D0000}"/>
    <cellStyle name="Calcs 2 6 2 10" xfId="15895" xr:uid="{00000000-0005-0000-0000-0000F73D0000}"/>
    <cellStyle name="Calcs 2 6 2 11" xfId="15896" xr:uid="{00000000-0005-0000-0000-0000F83D0000}"/>
    <cellStyle name="Calcs 2 6 2 12" xfId="15897" xr:uid="{00000000-0005-0000-0000-0000F93D0000}"/>
    <cellStyle name="Calcs 2 6 2 2" xfId="15898" xr:uid="{00000000-0005-0000-0000-0000FA3D0000}"/>
    <cellStyle name="Calcs 2 6 2 2 10" xfId="15899" xr:uid="{00000000-0005-0000-0000-0000FB3D0000}"/>
    <cellStyle name="Calcs 2 6 2 2 2" xfId="15900" xr:uid="{00000000-0005-0000-0000-0000FC3D0000}"/>
    <cellStyle name="Calcs 2 6 2 2 3" xfId="15901" xr:uid="{00000000-0005-0000-0000-0000FD3D0000}"/>
    <cellStyle name="Calcs 2 6 2 2 4" xfId="15902" xr:uid="{00000000-0005-0000-0000-0000FE3D0000}"/>
    <cellStyle name="Calcs 2 6 2 2 5" xfId="15903" xr:uid="{00000000-0005-0000-0000-0000FF3D0000}"/>
    <cellStyle name="Calcs 2 6 2 2 6" xfId="15904" xr:uid="{00000000-0005-0000-0000-0000003E0000}"/>
    <cellStyle name="Calcs 2 6 2 2 7" xfId="15905" xr:uid="{00000000-0005-0000-0000-0000013E0000}"/>
    <cellStyle name="Calcs 2 6 2 2 8" xfId="15906" xr:uid="{00000000-0005-0000-0000-0000023E0000}"/>
    <cellStyle name="Calcs 2 6 2 2 9" xfId="15907" xr:uid="{00000000-0005-0000-0000-0000033E0000}"/>
    <cellStyle name="Calcs 2 6 2 3" xfId="15908" xr:uid="{00000000-0005-0000-0000-0000043E0000}"/>
    <cellStyle name="Calcs 2 6 2 4" xfId="15909" xr:uid="{00000000-0005-0000-0000-0000053E0000}"/>
    <cellStyle name="Calcs 2 6 2 5" xfId="15910" xr:uid="{00000000-0005-0000-0000-0000063E0000}"/>
    <cellStyle name="Calcs 2 6 2 6" xfId="15911" xr:uid="{00000000-0005-0000-0000-0000073E0000}"/>
    <cellStyle name="Calcs 2 6 2 7" xfId="15912" xr:uid="{00000000-0005-0000-0000-0000083E0000}"/>
    <cellStyle name="Calcs 2 6 2 8" xfId="15913" xr:uid="{00000000-0005-0000-0000-0000093E0000}"/>
    <cellStyle name="Calcs 2 6 2 9" xfId="15914" xr:uid="{00000000-0005-0000-0000-00000A3E0000}"/>
    <cellStyle name="Calcs 2 6 3" xfId="15915" xr:uid="{00000000-0005-0000-0000-00000B3E0000}"/>
    <cellStyle name="Calcs 2 6 3 10" xfId="15916" xr:uid="{00000000-0005-0000-0000-00000C3E0000}"/>
    <cellStyle name="Calcs 2 6 3 11" xfId="15917" xr:uid="{00000000-0005-0000-0000-00000D3E0000}"/>
    <cellStyle name="Calcs 2 6 3 2" xfId="15918" xr:uid="{00000000-0005-0000-0000-00000E3E0000}"/>
    <cellStyle name="Calcs 2 6 3 3" xfId="15919" xr:uid="{00000000-0005-0000-0000-00000F3E0000}"/>
    <cellStyle name="Calcs 2 6 3 4" xfId="15920" xr:uid="{00000000-0005-0000-0000-0000103E0000}"/>
    <cellStyle name="Calcs 2 6 3 5" xfId="15921" xr:uid="{00000000-0005-0000-0000-0000113E0000}"/>
    <cellStyle name="Calcs 2 6 3 6" xfId="15922" xr:uid="{00000000-0005-0000-0000-0000123E0000}"/>
    <cellStyle name="Calcs 2 6 3 7" xfId="15923" xr:uid="{00000000-0005-0000-0000-0000133E0000}"/>
    <cellStyle name="Calcs 2 6 3 8" xfId="15924" xr:uid="{00000000-0005-0000-0000-0000143E0000}"/>
    <cellStyle name="Calcs 2 6 3 9" xfId="15925" xr:uid="{00000000-0005-0000-0000-0000153E0000}"/>
    <cellStyle name="Calcs 2 6 4" xfId="15926" xr:uid="{00000000-0005-0000-0000-0000163E0000}"/>
    <cellStyle name="Calcs 2 6 5" xfId="15927" xr:uid="{00000000-0005-0000-0000-0000173E0000}"/>
    <cellStyle name="Calcs 2 6 6" xfId="15928" xr:uid="{00000000-0005-0000-0000-0000183E0000}"/>
    <cellStyle name="Calcs 2 6 7" xfId="15929" xr:uid="{00000000-0005-0000-0000-0000193E0000}"/>
    <cellStyle name="Calcs 2 6 8" xfId="15930" xr:uid="{00000000-0005-0000-0000-00001A3E0000}"/>
    <cellStyle name="Calcs 2 6 9" xfId="15931" xr:uid="{00000000-0005-0000-0000-00001B3E0000}"/>
    <cellStyle name="Calcs 2 7" xfId="15932" xr:uid="{00000000-0005-0000-0000-00001C3E0000}"/>
    <cellStyle name="Calcs 2 7 10" xfId="15933" xr:uid="{00000000-0005-0000-0000-00001D3E0000}"/>
    <cellStyle name="Calcs 2 7 11" xfId="15934" xr:uid="{00000000-0005-0000-0000-00001E3E0000}"/>
    <cellStyle name="Calcs 2 7 12" xfId="15935" xr:uid="{00000000-0005-0000-0000-00001F3E0000}"/>
    <cellStyle name="Calcs 2 7 13" xfId="15936" xr:uid="{00000000-0005-0000-0000-0000203E0000}"/>
    <cellStyle name="Calcs 2 7 2" xfId="15937" xr:uid="{00000000-0005-0000-0000-0000213E0000}"/>
    <cellStyle name="Calcs 2 7 2 10" xfId="15938" xr:uid="{00000000-0005-0000-0000-0000223E0000}"/>
    <cellStyle name="Calcs 2 7 2 11" xfId="15939" xr:uid="{00000000-0005-0000-0000-0000233E0000}"/>
    <cellStyle name="Calcs 2 7 2 12" xfId="15940" xr:uid="{00000000-0005-0000-0000-0000243E0000}"/>
    <cellStyle name="Calcs 2 7 2 2" xfId="15941" xr:uid="{00000000-0005-0000-0000-0000253E0000}"/>
    <cellStyle name="Calcs 2 7 2 2 10" xfId="15942" xr:uid="{00000000-0005-0000-0000-0000263E0000}"/>
    <cellStyle name="Calcs 2 7 2 2 2" xfId="15943" xr:uid="{00000000-0005-0000-0000-0000273E0000}"/>
    <cellStyle name="Calcs 2 7 2 2 3" xfId="15944" xr:uid="{00000000-0005-0000-0000-0000283E0000}"/>
    <cellStyle name="Calcs 2 7 2 2 4" xfId="15945" xr:uid="{00000000-0005-0000-0000-0000293E0000}"/>
    <cellStyle name="Calcs 2 7 2 2 5" xfId="15946" xr:uid="{00000000-0005-0000-0000-00002A3E0000}"/>
    <cellStyle name="Calcs 2 7 2 2 6" xfId="15947" xr:uid="{00000000-0005-0000-0000-00002B3E0000}"/>
    <cellStyle name="Calcs 2 7 2 2 7" xfId="15948" xr:uid="{00000000-0005-0000-0000-00002C3E0000}"/>
    <cellStyle name="Calcs 2 7 2 2 8" xfId="15949" xr:uid="{00000000-0005-0000-0000-00002D3E0000}"/>
    <cellStyle name="Calcs 2 7 2 2 9" xfId="15950" xr:uid="{00000000-0005-0000-0000-00002E3E0000}"/>
    <cellStyle name="Calcs 2 7 2 3" xfId="15951" xr:uid="{00000000-0005-0000-0000-00002F3E0000}"/>
    <cellStyle name="Calcs 2 7 2 4" xfId="15952" xr:uid="{00000000-0005-0000-0000-0000303E0000}"/>
    <cellStyle name="Calcs 2 7 2 5" xfId="15953" xr:uid="{00000000-0005-0000-0000-0000313E0000}"/>
    <cellStyle name="Calcs 2 7 2 6" xfId="15954" xr:uid="{00000000-0005-0000-0000-0000323E0000}"/>
    <cellStyle name="Calcs 2 7 2 7" xfId="15955" xr:uid="{00000000-0005-0000-0000-0000333E0000}"/>
    <cellStyle name="Calcs 2 7 2 8" xfId="15956" xr:uid="{00000000-0005-0000-0000-0000343E0000}"/>
    <cellStyle name="Calcs 2 7 2 9" xfId="15957" xr:uid="{00000000-0005-0000-0000-0000353E0000}"/>
    <cellStyle name="Calcs 2 7 3" xfId="15958" xr:uid="{00000000-0005-0000-0000-0000363E0000}"/>
    <cellStyle name="Calcs 2 7 3 10" xfId="15959" xr:uid="{00000000-0005-0000-0000-0000373E0000}"/>
    <cellStyle name="Calcs 2 7 3 11" xfId="15960" xr:uid="{00000000-0005-0000-0000-0000383E0000}"/>
    <cellStyle name="Calcs 2 7 3 2" xfId="15961" xr:uid="{00000000-0005-0000-0000-0000393E0000}"/>
    <cellStyle name="Calcs 2 7 3 3" xfId="15962" xr:uid="{00000000-0005-0000-0000-00003A3E0000}"/>
    <cellStyle name="Calcs 2 7 3 4" xfId="15963" xr:uid="{00000000-0005-0000-0000-00003B3E0000}"/>
    <cellStyle name="Calcs 2 7 3 5" xfId="15964" xr:uid="{00000000-0005-0000-0000-00003C3E0000}"/>
    <cellStyle name="Calcs 2 7 3 6" xfId="15965" xr:uid="{00000000-0005-0000-0000-00003D3E0000}"/>
    <cellStyle name="Calcs 2 7 3 7" xfId="15966" xr:uid="{00000000-0005-0000-0000-00003E3E0000}"/>
    <cellStyle name="Calcs 2 7 3 8" xfId="15967" xr:uid="{00000000-0005-0000-0000-00003F3E0000}"/>
    <cellStyle name="Calcs 2 7 3 9" xfId="15968" xr:uid="{00000000-0005-0000-0000-0000403E0000}"/>
    <cellStyle name="Calcs 2 7 4" xfId="15969" xr:uid="{00000000-0005-0000-0000-0000413E0000}"/>
    <cellStyle name="Calcs 2 7 5" xfId="15970" xr:uid="{00000000-0005-0000-0000-0000423E0000}"/>
    <cellStyle name="Calcs 2 7 6" xfId="15971" xr:uid="{00000000-0005-0000-0000-0000433E0000}"/>
    <cellStyle name="Calcs 2 7 7" xfId="15972" xr:uid="{00000000-0005-0000-0000-0000443E0000}"/>
    <cellStyle name="Calcs 2 7 8" xfId="15973" xr:uid="{00000000-0005-0000-0000-0000453E0000}"/>
    <cellStyle name="Calcs 2 7 9" xfId="15974" xr:uid="{00000000-0005-0000-0000-0000463E0000}"/>
    <cellStyle name="Calcs 2 8" xfId="15975" xr:uid="{00000000-0005-0000-0000-0000473E0000}"/>
    <cellStyle name="Calcs 2 8 10" xfId="15976" xr:uid="{00000000-0005-0000-0000-0000483E0000}"/>
    <cellStyle name="Calcs 2 8 11" xfId="15977" xr:uid="{00000000-0005-0000-0000-0000493E0000}"/>
    <cellStyle name="Calcs 2 8 12" xfId="15978" xr:uid="{00000000-0005-0000-0000-00004A3E0000}"/>
    <cellStyle name="Calcs 2 8 13" xfId="15979" xr:uid="{00000000-0005-0000-0000-00004B3E0000}"/>
    <cellStyle name="Calcs 2 8 2" xfId="15980" xr:uid="{00000000-0005-0000-0000-00004C3E0000}"/>
    <cellStyle name="Calcs 2 8 2 10" xfId="15981" xr:uid="{00000000-0005-0000-0000-00004D3E0000}"/>
    <cellStyle name="Calcs 2 8 2 11" xfId="15982" xr:uid="{00000000-0005-0000-0000-00004E3E0000}"/>
    <cellStyle name="Calcs 2 8 2 12" xfId="15983" xr:uid="{00000000-0005-0000-0000-00004F3E0000}"/>
    <cellStyle name="Calcs 2 8 2 2" xfId="15984" xr:uid="{00000000-0005-0000-0000-0000503E0000}"/>
    <cellStyle name="Calcs 2 8 2 2 10" xfId="15985" xr:uid="{00000000-0005-0000-0000-0000513E0000}"/>
    <cellStyle name="Calcs 2 8 2 2 2" xfId="15986" xr:uid="{00000000-0005-0000-0000-0000523E0000}"/>
    <cellStyle name="Calcs 2 8 2 2 3" xfId="15987" xr:uid="{00000000-0005-0000-0000-0000533E0000}"/>
    <cellStyle name="Calcs 2 8 2 2 4" xfId="15988" xr:uid="{00000000-0005-0000-0000-0000543E0000}"/>
    <cellStyle name="Calcs 2 8 2 2 5" xfId="15989" xr:uid="{00000000-0005-0000-0000-0000553E0000}"/>
    <cellStyle name="Calcs 2 8 2 2 6" xfId="15990" xr:uid="{00000000-0005-0000-0000-0000563E0000}"/>
    <cellStyle name="Calcs 2 8 2 2 7" xfId="15991" xr:uid="{00000000-0005-0000-0000-0000573E0000}"/>
    <cellStyle name="Calcs 2 8 2 2 8" xfId="15992" xr:uid="{00000000-0005-0000-0000-0000583E0000}"/>
    <cellStyle name="Calcs 2 8 2 2 9" xfId="15993" xr:uid="{00000000-0005-0000-0000-0000593E0000}"/>
    <cellStyle name="Calcs 2 8 2 3" xfId="15994" xr:uid="{00000000-0005-0000-0000-00005A3E0000}"/>
    <cellStyle name="Calcs 2 8 2 4" xfId="15995" xr:uid="{00000000-0005-0000-0000-00005B3E0000}"/>
    <cellStyle name="Calcs 2 8 2 5" xfId="15996" xr:uid="{00000000-0005-0000-0000-00005C3E0000}"/>
    <cellStyle name="Calcs 2 8 2 6" xfId="15997" xr:uid="{00000000-0005-0000-0000-00005D3E0000}"/>
    <cellStyle name="Calcs 2 8 2 7" xfId="15998" xr:uid="{00000000-0005-0000-0000-00005E3E0000}"/>
    <cellStyle name="Calcs 2 8 2 8" xfId="15999" xr:uid="{00000000-0005-0000-0000-00005F3E0000}"/>
    <cellStyle name="Calcs 2 8 2 9" xfId="16000" xr:uid="{00000000-0005-0000-0000-0000603E0000}"/>
    <cellStyle name="Calcs 2 8 3" xfId="16001" xr:uid="{00000000-0005-0000-0000-0000613E0000}"/>
    <cellStyle name="Calcs 2 8 3 10" xfId="16002" xr:uid="{00000000-0005-0000-0000-0000623E0000}"/>
    <cellStyle name="Calcs 2 8 3 11" xfId="16003" xr:uid="{00000000-0005-0000-0000-0000633E0000}"/>
    <cellStyle name="Calcs 2 8 3 2" xfId="16004" xr:uid="{00000000-0005-0000-0000-0000643E0000}"/>
    <cellStyle name="Calcs 2 8 3 3" xfId="16005" xr:uid="{00000000-0005-0000-0000-0000653E0000}"/>
    <cellStyle name="Calcs 2 8 3 4" xfId="16006" xr:uid="{00000000-0005-0000-0000-0000663E0000}"/>
    <cellStyle name="Calcs 2 8 3 5" xfId="16007" xr:uid="{00000000-0005-0000-0000-0000673E0000}"/>
    <cellStyle name="Calcs 2 8 3 6" xfId="16008" xr:uid="{00000000-0005-0000-0000-0000683E0000}"/>
    <cellStyle name="Calcs 2 8 3 7" xfId="16009" xr:uid="{00000000-0005-0000-0000-0000693E0000}"/>
    <cellStyle name="Calcs 2 8 3 8" xfId="16010" xr:uid="{00000000-0005-0000-0000-00006A3E0000}"/>
    <cellStyle name="Calcs 2 8 3 9" xfId="16011" xr:uid="{00000000-0005-0000-0000-00006B3E0000}"/>
    <cellStyle name="Calcs 2 8 4" xfId="16012" xr:uid="{00000000-0005-0000-0000-00006C3E0000}"/>
    <cellStyle name="Calcs 2 8 5" xfId="16013" xr:uid="{00000000-0005-0000-0000-00006D3E0000}"/>
    <cellStyle name="Calcs 2 8 6" xfId="16014" xr:uid="{00000000-0005-0000-0000-00006E3E0000}"/>
    <cellStyle name="Calcs 2 8 7" xfId="16015" xr:uid="{00000000-0005-0000-0000-00006F3E0000}"/>
    <cellStyle name="Calcs 2 8 8" xfId="16016" xr:uid="{00000000-0005-0000-0000-0000703E0000}"/>
    <cellStyle name="Calcs 2 8 9" xfId="16017" xr:uid="{00000000-0005-0000-0000-0000713E0000}"/>
    <cellStyle name="Calcs 2 9" xfId="16018" xr:uid="{00000000-0005-0000-0000-0000723E0000}"/>
    <cellStyle name="Calcs 2 9 10" xfId="16019" xr:uid="{00000000-0005-0000-0000-0000733E0000}"/>
    <cellStyle name="Calcs 2 9 11" xfId="16020" xr:uid="{00000000-0005-0000-0000-0000743E0000}"/>
    <cellStyle name="Calcs 2 9 12" xfId="16021" xr:uid="{00000000-0005-0000-0000-0000753E0000}"/>
    <cellStyle name="Calcs 2 9 13" xfId="16022" xr:uid="{00000000-0005-0000-0000-0000763E0000}"/>
    <cellStyle name="Calcs 2 9 2" xfId="16023" xr:uid="{00000000-0005-0000-0000-0000773E0000}"/>
    <cellStyle name="Calcs 2 9 2 10" xfId="16024" xr:uid="{00000000-0005-0000-0000-0000783E0000}"/>
    <cellStyle name="Calcs 2 9 2 11" xfId="16025" xr:uid="{00000000-0005-0000-0000-0000793E0000}"/>
    <cellStyle name="Calcs 2 9 2 12" xfId="16026" xr:uid="{00000000-0005-0000-0000-00007A3E0000}"/>
    <cellStyle name="Calcs 2 9 2 2" xfId="16027" xr:uid="{00000000-0005-0000-0000-00007B3E0000}"/>
    <cellStyle name="Calcs 2 9 2 2 10" xfId="16028" xr:uid="{00000000-0005-0000-0000-00007C3E0000}"/>
    <cellStyle name="Calcs 2 9 2 2 2" xfId="16029" xr:uid="{00000000-0005-0000-0000-00007D3E0000}"/>
    <cellStyle name="Calcs 2 9 2 2 3" xfId="16030" xr:uid="{00000000-0005-0000-0000-00007E3E0000}"/>
    <cellStyle name="Calcs 2 9 2 2 4" xfId="16031" xr:uid="{00000000-0005-0000-0000-00007F3E0000}"/>
    <cellStyle name="Calcs 2 9 2 2 5" xfId="16032" xr:uid="{00000000-0005-0000-0000-0000803E0000}"/>
    <cellStyle name="Calcs 2 9 2 2 6" xfId="16033" xr:uid="{00000000-0005-0000-0000-0000813E0000}"/>
    <cellStyle name="Calcs 2 9 2 2 7" xfId="16034" xr:uid="{00000000-0005-0000-0000-0000823E0000}"/>
    <cellStyle name="Calcs 2 9 2 2 8" xfId="16035" xr:uid="{00000000-0005-0000-0000-0000833E0000}"/>
    <cellStyle name="Calcs 2 9 2 2 9" xfId="16036" xr:uid="{00000000-0005-0000-0000-0000843E0000}"/>
    <cellStyle name="Calcs 2 9 2 3" xfId="16037" xr:uid="{00000000-0005-0000-0000-0000853E0000}"/>
    <cellStyle name="Calcs 2 9 2 4" xfId="16038" xr:uid="{00000000-0005-0000-0000-0000863E0000}"/>
    <cellStyle name="Calcs 2 9 2 5" xfId="16039" xr:uid="{00000000-0005-0000-0000-0000873E0000}"/>
    <cellStyle name="Calcs 2 9 2 6" xfId="16040" xr:uid="{00000000-0005-0000-0000-0000883E0000}"/>
    <cellStyle name="Calcs 2 9 2 7" xfId="16041" xr:uid="{00000000-0005-0000-0000-0000893E0000}"/>
    <cellStyle name="Calcs 2 9 2 8" xfId="16042" xr:uid="{00000000-0005-0000-0000-00008A3E0000}"/>
    <cellStyle name="Calcs 2 9 2 9" xfId="16043" xr:uid="{00000000-0005-0000-0000-00008B3E0000}"/>
    <cellStyle name="Calcs 2 9 3" xfId="16044" xr:uid="{00000000-0005-0000-0000-00008C3E0000}"/>
    <cellStyle name="Calcs 2 9 3 10" xfId="16045" xr:uid="{00000000-0005-0000-0000-00008D3E0000}"/>
    <cellStyle name="Calcs 2 9 3 11" xfId="16046" xr:uid="{00000000-0005-0000-0000-00008E3E0000}"/>
    <cellStyle name="Calcs 2 9 3 2" xfId="16047" xr:uid="{00000000-0005-0000-0000-00008F3E0000}"/>
    <cellStyle name="Calcs 2 9 3 3" xfId="16048" xr:uid="{00000000-0005-0000-0000-0000903E0000}"/>
    <cellStyle name="Calcs 2 9 3 4" xfId="16049" xr:uid="{00000000-0005-0000-0000-0000913E0000}"/>
    <cellStyle name="Calcs 2 9 3 5" xfId="16050" xr:uid="{00000000-0005-0000-0000-0000923E0000}"/>
    <cellStyle name="Calcs 2 9 3 6" xfId="16051" xr:uid="{00000000-0005-0000-0000-0000933E0000}"/>
    <cellStyle name="Calcs 2 9 3 7" xfId="16052" xr:uid="{00000000-0005-0000-0000-0000943E0000}"/>
    <cellStyle name="Calcs 2 9 3 8" xfId="16053" xr:uid="{00000000-0005-0000-0000-0000953E0000}"/>
    <cellStyle name="Calcs 2 9 3 9" xfId="16054" xr:uid="{00000000-0005-0000-0000-0000963E0000}"/>
    <cellStyle name="Calcs 2 9 4" xfId="16055" xr:uid="{00000000-0005-0000-0000-0000973E0000}"/>
    <cellStyle name="Calcs 2 9 5" xfId="16056" xr:uid="{00000000-0005-0000-0000-0000983E0000}"/>
    <cellStyle name="Calcs 2 9 6" xfId="16057" xr:uid="{00000000-0005-0000-0000-0000993E0000}"/>
    <cellStyle name="Calcs 2 9 7" xfId="16058" xr:uid="{00000000-0005-0000-0000-00009A3E0000}"/>
    <cellStyle name="Calcs 2 9 8" xfId="16059" xr:uid="{00000000-0005-0000-0000-00009B3E0000}"/>
    <cellStyle name="Calcs 2 9 9" xfId="16060" xr:uid="{00000000-0005-0000-0000-00009C3E0000}"/>
    <cellStyle name="Calcs 20" xfId="16061" xr:uid="{00000000-0005-0000-0000-00009D3E0000}"/>
    <cellStyle name="Calcs 21" xfId="16062" xr:uid="{00000000-0005-0000-0000-00009E3E0000}"/>
    <cellStyle name="Calcs 22" xfId="16063" xr:uid="{00000000-0005-0000-0000-00009F3E0000}"/>
    <cellStyle name="Calcs 23" xfId="16064" xr:uid="{00000000-0005-0000-0000-0000A03E0000}"/>
    <cellStyle name="Calcs 24" xfId="16065" xr:uid="{00000000-0005-0000-0000-0000A13E0000}"/>
    <cellStyle name="Calcs 25" xfId="16066" xr:uid="{00000000-0005-0000-0000-0000A23E0000}"/>
    <cellStyle name="Calcs 3" xfId="16067" xr:uid="{00000000-0005-0000-0000-0000A33E0000}"/>
    <cellStyle name="Calcs 3 10" xfId="16068" xr:uid="{00000000-0005-0000-0000-0000A43E0000}"/>
    <cellStyle name="Calcs 3 11" xfId="16069" xr:uid="{00000000-0005-0000-0000-0000A53E0000}"/>
    <cellStyle name="Calcs 3 12" xfId="16070" xr:uid="{00000000-0005-0000-0000-0000A63E0000}"/>
    <cellStyle name="Calcs 3 13" xfId="16071" xr:uid="{00000000-0005-0000-0000-0000A73E0000}"/>
    <cellStyle name="Calcs 3 2" xfId="16072" xr:uid="{00000000-0005-0000-0000-0000A83E0000}"/>
    <cellStyle name="Calcs 3 2 10" xfId="16073" xr:uid="{00000000-0005-0000-0000-0000A93E0000}"/>
    <cellStyle name="Calcs 3 2 11" xfId="16074" xr:uid="{00000000-0005-0000-0000-0000AA3E0000}"/>
    <cellStyle name="Calcs 3 2 12" xfId="16075" xr:uid="{00000000-0005-0000-0000-0000AB3E0000}"/>
    <cellStyle name="Calcs 3 2 2" xfId="16076" xr:uid="{00000000-0005-0000-0000-0000AC3E0000}"/>
    <cellStyle name="Calcs 3 2 2 10" xfId="16077" xr:uid="{00000000-0005-0000-0000-0000AD3E0000}"/>
    <cellStyle name="Calcs 3 2 2 2" xfId="16078" xr:uid="{00000000-0005-0000-0000-0000AE3E0000}"/>
    <cellStyle name="Calcs 3 2 2 3" xfId="16079" xr:uid="{00000000-0005-0000-0000-0000AF3E0000}"/>
    <cellStyle name="Calcs 3 2 2 4" xfId="16080" xr:uid="{00000000-0005-0000-0000-0000B03E0000}"/>
    <cellStyle name="Calcs 3 2 2 5" xfId="16081" xr:uid="{00000000-0005-0000-0000-0000B13E0000}"/>
    <cellStyle name="Calcs 3 2 2 6" xfId="16082" xr:uid="{00000000-0005-0000-0000-0000B23E0000}"/>
    <cellStyle name="Calcs 3 2 2 7" xfId="16083" xr:uid="{00000000-0005-0000-0000-0000B33E0000}"/>
    <cellStyle name="Calcs 3 2 2 8" xfId="16084" xr:uid="{00000000-0005-0000-0000-0000B43E0000}"/>
    <cellStyle name="Calcs 3 2 2 9" xfId="16085" xr:uid="{00000000-0005-0000-0000-0000B53E0000}"/>
    <cellStyle name="Calcs 3 2 3" xfId="16086" xr:uid="{00000000-0005-0000-0000-0000B63E0000}"/>
    <cellStyle name="Calcs 3 2 4" xfId="16087" xr:uid="{00000000-0005-0000-0000-0000B73E0000}"/>
    <cellStyle name="Calcs 3 2 5" xfId="16088" xr:uid="{00000000-0005-0000-0000-0000B83E0000}"/>
    <cellStyle name="Calcs 3 2 6" xfId="16089" xr:uid="{00000000-0005-0000-0000-0000B93E0000}"/>
    <cellStyle name="Calcs 3 2 7" xfId="16090" xr:uid="{00000000-0005-0000-0000-0000BA3E0000}"/>
    <cellStyle name="Calcs 3 2 8" xfId="16091" xr:uid="{00000000-0005-0000-0000-0000BB3E0000}"/>
    <cellStyle name="Calcs 3 2 9" xfId="16092" xr:uid="{00000000-0005-0000-0000-0000BC3E0000}"/>
    <cellStyle name="Calcs 3 3" xfId="16093" xr:uid="{00000000-0005-0000-0000-0000BD3E0000}"/>
    <cellStyle name="Calcs 3 3 10" xfId="16094" xr:uid="{00000000-0005-0000-0000-0000BE3E0000}"/>
    <cellStyle name="Calcs 3 3 11" xfId="16095" xr:uid="{00000000-0005-0000-0000-0000BF3E0000}"/>
    <cellStyle name="Calcs 3 3 2" xfId="16096" xr:uid="{00000000-0005-0000-0000-0000C03E0000}"/>
    <cellStyle name="Calcs 3 3 3" xfId="16097" xr:uid="{00000000-0005-0000-0000-0000C13E0000}"/>
    <cellStyle name="Calcs 3 3 4" xfId="16098" xr:uid="{00000000-0005-0000-0000-0000C23E0000}"/>
    <cellStyle name="Calcs 3 3 5" xfId="16099" xr:uid="{00000000-0005-0000-0000-0000C33E0000}"/>
    <cellStyle name="Calcs 3 3 6" xfId="16100" xr:uid="{00000000-0005-0000-0000-0000C43E0000}"/>
    <cellStyle name="Calcs 3 3 7" xfId="16101" xr:uid="{00000000-0005-0000-0000-0000C53E0000}"/>
    <cellStyle name="Calcs 3 3 8" xfId="16102" xr:uid="{00000000-0005-0000-0000-0000C63E0000}"/>
    <cellStyle name="Calcs 3 3 9" xfId="16103" xr:uid="{00000000-0005-0000-0000-0000C73E0000}"/>
    <cellStyle name="Calcs 3 4" xfId="16104" xr:uid="{00000000-0005-0000-0000-0000C83E0000}"/>
    <cellStyle name="Calcs 3 5" xfId="16105" xr:uid="{00000000-0005-0000-0000-0000C93E0000}"/>
    <cellStyle name="Calcs 3 6" xfId="16106" xr:uid="{00000000-0005-0000-0000-0000CA3E0000}"/>
    <cellStyle name="Calcs 3 7" xfId="16107" xr:uid="{00000000-0005-0000-0000-0000CB3E0000}"/>
    <cellStyle name="Calcs 3 8" xfId="16108" xr:uid="{00000000-0005-0000-0000-0000CC3E0000}"/>
    <cellStyle name="Calcs 3 9" xfId="16109" xr:uid="{00000000-0005-0000-0000-0000CD3E0000}"/>
    <cellStyle name="Calcs 4" xfId="16110" xr:uid="{00000000-0005-0000-0000-0000CE3E0000}"/>
    <cellStyle name="Calcs 4 10" xfId="16111" xr:uid="{00000000-0005-0000-0000-0000CF3E0000}"/>
    <cellStyle name="Calcs 4 11" xfId="16112" xr:uid="{00000000-0005-0000-0000-0000D03E0000}"/>
    <cellStyle name="Calcs 4 12" xfId="16113" xr:uid="{00000000-0005-0000-0000-0000D13E0000}"/>
    <cellStyle name="Calcs 4 13" xfId="16114" xr:uid="{00000000-0005-0000-0000-0000D23E0000}"/>
    <cellStyle name="Calcs 4 2" xfId="16115" xr:uid="{00000000-0005-0000-0000-0000D33E0000}"/>
    <cellStyle name="Calcs 4 2 10" xfId="16116" xr:uid="{00000000-0005-0000-0000-0000D43E0000}"/>
    <cellStyle name="Calcs 4 2 11" xfId="16117" xr:uid="{00000000-0005-0000-0000-0000D53E0000}"/>
    <cellStyle name="Calcs 4 2 12" xfId="16118" xr:uid="{00000000-0005-0000-0000-0000D63E0000}"/>
    <cellStyle name="Calcs 4 2 2" xfId="16119" xr:uid="{00000000-0005-0000-0000-0000D73E0000}"/>
    <cellStyle name="Calcs 4 2 2 10" xfId="16120" xr:uid="{00000000-0005-0000-0000-0000D83E0000}"/>
    <cellStyle name="Calcs 4 2 2 2" xfId="16121" xr:uid="{00000000-0005-0000-0000-0000D93E0000}"/>
    <cellStyle name="Calcs 4 2 2 3" xfId="16122" xr:uid="{00000000-0005-0000-0000-0000DA3E0000}"/>
    <cellStyle name="Calcs 4 2 2 4" xfId="16123" xr:uid="{00000000-0005-0000-0000-0000DB3E0000}"/>
    <cellStyle name="Calcs 4 2 2 5" xfId="16124" xr:uid="{00000000-0005-0000-0000-0000DC3E0000}"/>
    <cellStyle name="Calcs 4 2 2 6" xfId="16125" xr:uid="{00000000-0005-0000-0000-0000DD3E0000}"/>
    <cellStyle name="Calcs 4 2 2 7" xfId="16126" xr:uid="{00000000-0005-0000-0000-0000DE3E0000}"/>
    <cellStyle name="Calcs 4 2 2 8" xfId="16127" xr:uid="{00000000-0005-0000-0000-0000DF3E0000}"/>
    <cellStyle name="Calcs 4 2 2 9" xfId="16128" xr:uid="{00000000-0005-0000-0000-0000E03E0000}"/>
    <cellStyle name="Calcs 4 2 3" xfId="16129" xr:uid="{00000000-0005-0000-0000-0000E13E0000}"/>
    <cellStyle name="Calcs 4 2 4" xfId="16130" xr:uid="{00000000-0005-0000-0000-0000E23E0000}"/>
    <cellStyle name="Calcs 4 2 5" xfId="16131" xr:uid="{00000000-0005-0000-0000-0000E33E0000}"/>
    <cellStyle name="Calcs 4 2 6" xfId="16132" xr:uid="{00000000-0005-0000-0000-0000E43E0000}"/>
    <cellStyle name="Calcs 4 2 7" xfId="16133" xr:uid="{00000000-0005-0000-0000-0000E53E0000}"/>
    <cellStyle name="Calcs 4 2 8" xfId="16134" xr:uid="{00000000-0005-0000-0000-0000E63E0000}"/>
    <cellStyle name="Calcs 4 2 9" xfId="16135" xr:uid="{00000000-0005-0000-0000-0000E73E0000}"/>
    <cellStyle name="Calcs 4 3" xfId="16136" xr:uid="{00000000-0005-0000-0000-0000E83E0000}"/>
    <cellStyle name="Calcs 4 3 10" xfId="16137" xr:uid="{00000000-0005-0000-0000-0000E93E0000}"/>
    <cellStyle name="Calcs 4 3 11" xfId="16138" xr:uid="{00000000-0005-0000-0000-0000EA3E0000}"/>
    <cellStyle name="Calcs 4 3 2" xfId="16139" xr:uid="{00000000-0005-0000-0000-0000EB3E0000}"/>
    <cellStyle name="Calcs 4 3 3" xfId="16140" xr:uid="{00000000-0005-0000-0000-0000EC3E0000}"/>
    <cellStyle name="Calcs 4 3 4" xfId="16141" xr:uid="{00000000-0005-0000-0000-0000ED3E0000}"/>
    <cellStyle name="Calcs 4 3 5" xfId="16142" xr:uid="{00000000-0005-0000-0000-0000EE3E0000}"/>
    <cellStyle name="Calcs 4 3 6" xfId="16143" xr:uid="{00000000-0005-0000-0000-0000EF3E0000}"/>
    <cellStyle name="Calcs 4 3 7" xfId="16144" xr:uid="{00000000-0005-0000-0000-0000F03E0000}"/>
    <cellStyle name="Calcs 4 3 8" xfId="16145" xr:uid="{00000000-0005-0000-0000-0000F13E0000}"/>
    <cellStyle name="Calcs 4 3 9" xfId="16146" xr:uid="{00000000-0005-0000-0000-0000F23E0000}"/>
    <cellStyle name="Calcs 4 4" xfId="16147" xr:uid="{00000000-0005-0000-0000-0000F33E0000}"/>
    <cellStyle name="Calcs 4 5" xfId="16148" xr:uid="{00000000-0005-0000-0000-0000F43E0000}"/>
    <cellStyle name="Calcs 4 6" xfId="16149" xr:uid="{00000000-0005-0000-0000-0000F53E0000}"/>
    <cellStyle name="Calcs 4 7" xfId="16150" xr:uid="{00000000-0005-0000-0000-0000F63E0000}"/>
    <cellStyle name="Calcs 4 8" xfId="16151" xr:uid="{00000000-0005-0000-0000-0000F73E0000}"/>
    <cellStyle name="Calcs 4 9" xfId="16152" xr:uid="{00000000-0005-0000-0000-0000F83E0000}"/>
    <cellStyle name="Calcs 5" xfId="16153" xr:uid="{00000000-0005-0000-0000-0000F93E0000}"/>
    <cellStyle name="Calcs 5 10" xfId="16154" xr:uid="{00000000-0005-0000-0000-0000FA3E0000}"/>
    <cellStyle name="Calcs 5 11" xfId="16155" xr:uid="{00000000-0005-0000-0000-0000FB3E0000}"/>
    <cellStyle name="Calcs 5 12" xfId="16156" xr:uid="{00000000-0005-0000-0000-0000FC3E0000}"/>
    <cellStyle name="Calcs 5 13" xfId="16157" xr:uid="{00000000-0005-0000-0000-0000FD3E0000}"/>
    <cellStyle name="Calcs 5 2" xfId="16158" xr:uid="{00000000-0005-0000-0000-0000FE3E0000}"/>
    <cellStyle name="Calcs 5 2 10" xfId="16159" xr:uid="{00000000-0005-0000-0000-0000FF3E0000}"/>
    <cellStyle name="Calcs 5 2 11" xfId="16160" xr:uid="{00000000-0005-0000-0000-0000003F0000}"/>
    <cellStyle name="Calcs 5 2 12" xfId="16161" xr:uid="{00000000-0005-0000-0000-0000013F0000}"/>
    <cellStyle name="Calcs 5 2 2" xfId="16162" xr:uid="{00000000-0005-0000-0000-0000023F0000}"/>
    <cellStyle name="Calcs 5 2 2 10" xfId="16163" xr:uid="{00000000-0005-0000-0000-0000033F0000}"/>
    <cellStyle name="Calcs 5 2 2 2" xfId="16164" xr:uid="{00000000-0005-0000-0000-0000043F0000}"/>
    <cellStyle name="Calcs 5 2 2 3" xfId="16165" xr:uid="{00000000-0005-0000-0000-0000053F0000}"/>
    <cellStyle name="Calcs 5 2 2 4" xfId="16166" xr:uid="{00000000-0005-0000-0000-0000063F0000}"/>
    <cellStyle name="Calcs 5 2 2 5" xfId="16167" xr:uid="{00000000-0005-0000-0000-0000073F0000}"/>
    <cellStyle name="Calcs 5 2 2 6" xfId="16168" xr:uid="{00000000-0005-0000-0000-0000083F0000}"/>
    <cellStyle name="Calcs 5 2 2 7" xfId="16169" xr:uid="{00000000-0005-0000-0000-0000093F0000}"/>
    <cellStyle name="Calcs 5 2 2 8" xfId="16170" xr:uid="{00000000-0005-0000-0000-00000A3F0000}"/>
    <cellStyle name="Calcs 5 2 2 9" xfId="16171" xr:uid="{00000000-0005-0000-0000-00000B3F0000}"/>
    <cellStyle name="Calcs 5 2 3" xfId="16172" xr:uid="{00000000-0005-0000-0000-00000C3F0000}"/>
    <cellStyle name="Calcs 5 2 4" xfId="16173" xr:uid="{00000000-0005-0000-0000-00000D3F0000}"/>
    <cellStyle name="Calcs 5 2 5" xfId="16174" xr:uid="{00000000-0005-0000-0000-00000E3F0000}"/>
    <cellStyle name="Calcs 5 2 6" xfId="16175" xr:uid="{00000000-0005-0000-0000-00000F3F0000}"/>
    <cellStyle name="Calcs 5 2 7" xfId="16176" xr:uid="{00000000-0005-0000-0000-0000103F0000}"/>
    <cellStyle name="Calcs 5 2 8" xfId="16177" xr:uid="{00000000-0005-0000-0000-0000113F0000}"/>
    <cellStyle name="Calcs 5 2 9" xfId="16178" xr:uid="{00000000-0005-0000-0000-0000123F0000}"/>
    <cellStyle name="Calcs 5 3" xfId="16179" xr:uid="{00000000-0005-0000-0000-0000133F0000}"/>
    <cellStyle name="Calcs 5 3 10" xfId="16180" xr:uid="{00000000-0005-0000-0000-0000143F0000}"/>
    <cellStyle name="Calcs 5 3 11" xfId="16181" xr:uid="{00000000-0005-0000-0000-0000153F0000}"/>
    <cellStyle name="Calcs 5 3 2" xfId="16182" xr:uid="{00000000-0005-0000-0000-0000163F0000}"/>
    <cellStyle name="Calcs 5 3 3" xfId="16183" xr:uid="{00000000-0005-0000-0000-0000173F0000}"/>
    <cellStyle name="Calcs 5 3 4" xfId="16184" xr:uid="{00000000-0005-0000-0000-0000183F0000}"/>
    <cellStyle name="Calcs 5 3 5" xfId="16185" xr:uid="{00000000-0005-0000-0000-0000193F0000}"/>
    <cellStyle name="Calcs 5 3 6" xfId="16186" xr:uid="{00000000-0005-0000-0000-00001A3F0000}"/>
    <cellStyle name="Calcs 5 3 7" xfId="16187" xr:uid="{00000000-0005-0000-0000-00001B3F0000}"/>
    <cellStyle name="Calcs 5 3 8" xfId="16188" xr:uid="{00000000-0005-0000-0000-00001C3F0000}"/>
    <cellStyle name="Calcs 5 3 9" xfId="16189" xr:uid="{00000000-0005-0000-0000-00001D3F0000}"/>
    <cellStyle name="Calcs 5 4" xfId="16190" xr:uid="{00000000-0005-0000-0000-00001E3F0000}"/>
    <cellStyle name="Calcs 5 5" xfId="16191" xr:uid="{00000000-0005-0000-0000-00001F3F0000}"/>
    <cellStyle name="Calcs 5 6" xfId="16192" xr:uid="{00000000-0005-0000-0000-0000203F0000}"/>
    <cellStyle name="Calcs 5 7" xfId="16193" xr:uid="{00000000-0005-0000-0000-0000213F0000}"/>
    <cellStyle name="Calcs 5 8" xfId="16194" xr:uid="{00000000-0005-0000-0000-0000223F0000}"/>
    <cellStyle name="Calcs 5 9" xfId="16195" xr:uid="{00000000-0005-0000-0000-0000233F0000}"/>
    <cellStyle name="Calcs 6" xfId="16196" xr:uid="{00000000-0005-0000-0000-0000243F0000}"/>
    <cellStyle name="Calcs 6 10" xfId="16197" xr:uid="{00000000-0005-0000-0000-0000253F0000}"/>
    <cellStyle name="Calcs 6 11" xfId="16198" xr:uid="{00000000-0005-0000-0000-0000263F0000}"/>
    <cellStyle name="Calcs 6 12" xfId="16199" xr:uid="{00000000-0005-0000-0000-0000273F0000}"/>
    <cellStyle name="Calcs 6 13" xfId="16200" xr:uid="{00000000-0005-0000-0000-0000283F0000}"/>
    <cellStyle name="Calcs 6 2" xfId="16201" xr:uid="{00000000-0005-0000-0000-0000293F0000}"/>
    <cellStyle name="Calcs 6 2 10" xfId="16202" xr:uid="{00000000-0005-0000-0000-00002A3F0000}"/>
    <cellStyle name="Calcs 6 2 11" xfId="16203" xr:uid="{00000000-0005-0000-0000-00002B3F0000}"/>
    <cellStyle name="Calcs 6 2 12" xfId="16204" xr:uid="{00000000-0005-0000-0000-00002C3F0000}"/>
    <cellStyle name="Calcs 6 2 2" xfId="16205" xr:uid="{00000000-0005-0000-0000-00002D3F0000}"/>
    <cellStyle name="Calcs 6 2 2 10" xfId="16206" xr:uid="{00000000-0005-0000-0000-00002E3F0000}"/>
    <cellStyle name="Calcs 6 2 2 2" xfId="16207" xr:uid="{00000000-0005-0000-0000-00002F3F0000}"/>
    <cellStyle name="Calcs 6 2 2 3" xfId="16208" xr:uid="{00000000-0005-0000-0000-0000303F0000}"/>
    <cellStyle name="Calcs 6 2 2 4" xfId="16209" xr:uid="{00000000-0005-0000-0000-0000313F0000}"/>
    <cellStyle name="Calcs 6 2 2 5" xfId="16210" xr:uid="{00000000-0005-0000-0000-0000323F0000}"/>
    <cellStyle name="Calcs 6 2 2 6" xfId="16211" xr:uid="{00000000-0005-0000-0000-0000333F0000}"/>
    <cellStyle name="Calcs 6 2 2 7" xfId="16212" xr:uid="{00000000-0005-0000-0000-0000343F0000}"/>
    <cellStyle name="Calcs 6 2 2 8" xfId="16213" xr:uid="{00000000-0005-0000-0000-0000353F0000}"/>
    <cellStyle name="Calcs 6 2 2 9" xfId="16214" xr:uid="{00000000-0005-0000-0000-0000363F0000}"/>
    <cellStyle name="Calcs 6 2 3" xfId="16215" xr:uid="{00000000-0005-0000-0000-0000373F0000}"/>
    <cellStyle name="Calcs 6 2 4" xfId="16216" xr:uid="{00000000-0005-0000-0000-0000383F0000}"/>
    <cellStyle name="Calcs 6 2 5" xfId="16217" xr:uid="{00000000-0005-0000-0000-0000393F0000}"/>
    <cellStyle name="Calcs 6 2 6" xfId="16218" xr:uid="{00000000-0005-0000-0000-00003A3F0000}"/>
    <cellStyle name="Calcs 6 2 7" xfId="16219" xr:uid="{00000000-0005-0000-0000-00003B3F0000}"/>
    <cellStyle name="Calcs 6 2 8" xfId="16220" xr:uid="{00000000-0005-0000-0000-00003C3F0000}"/>
    <cellStyle name="Calcs 6 2 9" xfId="16221" xr:uid="{00000000-0005-0000-0000-00003D3F0000}"/>
    <cellStyle name="Calcs 6 3" xfId="16222" xr:uid="{00000000-0005-0000-0000-00003E3F0000}"/>
    <cellStyle name="Calcs 6 3 10" xfId="16223" xr:uid="{00000000-0005-0000-0000-00003F3F0000}"/>
    <cellStyle name="Calcs 6 3 11" xfId="16224" xr:uid="{00000000-0005-0000-0000-0000403F0000}"/>
    <cellStyle name="Calcs 6 3 2" xfId="16225" xr:uid="{00000000-0005-0000-0000-0000413F0000}"/>
    <cellStyle name="Calcs 6 3 3" xfId="16226" xr:uid="{00000000-0005-0000-0000-0000423F0000}"/>
    <cellStyle name="Calcs 6 3 4" xfId="16227" xr:uid="{00000000-0005-0000-0000-0000433F0000}"/>
    <cellStyle name="Calcs 6 3 5" xfId="16228" xr:uid="{00000000-0005-0000-0000-0000443F0000}"/>
    <cellStyle name="Calcs 6 3 6" xfId="16229" xr:uid="{00000000-0005-0000-0000-0000453F0000}"/>
    <cellStyle name="Calcs 6 3 7" xfId="16230" xr:uid="{00000000-0005-0000-0000-0000463F0000}"/>
    <cellStyle name="Calcs 6 3 8" xfId="16231" xr:uid="{00000000-0005-0000-0000-0000473F0000}"/>
    <cellStyle name="Calcs 6 3 9" xfId="16232" xr:uid="{00000000-0005-0000-0000-0000483F0000}"/>
    <cellStyle name="Calcs 6 4" xfId="16233" xr:uid="{00000000-0005-0000-0000-0000493F0000}"/>
    <cellStyle name="Calcs 6 5" xfId="16234" xr:uid="{00000000-0005-0000-0000-00004A3F0000}"/>
    <cellStyle name="Calcs 6 6" xfId="16235" xr:uid="{00000000-0005-0000-0000-00004B3F0000}"/>
    <cellStyle name="Calcs 6 7" xfId="16236" xr:uid="{00000000-0005-0000-0000-00004C3F0000}"/>
    <cellStyle name="Calcs 6 8" xfId="16237" xr:uid="{00000000-0005-0000-0000-00004D3F0000}"/>
    <cellStyle name="Calcs 6 9" xfId="16238" xr:uid="{00000000-0005-0000-0000-00004E3F0000}"/>
    <cellStyle name="Calcs 7" xfId="16239" xr:uid="{00000000-0005-0000-0000-00004F3F0000}"/>
    <cellStyle name="Calcs 7 10" xfId="16240" xr:uid="{00000000-0005-0000-0000-0000503F0000}"/>
    <cellStyle name="Calcs 7 11" xfId="16241" xr:uid="{00000000-0005-0000-0000-0000513F0000}"/>
    <cellStyle name="Calcs 7 12" xfId="16242" xr:uid="{00000000-0005-0000-0000-0000523F0000}"/>
    <cellStyle name="Calcs 7 13" xfId="16243" xr:uid="{00000000-0005-0000-0000-0000533F0000}"/>
    <cellStyle name="Calcs 7 2" xfId="16244" xr:uid="{00000000-0005-0000-0000-0000543F0000}"/>
    <cellStyle name="Calcs 7 2 10" xfId="16245" xr:uid="{00000000-0005-0000-0000-0000553F0000}"/>
    <cellStyle name="Calcs 7 2 11" xfId="16246" xr:uid="{00000000-0005-0000-0000-0000563F0000}"/>
    <cellStyle name="Calcs 7 2 12" xfId="16247" xr:uid="{00000000-0005-0000-0000-0000573F0000}"/>
    <cellStyle name="Calcs 7 2 2" xfId="16248" xr:uid="{00000000-0005-0000-0000-0000583F0000}"/>
    <cellStyle name="Calcs 7 2 2 10" xfId="16249" xr:uid="{00000000-0005-0000-0000-0000593F0000}"/>
    <cellStyle name="Calcs 7 2 2 2" xfId="16250" xr:uid="{00000000-0005-0000-0000-00005A3F0000}"/>
    <cellStyle name="Calcs 7 2 2 3" xfId="16251" xr:uid="{00000000-0005-0000-0000-00005B3F0000}"/>
    <cellStyle name="Calcs 7 2 2 4" xfId="16252" xr:uid="{00000000-0005-0000-0000-00005C3F0000}"/>
    <cellStyle name="Calcs 7 2 2 5" xfId="16253" xr:uid="{00000000-0005-0000-0000-00005D3F0000}"/>
    <cellStyle name="Calcs 7 2 2 6" xfId="16254" xr:uid="{00000000-0005-0000-0000-00005E3F0000}"/>
    <cellStyle name="Calcs 7 2 2 7" xfId="16255" xr:uid="{00000000-0005-0000-0000-00005F3F0000}"/>
    <cellStyle name="Calcs 7 2 2 8" xfId="16256" xr:uid="{00000000-0005-0000-0000-0000603F0000}"/>
    <cellStyle name="Calcs 7 2 2 9" xfId="16257" xr:uid="{00000000-0005-0000-0000-0000613F0000}"/>
    <cellStyle name="Calcs 7 2 3" xfId="16258" xr:uid="{00000000-0005-0000-0000-0000623F0000}"/>
    <cellStyle name="Calcs 7 2 4" xfId="16259" xr:uid="{00000000-0005-0000-0000-0000633F0000}"/>
    <cellStyle name="Calcs 7 2 5" xfId="16260" xr:uid="{00000000-0005-0000-0000-0000643F0000}"/>
    <cellStyle name="Calcs 7 2 6" xfId="16261" xr:uid="{00000000-0005-0000-0000-0000653F0000}"/>
    <cellStyle name="Calcs 7 2 7" xfId="16262" xr:uid="{00000000-0005-0000-0000-0000663F0000}"/>
    <cellStyle name="Calcs 7 2 8" xfId="16263" xr:uid="{00000000-0005-0000-0000-0000673F0000}"/>
    <cellStyle name="Calcs 7 2 9" xfId="16264" xr:uid="{00000000-0005-0000-0000-0000683F0000}"/>
    <cellStyle name="Calcs 7 3" xfId="16265" xr:uid="{00000000-0005-0000-0000-0000693F0000}"/>
    <cellStyle name="Calcs 7 3 10" xfId="16266" xr:uid="{00000000-0005-0000-0000-00006A3F0000}"/>
    <cellStyle name="Calcs 7 3 11" xfId="16267" xr:uid="{00000000-0005-0000-0000-00006B3F0000}"/>
    <cellStyle name="Calcs 7 3 2" xfId="16268" xr:uid="{00000000-0005-0000-0000-00006C3F0000}"/>
    <cellStyle name="Calcs 7 3 3" xfId="16269" xr:uid="{00000000-0005-0000-0000-00006D3F0000}"/>
    <cellStyle name="Calcs 7 3 4" xfId="16270" xr:uid="{00000000-0005-0000-0000-00006E3F0000}"/>
    <cellStyle name="Calcs 7 3 5" xfId="16271" xr:uid="{00000000-0005-0000-0000-00006F3F0000}"/>
    <cellStyle name="Calcs 7 3 6" xfId="16272" xr:uid="{00000000-0005-0000-0000-0000703F0000}"/>
    <cellStyle name="Calcs 7 3 7" xfId="16273" xr:uid="{00000000-0005-0000-0000-0000713F0000}"/>
    <cellStyle name="Calcs 7 3 8" xfId="16274" xr:uid="{00000000-0005-0000-0000-0000723F0000}"/>
    <cellStyle name="Calcs 7 3 9" xfId="16275" xr:uid="{00000000-0005-0000-0000-0000733F0000}"/>
    <cellStyle name="Calcs 7 4" xfId="16276" xr:uid="{00000000-0005-0000-0000-0000743F0000}"/>
    <cellStyle name="Calcs 7 5" xfId="16277" xr:uid="{00000000-0005-0000-0000-0000753F0000}"/>
    <cellStyle name="Calcs 7 6" xfId="16278" xr:uid="{00000000-0005-0000-0000-0000763F0000}"/>
    <cellStyle name="Calcs 7 7" xfId="16279" xr:uid="{00000000-0005-0000-0000-0000773F0000}"/>
    <cellStyle name="Calcs 7 8" xfId="16280" xr:uid="{00000000-0005-0000-0000-0000783F0000}"/>
    <cellStyle name="Calcs 7 9" xfId="16281" xr:uid="{00000000-0005-0000-0000-0000793F0000}"/>
    <cellStyle name="Calcs 8" xfId="16282" xr:uid="{00000000-0005-0000-0000-00007A3F0000}"/>
    <cellStyle name="Calcs 8 10" xfId="16283" xr:uid="{00000000-0005-0000-0000-00007B3F0000}"/>
    <cellStyle name="Calcs 8 11" xfId="16284" xr:uid="{00000000-0005-0000-0000-00007C3F0000}"/>
    <cellStyle name="Calcs 8 12" xfId="16285" xr:uid="{00000000-0005-0000-0000-00007D3F0000}"/>
    <cellStyle name="Calcs 8 13" xfId="16286" xr:uid="{00000000-0005-0000-0000-00007E3F0000}"/>
    <cellStyle name="Calcs 8 2" xfId="16287" xr:uid="{00000000-0005-0000-0000-00007F3F0000}"/>
    <cellStyle name="Calcs 8 2 10" xfId="16288" xr:uid="{00000000-0005-0000-0000-0000803F0000}"/>
    <cellStyle name="Calcs 8 2 11" xfId="16289" xr:uid="{00000000-0005-0000-0000-0000813F0000}"/>
    <cellStyle name="Calcs 8 2 12" xfId="16290" xr:uid="{00000000-0005-0000-0000-0000823F0000}"/>
    <cellStyle name="Calcs 8 2 2" xfId="16291" xr:uid="{00000000-0005-0000-0000-0000833F0000}"/>
    <cellStyle name="Calcs 8 2 2 10" xfId="16292" xr:uid="{00000000-0005-0000-0000-0000843F0000}"/>
    <cellStyle name="Calcs 8 2 2 2" xfId="16293" xr:uid="{00000000-0005-0000-0000-0000853F0000}"/>
    <cellStyle name="Calcs 8 2 2 3" xfId="16294" xr:uid="{00000000-0005-0000-0000-0000863F0000}"/>
    <cellStyle name="Calcs 8 2 2 4" xfId="16295" xr:uid="{00000000-0005-0000-0000-0000873F0000}"/>
    <cellStyle name="Calcs 8 2 2 5" xfId="16296" xr:uid="{00000000-0005-0000-0000-0000883F0000}"/>
    <cellStyle name="Calcs 8 2 2 6" xfId="16297" xr:uid="{00000000-0005-0000-0000-0000893F0000}"/>
    <cellStyle name="Calcs 8 2 2 7" xfId="16298" xr:uid="{00000000-0005-0000-0000-00008A3F0000}"/>
    <cellStyle name="Calcs 8 2 2 8" xfId="16299" xr:uid="{00000000-0005-0000-0000-00008B3F0000}"/>
    <cellStyle name="Calcs 8 2 2 9" xfId="16300" xr:uid="{00000000-0005-0000-0000-00008C3F0000}"/>
    <cellStyle name="Calcs 8 2 3" xfId="16301" xr:uid="{00000000-0005-0000-0000-00008D3F0000}"/>
    <cellStyle name="Calcs 8 2 4" xfId="16302" xr:uid="{00000000-0005-0000-0000-00008E3F0000}"/>
    <cellStyle name="Calcs 8 2 5" xfId="16303" xr:uid="{00000000-0005-0000-0000-00008F3F0000}"/>
    <cellStyle name="Calcs 8 2 6" xfId="16304" xr:uid="{00000000-0005-0000-0000-0000903F0000}"/>
    <cellStyle name="Calcs 8 2 7" xfId="16305" xr:uid="{00000000-0005-0000-0000-0000913F0000}"/>
    <cellStyle name="Calcs 8 2 8" xfId="16306" xr:uid="{00000000-0005-0000-0000-0000923F0000}"/>
    <cellStyle name="Calcs 8 2 9" xfId="16307" xr:uid="{00000000-0005-0000-0000-0000933F0000}"/>
    <cellStyle name="Calcs 8 3" xfId="16308" xr:uid="{00000000-0005-0000-0000-0000943F0000}"/>
    <cellStyle name="Calcs 8 3 10" xfId="16309" xr:uid="{00000000-0005-0000-0000-0000953F0000}"/>
    <cellStyle name="Calcs 8 3 11" xfId="16310" xr:uid="{00000000-0005-0000-0000-0000963F0000}"/>
    <cellStyle name="Calcs 8 3 2" xfId="16311" xr:uid="{00000000-0005-0000-0000-0000973F0000}"/>
    <cellStyle name="Calcs 8 3 3" xfId="16312" xr:uid="{00000000-0005-0000-0000-0000983F0000}"/>
    <cellStyle name="Calcs 8 3 4" xfId="16313" xr:uid="{00000000-0005-0000-0000-0000993F0000}"/>
    <cellStyle name="Calcs 8 3 5" xfId="16314" xr:uid="{00000000-0005-0000-0000-00009A3F0000}"/>
    <cellStyle name="Calcs 8 3 6" xfId="16315" xr:uid="{00000000-0005-0000-0000-00009B3F0000}"/>
    <cellStyle name="Calcs 8 3 7" xfId="16316" xr:uid="{00000000-0005-0000-0000-00009C3F0000}"/>
    <cellStyle name="Calcs 8 3 8" xfId="16317" xr:uid="{00000000-0005-0000-0000-00009D3F0000}"/>
    <cellStyle name="Calcs 8 3 9" xfId="16318" xr:uid="{00000000-0005-0000-0000-00009E3F0000}"/>
    <cellStyle name="Calcs 8 4" xfId="16319" xr:uid="{00000000-0005-0000-0000-00009F3F0000}"/>
    <cellStyle name="Calcs 8 5" xfId="16320" xr:uid="{00000000-0005-0000-0000-0000A03F0000}"/>
    <cellStyle name="Calcs 8 6" xfId="16321" xr:uid="{00000000-0005-0000-0000-0000A13F0000}"/>
    <cellStyle name="Calcs 8 7" xfId="16322" xr:uid="{00000000-0005-0000-0000-0000A23F0000}"/>
    <cellStyle name="Calcs 8 8" xfId="16323" xr:uid="{00000000-0005-0000-0000-0000A33F0000}"/>
    <cellStyle name="Calcs 8 9" xfId="16324" xr:uid="{00000000-0005-0000-0000-0000A43F0000}"/>
    <cellStyle name="Calcs 9" xfId="16325" xr:uid="{00000000-0005-0000-0000-0000A53F0000}"/>
    <cellStyle name="Calcs 9 10" xfId="16326" xr:uid="{00000000-0005-0000-0000-0000A63F0000}"/>
    <cellStyle name="Calcs 9 11" xfId="16327" xr:uid="{00000000-0005-0000-0000-0000A73F0000}"/>
    <cellStyle name="Calcs 9 12" xfId="16328" xr:uid="{00000000-0005-0000-0000-0000A83F0000}"/>
    <cellStyle name="Calcs 9 13" xfId="16329" xr:uid="{00000000-0005-0000-0000-0000A93F0000}"/>
    <cellStyle name="Calcs 9 2" xfId="16330" xr:uid="{00000000-0005-0000-0000-0000AA3F0000}"/>
    <cellStyle name="Calcs 9 2 10" xfId="16331" xr:uid="{00000000-0005-0000-0000-0000AB3F0000}"/>
    <cellStyle name="Calcs 9 2 11" xfId="16332" xr:uid="{00000000-0005-0000-0000-0000AC3F0000}"/>
    <cellStyle name="Calcs 9 2 12" xfId="16333" xr:uid="{00000000-0005-0000-0000-0000AD3F0000}"/>
    <cellStyle name="Calcs 9 2 2" xfId="16334" xr:uid="{00000000-0005-0000-0000-0000AE3F0000}"/>
    <cellStyle name="Calcs 9 2 2 10" xfId="16335" xr:uid="{00000000-0005-0000-0000-0000AF3F0000}"/>
    <cellStyle name="Calcs 9 2 2 2" xfId="16336" xr:uid="{00000000-0005-0000-0000-0000B03F0000}"/>
    <cellStyle name="Calcs 9 2 2 3" xfId="16337" xr:uid="{00000000-0005-0000-0000-0000B13F0000}"/>
    <cellStyle name="Calcs 9 2 2 4" xfId="16338" xr:uid="{00000000-0005-0000-0000-0000B23F0000}"/>
    <cellStyle name="Calcs 9 2 2 5" xfId="16339" xr:uid="{00000000-0005-0000-0000-0000B33F0000}"/>
    <cellStyle name="Calcs 9 2 2 6" xfId="16340" xr:uid="{00000000-0005-0000-0000-0000B43F0000}"/>
    <cellStyle name="Calcs 9 2 2 7" xfId="16341" xr:uid="{00000000-0005-0000-0000-0000B53F0000}"/>
    <cellStyle name="Calcs 9 2 2 8" xfId="16342" xr:uid="{00000000-0005-0000-0000-0000B63F0000}"/>
    <cellStyle name="Calcs 9 2 2 9" xfId="16343" xr:uid="{00000000-0005-0000-0000-0000B73F0000}"/>
    <cellStyle name="Calcs 9 2 3" xfId="16344" xr:uid="{00000000-0005-0000-0000-0000B83F0000}"/>
    <cellStyle name="Calcs 9 2 4" xfId="16345" xr:uid="{00000000-0005-0000-0000-0000B93F0000}"/>
    <cellStyle name="Calcs 9 2 5" xfId="16346" xr:uid="{00000000-0005-0000-0000-0000BA3F0000}"/>
    <cellStyle name="Calcs 9 2 6" xfId="16347" xr:uid="{00000000-0005-0000-0000-0000BB3F0000}"/>
    <cellStyle name="Calcs 9 2 7" xfId="16348" xr:uid="{00000000-0005-0000-0000-0000BC3F0000}"/>
    <cellStyle name="Calcs 9 2 8" xfId="16349" xr:uid="{00000000-0005-0000-0000-0000BD3F0000}"/>
    <cellStyle name="Calcs 9 2 9" xfId="16350" xr:uid="{00000000-0005-0000-0000-0000BE3F0000}"/>
    <cellStyle name="Calcs 9 3" xfId="16351" xr:uid="{00000000-0005-0000-0000-0000BF3F0000}"/>
    <cellStyle name="Calcs 9 3 10" xfId="16352" xr:uid="{00000000-0005-0000-0000-0000C03F0000}"/>
    <cellStyle name="Calcs 9 3 11" xfId="16353" xr:uid="{00000000-0005-0000-0000-0000C13F0000}"/>
    <cellStyle name="Calcs 9 3 2" xfId="16354" xr:uid="{00000000-0005-0000-0000-0000C23F0000}"/>
    <cellStyle name="Calcs 9 3 3" xfId="16355" xr:uid="{00000000-0005-0000-0000-0000C33F0000}"/>
    <cellStyle name="Calcs 9 3 4" xfId="16356" xr:uid="{00000000-0005-0000-0000-0000C43F0000}"/>
    <cellStyle name="Calcs 9 3 5" xfId="16357" xr:uid="{00000000-0005-0000-0000-0000C53F0000}"/>
    <cellStyle name="Calcs 9 3 6" xfId="16358" xr:uid="{00000000-0005-0000-0000-0000C63F0000}"/>
    <cellStyle name="Calcs 9 3 7" xfId="16359" xr:uid="{00000000-0005-0000-0000-0000C73F0000}"/>
    <cellStyle name="Calcs 9 3 8" xfId="16360" xr:uid="{00000000-0005-0000-0000-0000C83F0000}"/>
    <cellStyle name="Calcs 9 3 9" xfId="16361" xr:uid="{00000000-0005-0000-0000-0000C93F0000}"/>
    <cellStyle name="Calcs 9 4" xfId="16362" xr:uid="{00000000-0005-0000-0000-0000CA3F0000}"/>
    <cellStyle name="Calcs 9 5" xfId="16363" xr:uid="{00000000-0005-0000-0000-0000CB3F0000}"/>
    <cellStyle name="Calcs 9 6" xfId="16364" xr:uid="{00000000-0005-0000-0000-0000CC3F0000}"/>
    <cellStyle name="Calcs 9 7" xfId="16365" xr:uid="{00000000-0005-0000-0000-0000CD3F0000}"/>
    <cellStyle name="Calcs 9 8" xfId="16366" xr:uid="{00000000-0005-0000-0000-0000CE3F0000}"/>
    <cellStyle name="Calcs 9 9" xfId="16367" xr:uid="{00000000-0005-0000-0000-0000CF3F0000}"/>
    <cellStyle name="calculated" xfId="16368" xr:uid="{00000000-0005-0000-0000-0000D03F0000}"/>
    <cellStyle name="Calculation" xfId="16369" xr:uid="{00000000-0005-0000-0000-0000D13F0000}"/>
    <cellStyle name="Calculation 2" xfId="16370" xr:uid="{00000000-0005-0000-0000-0000D23F0000}"/>
    <cellStyle name="Calculation 2 2" xfId="16371" xr:uid="{00000000-0005-0000-0000-0000D33F0000}"/>
    <cellStyle name="Calculation 2 3" xfId="16372" xr:uid="{00000000-0005-0000-0000-0000D43F0000}"/>
    <cellStyle name="Calculation 2 4" xfId="16373" xr:uid="{00000000-0005-0000-0000-0000D53F0000}"/>
    <cellStyle name="Calculation 3" xfId="16374" xr:uid="{00000000-0005-0000-0000-0000D63F0000}"/>
    <cellStyle name="Calculation 3 2" xfId="16375" xr:uid="{00000000-0005-0000-0000-0000D73F0000}"/>
    <cellStyle name="Calculation 3 3" xfId="16376" xr:uid="{00000000-0005-0000-0000-0000D83F0000}"/>
    <cellStyle name="Calculation 3 4" xfId="16377" xr:uid="{00000000-0005-0000-0000-0000D93F0000}"/>
    <cellStyle name="Calculation 4" xfId="16378" xr:uid="{00000000-0005-0000-0000-0000DA3F0000}"/>
    <cellStyle name="Calculation 5" xfId="16379" xr:uid="{00000000-0005-0000-0000-0000DB3F0000}"/>
    <cellStyle name="Calculation- protected" xfId="16380" xr:uid="{00000000-0005-0000-0000-0000DC3F0000}"/>
    <cellStyle name="CalculationYr" xfId="16381" xr:uid="{00000000-0005-0000-0000-0000DD3F0000}"/>
    <cellStyle name="Cálculo" xfId="32" builtinId="22" customBuiltin="1"/>
    <cellStyle name="Cálculo 10" xfId="16382" xr:uid="{00000000-0005-0000-0000-0000DF3F0000}"/>
    <cellStyle name="Cálculo 10 2" xfId="16383" xr:uid="{00000000-0005-0000-0000-0000E03F0000}"/>
    <cellStyle name="Cálculo 10 2 2" xfId="16384" xr:uid="{00000000-0005-0000-0000-0000E13F0000}"/>
    <cellStyle name="Cálculo 10 2 3" xfId="16385" xr:uid="{00000000-0005-0000-0000-0000E23F0000}"/>
    <cellStyle name="Cálculo 10 2 4" xfId="16386" xr:uid="{00000000-0005-0000-0000-0000E33F0000}"/>
    <cellStyle name="Cálculo 10 3" xfId="16387" xr:uid="{00000000-0005-0000-0000-0000E43F0000}"/>
    <cellStyle name="Cálculo 10 4" xfId="16388" xr:uid="{00000000-0005-0000-0000-0000E53F0000}"/>
    <cellStyle name="Cálculo 10 5" xfId="16389" xr:uid="{00000000-0005-0000-0000-0000E63F0000}"/>
    <cellStyle name="Cálculo 11" xfId="16390" xr:uid="{00000000-0005-0000-0000-0000E73F0000}"/>
    <cellStyle name="Cálculo 11 2" xfId="16391" xr:uid="{00000000-0005-0000-0000-0000E83F0000}"/>
    <cellStyle name="Cálculo 11 2 2" xfId="16392" xr:uid="{00000000-0005-0000-0000-0000E93F0000}"/>
    <cellStyle name="Cálculo 11 2 3" xfId="16393" xr:uid="{00000000-0005-0000-0000-0000EA3F0000}"/>
    <cellStyle name="Cálculo 11 2 4" xfId="16394" xr:uid="{00000000-0005-0000-0000-0000EB3F0000}"/>
    <cellStyle name="Cálculo 11 3" xfId="16395" xr:uid="{00000000-0005-0000-0000-0000EC3F0000}"/>
    <cellStyle name="Cálculo 11 4" xfId="16396" xr:uid="{00000000-0005-0000-0000-0000ED3F0000}"/>
    <cellStyle name="Cálculo 11 5" xfId="16397" xr:uid="{00000000-0005-0000-0000-0000EE3F0000}"/>
    <cellStyle name="Cálculo 12" xfId="16398" xr:uid="{00000000-0005-0000-0000-0000EF3F0000}"/>
    <cellStyle name="Cálculo 12 2" xfId="16399" xr:uid="{00000000-0005-0000-0000-0000F03F0000}"/>
    <cellStyle name="Cálculo 12 3" xfId="16400" xr:uid="{00000000-0005-0000-0000-0000F13F0000}"/>
    <cellStyle name="Cálculo 12 4" xfId="16401" xr:uid="{00000000-0005-0000-0000-0000F23F0000}"/>
    <cellStyle name="Cálculo 13" xfId="16402" xr:uid="{00000000-0005-0000-0000-0000F33F0000}"/>
    <cellStyle name="Cálculo 14" xfId="16403" xr:uid="{00000000-0005-0000-0000-0000F43F0000}"/>
    <cellStyle name="Cálculo 15" xfId="16404" xr:uid="{00000000-0005-0000-0000-0000F53F0000}"/>
    <cellStyle name="Cálculo 16" xfId="16405" xr:uid="{00000000-0005-0000-0000-0000F63F0000}"/>
    <cellStyle name="Cálculo 2" xfId="16406" xr:uid="{00000000-0005-0000-0000-0000F73F0000}"/>
    <cellStyle name="Cálculo 2 10" xfId="16407" xr:uid="{00000000-0005-0000-0000-0000F83F0000}"/>
    <cellStyle name="Cálculo 2 11" xfId="16408" xr:uid="{00000000-0005-0000-0000-0000F93F0000}"/>
    <cellStyle name="Cálculo 2 12" xfId="16409" xr:uid="{00000000-0005-0000-0000-0000FA3F0000}"/>
    <cellStyle name="Cálculo 2 13" xfId="16410" xr:uid="{00000000-0005-0000-0000-0000FB3F0000}"/>
    <cellStyle name="Cálculo 2 14" xfId="16411" xr:uid="{00000000-0005-0000-0000-0000FC3F0000}"/>
    <cellStyle name="Cálculo 2 15" xfId="16412" xr:uid="{00000000-0005-0000-0000-0000FD3F0000}"/>
    <cellStyle name="Cálculo 2 16" xfId="16413" xr:uid="{00000000-0005-0000-0000-0000FE3F0000}"/>
    <cellStyle name="Cálculo 2 17" xfId="16414" xr:uid="{00000000-0005-0000-0000-0000FF3F0000}"/>
    <cellStyle name="Cálculo 2 18" xfId="16415" xr:uid="{00000000-0005-0000-0000-000000400000}"/>
    <cellStyle name="Cálculo 2 19" xfId="16416" xr:uid="{00000000-0005-0000-0000-000001400000}"/>
    <cellStyle name="Cálculo 2 2" xfId="16417" xr:uid="{00000000-0005-0000-0000-000002400000}"/>
    <cellStyle name="Cálculo 2 2 2" xfId="16418" xr:uid="{00000000-0005-0000-0000-000003400000}"/>
    <cellStyle name="Cálculo 2 2 2 2" xfId="16419" xr:uid="{00000000-0005-0000-0000-000004400000}"/>
    <cellStyle name="Cálculo 2 2 2 3" xfId="16420" xr:uid="{00000000-0005-0000-0000-000005400000}"/>
    <cellStyle name="Cálculo 2 2 2 4" xfId="16421" xr:uid="{00000000-0005-0000-0000-000006400000}"/>
    <cellStyle name="Cálculo 2 2 3" xfId="16422" xr:uid="{00000000-0005-0000-0000-000007400000}"/>
    <cellStyle name="Cálculo 2 2 4" xfId="16423" xr:uid="{00000000-0005-0000-0000-000008400000}"/>
    <cellStyle name="Cálculo 2 2 5" xfId="16424" xr:uid="{00000000-0005-0000-0000-000009400000}"/>
    <cellStyle name="Cálculo 2 20" xfId="16425" xr:uid="{00000000-0005-0000-0000-00000A400000}"/>
    <cellStyle name="Cálculo 2 21" xfId="16426" xr:uid="{00000000-0005-0000-0000-00000B400000}"/>
    <cellStyle name="Cálculo 2 22" xfId="16427" xr:uid="{00000000-0005-0000-0000-00000C400000}"/>
    <cellStyle name="Cálculo 2 23" xfId="16428" xr:uid="{00000000-0005-0000-0000-00000D400000}"/>
    <cellStyle name="Cálculo 2 24" xfId="16429" xr:uid="{00000000-0005-0000-0000-00000E400000}"/>
    <cellStyle name="Cálculo 2 25" xfId="16430" xr:uid="{00000000-0005-0000-0000-00000F400000}"/>
    <cellStyle name="Cálculo 2 26" xfId="16431" xr:uid="{00000000-0005-0000-0000-000010400000}"/>
    <cellStyle name="Cálculo 2 27" xfId="16432" xr:uid="{00000000-0005-0000-0000-000011400000}"/>
    <cellStyle name="Cálculo 2 28" xfId="16433" xr:uid="{00000000-0005-0000-0000-000012400000}"/>
    <cellStyle name="Cálculo 2 29" xfId="16434" xr:uid="{00000000-0005-0000-0000-000013400000}"/>
    <cellStyle name="Cálculo 2 3" xfId="16435" xr:uid="{00000000-0005-0000-0000-000014400000}"/>
    <cellStyle name="Cálculo 2 3 2" xfId="16436" xr:uid="{00000000-0005-0000-0000-000015400000}"/>
    <cellStyle name="Cálculo 2 3 2 2" xfId="16437" xr:uid="{00000000-0005-0000-0000-000016400000}"/>
    <cellStyle name="Cálculo 2 3 2 3" xfId="16438" xr:uid="{00000000-0005-0000-0000-000017400000}"/>
    <cellStyle name="Cálculo 2 3 2 4" xfId="16439" xr:uid="{00000000-0005-0000-0000-000018400000}"/>
    <cellStyle name="Cálculo 2 3 3" xfId="16440" xr:uid="{00000000-0005-0000-0000-000019400000}"/>
    <cellStyle name="Cálculo 2 3 4" xfId="16441" xr:uid="{00000000-0005-0000-0000-00001A400000}"/>
    <cellStyle name="Cálculo 2 3 5" xfId="16442" xr:uid="{00000000-0005-0000-0000-00001B400000}"/>
    <cellStyle name="Cálculo 2 30" xfId="16443" xr:uid="{00000000-0005-0000-0000-00001C400000}"/>
    <cellStyle name="Cálculo 2 31" xfId="16444" xr:uid="{00000000-0005-0000-0000-00001D400000}"/>
    <cellStyle name="Cálculo 2 32" xfId="16445" xr:uid="{00000000-0005-0000-0000-00001E400000}"/>
    <cellStyle name="Cálculo 2 33" xfId="16446" xr:uid="{00000000-0005-0000-0000-00001F400000}"/>
    <cellStyle name="Cálculo 2 34" xfId="16447" xr:uid="{00000000-0005-0000-0000-000020400000}"/>
    <cellStyle name="Cálculo 2 35" xfId="16448" xr:uid="{00000000-0005-0000-0000-000021400000}"/>
    <cellStyle name="Cálculo 2 36" xfId="16449" xr:uid="{00000000-0005-0000-0000-000022400000}"/>
    <cellStyle name="Cálculo 2 37" xfId="16450" xr:uid="{00000000-0005-0000-0000-000023400000}"/>
    <cellStyle name="Cálculo 2 38" xfId="16451" xr:uid="{00000000-0005-0000-0000-000024400000}"/>
    <cellStyle name="Cálculo 2 4" xfId="16452" xr:uid="{00000000-0005-0000-0000-000025400000}"/>
    <cellStyle name="Cálculo 2 4 2" xfId="16453" xr:uid="{00000000-0005-0000-0000-000026400000}"/>
    <cellStyle name="Cálculo 2 4 2 2" xfId="16454" xr:uid="{00000000-0005-0000-0000-000027400000}"/>
    <cellStyle name="Cálculo 2 4 2 3" xfId="16455" xr:uid="{00000000-0005-0000-0000-000028400000}"/>
    <cellStyle name="Cálculo 2 4 2 4" xfId="16456" xr:uid="{00000000-0005-0000-0000-000029400000}"/>
    <cellStyle name="Cálculo 2 4 3" xfId="16457" xr:uid="{00000000-0005-0000-0000-00002A400000}"/>
    <cellStyle name="Cálculo 2 4 4" xfId="16458" xr:uid="{00000000-0005-0000-0000-00002B400000}"/>
    <cellStyle name="Cálculo 2 4 5" xfId="16459" xr:uid="{00000000-0005-0000-0000-00002C400000}"/>
    <cellStyle name="Cálculo 2 5" xfId="16460" xr:uid="{00000000-0005-0000-0000-00002D400000}"/>
    <cellStyle name="Cálculo 2 5 2" xfId="16461" xr:uid="{00000000-0005-0000-0000-00002E400000}"/>
    <cellStyle name="Cálculo 2 5 2 2" xfId="16462" xr:uid="{00000000-0005-0000-0000-00002F400000}"/>
    <cellStyle name="Cálculo 2 5 2 3" xfId="16463" xr:uid="{00000000-0005-0000-0000-000030400000}"/>
    <cellStyle name="Cálculo 2 5 2 4" xfId="16464" xr:uid="{00000000-0005-0000-0000-000031400000}"/>
    <cellStyle name="Cálculo 2 5 3" xfId="16465" xr:uid="{00000000-0005-0000-0000-000032400000}"/>
    <cellStyle name="Cálculo 2 5 4" xfId="16466" xr:uid="{00000000-0005-0000-0000-000033400000}"/>
    <cellStyle name="Cálculo 2 5 5" xfId="16467" xr:uid="{00000000-0005-0000-0000-000034400000}"/>
    <cellStyle name="Cálculo 2 6" xfId="16468" xr:uid="{00000000-0005-0000-0000-000035400000}"/>
    <cellStyle name="Cálculo 2 6 2" xfId="16469" xr:uid="{00000000-0005-0000-0000-000036400000}"/>
    <cellStyle name="Cálculo 2 6 2 2" xfId="16470" xr:uid="{00000000-0005-0000-0000-000037400000}"/>
    <cellStyle name="Cálculo 2 6 2 3" xfId="16471" xr:uid="{00000000-0005-0000-0000-000038400000}"/>
    <cellStyle name="Cálculo 2 6 2 4" xfId="16472" xr:uid="{00000000-0005-0000-0000-000039400000}"/>
    <cellStyle name="Cálculo 2 6 3" xfId="16473" xr:uid="{00000000-0005-0000-0000-00003A400000}"/>
    <cellStyle name="Cálculo 2 6 4" xfId="16474" xr:uid="{00000000-0005-0000-0000-00003B400000}"/>
    <cellStyle name="Cálculo 2 6 5" xfId="16475" xr:uid="{00000000-0005-0000-0000-00003C400000}"/>
    <cellStyle name="Cálculo 2 7" xfId="16476" xr:uid="{00000000-0005-0000-0000-00003D400000}"/>
    <cellStyle name="Cálculo 2 7 2" xfId="16477" xr:uid="{00000000-0005-0000-0000-00003E400000}"/>
    <cellStyle name="Cálculo 2 7 3" xfId="16478" xr:uid="{00000000-0005-0000-0000-00003F400000}"/>
    <cellStyle name="Cálculo 2 7 4" xfId="16479" xr:uid="{00000000-0005-0000-0000-000040400000}"/>
    <cellStyle name="Cálculo 2 8" xfId="16480" xr:uid="{00000000-0005-0000-0000-000041400000}"/>
    <cellStyle name="Cálculo 2 9" xfId="16481" xr:uid="{00000000-0005-0000-0000-000042400000}"/>
    <cellStyle name="Cálculo 3" xfId="16482" xr:uid="{00000000-0005-0000-0000-000043400000}"/>
    <cellStyle name="Cálculo 3 10" xfId="16483" xr:uid="{00000000-0005-0000-0000-000044400000}"/>
    <cellStyle name="Cálculo 3 11" xfId="16484" xr:uid="{00000000-0005-0000-0000-000045400000}"/>
    <cellStyle name="Cálculo 3 12" xfId="16485" xr:uid="{00000000-0005-0000-0000-000046400000}"/>
    <cellStyle name="Cálculo 3 13" xfId="16486" xr:uid="{00000000-0005-0000-0000-000047400000}"/>
    <cellStyle name="Cálculo 3 14" xfId="16487" xr:uid="{00000000-0005-0000-0000-000048400000}"/>
    <cellStyle name="Cálculo 3 15" xfId="16488" xr:uid="{00000000-0005-0000-0000-000049400000}"/>
    <cellStyle name="Cálculo 3 16" xfId="16489" xr:uid="{00000000-0005-0000-0000-00004A400000}"/>
    <cellStyle name="Cálculo 3 17" xfId="16490" xr:uid="{00000000-0005-0000-0000-00004B400000}"/>
    <cellStyle name="Cálculo 3 18" xfId="16491" xr:uid="{00000000-0005-0000-0000-00004C400000}"/>
    <cellStyle name="Cálculo 3 19" xfId="16492" xr:uid="{00000000-0005-0000-0000-00004D400000}"/>
    <cellStyle name="Cálculo 3 2" xfId="16493" xr:uid="{00000000-0005-0000-0000-00004E400000}"/>
    <cellStyle name="Cálculo 3 2 2" xfId="16494" xr:uid="{00000000-0005-0000-0000-00004F400000}"/>
    <cellStyle name="Cálculo 3 2 2 2" xfId="16495" xr:uid="{00000000-0005-0000-0000-000050400000}"/>
    <cellStyle name="Cálculo 3 2 2 3" xfId="16496" xr:uid="{00000000-0005-0000-0000-000051400000}"/>
    <cellStyle name="Cálculo 3 2 2 4" xfId="16497" xr:uid="{00000000-0005-0000-0000-000052400000}"/>
    <cellStyle name="Cálculo 3 2 3" xfId="16498" xr:uid="{00000000-0005-0000-0000-000053400000}"/>
    <cellStyle name="Cálculo 3 2 4" xfId="16499" xr:uid="{00000000-0005-0000-0000-000054400000}"/>
    <cellStyle name="Cálculo 3 2 5" xfId="16500" xr:uid="{00000000-0005-0000-0000-000055400000}"/>
    <cellStyle name="Cálculo 3 20" xfId="16501" xr:uid="{00000000-0005-0000-0000-000056400000}"/>
    <cellStyle name="Cálculo 3 21" xfId="16502" xr:uid="{00000000-0005-0000-0000-000057400000}"/>
    <cellStyle name="Cálculo 3 22" xfId="16503" xr:uid="{00000000-0005-0000-0000-000058400000}"/>
    <cellStyle name="Cálculo 3 23" xfId="16504" xr:uid="{00000000-0005-0000-0000-000059400000}"/>
    <cellStyle name="Cálculo 3 24" xfId="16505" xr:uid="{00000000-0005-0000-0000-00005A400000}"/>
    <cellStyle name="Cálculo 3 25" xfId="16506" xr:uid="{00000000-0005-0000-0000-00005B400000}"/>
    <cellStyle name="Cálculo 3 26" xfId="16507" xr:uid="{00000000-0005-0000-0000-00005C400000}"/>
    <cellStyle name="Cálculo 3 27" xfId="16508" xr:uid="{00000000-0005-0000-0000-00005D400000}"/>
    <cellStyle name="Cálculo 3 28" xfId="16509" xr:uid="{00000000-0005-0000-0000-00005E400000}"/>
    <cellStyle name="Cálculo 3 29" xfId="16510" xr:uid="{00000000-0005-0000-0000-00005F400000}"/>
    <cellStyle name="Cálculo 3 3" xfId="16511" xr:uid="{00000000-0005-0000-0000-000060400000}"/>
    <cellStyle name="Cálculo 3 3 2" xfId="16512" xr:uid="{00000000-0005-0000-0000-000061400000}"/>
    <cellStyle name="Cálculo 3 3 2 2" xfId="16513" xr:uid="{00000000-0005-0000-0000-000062400000}"/>
    <cellStyle name="Cálculo 3 3 2 3" xfId="16514" xr:uid="{00000000-0005-0000-0000-000063400000}"/>
    <cellStyle name="Cálculo 3 3 2 4" xfId="16515" xr:uid="{00000000-0005-0000-0000-000064400000}"/>
    <cellStyle name="Cálculo 3 3 3" xfId="16516" xr:uid="{00000000-0005-0000-0000-000065400000}"/>
    <cellStyle name="Cálculo 3 3 4" xfId="16517" xr:uid="{00000000-0005-0000-0000-000066400000}"/>
    <cellStyle name="Cálculo 3 3 5" xfId="16518" xr:uid="{00000000-0005-0000-0000-000067400000}"/>
    <cellStyle name="Cálculo 3 30" xfId="16519" xr:uid="{00000000-0005-0000-0000-000068400000}"/>
    <cellStyle name="Cálculo 3 31" xfId="16520" xr:uid="{00000000-0005-0000-0000-000069400000}"/>
    <cellStyle name="Cálculo 3 32" xfId="16521" xr:uid="{00000000-0005-0000-0000-00006A400000}"/>
    <cellStyle name="Cálculo 3 33" xfId="16522" xr:uid="{00000000-0005-0000-0000-00006B400000}"/>
    <cellStyle name="Cálculo 3 34" xfId="16523" xr:uid="{00000000-0005-0000-0000-00006C400000}"/>
    <cellStyle name="Cálculo 3 4" xfId="16524" xr:uid="{00000000-0005-0000-0000-00006D400000}"/>
    <cellStyle name="Cálculo 3 4 2" xfId="16525" xr:uid="{00000000-0005-0000-0000-00006E400000}"/>
    <cellStyle name="Cálculo 3 4 2 2" xfId="16526" xr:uid="{00000000-0005-0000-0000-00006F400000}"/>
    <cellStyle name="Cálculo 3 4 2 3" xfId="16527" xr:uid="{00000000-0005-0000-0000-000070400000}"/>
    <cellStyle name="Cálculo 3 4 2 4" xfId="16528" xr:uid="{00000000-0005-0000-0000-000071400000}"/>
    <cellStyle name="Cálculo 3 4 3" xfId="16529" xr:uid="{00000000-0005-0000-0000-000072400000}"/>
    <cellStyle name="Cálculo 3 4 4" xfId="16530" xr:uid="{00000000-0005-0000-0000-000073400000}"/>
    <cellStyle name="Cálculo 3 4 5" xfId="16531" xr:uid="{00000000-0005-0000-0000-000074400000}"/>
    <cellStyle name="Cálculo 3 5" xfId="16532" xr:uid="{00000000-0005-0000-0000-000075400000}"/>
    <cellStyle name="Cálculo 3 5 2" xfId="16533" xr:uid="{00000000-0005-0000-0000-000076400000}"/>
    <cellStyle name="Cálculo 3 5 2 2" xfId="16534" xr:uid="{00000000-0005-0000-0000-000077400000}"/>
    <cellStyle name="Cálculo 3 5 2 3" xfId="16535" xr:uid="{00000000-0005-0000-0000-000078400000}"/>
    <cellStyle name="Cálculo 3 5 2 4" xfId="16536" xr:uid="{00000000-0005-0000-0000-000079400000}"/>
    <cellStyle name="Cálculo 3 5 3" xfId="16537" xr:uid="{00000000-0005-0000-0000-00007A400000}"/>
    <cellStyle name="Cálculo 3 5 4" xfId="16538" xr:uid="{00000000-0005-0000-0000-00007B400000}"/>
    <cellStyle name="Cálculo 3 5 5" xfId="16539" xr:uid="{00000000-0005-0000-0000-00007C400000}"/>
    <cellStyle name="Cálculo 3 6" xfId="16540" xr:uid="{00000000-0005-0000-0000-00007D400000}"/>
    <cellStyle name="Cálculo 3 6 2" xfId="16541" xr:uid="{00000000-0005-0000-0000-00007E400000}"/>
    <cellStyle name="Cálculo 3 6 2 2" xfId="16542" xr:uid="{00000000-0005-0000-0000-00007F400000}"/>
    <cellStyle name="Cálculo 3 6 2 3" xfId="16543" xr:uid="{00000000-0005-0000-0000-000080400000}"/>
    <cellStyle name="Cálculo 3 6 2 4" xfId="16544" xr:uid="{00000000-0005-0000-0000-000081400000}"/>
    <cellStyle name="Cálculo 3 6 3" xfId="16545" xr:uid="{00000000-0005-0000-0000-000082400000}"/>
    <cellStyle name="Cálculo 3 6 4" xfId="16546" xr:uid="{00000000-0005-0000-0000-000083400000}"/>
    <cellStyle name="Cálculo 3 6 5" xfId="16547" xr:uid="{00000000-0005-0000-0000-000084400000}"/>
    <cellStyle name="Cálculo 3 7" xfId="16548" xr:uid="{00000000-0005-0000-0000-000085400000}"/>
    <cellStyle name="Cálculo 3 7 2" xfId="16549" xr:uid="{00000000-0005-0000-0000-000086400000}"/>
    <cellStyle name="Cálculo 3 7 3" xfId="16550" xr:uid="{00000000-0005-0000-0000-000087400000}"/>
    <cellStyle name="Cálculo 3 7 4" xfId="16551" xr:uid="{00000000-0005-0000-0000-000088400000}"/>
    <cellStyle name="Cálculo 3 8" xfId="16552" xr:uid="{00000000-0005-0000-0000-000089400000}"/>
    <cellStyle name="Cálculo 3 9" xfId="16553" xr:uid="{00000000-0005-0000-0000-00008A400000}"/>
    <cellStyle name="Cálculo 4" xfId="16554" xr:uid="{00000000-0005-0000-0000-00008B400000}"/>
    <cellStyle name="Cálculo 4 2" xfId="16555" xr:uid="{00000000-0005-0000-0000-00008C400000}"/>
    <cellStyle name="Cálculo 4 2 2" xfId="16556" xr:uid="{00000000-0005-0000-0000-00008D400000}"/>
    <cellStyle name="Cálculo 4 2 3" xfId="16557" xr:uid="{00000000-0005-0000-0000-00008E400000}"/>
    <cellStyle name="Cálculo 4 2 4" xfId="16558" xr:uid="{00000000-0005-0000-0000-00008F400000}"/>
    <cellStyle name="Cálculo 4 3" xfId="16559" xr:uid="{00000000-0005-0000-0000-000090400000}"/>
    <cellStyle name="Cálculo 4 4" xfId="16560" xr:uid="{00000000-0005-0000-0000-000091400000}"/>
    <cellStyle name="Cálculo 4 5" xfId="16561" xr:uid="{00000000-0005-0000-0000-000092400000}"/>
    <cellStyle name="Cálculo 5" xfId="16562" xr:uid="{00000000-0005-0000-0000-000093400000}"/>
    <cellStyle name="Cálculo 5 2" xfId="16563" xr:uid="{00000000-0005-0000-0000-000094400000}"/>
    <cellStyle name="Cálculo 5 2 2" xfId="16564" xr:uid="{00000000-0005-0000-0000-000095400000}"/>
    <cellStyle name="Cálculo 5 2 3" xfId="16565" xr:uid="{00000000-0005-0000-0000-000096400000}"/>
    <cellStyle name="Cálculo 5 2 4" xfId="16566" xr:uid="{00000000-0005-0000-0000-000097400000}"/>
    <cellStyle name="Cálculo 5 3" xfId="16567" xr:uid="{00000000-0005-0000-0000-000098400000}"/>
    <cellStyle name="Cálculo 5 4" xfId="16568" xr:uid="{00000000-0005-0000-0000-000099400000}"/>
    <cellStyle name="Cálculo 5 5" xfId="16569" xr:uid="{00000000-0005-0000-0000-00009A400000}"/>
    <cellStyle name="Cálculo 6" xfId="16570" xr:uid="{00000000-0005-0000-0000-00009B400000}"/>
    <cellStyle name="Cálculo 6 2" xfId="16571" xr:uid="{00000000-0005-0000-0000-00009C400000}"/>
    <cellStyle name="Cálculo 6 2 2" xfId="16572" xr:uid="{00000000-0005-0000-0000-00009D400000}"/>
    <cellStyle name="Cálculo 6 2 3" xfId="16573" xr:uid="{00000000-0005-0000-0000-00009E400000}"/>
    <cellStyle name="Cálculo 6 2 4" xfId="16574" xr:uid="{00000000-0005-0000-0000-00009F400000}"/>
    <cellStyle name="Cálculo 6 3" xfId="16575" xr:uid="{00000000-0005-0000-0000-0000A0400000}"/>
    <cellStyle name="Cálculo 6 4" xfId="16576" xr:uid="{00000000-0005-0000-0000-0000A1400000}"/>
    <cellStyle name="Cálculo 6 5" xfId="16577" xr:uid="{00000000-0005-0000-0000-0000A2400000}"/>
    <cellStyle name="Cálculo 7" xfId="16578" xr:uid="{00000000-0005-0000-0000-0000A3400000}"/>
    <cellStyle name="Cálculo 7 2" xfId="16579" xr:uid="{00000000-0005-0000-0000-0000A4400000}"/>
    <cellStyle name="Cálculo 7 2 2" xfId="16580" xr:uid="{00000000-0005-0000-0000-0000A5400000}"/>
    <cellStyle name="Cálculo 7 2 3" xfId="16581" xr:uid="{00000000-0005-0000-0000-0000A6400000}"/>
    <cellStyle name="Cálculo 7 2 4" xfId="16582" xr:uid="{00000000-0005-0000-0000-0000A7400000}"/>
    <cellStyle name="Cálculo 7 3" xfId="16583" xr:uid="{00000000-0005-0000-0000-0000A8400000}"/>
    <cellStyle name="Cálculo 7 4" xfId="16584" xr:uid="{00000000-0005-0000-0000-0000A9400000}"/>
    <cellStyle name="Cálculo 7 5" xfId="16585" xr:uid="{00000000-0005-0000-0000-0000AA400000}"/>
    <cellStyle name="Cálculo 8" xfId="16586" xr:uid="{00000000-0005-0000-0000-0000AB400000}"/>
    <cellStyle name="Cálculo 8 2" xfId="16587" xr:uid="{00000000-0005-0000-0000-0000AC400000}"/>
    <cellStyle name="Cálculo 8 2 2" xfId="16588" xr:uid="{00000000-0005-0000-0000-0000AD400000}"/>
    <cellStyle name="Cálculo 8 2 3" xfId="16589" xr:uid="{00000000-0005-0000-0000-0000AE400000}"/>
    <cellStyle name="Cálculo 8 2 4" xfId="16590" xr:uid="{00000000-0005-0000-0000-0000AF400000}"/>
    <cellStyle name="Cálculo 8 3" xfId="16591" xr:uid="{00000000-0005-0000-0000-0000B0400000}"/>
    <cellStyle name="Cálculo 8 4" xfId="16592" xr:uid="{00000000-0005-0000-0000-0000B1400000}"/>
    <cellStyle name="Cálculo 8 5" xfId="16593" xr:uid="{00000000-0005-0000-0000-0000B2400000}"/>
    <cellStyle name="Cálculo 9" xfId="16594" xr:uid="{00000000-0005-0000-0000-0000B3400000}"/>
    <cellStyle name="Cálculo 9 2" xfId="16595" xr:uid="{00000000-0005-0000-0000-0000B4400000}"/>
    <cellStyle name="Cálculo 9 2 2" xfId="16596" xr:uid="{00000000-0005-0000-0000-0000B5400000}"/>
    <cellStyle name="Cálculo 9 2 3" xfId="16597" xr:uid="{00000000-0005-0000-0000-0000B6400000}"/>
    <cellStyle name="Cálculo 9 2 4" xfId="16598" xr:uid="{00000000-0005-0000-0000-0000B7400000}"/>
    <cellStyle name="Cálculo 9 3" xfId="16599" xr:uid="{00000000-0005-0000-0000-0000B8400000}"/>
    <cellStyle name="Cálculo 9 4" xfId="16600" xr:uid="{00000000-0005-0000-0000-0000B9400000}"/>
    <cellStyle name="Cálculo 9 5" xfId="16601" xr:uid="{00000000-0005-0000-0000-0000BA400000}"/>
    <cellStyle name="Caleb Header" xfId="16602" xr:uid="{00000000-0005-0000-0000-0000BB400000}"/>
    <cellStyle name="Cambiar to&amp;do" xfId="16603" xr:uid="{00000000-0005-0000-0000-0000BC400000}"/>
    <cellStyle name="Cambiar to&amp;do 2" xfId="16604" xr:uid="{00000000-0005-0000-0000-0000BD400000}"/>
    <cellStyle name="Cancel" xfId="16605" xr:uid="{00000000-0005-0000-0000-0000BE400000}"/>
    <cellStyle name="Cancel 10" xfId="16606" xr:uid="{00000000-0005-0000-0000-0000BF400000}"/>
    <cellStyle name="Cancel 11" xfId="16607" xr:uid="{00000000-0005-0000-0000-0000C0400000}"/>
    <cellStyle name="Cancel 12" xfId="16608" xr:uid="{00000000-0005-0000-0000-0000C1400000}"/>
    <cellStyle name="Cancel 13" xfId="16609" xr:uid="{00000000-0005-0000-0000-0000C2400000}"/>
    <cellStyle name="Cancel 14" xfId="16610" xr:uid="{00000000-0005-0000-0000-0000C3400000}"/>
    <cellStyle name="Cancel 15" xfId="16611" xr:uid="{00000000-0005-0000-0000-0000C4400000}"/>
    <cellStyle name="Cancel 16" xfId="16612" xr:uid="{00000000-0005-0000-0000-0000C5400000}"/>
    <cellStyle name="Cancel 17" xfId="16613" xr:uid="{00000000-0005-0000-0000-0000C6400000}"/>
    <cellStyle name="Cancel 18" xfId="16614" xr:uid="{00000000-0005-0000-0000-0000C7400000}"/>
    <cellStyle name="Cancel 19" xfId="16615" xr:uid="{00000000-0005-0000-0000-0000C8400000}"/>
    <cellStyle name="Cancel 2" xfId="16616" xr:uid="{00000000-0005-0000-0000-0000C9400000}"/>
    <cellStyle name="Cancel 2 10" xfId="16617" xr:uid="{00000000-0005-0000-0000-0000CA400000}"/>
    <cellStyle name="Cancel 2 11" xfId="16618" xr:uid="{00000000-0005-0000-0000-0000CB400000}"/>
    <cellStyle name="Cancel 2 12" xfId="16619" xr:uid="{00000000-0005-0000-0000-0000CC400000}"/>
    <cellStyle name="Cancel 2 13" xfId="16620" xr:uid="{00000000-0005-0000-0000-0000CD400000}"/>
    <cellStyle name="Cancel 2 14" xfId="16621" xr:uid="{00000000-0005-0000-0000-0000CE400000}"/>
    <cellStyle name="Cancel 2 15" xfId="16622" xr:uid="{00000000-0005-0000-0000-0000CF400000}"/>
    <cellStyle name="Cancel 2 16" xfId="16623" xr:uid="{00000000-0005-0000-0000-0000D0400000}"/>
    <cellStyle name="Cancel 2 17" xfId="16624" xr:uid="{00000000-0005-0000-0000-0000D1400000}"/>
    <cellStyle name="Cancel 2 18" xfId="16625" xr:uid="{00000000-0005-0000-0000-0000D2400000}"/>
    <cellStyle name="Cancel 2 19" xfId="16626" xr:uid="{00000000-0005-0000-0000-0000D3400000}"/>
    <cellStyle name="Cancel 2 2" xfId="16627" xr:uid="{00000000-0005-0000-0000-0000D4400000}"/>
    <cellStyle name="Cancel 2 20" xfId="16628" xr:uid="{00000000-0005-0000-0000-0000D5400000}"/>
    <cellStyle name="Cancel 2 21" xfId="16629" xr:uid="{00000000-0005-0000-0000-0000D6400000}"/>
    <cellStyle name="Cancel 2 22" xfId="16630" xr:uid="{00000000-0005-0000-0000-0000D7400000}"/>
    <cellStyle name="Cancel 2 23" xfId="16631" xr:uid="{00000000-0005-0000-0000-0000D8400000}"/>
    <cellStyle name="Cancel 2 24" xfId="16632" xr:uid="{00000000-0005-0000-0000-0000D9400000}"/>
    <cellStyle name="Cancel 2 25" xfId="16633" xr:uid="{00000000-0005-0000-0000-0000DA400000}"/>
    <cellStyle name="Cancel 2 26" xfId="16634" xr:uid="{00000000-0005-0000-0000-0000DB400000}"/>
    <cellStyle name="Cancel 2 27" xfId="16635" xr:uid="{00000000-0005-0000-0000-0000DC400000}"/>
    <cellStyle name="Cancel 2 28" xfId="16636" xr:uid="{00000000-0005-0000-0000-0000DD400000}"/>
    <cellStyle name="Cancel 2 3" xfId="16637" xr:uid="{00000000-0005-0000-0000-0000DE400000}"/>
    <cellStyle name="Cancel 2 4" xfId="16638" xr:uid="{00000000-0005-0000-0000-0000DF400000}"/>
    <cellStyle name="Cancel 2 5" xfId="16639" xr:uid="{00000000-0005-0000-0000-0000E0400000}"/>
    <cellStyle name="Cancel 2 6" xfId="16640" xr:uid="{00000000-0005-0000-0000-0000E1400000}"/>
    <cellStyle name="Cancel 2 7" xfId="16641" xr:uid="{00000000-0005-0000-0000-0000E2400000}"/>
    <cellStyle name="Cancel 2 8" xfId="16642" xr:uid="{00000000-0005-0000-0000-0000E3400000}"/>
    <cellStyle name="Cancel 2 9" xfId="16643" xr:uid="{00000000-0005-0000-0000-0000E4400000}"/>
    <cellStyle name="Cancel 20" xfId="16644" xr:uid="{00000000-0005-0000-0000-0000E5400000}"/>
    <cellStyle name="Cancel 21" xfId="16645" xr:uid="{00000000-0005-0000-0000-0000E6400000}"/>
    <cellStyle name="Cancel 22" xfId="16646" xr:uid="{00000000-0005-0000-0000-0000E7400000}"/>
    <cellStyle name="Cancel 23" xfId="16647" xr:uid="{00000000-0005-0000-0000-0000E8400000}"/>
    <cellStyle name="Cancel 24" xfId="16648" xr:uid="{00000000-0005-0000-0000-0000E9400000}"/>
    <cellStyle name="Cancel 25" xfId="16649" xr:uid="{00000000-0005-0000-0000-0000EA400000}"/>
    <cellStyle name="Cancel 26" xfId="16650" xr:uid="{00000000-0005-0000-0000-0000EB400000}"/>
    <cellStyle name="Cancel 27" xfId="16651" xr:uid="{00000000-0005-0000-0000-0000EC400000}"/>
    <cellStyle name="Cancel 28" xfId="16652" xr:uid="{00000000-0005-0000-0000-0000ED400000}"/>
    <cellStyle name="Cancel 3" xfId="16653" xr:uid="{00000000-0005-0000-0000-0000EE400000}"/>
    <cellStyle name="Cancel 3 2" xfId="16654" xr:uid="{00000000-0005-0000-0000-0000EF400000}"/>
    <cellStyle name="Cancel 4" xfId="16655" xr:uid="{00000000-0005-0000-0000-0000F0400000}"/>
    <cellStyle name="Cancel 5" xfId="16656" xr:uid="{00000000-0005-0000-0000-0000F1400000}"/>
    <cellStyle name="Cancel 6" xfId="16657" xr:uid="{00000000-0005-0000-0000-0000F2400000}"/>
    <cellStyle name="Cancel 7" xfId="16658" xr:uid="{00000000-0005-0000-0000-0000F3400000}"/>
    <cellStyle name="Cancel 8" xfId="16659" xr:uid="{00000000-0005-0000-0000-0000F4400000}"/>
    <cellStyle name="Cancel 9" xfId="16660" xr:uid="{00000000-0005-0000-0000-0000F5400000}"/>
    <cellStyle name="Cancel_~0693757" xfId="16661" xr:uid="{00000000-0005-0000-0000-0000F6400000}"/>
    <cellStyle name="cárky_CTD" xfId="16662" xr:uid="{00000000-0005-0000-0000-0000F7400000}"/>
    <cellStyle name="Case" xfId="16663" xr:uid="{00000000-0005-0000-0000-0000F8400000}"/>
    <cellStyle name="category" xfId="16664" xr:uid="{00000000-0005-0000-0000-0000F9400000}"/>
    <cellStyle name="CategoryInd" xfId="16665" xr:uid="{00000000-0005-0000-0000-0000FA400000}"/>
    <cellStyle name="Celda de comprobación" xfId="33" builtinId="23" customBuiltin="1"/>
    <cellStyle name="Celda de comprobación 10" xfId="16666" xr:uid="{00000000-0005-0000-0000-0000FC400000}"/>
    <cellStyle name="Celda de comprobación 11" xfId="16667" xr:uid="{00000000-0005-0000-0000-0000FD400000}"/>
    <cellStyle name="Celda de comprobación 12" xfId="16668" xr:uid="{00000000-0005-0000-0000-0000FE400000}"/>
    <cellStyle name="Celda de comprobación 13" xfId="16669" xr:uid="{00000000-0005-0000-0000-0000FF400000}"/>
    <cellStyle name="Celda de comprobación 14" xfId="16670" xr:uid="{00000000-0005-0000-0000-000000410000}"/>
    <cellStyle name="Celda de comprobación 15" xfId="16671" xr:uid="{00000000-0005-0000-0000-000001410000}"/>
    <cellStyle name="Celda de comprobación 16" xfId="16672" xr:uid="{00000000-0005-0000-0000-000002410000}"/>
    <cellStyle name="Celda de comprobación 2" xfId="16673" xr:uid="{00000000-0005-0000-0000-000003410000}"/>
    <cellStyle name="Celda de comprobación 2 10" xfId="16674" xr:uid="{00000000-0005-0000-0000-000004410000}"/>
    <cellStyle name="Celda de comprobación 2 11" xfId="16675" xr:uid="{00000000-0005-0000-0000-000005410000}"/>
    <cellStyle name="Celda de comprobación 2 12" xfId="16676" xr:uid="{00000000-0005-0000-0000-000006410000}"/>
    <cellStyle name="Celda de comprobación 2 13" xfId="16677" xr:uid="{00000000-0005-0000-0000-000007410000}"/>
    <cellStyle name="Celda de comprobación 2 14" xfId="16678" xr:uid="{00000000-0005-0000-0000-000008410000}"/>
    <cellStyle name="Celda de comprobación 2 15" xfId="16679" xr:uid="{00000000-0005-0000-0000-000009410000}"/>
    <cellStyle name="Celda de comprobación 2 16" xfId="16680" xr:uid="{00000000-0005-0000-0000-00000A410000}"/>
    <cellStyle name="Celda de comprobación 2 17" xfId="16681" xr:uid="{00000000-0005-0000-0000-00000B410000}"/>
    <cellStyle name="Celda de comprobación 2 18" xfId="16682" xr:uid="{00000000-0005-0000-0000-00000C410000}"/>
    <cellStyle name="Celda de comprobación 2 19" xfId="16683" xr:uid="{00000000-0005-0000-0000-00000D410000}"/>
    <cellStyle name="Celda de comprobación 2 2" xfId="16684" xr:uid="{00000000-0005-0000-0000-00000E410000}"/>
    <cellStyle name="Celda de comprobación 2 20" xfId="16685" xr:uid="{00000000-0005-0000-0000-00000F410000}"/>
    <cellStyle name="Celda de comprobación 2 21" xfId="16686" xr:uid="{00000000-0005-0000-0000-000010410000}"/>
    <cellStyle name="Celda de comprobación 2 22" xfId="16687" xr:uid="{00000000-0005-0000-0000-000011410000}"/>
    <cellStyle name="Celda de comprobación 2 23" xfId="16688" xr:uid="{00000000-0005-0000-0000-000012410000}"/>
    <cellStyle name="Celda de comprobación 2 24" xfId="16689" xr:uid="{00000000-0005-0000-0000-000013410000}"/>
    <cellStyle name="Celda de comprobación 2 25" xfId="16690" xr:uid="{00000000-0005-0000-0000-000014410000}"/>
    <cellStyle name="Celda de comprobación 2 26" xfId="16691" xr:uid="{00000000-0005-0000-0000-000015410000}"/>
    <cellStyle name="Celda de comprobación 2 27" xfId="16692" xr:uid="{00000000-0005-0000-0000-000016410000}"/>
    <cellStyle name="Celda de comprobación 2 28" xfId="16693" xr:uid="{00000000-0005-0000-0000-000017410000}"/>
    <cellStyle name="Celda de comprobación 2 29" xfId="16694" xr:uid="{00000000-0005-0000-0000-000018410000}"/>
    <cellStyle name="Celda de comprobación 2 3" xfId="16695" xr:uid="{00000000-0005-0000-0000-000019410000}"/>
    <cellStyle name="Celda de comprobación 2 30" xfId="16696" xr:uid="{00000000-0005-0000-0000-00001A410000}"/>
    <cellStyle name="Celda de comprobación 2 31" xfId="16697" xr:uid="{00000000-0005-0000-0000-00001B410000}"/>
    <cellStyle name="Celda de comprobación 2 32" xfId="16698" xr:uid="{00000000-0005-0000-0000-00001C410000}"/>
    <cellStyle name="Celda de comprobación 2 33" xfId="16699" xr:uid="{00000000-0005-0000-0000-00001D410000}"/>
    <cellStyle name="Celda de comprobación 2 34" xfId="16700" xr:uid="{00000000-0005-0000-0000-00001E410000}"/>
    <cellStyle name="Celda de comprobación 2 35" xfId="16701" xr:uid="{00000000-0005-0000-0000-00001F410000}"/>
    <cellStyle name="Celda de comprobación 2 36" xfId="16702" xr:uid="{00000000-0005-0000-0000-000020410000}"/>
    <cellStyle name="Celda de comprobación 2 37" xfId="16703" xr:uid="{00000000-0005-0000-0000-000021410000}"/>
    <cellStyle name="Celda de comprobación 2 38" xfId="16704" xr:uid="{00000000-0005-0000-0000-000022410000}"/>
    <cellStyle name="Celda de comprobación 2 4" xfId="16705" xr:uid="{00000000-0005-0000-0000-000023410000}"/>
    <cellStyle name="Celda de comprobación 2 5" xfId="16706" xr:uid="{00000000-0005-0000-0000-000024410000}"/>
    <cellStyle name="Celda de comprobación 2 6" xfId="16707" xr:uid="{00000000-0005-0000-0000-000025410000}"/>
    <cellStyle name="Celda de comprobación 2 7" xfId="16708" xr:uid="{00000000-0005-0000-0000-000026410000}"/>
    <cellStyle name="Celda de comprobación 2 8" xfId="16709" xr:uid="{00000000-0005-0000-0000-000027410000}"/>
    <cellStyle name="Celda de comprobación 2 9" xfId="16710" xr:uid="{00000000-0005-0000-0000-000028410000}"/>
    <cellStyle name="Celda de comprobación 3" xfId="16711" xr:uid="{00000000-0005-0000-0000-000029410000}"/>
    <cellStyle name="Celda de comprobación 3 10" xfId="16712" xr:uid="{00000000-0005-0000-0000-00002A410000}"/>
    <cellStyle name="Celda de comprobación 3 11" xfId="16713" xr:uid="{00000000-0005-0000-0000-00002B410000}"/>
    <cellStyle name="Celda de comprobación 3 12" xfId="16714" xr:uid="{00000000-0005-0000-0000-00002C410000}"/>
    <cellStyle name="Celda de comprobación 3 13" xfId="16715" xr:uid="{00000000-0005-0000-0000-00002D410000}"/>
    <cellStyle name="Celda de comprobación 3 14" xfId="16716" xr:uid="{00000000-0005-0000-0000-00002E410000}"/>
    <cellStyle name="Celda de comprobación 3 15" xfId="16717" xr:uid="{00000000-0005-0000-0000-00002F410000}"/>
    <cellStyle name="Celda de comprobación 3 16" xfId="16718" xr:uid="{00000000-0005-0000-0000-000030410000}"/>
    <cellStyle name="Celda de comprobación 3 17" xfId="16719" xr:uid="{00000000-0005-0000-0000-000031410000}"/>
    <cellStyle name="Celda de comprobación 3 18" xfId="16720" xr:uid="{00000000-0005-0000-0000-000032410000}"/>
    <cellStyle name="Celda de comprobación 3 19" xfId="16721" xr:uid="{00000000-0005-0000-0000-000033410000}"/>
    <cellStyle name="Celda de comprobación 3 2" xfId="16722" xr:uid="{00000000-0005-0000-0000-000034410000}"/>
    <cellStyle name="Celda de comprobación 3 20" xfId="16723" xr:uid="{00000000-0005-0000-0000-000035410000}"/>
    <cellStyle name="Celda de comprobación 3 21" xfId="16724" xr:uid="{00000000-0005-0000-0000-000036410000}"/>
    <cellStyle name="Celda de comprobación 3 22" xfId="16725" xr:uid="{00000000-0005-0000-0000-000037410000}"/>
    <cellStyle name="Celda de comprobación 3 23" xfId="16726" xr:uid="{00000000-0005-0000-0000-000038410000}"/>
    <cellStyle name="Celda de comprobación 3 24" xfId="16727" xr:uid="{00000000-0005-0000-0000-000039410000}"/>
    <cellStyle name="Celda de comprobación 3 25" xfId="16728" xr:uid="{00000000-0005-0000-0000-00003A410000}"/>
    <cellStyle name="Celda de comprobación 3 26" xfId="16729" xr:uid="{00000000-0005-0000-0000-00003B410000}"/>
    <cellStyle name="Celda de comprobación 3 27" xfId="16730" xr:uid="{00000000-0005-0000-0000-00003C410000}"/>
    <cellStyle name="Celda de comprobación 3 28" xfId="16731" xr:uid="{00000000-0005-0000-0000-00003D410000}"/>
    <cellStyle name="Celda de comprobación 3 29" xfId="16732" xr:uid="{00000000-0005-0000-0000-00003E410000}"/>
    <cellStyle name="Celda de comprobación 3 3" xfId="16733" xr:uid="{00000000-0005-0000-0000-00003F410000}"/>
    <cellStyle name="Celda de comprobación 3 30" xfId="16734" xr:uid="{00000000-0005-0000-0000-000040410000}"/>
    <cellStyle name="Celda de comprobación 3 31" xfId="16735" xr:uid="{00000000-0005-0000-0000-000041410000}"/>
    <cellStyle name="Celda de comprobación 3 32" xfId="16736" xr:uid="{00000000-0005-0000-0000-000042410000}"/>
    <cellStyle name="Celda de comprobación 3 33" xfId="16737" xr:uid="{00000000-0005-0000-0000-000043410000}"/>
    <cellStyle name="Celda de comprobación 3 34" xfId="16738" xr:uid="{00000000-0005-0000-0000-000044410000}"/>
    <cellStyle name="Celda de comprobación 3 4" xfId="16739" xr:uid="{00000000-0005-0000-0000-000045410000}"/>
    <cellStyle name="Celda de comprobación 3 5" xfId="16740" xr:uid="{00000000-0005-0000-0000-000046410000}"/>
    <cellStyle name="Celda de comprobación 3 6" xfId="16741" xr:uid="{00000000-0005-0000-0000-000047410000}"/>
    <cellStyle name="Celda de comprobación 3 7" xfId="16742" xr:uid="{00000000-0005-0000-0000-000048410000}"/>
    <cellStyle name="Celda de comprobación 3 8" xfId="16743" xr:uid="{00000000-0005-0000-0000-000049410000}"/>
    <cellStyle name="Celda de comprobación 3 9" xfId="16744" xr:uid="{00000000-0005-0000-0000-00004A410000}"/>
    <cellStyle name="Celda de comprobación 4" xfId="16745" xr:uid="{00000000-0005-0000-0000-00004B410000}"/>
    <cellStyle name="Celda de comprobación 4 2" xfId="16746" xr:uid="{00000000-0005-0000-0000-00004C410000}"/>
    <cellStyle name="Celda de comprobación 4 3" xfId="16747" xr:uid="{00000000-0005-0000-0000-00004D410000}"/>
    <cellStyle name="Celda de comprobación 4 4" xfId="16748" xr:uid="{00000000-0005-0000-0000-00004E410000}"/>
    <cellStyle name="Celda de comprobación 5" xfId="16749" xr:uid="{00000000-0005-0000-0000-00004F410000}"/>
    <cellStyle name="Celda de comprobación 5 2" xfId="16750" xr:uid="{00000000-0005-0000-0000-000050410000}"/>
    <cellStyle name="Celda de comprobación 5 3" xfId="16751" xr:uid="{00000000-0005-0000-0000-000051410000}"/>
    <cellStyle name="Celda de comprobación 5 4" xfId="16752" xr:uid="{00000000-0005-0000-0000-000052410000}"/>
    <cellStyle name="Celda de comprobación 6" xfId="16753" xr:uid="{00000000-0005-0000-0000-000053410000}"/>
    <cellStyle name="Celda de comprobación 6 2" xfId="16754" xr:uid="{00000000-0005-0000-0000-000054410000}"/>
    <cellStyle name="Celda de comprobación 7" xfId="16755" xr:uid="{00000000-0005-0000-0000-000055410000}"/>
    <cellStyle name="Celda de comprobación 7 2" xfId="16756" xr:uid="{00000000-0005-0000-0000-000056410000}"/>
    <cellStyle name="Celda de comprobación 8" xfId="16757" xr:uid="{00000000-0005-0000-0000-000057410000}"/>
    <cellStyle name="Celda de comprobación 9" xfId="16758" xr:uid="{00000000-0005-0000-0000-000058410000}"/>
    <cellStyle name="Celda vinculada" xfId="34" builtinId="24" customBuiltin="1"/>
    <cellStyle name="Celda vinculada 10" xfId="16759" xr:uid="{00000000-0005-0000-0000-00005A410000}"/>
    <cellStyle name="Celda vinculada 11" xfId="16760" xr:uid="{00000000-0005-0000-0000-00005B410000}"/>
    <cellStyle name="Celda vinculada 12" xfId="16761" xr:uid="{00000000-0005-0000-0000-00005C410000}"/>
    <cellStyle name="Celda vinculada 13" xfId="16762" xr:uid="{00000000-0005-0000-0000-00005D410000}"/>
    <cellStyle name="Celda vinculada 14" xfId="16763" xr:uid="{00000000-0005-0000-0000-00005E410000}"/>
    <cellStyle name="Celda vinculada 15" xfId="16764" xr:uid="{00000000-0005-0000-0000-00005F410000}"/>
    <cellStyle name="Celda vinculada 16" xfId="16765" xr:uid="{00000000-0005-0000-0000-000060410000}"/>
    <cellStyle name="Celda vinculada 2" xfId="16766" xr:uid="{00000000-0005-0000-0000-000061410000}"/>
    <cellStyle name="Celda vinculada 2 10" xfId="16767" xr:uid="{00000000-0005-0000-0000-000062410000}"/>
    <cellStyle name="Celda vinculada 2 11" xfId="16768" xr:uid="{00000000-0005-0000-0000-000063410000}"/>
    <cellStyle name="Celda vinculada 2 12" xfId="16769" xr:uid="{00000000-0005-0000-0000-000064410000}"/>
    <cellStyle name="Celda vinculada 2 13" xfId="16770" xr:uid="{00000000-0005-0000-0000-000065410000}"/>
    <cellStyle name="Celda vinculada 2 14" xfId="16771" xr:uid="{00000000-0005-0000-0000-000066410000}"/>
    <cellStyle name="Celda vinculada 2 15" xfId="16772" xr:uid="{00000000-0005-0000-0000-000067410000}"/>
    <cellStyle name="Celda vinculada 2 16" xfId="16773" xr:uid="{00000000-0005-0000-0000-000068410000}"/>
    <cellStyle name="Celda vinculada 2 17" xfId="16774" xr:uid="{00000000-0005-0000-0000-000069410000}"/>
    <cellStyle name="Celda vinculada 2 18" xfId="16775" xr:uid="{00000000-0005-0000-0000-00006A410000}"/>
    <cellStyle name="Celda vinculada 2 19" xfId="16776" xr:uid="{00000000-0005-0000-0000-00006B410000}"/>
    <cellStyle name="Celda vinculada 2 2" xfId="16777" xr:uid="{00000000-0005-0000-0000-00006C410000}"/>
    <cellStyle name="Celda vinculada 2 20" xfId="16778" xr:uid="{00000000-0005-0000-0000-00006D410000}"/>
    <cellStyle name="Celda vinculada 2 21" xfId="16779" xr:uid="{00000000-0005-0000-0000-00006E410000}"/>
    <cellStyle name="Celda vinculada 2 22" xfId="16780" xr:uid="{00000000-0005-0000-0000-00006F410000}"/>
    <cellStyle name="Celda vinculada 2 23" xfId="16781" xr:uid="{00000000-0005-0000-0000-000070410000}"/>
    <cellStyle name="Celda vinculada 2 24" xfId="16782" xr:uid="{00000000-0005-0000-0000-000071410000}"/>
    <cellStyle name="Celda vinculada 2 25" xfId="16783" xr:uid="{00000000-0005-0000-0000-000072410000}"/>
    <cellStyle name="Celda vinculada 2 26" xfId="16784" xr:uid="{00000000-0005-0000-0000-000073410000}"/>
    <cellStyle name="Celda vinculada 2 27" xfId="16785" xr:uid="{00000000-0005-0000-0000-000074410000}"/>
    <cellStyle name="Celda vinculada 2 28" xfId="16786" xr:uid="{00000000-0005-0000-0000-000075410000}"/>
    <cellStyle name="Celda vinculada 2 29" xfId="16787" xr:uid="{00000000-0005-0000-0000-000076410000}"/>
    <cellStyle name="Celda vinculada 2 3" xfId="16788" xr:uid="{00000000-0005-0000-0000-000077410000}"/>
    <cellStyle name="Celda vinculada 2 30" xfId="16789" xr:uid="{00000000-0005-0000-0000-000078410000}"/>
    <cellStyle name="Celda vinculada 2 31" xfId="16790" xr:uid="{00000000-0005-0000-0000-000079410000}"/>
    <cellStyle name="Celda vinculada 2 32" xfId="16791" xr:uid="{00000000-0005-0000-0000-00007A410000}"/>
    <cellStyle name="Celda vinculada 2 33" xfId="16792" xr:uid="{00000000-0005-0000-0000-00007B410000}"/>
    <cellStyle name="Celda vinculada 2 34" xfId="16793" xr:uid="{00000000-0005-0000-0000-00007C410000}"/>
    <cellStyle name="Celda vinculada 2 35" xfId="16794" xr:uid="{00000000-0005-0000-0000-00007D410000}"/>
    <cellStyle name="Celda vinculada 2 36" xfId="16795" xr:uid="{00000000-0005-0000-0000-00007E410000}"/>
    <cellStyle name="Celda vinculada 2 37" xfId="16796" xr:uid="{00000000-0005-0000-0000-00007F410000}"/>
    <cellStyle name="Celda vinculada 2 38" xfId="16797" xr:uid="{00000000-0005-0000-0000-000080410000}"/>
    <cellStyle name="Celda vinculada 2 4" xfId="16798" xr:uid="{00000000-0005-0000-0000-000081410000}"/>
    <cellStyle name="Celda vinculada 2 5" xfId="16799" xr:uid="{00000000-0005-0000-0000-000082410000}"/>
    <cellStyle name="Celda vinculada 2 6" xfId="16800" xr:uid="{00000000-0005-0000-0000-000083410000}"/>
    <cellStyle name="Celda vinculada 2 7" xfId="16801" xr:uid="{00000000-0005-0000-0000-000084410000}"/>
    <cellStyle name="Celda vinculada 2 8" xfId="16802" xr:uid="{00000000-0005-0000-0000-000085410000}"/>
    <cellStyle name="Celda vinculada 2 9" xfId="16803" xr:uid="{00000000-0005-0000-0000-000086410000}"/>
    <cellStyle name="Celda vinculada 3" xfId="16804" xr:uid="{00000000-0005-0000-0000-000087410000}"/>
    <cellStyle name="Celda vinculada 3 10" xfId="16805" xr:uid="{00000000-0005-0000-0000-000088410000}"/>
    <cellStyle name="Celda vinculada 3 11" xfId="16806" xr:uid="{00000000-0005-0000-0000-000089410000}"/>
    <cellStyle name="Celda vinculada 3 12" xfId="16807" xr:uid="{00000000-0005-0000-0000-00008A410000}"/>
    <cellStyle name="Celda vinculada 3 13" xfId="16808" xr:uid="{00000000-0005-0000-0000-00008B410000}"/>
    <cellStyle name="Celda vinculada 3 14" xfId="16809" xr:uid="{00000000-0005-0000-0000-00008C410000}"/>
    <cellStyle name="Celda vinculada 3 15" xfId="16810" xr:uid="{00000000-0005-0000-0000-00008D410000}"/>
    <cellStyle name="Celda vinculada 3 16" xfId="16811" xr:uid="{00000000-0005-0000-0000-00008E410000}"/>
    <cellStyle name="Celda vinculada 3 17" xfId="16812" xr:uid="{00000000-0005-0000-0000-00008F410000}"/>
    <cellStyle name="Celda vinculada 3 18" xfId="16813" xr:uid="{00000000-0005-0000-0000-000090410000}"/>
    <cellStyle name="Celda vinculada 3 19" xfId="16814" xr:uid="{00000000-0005-0000-0000-000091410000}"/>
    <cellStyle name="Celda vinculada 3 2" xfId="16815" xr:uid="{00000000-0005-0000-0000-000092410000}"/>
    <cellStyle name="Celda vinculada 3 20" xfId="16816" xr:uid="{00000000-0005-0000-0000-000093410000}"/>
    <cellStyle name="Celda vinculada 3 21" xfId="16817" xr:uid="{00000000-0005-0000-0000-000094410000}"/>
    <cellStyle name="Celda vinculada 3 22" xfId="16818" xr:uid="{00000000-0005-0000-0000-000095410000}"/>
    <cellStyle name="Celda vinculada 3 23" xfId="16819" xr:uid="{00000000-0005-0000-0000-000096410000}"/>
    <cellStyle name="Celda vinculada 3 24" xfId="16820" xr:uid="{00000000-0005-0000-0000-000097410000}"/>
    <cellStyle name="Celda vinculada 3 25" xfId="16821" xr:uid="{00000000-0005-0000-0000-000098410000}"/>
    <cellStyle name="Celda vinculada 3 26" xfId="16822" xr:uid="{00000000-0005-0000-0000-000099410000}"/>
    <cellStyle name="Celda vinculada 3 27" xfId="16823" xr:uid="{00000000-0005-0000-0000-00009A410000}"/>
    <cellStyle name="Celda vinculada 3 28" xfId="16824" xr:uid="{00000000-0005-0000-0000-00009B410000}"/>
    <cellStyle name="Celda vinculada 3 29" xfId="16825" xr:uid="{00000000-0005-0000-0000-00009C410000}"/>
    <cellStyle name="Celda vinculada 3 3" xfId="16826" xr:uid="{00000000-0005-0000-0000-00009D410000}"/>
    <cellStyle name="Celda vinculada 3 30" xfId="16827" xr:uid="{00000000-0005-0000-0000-00009E410000}"/>
    <cellStyle name="Celda vinculada 3 31" xfId="16828" xr:uid="{00000000-0005-0000-0000-00009F410000}"/>
    <cellStyle name="Celda vinculada 3 32" xfId="16829" xr:uid="{00000000-0005-0000-0000-0000A0410000}"/>
    <cellStyle name="Celda vinculada 3 33" xfId="16830" xr:uid="{00000000-0005-0000-0000-0000A1410000}"/>
    <cellStyle name="Celda vinculada 3 34" xfId="16831" xr:uid="{00000000-0005-0000-0000-0000A2410000}"/>
    <cellStyle name="Celda vinculada 3 4" xfId="16832" xr:uid="{00000000-0005-0000-0000-0000A3410000}"/>
    <cellStyle name="Celda vinculada 3 5" xfId="16833" xr:uid="{00000000-0005-0000-0000-0000A4410000}"/>
    <cellStyle name="Celda vinculada 3 6" xfId="16834" xr:uid="{00000000-0005-0000-0000-0000A5410000}"/>
    <cellStyle name="Celda vinculada 3 7" xfId="16835" xr:uid="{00000000-0005-0000-0000-0000A6410000}"/>
    <cellStyle name="Celda vinculada 3 8" xfId="16836" xr:uid="{00000000-0005-0000-0000-0000A7410000}"/>
    <cellStyle name="Celda vinculada 3 9" xfId="16837" xr:uid="{00000000-0005-0000-0000-0000A8410000}"/>
    <cellStyle name="Celda vinculada 4" xfId="16838" xr:uid="{00000000-0005-0000-0000-0000A9410000}"/>
    <cellStyle name="Celda vinculada 4 2" xfId="16839" xr:uid="{00000000-0005-0000-0000-0000AA410000}"/>
    <cellStyle name="Celda vinculada 4 3" xfId="16840" xr:uid="{00000000-0005-0000-0000-0000AB410000}"/>
    <cellStyle name="Celda vinculada 4 4" xfId="16841" xr:uid="{00000000-0005-0000-0000-0000AC410000}"/>
    <cellStyle name="Celda vinculada 5" xfId="16842" xr:uid="{00000000-0005-0000-0000-0000AD410000}"/>
    <cellStyle name="Celda vinculada 5 2" xfId="16843" xr:uid="{00000000-0005-0000-0000-0000AE410000}"/>
    <cellStyle name="Celda vinculada 5 3" xfId="16844" xr:uid="{00000000-0005-0000-0000-0000AF410000}"/>
    <cellStyle name="Celda vinculada 5 4" xfId="16845" xr:uid="{00000000-0005-0000-0000-0000B0410000}"/>
    <cellStyle name="Celda vinculada 6" xfId="16846" xr:uid="{00000000-0005-0000-0000-0000B1410000}"/>
    <cellStyle name="Celda vinculada 6 2" xfId="16847" xr:uid="{00000000-0005-0000-0000-0000B2410000}"/>
    <cellStyle name="Celda vinculada 7" xfId="16848" xr:uid="{00000000-0005-0000-0000-0000B3410000}"/>
    <cellStyle name="Celda vinculada 7 2" xfId="16849" xr:uid="{00000000-0005-0000-0000-0000B4410000}"/>
    <cellStyle name="Celda vinculada 8" xfId="16850" xr:uid="{00000000-0005-0000-0000-0000B5410000}"/>
    <cellStyle name="Celda vinculada 9" xfId="16851" xr:uid="{00000000-0005-0000-0000-0000B6410000}"/>
    <cellStyle name="CélulaBase" xfId="16852" xr:uid="{00000000-0005-0000-0000-0000B7410000}"/>
    <cellStyle name="Cents" xfId="16853" xr:uid="{00000000-0005-0000-0000-0000B8410000}"/>
    <cellStyle name="Cents 2" xfId="16854" xr:uid="{00000000-0005-0000-0000-0000B9410000}"/>
    <cellStyle name="ChartingText" xfId="16855" xr:uid="{00000000-0005-0000-0000-0000BA410000}"/>
    <cellStyle name="ChartingText 2" xfId="16856" xr:uid="{00000000-0005-0000-0000-0000BB410000}"/>
    <cellStyle name="ChartingText 3" xfId="16857" xr:uid="{00000000-0005-0000-0000-0000BC410000}"/>
    <cellStyle name="ChartingText 4" xfId="16858" xr:uid="{00000000-0005-0000-0000-0000BD410000}"/>
    <cellStyle name="check" xfId="16859" xr:uid="{00000000-0005-0000-0000-0000BE410000}"/>
    <cellStyle name="check 10" xfId="16860" xr:uid="{00000000-0005-0000-0000-0000BF410000}"/>
    <cellStyle name="check 10 10" xfId="16861" xr:uid="{00000000-0005-0000-0000-0000C0410000}"/>
    <cellStyle name="check 10 11" xfId="16862" xr:uid="{00000000-0005-0000-0000-0000C1410000}"/>
    <cellStyle name="check 10 12" xfId="16863" xr:uid="{00000000-0005-0000-0000-0000C2410000}"/>
    <cellStyle name="check 10 13" xfId="16864" xr:uid="{00000000-0005-0000-0000-0000C3410000}"/>
    <cellStyle name="check 10 2" xfId="16865" xr:uid="{00000000-0005-0000-0000-0000C4410000}"/>
    <cellStyle name="check 10 2 10" xfId="16866" xr:uid="{00000000-0005-0000-0000-0000C5410000}"/>
    <cellStyle name="check 10 2 11" xfId="16867" xr:uid="{00000000-0005-0000-0000-0000C6410000}"/>
    <cellStyle name="check 10 2 12" xfId="16868" xr:uid="{00000000-0005-0000-0000-0000C7410000}"/>
    <cellStyle name="check 10 2 2" xfId="16869" xr:uid="{00000000-0005-0000-0000-0000C8410000}"/>
    <cellStyle name="check 10 2 2 10" xfId="16870" xr:uid="{00000000-0005-0000-0000-0000C9410000}"/>
    <cellStyle name="check 10 2 2 2" xfId="16871" xr:uid="{00000000-0005-0000-0000-0000CA410000}"/>
    <cellStyle name="check 10 2 2 3" xfId="16872" xr:uid="{00000000-0005-0000-0000-0000CB410000}"/>
    <cellStyle name="check 10 2 2 4" xfId="16873" xr:uid="{00000000-0005-0000-0000-0000CC410000}"/>
    <cellStyle name="check 10 2 2 5" xfId="16874" xr:uid="{00000000-0005-0000-0000-0000CD410000}"/>
    <cellStyle name="check 10 2 2 6" xfId="16875" xr:uid="{00000000-0005-0000-0000-0000CE410000}"/>
    <cellStyle name="check 10 2 2 7" xfId="16876" xr:uid="{00000000-0005-0000-0000-0000CF410000}"/>
    <cellStyle name="check 10 2 2 8" xfId="16877" xr:uid="{00000000-0005-0000-0000-0000D0410000}"/>
    <cellStyle name="check 10 2 2 9" xfId="16878" xr:uid="{00000000-0005-0000-0000-0000D1410000}"/>
    <cellStyle name="check 10 2 3" xfId="16879" xr:uid="{00000000-0005-0000-0000-0000D2410000}"/>
    <cellStyle name="check 10 2 4" xfId="16880" xr:uid="{00000000-0005-0000-0000-0000D3410000}"/>
    <cellStyle name="check 10 2 5" xfId="16881" xr:uid="{00000000-0005-0000-0000-0000D4410000}"/>
    <cellStyle name="check 10 2 6" xfId="16882" xr:uid="{00000000-0005-0000-0000-0000D5410000}"/>
    <cellStyle name="check 10 2 7" xfId="16883" xr:uid="{00000000-0005-0000-0000-0000D6410000}"/>
    <cellStyle name="check 10 2 8" xfId="16884" xr:uid="{00000000-0005-0000-0000-0000D7410000}"/>
    <cellStyle name="check 10 2 9" xfId="16885" xr:uid="{00000000-0005-0000-0000-0000D8410000}"/>
    <cellStyle name="check 10 3" xfId="16886" xr:uid="{00000000-0005-0000-0000-0000D9410000}"/>
    <cellStyle name="check 10 3 10" xfId="16887" xr:uid="{00000000-0005-0000-0000-0000DA410000}"/>
    <cellStyle name="check 10 3 11" xfId="16888" xr:uid="{00000000-0005-0000-0000-0000DB410000}"/>
    <cellStyle name="check 10 3 2" xfId="16889" xr:uid="{00000000-0005-0000-0000-0000DC410000}"/>
    <cellStyle name="check 10 3 3" xfId="16890" xr:uid="{00000000-0005-0000-0000-0000DD410000}"/>
    <cellStyle name="check 10 3 4" xfId="16891" xr:uid="{00000000-0005-0000-0000-0000DE410000}"/>
    <cellStyle name="check 10 3 5" xfId="16892" xr:uid="{00000000-0005-0000-0000-0000DF410000}"/>
    <cellStyle name="check 10 3 6" xfId="16893" xr:uid="{00000000-0005-0000-0000-0000E0410000}"/>
    <cellStyle name="check 10 3 7" xfId="16894" xr:uid="{00000000-0005-0000-0000-0000E1410000}"/>
    <cellStyle name="check 10 3 8" xfId="16895" xr:uid="{00000000-0005-0000-0000-0000E2410000}"/>
    <cellStyle name="check 10 3 9" xfId="16896" xr:uid="{00000000-0005-0000-0000-0000E3410000}"/>
    <cellStyle name="check 10 4" xfId="16897" xr:uid="{00000000-0005-0000-0000-0000E4410000}"/>
    <cellStyle name="check 10 5" xfId="16898" xr:uid="{00000000-0005-0000-0000-0000E5410000}"/>
    <cellStyle name="check 10 6" xfId="16899" xr:uid="{00000000-0005-0000-0000-0000E6410000}"/>
    <cellStyle name="check 10 7" xfId="16900" xr:uid="{00000000-0005-0000-0000-0000E7410000}"/>
    <cellStyle name="check 10 8" xfId="16901" xr:uid="{00000000-0005-0000-0000-0000E8410000}"/>
    <cellStyle name="check 10 9" xfId="16902" xr:uid="{00000000-0005-0000-0000-0000E9410000}"/>
    <cellStyle name="check 11" xfId="16903" xr:uid="{00000000-0005-0000-0000-0000EA410000}"/>
    <cellStyle name="check 11 10" xfId="16904" xr:uid="{00000000-0005-0000-0000-0000EB410000}"/>
    <cellStyle name="check 11 11" xfId="16905" xr:uid="{00000000-0005-0000-0000-0000EC410000}"/>
    <cellStyle name="check 11 12" xfId="16906" xr:uid="{00000000-0005-0000-0000-0000ED410000}"/>
    <cellStyle name="check 11 13" xfId="16907" xr:uid="{00000000-0005-0000-0000-0000EE410000}"/>
    <cellStyle name="check 11 2" xfId="16908" xr:uid="{00000000-0005-0000-0000-0000EF410000}"/>
    <cellStyle name="check 11 2 10" xfId="16909" xr:uid="{00000000-0005-0000-0000-0000F0410000}"/>
    <cellStyle name="check 11 2 11" xfId="16910" xr:uid="{00000000-0005-0000-0000-0000F1410000}"/>
    <cellStyle name="check 11 2 12" xfId="16911" xr:uid="{00000000-0005-0000-0000-0000F2410000}"/>
    <cellStyle name="check 11 2 2" xfId="16912" xr:uid="{00000000-0005-0000-0000-0000F3410000}"/>
    <cellStyle name="check 11 2 2 10" xfId="16913" xr:uid="{00000000-0005-0000-0000-0000F4410000}"/>
    <cellStyle name="check 11 2 2 2" xfId="16914" xr:uid="{00000000-0005-0000-0000-0000F5410000}"/>
    <cellStyle name="check 11 2 2 3" xfId="16915" xr:uid="{00000000-0005-0000-0000-0000F6410000}"/>
    <cellStyle name="check 11 2 2 4" xfId="16916" xr:uid="{00000000-0005-0000-0000-0000F7410000}"/>
    <cellStyle name="check 11 2 2 5" xfId="16917" xr:uid="{00000000-0005-0000-0000-0000F8410000}"/>
    <cellStyle name="check 11 2 2 6" xfId="16918" xr:uid="{00000000-0005-0000-0000-0000F9410000}"/>
    <cellStyle name="check 11 2 2 7" xfId="16919" xr:uid="{00000000-0005-0000-0000-0000FA410000}"/>
    <cellStyle name="check 11 2 2 8" xfId="16920" xr:uid="{00000000-0005-0000-0000-0000FB410000}"/>
    <cellStyle name="check 11 2 2 9" xfId="16921" xr:uid="{00000000-0005-0000-0000-0000FC410000}"/>
    <cellStyle name="check 11 2 3" xfId="16922" xr:uid="{00000000-0005-0000-0000-0000FD410000}"/>
    <cellStyle name="check 11 2 4" xfId="16923" xr:uid="{00000000-0005-0000-0000-0000FE410000}"/>
    <cellStyle name="check 11 2 5" xfId="16924" xr:uid="{00000000-0005-0000-0000-0000FF410000}"/>
    <cellStyle name="check 11 2 6" xfId="16925" xr:uid="{00000000-0005-0000-0000-000000420000}"/>
    <cellStyle name="check 11 2 7" xfId="16926" xr:uid="{00000000-0005-0000-0000-000001420000}"/>
    <cellStyle name="check 11 2 8" xfId="16927" xr:uid="{00000000-0005-0000-0000-000002420000}"/>
    <cellStyle name="check 11 2 9" xfId="16928" xr:uid="{00000000-0005-0000-0000-000003420000}"/>
    <cellStyle name="check 11 3" xfId="16929" xr:uid="{00000000-0005-0000-0000-000004420000}"/>
    <cellStyle name="check 11 3 10" xfId="16930" xr:uid="{00000000-0005-0000-0000-000005420000}"/>
    <cellStyle name="check 11 3 11" xfId="16931" xr:uid="{00000000-0005-0000-0000-000006420000}"/>
    <cellStyle name="check 11 3 2" xfId="16932" xr:uid="{00000000-0005-0000-0000-000007420000}"/>
    <cellStyle name="check 11 3 3" xfId="16933" xr:uid="{00000000-0005-0000-0000-000008420000}"/>
    <cellStyle name="check 11 3 4" xfId="16934" xr:uid="{00000000-0005-0000-0000-000009420000}"/>
    <cellStyle name="check 11 3 5" xfId="16935" xr:uid="{00000000-0005-0000-0000-00000A420000}"/>
    <cellStyle name="check 11 3 6" xfId="16936" xr:uid="{00000000-0005-0000-0000-00000B420000}"/>
    <cellStyle name="check 11 3 7" xfId="16937" xr:uid="{00000000-0005-0000-0000-00000C420000}"/>
    <cellStyle name="check 11 3 8" xfId="16938" xr:uid="{00000000-0005-0000-0000-00000D420000}"/>
    <cellStyle name="check 11 3 9" xfId="16939" xr:uid="{00000000-0005-0000-0000-00000E420000}"/>
    <cellStyle name="check 11 4" xfId="16940" xr:uid="{00000000-0005-0000-0000-00000F420000}"/>
    <cellStyle name="check 11 5" xfId="16941" xr:uid="{00000000-0005-0000-0000-000010420000}"/>
    <cellStyle name="check 11 6" xfId="16942" xr:uid="{00000000-0005-0000-0000-000011420000}"/>
    <cellStyle name="check 11 7" xfId="16943" xr:uid="{00000000-0005-0000-0000-000012420000}"/>
    <cellStyle name="check 11 8" xfId="16944" xr:uid="{00000000-0005-0000-0000-000013420000}"/>
    <cellStyle name="check 11 9" xfId="16945" xr:uid="{00000000-0005-0000-0000-000014420000}"/>
    <cellStyle name="check 12" xfId="16946" xr:uid="{00000000-0005-0000-0000-000015420000}"/>
    <cellStyle name="check 12 10" xfId="16947" xr:uid="{00000000-0005-0000-0000-000016420000}"/>
    <cellStyle name="check 12 11" xfId="16948" xr:uid="{00000000-0005-0000-0000-000017420000}"/>
    <cellStyle name="check 12 12" xfId="16949" xr:uid="{00000000-0005-0000-0000-000018420000}"/>
    <cellStyle name="check 12 13" xfId="16950" xr:uid="{00000000-0005-0000-0000-000019420000}"/>
    <cellStyle name="check 12 2" xfId="16951" xr:uid="{00000000-0005-0000-0000-00001A420000}"/>
    <cellStyle name="check 12 2 10" xfId="16952" xr:uid="{00000000-0005-0000-0000-00001B420000}"/>
    <cellStyle name="check 12 2 11" xfId="16953" xr:uid="{00000000-0005-0000-0000-00001C420000}"/>
    <cellStyle name="check 12 2 12" xfId="16954" xr:uid="{00000000-0005-0000-0000-00001D420000}"/>
    <cellStyle name="check 12 2 2" xfId="16955" xr:uid="{00000000-0005-0000-0000-00001E420000}"/>
    <cellStyle name="check 12 2 2 10" xfId="16956" xr:uid="{00000000-0005-0000-0000-00001F420000}"/>
    <cellStyle name="check 12 2 2 2" xfId="16957" xr:uid="{00000000-0005-0000-0000-000020420000}"/>
    <cellStyle name="check 12 2 2 3" xfId="16958" xr:uid="{00000000-0005-0000-0000-000021420000}"/>
    <cellStyle name="check 12 2 2 4" xfId="16959" xr:uid="{00000000-0005-0000-0000-000022420000}"/>
    <cellStyle name="check 12 2 2 5" xfId="16960" xr:uid="{00000000-0005-0000-0000-000023420000}"/>
    <cellStyle name="check 12 2 2 6" xfId="16961" xr:uid="{00000000-0005-0000-0000-000024420000}"/>
    <cellStyle name="check 12 2 2 7" xfId="16962" xr:uid="{00000000-0005-0000-0000-000025420000}"/>
    <cellStyle name="check 12 2 2 8" xfId="16963" xr:uid="{00000000-0005-0000-0000-000026420000}"/>
    <cellStyle name="check 12 2 2 9" xfId="16964" xr:uid="{00000000-0005-0000-0000-000027420000}"/>
    <cellStyle name="check 12 2 3" xfId="16965" xr:uid="{00000000-0005-0000-0000-000028420000}"/>
    <cellStyle name="check 12 2 4" xfId="16966" xr:uid="{00000000-0005-0000-0000-000029420000}"/>
    <cellStyle name="check 12 2 5" xfId="16967" xr:uid="{00000000-0005-0000-0000-00002A420000}"/>
    <cellStyle name="check 12 2 6" xfId="16968" xr:uid="{00000000-0005-0000-0000-00002B420000}"/>
    <cellStyle name="check 12 2 7" xfId="16969" xr:uid="{00000000-0005-0000-0000-00002C420000}"/>
    <cellStyle name="check 12 2 8" xfId="16970" xr:uid="{00000000-0005-0000-0000-00002D420000}"/>
    <cellStyle name="check 12 2 9" xfId="16971" xr:uid="{00000000-0005-0000-0000-00002E420000}"/>
    <cellStyle name="check 12 3" xfId="16972" xr:uid="{00000000-0005-0000-0000-00002F420000}"/>
    <cellStyle name="check 12 3 10" xfId="16973" xr:uid="{00000000-0005-0000-0000-000030420000}"/>
    <cellStyle name="check 12 3 11" xfId="16974" xr:uid="{00000000-0005-0000-0000-000031420000}"/>
    <cellStyle name="check 12 3 2" xfId="16975" xr:uid="{00000000-0005-0000-0000-000032420000}"/>
    <cellStyle name="check 12 3 3" xfId="16976" xr:uid="{00000000-0005-0000-0000-000033420000}"/>
    <cellStyle name="check 12 3 4" xfId="16977" xr:uid="{00000000-0005-0000-0000-000034420000}"/>
    <cellStyle name="check 12 3 5" xfId="16978" xr:uid="{00000000-0005-0000-0000-000035420000}"/>
    <cellStyle name="check 12 3 6" xfId="16979" xr:uid="{00000000-0005-0000-0000-000036420000}"/>
    <cellStyle name="check 12 3 7" xfId="16980" xr:uid="{00000000-0005-0000-0000-000037420000}"/>
    <cellStyle name="check 12 3 8" xfId="16981" xr:uid="{00000000-0005-0000-0000-000038420000}"/>
    <cellStyle name="check 12 3 9" xfId="16982" xr:uid="{00000000-0005-0000-0000-000039420000}"/>
    <cellStyle name="check 12 4" xfId="16983" xr:uid="{00000000-0005-0000-0000-00003A420000}"/>
    <cellStyle name="check 12 5" xfId="16984" xr:uid="{00000000-0005-0000-0000-00003B420000}"/>
    <cellStyle name="check 12 6" xfId="16985" xr:uid="{00000000-0005-0000-0000-00003C420000}"/>
    <cellStyle name="check 12 7" xfId="16986" xr:uid="{00000000-0005-0000-0000-00003D420000}"/>
    <cellStyle name="check 12 8" xfId="16987" xr:uid="{00000000-0005-0000-0000-00003E420000}"/>
    <cellStyle name="check 12 9" xfId="16988" xr:uid="{00000000-0005-0000-0000-00003F420000}"/>
    <cellStyle name="check 13" xfId="16989" xr:uid="{00000000-0005-0000-0000-000040420000}"/>
    <cellStyle name="check 13 10" xfId="16990" xr:uid="{00000000-0005-0000-0000-000041420000}"/>
    <cellStyle name="check 13 11" xfId="16991" xr:uid="{00000000-0005-0000-0000-000042420000}"/>
    <cellStyle name="check 13 12" xfId="16992" xr:uid="{00000000-0005-0000-0000-000043420000}"/>
    <cellStyle name="check 13 13" xfId="16993" xr:uid="{00000000-0005-0000-0000-000044420000}"/>
    <cellStyle name="check 13 2" xfId="16994" xr:uid="{00000000-0005-0000-0000-000045420000}"/>
    <cellStyle name="check 13 2 10" xfId="16995" xr:uid="{00000000-0005-0000-0000-000046420000}"/>
    <cellStyle name="check 13 2 11" xfId="16996" xr:uid="{00000000-0005-0000-0000-000047420000}"/>
    <cellStyle name="check 13 2 12" xfId="16997" xr:uid="{00000000-0005-0000-0000-000048420000}"/>
    <cellStyle name="check 13 2 2" xfId="16998" xr:uid="{00000000-0005-0000-0000-000049420000}"/>
    <cellStyle name="check 13 2 2 10" xfId="16999" xr:uid="{00000000-0005-0000-0000-00004A420000}"/>
    <cellStyle name="check 13 2 2 2" xfId="17000" xr:uid="{00000000-0005-0000-0000-00004B420000}"/>
    <cellStyle name="check 13 2 2 3" xfId="17001" xr:uid="{00000000-0005-0000-0000-00004C420000}"/>
    <cellStyle name="check 13 2 2 4" xfId="17002" xr:uid="{00000000-0005-0000-0000-00004D420000}"/>
    <cellStyle name="check 13 2 2 5" xfId="17003" xr:uid="{00000000-0005-0000-0000-00004E420000}"/>
    <cellStyle name="check 13 2 2 6" xfId="17004" xr:uid="{00000000-0005-0000-0000-00004F420000}"/>
    <cellStyle name="check 13 2 2 7" xfId="17005" xr:uid="{00000000-0005-0000-0000-000050420000}"/>
    <cellStyle name="check 13 2 2 8" xfId="17006" xr:uid="{00000000-0005-0000-0000-000051420000}"/>
    <cellStyle name="check 13 2 2 9" xfId="17007" xr:uid="{00000000-0005-0000-0000-000052420000}"/>
    <cellStyle name="check 13 2 3" xfId="17008" xr:uid="{00000000-0005-0000-0000-000053420000}"/>
    <cellStyle name="check 13 2 4" xfId="17009" xr:uid="{00000000-0005-0000-0000-000054420000}"/>
    <cellStyle name="check 13 2 5" xfId="17010" xr:uid="{00000000-0005-0000-0000-000055420000}"/>
    <cellStyle name="check 13 2 6" xfId="17011" xr:uid="{00000000-0005-0000-0000-000056420000}"/>
    <cellStyle name="check 13 2 7" xfId="17012" xr:uid="{00000000-0005-0000-0000-000057420000}"/>
    <cellStyle name="check 13 2 8" xfId="17013" xr:uid="{00000000-0005-0000-0000-000058420000}"/>
    <cellStyle name="check 13 2 9" xfId="17014" xr:uid="{00000000-0005-0000-0000-000059420000}"/>
    <cellStyle name="check 13 3" xfId="17015" xr:uid="{00000000-0005-0000-0000-00005A420000}"/>
    <cellStyle name="check 13 3 10" xfId="17016" xr:uid="{00000000-0005-0000-0000-00005B420000}"/>
    <cellStyle name="check 13 3 11" xfId="17017" xr:uid="{00000000-0005-0000-0000-00005C420000}"/>
    <cellStyle name="check 13 3 2" xfId="17018" xr:uid="{00000000-0005-0000-0000-00005D420000}"/>
    <cellStyle name="check 13 3 3" xfId="17019" xr:uid="{00000000-0005-0000-0000-00005E420000}"/>
    <cellStyle name="check 13 3 4" xfId="17020" xr:uid="{00000000-0005-0000-0000-00005F420000}"/>
    <cellStyle name="check 13 3 5" xfId="17021" xr:uid="{00000000-0005-0000-0000-000060420000}"/>
    <cellStyle name="check 13 3 6" xfId="17022" xr:uid="{00000000-0005-0000-0000-000061420000}"/>
    <cellStyle name="check 13 3 7" xfId="17023" xr:uid="{00000000-0005-0000-0000-000062420000}"/>
    <cellStyle name="check 13 3 8" xfId="17024" xr:uid="{00000000-0005-0000-0000-000063420000}"/>
    <cellStyle name="check 13 3 9" xfId="17025" xr:uid="{00000000-0005-0000-0000-000064420000}"/>
    <cellStyle name="check 13 4" xfId="17026" xr:uid="{00000000-0005-0000-0000-000065420000}"/>
    <cellStyle name="check 13 5" xfId="17027" xr:uid="{00000000-0005-0000-0000-000066420000}"/>
    <cellStyle name="check 13 6" xfId="17028" xr:uid="{00000000-0005-0000-0000-000067420000}"/>
    <cellStyle name="check 13 7" xfId="17029" xr:uid="{00000000-0005-0000-0000-000068420000}"/>
    <cellStyle name="check 13 8" xfId="17030" xr:uid="{00000000-0005-0000-0000-000069420000}"/>
    <cellStyle name="check 13 9" xfId="17031" xr:uid="{00000000-0005-0000-0000-00006A420000}"/>
    <cellStyle name="check 14" xfId="17032" xr:uid="{00000000-0005-0000-0000-00006B420000}"/>
    <cellStyle name="check 14 10" xfId="17033" xr:uid="{00000000-0005-0000-0000-00006C420000}"/>
    <cellStyle name="check 14 11" xfId="17034" xr:uid="{00000000-0005-0000-0000-00006D420000}"/>
    <cellStyle name="check 14 12" xfId="17035" xr:uid="{00000000-0005-0000-0000-00006E420000}"/>
    <cellStyle name="check 14 2" xfId="17036" xr:uid="{00000000-0005-0000-0000-00006F420000}"/>
    <cellStyle name="check 14 2 10" xfId="17037" xr:uid="{00000000-0005-0000-0000-000070420000}"/>
    <cellStyle name="check 14 2 2" xfId="17038" xr:uid="{00000000-0005-0000-0000-000071420000}"/>
    <cellStyle name="check 14 2 3" xfId="17039" xr:uid="{00000000-0005-0000-0000-000072420000}"/>
    <cellStyle name="check 14 2 4" xfId="17040" xr:uid="{00000000-0005-0000-0000-000073420000}"/>
    <cellStyle name="check 14 2 5" xfId="17041" xr:uid="{00000000-0005-0000-0000-000074420000}"/>
    <cellStyle name="check 14 2 6" xfId="17042" xr:uid="{00000000-0005-0000-0000-000075420000}"/>
    <cellStyle name="check 14 2 7" xfId="17043" xr:uid="{00000000-0005-0000-0000-000076420000}"/>
    <cellStyle name="check 14 2 8" xfId="17044" xr:uid="{00000000-0005-0000-0000-000077420000}"/>
    <cellStyle name="check 14 2 9" xfId="17045" xr:uid="{00000000-0005-0000-0000-000078420000}"/>
    <cellStyle name="check 14 3" xfId="17046" xr:uid="{00000000-0005-0000-0000-000079420000}"/>
    <cellStyle name="check 14 4" xfId="17047" xr:uid="{00000000-0005-0000-0000-00007A420000}"/>
    <cellStyle name="check 14 5" xfId="17048" xr:uid="{00000000-0005-0000-0000-00007B420000}"/>
    <cellStyle name="check 14 6" xfId="17049" xr:uid="{00000000-0005-0000-0000-00007C420000}"/>
    <cellStyle name="check 14 7" xfId="17050" xr:uid="{00000000-0005-0000-0000-00007D420000}"/>
    <cellStyle name="check 14 8" xfId="17051" xr:uid="{00000000-0005-0000-0000-00007E420000}"/>
    <cellStyle name="check 14 9" xfId="17052" xr:uid="{00000000-0005-0000-0000-00007F420000}"/>
    <cellStyle name="check 15" xfId="17053" xr:uid="{00000000-0005-0000-0000-000080420000}"/>
    <cellStyle name="check 15 10" xfId="17054" xr:uid="{00000000-0005-0000-0000-000081420000}"/>
    <cellStyle name="check 15 11" xfId="17055" xr:uid="{00000000-0005-0000-0000-000082420000}"/>
    <cellStyle name="check 15 2" xfId="17056" xr:uid="{00000000-0005-0000-0000-000083420000}"/>
    <cellStyle name="check 15 3" xfId="17057" xr:uid="{00000000-0005-0000-0000-000084420000}"/>
    <cellStyle name="check 15 4" xfId="17058" xr:uid="{00000000-0005-0000-0000-000085420000}"/>
    <cellStyle name="check 15 5" xfId="17059" xr:uid="{00000000-0005-0000-0000-000086420000}"/>
    <cellStyle name="check 15 6" xfId="17060" xr:uid="{00000000-0005-0000-0000-000087420000}"/>
    <cellStyle name="check 15 7" xfId="17061" xr:uid="{00000000-0005-0000-0000-000088420000}"/>
    <cellStyle name="check 15 8" xfId="17062" xr:uid="{00000000-0005-0000-0000-000089420000}"/>
    <cellStyle name="check 15 9" xfId="17063" xr:uid="{00000000-0005-0000-0000-00008A420000}"/>
    <cellStyle name="check 16" xfId="17064" xr:uid="{00000000-0005-0000-0000-00008B420000}"/>
    <cellStyle name="check 17" xfId="17065" xr:uid="{00000000-0005-0000-0000-00008C420000}"/>
    <cellStyle name="check 18" xfId="17066" xr:uid="{00000000-0005-0000-0000-00008D420000}"/>
    <cellStyle name="check 19" xfId="17067" xr:uid="{00000000-0005-0000-0000-00008E420000}"/>
    <cellStyle name="check 2" xfId="17068" xr:uid="{00000000-0005-0000-0000-00008F420000}"/>
    <cellStyle name="check 2 10" xfId="17069" xr:uid="{00000000-0005-0000-0000-000090420000}"/>
    <cellStyle name="check 2 10 10" xfId="17070" xr:uid="{00000000-0005-0000-0000-000091420000}"/>
    <cellStyle name="check 2 10 11" xfId="17071" xr:uid="{00000000-0005-0000-0000-000092420000}"/>
    <cellStyle name="check 2 10 12" xfId="17072" xr:uid="{00000000-0005-0000-0000-000093420000}"/>
    <cellStyle name="check 2 10 13" xfId="17073" xr:uid="{00000000-0005-0000-0000-000094420000}"/>
    <cellStyle name="check 2 10 2" xfId="17074" xr:uid="{00000000-0005-0000-0000-000095420000}"/>
    <cellStyle name="check 2 10 2 10" xfId="17075" xr:uid="{00000000-0005-0000-0000-000096420000}"/>
    <cellStyle name="check 2 10 2 11" xfId="17076" xr:uid="{00000000-0005-0000-0000-000097420000}"/>
    <cellStyle name="check 2 10 2 12" xfId="17077" xr:uid="{00000000-0005-0000-0000-000098420000}"/>
    <cellStyle name="check 2 10 2 2" xfId="17078" xr:uid="{00000000-0005-0000-0000-000099420000}"/>
    <cellStyle name="check 2 10 2 2 10" xfId="17079" xr:uid="{00000000-0005-0000-0000-00009A420000}"/>
    <cellStyle name="check 2 10 2 2 2" xfId="17080" xr:uid="{00000000-0005-0000-0000-00009B420000}"/>
    <cellStyle name="check 2 10 2 2 3" xfId="17081" xr:uid="{00000000-0005-0000-0000-00009C420000}"/>
    <cellStyle name="check 2 10 2 2 4" xfId="17082" xr:uid="{00000000-0005-0000-0000-00009D420000}"/>
    <cellStyle name="check 2 10 2 2 5" xfId="17083" xr:uid="{00000000-0005-0000-0000-00009E420000}"/>
    <cellStyle name="check 2 10 2 2 6" xfId="17084" xr:uid="{00000000-0005-0000-0000-00009F420000}"/>
    <cellStyle name="check 2 10 2 2 7" xfId="17085" xr:uid="{00000000-0005-0000-0000-0000A0420000}"/>
    <cellStyle name="check 2 10 2 2 8" xfId="17086" xr:uid="{00000000-0005-0000-0000-0000A1420000}"/>
    <cellStyle name="check 2 10 2 2 9" xfId="17087" xr:uid="{00000000-0005-0000-0000-0000A2420000}"/>
    <cellStyle name="check 2 10 2 3" xfId="17088" xr:uid="{00000000-0005-0000-0000-0000A3420000}"/>
    <cellStyle name="check 2 10 2 4" xfId="17089" xr:uid="{00000000-0005-0000-0000-0000A4420000}"/>
    <cellStyle name="check 2 10 2 5" xfId="17090" xr:uid="{00000000-0005-0000-0000-0000A5420000}"/>
    <cellStyle name="check 2 10 2 6" xfId="17091" xr:uid="{00000000-0005-0000-0000-0000A6420000}"/>
    <cellStyle name="check 2 10 2 7" xfId="17092" xr:uid="{00000000-0005-0000-0000-0000A7420000}"/>
    <cellStyle name="check 2 10 2 8" xfId="17093" xr:uid="{00000000-0005-0000-0000-0000A8420000}"/>
    <cellStyle name="check 2 10 2 9" xfId="17094" xr:uid="{00000000-0005-0000-0000-0000A9420000}"/>
    <cellStyle name="check 2 10 3" xfId="17095" xr:uid="{00000000-0005-0000-0000-0000AA420000}"/>
    <cellStyle name="check 2 10 3 10" xfId="17096" xr:uid="{00000000-0005-0000-0000-0000AB420000}"/>
    <cellStyle name="check 2 10 3 11" xfId="17097" xr:uid="{00000000-0005-0000-0000-0000AC420000}"/>
    <cellStyle name="check 2 10 3 2" xfId="17098" xr:uid="{00000000-0005-0000-0000-0000AD420000}"/>
    <cellStyle name="check 2 10 3 3" xfId="17099" xr:uid="{00000000-0005-0000-0000-0000AE420000}"/>
    <cellStyle name="check 2 10 3 4" xfId="17100" xr:uid="{00000000-0005-0000-0000-0000AF420000}"/>
    <cellStyle name="check 2 10 3 5" xfId="17101" xr:uid="{00000000-0005-0000-0000-0000B0420000}"/>
    <cellStyle name="check 2 10 3 6" xfId="17102" xr:uid="{00000000-0005-0000-0000-0000B1420000}"/>
    <cellStyle name="check 2 10 3 7" xfId="17103" xr:uid="{00000000-0005-0000-0000-0000B2420000}"/>
    <cellStyle name="check 2 10 3 8" xfId="17104" xr:uid="{00000000-0005-0000-0000-0000B3420000}"/>
    <cellStyle name="check 2 10 3 9" xfId="17105" xr:uid="{00000000-0005-0000-0000-0000B4420000}"/>
    <cellStyle name="check 2 10 4" xfId="17106" xr:uid="{00000000-0005-0000-0000-0000B5420000}"/>
    <cellStyle name="check 2 10 5" xfId="17107" xr:uid="{00000000-0005-0000-0000-0000B6420000}"/>
    <cellStyle name="check 2 10 6" xfId="17108" xr:uid="{00000000-0005-0000-0000-0000B7420000}"/>
    <cellStyle name="check 2 10 7" xfId="17109" xr:uid="{00000000-0005-0000-0000-0000B8420000}"/>
    <cellStyle name="check 2 10 8" xfId="17110" xr:uid="{00000000-0005-0000-0000-0000B9420000}"/>
    <cellStyle name="check 2 10 9" xfId="17111" xr:uid="{00000000-0005-0000-0000-0000BA420000}"/>
    <cellStyle name="check 2 11" xfId="17112" xr:uid="{00000000-0005-0000-0000-0000BB420000}"/>
    <cellStyle name="check 2 11 10" xfId="17113" xr:uid="{00000000-0005-0000-0000-0000BC420000}"/>
    <cellStyle name="check 2 11 11" xfId="17114" xr:uid="{00000000-0005-0000-0000-0000BD420000}"/>
    <cellStyle name="check 2 11 12" xfId="17115" xr:uid="{00000000-0005-0000-0000-0000BE420000}"/>
    <cellStyle name="check 2 11 13" xfId="17116" xr:uid="{00000000-0005-0000-0000-0000BF420000}"/>
    <cellStyle name="check 2 11 2" xfId="17117" xr:uid="{00000000-0005-0000-0000-0000C0420000}"/>
    <cellStyle name="check 2 11 2 10" xfId="17118" xr:uid="{00000000-0005-0000-0000-0000C1420000}"/>
    <cellStyle name="check 2 11 2 11" xfId="17119" xr:uid="{00000000-0005-0000-0000-0000C2420000}"/>
    <cellStyle name="check 2 11 2 12" xfId="17120" xr:uid="{00000000-0005-0000-0000-0000C3420000}"/>
    <cellStyle name="check 2 11 2 2" xfId="17121" xr:uid="{00000000-0005-0000-0000-0000C4420000}"/>
    <cellStyle name="check 2 11 2 2 10" xfId="17122" xr:uid="{00000000-0005-0000-0000-0000C5420000}"/>
    <cellStyle name="check 2 11 2 2 2" xfId="17123" xr:uid="{00000000-0005-0000-0000-0000C6420000}"/>
    <cellStyle name="check 2 11 2 2 3" xfId="17124" xr:uid="{00000000-0005-0000-0000-0000C7420000}"/>
    <cellStyle name="check 2 11 2 2 4" xfId="17125" xr:uid="{00000000-0005-0000-0000-0000C8420000}"/>
    <cellStyle name="check 2 11 2 2 5" xfId="17126" xr:uid="{00000000-0005-0000-0000-0000C9420000}"/>
    <cellStyle name="check 2 11 2 2 6" xfId="17127" xr:uid="{00000000-0005-0000-0000-0000CA420000}"/>
    <cellStyle name="check 2 11 2 2 7" xfId="17128" xr:uid="{00000000-0005-0000-0000-0000CB420000}"/>
    <cellStyle name="check 2 11 2 2 8" xfId="17129" xr:uid="{00000000-0005-0000-0000-0000CC420000}"/>
    <cellStyle name="check 2 11 2 2 9" xfId="17130" xr:uid="{00000000-0005-0000-0000-0000CD420000}"/>
    <cellStyle name="check 2 11 2 3" xfId="17131" xr:uid="{00000000-0005-0000-0000-0000CE420000}"/>
    <cellStyle name="check 2 11 2 4" xfId="17132" xr:uid="{00000000-0005-0000-0000-0000CF420000}"/>
    <cellStyle name="check 2 11 2 5" xfId="17133" xr:uid="{00000000-0005-0000-0000-0000D0420000}"/>
    <cellStyle name="check 2 11 2 6" xfId="17134" xr:uid="{00000000-0005-0000-0000-0000D1420000}"/>
    <cellStyle name="check 2 11 2 7" xfId="17135" xr:uid="{00000000-0005-0000-0000-0000D2420000}"/>
    <cellStyle name="check 2 11 2 8" xfId="17136" xr:uid="{00000000-0005-0000-0000-0000D3420000}"/>
    <cellStyle name="check 2 11 2 9" xfId="17137" xr:uid="{00000000-0005-0000-0000-0000D4420000}"/>
    <cellStyle name="check 2 11 3" xfId="17138" xr:uid="{00000000-0005-0000-0000-0000D5420000}"/>
    <cellStyle name="check 2 11 3 10" xfId="17139" xr:uid="{00000000-0005-0000-0000-0000D6420000}"/>
    <cellStyle name="check 2 11 3 11" xfId="17140" xr:uid="{00000000-0005-0000-0000-0000D7420000}"/>
    <cellStyle name="check 2 11 3 2" xfId="17141" xr:uid="{00000000-0005-0000-0000-0000D8420000}"/>
    <cellStyle name="check 2 11 3 3" xfId="17142" xr:uid="{00000000-0005-0000-0000-0000D9420000}"/>
    <cellStyle name="check 2 11 3 4" xfId="17143" xr:uid="{00000000-0005-0000-0000-0000DA420000}"/>
    <cellStyle name="check 2 11 3 5" xfId="17144" xr:uid="{00000000-0005-0000-0000-0000DB420000}"/>
    <cellStyle name="check 2 11 3 6" xfId="17145" xr:uid="{00000000-0005-0000-0000-0000DC420000}"/>
    <cellStyle name="check 2 11 3 7" xfId="17146" xr:uid="{00000000-0005-0000-0000-0000DD420000}"/>
    <cellStyle name="check 2 11 3 8" xfId="17147" xr:uid="{00000000-0005-0000-0000-0000DE420000}"/>
    <cellStyle name="check 2 11 3 9" xfId="17148" xr:uid="{00000000-0005-0000-0000-0000DF420000}"/>
    <cellStyle name="check 2 11 4" xfId="17149" xr:uid="{00000000-0005-0000-0000-0000E0420000}"/>
    <cellStyle name="check 2 11 5" xfId="17150" xr:uid="{00000000-0005-0000-0000-0000E1420000}"/>
    <cellStyle name="check 2 11 6" xfId="17151" xr:uid="{00000000-0005-0000-0000-0000E2420000}"/>
    <cellStyle name="check 2 11 7" xfId="17152" xr:uid="{00000000-0005-0000-0000-0000E3420000}"/>
    <cellStyle name="check 2 11 8" xfId="17153" xr:uid="{00000000-0005-0000-0000-0000E4420000}"/>
    <cellStyle name="check 2 11 9" xfId="17154" xr:uid="{00000000-0005-0000-0000-0000E5420000}"/>
    <cellStyle name="check 2 12" xfId="17155" xr:uid="{00000000-0005-0000-0000-0000E6420000}"/>
    <cellStyle name="check 2 12 10" xfId="17156" xr:uid="{00000000-0005-0000-0000-0000E7420000}"/>
    <cellStyle name="check 2 12 11" xfId="17157" xr:uid="{00000000-0005-0000-0000-0000E8420000}"/>
    <cellStyle name="check 2 12 12" xfId="17158" xr:uid="{00000000-0005-0000-0000-0000E9420000}"/>
    <cellStyle name="check 2 12 13" xfId="17159" xr:uid="{00000000-0005-0000-0000-0000EA420000}"/>
    <cellStyle name="check 2 12 2" xfId="17160" xr:uid="{00000000-0005-0000-0000-0000EB420000}"/>
    <cellStyle name="check 2 12 2 10" xfId="17161" xr:uid="{00000000-0005-0000-0000-0000EC420000}"/>
    <cellStyle name="check 2 12 2 11" xfId="17162" xr:uid="{00000000-0005-0000-0000-0000ED420000}"/>
    <cellStyle name="check 2 12 2 12" xfId="17163" xr:uid="{00000000-0005-0000-0000-0000EE420000}"/>
    <cellStyle name="check 2 12 2 2" xfId="17164" xr:uid="{00000000-0005-0000-0000-0000EF420000}"/>
    <cellStyle name="check 2 12 2 2 10" xfId="17165" xr:uid="{00000000-0005-0000-0000-0000F0420000}"/>
    <cellStyle name="check 2 12 2 2 2" xfId="17166" xr:uid="{00000000-0005-0000-0000-0000F1420000}"/>
    <cellStyle name="check 2 12 2 2 3" xfId="17167" xr:uid="{00000000-0005-0000-0000-0000F2420000}"/>
    <cellStyle name="check 2 12 2 2 4" xfId="17168" xr:uid="{00000000-0005-0000-0000-0000F3420000}"/>
    <cellStyle name="check 2 12 2 2 5" xfId="17169" xr:uid="{00000000-0005-0000-0000-0000F4420000}"/>
    <cellStyle name="check 2 12 2 2 6" xfId="17170" xr:uid="{00000000-0005-0000-0000-0000F5420000}"/>
    <cellStyle name="check 2 12 2 2 7" xfId="17171" xr:uid="{00000000-0005-0000-0000-0000F6420000}"/>
    <cellStyle name="check 2 12 2 2 8" xfId="17172" xr:uid="{00000000-0005-0000-0000-0000F7420000}"/>
    <cellStyle name="check 2 12 2 2 9" xfId="17173" xr:uid="{00000000-0005-0000-0000-0000F8420000}"/>
    <cellStyle name="check 2 12 2 3" xfId="17174" xr:uid="{00000000-0005-0000-0000-0000F9420000}"/>
    <cellStyle name="check 2 12 2 4" xfId="17175" xr:uid="{00000000-0005-0000-0000-0000FA420000}"/>
    <cellStyle name="check 2 12 2 5" xfId="17176" xr:uid="{00000000-0005-0000-0000-0000FB420000}"/>
    <cellStyle name="check 2 12 2 6" xfId="17177" xr:uid="{00000000-0005-0000-0000-0000FC420000}"/>
    <cellStyle name="check 2 12 2 7" xfId="17178" xr:uid="{00000000-0005-0000-0000-0000FD420000}"/>
    <cellStyle name="check 2 12 2 8" xfId="17179" xr:uid="{00000000-0005-0000-0000-0000FE420000}"/>
    <cellStyle name="check 2 12 2 9" xfId="17180" xr:uid="{00000000-0005-0000-0000-0000FF420000}"/>
    <cellStyle name="check 2 12 3" xfId="17181" xr:uid="{00000000-0005-0000-0000-000000430000}"/>
    <cellStyle name="check 2 12 3 10" xfId="17182" xr:uid="{00000000-0005-0000-0000-000001430000}"/>
    <cellStyle name="check 2 12 3 11" xfId="17183" xr:uid="{00000000-0005-0000-0000-000002430000}"/>
    <cellStyle name="check 2 12 3 2" xfId="17184" xr:uid="{00000000-0005-0000-0000-000003430000}"/>
    <cellStyle name="check 2 12 3 3" xfId="17185" xr:uid="{00000000-0005-0000-0000-000004430000}"/>
    <cellStyle name="check 2 12 3 4" xfId="17186" xr:uid="{00000000-0005-0000-0000-000005430000}"/>
    <cellStyle name="check 2 12 3 5" xfId="17187" xr:uid="{00000000-0005-0000-0000-000006430000}"/>
    <cellStyle name="check 2 12 3 6" xfId="17188" xr:uid="{00000000-0005-0000-0000-000007430000}"/>
    <cellStyle name="check 2 12 3 7" xfId="17189" xr:uid="{00000000-0005-0000-0000-000008430000}"/>
    <cellStyle name="check 2 12 3 8" xfId="17190" xr:uid="{00000000-0005-0000-0000-000009430000}"/>
    <cellStyle name="check 2 12 3 9" xfId="17191" xr:uid="{00000000-0005-0000-0000-00000A430000}"/>
    <cellStyle name="check 2 12 4" xfId="17192" xr:uid="{00000000-0005-0000-0000-00000B430000}"/>
    <cellStyle name="check 2 12 5" xfId="17193" xr:uid="{00000000-0005-0000-0000-00000C430000}"/>
    <cellStyle name="check 2 12 6" xfId="17194" xr:uid="{00000000-0005-0000-0000-00000D430000}"/>
    <cellStyle name="check 2 12 7" xfId="17195" xr:uid="{00000000-0005-0000-0000-00000E430000}"/>
    <cellStyle name="check 2 12 8" xfId="17196" xr:uid="{00000000-0005-0000-0000-00000F430000}"/>
    <cellStyle name="check 2 12 9" xfId="17197" xr:uid="{00000000-0005-0000-0000-000010430000}"/>
    <cellStyle name="check 2 13" xfId="17198" xr:uid="{00000000-0005-0000-0000-000011430000}"/>
    <cellStyle name="check 2 13 10" xfId="17199" xr:uid="{00000000-0005-0000-0000-000012430000}"/>
    <cellStyle name="check 2 13 11" xfId="17200" xr:uid="{00000000-0005-0000-0000-000013430000}"/>
    <cellStyle name="check 2 13 12" xfId="17201" xr:uid="{00000000-0005-0000-0000-000014430000}"/>
    <cellStyle name="check 2 13 2" xfId="17202" xr:uid="{00000000-0005-0000-0000-000015430000}"/>
    <cellStyle name="check 2 13 2 10" xfId="17203" xr:uid="{00000000-0005-0000-0000-000016430000}"/>
    <cellStyle name="check 2 13 2 2" xfId="17204" xr:uid="{00000000-0005-0000-0000-000017430000}"/>
    <cellStyle name="check 2 13 2 3" xfId="17205" xr:uid="{00000000-0005-0000-0000-000018430000}"/>
    <cellStyle name="check 2 13 2 4" xfId="17206" xr:uid="{00000000-0005-0000-0000-000019430000}"/>
    <cellStyle name="check 2 13 2 5" xfId="17207" xr:uid="{00000000-0005-0000-0000-00001A430000}"/>
    <cellStyle name="check 2 13 2 6" xfId="17208" xr:uid="{00000000-0005-0000-0000-00001B430000}"/>
    <cellStyle name="check 2 13 2 7" xfId="17209" xr:uid="{00000000-0005-0000-0000-00001C430000}"/>
    <cellStyle name="check 2 13 2 8" xfId="17210" xr:uid="{00000000-0005-0000-0000-00001D430000}"/>
    <cellStyle name="check 2 13 2 9" xfId="17211" xr:uid="{00000000-0005-0000-0000-00001E430000}"/>
    <cellStyle name="check 2 13 3" xfId="17212" xr:uid="{00000000-0005-0000-0000-00001F430000}"/>
    <cellStyle name="check 2 13 4" xfId="17213" xr:uid="{00000000-0005-0000-0000-000020430000}"/>
    <cellStyle name="check 2 13 5" xfId="17214" xr:uid="{00000000-0005-0000-0000-000021430000}"/>
    <cellStyle name="check 2 13 6" xfId="17215" xr:uid="{00000000-0005-0000-0000-000022430000}"/>
    <cellStyle name="check 2 13 7" xfId="17216" xr:uid="{00000000-0005-0000-0000-000023430000}"/>
    <cellStyle name="check 2 13 8" xfId="17217" xr:uid="{00000000-0005-0000-0000-000024430000}"/>
    <cellStyle name="check 2 13 9" xfId="17218" xr:uid="{00000000-0005-0000-0000-000025430000}"/>
    <cellStyle name="check 2 14" xfId="17219" xr:uid="{00000000-0005-0000-0000-000026430000}"/>
    <cellStyle name="check 2 14 10" xfId="17220" xr:uid="{00000000-0005-0000-0000-000027430000}"/>
    <cellStyle name="check 2 14 11" xfId="17221" xr:uid="{00000000-0005-0000-0000-000028430000}"/>
    <cellStyle name="check 2 14 2" xfId="17222" xr:uid="{00000000-0005-0000-0000-000029430000}"/>
    <cellStyle name="check 2 14 3" xfId="17223" xr:uid="{00000000-0005-0000-0000-00002A430000}"/>
    <cellStyle name="check 2 14 4" xfId="17224" xr:uid="{00000000-0005-0000-0000-00002B430000}"/>
    <cellStyle name="check 2 14 5" xfId="17225" xr:uid="{00000000-0005-0000-0000-00002C430000}"/>
    <cellStyle name="check 2 14 6" xfId="17226" xr:uid="{00000000-0005-0000-0000-00002D430000}"/>
    <cellStyle name="check 2 14 7" xfId="17227" xr:uid="{00000000-0005-0000-0000-00002E430000}"/>
    <cellStyle name="check 2 14 8" xfId="17228" xr:uid="{00000000-0005-0000-0000-00002F430000}"/>
    <cellStyle name="check 2 14 9" xfId="17229" xr:uid="{00000000-0005-0000-0000-000030430000}"/>
    <cellStyle name="check 2 15" xfId="17230" xr:uid="{00000000-0005-0000-0000-000031430000}"/>
    <cellStyle name="check 2 16" xfId="17231" xr:uid="{00000000-0005-0000-0000-000032430000}"/>
    <cellStyle name="check 2 17" xfId="17232" xr:uid="{00000000-0005-0000-0000-000033430000}"/>
    <cellStyle name="check 2 18" xfId="17233" xr:uid="{00000000-0005-0000-0000-000034430000}"/>
    <cellStyle name="check 2 19" xfId="17234" xr:uid="{00000000-0005-0000-0000-000035430000}"/>
    <cellStyle name="check 2 2" xfId="17235" xr:uid="{00000000-0005-0000-0000-000036430000}"/>
    <cellStyle name="check 2 2 10" xfId="17236" xr:uid="{00000000-0005-0000-0000-000037430000}"/>
    <cellStyle name="check 2 2 11" xfId="17237" xr:uid="{00000000-0005-0000-0000-000038430000}"/>
    <cellStyle name="check 2 2 12" xfId="17238" xr:uid="{00000000-0005-0000-0000-000039430000}"/>
    <cellStyle name="check 2 2 13" xfId="17239" xr:uid="{00000000-0005-0000-0000-00003A430000}"/>
    <cellStyle name="check 2 2 2" xfId="17240" xr:uid="{00000000-0005-0000-0000-00003B430000}"/>
    <cellStyle name="check 2 2 2 10" xfId="17241" xr:uid="{00000000-0005-0000-0000-00003C430000}"/>
    <cellStyle name="check 2 2 2 11" xfId="17242" xr:uid="{00000000-0005-0000-0000-00003D430000}"/>
    <cellStyle name="check 2 2 2 12" xfId="17243" xr:uid="{00000000-0005-0000-0000-00003E430000}"/>
    <cellStyle name="check 2 2 2 2" xfId="17244" xr:uid="{00000000-0005-0000-0000-00003F430000}"/>
    <cellStyle name="check 2 2 2 2 10" xfId="17245" xr:uid="{00000000-0005-0000-0000-000040430000}"/>
    <cellStyle name="check 2 2 2 2 2" xfId="17246" xr:uid="{00000000-0005-0000-0000-000041430000}"/>
    <cellStyle name="check 2 2 2 2 3" xfId="17247" xr:uid="{00000000-0005-0000-0000-000042430000}"/>
    <cellStyle name="check 2 2 2 2 4" xfId="17248" xr:uid="{00000000-0005-0000-0000-000043430000}"/>
    <cellStyle name="check 2 2 2 2 5" xfId="17249" xr:uid="{00000000-0005-0000-0000-000044430000}"/>
    <cellStyle name="check 2 2 2 2 6" xfId="17250" xr:uid="{00000000-0005-0000-0000-000045430000}"/>
    <cellStyle name="check 2 2 2 2 7" xfId="17251" xr:uid="{00000000-0005-0000-0000-000046430000}"/>
    <cellStyle name="check 2 2 2 2 8" xfId="17252" xr:uid="{00000000-0005-0000-0000-000047430000}"/>
    <cellStyle name="check 2 2 2 2 9" xfId="17253" xr:uid="{00000000-0005-0000-0000-000048430000}"/>
    <cellStyle name="check 2 2 2 3" xfId="17254" xr:uid="{00000000-0005-0000-0000-000049430000}"/>
    <cellStyle name="check 2 2 2 4" xfId="17255" xr:uid="{00000000-0005-0000-0000-00004A430000}"/>
    <cellStyle name="check 2 2 2 5" xfId="17256" xr:uid="{00000000-0005-0000-0000-00004B430000}"/>
    <cellStyle name="check 2 2 2 6" xfId="17257" xr:uid="{00000000-0005-0000-0000-00004C430000}"/>
    <cellStyle name="check 2 2 2 7" xfId="17258" xr:uid="{00000000-0005-0000-0000-00004D430000}"/>
    <cellStyle name="check 2 2 2 8" xfId="17259" xr:uid="{00000000-0005-0000-0000-00004E430000}"/>
    <cellStyle name="check 2 2 2 9" xfId="17260" xr:uid="{00000000-0005-0000-0000-00004F430000}"/>
    <cellStyle name="check 2 2 3" xfId="17261" xr:uid="{00000000-0005-0000-0000-000050430000}"/>
    <cellStyle name="check 2 2 3 10" xfId="17262" xr:uid="{00000000-0005-0000-0000-000051430000}"/>
    <cellStyle name="check 2 2 3 11" xfId="17263" xr:uid="{00000000-0005-0000-0000-000052430000}"/>
    <cellStyle name="check 2 2 3 2" xfId="17264" xr:uid="{00000000-0005-0000-0000-000053430000}"/>
    <cellStyle name="check 2 2 3 3" xfId="17265" xr:uid="{00000000-0005-0000-0000-000054430000}"/>
    <cellStyle name="check 2 2 3 4" xfId="17266" xr:uid="{00000000-0005-0000-0000-000055430000}"/>
    <cellStyle name="check 2 2 3 5" xfId="17267" xr:uid="{00000000-0005-0000-0000-000056430000}"/>
    <cellStyle name="check 2 2 3 6" xfId="17268" xr:uid="{00000000-0005-0000-0000-000057430000}"/>
    <cellStyle name="check 2 2 3 7" xfId="17269" xr:uid="{00000000-0005-0000-0000-000058430000}"/>
    <cellStyle name="check 2 2 3 8" xfId="17270" xr:uid="{00000000-0005-0000-0000-000059430000}"/>
    <cellStyle name="check 2 2 3 9" xfId="17271" xr:uid="{00000000-0005-0000-0000-00005A430000}"/>
    <cellStyle name="check 2 2 4" xfId="17272" xr:uid="{00000000-0005-0000-0000-00005B430000}"/>
    <cellStyle name="check 2 2 5" xfId="17273" xr:uid="{00000000-0005-0000-0000-00005C430000}"/>
    <cellStyle name="check 2 2 6" xfId="17274" xr:uid="{00000000-0005-0000-0000-00005D430000}"/>
    <cellStyle name="check 2 2 7" xfId="17275" xr:uid="{00000000-0005-0000-0000-00005E430000}"/>
    <cellStyle name="check 2 2 8" xfId="17276" xr:uid="{00000000-0005-0000-0000-00005F430000}"/>
    <cellStyle name="check 2 2 9" xfId="17277" xr:uid="{00000000-0005-0000-0000-000060430000}"/>
    <cellStyle name="check 2 20" xfId="17278" xr:uid="{00000000-0005-0000-0000-000061430000}"/>
    <cellStyle name="check 2 21" xfId="17279" xr:uid="{00000000-0005-0000-0000-000062430000}"/>
    <cellStyle name="check 2 22" xfId="17280" xr:uid="{00000000-0005-0000-0000-000063430000}"/>
    <cellStyle name="check 2 23" xfId="17281" xr:uid="{00000000-0005-0000-0000-000064430000}"/>
    <cellStyle name="check 2 24" xfId="17282" xr:uid="{00000000-0005-0000-0000-000065430000}"/>
    <cellStyle name="check 2 3" xfId="17283" xr:uid="{00000000-0005-0000-0000-000066430000}"/>
    <cellStyle name="check 2 3 10" xfId="17284" xr:uid="{00000000-0005-0000-0000-000067430000}"/>
    <cellStyle name="check 2 3 11" xfId="17285" xr:uid="{00000000-0005-0000-0000-000068430000}"/>
    <cellStyle name="check 2 3 12" xfId="17286" xr:uid="{00000000-0005-0000-0000-000069430000}"/>
    <cellStyle name="check 2 3 13" xfId="17287" xr:uid="{00000000-0005-0000-0000-00006A430000}"/>
    <cellStyle name="check 2 3 2" xfId="17288" xr:uid="{00000000-0005-0000-0000-00006B430000}"/>
    <cellStyle name="check 2 3 2 10" xfId="17289" xr:uid="{00000000-0005-0000-0000-00006C430000}"/>
    <cellStyle name="check 2 3 2 11" xfId="17290" xr:uid="{00000000-0005-0000-0000-00006D430000}"/>
    <cellStyle name="check 2 3 2 12" xfId="17291" xr:uid="{00000000-0005-0000-0000-00006E430000}"/>
    <cellStyle name="check 2 3 2 2" xfId="17292" xr:uid="{00000000-0005-0000-0000-00006F430000}"/>
    <cellStyle name="check 2 3 2 2 10" xfId="17293" xr:uid="{00000000-0005-0000-0000-000070430000}"/>
    <cellStyle name="check 2 3 2 2 2" xfId="17294" xr:uid="{00000000-0005-0000-0000-000071430000}"/>
    <cellStyle name="check 2 3 2 2 3" xfId="17295" xr:uid="{00000000-0005-0000-0000-000072430000}"/>
    <cellStyle name="check 2 3 2 2 4" xfId="17296" xr:uid="{00000000-0005-0000-0000-000073430000}"/>
    <cellStyle name="check 2 3 2 2 5" xfId="17297" xr:uid="{00000000-0005-0000-0000-000074430000}"/>
    <cellStyle name="check 2 3 2 2 6" xfId="17298" xr:uid="{00000000-0005-0000-0000-000075430000}"/>
    <cellStyle name="check 2 3 2 2 7" xfId="17299" xr:uid="{00000000-0005-0000-0000-000076430000}"/>
    <cellStyle name="check 2 3 2 2 8" xfId="17300" xr:uid="{00000000-0005-0000-0000-000077430000}"/>
    <cellStyle name="check 2 3 2 2 9" xfId="17301" xr:uid="{00000000-0005-0000-0000-000078430000}"/>
    <cellStyle name="check 2 3 2 3" xfId="17302" xr:uid="{00000000-0005-0000-0000-000079430000}"/>
    <cellStyle name="check 2 3 2 4" xfId="17303" xr:uid="{00000000-0005-0000-0000-00007A430000}"/>
    <cellStyle name="check 2 3 2 5" xfId="17304" xr:uid="{00000000-0005-0000-0000-00007B430000}"/>
    <cellStyle name="check 2 3 2 6" xfId="17305" xr:uid="{00000000-0005-0000-0000-00007C430000}"/>
    <cellStyle name="check 2 3 2 7" xfId="17306" xr:uid="{00000000-0005-0000-0000-00007D430000}"/>
    <cellStyle name="check 2 3 2 8" xfId="17307" xr:uid="{00000000-0005-0000-0000-00007E430000}"/>
    <cellStyle name="check 2 3 2 9" xfId="17308" xr:uid="{00000000-0005-0000-0000-00007F430000}"/>
    <cellStyle name="check 2 3 3" xfId="17309" xr:uid="{00000000-0005-0000-0000-000080430000}"/>
    <cellStyle name="check 2 3 3 10" xfId="17310" xr:uid="{00000000-0005-0000-0000-000081430000}"/>
    <cellStyle name="check 2 3 3 11" xfId="17311" xr:uid="{00000000-0005-0000-0000-000082430000}"/>
    <cellStyle name="check 2 3 3 2" xfId="17312" xr:uid="{00000000-0005-0000-0000-000083430000}"/>
    <cellStyle name="check 2 3 3 3" xfId="17313" xr:uid="{00000000-0005-0000-0000-000084430000}"/>
    <cellStyle name="check 2 3 3 4" xfId="17314" xr:uid="{00000000-0005-0000-0000-000085430000}"/>
    <cellStyle name="check 2 3 3 5" xfId="17315" xr:uid="{00000000-0005-0000-0000-000086430000}"/>
    <cellStyle name="check 2 3 3 6" xfId="17316" xr:uid="{00000000-0005-0000-0000-000087430000}"/>
    <cellStyle name="check 2 3 3 7" xfId="17317" xr:uid="{00000000-0005-0000-0000-000088430000}"/>
    <cellStyle name="check 2 3 3 8" xfId="17318" xr:uid="{00000000-0005-0000-0000-000089430000}"/>
    <cellStyle name="check 2 3 3 9" xfId="17319" xr:uid="{00000000-0005-0000-0000-00008A430000}"/>
    <cellStyle name="check 2 3 4" xfId="17320" xr:uid="{00000000-0005-0000-0000-00008B430000}"/>
    <cellStyle name="check 2 3 5" xfId="17321" xr:uid="{00000000-0005-0000-0000-00008C430000}"/>
    <cellStyle name="check 2 3 6" xfId="17322" xr:uid="{00000000-0005-0000-0000-00008D430000}"/>
    <cellStyle name="check 2 3 7" xfId="17323" xr:uid="{00000000-0005-0000-0000-00008E430000}"/>
    <cellStyle name="check 2 3 8" xfId="17324" xr:uid="{00000000-0005-0000-0000-00008F430000}"/>
    <cellStyle name="check 2 3 9" xfId="17325" xr:uid="{00000000-0005-0000-0000-000090430000}"/>
    <cellStyle name="check 2 4" xfId="17326" xr:uid="{00000000-0005-0000-0000-000091430000}"/>
    <cellStyle name="check 2 4 10" xfId="17327" xr:uid="{00000000-0005-0000-0000-000092430000}"/>
    <cellStyle name="check 2 4 11" xfId="17328" xr:uid="{00000000-0005-0000-0000-000093430000}"/>
    <cellStyle name="check 2 4 12" xfId="17329" xr:uid="{00000000-0005-0000-0000-000094430000}"/>
    <cellStyle name="check 2 4 13" xfId="17330" xr:uid="{00000000-0005-0000-0000-000095430000}"/>
    <cellStyle name="check 2 4 2" xfId="17331" xr:uid="{00000000-0005-0000-0000-000096430000}"/>
    <cellStyle name="check 2 4 2 10" xfId="17332" xr:uid="{00000000-0005-0000-0000-000097430000}"/>
    <cellStyle name="check 2 4 2 11" xfId="17333" xr:uid="{00000000-0005-0000-0000-000098430000}"/>
    <cellStyle name="check 2 4 2 12" xfId="17334" xr:uid="{00000000-0005-0000-0000-000099430000}"/>
    <cellStyle name="check 2 4 2 2" xfId="17335" xr:uid="{00000000-0005-0000-0000-00009A430000}"/>
    <cellStyle name="check 2 4 2 2 10" xfId="17336" xr:uid="{00000000-0005-0000-0000-00009B430000}"/>
    <cellStyle name="check 2 4 2 2 2" xfId="17337" xr:uid="{00000000-0005-0000-0000-00009C430000}"/>
    <cellStyle name="check 2 4 2 2 3" xfId="17338" xr:uid="{00000000-0005-0000-0000-00009D430000}"/>
    <cellStyle name="check 2 4 2 2 4" xfId="17339" xr:uid="{00000000-0005-0000-0000-00009E430000}"/>
    <cellStyle name="check 2 4 2 2 5" xfId="17340" xr:uid="{00000000-0005-0000-0000-00009F430000}"/>
    <cellStyle name="check 2 4 2 2 6" xfId="17341" xr:uid="{00000000-0005-0000-0000-0000A0430000}"/>
    <cellStyle name="check 2 4 2 2 7" xfId="17342" xr:uid="{00000000-0005-0000-0000-0000A1430000}"/>
    <cellStyle name="check 2 4 2 2 8" xfId="17343" xr:uid="{00000000-0005-0000-0000-0000A2430000}"/>
    <cellStyle name="check 2 4 2 2 9" xfId="17344" xr:uid="{00000000-0005-0000-0000-0000A3430000}"/>
    <cellStyle name="check 2 4 2 3" xfId="17345" xr:uid="{00000000-0005-0000-0000-0000A4430000}"/>
    <cellStyle name="check 2 4 2 4" xfId="17346" xr:uid="{00000000-0005-0000-0000-0000A5430000}"/>
    <cellStyle name="check 2 4 2 5" xfId="17347" xr:uid="{00000000-0005-0000-0000-0000A6430000}"/>
    <cellStyle name="check 2 4 2 6" xfId="17348" xr:uid="{00000000-0005-0000-0000-0000A7430000}"/>
    <cellStyle name="check 2 4 2 7" xfId="17349" xr:uid="{00000000-0005-0000-0000-0000A8430000}"/>
    <cellStyle name="check 2 4 2 8" xfId="17350" xr:uid="{00000000-0005-0000-0000-0000A9430000}"/>
    <cellStyle name="check 2 4 2 9" xfId="17351" xr:uid="{00000000-0005-0000-0000-0000AA430000}"/>
    <cellStyle name="check 2 4 3" xfId="17352" xr:uid="{00000000-0005-0000-0000-0000AB430000}"/>
    <cellStyle name="check 2 4 3 10" xfId="17353" xr:uid="{00000000-0005-0000-0000-0000AC430000}"/>
    <cellStyle name="check 2 4 3 11" xfId="17354" xr:uid="{00000000-0005-0000-0000-0000AD430000}"/>
    <cellStyle name="check 2 4 3 2" xfId="17355" xr:uid="{00000000-0005-0000-0000-0000AE430000}"/>
    <cellStyle name="check 2 4 3 3" xfId="17356" xr:uid="{00000000-0005-0000-0000-0000AF430000}"/>
    <cellStyle name="check 2 4 3 4" xfId="17357" xr:uid="{00000000-0005-0000-0000-0000B0430000}"/>
    <cellStyle name="check 2 4 3 5" xfId="17358" xr:uid="{00000000-0005-0000-0000-0000B1430000}"/>
    <cellStyle name="check 2 4 3 6" xfId="17359" xr:uid="{00000000-0005-0000-0000-0000B2430000}"/>
    <cellStyle name="check 2 4 3 7" xfId="17360" xr:uid="{00000000-0005-0000-0000-0000B3430000}"/>
    <cellStyle name="check 2 4 3 8" xfId="17361" xr:uid="{00000000-0005-0000-0000-0000B4430000}"/>
    <cellStyle name="check 2 4 3 9" xfId="17362" xr:uid="{00000000-0005-0000-0000-0000B5430000}"/>
    <cellStyle name="check 2 4 4" xfId="17363" xr:uid="{00000000-0005-0000-0000-0000B6430000}"/>
    <cellStyle name="check 2 4 5" xfId="17364" xr:uid="{00000000-0005-0000-0000-0000B7430000}"/>
    <cellStyle name="check 2 4 6" xfId="17365" xr:uid="{00000000-0005-0000-0000-0000B8430000}"/>
    <cellStyle name="check 2 4 7" xfId="17366" xr:uid="{00000000-0005-0000-0000-0000B9430000}"/>
    <cellStyle name="check 2 4 8" xfId="17367" xr:uid="{00000000-0005-0000-0000-0000BA430000}"/>
    <cellStyle name="check 2 4 9" xfId="17368" xr:uid="{00000000-0005-0000-0000-0000BB430000}"/>
    <cellStyle name="check 2 5" xfId="17369" xr:uid="{00000000-0005-0000-0000-0000BC430000}"/>
    <cellStyle name="check 2 5 10" xfId="17370" xr:uid="{00000000-0005-0000-0000-0000BD430000}"/>
    <cellStyle name="check 2 5 11" xfId="17371" xr:uid="{00000000-0005-0000-0000-0000BE430000}"/>
    <cellStyle name="check 2 5 12" xfId="17372" xr:uid="{00000000-0005-0000-0000-0000BF430000}"/>
    <cellStyle name="check 2 5 13" xfId="17373" xr:uid="{00000000-0005-0000-0000-0000C0430000}"/>
    <cellStyle name="check 2 5 2" xfId="17374" xr:uid="{00000000-0005-0000-0000-0000C1430000}"/>
    <cellStyle name="check 2 5 2 10" xfId="17375" xr:uid="{00000000-0005-0000-0000-0000C2430000}"/>
    <cellStyle name="check 2 5 2 11" xfId="17376" xr:uid="{00000000-0005-0000-0000-0000C3430000}"/>
    <cellStyle name="check 2 5 2 12" xfId="17377" xr:uid="{00000000-0005-0000-0000-0000C4430000}"/>
    <cellStyle name="check 2 5 2 2" xfId="17378" xr:uid="{00000000-0005-0000-0000-0000C5430000}"/>
    <cellStyle name="check 2 5 2 2 10" xfId="17379" xr:uid="{00000000-0005-0000-0000-0000C6430000}"/>
    <cellStyle name="check 2 5 2 2 2" xfId="17380" xr:uid="{00000000-0005-0000-0000-0000C7430000}"/>
    <cellStyle name="check 2 5 2 2 3" xfId="17381" xr:uid="{00000000-0005-0000-0000-0000C8430000}"/>
    <cellStyle name="check 2 5 2 2 4" xfId="17382" xr:uid="{00000000-0005-0000-0000-0000C9430000}"/>
    <cellStyle name="check 2 5 2 2 5" xfId="17383" xr:uid="{00000000-0005-0000-0000-0000CA430000}"/>
    <cellStyle name="check 2 5 2 2 6" xfId="17384" xr:uid="{00000000-0005-0000-0000-0000CB430000}"/>
    <cellStyle name="check 2 5 2 2 7" xfId="17385" xr:uid="{00000000-0005-0000-0000-0000CC430000}"/>
    <cellStyle name="check 2 5 2 2 8" xfId="17386" xr:uid="{00000000-0005-0000-0000-0000CD430000}"/>
    <cellStyle name="check 2 5 2 2 9" xfId="17387" xr:uid="{00000000-0005-0000-0000-0000CE430000}"/>
    <cellStyle name="check 2 5 2 3" xfId="17388" xr:uid="{00000000-0005-0000-0000-0000CF430000}"/>
    <cellStyle name="check 2 5 2 4" xfId="17389" xr:uid="{00000000-0005-0000-0000-0000D0430000}"/>
    <cellStyle name="check 2 5 2 5" xfId="17390" xr:uid="{00000000-0005-0000-0000-0000D1430000}"/>
    <cellStyle name="check 2 5 2 6" xfId="17391" xr:uid="{00000000-0005-0000-0000-0000D2430000}"/>
    <cellStyle name="check 2 5 2 7" xfId="17392" xr:uid="{00000000-0005-0000-0000-0000D3430000}"/>
    <cellStyle name="check 2 5 2 8" xfId="17393" xr:uid="{00000000-0005-0000-0000-0000D4430000}"/>
    <cellStyle name="check 2 5 2 9" xfId="17394" xr:uid="{00000000-0005-0000-0000-0000D5430000}"/>
    <cellStyle name="check 2 5 3" xfId="17395" xr:uid="{00000000-0005-0000-0000-0000D6430000}"/>
    <cellStyle name="check 2 5 3 10" xfId="17396" xr:uid="{00000000-0005-0000-0000-0000D7430000}"/>
    <cellStyle name="check 2 5 3 11" xfId="17397" xr:uid="{00000000-0005-0000-0000-0000D8430000}"/>
    <cellStyle name="check 2 5 3 2" xfId="17398" xr:uid="{00000000-0005-0000-0000-0000D9430000}"/>
    <cellStyle name="check 2 5 3 3" xfId="17399" xr:uid="{00000000-0005-0000-0000-0000DA430000}"/>
    <cellStyle name="check 2 5 3 4" xfId="17400" xr:uid="{00000000-0005-0000-0000-0000DB430000}"/>
    <cellStyle name="check 2 5 3 5" xfId="17401" xr:uid="{00000000-0005-0000-0000-0000DC430000}"/>
    <cellStyle name="check 2 5 3 6" xfId="17402" xr:uid="{00000000-0005-0000-0000-0000DD430000}"/>
    <cellStyle name="check 2 5 3 7" xfId="17403" xr:uid="{00000000-0005-0000-0000-0000DE430000}"/>
    <cellStyle name="check 2 5 3 8" xfId="17404" xr:uid="{00000000-0005-0000-0000-0000DF430000}"/>
    <cellStyle name="check 2 5 3 9" xfId="17405" xr:uid="{00000000-0005-0000-0000-0000E0430000}"/>
    <cellStyle name="check 2 5 4" xfId="17406" xr:uid="{00000000-0005-0000-0000-0000E1430000}"/>
    <cellStyle name="check 2 5 5" xfId="17407" xr:uid="{00000000-0005-0000-0000-0000E2430000}"/>
    <cellStyle name="check 2 5 6" xfId="17408" xr:uid="{00000000-0005-0000-0000-0000E3430000}"/>
    <cellStyle name="check 2 5 7" xfId="17409" xr:uid="{00000000-0005-0000-0000-0000E4430000}"/>
    <cellStyle name="check 2 5 8" xfId="17410" xr:uid="{00000000-0005-0000-0000-0000E5430000}"/>
    <cellStyle name="check 2 5 9" xfId="17411" xr:uid="{00000000-0005-0000-0000-0000E6430000}"/>
    <cellStyle name="check 2 6" xfId="17412" xr:uid="{00000000-0005-0000-0000-0000E7430000}"/>
    <cellStyle name="check 2 6 10" xfId="17413" xr:uid="{00000000-0005-0000-0000-0000E8430000}"/>
    <cellStyle name="check 2 6 11" xfId="17414" xr:uid="{00000000-0005-0000-0000-0000E9430000}"/>
    <cellStyle name="check 2 6 12" xfId="17415" xr:uid="{00000000-0005-0000-0000-0000EA430000}"/>
    <cellStyle name="check 2 6 13" xfId="17416" xr:uid="{00000000-0005-0000-0000-0000EB430000}"/>
    <cellStyle name="check 2 6 2" xfId="17417" xr:uid="{00000000-0005-0000-0000-0000EC430000}"/>
    <cellStyle name="check 2 6 2 10" xfId="17418" xr:uid="{00000000-0005-0000-0000-0000ED430000}"/>
    <cellStyle name="check 2 6 2 11" xfId="17419" xr:uid="{00000000-0005-0000-0000-0000EE430000}"/>
    <cellStyle name="check 2 6 2 12" xfId="17420" xr:uid="{00000000-0005-0000-0000-0000EF430000}"/>
    <cellStyle name="check 2 6 2 2" xfId="17421" xr:uid="{00000000-0005-0000-0000-0000F0430000}"/>
    <cellStyle name="check 2 6 2 2 10" xfId="17422" xr:uid="{00000000-0005-0000-0000-0000F1430000}"/>
    <cellStyle name="check 2 6 2 2 2" xfId="17423" xr:uid="{00000000-0005-0000-0000-0000F2430000}"/>
    <cellStyle name="check 2 6 2 2 3" xfId="17424" xr:uid="{00000000-0005-0000-0000-0000F3430000}"/>
    <cellStyle name="check 2 6 2 2 4" xfId="17425" xr:uid="{00000000-0005-0000-0000-0000F4430000}"/>
    <cellStyle name="check 2 6 2 2 5" xfId="17426" xr:uid="{00000000-0005-0000-0000-0000F5430000}"/>
    <cellStyle name="check 2 6 2 2 6" xfId="17427" xr:uid="{00000000-0005-0000-0000-0000F6430000}"/>
    <cellStyle name="check 2 6 2 2 7" xfId="17428" xr:uid="{00000000-0005-0000-0000-0000F7430000}"/>
    <cellStyle name="check 2 6 2 2 8" xfId="17429" xr:uid="{00000000-0005-0000-0000-0000F8430000}"/>
    <cellStyle name="check 2 6 2 2 9" xfId="17430" xr:uid="{00000000-0005-0000-0000-0000F9430000}"/>
    <cellStyle name="check 2 6 2 3" xfId="17431" xr:uid="{00000000-0005-0000-0000-0000FA430000}"/>
    <cellStyle name="check 2 6 2 4" xfId="17432" xr:uid="{00000000-0005-0000-0000-0000FB430000}"/>
    <cellStyle name="check 2 6 2 5" xfId="17433" xr:uid="{00000000-0005-0000-0000-0000FC430000}"/>
    <cellStyle name="check 2 6 2 6" xfId="17434" xr:uid="{00000000-0005-0000-0000-0000FD430000}"/>
    <cellStyle name="check 2 6 2 7" xfId="17435" xr:uid="{00000000-0005-0000-0000-0000FE430000}"/>
    <cellStyle name="check 2 6 2 8" xfId="17436" xr:uid="{00000000-0005-0000-0000-0000FF430000}"/>
    <cellStyle name="check 2 6 2 9" xfId="17437" xr:uid="{00000000-0005-0000-0000-000000440000}"/>
    <cellStyle name="check 2 6 3" xfId="17438" xr:uid="{00000000-0005-0000-0000-000001440000}"/>
    <cellStyle name="check 2 6 3 10" xfId="17439" xr:uid="{00000000-0005-0000-0000-000002440000}"/>
    <cellStyle name="check 2 6 3 11" xfId="17440" xr:uid="{00000000-0005-0000-0000-000003440000}"/>
    <cellStyle name="check 2 6 3 2" xfId="17441" xr:uid="{00000000-0005-0000-0000-000004440000}"/>
    <cellStyle name="check 2 6 3 3" xfId="17442" xr:uid="{00000000-0005-0000-0000-000005440000}"/>
    <cellStyle name="check 2 6 3 4" xfId="17443" xr:uid="{00000000-0005-0000-0000-000006440000}"/>
    <cellStyle name="check 2 6 3 5" xfId="17444" xr:uid="{00000000-0005-0000-0000-000007440000}"/>
    <cellStyle name="check 2 6 3 6" xfId="17445" xr:uid="{00000000-0005-0000-0000-000008440000}"/>
    <cellStyle name="check 2 6 3 7" xfId="17446" xr:uid="{00000000-0005-0000-0000-000009440000}"/>
    <cellStyle name="check 2 6 3 8" xfId="17447" xr:uid="{00000000-0005-0000-0000-00000A440000}"/>
    <cellStyle name="check 2 6 3 9" xfId="17448" xr:uid="{00000000-0005-0000-0000-00000B440000}"/>
    <cellStyle name="check 2 6 4" xfId="17449" xr:uid="{00000000-0005-0000-0000-00000C440000}"/>
    <cellStyle name="check 2 6 5" xfId="17450" xr:uid="{00000000-0005-0000-0000-00000D440000}"/>
    <cellStyle name="check 2 6 6" xfId="17451" xr:uid="{00000000-0005-0000-0000-00000E440000}"/>
    <cellStyle name="check 2 6 7" xfId="17452" xr:uid="{00000000-0005-0000-0000-00000F440000}"/>
    <cellStyle name="check 2 6 8" xfId="17453" xr:uid="{00000000-0005-0000-0000-000010440000}"/>
    <cellStyle name="check 2 6 9" xfId="17454" xr:uid="{00000000-0005-0000-0000-000011440000}"/>
    <cellStyle name="check 2 7" xfId="17455" xr:uid="{00000000-0005-0000-0000-000012440000}"/>
    <cellStyle name="check 2 7 10" xfId="17456" xr:uid="{00000000-0005-0000-0000-000013440000}"/>
    <cellStyle name="check 2 7 11" xfId="17457" xr:uid="{00000000-0005-0000-0000-000014440000}"/>
    <cellStyle name="check 2 7 12" xfId="17458" xr:uid="{00000000-0005-0000-0000-000015440000}"/>
    <cellStyle name="check 2 7 13" xfId="17459" xr:uid="{00000000-0005-0000-0000-000016440000}"/>
    <cellStyle name="check 2 7 2" xfId="17460" xr:uid="{00000000-0005-0000-0000-000017440000}"/>
    <cellStyle name="check 2 7 2 10" xfId="17461" xr:uid="{00000000-0005-0000-0000-000018440000}"/>
    <cellStyle name="check 2 7 2 11" xfId="17462" xr:uid="{00000000-0005-0000-0000-000019440000}"/>
    <cellStyle name="check 2 7 2 12" xfId="17463" xr:uid="{00000000-0005-0000-0000-00001A440000}"/>
    <cellStyle name="check 2 7 2 2" xfId="17464" xr:uid="{00000000-0005-0000-0000-00001B440000}"/>
    <cellStyle name="check 2 7 2 2 10" xfId="17465" xr:uid="{00000000-0005-0000-0000-00001C440000}"/>
    <cellStyle name="check 2 7 2 2 2" xfId="17466" xr:uid="{00000000-0005-0000-0000-00001D440000}"/>
    <cellStyle name="check 2 7 2 2 3" xfId="17467" xr:uid="{00000000-0005-0000-0000-00001E440000}"/>
    <cellStyle name="check 2 7 2 2 4" xfId="17468" xr:uid="{00000000-0005-0000-0000-00001F440000}"/>
    <cellStyle name="check 2 7 2 2 5" xfId="17469" xr:uid="{00000000-0005-0000-0000-000020440000}"/>
    <cellStyle name="check 2 7 2 2 6" xfId="17470" xr:uid="{00000000-0005-0000-0000-000021440000}"/>
    <cellStyle name="check 2 7 2 2 7" xfId="17471" xr:uid="{00000000-0005-0000-0000-000022440000}"/>
    <cellStyle name="check 2 7 2 2 8" xfId="17472" xr:uid="{00000000-0005-0000-0000-000023440000}"/>
    <cellStyle name="check 2 7 2 2 9" xfId="17473" xr:uid="{00000000-0005-0000-0000-000024440000}"/>
    <cellStyle name="check 2 7 2 3" xfId="17474" xr:uid="{00000000-0005-0000-0000-000025440000}"/>
    <cellStyle name="check 2 7 2 4" xfId="17475" xr:uid="{00000000-0005-0000-0000-000026440000}"/>
    <cellStyle name="check 2 7 2 5" xfId="17476" xr:uid="{00000000-0005-0000-0000-000027440000}"/>
    <cellStyle name="check 2 7 2 6" xfId="17477" xr:uid="{00000000-0005-0000-0000-000028440000}"/>
    <cellStyle name="check 2 7 2 7" xfId="17478" xr:uid="{00000000-0005-0000-0000-000029440000}"/>
    <cellStyle name="check 2 7 2 8" xfId="17479" xr:uid="{00000000-0005-0000-0000-00002A440000}"/>
    <cellStyle name="check 2 7 2 9" xfId="17480" xr:uid="{00000000-0005-0000-0000-00002B440000}"/>
    <cellStyle name="check 2 7 3" xfId="17481" xr:uid="{00000000-0005-0000-0000-00002C440000}"/>
    <cellStyle name="check 2 7 3 10" xfId="17482" xr:uid="{00000000-0005-0000-0000-00002D440000}"/>
    <cellStyle name="check 2 7 3 11" xfId="17483" xr:uid="{00000000-0005-0000-0000-00002E440000}"/>
    <cellStyle name="check 2 7 3 2" xfId="17484" xr:uid="{00000000-0005-0000-0000-00002F440000}"/>
    <cellStyle name="check 2 7 3 3" xfId="17485" xr:uid="{00000000-0005-0000-0000-000030440000}"/>
    <cellStyle name="check 2 7 3 4" xfId="17486" xr:uid="{00000000-0005-0000-0000-000031440000}"/>
    <cellStyle name="check 2 7 3 5" xfId="17487" xr:uid="{00000000-0005-0000-0000-000032440000}"/>
    <cellStyle name="check 2 7 3 6" xfId="17488" xr:uid="{00000000-0005-0000-0000-000033440000}"/>
    <cellStyle name="check 2 7 3 7" xfId="17489" xr:uid="{00000000-0005-0000-0000-000034440000}"/>
    <cellStyle name="check 2 7 3 8" xfId="17490" xr:uid="{00000000-0005-0000-0000-000035440000}"/>
    <cellStyle name="check 2 7 3 9" xfId="17491" xr:uid="{00000000-0005-0000-0000-000036440000}"/>
    <cellStyle name="check 2 7 4" xfId="17492" xr:uid="{00000000-0005-0000-0000-000037440000}"/>
    <cellStyle name="check 2 7 5" xfId="17493" xr:uid="{00000000-0005-0000-0000-000038440000}"/>
    <cellStyle name="check 2 7 6" xfId="17494" xr:uid="{00000000-0005-0000-0000-000039440000}"/>
    <cellStyle name="check 2 7 7" xfId="17495" xr:uid="{00000000-0005-0000-0000-00003A440000}"/>
    <cellStyle name="check 2 7 8" xfId="17496" xr:uid="{00000000-0005-0000-0000-00003B440000}"/>
    <cellStyle name="check 2 7 9" xfId="17497" xr:uid="{00000000-0005-0000-0000-00003C440000}"/>
    <cellStyle name="check 2 8" xfId="17498" xr:uid="{00000000-0005-0000-0000-00003D440000}"/>
    <cellStyle name="check 2 8 10" xfId="17499" xr:uid="{00000000-0005-0000-0000-00003E440000}"/>
    <cellStyle name="check 2 8 11" xfId="17500" xr:uid="{00000000-0005-0000-0000-00003F440000}"/>
    <cellStyle name="check 2 8 12" xfId="17501" xr:uid="{00000000-0005-0000-0000-000040440000}"/>
    <cellStyle name="check 2 8 13" xfId="17502" xr:uid="{00000000-0005-0000-0000-000041440000}"/>
    <cellStyle name="check 2 8 2" xfId="17503" xr:uid="{00000000-0005-0000-0000-000042440000}"/>
    <cellStyle name="check 2 8 2 10" xfId="17504" xr:uid="{00000000-0005-0000-0000-000043440000}"/>
    <cellStyle name="check 2 8 2 11" xfId="17505" xr:uid="{00000000-0005-0000-0000-000044440000}"/>
    <cellStyle name="check 2 8 2 12" xfId="17506" xr:uid="{00000000-0005-0000-0000-000045440000}"/>
    <cellStyle name="check 2 8 2 2" xfId="17507" xr:uid="{00000000-0005-0000-0000-000046440000}"/>
    <cellStyle name="check 2 8 2 2 10" xfId="17508" xr:uid="{00000000-0005-0000-0000-000047440000}"/>
    <cellStyle name="check 2 8 2 2 2" xfId="17509" xr:uid="{00000000-0005-0000-0000-000048440000}"/>
    <cellStyle name="check 2 8 2 2 3" xfId="17510" xr:uid="{00000000-0005-0000-0000-000049440000}"/>
    <cellStyle name="check 2 8 2 2 4" xfId="17511" xr:uid="{00000000-0005-0000-0000-00004A440000}"/>
    <cellStyle name="check 2 8 2 2 5" xfId="17512" xr:uid="{00000000-0005-0000-0000-00004B440000}"/>
    <cellStyle name="check 2 8 2 2 6" xfId="17513" xr:uid="{00000000-0005-0000-0000-00004C440000}"/>
    <cellStyle name="check 2 8 2 2 7" xfId="17514" xr:uid="{00000000-0005-0000-0000-00004D440000}"/>
    <cellStyle name="check 2 8 2 2 8" xfId="17515" xr:uid="{00000000-0005-0000-0000-00004E440000}"/>
    <cellStyle name="check 2 8 2 2 9" xfId="17516" xr:uid="{00000000-0005-0000-0000-00004F440000}"/>
    <cellStyle name="check 2 8 2 3" xfId="17517" xr:uid="{00000000-0005-0000-0000-000050440000}"/>
    <cellStyle name="check 2 8 2 4" xfId="17518" xr:uid="{00000000-0005-0000-0000-000051440000}"/>
    <cellStyle name="check 2 8 2 5" xfId="17519" xr:uid="{00000000-0005-0000-0000-000052440000}"/>
    <cellStyle name="check 2 8 2 6" xfId="17520" xr:uid="{00000000-0005-0000-0000-000053440000}"/>
    <cellStyle name="check 2 8 2 7" xfId="17521" xr:uid="{00000000-0005-0000-0000-000054440000}"/>
    <cellStyle name="check 2 8 2 8" xfId="17522" xr:uid="{00000000-0005-0000-0000-000055440000}"/>
    <cellStyle name="check 2 8 2 9" xfId="17523" xr:uid="{00000000-0005-0000-0000-000056440000}"/>
    <cellStyle name="check 2 8 3" xfId="17524" xr:uid="{00000000-0005-0000-0000-000057440000}"/>
    <cellStyle name="check 2 8 3 10" xfId="17525" xr:uid="{00000000-0005-0000-0000-000058440000}"/>
    <cellStyle name="check 2 8 3 11" xfId="17526" xr:uid="{00000000-0005-0000-0000-000059440000}"/>
    <cellStyle name="check 2 8 3 2" xfId="17527" xr:uid="{00000000-0005-0000-0000-00005A440000}"/>
    <cellStyle name="check 2 8 3 3" xfId="17528" xr:uid="{00000000-0005-0000-0000-00005B440000}"/>
    <cellStyle name="check 2 8 3 4" xfId="17529" xr:uid="{00000000-0005-0000-0000-00005C440000}"/>
    <cellStyle name="check 2 8 3 5" xfId="17530" xr:uid="{00000000-0005-0000-0000-00005D440000}"/>
    <cellStyle name="check 2 8 3 6" xfId="17531" xr:uid="{00000000-0005-0000-0000-00005E440000}"/>
    <cellStyle name="check 2 8 3 7" xfId="17532" xr:uid="{00000000-0005-0000-0000-00005F440000}"/>
    <cellStyle name="check 2 8 3 8" xfId="17533" xr:uid="{00000000-0005-0000-0000-000060440000}"/>
    <cellStyle name="check 2 8 3 9" xfId="17534" xr:uid="{00000000-0005-0000-0000-000061440000}"/>
    <cellStyle name="check 2 8 4" xfId="17535" xr:uid="{00000000-0005-0000-0000-000062440000}"/>
    <cellStyle name="check 2 8 5" xfId="17536" xr:uid="{00000000-0005-0000-0000-000063440000}"/>
    <cellStyle name="check 2 8 6" xfId="17537" xr:uid="{00000000-0005-0000-0000-000064440000}"/>
    <cellStyle name="check 2 8 7" xfId="17538" xr:uid="{00000000-0005-0000-0000-000065440000}"/>
    <cellStyle name="check 2 8 8" xfId="17539" xr:uid="{00000000-0005-0000-0000-000066440000}"/>
    <cellStyle name="check 2 8 9" xfId="17540" xr:uid="{00000000-0005-0000-0000-000067440000}"/>
    <cellStyle name="check 2 9" xfId="17541" xr:uid="{00000000-0005-0000-0000-000068440000}"/>
    <cellStyle name="check 2 9 10" xfId="17542" xr:uid="{00000000-0005-0000-0000-000069440000}"/>
    <cellStyle name="check 2 9 11" xfId="17543" xr:uid="{00000000-0005-0000-0000-00006A440000}"/>
    <cellStyle name="check 2 9 12" xfId="17544" xr:uid="{00000000-0005-0000-0000-00006B440000}"/>
    <cellStyle name="check 2 9 13" xfId="17545" xr:uid="{00000000-0005-0000-0000-00006C440000}"/>
    <cellStyle name="check 2 9 2" xfId="17546" xr:uid="{00000000-0005-0000-0000-00006D440000}"/>
    <cellStyle name="check 2 9 2 10" xfId="17547" xr:uid="{00000000-0005-0000-0000-00006E440000}"/>
    <cellStyle name="check 2 9 2 11" xfId="17548" xr:uid="{00000000-0005-0000-0000-00006F440000}"/>
    <cellStyle name="check 2 9 2 12" xfId="17549" xr:uid="{00000000-0005-0000-0000-000070440000}"/>
    <cellStyle name="check 2 9 2 2" xfId="17550" xr:uid="{00000000-0005-0000-0000-000071440000}"/>
    <cellStyle name="check 2 9 2 2 10" xfId="17551" xr:uid="{00000000-0005-0000-0000-000072440000}"/>
    <cellStyle name="check 2 9 2 2 2" xfId="17552" xr:uid="{00000000-0005-0000-0000-000073440000}"/>
    <cellStyle name="check 2 9 2 2 3" xfId="17553" xr:uid="{00000000-0005-0000-0000-000074440000}"/>
    <cellStyle name="check 2 9 2 2 4" xfId="17554" xr:uid="{00000000-0005-0000-0000-000075440000}"/>
    <cellStyle name="check 2 9 2 2 5" xfId="17555" xr:uid="{00000000-0005-0000-0000-000076440000}"/>
    <cellStyle name="check 2 9 2 2 6" xfId="17556" xr:uid="{00000000-0005-0000-0000-000077440000}"/>
    <cellStyle name="check 2 9 2 2 7" xfId="17557" xr:uid="{00000000-0005-0000-0000-000078440000}"/>
    <cellStyle name="check 2 9 2 2 8" xfId="17558" xr:uid="{00000000-0005-0000-0000-000079440000}"/>
    <cellStyle name="check 2 9 2 2 9" xfId="17559" xr:uid="{00000000-0005-0000-0000-00007A440000}"/>
    <cellStyle name="check 2 9 2 3" xfId="17560" xr:uid="{00000000-0005-0000-0000-00007B440000}"/>
    <cellStyle name="check 2 9 2 4" xfId="17561" xr:uid="{00000000-0005-0000-0000-00007C440000}"/>
    <cellStyle name="check 2 9 2 5" xfId="17562" xr:uid="{00000000-0005-0000-0000-00007D440000}"/>
    <cellStyle name="check 2 9 2 6" xfId="17563" xr:uid="{00000000-0005-0000-0000-00007E440000}"/>
    <cellStyle name="check 2 9 2 7" xfId="17564" xr:uid="{00000000-0005-0000-0000-00007F440000}"/>
    <cellStyle name="check 2 9 2 8" xfId="17565" xr:uid="{00000000-0005-0000-0000-000080440000}"/>
    <cellStyle name="check 2 9 2 9" xfId="17566" xr:uid="{00000000-0005-0000-0000-000081440000}"/>
    <cellStyle name="check 2 9 3" xfId="17567" xr:uid="{00000000-0005-0000-0000-000082440000}"/>
    <cellStyle name="check 2 9 3 10" xfId="17568" xr:uid="{00000000-0005-0000-0000-000083440000}"/>
    <cellStyle name="check 2 9 3 11" xfId="17569" xr:uid="{00000000-0005-0000-0000-000084440000}"/>
    <cellStyle name="check 2 9 3 2" xfId="17570" xr:uid="{00000000-0005-0000-0000-000085440000}"/>
    <cellStyle name="check 2 9 3 3" xfId="17571" xr:uid="{00000000-0005-0000-0000-000086440000}"/>
    <cellStyle name="check 2 9 3 4" xfId="17572" xr:uid="{00000000-0005-0000-0000-000087440000}"/>
    <cellStyle name="check 2 9 3 5" xfId="17573" xr:uid="{00000000-0005-0000-0000-000088440000}"/>
    <cellStyle name="check 2 9 3 6" xfId="17574" xr:uid="{00000000-0005-0000-0000-000089440000}"/>
    <cellStyle name="check 2 9 3 7" xfId="17575" xr:uid="{00000000-0005-0000-0000-00008A440000}"/>
    <cellStyle name="check 2 9 3 8" xfId="17576" xr:uid="{00000000-0005-0000-0000-00008B440000}"/>
    <cellStyle name="check 2 9 3 9" xfId="17577" xr:uid="{00000000-0005-0000-0000-00008C440000}"/>
    <cellStyle name="check 2 9 4" xfId="17578" xr:uid="{00000000-0005-0000-0000-00008D440000}"/>
    <cellStyle name="check 2 9 5" xfId="17579" xr:uid="{00000000-0005-0000-0000-00008E440000}"/>
    <cellStyle name="check 2 9 6" xfId="17580" xr:uid="{00000000-0005-0000-0000-00008F440000}"/>
    <cellStyle name="check 2 9 7" xfId="17581" xr:uid="{00000000-0005-0000-0000-000090440000}"/>
    <cellStyle name="check 2 9 8" xfId="17582" xr:uid="{00000000-0005-0000-0000-000091440000}"/>
    <cellStyle name="check 2 9 9" xfId="17583" xr:uid="{00000000-0005-0000-0000-000092440000}"/>
    <cellStyle name="check 20" xfId="17584" xr:uid="{00000000-0005-0000-0000-000093440000}"/>
    <cellStyle name="check 21" xfId="17585" xr:uid="{00000000-0005-0000-0000-000094440000}"/>
    <cellStyle name="check 22" xfId="17586" xr:uid="{00000000-0005-0000-0000-000095440000}"/>
    <cellStyle name="check 23" xfId="17587" xr:uid="{00000000-0005-0000-0000-000096440000}"/>
    <cellStyle name="check 24" xfId="17588" xr:uid="{00000000-0005-0000-0000-000097440000}"/>
    <cellStyle name="check 25" xfId="17589" xr:uid="{00000000-0005-0000-0000-000098440000}"/>
    <cellStyle name="check 3" xfId="17590" xr:uid="{00000000-0005-0000-0000-000099440000}"/>
    <cellStyle name="check 3 10" xfId="17591" xr:uid="{00000000-0005-0000-0000-00009A440000}"/>
    <cellStyle name="check 3 11" xfId="17592" xr:uid="{00000000-0005-0000-0000-00009B440000}"/>
    <cellStyle name="check 3 12" xfId="17593" xr:uid="{00000000-0005-0000-0000-00009C440000}"/>
    <cellStyle name="check 3 13" xfId="17594" xr:uid="{00000000-0005-0000-0000-00009D440000}"/>
    <cellStyle name="check 3 2" xfId="17595" xr:uid="{00000000-0005-0000-0000-00009E440000}"/>
    <cellStyle name="check 3 2 10" xfId="17596" xr:uid="{00000000-0005-0000-0000-00009F440000}"/>
    <cellStyle name="check 3 2 11" xfId="17597" xr:uid="{00000000-0005-0000-0000-0000A0440000}"/>
    <cellStyle name="check 3 2 12" xfId="17598" xr:uid="{00000000-0005-0000-0000-0000A1440000}"/>
    <cellStyle name="check 3 2 2" xfId="17599" xr:uid="{00000000-0005-0000-0000-0000A2440000}"/>
    <cellStyle name="check 3 2 2 10" xfId="17600" xr:uid="{00000000-0005-0000-0000-0000A3440000}"/>
    <cellStyle name="check 3 2 2 2" xfId="17601" xr:uid="{00000000-0005-0000-0000-0000A4440000}"/>
    <cellStyle name="check 3 2 2 3" xfId="17602" xr:uid="{00000000-0005-0000-0000-0000A5440000}"/>
    <cellStyle name="check 3 2 2 4" xfId="17603" xr:uid="{00000000-0005-0000-0000-0000A6440000}"/>
    <cellStyle name="check 3 2 2 5" xfId="17604" xr:uid="{00000000-0005-0000-0000-0000A7440000}"/>
    <cellStyle name="check 3 2 2 6" xfId="17605" xr:uid="{00000000-0005-0000-0000-0000A8440000}"/>
    <cellStyle name="check 3 2 2 7" xfId="17606" xr:uid="{00000000-0005-0000-0000-0000A9440000}"/>
    <cellStyle name="check 3 2 2 8" xfId="17607" xr:uid="{00000000-0005-0000-0000-0000AA440000}"/>
    <cellStyle name="check 3 2 2 9" xfId="17608" xr:uid="{00000000-0005-0000-0000-0000AB440000}"/>
    <cellStyle name="check 3 2 3" xfId="17609" xr:uid="{00000000-0005-0000-0000-0000AC440000}"/>
    <cellStyle name="check 3 2 4" xfId="17610" xr:uid="{00000000-0005-0000-0000-0000AD440000}"/>
    <cellStyle name="check 3 2 5" xfId="17611" xr:uid="{00000000-0005-0000-0000-0000AE440000}"/>
    <cellStyle name="check 3 2 6" xfId="17612" xr:uid="{00000000-0005-0000-0000-0000AF440000}"/>
    <cellStyle name="check 3 2 7" xfId="17613" xr:uid="{00000000-0005-0000-0000-0000B0440000}"/>
    <cellStyle name="check 3 2 8" xfId="17614" xr:uid="{00000000-0005-0000-0000-0000B1440000}"/>
    <cellStyle name="check 3 2 9" xfId="17615" xr:uid="{00000000-0005-0000-0000-0000B2440000}"/>
    <cellStyle name="check 3 3" xfId="17616" xr:uid="{00000000-0005-0000-0000-0000B3440000}"/>
    <cellStyle name="check 3 3 10" xfId="17617" xr:uid="{00000000-0005-0000-0000-0000B4440000}"/>
    <cellStyle name="check 3 3 11" xfId="17618" xr:uid="{00000000-0005-0000-0000-0000B5440000}"/>
    <cellStyle name="check 3 3 2" xfId="17619" xr:uid="{00000000-0005-0000-0000-0000B6440000}"/>
    <cellStyle name="check 3 3 3" xfId="17620" xr:uid="{00000000-0005-0000-0000-0000B7440000}"/>
    <cellStyle name="check 3 3 4" xfId="17621" xr:uid="{00000000-0005-0000-0000-0000B8440000}"/>
    <cellStyle name="check 3 3 5" xfId="17622" xr:uid="{00000000-0005-0000-0000-0000B9440000}"/>
    <cellStyle name="check 3 3 6" xfId="17623" xr:uid="{00000000-0005-0000-0000-0000BA440000}"/>
    <cellStyle name="check 3 3 7" xfId="17624" xr:uid="{00000000-0005-0000-0000-0000BB440000}"/>
    <cellStyle name="check 3 3 8" xfId="17625" xr:uid="{00000000-0005-0000-0000-0000BC440000}"/>
    <cellStyle name="check 3 3 9" xfId="17626" xr:uid="{00000000-0005-0000-0000-0000BD440000}"/>
    <cellStyle name="check 3 4" xfId="17627" xr:uid="{00000000-0005-0000-0000-0000BE440000}"/>
    <cellStyle name="check 3 5" xfId="17628" xr:uid="{00000000-0005-0000-0000-0000BF440000}"/>
    <cellStyle name="check 3 6" xfId="17629" xr:uid="{00000000-0005-0000-0000-0000C0440000}"/>
    <cellStyle name="check 3 7" xfId="17630" xr:uid="{00000000-0005-0000-0000-0000C1440000}"/>
    <cellStyle name="check 3 8" xfId="17631" xr:uid="{00000000-0005-0000-0000-0000C2440000}"/>
    <cellStyle name="check 3 9" xfId="17632" xr:uid="{00000000-0005-0000-0000-0000C3440000}"/>
    <cellStyle name="check 4" xfId="17633" xr:uid="{00000000-0005-0000-0000-0000C4440000}"/>
    <cellStyle name="check 4 10" xfId="17634" xr:uid="{00000000-0005-0000-0000-0000C5440000}"/>
    <cellStyle name="check 4 11" xfId="17635" xr:uid="{00000000-0005-0000-0000-0000C6440000}"/>
    <cellStyle name="check 4 12" xfId="17636" xr:uid="{00000000-0005-0000-0000-0000C7440000}"/>
    <cellStyle name="check 4 13" xfId="17637" xr:uid="{00000000-0005-0000-0000-0000C8440000}"/>
    <cellStyle name="check 4 2" xfId="17638" xr:uid="{00000000-0005-0000-0000-0000C9440000}"/>
    <cellStyle name="check 4 2 10" xfId="17639" xr:uid="{00000000-0005-0000-0000-0000CA440000}"/>
    <cellStyle name="check 4 2 11" xfId="17640" xr:uid="{00000000-0005-0000-0000-0000CB440000}"/>
    <cellStyle name="check 4 2 12" xfId="17641" xr:uid="{00000000-0005-0000-0000-0000CC440000}"/>
    <cellStyle name="check 4 2 2" xfId="17642" xr:uid="{00000000-0005-0000-0000-0000CD440000}"/>
    <cellStyle name="check 4 2 2 10" xfId="17643" xr:uid="{00000000-0005-0000-0000-0000CE440000}"/>
    <cellStyle name="check 4 2 2 2" xfId="17644" xr:uid="{00000000-0005-0000-0000-0000CF440000}"/>
    <cellStyle name="check 4 2 2 3" xfId="17645" xr:uid="{00000000-0005-0000-0000-0000D0440000}"/>
    <cellStyle name="check 4 2 2 4" xfId="17646" xr:uid="{00000000-0005-0000-0000-0000D1440000}"/>
    <cellStyle name="check 4 2 2 5" xfId="17647" xr:uid="{00000000-0005-0000-0000-0000D2440000}"/>
    <cellStyle name="check 4 2 2 6" xfId="17648" xr:uid="{00000000-0005-0000-0000-0000D3440000}"/>
    <cellStyle name="check 4 2 2 7" xfId="17649" xr:uid="{00000000-0005-0000-0000-0000D4440000}"/>
    <cellStyle name="check 4 2 2 8" xfId="17650" xr:uid="{00000000-0005-0000-0000-0000D5440000}"/>
    <cellStyle name="check 4 2 2 9" xfId="17651" xr:uid="{00000000-0005-0000-0000-0000D6440000}"/>
    <cellStyle name="check 4 2 3" xfId="17652" xr:uid="{00000000-0005-0000-0000-0000D7440000}"/>
    <cellStyle name="check 4 2 4" xfId="17653" xr:uid="{00000000-0005-0000-0000-0000D8440000}"/>
    <cellStyle name="check 4 2 5" xfId="17654" xr:uid="{00000000-0005-0000-0000-0000D9440000}"/>
    <cellStyle name="check 4 2 6" xfId="17655" xr:uid="{00000000-0005-0000-0000-0000DA440000}"/>
    <cellStyle name="check 4 2 7" xfId="17656" xr:uid="{00000000-0005-0000-0000-0000DB440000}"/>
    <cellStyle name="check 4 2 8" xfId="17657" xr:uid="{00000000-0005-0000-0000-0000DC440000}"/>
    <cellStyle name="check 4 2 9" xfId="17658" xr:uid="{00000000-0005-0000-0000-0000DD440000}"/>
    <cellStyle name="check 4 3" xfId="17659" xr:uid="{00000000-0005-0000-0000-0000DE440000}"/>
    <cellStyle name="check 4 3 10" xfId="17660" xr:uid="{00000000-0005-0000-0000-0000DF440000}"/>
    <cellStyle name="check 4 3 11" xfId="17661" xr:uid="{00000000-0005-0000-0000-0000E0440000}"/>
    <cellStyle name="check 4 3 2" xfId="17662" xr:uid="{00000000-0005-0000-0000-0000E1440000}"/>
    <cellStyle name="check 4 3 3" xfId="17663" xr:uid="{00000000-0005-0000-0000-0000E2440000}"/>
    <cellStyle name="check 4 3 4" xfId="17664" xr:uid="{00000000-0005-0000-0000-0000E3440000}"/>
    <cellStyle name="check 4 3 5" xfId="17665" xr:uid="{00000000-0005-0000-0000-0000E4440000}"/>
    <cellStyle name="check 4 3 6" xfId="17666" xr:uid="{00000000-0005-0000-0000-0000E5440000}"/>
    <cellStyle name="check 4 3 7" xfId="17667" xr:uid="{00000000-0005-0000-0000-0000E6440000}"/>
    <cellStyle name="check 4 3 8" xfId="17668" xr:uid="{00000000-0005-0000-0000-0000E7440000}"/>
    <cellStyle name="check 4 3 9" xfId="17669" xr:uid="{00000000-0005-0000-0000-0000E8440000}"/>
    <cellStyle name="check 4 4" xfId="17670" xr:uid="{00000000-0005-0000-0000-0000E9440000}"/>
    <cellStyle name="check 4 5" xfId="17671" xr:uid="{00000000-0005-0000-0000-0000EA440000}"/>
    <cellStyle name="check 4 6" xfId="17672" xr:uid="{00000000-0005-0000-0000-0000EB440000}"/>
    <cellStyle name="check 4 7" xfId="17673" xr:uid="{00000000-0005-0000-0000-0000EC440000}"/>
    <cellStyle name="check 4 8" xfId="17674" xr:uid="{00000000-0005-0000-0000-0000ED440000}"/>
    <cellStyle name="check 4 9" xfId="17675" xr:uid="{00000000-0005-0000-0000-0000EE440000}"/>
    <cellStyle name="check 5" xfId="17676" xr:uid="{00000000-0005-0000-0000-0000EF440000}"/>
    <cellStyle name="check 5 10" xfId="17677" xr:uid="{00000000-0005-0000-0000-0000F0440000}"/>
    <cellStyle name="check 5 11" xfId="17678" xr:uid="{00000000-0005-0000-0000-0000F1440000}"/>
    <cellStyle name="check 5 12" xfId="17679" xr:uid="{00000000-0005-0000-0000-0000F2440000}"/>
    <cellStyle name="check 5 13" xfId="17680" xr:uid="{00000000-0005-0000-0000-0000F3440000}"/>
    <cellStyle name="check 5 2" xfId="17681" xr:uid="{00000000-0005-0000-0000-0000F4440000}"/>
    <cellStyle name="check 5 2 10" xfId="17682" xr:uid="{00000000-0005-0000-0000-0000F5440000}"/>
    <cellStyle name="check 5 2 11" xfId="17683" xr:uid="{00000000-0005-0000-0000-0000F6440000}"/>
    <cellStyle name="check 5 2 12" xfId="17684" xr:uid="{00000000-0005-0000-0000-0000F7440000}"/>
    <cellStyle name="check 5 2 2" xfId="17685" xr:uid="{00000000-0005-0000-0000-0000F8440000}"/>
    <cellStyle name="check 5 2 2 10" xfId="17686" xr:uid="{00000000-0005-0000-0000-0000F9440000}"/>
    <cellStyle name="check 5 2 2 2" xfId="17687" xr:uid="{00000000-0005-0000-0000-0000FA440000}"/>
    <cellStyle name="check 5 2 2 3" xfId="17688" xr:uid="{00000000-0005-0000-0000-0000FB440000}"/>
    <cellStyle name="check 5 2 2 4" xfId="17689" xr:uid="{00000000-0005-0000-0000-0000FC440000}"/>
    <cellStyle name="check 5 2 2 5" xfId="17690" xr:uid="{00000000-0005-0000-0000-0000FD440000}"/>
    <cellStyle name="check 5 2 2 6" xfId="17691" xr:uid="{00000000-0005-0000-0000-0000FE440000}"/>
    <cellStyle name="check 5 2 2 7" xfId="17692" xr:uid="{00000000-0005-0000-0000-0000FF440000}"/>
    <cellStyle name="check 5 2 2 8" xfId="17693" xr:uid="{00000000-0005-0000-0000-000000450000}"/>
    <cellStyle name="check 5 2 2 9" xfId="17694" xr:uid="{00000000-0005-0000-0000-000001450000}"/>
    <cellStyle name="check 5 2 3" xfId="17695" xr:uid="{00000000-0005-0000-0000-000002450000}"/>
    <cellStyle name="check 5 2 4" xfId="17696" xr:uid="{00000000-0005-0000-0000-000003450000}"/>
    <cellStyle name="check 5 2 5" xfId="17697" xr:uid="{00000000-0005-0000-0000-000004450000}"/>
    <cellStyle name="check 5 2 6" xfId="17698" xr:uid="{00000000-0005-0000-0000-000005450000}"/>
    <cellStyle name="check 5 2 7" xfId="17699" xr:uid="{00000000-0005-0000-0000-000006450000}"/>
    <cellStyle name="check 5 2 8" xfId="17700" xr:uid="{00000000-0005-0000-0000-000007450000}"/>
    <cellStyle name="check 5 2 9" xfId="17701" xr:uid="{00000000-0005-0000-0000-000008450000}"/>
    <cellStyle name="check 5 3" xfId="17702" xr:uid="{00000000-0005-0000-0000-000009450000}"/>
    <cellStyle name="check 5 3 10" xfId="17703" xr:uid="{00000000-0005-0000-0000-00000A450000}"/>
    <cellStyle name="check 5 3 11" xfId="17704" xr:uid="{00000000-0005-0000-0000-00000B450000}"/>
    <cellStyle name="check 5 3 2" xfId="17705" xr:uid="{00000000-0005-0000-0000-00000C450000}"/>
    <cellStyle name="check 5 3 3" xfId="17706" xr:uid="{00000000-0005-0000-0000-00000D450000}"/>
    <cellStyle name="check 5 3 4" xfId="17707" xr:uid="{00000000-0005-0000-0000-00000E450000}"/>
    <cellStyle name="check 5 3 5" xfId="17708" xr:uid="{00000000-0005-0000-0000-00000F450000}"/>
    <cellStyle name="check 5 3 6" xfId="17709" xr:uid="{00000000-0005-0000-0000-000010450000}"/>
    <cellStyle name="check 5 3 7" xfId="17710" xr:uid="{00000000-0005-0000-0000-000011450000}"/>
    <cellStyle name="check 5 3 8" xfId="17711" xr:uid="{00000000-0005-0000-0000-000012450000}"/>
    <cellStyle name="check 5 3 9" xfId="17712" xr:uid="{00000000-0005-0000-0000-000013450000}"/>
    <cellStyle name="check 5 4" xfId="17713" xr:uid="{00000000-0005-0000-0000-000014450000}"/>
    <cellStyle name="check 5 5" xfId="17714" xr:uid="{00000000-0005-0000-0000-000015450000}"/>
    <cellStyle name="check 5 6" xfId="17715" xr:uid="{00000000-0005-0000-0000-000016450000}"/>
    <cellStyle name="check 5 7" xfId="17716" xr:uid="{00000000-0005-0000-0000-000017450000}"/>
    <cellStyle name="check 5 8" xfId="17717" xr:uid="{00000000-0005-0000-0000-000018450000}"/>
    <cellStyle name="check 5 9" xfId="17718" xr:uid="{00000000-0005-0000-0000-000019450000}"/>
    <cellStyle name="check 6" xfId="17719" xr:uid="{00000000-0005-0000-0000-00001A450000}"/>
    <cellStyle name="check 6 10" xfId="17720" xr:uid="{00000000-0005-0000-0000-00001B450000}"/>
    <cellStyle name="check 6 11" xfId="17721" xr:uid="{00000000-0005-0000-0000-00001C450000}"/>
    <cellStyle name="check 6 12" xfId="17722" xr:uid="{00000000-0005-0000-0000-00001D450000}"/>
    <cellStyle name="check 6 13" xfId="17723" xr:uid="{00000000-0005-0000-0000-00001E450000}"/>
    <cellStyle name="check 6 2" xfId="17724" xr:uid="{00000000-0005-0000-0000-00001F450000}"/>
    <cellStyle name="check 6 2 10" xfId="17725" xr:uid="{00000000-0005-0000-0000-000020450000}"/>
    <cellStyle name="check 6 2 11" xfId="17726" xr:uid="{00000000-0005-0000-0000-000021450000}"/>
    <cellStyle name="check 6 2 12" xfId="17727" xr:uid="{00000000-0005-0000-0000-000022450000}"/>
    <cellStyle name="check 6 2 2" xfId="17728" xr:uid="{00000000-0005-0000-0000-000023450000}"/>
    <cellStyle name="check 6 2 2 10" xfId="17729" xr:uid="{00000000-0005-0000-0000-000024450000}"/>
    <cellStyle name="check 6 2 2 2" xfId="17730" xr:uid="{00000000-0005-0000-0000-000025450000}"/>
    <cellStyle name="check 6 2 2 3" xfId="17731" xr:uid="{00000000-0005-0000-0000-000026450000}"/>
    <cellStyle name="check 6 2 2 4" xfId="17732" xr:uid="{00000000-0005-0000-0000-000027450000}"/>
    <cellStyle name="check 6 2 2 5" xfId="17733" xr:uid="{00000000-0005-0000-0000-000028450000}"/>
    <cellStyle name="check 6 2 2 6" xfId="17734" xr:uid="{00000000-0005-0000-0000-000029450000}"/>
    <cellStyle name="check 6 2 2 7" xfId="17735" xr:uid="{00000000-0005-0000-0000-00002A450000}"/>
    <cellStyle name="check 6 2 2 8" xfId="17736" xr:uid="{00000000-0005-0000-0000-00002B450000}"/>
    <cellStyle name="check 6 2 2 9" xfId="17737" xr:uid="{00000000-0005-0000-0000-00002C450000}"/>
    <cellStyle name="check 6 2 3" xfId="17738" xr:uid="{00000000-0005-0000-0000-00002D450000}"/>
    <cellStyle name="check 6 2 4" xfId="17739" xr:uid="{00000000-0005-0000-0000-00002E450000}"/>
    <cellStyle name="check 6 2 5" xfId="17740" xr:uid="{00000000-0005-0000-0000-00002F450000}"/>
    <cellStyle name="check 6 2 6" xfId="17741" xr:uid="{00000000-0005-0000-0000-000030450000}"/>
    <cellStyle name="check 6 2 7" xfId="17742" xr:uid="{00000000-0005-0000-0000-000031450000}"/>
    <cellStyle name="check 6 2 8" xfId="17743" xr:uid="{00000000-0005-0000-0000-000032450000}"/>
    <cellStyle name="check 6 2 9" xfId="17744" xr:uid="{00000000-0005-0000-0000-000033450000}"/>
    <cellStyle name="check 6 3" xfId="17745" xr:uid="{00000000-0005-0000-0000-000034450000}"/>
    <cellStyle name="check 6 3 10" xfId="17746" xr:uid="{00000000-0005-0000-0000-000035450000}"/>
    <cellStyle name="check 6 3 11" xfId="17747" xr:uid="{00000000-0005-0000-0000-000036450000}"/>
    <cellStyle name="check 6 3 2" xfId="17748" xr:uid="{00000000-0005-0000-0000-000037450000}"/>
    <cellStyle name="check 6 3 3" xfId="17749" xr:uid="{00000000-0005-0000-0000-000038450000}"/>
    <cellStyle name="check 6 3 4" xfId="17750" xr:uid="{00000000-0005-0000-0000-000039450000}"/>
    <cellStyle name="check 6 3 5" xfId="17751" xr:uid="{00000000-0005-0000-0000-00003A450000}"/>
    <cellStyle name="check 6 3 6" xfId="17752" xr:uid="{00000000-0005-0000-0000-00003B450000}"/>
    <cellStyle name="check 6 3 7" xfId="17753" xr:uid="{00000000-0005-0000-0000-00003C450000}"/>
    <cellStyle name="check 6 3 8" xfId="17754" xr:uid="{00000000-0005-0000-0000-00003D450000}"/>
    <cellStyle name="check 6 3 9" xfId="17755" xr:uid="{00000000-0005-0000-0000-00003E450000}"/>
    <cellStyle name="check 6 4" xfId="17756" xr:uid="{00000000-0005-0000-0000-00003F450000}"/>
    <cellStyle name="check 6 5" xfId="17757" xr:uid="{00000000-0005-0000-0000-000040450000}"/>
    <cellStyle name="check 6 6" xfId="17758" xr:uid="{00000000-0005-0000-0000-000041450000}"/>
    <cellStyle name="check 6 7" xfId="17759" xr:uid="{00000000-0005-0000-0000-000042450000}"/>
    <cellStyle name="check 6 8" xfId="17760" xr:uid="{00000000-0005-0000-0000-000043450000}"/>
    <cellStyle name="check 6 9" xfId="17761" xr:uid="{00000000-0005-0000-0000-000044450000}"/>
    <cellStyle name="check 7" xfId="17762" xr:uid="{00000000-0005-0000-0000-000045450000}"/>
    <cellStyle name="check 7 10" xfId="17763" xr:uid="{00000000-0005-0000-0000-000046450000}"/>
    <cellStyle name="check 7 11" xfId="17764" xr:uid="{00000000-0005-0000-0000-000047450000}"/>
    <cellStyle name="check 7 12" xfId="17765" xr:uid="{00000000-0005-0000-0000-000048450000}"/>
    <cellStyle name="check 7 13" xfId="17766" xr:uid="{00000000-0005-0000-0000-000049450000}"/>
    <cellStyle name="check 7 2" xfId="17767" xr:uid="{00000000-0005-0000-0000-00004A450000}"/>
    <cellStyle name="check 7 2 10" xfId="17768" xr:uid="{00000000-0005-0000-0000-00004B450000}"/>
    <cellStyle name="check 7 2 11" xfId="17769" xr:uid="{00000000-0005-0000-0000-00004C450000}"/>
    <cellStyle name="check 7 2 12" xfId="17770" xr:uid="{00000000-0005-0000-0000-00004D450000}"/>
    <cellStyle name="check 7 2 2" xfId="17771" xr:uid="{00000000-0005-0000-0000-00004E450000}"/>
    <cellStyle name="check 7 2 2 10" xfId="17772" xr:uid="{00000000-0005-0000-0000-00004F450000}"/>
    <cellStyle name="check 7 2 2 2" xfId="17773" xr:uid="{00000000-0005-0000-0000-000050450000}"/>
    <cellStyle name="check 7 2 2 3" xfId="17774" xr:uid="{00000000-0005-0000-0000-000051450000}"/>
    <cellStyle name="check 7 2 2 4" xfId="17775" xr:uid="{00000000-0005-0000-0000-000052450000}"/>
    <cellStyle name="check 7 2 2 5" xfId="17776" xr:uid="{00000000-0005-0000-0000-000053450000}"/>
    <cellStyle name="check 7 2 2 6" xfId="17777" xr:uid="{00000000-0005-0000-0000-000054450000}"/>
    <cellStyle name="check 7 2 2 7" xfId="17778" xr:uid="{00000000-0005-0000-0000-000055450000}"/>
    <cellStyle name="check 7 2 2 8" xfId="17779" xr:uid="{00000000-0005-0000-0000-000056450000}"/>
    <cellStyle name="check 7 2 2 9" xfId="17780" xr:uid="{00000000-0005-0000-0000-000057450000}"/>
    <cellStyle name="check 7 2 3" xfId="17781" xr:uid="{00000000-0005-0000-0000-000058450000}"/>
    <cellStyle name="check 7 2 4" xfId="17782" xr:uid="{00000000-0005-0000-0000-000059450000}"/>
    <cellStyle name="check 7 2 5" xfId="17783" xr:uid="{00000000-0005-0000-0000-00005A450000}"/>
    <cellStyle name="check 7 2 6" xfId="17784" xr:uid="{00000000-0005-0000-0000-00005B450000}"/>
    <cellStyle name="check 7 2 7" xfId="17785" xr:uid="{00000000-0005-0000-0000-00005C450000}"/>
    <cellStyle name="check 7 2 8" xfId="17786" xr:uid="{00000000-0005-0000-0000-00005D450000}"/>
    <cellStyle name="check 7 2 9" xfId="17787" xr:uid="{00000000-0005-0000-0000-00005E450000}"/>
    <cellStyle name="check 7 3" xfId="17788" xr:uid="{00000000-0005-0000-0000-00005F450000}"/>
    <cellStyle name="check 7 3 10" xfId="17789" xr:uid="{00000000-0005-0000-0000-000060450000}"/>
    <cellStyle name="check 7 3 11" xfId="17790" xr:uid="{00000000-0005-0000-0000-000061450000}"/>
    <cellStyle name="check 7 3 2" xfId="17791" xr:uid="{00000000-0005-0000-0000-000062450000}"/>
    <cellStyle name="check 7 3 3" xfId="17792" xr:uid="{00000000-0005-0000-0000-000063450000}"/>
    <cellStyle name="check 7 3 4" xfId="17793" xr:uid="{00000000-0005-0000-0000-000064450000}"/>
    <cellStyle name="check 7 3 5" xfId="17794" xr:uid="{00000000-0005-0000-0000-000065450000}"/>
    <cellStyle name="check 7 3 6" xfId="17795" xr:uid="{00000000-0005-0000-0000-000066450000}"/>
    <cellStyle name="check 7 3 7" xfId="17796" xr:uid="{00000000-0005-0000-0000-000067450000}"/>
    <cellStyle name="check 7 3 8" xfId="17797" xr:uid="{00000000-0005-0000-0000-000068450000}"/>
    <cellStyle name="check 7 3 9" xfId="17798" xr:uid="{00000000-0005-0000-0000-000069450000}"/>
    <cellStyle name="check 7 4" xfId="17799" xr:uid="{00000000-0005-0000-0000-00006A450000}"/>
    <cellStyle name="check 7 5" xfId="17800" xr:uid="{00000000-0005-0000-0000-00006B450000}"/>
    <cellStyle name="check 7 6" xfId="17801" xr:uid="{00000000-0005-0000-0000-00006C450000}"/>
    <cellStyle name="check 7 7" xfId="17802" xr:uid="{00000000-0005-0000-0000-00006D450000}"/>
    <cellStyle name="check 7 8" xfId="17803" xr:uid="{00000000-0005-0000-0000-00006E450000}"/>
    <cellStyle name="check 7 9" xfId="17804" xr:uid="{00000000-0005-0000-0000-00006F450000}"/>
    <cellStyle name="check 8" xfId="17805" xr:uid="{00000000-0005-0000-0000-000070450000}"/>
    <cellStyle name="check 8 10" xfId="17806" xr:uid="{00000000-0005-0000-0000-000071450000}"/>
    <cellStyle name="check 8 11" xfId="17807" xr:uid="{00000000-0005-0000-0000-000072450000}"/>
    <cellStyle name="check 8 12" xfId="17808" xr:uid="{00000000-0005-0000-0000-000073450000}"/>
    <cellStyle name="check 8 13" xfId="17809" xr:uid="{00000000-0005-0000-0000-000074450000}"/>
    <cellStyle name="check 8 2" xfId="17810" xr:uid="{00000000-0005-0000-0000-000075450000}"/>
    <cellStyle name="check 8 2 10" xfId="17811" xr:uid="{00000000-0005-0000-0000-000076450000}"/>
    <cellStyle name="check 8 2 11" xfId="17812" xr:uid="{00000000-0005-0000-0000-000077450000}"/>
    <cellStyle name="check 8 2 12" xfId="17813" xr:uid="{00000000-0005-0000-0000-000078450000}"/>
    <cellStyle name="check 8 2 2" xfId="17814" xr:uid="{00000000-0005-0000-0000-000079450000}"/>
    <cellStyle name="check 8 2 2 10" xfId="17815" xr:uid="{00000000-0005-0000-0000-00007A450000}"/>
    <cellStyle name="check 8 2 2 2" xfId="17816" xr:uid="{00000000-0005-0000-0000-00007B450000}"/>
    <cellStyle name="check 8 2 2 3" xfId="17817" xr:uid="{00000000-0005-0000-0000-00007C450000}"/>
    <cellStyle name="check 8 2 2 4" xfId="17818" xr:uid="{00000000-0005-0000-0000-00007D450000}"/>
    <cellStyle name="check 8 2 2 5" xfId="17819" xr:uid="{00000000-0005-0000-0000-00007E450000}"/>
    <cellStyle name="check 8 2 2 6" xfId="17820" xr:uid="{00000000-0005-0000-0000-00007F450000}"/>
    <cellStyle name="check 8 2 2 7" xfId="17821" xr:uid="{00000000-0005-0000-0000-000080450000}"/>
    <cellStyle name="check 8 2 2 8" xfId="17822" xr:uid="{00000000-0005-0000-0000-000081450000}"/>
    <cellStyle name="check 8 2 2 9" xfId="17823" xr:uid="{00000000-0005-0000-0000-000082450000}"/>
    <cellStyle name="check 8 2 3" xfId="17824" xr:uid="{00000000-0005-0000-0000-000083450000}"/>
    <cellStyle name="check 8 2 4" xfId="17825" xr:uid="{00000000-0005-0000-0000-000084450000}"/>
    <cellStyle name="check 8 2 5" xfId="17826" xr:uid="{00000000-0005-0000-0000-000085450000}"/>
    <cellStyle name="check 8 2 6" xfId="17827" xr:uid="{00000000-0005-0000-0000-000086450000}"/>
    <cellStyle name="check 8 2 7" xfId="17828" xr:uid="{00000000-0005-0000-0000-000087450000}"/>
    <cellStyle name="check 8 2 8" xfId="17829" xr:uid="{00000000-0005-0000-0000-000088450000}"/>
    <cellStyle name="check 8 2 9" xfId="17830" xr:uid="{00000000-0005-0000-0000-000089450000}"/>
    <cellStyle name="check 8 3" xfId="17831" xr:uid="{00000000-0005-0000-0000-00008A450000}"/>
    <cellStyle name="check 8 3 10" xfId="17832" xr:uid="{00000000-0005-0000-0000-00008B450000}"/>
    <cellStyle name="check 8 3 11" xfId="17833" xr:uid="{00000000-0005-0000-0000-00008C450000}"/>
    <cellStyle name="check 8 3 2" xfId="17834" xr:uid="{00000000-0005-0000-0000-00008D450000}"/>
    <cellStyle name="check 8 3 3" xfId="17835" xr:uid="{00000000-0005-0000-0000-00008E450000}"/>
    <cellStyle name="check 8 3 4" xfId="17836" xr:uid="{00000000-0005-0000-0000-00008F450000}"/>
    <cellStyle name="check 8 3 5" xfId="17837" xr:uid="{00000000-0005-0000-0000-000090450000}"/>
    <cellStyle name="check 8 3 6" xfId="17838" xr:uid="{00000000-0005-0000-0000-000091450000}"/>
    <cellStyle name="check 8 3 7" xfId="17839" xr:uid="{00000000-0005-0000-0000-000092450000}"/>
    <cellStyle name="check 8 3 8" xfId="17840" xr:uid="{00000000-0005-0000-0000-000093450000}"/>
    <cellStyle name="check 8 3 9" xfId="17841" xr:uid="{00000000-0005-0000-0000-000094450000}"/>
    <cellStyle name="check 8 4" xfId="17842" xr:uid="{00000000-0005-0000-0000-000095450000}"/>
    <cellStyle name="check 8 5" xfId="17843" xr:uid="{00000000-0005-0000-0000-000096450000}"/>
    <cellStyle name="check 8 6" xfId="17844" xr:uid="{00000000-0005-0000-0000-000097450000}"/>
    <cellStyle name="check 8 7" xfId="17845" xr:uid="{00000000-0005-0000-0000-000098450000}"/>
    <cellStyle name="check 8 8" xfId="17846" xr:uid="{00000000-0005-0000-0000-000099450000}"/>
    <cellStyle name="check 8 9" xfId="17847" xr:uid="{00000000-0005-0000-0000-00009A450000}"/>
    <cellStyle name="check 9" xfId="17848" xr:uid="{00000000-0005-0000-0000-00009B450000}"/>
    <cellStyle name="check 9 10" xfId="17849" xr:uid="{00000000-0005-0000-0000-00009C450000}"/>
    <cellStyle name="check 9 11" xfId="17850" xr:uid="{00000000-0005-0000-0000-00009D450000}"/>
    <cellStyle name="check 9 12" xfId="17851" xr:uid="{00000000-0005-0000-0000-00009E450000}"/>
    <cellStyle name="check 9 13" xfId="17852" xr:uid="{00000000-0005-0000-0000-00009F450000}"/>
    <cellStyle name="check 9 2" xfId="17853" xr:uid="{00000000-0005-0000-0000-0000A0450000}"/>
    <cellStyle name="check 9 2 10" xfId="17854" xr:uid="{00000000-0005-0000-0000-0000A1450000}"/>
    <cellStyle name="check 9 2 11" xfId="17855" xr:uid="{00000000-0005-0000-0000-0000A2450000}"/>
    <cellStyle name="check 9 2 12" xfId="17856" xr:uid="{00000000-0005-0000-0000-0000A3450000}"/>
    <cellStyle name="check 9 2 2" xfId="17857" xr:uid="{00000000-0005-0000-0000-0000A4450000}"/>
    <cellStyle name="check 9 2 2 10" xfId="17858" xr:uid="{00000000-0005-0000-0000-0000A5450000}"/>
    <cellStyle name="check 9 2 2 2" xfId="17859" xr:uid="{00000000-0005-0000-0000-0000A6450000}"/>
    <cellStyle name="check 9 2 2 3" xfId="17860" xr:uid="{00000000-0005-0000-0000-0000A7450000}"/>
    <cellStyle name="check 9 2 2 4" xfId="17861" xr:uid="{00000000-0005-0000-0000-0000A8450000}"/>
    <cellStyle name="check 9 2 2 5" xfId="17862" xr:uid="{00000000-0005-0000-0000-0000A9450000}"/>
    <cellStyle name="check 9 2 2 6" xfId="17863" xr:uid="{00000000-0005-0000-0000-0000AA450000}"/>
    <cellStyle name="check 9 2 2 7" xfId="17864" xr:uid="{00000000-0005-0000-0000-0000AB450000}"/>
    <cellStyle name="check 9 2 2 8" xfId="17865" xr:uid="{00000000-0005-0000-0000-0000AC450000}"/>
    <cellStyle name="check 9 2 2 9" xfId="17866" xr:uid="{00000000-0005-0000-0000-0000AD450000}"/>
    <cellStyle name="check 9 2 3" xfId="17867" xr:uid="{00000000-0005-0000-0000-0000AE450000}"/>
    <cellStyle name="check 9 2 4" xfId="17868" xr:uid="{00000000-0005-0000-0000-0000AF450000}"/>
    <cellStyle name="check 9 2 5" xfId="17869" xr:uid="{00000000-0005-0000-0000-0000B0450000}"/>
    <cellStyle name="check 9 2 6" xfId="17870" xr:uid="{00000000-0005-0000-0000-0000B1450000}"/>
    <cellStyle name="check 9 2 7" xfId="17871" xr:uid="{00000000-0005-0000-0000-0000B2450000}"/>
    <cellStyle name="check 9 2 8" xfId="17872" xr:uid="{00000000-0005-0000-0000-0000B3450000}"/>
    <cellStyle name="check 9 2 9" xfId="17873" xr:uid="{00000000-0005-0000-0000-0000B4450000}"/>
    <cellStyle name="check 9 3" xfId="17874" xr:uid="{00000000-0005-0000-0000-0000B5450000}"/>
    <cellStyle name="check 9 3 10" xfId="17875" xr:uid="{00000000-0005-0000-0000-0000B6450000}"/>
    <cellStyle name="check 9 3 11" xfId="17876" xr:uid="{00000000-0005-0000-0000-0000B7450000}"/>
    <cellStyle name="check 9 3 2" xfId="17877" xr:uid="{00000000-0005-0000-0000-0000B8450000}"/>
    <cellStyle name="check 9 3 3" xfId="17878" xr:uid="{00000000-0005-0000-0000-0000B9450000}"/>
    <cellStyle name="check 9 3 4" xfId="17879" xr:uid="{00000000-0005-0000-0000-0000BA450000}"/>
    <cellStyle name="check 9 3 5" xfId="17880" xr:uid="{00000000-0005-0000-0000-0000BB450000}"/>
    <cellStyle name="check 9 3 6" xfId="17881" xr:uid="{00000000-0005-0000-0000-0000BC450000}"/>
    <cellStyle name="check 9 3 7" xfId="17882" xr:uid="{00000000-0005-0000-0000-0000BD450000}"/>
    <cellStyle name="check 9 3 8" xfId="17883" xr:uid="{00000000-0005-0000-0000-0000BE450000}"/>
    <cellStyle name="check 9 3 9" xfId="17884" xr:uid="{00000000-0005-0000-0000-0000BF450000}"/>
    <cellStyle name="check 9 4" xfId="17885" xr:uid="{00000000-0005-0000-0000-0000C0450000}"/>
    <cellStyle name="check 9 5" xfId="17886" xr:uid="{00000000-0005-0000-0000-0000C1450000}"/>
    <cellStyle name="check 9 6" xfId="17887" xr:uid="{00000000-0005-0000-0000-0000C2450000}"/>
    <cellStyle name="check 9 7" xfId="17888" xr:uid="{00000000-0005-0000-0000-0000C3450000}"/>
    <cellStyle name="check 9 8" xfId="17889" xr:uid="{00000000-0005-0000-0000-0000C4450000}"/>
    <cellStyle name="check 9 9" xfId="17890" xr:uid="{00000000-0005-0000-0000-0000C5450000}"/>
    <cellStyle name="Check Cell" xfId="17891" xr:uid="{00000000-0005-0000-0000-0000C6450000}"/>
    <cellStyle name="Check Cell 2" xfId="17892" xr:uid="{00000000-0005-0000-0000-0000C7450000}"/>
    <cellStyle name="Check Cell 3" xfId="17893" xr:uid="{00000000-0005-0000-0000-0000C8450000}"/>
    <cellStyle name="Check Cell 4" xfId="17894" xr:uid="{00000000-0005-0000-0000-0000C9450000}"/>
    <cellStyle name="Check Cell 5" xfId="17895" xr:uid="{00000000-0005-0000-0000-0000CA450000}"/>
    <cellStyle name="CHPAboveAverage" xfId="17896" xr:uid="{00000000-0005-0000-0000-0000CB450000}"/>
    <cellStyle name="CHPAboveAverage 2" xfId="17897" xr:uid="{00000000-0005-0000-0000-0000CC450000}"/>
    <cellStyle name="CHPAboveAverage 3" xfId="17898" xr:uid="{00000000-0005-0000-0000-0000CD450000}"/>
    <cellStyle name="CHPBelowAverage" xfId="17899" xr:uid="{00000000-0005-0000-0000-0000CE450000}"/>
    <cellStyle name="CHPBelowAverage 2" xfId="17900" xr:uid="{00000000-0005-0000-0000-0000CF450000}"/>
    <cellStyle name="CHPBelowAverage 3" xfId="17901" xr:uid="{00000000-0005-0000-0000-0000D0450000}"/>
    <cellStyle name="CHPBottom" xfId="17902" xr:uid="{00000000-0005-0000-0000-0000D1450000}"/>
    <cellStyle name="CHPBottom 2" xfId="17903" xr:uid="{00000000-0005-0000-0000-0000D2450000}"/>
    <cellStyle name="CHPBottom 3" xfId="17904" xr:uid="{00000000-0005-0000-0000-0000D3450000}"/>
    <cellStyle name="CHPTop" xfId="17905" xr:uid="{00000000-0005-0000-0000-0000D4450000}"/>
    <cellStyle name="CHPTop 2" xfId="17906" xr:uid="{00000000-0005-0000-0000-0000D5450000}"/>
    <cellStyle name="CHPTop 3" xfId="17907" xr:uid="{00000000-0005-0000-0000-0000D6450000}"/>
    <cellStyle name="Cifras" xfId="17908" xr:uid="{00000000-0005-0000-0000-0000D7450000}"/>
    <cellStyle name="co" xfId="17909" xr:uid="{00000000-0005-0000-0000-0000D8450000}"/>
    <cellStyle name="co 2" xfId="17910" xr:uid="{00000000-0005-0000-0000-0000D9450000}"/>
    <cellStyle name="Code" xfId="17911" xr:uid="{00000000-0005-0000-0000-0000DA450000}"/>
    <cellStyle name="Code Section" xfId="17912" xr:uid="{00000000-0005-0000-0000-0000DB450000}"/>
    <cellStyle name="Code Section 2" xfId="17913" xr:uid="{00000000-0005-0000-0000-0000DC450000}"/>
    <cellStyle name="Code Section 3" xfId="17914" xr:uid="{00000000-0005-0000-0000-0000DD450000}"/>
    <cellStyle name="Code Section 4" xfId="17915" xr:uid="{00000000-0005-0000-0000-0000DE450000}"/>
    <cellStyle name="Code Section 5" xfId="17916" xr:uid="{00000000-0005-0000-0000-0000DF450000}"/>
    <cellStyle name="Col Heads" xfId="17917" xr:uid="{00000000-0005-0000-0000-0000E0450000}"/>
    <cellStyle name="Collegamento ipertestuale" xfId="17918" xr:uid="{00000000-0005-0000-0000-0000E1450000}"/>
    <cellStyle name="Collegamento ipertestuale visitato" xfId="17919" xr:uid="{00000000-0005-0000-0000-0000E2450000}"/>
    <cellStyle name="collegato altro file" xfId="17920" xr:uid="{00000000-0005-0000-0000-0000E3450000}"/>
    <cellStyle name="Collegato altro foglio" xfId="17921" xr:uid="{00000000-0005-0000-0000-0000E4450000}"/>
    <cellStyle name="Color_Anna" xfId="17922" xr:uid="{00000000-0005-0000-0000-0000E5450000}"/>
    <cellStyle name="ColorHeader" xfId="17923" xr:uid="{00000000-0005-0000-0000-0000E6450000}"/>
    <cellStyle name="column1" xfId="17924" xr:uid="{00000000-0005-0000-0000-0000E7450000}"/>
    <cellStyle name="column1Big" xfId="17925" xr:uid="{00000000-0005-0000-0000-0000E8450000}"/>
    <cellStyle name="column1Date" xfId="17926" xr:uid="{00000000-0005-0000-0000-0000E9450000}"/>
    <cellStyle name="ColumnHeaderNormal" xfId="17927" xr:uid="{00000000-0005-0000-0000-0000EA450000}"/>
    <cellStyle name="ColumnHeaderNormal 2" xfId="17928" xr:uid="{00000000-0005-0000-0000-0000EB450000}"/>
    <cellStyle name="ColumnHeaderNormal 3" xfId="17929" xr:uid="{00000000-0005-0000-0000-0000EC450000}"/>
    <cellStyle name="ColumnHeaderNormal 4" xfId="17930" xr:uid="{00000000-0005-0000-0000-0000ED450000}"/>
    <cellStyle name="ColumnHeading" xfId="17931" xr:uid="{00000000-0005-0000-0000-0000EE450000}"/>
    <cellStyle name="ColumnLabel" xfId="17932" xr:uid="{00000000-0005-0000-0000-0000EF450000}"/>
    <cellStyle name="Coma0" xfId="17933" xr:uid="{00000000-0005-0000-0000-0000F0450000}"/>
    <cellStyle name="Coma1" xfId="17934" xr:uid="{00000000-0005-0000-0000-0000F1450000}"/>
    <cellStyle name="Comma" xfId="17935" xr:uid="{00000000-0005-0000-0000-0000F2450000}"/>
    <cellStyle name="Comma  - Style1" xfId="17936" xr:uid="{00000000-0005-0000-0000-0000F3450000}"/>
    <cellStyle name="Comma  - Style2" xfId="17937" xr:uid="{00000000-0005-0000-0000-0000F4450000}"/>
    <cellStyle name="Comma  - Style3" xfId="17938" xr:uid="{00000000-0005-0000-0000-0000F5450000}"/>
    <cellStyle name="Comma  - Style4" xfId="17939" xr:uid="{00000000-0005-0000-0000-0000F6450000}"/>
    <cellStyle name="Comma  - Style5" xfId="17940" xr:uid="{00000000-0005-0000-0000-0000F7450000}"/>
    <cellStyle name="Comma  - Style6" xfId="17941" xr:uid="{00000000-0005-0000-0000-0000F8450000}"/>
    <cellStyle name="Comma  - Style7" xfId="17942" xr:uid="{00000000-0005-0000-0000-0000F9450000}"/>
    <cellStyle name="Comma  - Style8" xfId="17943" xr:uid="{00000000-0005-0000-0000-0000FA450000}"/>
    <cellStyle name="Comma (0,0)" xfId="17944" xr:uid="{00000000-0005-0000-0000-0000FB450000}"/>
    <cellStyle name="Comma (0,0) -" xfId="17945" xr:uid="{00000000-0005-0000-0000-0000FC450000}"/>
    <cellStyle name="Comma (0,0) incl." xfId="17946" xr:uid="{00000000-0005-0000-0000-0000FD450000}"/>
    <cellStyle name="Comma (0,0) incl. 2" xfId="17947" xr:uid="{00000000-0005-0000-0000-0000FE450000}"/>
    <cellStyle name="Comma (0,0) N/A" xfId="17948" xr:uid="{00000000-0005-0000-0000-0000FF450000}"/>
    <cellStyle name="Comma (0,0) TBD" xfId="17949" xr:uid="{00000000-0005-0000-0000-000000460000}"/>
    <cellStyle name="Comma (0,0) TBD-" xfId="17950" xr:uid="{00000000-0005-0000-0000-000001460000}"/>
    <cellStyle name="Comma (0,0) TBD- 2" xfId="17951" xr:uid="{00000000-0005-0000-0000-000002460000}"/>
    <cellStyle name="Comma (0,0)_Tab 1" xfId="17952" xr:uid="{00000000-0005-0000-0000-000003460000}"/>
    <cellStyle name="Comma (0,00)" xfId="17953" xr:uid="{00000000-0005-0000-0000-000004460000}"/>
    <cellStyle name="Comma (0,00) -" xfId="17954" xr:uid="{00000000-0005-0000-0000-000005460000}"/>
    <cellStyle name="Comma (0,00) - 2" xfId="17955" xr:uid="{00000000-0005-0000-0000-000006460000}"/>
    <cellStyle name="Comma (0,00) 2" xfId="17956" xr:uid="{00000000-0005-0000-0000-000007460000}"/>
    <cellStyle name="Comma (0,00) 3" xfId="17957" xr:uid="{00000000-0005-0000-0000-000008460000}"/>
    <cellStyle name="Comma (0,00) 4" xfId="17958" xr:uid="{00000000-0005-0000-0000-000009460000}"/>
    <cellStyle name="Comma (0,00) 5" xfId="17959" xr:uid="{00000000-0005-0000-0000-00000A460000}"/>
    <cellStyle name="Comma (0,00) 6" xfId="17960" xr:uid="{00000000-0005-0000-0000-00000B460000}"/>
    <cellStyle name="Comma (0,00) incl." xfId="17961" xr:uid="{00000000-0005-0000-0000-00000C460000}"/>
    <cellStyle name="Comma (0,00) incl. 2" xfId="17962" xr:uid="{00000000-0005-0000-0000-00000D460000}"/>
    <cellStyle name="Comma (0,00) N/A" xfId="17963" xr:uid="{00000000-0005-0000-0000-00000E460000}"/>
    <cellStyle name="Comma (0,00) N/A 2" xfId="17964" xr:uid="{00000000-0005-0000-0000-00000F460000}"/>
    <cellStyle name="Comma (0,00) TBD" xfId="17965" xr:uid="{00000000-0005-0000-0000-000010460000}"/>
    <cellStyle name="Comma (0,00) TBD-" xfId="17966" xr:uid="{00000000-0005-0000-0000-000011460000}"/>
    <cellStyle name="Comma (0,00) TBD 2" xfId="17967" xr:uid="{00000000-0005-0000-0000-000012460000}"/>
    <cellStyle name="Comma (0,00) TBD- 2" xfId="17968" xr:uid="{00000000-0005-0000-0000-000013460000}"/>
    <cellStyle name="Comma (0,00) TBD 3" xfId="17969" xr:uid="{00000000-0005-0000-0000-000014460000}"/>
    <cellStyle name="Comma (0,00) TBD- 3" xfId="17970" xr:uid="{00000000-0005-0000-0000-000015460000}"/>
    <cellStyle name="Comma (0,00) TBD 4" xfId="17971" xr:uid="{00000000-0005-0000-0000-000016460000}"/>
    <cellStyle name="Comma (0,00) TBD- 4" xfId="17972" xr:uid="{00000000-0005-0000-0000-000017460000}"/>
    <cellStyle name="Comma (0,00) TBD 5" xfId="17973" xr:uid="{00000000-0005-0000-0000-000018460000}"/>
    <cellStyle name="Comma (0,00) TBD- 5" xfId="17974" xr:uid="{00000000-0005-0000-0000-000019460000}"/>
    <cellStyle name="Comma (0,00) TBD 6" xfId="17975" xr:uid="{00000000-0005-0000-0000-00001A460000}"/>
    <cellStyle name="Comma (0,00) TBD- 6" xfId="17976" xr:uid="{00000000-0005-0000-0000-00001B460000}"/>
    <cellStyle name="Comma (0,000)" xfId="17977" xr:uid="{00000000-0005-0000-0000-00001C460000}"/>
    <cellStyle name="Comma (0,000) -" xfId="17978" xr:uid="{00000000-0005-0000-0000-00001D460000}"/>
    <cellStyle name="Comma (0,000) - 2" xfId="17979" xr:uid="{00000000-0005-0000-0000-00001E460000}"/>
    <cellStyle name="Comma (0,000) incl." xfId="17980" xr:uid="{00000000-0005-0000-0000-00001F460000}"/>
    <cellStyle name="Comma (0,000) incl. 2" xfId="17981" xr:uid="{00000000-0005-0000-0000-000020460000}"/>
    <cellStyle name="Comma (0,000) N/A" xfId="17982" xr:uid="{00000000-0005-0000-0000-000021460000}"/>
    <cellStyle name="Comma (0,000) N/A 2" xfId="17983" xr:uid="{00000000-0005-0000-0000-000022460000}"/>
    <cellStyle name="Comma (0,000) TBD" xfId="17984" xr:uid="{00000000-0005-0000-0000-000023460000}"/>
    <cellStyle name="Comma (0,000) TBD-" xfId="17985" xr:uid="{00000000-0005-0000-0000-000024460000}"/>
    <cellStyle name="Comma (0,000) TBD 2" xfId="17986" xr:uid="{00000000-0005-0000-0000-000025460000}"/>
    <cellStyle name="Comma (0,000) TBD- 2" xfId="17987" xr:uid="{00000000-0005-0000-0000-000026460000}"/>
    <cellStyle name="Comma (0,000) TBD 3" xfId="17988" xr:uid="{00000000-0005-0000-0000-000027460000}"/>
    <cellStyle name="Comma (0,000) TBD- 3" xfId="17989" xr:uid="{00000000-0005-0000-0000-000028460000}"/>
    <cellStyle name="Comma (0,000) TBD 4" xfId="17990" xr:uid="{00000000-0005-0000-0000-000029460000}"/>
    <cellStyle name="Comma (0,000) TBD- 4" xfId="17991" xr:uid="{00000000-0005-0000-0000-00002A460000}"/>
    <cellStyle name="Comma (0,000) TBD 5" xfId="17992" xr:uid="{00000000-0005-0000-0000-00002B460000}"/>
    <cellStyle name="Comma (0,000) TBD- 5" xfId="17993" xr:uid="{00000000-0005-0000-0000-00002C460000}"/>
    <cellStyle name="Comma (0,000) TBD 6" xfId="17994" xr:uid="{00000000-0005-0000-0000-00002D460000}"/>
    <cellStyle name="Comma (0,000) TBD- 6" xfId="17995" xr:uid="{00000000-0005-0000-0000-00002E460000}"/>
    <cellStyle name="Comma (1)" xfId="17996" xr:uid="{00000000-0005-0000-0000-00002F460000}"/>
    <cellStyle name="COMMA (2)" xfId="17997" xr:uid="{00000000-0005-0000-0000-000030460000}"/>
    <cellStyle name="COMMA (2) 2" xfId="17998" xr:uid="{00000000-0005-0000-0000-000031460000}"/>
    <cellStyle name="Comma [0]" xfId="17999" xr:uid="{00000000-0005-0000-0000-000032460000}"/>
    <cellStyle name="Comma [0] -" xfId="18000" xr:uid="{00000000-0005-0000-0000-000033460000}"/>
    <cellStyle name="Comma [0] 10" xfId="18001" xr:uid="{00000000-0005-0000-0000-000034460000}"/>
    <cellStyle name="Comma [0] 2" xfId="18002" xr:uid="{00000000-0005-0000-0000-000035460000}"/>
    <cellStyle name="Comma [0] 2 10" xfId="18003" xr:uid="{00000000-0005-0000-0000-000036460000}"/>
    <cellStyle name="Comma [0] 2 10 10" xfId="18004" xr:uid="{00000000-0005-0000-0000-000037460000}"/>
    <cellStyle name="Comma [0] 2 10 11" xfId="18005" xr:uid="{00000000-0005-0000-0000-000038460000}"/>
    <cellStyle name="Comma [0] 2 10 12" xfId="18006" xr:uid="{00000000-0005-0000-0000-000039460000}"/>
    <cellStyle name="Comma [0] 2 10 13" xfId="18007" xr:uid="{00000000-0005-0000-0000-00003A460000}"/>
    <cellStyle name="Comma [0] 2 10 14" xfId="18008" xr:uid="{00000000-0005-0000-0000-00003B460000}"/>
    <cellStyle name="Comma [0] 2 10 15" xfId="18009" xr:uid="{00000000-0005-0000-0000-00003C460000}"/>
    <cellStyle name="Comma [0] 2 10 16" xfId="18010" xr:uid="{00000000-0005-0000-0000-00003D460000}"/>
    <cellStyle name="Comma [0] 2 10 17" xfId="18011" xr:uid="{00000000-0005-0000-0000-00003E460000}"/>
    <cellStyle name="Comma [0] 2 10 18" xfId="18012" xr:uid="{00000000-0005-0000-0000-00003F460000}"/>
    <cellStyle name="Comma [0] 2 10 19" xfId="18013" xr:uid="{00000000-0005-0000-0000-000040460000}"/>
    <cellStyle name="Comma [0] 2 10 2" xfId="18014" xr:uid="{00000000-0005-0000-0000-000041460000}"/>
    <cellStyle name="Comma [0] 2 10 20" xfId="18015" xr:uid="{00000000-0005-0000-0000-000042460000}"/>
    <cellStyle name="Comma [0] 2 10 21" xfId="18016" xr:uid="{00000000-0005-0000-0000-000043460000}"/>
    <cellStyle name="Comma [0] 2 10 22" xfId="18017" xr:uid="{00000000-0005-0000-0000-000044460000}"/>
    <cellStyle name="Comma [0] 2 10 23" xfId="18018" xr:uid="{00000000-0005-0000-0000-000045460000}"/>
    <cellStyle name="Comma [0] 2 10 24" xfId="18019" xr:uid="{00000000-0005-0000-0000-000046460000}"/>
    <cellStyle name="Comma [0] 2 10 25" xfId="18020" xr:uid="{00000000-0005-0000-0000-000047460000}"/>
    <cellStyle name="Comma [0] 2 10 26" xfId="18021" xr:uid="{00000000-0005-0000-0000-000048460000}"/>
    <cellStyle name="Comma [0] 2 10 27" xfId="18022" xr:uid="{00000000-0005-0000-0000-000049460000}"/>
    <cellStyle name="Comma [0] 2 10 28" xfId="18023" xr:uid="{00000000-0005-0000-0000-00004A460000}"/>
    <cellStyle name="Comma [0] 2 10 29" xfId="18024" xr:uid="{00000000-0005-0000-0000-00004B460000}"/>
    <cellStyle name="Comma [0] 2 10 3" xfId="18025" xr:uid="{00000000-0005-0000-0000-00004C460000}"/>
    <cellStyle name="Comma [0] 2 10 30" xfId="18026" xr:uid="{00000000-0005-0000-0000-00004D460000}"/>
    <cellStyle name="Comma [0] 2 10 31" xfId="18027" xr:uid="{00000000-0005-0000-0000-00004E460000}"/>
    <cellStyle name="Comma [0] 2 10 32" xfId="18028" xr:uid="{00000000-0005-0000-0000-00004F460000}"/>
    <cellStyle name="Comma [0] 2 10 4" xfId="18029" xr:uid="{00000000-0005-0000-0000-000050460000}"/>
    <cellStyle name="Comma [0] 2 10 5" xfId="18030" xr:uid="{00000000-0005-0000-0000-000051460000}"/>
    <cellStyle name="Comma [0] 2 10 6" xfId="18031" xr:uid="{00000000-0005-0000-0000-000052460000}"/>
    <cellStyle name="Comma [0] 2 10 7" xfId="18032" xr:uid="{00000000-0005-0000-0000-000053460000}"/>
    <cellStyle name="Comma [0] 2 10 8" xfId="18033" xr:uid="{00000000-0005-0000-0000-000054460000}"/>
    <cellStyle name="Comma [0] 2 10 9" xfId="18034" xr:uid="{00000000-0005-0000-0000-000055460000}"/>
    <cellStyle name="Comma [0] 2 11" xfId="18035" xr:uid="{00000000-0005-0000-0000-000056460000}"/>
    <cellStyle name="Comma [0] 2 11 10" xfId="18036" xr:uid="{00000000-0005-0000-0000-000057460000}"/>
    <cellStyle name="Comma [0] 2 11 11" xfId="18037" xr:uid="{00000000-0005-0000-0000-000058460000}"/>
    <cellStyle name="Comma [0] 2 11 12" xfId="18038" xr:uid="{00000000-0005-0000-0000-000059460000}"/>
    <cellStyle name="Comma [0] 2 11 13" xfId="18039" xr:uid="{00000000-0005-0000-0000-00005A460000}"/>
    <cellStyle name="Comma [0] 2 11 14" xfId="18040" xr:uid="{00000000-0005-0000-0000-00005B460000}"/>
    <cellStyle name="Comma [0] 2 11 15" xfId="18041" xr:uid="{00000000-0005-0000-0000-00005C460000}"/>
    <cellStyle name="Comma [0] 2 11 16" xfId="18042" xr:uid="{00000000-0005-0000-0000-00005D460000}"/>
    <cellStyle name="Comma [0] 2 11 17" xfId="18043" xr:uid="{00000000-0005-0000-0000-00005E460000}"/>
    <cellStyle name="Comma [0] 2 11 18" xfId="18044" xr:uid="{00000000-0005-0000-0000-00005F460000}"/>
    <cellStyle name="Comma [0] 2 11 19" xfId="18045" xr:uid="{00000000-0005-0000-0000-000060460000}"/>
    <cellStyle name="Comma [0] 2 11 2" xfId="18046" xr:uid="{00000000-0005-0000-0000-000061460000}"/>
    <cellStyle name="Comma [0] 2 11 20" xfId="18047" xr:uid="{00000000-0005-0000-0000-000062460000}"/>
    <cellStyle name="Comma [0] 2 11 21" xfId="18048" xr:uid="{00000000-0005-0000-0000-000063460000}"/>
    <cellStyle name="Comma [0] 2 11 22" xfId="18049" xr:uid="{00000000-0005-0000-0000-000064460000}"/>
    <cellStyle name="Comma [0] 2 11 23" xfId="18050" xr:uid="{00000000-0005-0000-0000-000065460000}"/>
    <cellStyle name="Comma [0] 2 11 24" xfId="18051" xr:uid="{00000000-0005-0000-0000-000066460000}"/>
    <cellStyle name="Comma [0] 2 11 25" xfId="18052" xr:uid="{00000000-0005-0000-0000-000067460000}"/>
    <cellStyle name="Comma [0] 2 11 26" xfId="18053" xr:uid="{00000000-0005-0000-0000-000068460000}"/>
    <cellStyle name="Comma [0] 2 11 27" xfId="18054" xr:uid="{00000000-0005-0000-0000-000069460000}"/>
    <cellStyle name="Comma [0] 2 11 28" xfId="18055" xr:uid="{00000000-0005-0000-0000-00006A460000}"/>
    <cellStyle name="Comma [0] 2 11 29" xfId="18056" xr:uid="{00000000-0005-0000-0000-00006B460000}"/>
    <cellStyle name="Comma [0] 2 11 3" xfId="18057" xr:uid="{00000000-0005-0000-0000-00006C460000}"/>
    <cellStyle name="Comma [0] 2 11 30" xfId="18058" xr:uid="{00000000-0005-0000-0000-00006D460000}"/>
    <cellStyle name="Comma [0] 2 11 31" xfId="18059" xr:uid="{00000000-0005-0000-0000-00006E460000}"/>
    <cellStyle name="Comma [0] 2 11 32" xfId="18060" xr:uid="{00000000-0005-0000-0000-00006F460000}"/>
    <cellStyle name="Comma [0] 2 11 4" xfId="18061" xr:uid="{00000000-0005-0000-0000-000070460000}"/>
    <cellStyle name="Comma [0] 2 11 5" xfId="18062" xr:uid="{00000000-0005-0000-0000-000071460000}"/>
    <cellStyle name="Comma [0] 2 11 6" xfId="18063" xr:uid="{00000000-0005-0000-0000-000072460000}"/>
    <cellStyle name="Comma [0] 2 11 7" xfId="18064" xr:uid="{00000000-0005-0000-0000-000073460000}"/>
    <cellStyle name="Comma [0] 2 11 8" xfId="18065" xr:uid="{00000000-0005-0000-0000-000074460000}"/>
    <cellStyle name="Comma [0] 2 11 9" xfId="18066" xr:uid="{00000000-0005-0000-0000-000075460000}"/>
    <cellStyle name="Comma [0] 2 12" xfId="18067" xr:uid="{00000000-0005-0000-0000-000076460000}"/>
    <cellStyle name="Comma [0] 2 12 10" xfId="18068" xr:uid="{00000000-0005-0000-0000-000077460000}"/>
    <cellStyle name="Comma [0] 2 12 11" xfId="18069" xr:uid="{00000000-0005-0000-0000-000078460000}"/>
    <cellStyle name="Comma [0] 2 12 12" xfId="18070" xr:uid="{00000000-0005-0000-0000-000079460000}"/>
    <cellStyle name="Comma [0] 2 12 13" xfId="18071" xr:uid="{00000000-0005-0000-0000-00007A460000}"/>
    <cellStyle name="Comma [0] 2 12 14" xfId="18072" xr:uid="{00000000-0005-0000-0000-00007B460000}"/>
    <cellStyle name="Comma [0] 2 12 15" xfId="18073" xr:uid="{00000000-0005-0000-0000-00007C460000}"/>
    <cellStyle name="Comma [0] 2 12 16" xfId="18074" xr:uid="{00000000-0005-0000-0000-00007D460000}"/>
    <cellStyle name="Comma [0] 2 12 17" xfId="18075" xr:uid="{00000000-0005-0000-0000-00007E460000}"/>
    <cellStyle name="Comma [0] 2 12 18" xfId="18076" xr:uid="{00000000-0005-0000-0000-00007F460000}"/>
    <cellStyle name="Comma [0] 2 12 19" xfId="18077" xr:uid="{00000000-0005-0000-0000-000080460000}"/>
    <cellStyle name="Comma [0] 2 12 2" xfId="18078" xr:uid="{00000000-0005-0000-0000-000081460000}"/>
    <cellStyle name="Comma [0] 2 12 20" xfId="18079" xr:uid="{00000000-0005-0000-0000-000082460000}"/>
    <cellStyle name="Comma [0] 2 12 21" xfId="18080" xr:uid="{00000000-0005-0000-0000-000083460000}"/>
    <cellStyle name="Comma [0] 2 12 22" xfId="18081" xr:uid="{00000000-0005-0000-0000-000084460000}"/>
    <cellStyle name="Comma [0] 2 12 23" xfId="18082" xr:uid="{00000000-0005-0000-0000-000085460000}"/>
    <cellStyle name="Comma [0] 2 12 24" xfId="18083" xr:uid="{00000000-0005-0000-0000-000086460000}"/>
    <cellStyle name="Comma [0] 2 12 25" xfId="18084" xr:uid="{00000000-0005-0000-0000-000087460000}"/>
    <cellStyle name="Comma [0] 2 12 26" xfId="18085" xr:uid="{00000000-0005-0000-0000-000088460000}"/>
    <cellStyle name="Comma [0] 2 12 27" xfId="18086" xr:uid="{00000000-0005-0000-0000-000089460000}"/>
    <cellStyle name="Comma [0] 2 12 28" xfId="18087" xr:uid="{00000000-0005-0000-0000-00008A460000}"/>
    <cellStyle name="Comma [0] 2 12 29" xfId="18088" xr:uid="{00000000-0005-0000-0000-00008B460000}"/>
    <cellStyle name="Comma [0] 2 12 3" xfId="18089" xr:uid="{00000000-0005-0000-0000-00008C460000}"/>
    <cellStyle name="Comma [0] 2 12 30" xfId="18090" xr:uid="{00000000-0005-0000-0000-00008D460000}"/>
    <cellStyle name="Comma [0] 2 12 31" xfId="18091" xr:uid="{00000000-0005-0000-0000-00008E460000}"/>
    <cellStyle name="Comma [0] 2 12 32" xfId="18092" xr:uid="{00000000-0005-0000-0000-00008F460000}"/>
    <cellStyle name="Comma [0] 2 12 4" xfId="18093" xr:uid="{00000000-0005-0000-0000-000090460000}"/>
    <cellStyle name="Comma [0] 2 12 5" xfId="18094" xr:uid="{00000000-0005-0000-0000-000091460000}"/>
    <cellStyle name="Comma [0] 2 12 6" xfId="18095" xr:uid="{00000000-0005-0000-0000-000092460000}"/>
    <cellStyle name="Comma [0] 2 12 7" xfId="18096" xr:uid="{00000000-0005-0000-0000-000093460000}"/>
    <cellStyle name="Comma [0] 2 12 8" xfId="18097" xr:uid="{00000000-0005-0000-0000-000094460000}"/>
    <cellStyle name="Comma [0] 2 12 9" xfId="18098" xr:uid="{00000000-0005-0000-0000-000095460000}"/>
    <cellStyle name="Comma [0] 2 13" xfId="18099" xr:uid="{00000000-0005-0000-0000-000096460000}"/>
    <cellStyle name="Comma [0] 2 14" xfId="18100" xr:uid="{00000000-0005-0000-0000-000097460000}"/>
    <cellStyle name="Comma [0] 2 15" xfId="18101" xr:uid="{00000000-0005-0000-0000-000098460000}"/>
    <cellStyle name="Comma [0] 2 16" xfId="18102" xr:uid="{00000000-0005-0000-0000-000099460000}"/>
    <cellStyle name="Comma [0] 2 17" xfId="18103" xr:uid="{00000000-0005-0000-0000-00009A460000}"/>
    <cellStyle name="Comma [0] 2 18" xfId="18104" xr:uid="{00000000-0005-0000-0000-00009B460000}"/>
    <cellStyle name="Comma [0] 2 19" xfId="18105" xr:uid="{00000000-0005-0000-0000-00009C460000}"/>
    <cellStyle name="Comma [0] 2 2" xfId="18106" xr:uid="{00000000-0005-0000-0000-00009D460000}"/>
    <cellStyle name="Comma [0] 2 2 10" xfId="18107" xr:uid="{00000000-0005-0000-0000-00009E460000}"/>
    <cellStyle name="Comma [0] 2 2 11" xfId="18108" xr:uid="{00000000-0005-0000-0000-00009F460000}"/>
    <cellStyle name="Comma [0] 2 2 12" xfId="18109" xr:uid="{00000000-0005-0000-0000-0000A0460000}"/>
    <cellStyle name="Comma [0] 2 2 13" xfId="18110" xr:uid="{00000000-0005-0000-0000-0000A1460000}"/>
    <cellStyle name="Comma [0] 2 2 14" xfId="18111" xr:uid="{00000000-0005-0000-0000-0000A2460000}"/>
    <cellStyle name="Comma [0] 2 2 15" xfId="18112" xr:uid="{00000000-0005-0000-0000-0000A3460000}"/>
    <cellStyle name="Comma [0] 2 2 16" xfId="18113" xr:uid="{00000000-0005-0000-0000-0000A4460000}"/>
    <cellStyle name="Comma [0] 2 2 17" xfId="18114" xr:uid="{00000000-0005-0000-0000-0000A5460000}"/>
    <cellStyle name="Comma [0] 2 2 18" xfId="18115" xr:uid="{00000000-0005-0000-0000-0000A6460000}"/>
    <cellStyle name="Comma [0] 2 2 19" xfId="18116" xr:uid="{00000000-0005-0000-0000-0000A7460000}"/>
    <cellStyle name="Comma [0] 2 2 2" xfId="18117" xr:uid="{00000000-0005-0000-0000-0000A8460000}"/>
    <cellStyle name="Comma [0] 2 2 20" xfId="18118" xr:uid="{00000000-0005-0000-0000-0000A9460000}"/>
    <cellStyle name="Comma [0] 2 2 21" xfId="18119" xr:uid="{00000000-0005-0000-0000-0000AA460000}"/>
    <cellStyle name="Comma [0] 2 2 22" xfId="18120" xr:uid="{00000000-0005-0000-0000-0000AB460000}"/>
    <cellStyle name="Comma [0] 2 2 23" xfId="18121" xr:uid="{00000000-0005-0000-0000-0000AC460000}"/>
    <cellStyle name="Comma [0] 2 2 24" xfId="18122" xr:uid="{00000000-0005-0000-0000-0000AD460000}"/>
    <cellStyle name="Comma [0] 2 2 25" xfId="18123" xr:uid="{00000000-0005-0000-0000-0000AE460000}"/>
    <cellStyle name="Comma [0] 2 2 26" xfId="18124" xr:uid="{00000000-0005-0000-0000-0000AF460000}"/>
    <cellStyle name="Comma [0] 2 2 27" xfId="18125" xr:uid="{00000000-0005-0000-0000-0000B0460000}"/>
    <cellStyle name="Comma [0] 2 2 28" xfId="18126" xr:uid="{00000000-0005-0000-0000-0000B1460000}"/>
    <cellStyle name="Comma [0] 2 2 29" xfId="18127" xr:uid="{00000000-0005-0000-0000-0000B2460000}"/>
    <cellStyle name="Comma [0] 2 2 3" xfId="18128" xr:uid="{00000000-0005-0000-0000-0000B3460000}"/>
    <cellStyle name="Comma [0] 2 2 30" xfId="18129" xr:uid="{00000000-0005-0000-0000-0000B4460000}"/>
    <cellStyle name="Comma [0] 2 2 31" xfId="18130" xr:uid="{00000000-0005-0000-0000-0000B5460000}"/>
    <cellStyle name="Comma [0] 2 2 32" xfId="18131" xr:uid="{00000000-0005-0000-0000-0000B6460000}"/>
    <cellStyle name="Comma [0] 2 2 4" xfId="18132" xr:uid="{00000000-0005-0000-0000-0000B7460000}"/>
    <cellStyle name="Comma [0] 2 2 5" xfId="18133" xr:uid="{00000000-0005-0000-0000-0000B8460000}"/>
    <cellStyle name="Comma [0] 2 2 6" xfId="18134" xr:uid="{00000000-0005-0000-0000-0000B9460000}"/>
    <cellStyle name="Comma [0] 2 2 7" xfId="18135" xr:uid="{00000000-0005-0000-0000-0000BA460000}"/>
    <cellStyle name="Comma [0] 2 2 8" xfId="18136" xr:uid="{00000000-0005-0000-0000-0000BB460000}"/>
    <cellStyle name="Comma [0] 2 2 9" xfId="18137" xr:uid="{00000000-0005-0000-0000-0000BC460000}"/>
    <cellStyle name="Comma [0] 2 20" xfId="18138" xr:uid="{00000000-0005-0000-0000-0000BD460000}"/>
    <cellStyle name="Comma [0] 2 21" xfId="18139" xr:uid="{00000000-0005-0000-0000-0000BE460000}"/>
    <cellStyle name="Comma [0] 2 22" xfId="18140" xr:uid="{00000000-0005-0000-0000-0000BF460000}"/>
    <cellStyle name="Comma [0] 2 23" xfId="18141" xr:uid="{00000000-0005-0000-0000-0000C0460000}"/>
    <cellStyle name="Comma [0] 2 24" xfId="18142" xr:uid="{00000000-0005-0000-0000-0000C1460000}"/>
    <cellStyle name="Comma [0] 2 25" xfId="18143" xr:uid="{00000000-0005-0000-0000-0000C2460000}"/>
    <cellStyle name="Comma [0] 2 26" xfId="18144" xr:uid="{00000000-0005-0000-0000-0000C3460000}"/>
    <cellStyle name="Comma [0] 2 27" xfId="18145" xr:uid="{00000000-0005-0000-0000-0000C4460000}"/>
    <cellStyle name="Comma [0] 2 28" xfId="18146" xr:uid="{00000000-0005-0000-0000-0000C5460000}"/>
    <cellStyle name="Comma [0] 2 29" xfId="18147" xr:uid="{00000000-0005-0000-0000-0000C6460000}"/>
    <cellStyle name="Comma [0] 2 3" xfId="18148" xr:uid="{00000000-0005-0000-0000-0000C7460000}"/>
    <cellStyle name="Comma [0] 2 3 10" xfId="18149" xr:uid="{00000000-0005-0000-0000-0000C8460000}"/>
    <cellStyle name="Comma [0] 2 3 11" xfId="18150" xr:uid="{00000000-0005-0000-0000-0000C9460000}"/>
    <cellStyle name="Comma [0] 2 3 12" xfId="18151" xr:uid="{00000000-0005-0000-0000-0000CA460000}"/>
    <cellStyle name="Comma [0] 2 3 13" xfId="18152" xr:uid="{00000000-0005-0000-0000-0000CB460000}"/>
    <cellStyle name="Comma [0] 2 3 14" xfId="18153" xr:uid="{00000000-0005-0000-0000-0000CC460000}"/>
    <cellStyle name="Comma [0] 2 3 15" xfId="18154" xr:uid="{00000000-0005-0000-0000-0000CD460000}"/>
    <cellStyle name="Comma [0] 2 3 16" xfId="18155" xr:uid="{00000000-0005-0000-0000-0000CE460000}"/>
    <cellStyle name="Comma [0] 2 3 17" xfId="18156" xr:uid="{00000000-0005-0000-0000-0000CF460000}"/>
    <cellStyle name="Comma [0] 2 3 18" xfId="18157" xr:uid="{00000000-0005-0000-0000-0000D0460000}"/>
    <cellStyle name="Comma [0] 2 3 19" xfId="18158" xr:uid="{00000000-0005-0000-0000-0000D1460000}"/>
    <cellStyle name="Comma [0] 2 3 2" xfId="18159" xr:uid="{00000000-0005-0000-0000-0000D2460000}"/>
    <cellStyle name="Comma [0] 2 3 2 10" xfId="18160" xr:uid="{00000000-0005-0000-0000-0000D3460000}"/>
    <cellStyle name="Comma [0] 2 3 2 11" xfId="18161" xr:uid="{00000000-0005-0000-0000-0000D4460000}"/>
    <cellStyle name="Comma [0] 2 3 2 12" xfId="18162" xr:uid="{00000000-0005-0000-0000-0000D5460000}"/>
    <cellStyle name="Comma [0] 2 3 2 13" xfId="18163" xr:uid="{00000000-0005-0000-0000-0000D6460000}"/>
    <cellStyle name="Comma [0] 2 3 2 14" xfId="18164" xr:uid="{00000000-0005-0000-0000-0000D7460000}"/>
    <cellStyle name="Comma [0] 2 3 2 15" xfId="18165" xr:uid="{00000000-0005-0000-0000-0000D8460000}"/>
    <cellStyle name="Comma [0] 2 3 2 16" xfId="18166" xr:uid="{00000000-0005-0000-0000-0000D9460000}"/>
    <cellStyle name="Comma [0] 2 3 2 17" xfId="18167" xr:uid="{00000000-0005-0000-0000-0000DA460000}"/>
    <cellStyle name="Comma [0] 2 3 2 18" xfId="18168" xr:uid="{00000000-0005-0000-0000-0000DB460000}"/>
    <cellStyle name="Comma [0] 2 3 2 19" xfId="18169" xr:uid="{00000000-0005-0000-0000-0000DC460000}"/>
    <cellStyle name="Comma [0] 2 3 2 2" xfId="18170" xr:uid="{00000000-0005-0000-0000-0000DD460000}"/>
    <cellStyle name="Comma [0] 2 3 2 20" xfId="18171" xr:uid="{00000000-0005-0000-0000-0000DE460000}"/>
    <cellStyle name="Comma [0] 2 3 2 21" xfId="18172" xr:uid="{00000000-0005-0000-0000-0000DF460000}"/>
    <cellStyle name="Comma [0] 2 3 2 22" xfId="18173" xr:uid="{00000000-0005-0000-0000-0000E0460000}"/>
    <cellStyle name="Comma [0] 2 3 2 23" xfId="18174" xr:uid="{00000000-0005-0000-0000-0000E1460000}"/>
    <cellStyle name="Comma [0] 2 3 2 24" xfId="18175" xr:uid="{00000000-0005-0000-0000-0000E2460000}"/>
    <cellStyle name="Comma [0] 2 3 2 25" xfId="18176" xr:uid="{00000000-0005-0000-0000-0000E3460000}"/>
    <cellStyle name="Comma [0] 2 3 2 26" xfId="18177" xr:uid="{00000000-0005-0000-0000-0000E4460000}"/>
    <cellStyle name="Comma [0] 2 3 2 27" xfId="18178" xr:uid="{00000000-0005-0000-0000-0000E5460000}"/>
    <cellStyle name="Comma [0] 2 3 2 28" xfId="18179" xr:uid="{00000000-0005-0000-0000-0000E6460000}"/>
    <cellStyle name="Comma [0] 2 3 2 29" xfId="18180" xr:uid="{00000000-0005-0000-0000-0000E7460000}"/>
    <cellStyle name="Comma [0] 2 3 2 3" xfId="18181" xr:uid="{00000000-0005-0000-0000-0000E8460000}"/>
    <cellStyle name="Comma [0] 2 3 2 30" xfId="18182" xr:uid="{00000000-0005-0000-0000-0000E9460000}"/>
    <cellStyle name="Comma [0] 2 3 2 31" xfId="18183" xr:uid="{00000000-0005-0000-0000-0000EA460000}"/>
    <cellStyle name="Comma [0] 2 3 2 32" xfId="18184" xr:uid="{00000000-0005-0000-0000-0000EB460000}"/>
    <cellStyle name="Comma [0] 2 3 2 4" xfId="18185" xr:uid="{00000000-0005-0000-0000-0000EC460000}"/>
    <cellStyle name="Comma [0] 2 3 2 5" xfId="18186" xr:uid="{00000000-0005-0000-0000-0000ED460000}"/>
    <cellStyle name="Comma [0] 2 3 2 6" xfId="18187" xr:uid="{00000000-0005-0000-0000-0000EE460000}"/>
    <cellStyle name="Comma [0] 2 3 2 7" xfId="18188" xr:uid="{00000000-0005-0000-0000-0000EF460000}"/>
    <cellStyle name="Comma [0] 2 3 2 8" xfId="18189" xr:uid="{00000000-0005-0000-0000-0000F0460000}"/>
    <cellStyle name="Comma [0] 2 3 2 9" xfId="18190" xr:uid="{00000000-0005-0000-0000-0000F1460000}"/>
    <cellStyle name="Comma [0] 2 3 20" xfId="18191" xr:uid="{00000000-0005-0000-0000-0000F2460000}"/>
    <cellStyle name="Comma [0] 2 3 21" xfId="18192" xr:uid="{00000000-0005-0000-0000-0000F3460000}"/>
    <cellStyle name="Comma [0] 2 3 22" xfId="18193" xr:uid="{00000000-0005-0000-0000-0000F4460000}"/>
    <cellStyle name="Comma [0] 2 3 23" xfId="18194" xr:uid="{00000000-0005-0000-0000-0000F5460000}"/>
    <cellStyle name="Comma [0] 2 3 24" xfId="18195" xr:uid="{00000000-0005-0000-0000-0000F6460000}"/>
    <cellStyle name="Comma [0] 2 3 25" xfId="18196" xr:uid="{00000000-0005-0000-0000-0000F7460000}"/>
    <cellStyle name="Comma [0] 2 3 26" xfId="18197" xr:uid="{00000000-0005-0000-0000-0000F8460000}"/>
    <cellStyle name="Comma [0] 2 3 27" xfId="18198" xr:uid="{00000000-0005-0000-0000-0000F9460000}"/>
    <cellStyle name="Comma [0] 2 3 28" xfId="18199" xr:uid="{00000000-0005-0000-0000-0000FA460000}"/>
    <cellStyle name="Comma [0] 2 3 29" xfId="18200" xr:uid="{00000000-0005-0000-0000-0000FB460000}"/>
    <cellStyle name="Comma [0] 2 3 3" xfId="18201" xr:uid="{00000000-0005-0000-0000-0000FC460000}"/>
    <cellStyle name="Comma [0] 2 3 3 10" xfId="18202" xr:uid="{00000000-0005-0000-0000-0000FD460000}"/>
    <cellStyle name="Comma [0] 2 3 3 11" xfId="18203" xr:uid="{00000000-0005-0000-0000-0000FE460000}"/>
    <cellStyle name="Comma [0] 2 3 3 12" xfId="18204" xr:uid="{00000000-0005-0000-0000-0000FF460000}"/>
    <cellStyle name="Comma [0] 2 3 3 13" xfId="18205" xr:uid="{00000000-0005-0000-0000-000000470000}"/>
    <cellStyle name="Comma [0] 2 3 3 14" xfId="18206" xr:uid="{00000000-0005-0000-0000-000001470000}"/>
    <cellStyle name="Comma [0] 2 3 3 15" xfId="18207" xr:uid="{00000000-0005-0000-0000-000002470000}"/>
    <cellStyle name="Comma [0] 2 3 3 16" xfId="18208" xr:uid="{00000000-0005-0000-0000-000003470000}"/>
    <cellStyle name="Comma [0] 2 3 3 17" xfId="18209" xr:uid="{00000000-0005-0000-0000-000004470000}"/>
    <cellStyle name="Comma [0] 2 3 3 18" xfId="18210" xr:uid="{00000000-0005-0000-0000-000005470000}"/>
    <cellStyle name="Comma [0] 2 3 3 19" xfId="18211" xr:uid="{00000000-0005-0000-0000-000006470000}"/>
    <cellStyle name="Comma [0] 2 3 3 2" xfId="18212" xr:uid="{00000000-0005-0000-0000-000007470000}"/>
    <cellStyle name="Comma [0] 2 3 3 20" xfId="18213" xr:uid="{00000000-0005-0000-0000-000008470000}"/>
    <cellStyle name="Comma [0] 2 3 3 21" xfId="18214" xr:uid="{00000000-0005-0000-0000-000009470000}"/>
    <cellStyle name="Comma [0] 2 3 3 22" xfId="18215" xr:uid="{00000000-0005-0000-0000-00000A470000}"/>
    <cellStyle name="Comma [0] 2 3 3 23" xfId="18216" xr:uid="{00000000-0005-0000-0000-00000B470000}"/>
    <cellStyle name="Comma [0] 2 3 3 24" xfId="18217" xr:uid="{00000000-0005-0000-0000-00000C470000}"/>
    <cellStyle name="Comma [0] 2 3 3 25" xfId="18218" xr:uid="{00000000-0005-0000-0000-00000D470000}"/>
    <cellStyle name="Comma [0] 2 3 3 26" xfId="18219" xr:uid="{00000000-0005-0000-0000-00000E470000}"/>
    <cellStyle name="Comma [0] 2 3 3 27" xfId="18220" xr:uid="{00000000-0005-0000-0000-00000F470000}"/>
    <cellStyle name="Comma [0] 2 3 3 28" xfId="18221" xr:uid="{00000000-0005-0000-0000-000010470000}"/>
    <cellStyle name="Comma [0] 2 3 3 29" xfId="18222" xr:uid="{00000000-0005-0000-0000-000011470000}"/>
    <cellStyle name="Comma [0] 2 3 3 3" xfId="18223" xr:uid="{00000000-0005-0000-0000-000012470000}"/>
    <cellStyle name="Comma [0] 2 3 3 30" xfId="18224" xr:uid="{00000000-0005-0000-0000-000013470000}"/>
    <cellStyle name="Comma [0] 2 3 3 31" xfId="18225" xr:uid="{00000000-0005-0000-0000-000014470000}"/>
    <cellStyle name="Comma [0] 2 3 3 32" xfId="18226" xr:uid="{00000000-0005-0000-0000-000015470000}"/>
    <cellStyle name="Comma [0] 2 3 3 4" xfId="18227" xr:uid="{00000000-0005-0000-0000-000016470000}"/>
    <cellStyle name="Comma [0] 2 3 3 5" xfId="18228" xr:uid="{00000000-0005-0000-0000-000017470000}"/>
    <cellStyle name="Comma [0] 2 3 3 6" xfId="18229" xr:uid="{00000000-0005-0000-0000-000018470000}"/>
    <cellStyle name="Comma [0] 2 3 3 7" xfId="18230" xr:uid="{00000000-0005-0000-0000-000019470000}"/>
    <cellStyle name="Comma [0] 2 3 3 8" xfId="18231" xr:uid="{00000000-0005-0000-0000-00001A470000}"/>
    <cellStyle name="Comma [0] 2 3 3 9" xfId="18232" xr:uid="{00000000-0005-0000-0000-00001B470000}"/>
    <cellStyle name="Comma [0] 2 3 30" xfId="18233" xr:uid="{00000000-0005-0000-0000-00001C470000}"/>
    <cellStyle name="Comma [0] 2 3 31" xfId="18234" xr:uid="{00000000-0005-0000-0000-00001D470000}"/>
    <cellStyle name="Comma [0] 2 3 32" xfId="18235" xr:uid="{00000000-0005-0000-0000-00001E470000}"/>
    <cellStyle name="Comma [0] 2 3 33" xfId="18236" xr:uid="{00000000-0005-0000-0000-00001F470000}"/>
    <cellStyle name="Comma [0] 2 3 34" xfId="18237" xr:uid="{00000000-0005-0000-0000-000020470000}"/>
    <cellStyle name="Comma [0] 2 3 35" xfId="18238" xr:uid="{00000000-0005-0000-0000-000021470000}"/>
    <cellStyle name="Comma [0] 2 3 4" xfId="18239" xr:uid="{00000000-0005-0000-0000-000022470000}"/>
    <cellStyle name="Comma [0] 2 3 4 10" xfId="18240" xr:uid="{00000000-0005-0000-0000-000023470000}"/>
    <cellStyle name="Comma [0] 2 3 4 11" xfId="18241" xr:uid="{00000000-0005-0000-0000-000024470000}"/>
    <cellStyle name="Comma [0] 2 3 4 12" xfId="18242" xr:uid="{00000000-0005-0000-0000-000025470000}"/>
    <cellStyle name="Comma [0] 2 3 4 13" xfId="18243" xr:uid="{00000000-0005-0000-0000-000026470000}"/>
    <cellStyle name="Comma [0] 2 3 4 14" xfId="18244" xr:uid="{00000000-0005-0000-0000-000027470000}"/>
    <cellStyle name="Comma [0] 2 3 4 15" xfId="18245" xr:uid="{00000000-0005-0000-0000-000028470000}"/>
    <cellStyle name="Comma [0] 2 3 4 16" xfId="18246" xr:uid="{00000000-0005-0000-0000-000029470000}"/>
    <cellStyle name="Comma [0] 2 3 4 17" xfId="18247" xr:uid="{00000000-0005-0000-0000-00002A470000}"/>
    <cellStyle name="Comma [0] 2 3 4 18" xfId="18248" xr:uid="{00000000-0005-0000-0000-00002B470000}"/>
    <cellStyle name="Comma [0] 2 3 4 19" xfId="18249" xr:uid="{00000000-0005-0000-0000-00002C470000}"/>
    <cellStyle name="Comma [0] 2 3 4 2" xfId="18250" xr:uid="{00000000-0005-0000-0000-00002D470000}"/>
    <cellStyle name="Comma [0] 2 3 4 20" xfId="18251" xr:uid="{00000000-0005-0000-0000-00002E470000}"/>
    <cellStyle name="Comma [0] 2 3 4 21" xfId="18252" xr:uid="{00000000-0005-0000-0000-00002F470000}"/>
    <cellStyle name="Comma [0] 2 3 4 22" xfId="18253" xr:uid="{00000000-0005-0000-0000-000030470000}"/>
    <cellStyle name="Comma [0] 2 3 4 23" xfId="18254" xr:uid="{00000000-0005-0000-0000-000031470000}"/>
    <cellStyle name="Comma [0] 2 3 4 24" xfId="18255" xr:uid="{00000000-0005-0000-0000-000032470000}"/>
    <cellStyle name="Comma [0] 2 3 4 25" xfId="18256" xr:uid="{00000000-0005-0000-0000-000033470000}"/>
    <cellStyle name="Comma [0] 2 3 4 26" xfId="18257" xr:uid="{00000000-0005-0000-0000-000034470000}"/>
    <cellStyle name="Comma [0] 2 3 4 27" xfId="18258" xr:uid="{00000000-0005-0000-0000-000035470000}"/>
    <cellStyle name="Comma [0] 2 3 4 28" xfId="18259" xr:uid="{00000000-0005-0000-0000-000036470000}"/>
    <cellStyle name="Comma [0] 2 3 4 29" xfId="18260" xr:uid="{00000000-0005-0000-0000-000037470000}"/>
    <cellStyle name="Comma [0] 2 3 4 3" xfId="18261" xr:uid="{00000000-0005-0000-0000-000038470000}"/>
    <cellStyle name="Comma [0] 2 3 4 30" xfId="18262" xr:uid="{00000000-0005-0000-0000-000039470000}"/>
    <cellStyle name="Comma [0] 2 3 4 31" xfId="18263" xr:uid="{00000000-0005-0000-0000-00003A470000}"/>
    <cellStyle name="Comma [0] 2 3 4 32" xfId="18264" xr:uid="{00000000-0005-0000-0000-00003B470000}"/>
    <cellStyle name="Comma [0] 2 3 4 4" xfId="18265" xr:uid="{00000000-0005-0000-0000-00003C470000}"/>
    <cellStyle name="Comma [0] 2 3 4 5" xfId="18266" xr:uid="{00000000-0005-0000-0000-00003D470000}"/>
    <cellStyle name="Comma [0] 2 3 4 6" xfId="18267" xr:uid="{00000000-0005-0000-0000-00003E470000}"/>
    <cellStyle name="Comma [0] 2 3 4 7" xfId="18268" xr:uid="{00000000-0005-0000-0000-00003F470000}"/>
    <cellStyle name="Comma [0] 2 3 4 8" xfId="18269" xr:uid="{00000000-0005-0000-0000-000040470000}"/>
    <cellStyle name="Comma [0] 2 3 4 9" xfId="18270" xr:uid="{00000000-0005-0000-0000-000041470000}"/>
    <cellStyle name="Comma [0] 2 3 5" xfId="18271" xr:uid="{00000000-0005-0000-0000-000042470000}"/>
    <cellStyle name="Comma [0] 2 3 6" xfId="18272" xr:uid="{00000000-0005-0000-0000-000043470000}"/>
    <cellStyle name="Comma [0] 2 3 7" xfId="18273" xr:uid="{00000000-0005-0000-0000-000044470000}"/>
    <cellStyle name="Comma [0] 2 3 8" xfId="18274" xr:uid="{00000000-0005-0000-0000-000045470000}"/>
    <cellStyle name="Comma [0] 2 3 9" xfId="18275" xr:uid="{00000000-0005-0000-0000-000046470000}"/>
    <cellStyle name="Comma [0] 2 30" xfId="18276" xr:uid="{00000000-0005-0000-0000-000047470000}"/>
    <cellStyle name="Comma [0] 2 31" xfId="18277" xr:uid="{00000000-0005-0000-0000-000048470000}"/>
    <cellStyle name="Comma [0] 2 32" xfId="18278" xr:uid="{00000000-0005-0000-0000-000049470000}"/>
    <cellStyle name="Comma [0] 2 33" xfId="18279" xr:uid="{00000000-0005-0000-0000-00004A470000}"/>
    <cellStyle name="Comma [0] 2 34" xfId="18280" xr:uid="{00000000-0005-0000-0000-00004B470000}"/>
    <cellStyle name="Comma [0] 2 35" xfId="18281" xr:uid="{00000000-0005-0000-0000-00004C470000}"/>
    <cellStyle name="Comma [0] 2 36" xfId="18282" xr:uid="{00000000-0005-0000-0000-00004D470000}"/>
    <cellStyle name="Comma [0] 2 37" xfId="18283" xr:uid="{00000000-0005-0000-0000-00004E470000}"/>
    <cellStyle name="Comma [0] 2 38" xfId="18284" xr:uid="{00000000-0005-0000-0000-00004F470000}"/>
    <cellStyle name="Comma [0] 2 39" xfId="18285" xr:uid="{00000000-0005-0000-0000-000050470000}"/>
    <cellStyle name="Comma [0] 2 4" xfId="18286" xr:uid="{00000000-0005-0000-0000-000051470000}"/>
    <cellStyle name="Comma [0] 2 4 10" xfId="18287" xr:uid="{00000000-0005-0000-0000-000052470000}"/>
    <cellStyle name="Comma [0] 2 4 11" xfId="18288" xr:uid="{00000000-0005-0000-0000-000053470000}"/>
    <cellStyle name="Comma [0] 2 4 12" xfId="18289" xr:uid="{00000000-0005-0000-0000-000054470000}"/>
    <cellStyle name="Comma [0] 2 4 13" xfId="18290" xr:uid="{00000000-0005-0000-0000-000055470000}"/>
    <cellStyle name="Comma [0] 2 4 14" xfId="18291" xr:uid="{00000000-0005-0000-0000-000056470000}"/>
    <cellStyle name="Comma [0] 2 4 15" xfId="18292" xr:uid="{00000000-0005-0000-0000-000057470000}"/>
    <cellStyle name="Comma [0] 2 4 16" xfId="18293" xr:uid="{00000000-0005-0000-0000-000058470000}"/>
    <cellStyle name="Comma [0] 2 4 17" xfId="18294" xr:uid="{00000000-0005-0000-0000-000059470000}"/>
    <cellStyle name="Comma [0] 2 4 18" xfId="18295" xr:uid="{00000000-0005-0000-0000-00005A470000}"/>
    <cellStyle name="Comma [0] 2 4 19" xfId="18296" xr:uid="{00000000-0005-0000-0000-00005B470000}"/>
    <cellStyle name="Comma [0] 2 4 2" xfId="18297" xr:uid="{00000000-0005-0000-0000-00005C470000}"/>
    <cellStyle name="Comma [0] 2 4 20" xfId="18298" xr:uid="{00000000-0005-0000-0000-00005D470000}"/>
    <cellStyle name="Comma [0] 2 4 21" xfId="18299" xr:uid="{00000000-0005-0000-0000-00005E470000}"/>
    <cellStyle name="Comma [0] 2 4 22" xfId="18300" xr:uid="{00000000-0005-0000-0000-00005F470000}"/>
    <cellStyle name="Comma [0] 2 4 23" xfId="18301" xr:uid="{00000000-0005-0000-0000-000060470000}"/>
    <cellStyle name="Comma [0] 2 4 24" xfId="18302" xr:uid="{00000000-0005-0000-0000-000061470000}"/>
    <cellStyle name="Comma [0] 2 4 25" xfId="18303" xr:uid="{00000000-0005-0000-0000-000062470000}"/>
    <cellStyle name="Comma [0] 2 4 26" xfId="18304" xr:uid="{00000000-0005-0000-0000-000063470000}"/>
    <cellStyle name="Comma [0] 2 4 27" xfId="18305" xr:uid="{00000000-0005-0000-0000-000064470000}"/>
    <cellStyle name="Comma [0] 2 4 28" xfId="18306" xr:uid="{00000000-0005-0000-0000-000065470000}"/>
    <cellStyle name="Comma [0] 2 4 29" xfId="18307" xr:uid="{00000000-0005-0000-0000-000066470000}"/>
    <cellStyle name="Comma [0] 2 4 3" xfId="18308" xr:uid="{00000000-0005-0000-0000-000067470000}"/>
    <cellStyle name="Comma [0] 2 4 30" xfId="18309" xr:uid="{00000000-0005-0000-0000-000068470000}"/>
    <cellStyle name="Comma [0] 2 4 31" xfId="18310" xr:uid="{00000000-0005-0000-0000-000069470000}"/>
    <cellStyle name="Comma [0] 2 4 32" xfId="18311" xr:uid="{00000000-0005-0000-0000-00006A470000}"/>
    <cellStyle name="Comma [0] 2 4 4" xfId="18312" xr:uid="{00000000-0005-0000-0000-00006B470000}"/>
    <cellStyle name="Comma [0] 2 4 5" xfId="18313" xr:uid="{00000000-0005-0000-0000-00006C470000}"/>
    <cellStyle name="Comma [0] 2 4 6" xfId="18314" xr:uid="{00000000-0005-0000-0000-00006D470000}"/>
    <cellStyle name="Comma [0] 2 4 7" xfId="18315" xr:uid="{00000000-0005-0000-0000-00006E470000}"/>
    <cellStyle name="Comma [0] 2 4 8" xfId="18316" xr:uid="{00000000-0005-0000-0000-00006F470000}"/>
    <cellStyle name="Comma [0] 2 4 9" xfId="18317" xr:uid="{00000000-0005-0000-0000-000070470000}"/>
    <cellStyle name="Comma [0] 2 40" xfId="18318" xr:uid="{00000000-0005-0000-0000-000071470000}"/>
    <cellStyle name="Comma [0] 2 41" xfId="18319" xr:uid="{00000000-0005-0000-0000-000072470000}"/>
    <cellStyle name="Comma [0] 2 42" xfId="18320" xr:uid="{00000000-0005-0000-0000-000073470000}"/>
    <cellStyle name="Comma [0] 2 43" xfId="18321" xr:uid="{00000000-0005-0000-0000-000074470000}"/>
    <cellStyle name="Comma [0] 2 5" xfId="18322" xr:uid="{00000000-0005-0000-0000-000075470000}"/>
    <cellStyle name="Comma [0] 2 5 10" xfId="18323" xr:uid="{00000000-0005-0000-0000-000076470000}"/>
    <cellStyle name="Comma [0] 2 5 11" xfId="18324" xr:uid="{00000000-0005-0000-0000-000077470000}"/>
    <cellStyle name="Comma [0] 2 5 12" xfId="18325" xr:uid="{00000000-0005-0000-0000-000078470000}"/>
    <cellStyle name="Comma [0] 2 5 13" xfId="18326" xr:uid="{00000000-0005-0000-0000-000079470000}"/>
    <cellStyle name="Comma [0] 2 5 14" xfId="18327" xr:uid="{00000000-0005-0000-0000-00007A470000}"/>
    <cellStyle name="Comma [0] 2 5 15" xfId="18328" xr:uid="{00000000-0005-0000-0000-00007B470000}"/>
    <cellStyle name="Comma [0] 2 5 16" xfId="18329" xr:uid="{00000000-0005-0000-0000-00007C470000}"/>
    <cellStyle name="Comma [0] 2 5 17" xfId="18330" xr:uid="{00000000-0005-0000-0000-00007D470000}"/>
    <cellStyle name="Comma [0] 2 5 18" xfId="18331" xr:uid="{00000000-0005-0000-0000-00007E470000}"/>
    <cellStyle name="Comma [0] 2 5 19" xfId="18332" xr:uid="{00000000-0005-0000-0000-00007F470000}"/>
    <cellStyle name="Comma [0] 2 5 2" xfId="18333" xr:uid="{00000000-0005-0000-0000-000080470000}"/>
    <cellStyle name="Comma [0] 2 5 20" xfId="18334" xr:uid="{00000000-0005-0000-0000-000081470000}"/>
    <cellStyle name="Comma [0] 2 5 21" xfId="18335" xr:uid="{00000000-0005-0000-0000-000082470000}"/>
    <cellStyle name="Comma [0] 2 5 22" xfId="18336" xr:uid="{00000000-0005-0000-0000-000083470000}"/>
    <cellStyle name="Comma [0] 2 5 23" xfId="18337" xr:uid="{00000000-0005-0000-0000-000084470000}"/>
    <cellStyle name="Comma [0] 2 5 24" xfId="18338" xr:uid="{00000000-0005-0000-0000-000085470000}"/>
    <cellStyle name="Comma [0] 2 5 25" xfId="18339" xr:uid="{00000000-0005-0000-0000-000086470000}"/>
    <cellStyle name="Comma [0] 2 5 26" xfId="18340" xr:uid="{00000000-0005-0000-0000-000087470000}"/>
    <cellStyle name="Comma [0] 2 5 27" xfId="18341" xr:uid="{00000000-0005-0000-0000-000088470000}"/>
    <cellStyle name="Comma [0] 2 5 28" xfId="18342" xr:uid="{00000000-0005-0000-0000-000089470000}"/>
    <cellStyle name="Comma [0] 2 5 29" xfId="18343" xr:uid="{00000000-0005-0000-0000-00008A470000}"/>
    <cellStyle name="Comma [0] 2 5 3" xfId="18344" xr:uid="{00000000-0005-0000-0000-00008B470000}"/>
    <cellStyle name="Comma [0] 2 5 30" xfId="18345" xr:uid="{00000000-0005-0000-0000-00008C470000}"/>
    <cellStyle name="Comma [0] 2 5 31" xfId="18346" xr:uid="{00000000-0005-0000-0000-00008D470000}"/>
    <cellStyle name="Comma [0] 2 5 32" xfId="18347" xr:uid="{00000000-0005-0000-0000-00008E470000}"/>
    <cellStyle name="Comma [0] 2 5 4" xfId="18348" xr:uid="{00000000-0005-0000-0000-00008F470000}"/>
    <cellStyle name="Comma [0] 2 5 5" xfId="18349" xr:uid="{00000000-0005-0000-0000-000090470000}"/>
    <cellStyle name="Comma [0] 2 5 6" xfId="18350" xr:uid="{00000000-0005-0000-0000-000091470000}"/>
    <cellStyle name="Comma [0] 2 5 7" xfId="18351" xr:uid="{00000000-0005-0000-0000-000092470000}"/>
    <cellStyle name="Comma [0] 2 5 8" xfId="18352" xr:uid="{00000000-0005-0000-0000-000093470000}"/>
    <cellStyle name="Comma [0] 2 5 9" xfId="18353" xr:uid="{00000000-0005-0000-0000-000094470000}"/>
    <cellStyle name="Comma [0] 2 6" xfId="18354" xr:uid="{00000000-0005-0000-0000-000095470000}"/>
    <cellStyle name="Comma [0] 2 6 10" xfId="18355" xr:uid="{00000000-0005-0000-0000-000096470000}"/>
    <cellStyle name="Comma [0] 2 6 11" xfId="18356" xr:uid="{00000000-0005-0000-0000-000097470000}"/>
    <cellStyle name="Comma [0] 2 6 12" xfId="18357" xr:uid="{00000000-0005-0000-0000-000098470000}"/>
    <cellStyle name="Comma [0] 2 6 13" xfId="18358" xr:uid="{00000000-0005-0000-0000-000099470000}"/>
    <cellStyle name="Comma [0] 2 6 14" xfId="18359" xr:uid="{00000000-0005-0000-0000-00009A470000}"/>
    <cellStyle name="Comma [0] 2 6 15" xfId="18360" xr:uid="{00000000-0005-0000-0000-00009B470000}"/>
    <cellStyle name="Comma [0] 2 6 16" xfId="18361" xr:uid="{00000000-0005-0000-0000-00009C470000}"/>
    <cellStyle name="Comma [0] 2 6 17" xfId="18362" xr:uid="{00000000-0005-0000-0000-00009D470000}"/>
    <cellStyle name="Comma [0] 2 6 18" xfId="18363" xr:uid="{00000000-0005-0000-0000-00009E470000}"/>
    <cellStyle name="Comma [0] 2 6 19" xfId="18364" xr:uid="{00000000-0005-0000-0000-00009F470000}"/>
    <cellStyle name="Comma [0] 2 6 2" xfId="18365" xr:uid="{00000000-0005-0000-0000-0000A0470000}"/>
    <cellStyle name="Comma [0] 2 6 20" xfId="18366" xr:uid="{00000000-0005-0000-0000-0000A1470000}"/>
    <cellStyle name="Comma [0] 2 6 21" xfId="18367" xr:uid="{00000000-0005-0000-0000-0000A2470000}"/>
    <cellStyle name="Comma [0] 2 6 22" xfId="18368" xr:uid="{00000000-0005-0000-0000-0000A3470000}"/>
    <cellStyle name="Comma [0] 2 6 23" xfId="18369" xr:uid="{00000000-0005-0000-0000-0000A4470000}"/>
    <cellStyle name="Comma [0] 2 6 24" xfId="18370" xr:uid="{00000000-0005-0000-0000-0000A5470000}"/>
    <cellStyle name="Comma [0] 2 6 25" xfId="18371" xr:uid="{00000000-0005-0000-0000-0000A6470000}"/>
    <cellStyle name="Comma [0] 2 6 26" xfId="18372" xr:uid="{00000000-0005-0000-0000-0000A7470000}"/>
    <cellStyle name="Comma [0] 2 6 27" xfId="18373" xr:uid="{00000000-0005-0000-0000-0000A8470000}"/>
    <cellStyle name="Comma [0] 2 6 28" xfId="18374" xr:uid="{00000000-0005-0000-0000-0000A9470000}"/>
    <cellStyle name="Comma [0] 2 6 29" xfId="18375" xr:uid="{00000000-0005-0000-0000-0000AA470000}"/>
    <cellStyle name="Comma [0] 2 6 3" xfId="18376" xr:uid="{00000000-0005-0000-0000-0000AB470000}"/>
    <cellStyle name="Comma [0] 2 6 30" xfId="18377" xr:uid="{00000000-0005-0000-0000-0000AC470000}"/>
    <cellStyle name="Comma [0] 2 6 31" xfId="18378" xr:uid="{00000000-0005-0000-0000-0000AD470000}"/>
    <cellStyle name="Comma [0] 2 6 32" xfId="18379" xr:uid="{00000000-0005-0000-0000-0000AE470000}"/>
    <cellStyle name="Comma [0] 2 6 4" xfId="18380" xr:uid="{00000000-0005-0000-0000-0000AF470000}"/>
    <cellStyle name="Comma [0] 2 6 5" xfId="18381" xr:uid="{00000000-0005-0000-0000-0000B0470000}"/>
    <cellStyle name="Comma [0] 2 6 6" xfId="18382" xr:uid="{00000000-0005-0000-0000-0000B1470000}"/>
    <cellStyle name="Comma [0] 2 6 7" xfId="18383" xr:uid="{00000000-0005-0000-0000-0000B2470000}"/>
    <cellStyle name="Comma [0] 2 6 8" xfId="18384" xr:uid="{00000000-0005-0000-0000-0000B3470000}"/>
    <cellStyle name="Comma [0] 2 6 9" xfId="18385" xr:uid="{00000000-0005-0000-0000-0000B4470000}"/>
    <cellStyle name="Comma [0] 2 7" xfId="18386" xr:uid="{00000000-0005-0000-0000-0000B5470000}"/>
    <cellStyle name="Comma [0] 2 7 10" xfId="18387" xr:uid="{00000000-0005-0000-0000-0000B6470000}"/>
    <cellStyle name="Comma [0] 2 7 11" xfId="18388" xr:uid="{00000000-0005-0000-0000-0000B7470000}"/>
    <cellStyle name="Comma [0] 2 7 12" xfId="18389" xr:uid="{00000000-0005-0000-0000-0000B8470000}"/>
    <cellStyle name="Comma [0] 2 7 13" xfId="18390" xr:uid="{00000000-0005-0000-0000-0000B9470000}"/>
    <cellStyle name="Comma [0] 2 7 14" xfId="18391" xr:uid="{00000000-0005-0000-0000-0000BA470000}"/>
    <cellStyle name="Comma [0] 2 7 15" xfId="18392" xr:uid="{00000000-0005-0000-0000-0000BB470000}"/>
    <cellStyle name="Comma [0] 2 7 16" xfId="18393" xr:uid="{00000000-0005-0000-0000-0000BC470000}"/>
    <cellStyle name="Comma [0] 2 7 17" xfId="18394" xr:uid="{00000000-0005-0000-0000-0000BD470000}"/>
    <cellStyle name="Comma [0] 2 7 18" xfId="18395" xr:uid="{00000000-0005-0000-0000-0000BE470000}"/>
    <cellStyle name="Comma [0] 2 7 19" xfId="18396" xr:uid="{00000000-0005-0000-0000-0000BF470000}"/>
    <cellStyle name="Comma [0] 2 7 2" xfId="18397" xr:uid="{00000000-0005-0000-0000-0000C0470000}"/>
    <cellStyle name="Comma [0] 2 7 20" xfId="18398" xr:uid="{00000000-0005-0000-0000-0000C1470000}"/>
    <cellStyle name="Comma [0] 2 7 21" xfId="18399" xr:uid="{00000000-0005-0000-0000-0000C2470000}"/>
    <cellStyle name="Comma [0] 2 7 22" xfId="18400" xr:uid="{00000000-0005-0000-0000-0000C3470000}"/>
    <cellStyle name="Comma [0] 2 7 23" xfId="18401" xr:uid="{00000000-0005-0000-0000-0000C4470000}"/>
    <cellStyle name="Comma [0] 2 7 24" xfId="18402" xr:uid="{00000000-0005-0000-0000-0000C5470000}"/>
    <cellStyle name="Comma [0] 2 7 25" xfId="18403" xr:uid="{00000000-0005-0000-0000-0000C6470000}"/>
    <cellStyle name="Comma [0] 2 7 26" xfId="18404" xr:uid="{00000000-0005-0000-0000-0000C7470000}"/>
    <cellStyle name="Comma [0] 2 7 27" xfId="18405" xr:uid="{00000000-0005-0000-0000-0000C8470000}"/>
    <cellStyle name="Comma [0] 2 7 28" xfId="18406" xr:uid="{00000000-0005-0000-0000-0000C9470000}"/>
    <cellStyle name="Comma [0] 2 7 29" xfId="18407" xr:uid="{00000000-0005-0000-0000-0000CA470000}"/>
    <cellStyle name="Comma [0] 2 7 3" xfId="18408" xr:uid="{00000000-0005-0000-0000-0000CB470000}"/>
    <cellStyle name="Comma [0] 2 7 30" xfId="18409" xr:uid="{00000000-0005-0000-0000-0000CC470000}"/>
    <cellStyle name="Comma [0] 2 7 31" xfId="18410" xr:uid="{00000000-0005-0000-0000-0000CD470000}"/>
    <cellStyle name="Comma [0] 2 7 32" xfId="18411" xr:uid="{00000000-0005-0000-0000-0000CE470000}"/>
    <cellStyle name="Comma [0] 2 7 4" xfId="18412" xr:uid="{00000000-0005-0000-0000-0000CF470000}"/>
    <cellStyle name="Comma [0] 2 7 5" xfId="18413" xr:uid="{00000000-0005-0000-0000-0000D0470000}"/>
    <cellStyle name="Comma [0] 2 7 6" xfId="18414" xr:uid="{00000000-0005-0000-0000-0000D1470000}"/>
    <cellStyle name="Comma [0] 2 7 7" xfId="18415" xr:uid="{00000000-0005-0000-0000-0000D2470000}"/>
    <cellStyle name="Comma [0] 2 7 8" xfId="18416" xr:uid="{00000000-0005-0000-0000-0000D3470000}"/>
    <cellStyle name="Comma [0] 2 7 9" xfId="18417" xr:uid="{00000000-0005-0000-0000-0000D4470000}"/>
    <cellStyle name="Comma [0] 2 8" xfId="18418" xr:uid="{00000000-0005-0000-0000-0000D5470000}"/>
    <cellStyle name="Comma [0] 2 8 10" xfId="18419" xr:uid="{00000000-0005-0000-0000-0000D6470000}"/>
    <cellStyle name="Comma [0] 2 8 11" xfId="18420" xr:uid="{00000000-0005-0000-0000-0000D7470000}"/>
    <cellStyle name="Comma [0] 2 8 12" xfId="18421" xr:uid="{00000000-0005-0000-0000-0000D8470000}"/>
    <cellStyle name="Comma [0] 2 8 13" xfId="18422" xr:uid="{00000000-0005-0000-0000-0000D9470000}"/>
    <cellStyle name="Comma [0] 2 8 14" xfId="18423" xr:uid="{00000000-0005-0000-0000-0000DA470000}"/>
    <cellStyle name="Comma [0] 2 8 15" xfId="18424" xr:uid="{00000000-0005-0000-0000-0000DB470000}"/>
    <cellStyle name="Comma [0] 2 8 16" xfId="18425" xr:uid="{00000000-0005-0000-0000-0000DC470000}"/>
    <cellStyle name="Comma [0] 2 8 17" xfId="18426" xr:uid="{00000000-0005-0000-0000-0000DD470000}"/>
    <cellStyle name="Comma [0] 2 8 18" xfId="18427" xr:uid="{00000000-0005-0000-0000-0000DE470000}"/>
    <cellStyle name="Comma [0] 2 8 19" xfId="18428" xr:uid="{00000000-0005-0000-0000-0000DF470000}"/>
    <cellStyle name="Comma [0] 2 8 2" xfId="18429" xr:uid="{00000000-0005-0000-0000-0000E0470000}"/>
    <cellStyle name="Comma [0] 2 8 20" xfId="18430" xr:uid="{00000000-0005-0000-0000-0000E1470000}"/>
    <cellStyle name="Comma [0] 2 8 21" xfId="18431" xr:uid="{00000000-0005-0000-0000-0000E2470000}"/>
    <cellStyle name="Comma [0] 2 8 22" xfId="18432" xr:uid="{00000000-0005-0000-0000-0000E3470000}"/>
    <cellStyle name="Comma [0] 2 8 23" xfId="18433" xr:uid="{00000000-0005-0000-0000-0000E4470000}"/>
    <cellStyle name="Comma [0] 2 8 24" xfId="18434" xr:uid="{00000000-0005-0000-0000-0000E5470000}"/>
    <cellStyle name="Comma [0] 2 8 25" xfId="18435" xr:uid="{00000000-0005-0000-0000-0000E6470000}"/>
    <cellStyle name="Comma [0] 2 8 26" xfId="18436" xr:uid="{00000000-0005-0000-0000-0000E7470000}"/>
    <cellStyle name="Comma [0] 2 8 27" xfId="18437" xr:uid="{00000000-0005-0000-0000-0000E8470000}"/>
    <cellStyle name="Comma [0] 2 8 28" xfId="18438" xr:uid="{00000000-0005-0000-0000-0000E9470000}"/>
    <cellStyle name="Comma [0] 2 8 29" xfId="18439" xr:uid="{00000000-0005-0000-0000-0000EA470000}"/>
    <cellStyle name="Comma [0] 2 8 3" xfId="18440" xr:uid="{00000000-0005-0000-0000-0000EB470000}"/>
    <cellStyle name="Comma [0] 2 8 30" xfId="18441" xr:uid="{00000000-0005-0000-0000-0000EC470000}"/>
    <cellStyle name="Comma [0] 2 8 31" xfId="18442" xr:uid="{00000000-0005-0000-0000-0000ED470000}"/>
    <cellStyle name="Comma [0] 2 8 32" xfId="18443" xr:uid="{00000000-0005-0000-0000-0000EE470000}"/>
    <cellStyle name="Comma [0] 2 8 4" xfId="18444" xr:uid="{00000000-0005-0000-0000-0000EF470000}"/>
    <cellStyle name="Comma [0] 2 8 5" xfId="18445" xr:uid="{00000000-0005-0000-0000-0000F0470000}"/>
    <cellStyle name="Comma [0] 2 8 6" xfId="18446" xr:uid="{00000000-0005-0000-0000-0000F1470000}"/>
    <cellStyle name="Comma [0] 2 8 7" xfId="18447" xr:uid="{00000000-0005-0000-0000-0000F2470000}"/>
    <cellStyle name="Comma [0] 2 8 8" xfId="18448" xr:uid="{00000000-0005-0000-0000-0000F3470000}"/>
    <cellStyle name="Comma [0] 2 8 9" xfId="18449" xr:uid="{00000000-0005-0000-0000-0000F4470000}"/>
    <cellStyle name="Comma [0] 2 9" xfId="18450" xr:uid="{00000000-0005-0000-0000-0000F5470000}"/>
    <cellStyle name="Comma [0] 2 9 10" xfId="18451" xr:uid="{00000000-0005-0000-0000-0000F6470000}"/>
    <cellStyle name="Comma [0] 2 9 11" xfId="18452" xr:uid="{00000000-0005-0000-0000-0000F7470000}"/>
    <cellStyle name="Comma [0] 2 9 12" xfId="18453" xr:uid="{00000000-0005-0000-0000-0000F8470000}"/>
    <cellStyle name="Comma [0] 2 9 13" xfId="18454" xr:uid="{00000000-0005-0000-0000-0000F9470000}"/>
    <cellStyle name="Comma [0] 2 9 14" xfId="18455" xr:uid="{00000000-0005-0000-0000-0000FA470000}"/>
    <cellStyle name="Comma [0] 2 9 15" xfId="18456" xr:uid="{00000000-0005-0000-0000-0000FB470000}"/>
    <cellStyle name="Comma [0] 2 9 16" xfId="18457" xr:uid="{00000000-0005-0000-0000-0000FC470000}"/>
    <cellStyle name="Comma [0] 2 9 17" xfId="18458" xr:uid="{00000000-0005-0000-0000-0000FD470000}"/>
    <cellStyle name="Comma [0] 2 9 18" xfId="18459" xr:uid="{00000000-0005-0000-0000-0000FE470000}"/>
    <cellStyle name="Comma [0] 2 9 19" xfId="18460" xr:uid="{00000000-0005-0000-0000-0000FF470000}"/>
    <cellStyle name="Comma [0] 2 9 2" xfId="18461" xr:uid="{00000000-0005-0000-0000-000000480000}"/>
    <cellStyle name="Comma [0] 2 9 20" xfId="18462" xr:uid="{00000000-0005-0000-0000-000001480000}"/>
    <cellStyle name="Comma [0] 2 9 21" xfId="18463" xr:uid="{00000000-0005-0000-0000-000002480000}"/>
    <cellStyle name="Comma [0] 2 9 22" xfId="18464" xr:uid="{00000000-0005-0000-0000-000003480000}"/>
    <cellStyle name="Comma [0] 2 9 23" xfId="18465" xr:uid="{00000000-0005-0000-0000-000004480000}"/>
    <cellStyle name="Comma [0] 2 9 24" xfId="18466" xr:uid="{00000000-0005-0000-0000-000005480000}"/>
    <cellStyle name="Comma [0] 2 9 25" xfId="18467" xr:uid="{00000000-0005-0000-0000-000006480000}"/>
    <cellStyle name="Comma [0] 2 9 26" xfId="18468" xr:uid="{00000000-0005-0000-0000-000007480000}"/>
    <cellStyle name="Comma [0] 2 9 27" xfId="18469" xr:uid="{00000000-0005-0000-0000-000008480000}"/>
    <cellStyle name="Comma [0] 2 9 28" xfId="18470" xr:uid="{00000000-0005-0000-0000-000009480000}"/>
    <cellStyle name="Comma [0] 2 9 29" xfId="18471" xr:uid="{00000000-0005-0000-0000-00000A480000}"/>
    <cellStyle name="Comma [0] 2 9 3" xfId="18472" xr:uid="{00000000-0005-0000-0000-00000B480000}"/>
    <cellStyle name="Comma [0] 2 9 30" xfId="18473" xr:uid="{00000000-0005-0000-0000-00000C480000}"/>
    <cellStyle name="Comma [0] 2 9 31" xfId="18474" xr:uid="{00000000-0005-0000-0000-00000D480000}"/>
    <cellStyle name="Comma [0] 2 9 32" xfId="18475" xr:uid="{00000000-0005-0000-0000-00000E480000}"/>
    <cellStyle name="Comma [0] 2 9 4" xfId="18476" xr:uid="{00000000-0005-0000-0000-00000F480000}"/>
    <cellStyle name="Comma [0] 2 9 5" xfId="18477" xr:uid="{00000000-0005-0000-0000-000010480000}"/>
    <cellStyle name="Comma [0] 2 9 6" xfId="18478" xr:uid="{00000000-0005-0000-0000-000011480000}"/>
    <cellStyle name="Comma [0] 2 9 7" xfId="18479" xr:uid="{00000000-0005-0000-0000-000012480000}"/>
    <cellStyle name="Comma [0] 2 9 8" xfId="18480" xr:uid="{00000000-0005-0000-0000-000013480000}"/>
    <cellStyle name="Comma [0] 2 9 9" xfId="18481" xr:uid="{00000000-0005-0000-0000-000014480000}"/>
    <cellStyle name="Comma [0] 3" xfId="18482" xr:uid="{00000000-0005-0000-0000-000015480000}"/>
    <cellStyle name="Comma [0] 3 10" xfId="18483" xr:uid="{00000000-0005-0000-0000-000016480000}"/>
    <cellStyle name="Comma [0] 3 11" xfId="18484" xr:uid="{00000000-0005-0000-0000-000017480000}"/>
    <cellStyle name="Comma [0] 3 12" xfId="18485" xr:uid="{00000000-0005-0000-0000-000018480000}"/>
    <cellStyle name="Comma [0] 3 13" xfId="18486" xr:uid="{00000000-0005-0000-0000-000019480000}"/>
    <cellStyle name="Comma [0] 3 14" xfId="18487" xr:uid="{00000000-0005-0000-0000-00001A480000}"/>
    <cellStyle name="Comma [0] 3 15" xfId="18488" xr:uid="{00000000-0005-0000-0000-00001B480000}"/>
    <cellStyle name="Comma [0] 3 16" xfId="18489" xr:uid="{00000000-0005-0000-0000-00001C480000}"/>
    <cellStyle name="Comma [0] 3 17" xfId="18490" xr:uid="{00000000-0005-0000-0000-00001D480000}"/>
    <cellStyle name="Comma [0] 3 18" xfId="18491" xr:uid="{00000000-0005-0000-0000-00001E480000}"/>
    <cellStyle name="Comma [0] 3 19" xfId="18492" xr:uid="{00000000-0005-0000-0000-00001F480000}"/>
    <cellStyle name="Comma [0] 3 2" xfId="18493" xr:uid="{00000000-0005-0000-0000-000020480000}"/>
    <cellStyle name="Comma [0] 3 2 10" xfId="18494" xr:uid="{00000000-0005-0000-0000-000021480000}"/>
    <cellStyle name="Comma [0] 3 2 11" xfId="18495" xr:uid="{00000000-0005-0000-0000-000022480000}"/>
    <cellStyle name="Comma [0] 3 2 12" xfId="18496" xr:uid="{00000000-0005-0000-0000-000023480000}"/>
    <cellStyle name="Comma [0] 3 2 13" xfId="18497" xr:uid="{00000000-0005-0000-0000-000024480000}"/>
    <cellStyle name="Comma [0] 3 2 14" xfId="18498" xr:uid="{00000000-0005-0000-0000-000025480000}"/>
    <cellStyle name="Comma [0] 3 2 15" xfId="18499" xr:uid="{00000000-0005-0000-0000-000026480000}"/>
    <cellStyle name="Comma [0] 3 2 16" xfId="18500" xr:uid="{00000000-0005-0000-0000-000027480000}"/>
    <cellStyle name="Comma [0] 3 2 17" xfId="18501" xr:uid="{00000000-0005-0000-0000-000028480000}"/>
    <cellStyle name="Comma [0] 3 2 18" xfId="18502" xr:uid="{00000000-0005-0000-0000-000029480000}"/>
    <cellStyle name="Comma [0] 3 2 19" xfId="18503" xr:uid="{00000000-0005-0000-0000-00002A480000}"/>
    <cellStyle name="Comma [0] 3 2 2" xfId="18504" xr:uid="{00000000-0005-0000-0000-00002B480000}"/>
    <cellStyle name="Comma [0] 3 2 20" xfId="18505" xr:uid="{00000000-0005-0000-0000-00002C480000}"/>
    <cellStyle name="Comma [0] 3 2 21" xfId="18506" xr:uid="{00000000-0005-0000-0000-00002D480000}"/>
    <cellStyle name="Comma [0] 3 2 22" xfId="18507" xr:uid="{00000000-0005-0000-0000-00002E480000}"/>
    <cellStyle name="Comma [0] 3 2 23" xfId="18508" xr:uid="{00000000-0005-0000-0000-00002F480000}"/>
    <cellStyle name="Comma [0] 3 2 24" xfId="18509" xr:uid="{00000000-0005-0000-0000-000030480000}"/>
    <cellStyle name="Comma [0] 3 2 25" xfId="18510" xr:uid="{00000000-0005-0000-0000-000031480000}"/>
    <cellStyle name="Comma [0] 3 2 26" xfId="18511" xr:uid="{00000000-0005-0000-0000-000032480000}"/>
    <cellStyle name="Comma [0] 3 2 27" xfId="18512" xr:uid="{00000000-0005-0000-0000-000033480000}"/>
    <cellStyle name="Comma [0] 3 2 28" xfId="18513" xr:uid="{00000000-0005-0000-0000-000034480000}"/>
    <cellStyle name="Comma [0] 3 2 29" xfId="18514" xr:uid="{00000000-0005-0000-0000-000035480000}"/>
    <cellStyle name="Comma [0] 3 2 3" xfId="18515" xr:uid="{00000000-0005-0000-0000-000036480000}"/>
    <cellStyle name="Comma [0] 3 2 30" xfId="18516" xr:uid="{00000000-0005-0000-0000-000037480000}"/>
    <cellStyle name="Comma [0] 3 2 31" xfId="18517" xr:uid="{00000000-0005-0000-0000-000038480000}"/>
    <cellStyle name="Comma [0] 3 2 32" xfId="18518" xr:uid="{00000000-0005-0000-0000-000039480000}"/>
    <cellStyle name="Comma [0] 3 2 4" xfId="18519" xr:uid="{00000000-0005-0000-0000-00003A480000}"/>
    <cellStyle name="Comma [0] 3 2 5" xfId="18520" xr:uid="{00000000-0005-0000-0000-00003B480000}"/>
    <cellStyle name="Comma [0] 3 2 6" xfId="18521" xr:uid="{00000000-0005-0000-0000-00003C480000}"/>
    <cellStyle name="Comma [0] 3 2 7" xfId="18522" xr:uid="{00000000-0005-0000-0000-00003D480000}"/>
    <cellStyle name="Comma [0] 3 2 8" xfId="18523" xr:uid="{00000000-0005-0000-0000-00003E480000}"/>
    <cellStyle name="Comma [0] 3 2 9" xfId="18524" xr:uid="{00000000-0005-0000-0000-00003F480000}"/>
    <cellStyle name="Comma [0] 3 20" xfId="18525" xr:uid="{00000000-0005-0000-0000-000040480000}"/>
    <cellStyle name="Comma [0] 3 21" xfId="18526" xr:uid="{00000000-0005-0000-0000-000041480000}"/>
    <cellStyle name="Comma [0] 3 22" xfId="18527" xr:uid="{00000000-0005-0000-0000-000042480000}"/>
    <cellStyle name="Comma [0] 3 23" xfId="18528" xr:uid="{00000000-0005-0000-0000-000043480000}"/>
    <cellStyle name="Comma [0] 3 24" xfId="18529" xr:uid="{00000000-0005-0000-0000-000044480000}"/>
    <cellStyle name="Comma [0] 3 25" xfId="18530" xr:uid="{00000000-0005-0000-0000-000045480000}"/>
    <cellStyle name="Comma [0] 3 26" xfId="18531" xr:uid="{00000000-0005-0000-0000-000046480000}"/>
    <cellStyle name="Comma [0] 3 27" xfId="18532" xr:uid="{00000000-0005-0000-0000-000047480000}"/>
    <cellStyle name="Comma [0] 3 28" xfId="18533" xr:uid="{00000000-0005-0000-0000-000048480000}"/>
    <cellStyle name="Comma [0] 3 29" xfId="18534" xr:uid="{00000000-0005-0000-0000-000049480000}"/>
    <cellStyle name="Comma [0] 3 3" xfId="18535" xr:uid="{00000000-0005-0000-0000-00004A480000}"/>
    <cellStyle name="Comma [0] 3 3 10" xfId="18536" xr:uid="{00000000-0005-0000-0000-00004B480000}"/>
    <cellStyle name="Comma [0] 3 3 11" xfId="18537" xr:uid="{00000000-0005-0000-0000-00004C480000}"/>
    <cellStyle name="Comma [0] 3 3 12" xfId="18538" xr:uid="{00000000-0005-0000-0000-00004D480000}"/>
    <cellStyle name="Comma [0] 3 3 13" xfId="18539" xr:uid="{00000000-0005-0000-0000-00004E480000}"/>
    <cellStyle name="Comma [0] 3 3 14" xfId="18540" xr:uid="{00000000-0005-0000-0000-00004F480000}"/>
    <cellStyle name="Comma [0] 3 3 15" xfId="18541" xr:uid="{00000000-0005-0000-0000-000050480000}"/>
    <cellStyle name="Comma [0] 3 3 16" xfId="18542" xr:uid="{00000000-0005-0000-0000-000051480000}"/>
    <cellStyle name="Comma [0] 3 3 17" xfId="18543" xr:uid="{00000000-0005-0000-0000-000052480000}"/>
    <cellStyle name="Comma [0] 3 3 18" xfId="18544" xr:uid="{00000000-0005-0000-0000-000053480000}"/>
    <cellStyle name="Comma [0] 3 3 19" xfId="18545" xr:uid="{00000000-0005-0000-0000-000054480000}"/>
    <cellStyle name="Comma [0] 3 3 2" xfId="18546" xr:uid="{00000000-0005-0000-0000-000055480000}"/>
    <cellStyle name="Comma [0] 3 3 20" xfId="18547" xr:uid="{00000000-0005-0000-0000-000056480000}"/>
    <cellStyle name="Comma [0] 3 3 21" xfId="18548" xr:uid="{00000000-0005-0000-0000-000057480000}"/>
    <cellStyle name="Comma [0] 3 3 22" xfId="18549" xr:uid="{00000000-0005-0000-0000-000058480000}"/>
    <cellStyle name="Comma [0] 3 3 23" xfId="18550" xr:uid="{00000000-0005-0000-0000-000059480000}"/>
    <cellStyle name="Comma [0] 3 3 24" xfId="18551" xr:uid="{00000000-0005-0000-0000-00005A480000}"/>
    <cellStyle name="Comma [0] 3 3 25" xfId="18552" xr:uid="{00000000-0005-0000-0000-00005B480000}"/>
    <cellStyle name="Comma [0] 3 3 26" xfId="18553" xr:uid="{00000000-0005-0000-0000-00005C480000}"/>
    <cellStyle name="Comma [0] 3 3 27" xfId="18554" xr:uid="{00000000-0005-0000-0000-00005D480000}"/>
    <cellStyle name="Comma [0] 3 3 28" xfId="18555" xr:uid="{00000000-0005-0000-0000-00005E480000}"/>
    <cellStyle name="Comma [0] 3 3 29" xfId="18556" xr:uid="{00000000-0005-0000-0000-00005F480000}"/>
    <cellStyle name="Comma [0] 3 3 3" xfId="18557" xr:uid="{00000000-0005-0000-0000-000060480000}"/>
    <cellStyle name="Comma [0] 3 3 30" xfId="18558" xr:uid="{00000000-0005-0000-0000-000061480000}"/>
    <cellStyle name="Comma [0] 3 3 31" xfId="18559" xr:uid="{00000000-0005-0000-0000-000062480000}"/>
    <cellStyle name="Comma [0] 3 3 32" xfId="18560" xr:uid="{00000000-0005-0000-0000-000063480000}"/>
    <cellStyle name="Comma [0] 3 3 4" xfId="18561" xr:uid="{00000000-0005-0000-0000-000064480000}"/>
    <cellStyle name="Comma [0] 3 3 5" xfId="18562" xr:uid="{00000000-0005-0000-0000-000065480000}"/>
    <cellStyle name="Comma [0] 3 3 6" xfId="18563" xr:uid="{00000000-0005-0000-0000-000066480000}"/>
    <cellStyle name="Comma [0] 3 3 7" xfId="18564" xr:uid="{00000000-0005-0000-0000-000067480000}"/>
    <cellStyle name="Comma [0] 3 3 8" xfId="18565" xr:uid="{00000000-0005-0000-0000-000068480000}"/>
    <cellStyle name="Comma [0] 3 3 9" xfId="18566" xr:uid="{00000000-0005-0000-0000-000069480000}"/>
    <cellStyle name="Comma [0] 3 30" xfId="18567" xr:uid="{00000000-0005-0000-0000-00006A480000}"/>
    <cellStyle name="Comma [0] 3 31" xfId="18568" xr:uid="{00000000-0005-0000-0000-00006B480000}"/>
    <cellStyle name="Comma [0] 3 32" xfId="18569" xr:uid="{00000000-0005-0000-0000-00006C480000}"/>
    <cellStyle name="Comma [0] 3 33" xfId="18570" xr:uid="{00000000-0005-0000-0000-00006D480000}"/>
    <cellStyle name="Comma [0] 3 34" xfId="18571" xr:uid="{00000000-0005-0000-0000-00006E480000}"/>
    <cellStyle name="Comma [0] 3 35" xfId="18572" xr:uid="{00000000-0005-0000-0000-00006F480000}"/>
    <cellStyle name="Comma [0] 3 36" xfId="18573" xr:uid="{00000000-0005-0000-0000-000070480000}"/>
    <cellStyle name="Comma [0] 3 37" xfId="18574" xr:uid="{00000000-0005-0000-0000-000071480000}"/>
    <cellStyle name="Comma [0] 3 38" xfId="18575" xr:uid="{00000000-0005-0000-0000-000072480000}"/>
    <cellStyle name="Comma [0] 3 39" xfId="18576" xr:uid="{00000000-0005-0000-0000-000073480000}"/>
    <cellStyle name="Comma [0] 3 4" xfId="18577" xr:uid="{00000000-0005-0000-0000-000074480000}"/>
    <cellStyle name="Comma [0] 3 4 10" xfId="18578" xr:uid="{00000000-0005-0000-0000-000075480000}"/>
    <cellStyle name="Comma [0] 3 4 11" xfId="18579" xr:uid="{00000000-0005-0000-0000-000076480000}"/>
    <cellStyle name="Comma [0] 3 4 12" xfId="18580" xr:uid="{00000000-0005-0000-0000-000077480000}"/>
    <cellStyle name="Comma [0] 3 4 13" xfId="18581" xr:uid="{00000000-0005-0000-0000-000078480000}"/>
    <cellStyle name="Comma [0] 3 4 14" xfId="18582" xr:uid="{00000000-0005-0000-0000-000079480000}"/>
    <cellStyle name="Comma [0] 3 4 15" xfId="18583" xr:uid="{00000000-0005-0000-0000-00007A480000}"/>
    <cellStyle name="Comma [0] 3 4 16" xfId="18584" xr:uid="{00000000-0005-0000-0000-00007B480000}"/>
    <cellStyle name="Comma [0] 3 4 17" xfId="18585" xr:uid="{00000000-0005-0000-0000-00007C480000}"/>
    <cellStyle name="Comma [0] 3 4 18" xfId="18586" xr:uid="{00000000-0005-0000-0000-00007D480000}"/>
    <cellStyle name="Comma [0] 3 4 19" xfId="18587" xr:uid="{00000000-0005-0000-0000-00007E480000}"/>
    <cellStyle name="Comma [0] 3 4 2" xfId="18588" xr:uid="{00000000-0005-0000-0000-00007F480000}"/>
    <cellStyle name="Comma [0] 3 4 20" xfId="18589" xr:uid="{00000000-0005-0000-0000-000080480000}"/>
    <cellStyle name="Comma [0] 3 4 21" xfId="18590" xr:uid="{00000000-0005-0000-0000-000081480000}"/>
    <cellStyle name="Comma [0] 3 4 22" xfId="18591" xr:uid="{00000000-0005-0000-0000-000082480000}"/>
    <cellStyle name="Comma [0] 3 4 23" xfId="18592" xr:uid="{00000000-0005-0000-0000-000083480000}"/>
    <cellStyle name="Comma [0] 3 4 24" xfId="18593" xr:uid="{00000000-0005-0000-0000-000084480000}"/>
    <cellStyle name="Comma [0] 3 4 25" xfId="18594" xr:uid="{00000000-0005-0000-0000-000085480000}"/>
    <cellStyle name="Comma [0] 3 4 26" xfId="18595" xr:uid="{00000000-0005-0000-0000-000086480000}"/>
    <cellStyle name="Comma [0] 3 4 27" xfId="18596" xr:uid="{00000000-0005-0000-0000-000087480000}"/>
    <cellStyle name="Comma [0] 3 4 28" xfId="18597" xr:uid="{00000000-0005-0000-0000-000088480000}"/>
    <cellStyle name="Comma [0] 3 4 29" xfId="18598" xr:uid="{00000000-0005-0000-0000-000089480000}"/>
    <cellStyle name="Comma [0] 3 4 3" xfId="18599" xr:uid="{00000000-0005-0000-0000-00008A480000}"/>
    <cellStyle name="Comma [0] 3 4 30" xfId="18600" xr:uid="{00000000-0005-0000-0000-00008B480000}"/>
    <cellStyle name="Comma [0] 3 4 31" xfId="18601" xr:uid="{00000000-0005-0000-0000-00008C480000}"/>
    <cellStyle name="Comma [0] 3 4 32" xfId="18602" xr:uid="{00000000-0005-0000-0000-00008D480000}"/>
    <cellStyle name="Comma [0] 3 4 4" xfId="18603" xr:uid="{00000000-0005-0000-0000-00008E480000}"/>
    <cellStyle name="Comma [0] 3 4 5" xfId="18604" xr:uid="{00000000-0005-0000-0000-00008F480000}"/>
    <cellStyle name="Comma [0] 3 4 6" xfId="18605" xr:uid="{00000000-0005-0000-0000-000090480000}"/>
    <cellStyle name="Comma [0] 3 4 7" xfId="18606" xr:uid="{00000000-0005-0000-0000-000091480000}"/>
    <cellStyle name="Comma [0] 3 4 8" xfId="18607" xr:uid="{00000000-0005-0000-0000-000092480000}"/>
    <cellStyle name="Comma [0] 3 4 9" xfId="18608" xr:uid="{00000000-0005-0000-0000-000093480000}"/>
    <cellStyle name="Comma [0] 3 40" xfId="18609" xr:uid="{00000000-0005-0000-0000-000094480000}"/>
    <cellStyle name="Comma [0] 3 5" xfId="18610" xr:uid="{00000000-0005-0000-0000-000095480000}"/>
    <cellStyle name="Comma [0] 3 5 10" xfId="18611" xr:uid="{00000000-0005-0000-0000-000096480000}"/>
    <cellStyle name="Comma [0] 3 5 11" xfId="18612" xr:uid="{00000000-0005-0000-0000-000097480000}"/>
    <cellStyle name="Comma [0] 3 5 12" xfId="18613" xr:uid="{00000000-0005-0000-0000-000098480000}"/>
    <cellStyle name="Comma [0] 3 5 13" xfId="18614" xr:uid="{00000000-0005-0000-0000-000099480000}"/>
    <cellStyle name="Comma [0] 3 5 14" xfId="18615" xr:uid="{00000000-0005-0000-0000-00009A480000}"/>
    <cellStyle name="Comma [0] 3 5 15" xfId="18616" xr:uid="{00000000-0005-0000-0000-00009B480000}"/>
    <cellStyle name="Comma [0] 3 5 16" xfId="18617" xr:uid="{00000000-0005-0000-0000-00009C480000}"/>
    <cellStyle name="Comma [0] 3 5 17" xfId="18618" xr:uid="{00000000-0005-0000-0000-00009D480000}"/>
    <cellStyle name="Comma [0] 3 5 18" xfId="18619" xr:uid="{00000000-0005-0000-0000-00009E480000}"/>
    <cellStyle name="Comma [0] 3 5 19" xfId="18620" xr:uid="{00000000-0005-0000-0000-00009F480000}"/>
    <cellStyle name="Comma [0] 3 5 2" xfId="18621" xr:uid="{00000000-0005-0000-0000-0000A0480000}"/>
    <cellStyle name="Comma [0] 3 5 20" xfId="18622" xr:uid="{00000000-0005-0000-0000-0000A1480000}"/>
    <cellStyle name="Comma [0] 3 5 21" xfId="18623" xr:uid="{00000000-0005-0000-0000-0000A2480000}"/>
    <cellStyle name="Comma [0] 3 5 22" xfId="18624" xr:uid="{00000000-0005-0000-0000-0000A3480000}"/>
    <cellStyle name="Comma [0] 3 5 23" xfId="18625" xr:uid="{00000000-0005-0000-0000-0000A4480000}"/>
    <cellStyle name="Comma [0] 3 5 24" xfId="18626" xr:uid="{00000000-0005-0000-0000-0000A5480000}"/>
    <cellStyle name="Comma [0] 3 5 25" xfId="18627" xr:uid="{00000000-0005-0000-0000-0000A6480000}"/>
    <cellStyle name="Comma [0] 3 5 26" xfId="18628" xr:uid="{00000000-0005-0000-0000-0000A7480000}"/>
    <cellStyle name="Comma [0] 3 5 27" xfId="18629" xr:uid="{00000000-0005-0000-0000-0000A8480000}"/>
    <cellStyle name="Comma [0] 3 5 28" xfId="18630" xr:uid="{00000000-0005-0000-0000-0000A9480000}"/>
    <cellStyle name="Comma [0] 3 5 29" xfId="18631" xr:uid="{00000000-0005-0000-0000-0000AA480000}"/>
    <cellStyle name="Comma [0] 3 5 3" xfId="18632" xr:uid="{00000000-0005-0000-0000-0000AB480000}"/>
    <cellStyle name="Comma [0] 3 5 30" xfId="18633" xr:uid="{00000000-0005-0000-0000-0000AC480000}"/>
    <cellStyle name="Comma [0] 3 5 31" xfId="18634" xr:uid="{00000000-0005-0000-0000-0000AD480000}"/>
    <cellStyle name="Comma [0] 3 5 32" xfId="18635" xr:uid="{00000000-0005-0000-0000-0000AE480000}"/>
    <cellStyle name="Comma [0] 3 5 4" xfId="18636" xr:uid="{00000000-0005-0000-0000-0000AF480000}"/>
    <cellStyle name="Comma [0] 3 5 5" xfId="18637" xr:uid="{00000000-0005-0000-0000-0000B0480000}"/>
    <cellStyle name="Comma [0] 3 5 6" xfId="18638" xr:uid="{00000000-0005-0000-0000-0000B1480000}"/>
    <cellStyle name="Comma [0] 3 5 7" xfId="18639" xr:uid="{00000000-0005-0000-0000-0000B2480000}"/>
    <cellStyle name="Comma [0] 3 5 8" xfId="18640" xr:uid="{00000000-0005-0000-0000-0000B3480000}"/>
    <cellStyle name="Comma [0] 3 5 9" xfId="18641" xr:uid="{00000000-0005-0000-0000-0000B4480000}"/>
    <cellStyle name="Comma [0] 3 6" xfId="18642" xr:uid="{00000000-0005-0000-0000-0000B5480000}"/>
    <cellStyle name="Comma [0] 3 6 10" xfId="18643" xr:uid="{00000000-0005-0000-0000-0000B6480000}"/>
    <cellStyle name="Comma [0] 3 6 11" xfId="18644" xr:uid="{00000000-0005-0000-0000-0000B7480000}"/>
    <cellStyle name="Comma [0] 3 6 12" xfId="18645" xr:uid="{00000000-0005-0000-0000-0000B8480000}"/>
    <cellStyle name="Comma [0] 3 6 13" xfId="18646" xr:uid="{00000000-0005-0000-0000-0000B9480000}"/>
    <cellStyle name="Comma [0] 3 6 14" xfId="18647" xr:uid="{00000000-0005-0000-0000-0000BA480000}"/>
    <cellStyle name="Comma [0] 3 6 15" xfId="18648" xr:uid="{00000000-0005-0000-0000-0000BB480000}"/>
    <cellStyle name="Comma [0] 3 6 16" xfId="18649" xr:uid="{00000000-0005-0000-0000-0000BC480000}"/>
    <cellStyle name="Comma [0] 3 6 17" xfId="18650" xr:uid="{00000000-0005-0000-0000-0000BD480000}"/>
    <cellStyle name="Comma [0] 3 6 18" xfId="18651" xr:uid="{00000000-0005-0000-0000-0000BE480000}"/>
    <cellStyle name="Comma [0] 3 6 19" xfId="18652" xr:uid="{00000000-0005-0000-0000-0000BF480000}"/>
    <cellStyle name="Comma [0] 3 6 2" xfId="18653" xr:uid="{00000000-0005-0000-0000-0000C0480000}"/>
    <cellStyle name="Comma [0] 3 6 20" xfId="18654" xr:uid="{00000000-0005-0000-0000-0000C1480000}"/>
    <cellStyle name="Comma [0] 3 6 21" xfId="18655" xr:uid="{00000000-0005-0000-0000-0000C2480000}"/>
    <cellStyle name="Comma [0] 3 6 22" xfId="18656" xr:uid="{00000000-0005-0000-0000-0000C3480000}"/>
    <cellStyle name="Comma [0] 3 6 23" xfId="18657" xr:uid="{00000000-0005-0000-0000-0000C4480000}"/>
    <cellStyle name="Comma [0] 3 6 24" xfId="18658" xr:uid="{00000000-0005-0000-0000-0000C5480000}"/>
    <cellStyle name="Comma [0] 3 6 25" xfId="18659" xr:uid="{00000000-0005-0000-0000-0000C6480000}"/>
    <cellStyle name="Comma [0] 3 6 26" xfId="18660" xr:uid="{00000000-0005-0000-0000-0000C7480000}"/>
    <cellStyle name="Comma [0] 3 6 27" xfId="18661" xr:uid="{00000000-0005-0000-0000-0000C8480000}"/>
    <cellStyle name="Comma [0] 3 6 28" xfId="18662" xr:uid="{00000000-0005-0000-0000-0000C9480000}"/>
    <cellStyle name="Comma [0] 3 6 29" xfId="18663" xr:uid="{00000000-0005-0000-0000-0000CA480000}"/>
    <cellStyle name="Comma [0] 3 6 3" xfId="18664" xr:uid="{00000000-0005-0000-0000-0000CB480000}"/>
    <cellStyle name="Comma [0] 3 6 30" xfId="18665" xr:uid="{00000000-0005-0000-0000-0000CC480000}"/>
    <cellStyle name="Comma [0] 3 6 31" xfId="18666" xr:uid="{00000000-0005-0000-0000-0000CD480000}"/>
    <cellStyle name="Comma [0] 3 6 32" xfId="18667" xr:uid="{00000000-0005-0000-0000-0000CE480000}"/>
    <cellStyle name="Comma [0] 3 6 4" xfId="18668" xr:uid="{00000000-0005-0000-0000-0000CF480000}"/>
    <cellStyle name="Comma [0] 3 6 5" xfId="18669" xr:uid="{00000000-0005-0000-0000-0000D0480000}"/>
    <cellStyle name="Comma [0] 3 6 6" xfId="18670" xr:uid="{00000000-0005-0000-0000-0000D1480000}"/>
    <cellStyle name="Comma [0] 3 6 7" xfId="18671" xr:uid="{00000000-0005-0000-0000-0000D2480000}"/>
    <cellStyle name="Comma [0] 3 6 8" xfId="18672" xr:uid="{00000000-0005-0000-0000-0000D3480000}"/>
    <cellStyle name="Comma [0] 3 6 9" xfId="18673" xr:uid="{00000000-0005-0000-0000-0000D4480000}"/>
    <cellStyle name="Comma [0] 3 7" xfId="18674" xr:uid="{00000000-0005-0000-0000-0000D5480000}"/>
    <cellStyle name="Comma [0] 3 7 10" xfId="18675" xr:uid="{00000000-0005-0000-0000-0000D6480000}"/>
    <cellStyle name="Comma [0] 3 7 11" xfId="18676" xr:uid="{00000000-0005-0000-0000-0000D7480000}"/>
    <cellStyle name="Comma [0] 3 7 12" xfId="18677" xr:uid="{00000000-0005-0000-0000-0000D8480000}"/>
    <cellStyle name="Comma [0] 3 7 13" xfId="18678" xr:uid="{00000000-0005-0000-0000-0000D9480000}"/>
    <cellStyle name="Comma [0] 3 7 14" xfId="18679" xr:uid="{00000000-0005-0000-0000-0000DA480000}"/>
    <cellStyle name="Comma [0] 3 7 15" xfId="18680" xr:uid="{00000000-0005-0000-0000-0000DB480000}"/>
    <cellStyle name="Comma [0] 3 7 16" xfId="18681" xr:uid="{00000000-0005-0000-0000-0000DC480000}"/>
    <cellStyle name="Comma [0] 3 7 17" xfId="18682" xr:uid="{00000000-0005-0000-0000-0000DD480000}"/>
    <cellStyle name="Comma [0] 3 7 18" xfId="18683" xr:uid="{00000000-0005-0000-0000-0000DE480000}"/>
    <cellStyle name="Comma [0] 3 7 19" xfId="18684" xr:uid="{00000000-0005-0000-0000-0000DF480000}"/>
    <cellStyle name="Comma [0] 3 7 2" xfId="18685" xr:uid="{00000000-0005-0000-0000-0000E0480000}"/>
    <cellStyle name="Comma [0] 3 7 20" xfId="18686" xr:uid="{00000000-0005-0000-0000-0000E1480000}"/>
    <cellStyle name="Comma [0] 3 7 21" xfId="18687" xr:uid="{00000000-0005-0000-0000-0000E2480000}"/>
    <cellStyle name="Comma [0] 3 7 22" xfId="18688" xr:uid="{00000000-0005-0000-0000-0000E3480000}"/>
    <cellStyle name="Comma [0] 3 7 23" xfId="18689" xr:uid="{00000000-0005-0000-0000-0000E4480000}"/>
    <cellStyle name="Comma [0] 3 7 24" xfId="18690" xr:uid="{00000000-0005-0000-0000-0000E5480000}"/>
    <cellStyle name="Comma [0] 3 7 25" xfId="18691" xr:uid="{00000000-0005-0000-0000-0000E6480000}"/>
    <cellStyle name="Comma [0] 3 7 26" xfId="18692" xr:uid="{00000000-0005-0000-0000-0000E7480000}"/>
    <cellStyle name="Comma [0] 3 7 27" xfId="18693" xr:uid="{00000000-0005-0000-0000-0000E8480000}"/>
    <cellStyle name="Comma [0] 3 7 28" xfId="18694" xr:uid="{00000000-0005-0000-0000-0000E9480000}"/>
    <cellStyle name="Comma [0] 3 7 29" xfId="18695" xr:uid="{00000000-0005-0000-0000-0000EA480000}"/>
    <cellStyle name="Comma [0] 3 7 3" xfId="18696" xr:uid="{00000000-0005-0000-0000-0000EB480000}"/>
    <cellStyle name="Comma [0] 3 7 30" xfId="18697" xr:uid="{00000000-0005-0000-0000-0000EC480000}"/>
    <cellStyle name="Comma [0] 3 7 31" xfId="18698" xr:uid="{00000000-0005-0000-0000-0000ED480000}"/>
    <cellStyle name="Comma [0] 3 7 32" xfId="18699" xr:uid="{00000000-0005-0000-0000-0000EE480000}"/>
    <cellStyle name="Comma [0] 3 7 4" xfId="18700" xr:uid="{00000000-0005-0000-0000-0000EF480000}"/>
    <cellStyle name="Comma [0] 3 7 5" xfId="18701" xr:uid="{00000000-0005-0000-0000-0000F0480000}"/>
    <cellStyle name="Comma [0] 3 7 6" xfId="18702" xr:uid="{00000000-0005-0000-0000-0000F1480000}"/>
    <cellStyle name="Comma [0] 3 7 7" xfId="18703" xr:uid="{00000000-0005-0000-0000-0000F2480000}"/>
    <cellStyle name="Comma [0] 3 7 8" xfId="18704" xr:uid="{00000000-0005-0000-0000-0000F3480000}"/>
    <cellStyle name="Comma [0] 3 7 9" xfId="18705" xr:uid="{00000000-0005-0000-0000-0000F4480000}"/>
    <cellStyle name="Comma [0] 3 8" xfId="18706" xr:uid="{00000000-0005-0000-0000-0000F5480000}"/>
    <cellStyle name="Comma [0] 3 8 10" xfId="18707" xr:uid="{00000000-0005-0000-0000-0000F6480000}"/>
    <cellStyle name="Comma [0] 3 8 11" xfId="18708" xr:uid="{00000000-0005-0000-0000-0000F7480000}"/>
    <cellStyle name="Comma [0] 3 8 12" xfId="18709" xr:uid="{00000000-0005-0000-0000-0000F8480000}"/>
    <cellStyle name="Comma [0] 3 8 13" xfId="18710" xr:uid="{00000000-0005-0000-0000-0000F9480000}"/>
    <cellStyle name="Comma [0] 3 8 14" xfId="18711" xr:uid="{00000000-0005-0000-0000-0000FA480000}"/>
    <cellStyle name="Comma [0] 3 8 15" xfId="18712" xr:uid="{00000000-0005-0000-0000-0000FB480000}"/>
    <cellStyle name="Comma [0] 3 8 16" xfId="18713" xr:uid="{00000000-0005-0000-0000-0000FC480000}"/>
    <cellStyle name="Comma [0] 3 8 17" xfId="18714" xr:uid="{00000000-0005-0000-0000-0000FD480000}"/>
    <cellStyle name="Comma [0] 3 8 18" xfId="18715" xr:uid="{00000000-0005-0000-0000-0000FE480000}"/>
    <cellStyle name="Comma [0] 3 8 19" xfId="18716" xr:uid="{00000000-0005-0000-0000-0000FF480000}"/>
    <cellStyle name="Comma [0] 3 8 2" xfId="18717" xr:uid="{00000000-0005-0000-0000-000000490000}"/>
    <cellStyle name="Comma [0] 3 8 20" xfId="18718" xr:uid="{00000000-0005-0000-0000-000001490000}"/>
    <cellStyle name="Comma [0] 3 8 21" xfId="18719" xr:uid="{00000000-0005-0000-0000-000002490000}"/>
    <cellStyle name="Comma [0] 3 8 22" xfId="18720" xr:uid="{00000000-0005-0000-0000-000003490000}"/>
    <cellStyle name="Comma [0] 3 8 23" xfId="18721" xr:uid="{00000000-0005-0000-0000-000004490000}"/>
    <cellStyle name="Comma [0] 3 8 24" xfId="18722" xr:uid="{00000000-0005-0000-0000-000005490000}"/>
    <cellStyle name="Comma [0] 3 8 25" xfId="18723" xr:uid="{00000000-0005-0000-0000-000006490000}"/>
    <cellStyle name="Comma [0] 3 8 26" xfId="18724" xr:uid="{00000000-0005-0000-0000-000007490000}"/>
    <cellStyle name="Comma [0] 3 8 27" xfId="18725" xr:uid="{00000000-0005-0000-0000-000008490000}"/>
    <cellStyle name="Comma [0] 3 8 28" xfId="18726" xr:uid="{00000000-0005-0000-0000-000009490000}"/>
    <cellStyle name="Comma [0] 3 8 29" xfId="18727" xr:uid="{00000000-0005-0000-0000-00000A490000}"/>
    <cellStyle name="Comma [0] 3 8 3" xfId="18728" xr:uid="{00000000-0005-0000-0000-00000B490000}"/>
    <cellStyle name="Comma [0] 3 8 30" xfId="18729" xr:uid="{00000000-0005-0000-0000-00000C490000}"/>
    <cellStyle name="Comma [0] 3 8 31" xfId="18730" xr:uid="{00000000-0005-0000-0000-00000D490000}"/>
    <cellStyle name="Comma [0] 3 8 32" xfId="18731" xr:uid="{00000000-0005-0000-0000-00000E490000}"/>
    <cellStyle name="Comma [0] 3 8 4" xfId="18732" xr:uid="{00000000-0005-0000-0000-00000F490000}"/>
    <cellStyle name="Comma [0] 3 8 5" xfId="18733" xr:uid="{00000000-0005-0000-0000-000010490000}"/>
    <cellStyle name="Comma [0] 3 8 6" xfId="18734" xr:uid="{00000000-0005-0000-0000-000011490000}"/>
    <cellStyle name="Comma [0] 3 8 7" xfId="18735" xr:uid="{00000000-0005-0000-0000-000012490000}"/>
    <cellStyle name="Comma [0] 3 8 8" xfId="18736" xr:uid="{00000000-0005-0000-0000-000013490000}"/>
    <cellStyle name="Comma [0] 3 8 9" xfId="18737" xr:uid="{00000000-0005-0000-0000-000014490000}"/>
    <cellStyle name="Comma [0] 3 9" xfId="18738" xr:uid="{00000000-0005-0000-0000-000015490000}"/>
    <cellStyle name="Comma [0] 3 9 10" xfId="18739" xr:uid="{00000000-0005-0000-0000-000016490000}"/>
    <cellStyle name="Comma [0] 3 9 11" xfId="18740" xr:uid="{00000000-0005-0000-0000-000017490000}"/>
    <cellStyle name="Comma [0] 3 9 12" xfId="18741" xr:uid="{00000000-0005-0000-0000-000018490000}"/>
    <cellStyle name="Comma [0] 3 9 13" xfId="18742" xr:uid="{00000000-0005-0000-0000-000019490000}"/>
    <cellStyle name="Comma [0] 3 9 14" xfId="18743" xr:uid="{00000000-0005-0000-0000-00001A490000}"/>
    <cellStyle name="Comma [0] 3 9 15" xfId="18744" xr:uid="{00000000-0005-0000-0000-00001B490000}"/>
    <cellStyle name="Comma [0] 3 9 16" xfId="18745" xr:uid="{00000000-0005-0000-0000-00001C490000}"/>
    <cellStyle name="Comma [0] 3 9 17" xfId="18746" xr:uid="{00000000-0005-0000-0000-00001D490000}"/>
    <cellStyle name="Comma [0] 3 9 18" xfId="18747" xr:uid="{00000000-0005-0000-0000-00001E490000}"/>
    <cellStyle name="Comma [0] 3 9 19" xfId="18748" xr:uid="{00000000-0005-0000-0000-00001F490000}"/>
    <cellStyle name="Comma [0] 3 9 2" xfId="18749" xr:uid="{00000000-0005-0000-0000-000020490000}"/>
    <cellStyle name="Comma [0] 3 9 20" xfId="18750" xr:uid="{00000000-0005-0000-0000-000021490000}"/>
    <cellStyle name="Comma [0] 3 9 21" xfId="18751" xr:uid="{00000000-0005-0000-0000-000022490000}"/>
    <cellStyle name="Comma [0] 3 9 22" xfId="18752" xr:uid="{00000000-0005-0000-0000-000023490000}"/>
    <cellStyle name="Comma [0] 3 9 23" xfId="18753" xr:uid="{00000000-0005-0000-0000-000024490000}"/>
    <cellStyle name="Comma [0] 3 9 24" xfId="18754" xr:uid="{00000000-0005-0000-0000-000025490000}"/>
    <cellStyle name="Comma [0] 3 9 25" xfId="18755" xr:uid="{00000000-0005-0000-0000-000026490000}"/>
    <cellStyle name="Comma [0] 3 9 26" xfId="18756" xr:uid="{00000000-0005-0000-0000-000027490000}"/>
    <cellStyle name="Comma [0] 3 9 27" xfId="18757" xr:uid="{00000000-0005-0000-0000-000028490000}"/>
    <cellStyle name="Comma [0] 3 9 28" xfId="18758" xr:uid="{00000000-0005-0000-0000-000029490000}"/>
    <cellStyle name="Comma [0] 3 9 29" xfId="18759" xr:uid="{00000000-0005-0000-0000-00002A490000}"/>
    <cellStyle name="Comma [0] 3 9 3" xfId="18760" xr:uid="{00000000-0005-0000-0000-00002B490000}"/>
    <cellStyle name="Comma [0] 3 9 30" xfId="18761" xr:uid="{00000000-0005-0000-0000-00002C490000}"/>
    <cellStyle name="Comma [0] 3 9 31" xfId="18762" xr:uid="{00000000-0005-0000-0000-00002D490000}"/>
    <cellStyle name="Comma [0] 3 9 32" xfId="18763" xr:uid="{00000000-0005-0000-0000-00002E490000}"/>
    <cellStyle name="Comma [0] 3 9 4" xfId="18764" xr:uid="{00000000-0005-0000-0000-00002F490000}"/>
    <cellStyle name="Comma [0] 3 9 5" xfId="18765" xr:uid="{00000000-0005-0000-0000-000030490000}"/>
    <cellStyle name="Comma [0] 3 9 6" xfId="18766" xr:uid="{00000000-0005-0000-0000-000031490000}"/>
    <cellStyle name="Comma [0] 3 9 7" xfId="18767" xr:uid="{00000000-0005-0000-0000-000032490000}"/>
    <cellStyle name="Comma [0] 3 9 8" xfId="18768" xr:uid="{00000000-0005-0000-0000-000033490000}"/>
    <cellStyle name="Comma [0] 3 9 9" xfId="18769" xr:uid="{00000000-0005-0000-0000-000034490000}"/>
    <cellStyle name="Comma [0] 4" xfId="18770" xr:uid="{00000000-0005-0000-0000-000035490000}"/>
    <cellStyle name="Comma [0] 4 10" xfId="18771" xr:uid="{00000000-0005-0000-0000-000036490000}"/>
    <cellStyle name="Comma [0] 4 11" xfId="18772" xr:uid="{00000000-0005-0000-0000-000037490000}"/>
    <cellStyle name="Comma [0] 4 12" xfId="18773" xr:uid="{00000000-0005-0000-0000-000038490000}"/>
    <cellStyle name="Comma [0] 4 13" xfId="18774" xr:uid="{00000000-0005-0000-0000-000039490000}"/>
    <cellStyle name="Comma [0] 4 14" xfId="18775" xr:uid="{00000000-0005-0000-0000-00003A490000}"/>
    <cellStyle name="Comma [0] 4 15" xfId="18776" xr:uid="{00000000-0005-0000-0000-00003B490000}"/>
    <cellStyle name="Comma [0] 4 16" xfId="18777" xr:uid="{00000000-0005-0000-0000-00003C490000}"/>
    <cellStyle name="Comma [0] 4 17" xfId="18778" xr:uid="{00000000-0005-0000-0000-00003D490000}"/>
    <cellStyle name="Comma [0] 4 18" xfId="18779" xr:uid="{00000000-0005-0000-0000-00003E490000}"/>
    <cellStyle name="Comma [0] 4 19" xfId="18780" xr:uid="{00000000-0005-0000-0000-00003F490000}"/>
    <cellStyle name="Comma [0] 4 2" xfId="18781" xr:uid="{00000000-0005-0000-0000-000040490000}"/>
    <cellStyle name="Comma [0] 4 2 10" xfId="18782" xr:uid="{00000000-0005-0000-0000-000041490000}"/>
    <cellStyle name="Comma [0] 4 2 11" xfId="18783" xr:uid="{00000000-0005-0000-0000-000042490000}"/>
    <cellStyle name="Comma [0] 4 2 12" xfId="18784" xr:uid="{00000000-0005-0000-0000-000043490000}"/>
    <cellStyle name="Comma [0] 4 2 13" xfId="18785" xr:uid="{00000000-0005-0000-0000-000044490000}"/>
    <cellStyle name="Comma [0] 4 2 14" xfId="18786" xr:uid="{00000000-0005-0000-0000-000045490000}"/>
    <cellStyle name="Comma [0] 4 2 15" xfId="18787" xr:uid="{00000000-0005-0000-0000-000046490000}"/>
    <cellStyle name="Comma [0] 4 2 16" xfId="18788" xr:uid="{00000000-0005-0000-0000-000047490000}"/>
    <cellStyle name="Comma [0] 4 2 17" xfId="18789" xr:uid="{00000000-0005-0000-0000-000048490000}"/>
    <cellStyle name="Comma [0] 4 2 18" xfId="18790" xr:uid="{00000000-0005-0000-0000-000049490000}"/>
    <cellStyle name="Comma [0] 4 2 19" xfId="18791" xr:uid="{00000000-0005-0000-0000-00004A490000}"/>
    <cellStyle name="Comma [0] 4 2 2" xfId="18792" xr:uid="{00000000-0005-0000-0000-00004B490000}"/>
    <cellStyle name="Comma [0] 4 2 20" xfId="18793" xr:uid="{00000000-0005-0000-0000-00004C490000}"/>
    <cellStyle name="Comma [0] 4 2 21" xfId="18794" xr:uid="{00000000-0005-0000-0000-00004D490000}"/>
    <cellStyle name="Comma [0] 4 2 22" xfId="18795" xr:uid="{00000000-0005-0000-0000-00004E490000}"/>
    <cellStyle name="Comma [0] 4 2 23" xfId="18796" xr:uid="{00000000-0005-0000-0000-00004F490000}"/>
    <cellStyle name="Comma [0] 4 2 24" xfId="18797" xr:uid="{00000000-0005-0000-0000-000050490000}"/>
    <cellStyle name="Comma [0] 4 2 25" xfId="18798" xr:uid="{00000000-0005-0000-0000-000051490000}"/>
    <cellStyle name="Comma [0] 4 2 26" xfId="18799" xr:uid="{00000000-0005-0000-0000-000052490000}"/>
    <cellStyle name="Comma [0] 4 2 27" xfId="18800" xr:uid="{00000000-0005-0000-0000-000053490000}"/>
    <cellStyle name="Comma [0] 4 2 28" xfId="18801" xr:uid="{00000000-0005-0000-0000-000054490000}"/>
    <cellStyle name="Comma [0] 4 2 29" xfId="18802" xr:uid="{00000000-0005-0000-0000-000055490000}"/>
    <cellStyle name="Comma [0] 4 2 3" xfId="18803" xr:uid="{00000000-0005-0000-0000-000056490000}"/>
    <cellStyle name="Comma [0] 4 2 30" xfId="18804" xr:uid="{00000000-0005-0000-0000-000057490000}"/>
    <cellStyle name="Comma [0] 4 2 31" xfId="18805" xr:uid="{00000000-0005-0000-0000-000058490000}"/>
    <cellStyle name="Comma [0] 4 2 32" xfId="18806" xr:uid="{00000000-0005-0000-0000-000059490000}"/>
    <cellStyle name="Comma [0] 4 2 4" xfId="18807" xr:uid="{00000000-0005-0000-0000-00005A490000}"/>
    <cellStyle name="Comma [0] 4 2 5" xfId="18808" xr:uid="{00000000-0005-0000-0000-00005B490000}"/>
    <cellStyle name="Comma [0] 4 2 6" xfId="18809" xr:uid="{00000000-0005-0000-0000-00005C490000}"/>
    <cellStyle name="Comma [0] 4 2 7" xfId="18810" xr:uid="{00000000-0005-0000-0000-00005D490000}"/>
    <cellStyle name="Comma [0] 4 2 8" xfId="18811" xr:uid="{00000000-0005-0000-0000-00005E490000}"/>
    <cellStyle name="Comma [0] 4 2 9" xfId="18812" xr:uid="{00000000-0005-0000-0000-00005F490000}"/>
    <cellStyle name="Comma [0] 4 20" xfId="18813" xr:uid="{00000000-0005-0000-0000-000060490000}"/>
    <cellStyle name="Comma [0] 4 21" xfId="18814" xr:uid="{00000000-0005-0000-0000-000061490000}"/>
    <cellStyle name="Comma [0] 4 22" xfId="18815" xr:uid="{00000000-0005-0000-0000-000062490000}"/>
    <cellStyle name="Comma [0] 4 23" xfId="18816" xr:uid="{00000000-0005-0000-0000-000063490000}"/>
    <cellStyle name="Comma [0] 4 24" xfId="18817" xr:uid="{00000000-0005-0000-0000-000064490000}"/>
    <cellStyle name="Comma [0] 4 25" xfId="18818" xr:uid="{00000000-0005-0000-0000-000065490000}"/>
    <cellStyle name="Comma [0] 4 26" xfId="18819" xr:uid="{00000000-0005-0000-0000-000066490000}"/>
    <cellStyle name="Comma [0] 4 27" xfId="18820" xr:uid="{00000000-0005-0000-0000-000067490000}"/>
    <cellStyle name="Comma [0] 4 28" xfId="18821" xr:uid="{00000000-0005-0000-0000-000068490000}"/>
    <cellStyle name="Comma [0] 4 29" xfId="18822" xr:uid="{00000000-0005-0000-0000-000069490000}"/>
    <cellStyle name="Comma [0] 4 3" xfId="18823" xr:uid="{00000000-0005-0000-0000-00006A490000}"/>
    <cellStyle name="Comma [0] 4 3 10" xfId="18824" xr:uid="{00000000-0005-0000-0000-00006B490000}"/>
    <cellStyle name="Comma [0] 4 3 11" xfId="18825" xr:uid="{00000000-0005-0000-0000-00006C490000}"/>
    <cellStyle name="Comma [0] 4 3 12" xfId="18826" xr:uid="{00000000-0005-0000-0000-00006D490000}"/>
    <cellStyle name="Comma [0] 4 3 13" xfId="18827" xr:uid="{00000000-0005-0000-0000-00006E490000}"/>
    <cellStyle name="Comma [0] 4 3 14" xfId="18828" xr:uid="{00000000-0005-0000-0000-00006F490000}"/>
    <cellStyle name="Comma [0] 4 3 15" xfId="18829" xr:uid="{00000000-0005-0000-0000-000070490000}"/>
    <cellStyle name="Comma [0] 4 3 16" xfId="18830" xr:uid="{00000000-0005-0000-0000-000071490000}"/>
    <cellStyle name="Comma [0] 4 3 17" xfId="18831" xr:uid="{00000000-0005-0000-0000-000072490000}"/>
    <cellStyle name="Comma [0] 4 3 18" xfId="18832" xr:uid="{00000000-0005-0000-0000-000073490000}"/>
    <cellStyle name="Comma [0] 4 3 19" xfId="18833" xr:uid="{00000000-0005-0000-0000-000074490000}"/>
    <cellStyle name="Comma [0] 4 3 2" xfId="18834" xr:uid="{00000000-0005-0000-0000-000075490000}"/>
    <cellStyle name="Comma [0] 4 3 20" xfId="18835" xr:uid="{00000000-0005-0000-0000-000076490000}"/>
    <cellStyle name="Comma [0] 4 3 21" xfId="18836" xr:uid="{00000000-0005-0000-0000-000077490000}"/>
    <cellStyle name="Comma [0] 4 3 22" xfId="18837" xr:uid="{00000000-0005-0000-0000-000078490000}"/>
    <cellStyle name="Comma [0] 4 3 23" xfId="18838" xr:uid="{00000000-0005-0000-0000-000079490000}"/>
    <cellStyle name="Comma [0] 4 3 24" xfId="18839" xr:uid="{00000000-0005-0000-0000-00007A490000}"/>
    <cellStyle name="Comma [0] 4 3 25" xfId="18840" xr:uid="{00000000-0005-0000-0000-00007B490000}"/>
    <cellStyle name="Comma [0] 4 3 26" xfId="18841" xr:uid="{00000000-0005-0000-0000-00007C490000}"/>
    <cellStyle name="Comma [0] 4 3 27" xfId="18842" xr:uid="{00000000-0005-0000-0000-00007D490000}"/>
    <cellStyle name="Comma [0] 4 3 28" xfId="18843" xr:uid="{00000000-0005-0000-0000-00007E490000}"/>
    <cellStyle name="Comma [0] 4 3 29" xfId="18844" xr:uid="{00000000-0005-0000-0000-00007F490000}"/>
    <cellStyle name="Comma [0] 4 3 3" xfId="18845" xr:uid="{00000000-0005-0000-0000-000080490000}"/>
    <cellStyle name="Comma [0] 4 3 30" xfId="18846" xr:uid="{00000000-0005-0000-0000-000081490000}"/>
    <cellStyle name="Comma [0] 4 3 31" xfId="18847" xr:uid="{00000000-0005-0000-0000-000082490000}"/>
    <cellStyle name="Comma [0] 4 3 32" xfId="18848" xr:uid="{00000000-0005-0000-0000-000083490000}"/>
    <cellStyle name="Comma [0] 4 3 4" xfId="18849" xr:uid="{00000000-0005-0000-0000-000084490000}"/>
    <cellStyle name="Comma [0] 4 3 5" xfId="18850" xr:uid="{00000000-0005-0000-0000-000085490000}"/>
    <cellStyle name="Comma [0] 4 3 6" xfId="18851" xr:uid="{00000000-0005-0000-0000-000086490000}"/>
    <cellStyle name="Comma [0] 4 3 7" xfId="18852" xr:uid="{00000000-0005-0000-0000-000087490000}"/>
    <cellStyle name="Comma [0] 4 3 8" xfId="18853" xr:uid="{00000000-0005-0000-0000-000088490000}"/>
    <cellStyle name="Comma [0] 4 3 9" xfId="18854" xr:uid="{00000000-0005-0000-0000-000089490000}"/>
    <cellStyle name="Comma [0] 4 30" xfId="18855" xr:uid="{00000000-0005-0000-0000-00008A490000}"/>
    <cellStyle name="Comma [0] 4 31" xfId="18856" xr:uid="{00000000-0005-0000-0000-00008B490000}"/>
    <cellStyle name="Comma [0] 4 32" xfId="18857" xr:uid="{00000000-0005-0000-0000-00008C490000}"/>
    <cellStyle name="Comma [0] 4 33" xfId="18858" xr:uid="{00000000-0005-0000-0000-00008D490000}"/>
    <cellStyle name="Comma [0] 4 34" xfId="18859" xr:uid="{00000000-0005-0000-0000-00008E490000}"/>
    <cellStyle name="Comma [0] 4 4" xfId="18860" xr:uid="{00000000-0005-0000-0000-00008F490000}"/>
    <cellStyle name="Comma [0] 4 5" xfId="18861" xr:uid="{00000000-0005-0000-0000-000090490000}"/>
    <cellStyle name="Comma [0] 4 6" xfId="18862" xr:uid="{00000000-0005-0000-0000-000091490000}"/>
    <cellStyle name="Comma [0] 4 7" xfId="18863" xr:uid="{00000000-0005-0000-0000-000092490000}"/>
    <cellStyle name="Comma [0] 4 8" xfId="18864" xr:uid="{00000000-0005-0000-0000-000093490000}"/>
    <cellStyle name="Comma [0] 4 9" xfId="18865" xr:uid="{00000000-0005-0000-0000-000094490000}"/>
    <cellStyle name="Comma [0] 5" xfId="18866" xr:uid="{00000000-0005-0000-0000-000095490000}"/>
    <cellStyle name="Comma [0] 5 10" xfId="18867" xr:uid="{00000000-0005-0000-0000-000096490000}"/>
    <cellStyle name="Comma [0] 5 11" xfId="18868" xr:uid="{00000000-0005-0000-0000-000097490000}"/>
    <cellStyle name="Comma [0] 5 12" xfId="18869" xr:uid="{00000000-0005-0000-0000-000098490000}"/>
    <cellStyle name="Comma [0] 5 13" xfId="18870" xr:uid="{00000000-0005-0000-0000-000099490000}"/>
    <cellStyle name="Comma [0] 5 14" xfId="18871" xr:uid="{00000000-0005-0000-0000-00009A490000}"/>
    <cellStyle name="Comma [0] 5 15" xfId="18872" xr:uid="{00000000-0005-0000-0000-00009B490000}"/>
    <cellStyle name="Comma [0] 5 16" xfId="18873" xr:uid="{00000000-0005-0000-0000-00009C490000}"/>
    <cellStyle name="Comma [0] 5 17" xfId="18874" xr:uid="{00000000-0005-0000-0000-00009D490000}"/>
    <cellStyle name="Comma [0] 5 18" xfId="18875" xr:uid="{00000000-0005-0000-0000-00009E490000}"/>
    <cellStyle name="Comma [0] 5 19" xfId="18876" xr:uid="{00000000-0005-0000-0000-00009F490000}"/>
    <cellStyle name="Comma [0] 5 2" xfId="18877" xr:uid="{00000000-0005-0000-0000-0000A0490000}"/>
    <cellStyle name="Comma [0] 5 2 10" xfId="18878" xr:uid="{00000000-0005-0000-0000-0000A1490000}"/>
    <cellStyle name="Comma [0] 5 2 11" xfId="18879" xr:uid="{00000000-0005-0000-0000-0000A2490000}"/>
    <cellStyle name="Comma [0] 5 2 12" xfId="18880" xr:uid="{00000000-0005-0000-0000-0000A3490000}"/>
    <cellStyle name="Comma [0] 5 2 13" xfId="18881" xr:uid="{00000000-0005-0000-0000-0000A4490000}"/>
    <cellStyle name="Comma [0] 5 2 14" xfId="18882" xr:uid="{00000000-0005-0000-0000-0000A5490000}"/>
    <cellStyle name="Comma [0] 5 2 15" xfId="18883" xr:uid="{00000000-0005-0000-0000-0000A6490000}"/>
    <cellStyle name="Comma [0] 5 2 16" xfId="18884" xr:uid="{00000000-0005-0000-0000-0000A7490000}"/>
    <cellStyle name="Comma [0] 5 2 17" xfId="18885" xr:uid="{00000000-0005-0000-0000-0000A8490000}"/>
    <cellStyle name="Comma [0] 5 2 18" xfId="18886" xr:uid="{00000000-0005-0000-0000-0000A9490000}"/>
    <cellStyle name="Comma [0] 5 2 19" xfId="18887" xr:uid="{00000000-0005-0000-0000-0000AA490000}"/>
    <cellStyle name="Comma [0] 5 2 2" xfId="18888" xr:uid="{00000000-0005-0000-0000-0000AB490000}"/>
    <cellStyle name="Comma [0] 5 2 20" xfId="18889" xr:uid="{00000000-0005-0000-0000-0000AC490000}"/>
    <cellStyle name="Comma [0] 5 2 21" xfId="18890" xr:uid="{00000000-0005-0000-0000-0000AD490000}"/>
    <cellStyle name="Comma [0] 5 2 22" xfId="18891" xr:uid="{00000000-0005-0000-0000-0000AE490000}"/>
    <cellStyle name="Comma [0] 5 2 23" xfId="18892" xr:uid="{00000000-0005-0000-0000-0000AF490000}"/>
    <cellStyle name="Comma [0] 5 2 24" xfId="18893" xr:uid="{00000000-0005-0000-0000-0000B0490000}"/>
    <cellStyle name="Comma [0] 5 2 25" xfId="18894" xr:uid="{00000000-0005-0000-0000-0000B1490000}"/>
    <cellStyle name="Comma [0] 5 2 26" xfId="18895" xr:uid="{00000000-0005-0000-0000-0000B2490000}"/>
    <cellStyle name="Comma [0] 5 2 27" xfId="18896" xr:uid="{00000000-0005-0000-0000-0000B3490000}"/>
    <cellStyle name="Comma [0] 5 2 28" xfId="18897" xr:uid="{00000000-0005-0000-0000-0000B4490000}"/>
    <cellStyle name="Comma [0] 5 2 29" xfId="18898" xr:uid="{00000000-0005-0000-0000-0000B5490000}"/>
    <cellStyle name="Comma [0] 5 2 3" xfId="18899" xr:uid="{00000000-0005-0000-0000-0000B6490000}"/>
    <cellStyle name="Comma [0] 5 2 30" xfId="18900" xr:uid="{00000000-0005-0000-0000-0000B7490000}"/>
    <cellStyle name="Comma [0] 5 2 31" xfId="18901" xr:uid="{00000000-0005-0000-0000-0000B8490000}"/>
    <cellStyle name="Comma [0] 5 2 32" xfId="18902" xr:uid="{00000000-0005-0000-0000-0000B9490000}"/>
    <cellStyle name="Comma [0] 5 2 4" xfId="18903" xr:uid="{00000000-0005-0000-0000-0000BA490000}"/>
    <cellStyle name="Comma [0] 5 2 5" xfId="18904" xr:uid="{00000000-0005-0000-0000-0000BB490000}"/>
    <cellStyle name="Comma [0] 5 2 6" xfId="18905" xr:uid="{00000000-0005-0000-0000-0000BC490000}"/>
    <cellStyle name="Comma [0] 5 2 7" xfId="18906" xr:uid="{00000000-0005-0000-0000-0000BD490000}"/>
    <cellStyle name="Comma [0] 5 2 8" xfId="18907" xr:uid="{00000000-0005-0000-0000-0000BE490000}"/>
    <cellStyle name="Comma [0] 5 2 9" xfId="18908" xr:uid="{00000000-0005-0000-0000-0000BF490000}"/>
    <cellStyle name="Comma [0] 5 20" xfId="18909" xr:uid="{00000000-0005-0000-0000-0000C0490000}"/>
    <cellStyle name="Comma [0] 5 21" xfId="18910" xr:uid="{00000000-0005-0000-0000-0000C1490000}"/>
    <cellStyle name="Comma [0] 5 22" xfId="18911" xr:uid="{00000000-0005-0000-0000-0000C2490000}"/>
    <cellStyle name="Comma [0] 5 23" xfId="18912" xr:uid="{00000000-0005-0000-0000-0000C3490000}"/>
    <cellStyle name="Comma [0] 5 24" xfId="18913" xr:uid="{00000000-0005-0000-0000-0000C4490000}"/>
    <cellStyle name="Comma [0] 5 25" xfId="18914" xr:uid="{00000000-0005-0000-0000-0000C5490000}"/>
    <cellStyle name="Comma [0] 5 26" xfId="18915" xr:uid="{00000000-0005-0000-0000-0000C6490000}"/>
    <cellStyle name="Comma [0] 5 27" xfId="18916" xr:uid="{00000000-0005-0000-0000-0000C7490000}"/>
    <cellStyle name="Comma [0] 5 28" xfId="18917" xr:uid="{00000000-0005-0000-0000-0000C8490000}"/>
    <cellStyle name="Comma [0] 5 29" xfId="18918" xr:uid="{00000000-0005-0000-0000-0000C9490000}"/>
    <cellStyle name="Comma [0] 5 3" xfId="18919" xr:uid="{00000000-0005-0000-0000-0000CA490000}"/>
    <cellStyle name="Comma [0] 5 3 10" xfId="18920" xr:uid="{00000000-0005-0000-0000-0000CB490000}"/>
    <cellStyle name="Comma [0] 5 3 11" xfId="18921" xr:uid="{00000000-0005-0000-0000-0000CC490000}"/>
    <cellStyle name="Comma [0] 5 3 12" xfId="18922" xr:uid="{00000000-0005-0000-0000-0000CD490000}"/>
    <cellStyle name="Comma [0] 5 3 13" xfId="18923" xr:uid="{00000000-0005-0000-0000-0000CE490000}"/>
    <cellStyle name="Comma [0] 5 3 14" xfId="18924" xr:uid="{00000000-0005-0000-0000-0000CF490000}"/>
    <cellStyle name="Comma [0] 5 3 15" xfId="18925" xr:uid="{00000000-0005-0000-0000-0000D0490000}"/>
    <cellStyle name="Comma [0] 5 3 16" xfId="18926" xr:uid="{00000000-0005-0000-0000-0000D1490000}"/>
    <cellStyle name="Comma [0] 5 3 17" xfId="18927" xr:uid="{00000000-0005-0000-0000-0000D2490000}"/>
    <cellStyle name="Comma [0] 5 3 18" xfId="18928" xr:uid="{00000000-0005-0000-0000-0000D3490000}"/>
    <cellStyle name="Comma [0] 5 3 19" xfId="18929" xr:uid="{00000000-0005-0000-0000-0000D4490000}"/>
    <cellStyle name="Comma [0] 5 3 2" xfId="18930" xr:uid="{00000000-0005-0000-0000-0000D5490000}"/>
    <cellStyle name="Comma [0] 5 3 20" xfId="18931" xr:uid="{00000000-0005-0000-0000-0000D6490000}"/>
    <cellStyle name="Comma [0] 5 3 21" xfId="18932" xr:uid="{00000000-0005-0000-0000-0000D7490000}"/>
    <cellStyle name="Comma [0] 5 3 22" xfId="18933" xr:uid="{00000000-0005-0000-0000-0000D8490000}"/>
    <cellStyle name="Comma [0] 5 3 23" xfId="18934" xr:uid="{00000000-0005-0000-0000-0000D9490000}"/>
    <cellStyle name="Comma [0] 5 3 24" xfId="18935" xr:uid="{00000000-0005-0000-0000-0000DA490000}"/>
    <cellStyle name="Comma [0] 5 3 25" xfId="18936" xr:uid="{00000000-0005-0000-0000-0000DB490000}"/>
    <cellStyle name="Comma [0] 5 3 26" xfId="18937" xr:uid="{00000000-0005-0000-0000-0000DC490000}"/>
    <cellStyle name="Comma [0] 5 3 27" xfId="18938" xr:uid="{00000000-0005-0000-0000-0000DD490000}"/>
    <cellStyle name="Comma [0] 5 3 28" xfId="18939" xr:uid="{00000000-0005-0000-0000-0000DE490000}"/>
    <cellStyle name="Comma [0] 5 3 29" xfId="18940" xr:uid="{00000000-0005-0000-0000-0000DF490000}"/>
    <cellStyle name="Comma [0] 5 3 3" xfId="18941" xr:uid="{00000000-0005-0000-0000-0000E0490000}"/>
    <cellStyle name="Comma [0] 5 3 30" xfId="18942" xr:uid="{00000000-0005-0000-0000-0000E1490000}"/>
    <cellStyle name="Comma [0] 5 3 31" xfId="18943" xr:uid="{00000000-0005-0000-0000-0000E2490000}"/>
    <cellStyle name="Comma [0] 5 3 32" xfId="18944" xr:uid="{00000000-0005-0000-0000-0000E3490000}"/>
    <cellStyle name="Comma [0] 5 3 4" xfId="18945" xr:uid="{00000000-0005-0000-0000-0000E4490000}"/>
    <cellStyle name="Comma [0] 5 3 5" xfId="18946" xr:uid="{00000000-0005-0000-0000-0000E5490000}"/>
    <cellStyle name="Comma [0] 5 3 6" xfId="18947" xr:uid="{00000000-0005-0000-0000-0000E6490000}"/>
    <cellStyle name="Comma [0] 5 3 7" xfId="18948" xr:uid="{00000000-0005-0000-0000-0000E7490000}"/>
    <cellStyle name="Comma [0] 5 3 8" xfId="18949" xr:uid="{00000000-0005-0000-0000-0000E8490000}"/>
    <cellStyle name="Comma [0] 5 3 9" xfId="18950" xr:uid="{00000000-0005-0000-0000-0000E9490000}"/>
    <cellStyle name="Comma [0] 5 30" xfId="18951" xr:uid="{00000000-0005-0000-0000-0000EA490000}"/>
    <cellStyle name="Comma [0] 5 31" xfId="18952" xr:uid="{00000000-0005-0000-0000-0000EB490000}"/>
    <cellStyle name="Comma [0] 5 32" xfId="18953" xr:uid="{00000000-0005-0000-0000-0000EC490000}"/>
    <cellStyle name="Comma [0] 5 33" xfId="18954" xr:uid="{00000000-0005-0000-0000-0000ED490000}"/>
    <cellStyle name="Comma [0] 5 34" xfId="18955" xr:uid="{00000000-0005-0000-0000-0000EE490000}"/>
    <cellStyle name="Comma [0] 5 4" xfId="18956" xr:uid="{00000000-0005-0000-0000-0000EF490000}"/>
    <cellStyle name="Comma [0] 5 5" xfId="18957" xr:uid="{00000000-0005-0000-0000-0000F0490000}"/>
    <cellStyle name="Comma [0] 5 6" xfId="18958" xr:uid="{00000000-0005-0000-0000-0000F1490000}"/>
    <cellStyle name="Comma [0] 5 7" xfId="18959" xr:uid="{00000000-0005-0000-0000-0000F2490000}"/>
    <cellStyle name="Comma [0] 5 8" xfId="18960" xr:uid="{00000000-0005-0000-0000-0000F3490000}"/>
    <cellStyle name="Comma [0] 5 9" xfId="18961" xr:uid="{00000000-0005-0000-0000-0000F4490000}"/>
    <cellStyle name="Comma [0] 6" xfId="18962" xr:uid="{00000000-0005-0000-0000-0000F5490000}"/>
    <cellStyle name="Comma [0] 6 10" xfId="18963" xr:uid="{00000000-0005-0000-0000-0000F6490000}"/>
    <cellStyle name="Comma [0] 6 11" xfId="18964" xr:uid="{00000000-0005-0000-0000-0000F7490000}"/>
    <cellStyle name="Comma [0] 6 12" xfId="18965" xr:uid="{00000000-0005-0000-0000-0000F8490000}"/>
    <cellStyle name="Comma [0] 6 13" xfId="18966" xr:uid="{00000000-0005-0000-0000-0000F9490000}"/>
    <cellStyle name="Comma [0] 6 14" xfId="18967" xr:uid="{00000000-0005-0000-0000-0000FA490000}"/>
    <cellStyle name="Comma [0] 6 15" xfId="18968" xr:uid="{00000000-0005-0000-0000-0000FB490000}"/>
    <cellStyle name="Comma [0] 6 16" xfId="18969" xr:uid="{00000000-0005-0000-0000-0000FC490000}"/>
    <cellStyle name="Comma [0] 6 17" xfId="18970" xr:uid="{00000000-0005-0000-0000-0000FD490000}"/>
    <cellStyle name="Comma [0] 6 18" xfId="18971" xr:uid="{00000000-0005-0000-0000-0000FE490000}"/>
    <cellStyle name="Comma [0] 6 19" xfId="18972" xr:uid="{00000000-0005-0000-0000-0000FF490000}"/>
    <cellStyle name="Comma [0] 6 2" xfId="18973" xr:uid="{00000000-0005-0000-0000-0000004A0000}"/>
    <cellStyle name="Comma [0] 6 2 10" xfId="18974" xr:uid="{00000000-0005-0000-0000-0000014A0000}"/>
    <cellStyle name="Comma [0] 6 2 11" xfId="18975" xr:uid="{00000000-0005-0000-0000-0000024A0000}"/>
    <cellStyle name="Comma [0] 6 2 12" xfId="18976" xr:uid="{00000000-0005-0000-0000-0000034A0000}"/>
    <cellStyle name="Comma [0] 6 2 13" xfId="18977" xr:uid="{00000000-0005-0000-0000-0000044A0000}"/>
    <cellStyle name="Comma [0] 6 2 14" xfId="18978" xr:uid="{00000000-0005-0000-0000-0000054A0000}"/>
    <cellStyle name="Comma [0] 6 2 15" xfId="18979" xr:uid="{00000000-0005-0000-0000-0000064A0000}"/>
    <cellStyle name="Comma [0] 6 2 16" xfId="18980" xr:uid="{00000000-0005-0000-0000-0000074A0000}"/>
    <cellStyle name="Comma [0] 6 2 17" xfId="18981" xr:uid="{00000000-0005-0000-0000-0000084A0000}"/>
    <cellStyle name="Comma [0] 6 2 18" xfId="18982" xr:uid="{00000000-0005-0000-0000-0000094A0000}"/>
    <cellStyle name="Comma [0] 6 2 19" xfId="18983" xr:uid="{00000000-0005-0000-0000-00000A4A0000}"/>
    <cellStyle name="Comma [0] 6 2 2" xfId="18984" xr:uid="{00000000-0005-0000-0000-00000B4A0000}"/>
    <cellStyle name="Comma [0] 6 2 20" xfId="18985" xr:uid="{00000000-0005-0000-0000-00000C4A0000}"/>
    <cellStyle name="Comma [0] 6 2 21" xfId="18986" xr:uid="{00000000-0005-0000-0000-00000D4A0000}"/>
    <cellStyle name="Comma [0] 6 2 22" xfId="18987" xr:uid="{00000000-0005-0000-0000-00000E4A0000}"/>
    <cellStyle name="Comma [0] 6 2 23" xfId="18988" xr:uid="{00000000-0005-0000-0000-00000F4A0000}"/>
    <cellStyle name="Comma [0] 6 2 24" xfId="18989" xr:uid="{00000000-0005-0000-0000-0000104A0000}"/>
    <cellStyle name="Comma [0] 6 2 25" xfId="18990" xr:uid="{00000000-0005-0000-0000-0000114A0000}"/>
    <cellStyle name="Comma [0] 6 2 26" xfId="18991" xr:uid="{00000000-0005-0000-0000-0000124A0000}"/>
    <cellStyle name="Comma [0] 6 2 27" xfId="18992" xr:uid="{00000000-0005-0000-0000-0000134A0000}"/>
    <cellStyle name="Comma [0] 6 2 28" xfId="18993" xr:uid="{00000000-0005-0000-0000-0000144A0000}"/>
    <cellStyle name="Comma [0] 6 2 29" xfId="18994" xr:uid="{00000000-0005-0000-0000-0000154A0000}"/>
    <cellStyle name="Comma [0] 6 2 3" xfId="18995" xr:uid="{00000000-0005-0000-0000-0000164A0000}"/>
    <cellStyle name="Comma [0] 6 2 30" xfId="18996" xr:uid="{00000000-0005-0000-0000-0000174A0000}"/>
    <cellStyle name="Comma [0] 6 2 31" xfId="18997" xr:uid="{00000000-0005-0000-0000-0000184A0000}"/>
    <cellStyle name="Comma [0] 6 2 32" xfId="18998" xr:uid="{00000000-0005-0000-0000-0000194A0000}"/>
    <cellStyle name="Comma [0] 6 2 4" xfId="18999" xr:uid="{00000000-0005-0000-0000-00001A4A0000}"/>
    <cellStyle name="Comma [0] 6 2 5" xfId="19000" xr:uid="{00000000-0005-0000-0000-00001B4A0000}"/>
    <cellStyle name="Comma [0] 6 2 6" xfId="19001" xr:uid="{00000000-0005-0000-0000-00001C4A0000}"/>
    <cellStyle name="Comma [0] 6 2 7" xfId="19002" xr:uid="{00000000-0005-0000-0000-00001D4A0000}"/>
    <cellStyle name="Comma [0] 6 2 8" xfId="19003" xr:uid="{00000000-0005-0000-0000-00001E4A0000}"/>
    <cellStyle name="Comma [0] 6 2 9" xfId="19004" xr:uid="{00000000-0005-0000-0000-00001F4A0000}"/>
    <cellStyle name="Comma [0] 6 20" xfId="19005" xr:uid="{00000000-0005-0000-0000-0000204A0000}"/>
    <cellStyle name="Comma [0] 6 21" xfId="19006" xr:uid="{00000000-0005-0000-0000-0000214A0000}"/>
    <cellStyle name="Comma [0] 6 22" xfId="19007" xr:uid="{00000000-0005-0000-0000-0000224A0000}"/>
    <cellStyle name="Comma [0] 6 23" xfId="19008" xr:uid="{00000000-0005-0000-0000-0000234A0000}"/>
    <cellStyle name="Comma [0] 6 24" xfId="19009" xr:uid="{00000000-0005-0000-0000-0000244A0000}"/>
    <cellStyle name="Comma [0] 6 25" xfId="19010" xr:uid="{00000000-0005-0000-0000-0000254A0000}"/>
    <cellStyle name="Comma [0] 6 26" xfId="19011" xr:uid="{00000000-0005-0000-0000-0000264A0000}"/>
    <cellStyle name="Comma [0] 6 27" xfId="19012" xr:uid="{00000000-0005-0000-0000-0000274A0000}"/>
    <cellStyle name="Comma [0] 6 28" xfId="19013" xr:uid="{00000000-0005-0000-0000-0000284A0000}"/>
    <cellStyle name="Comma [0] 6 29" xfId="19014" xr:uid="{00000000-0005-0000-0000-0000294A0000}"/>
    <cellStyle name="Comma [0] 6 3" xfId="19015" xr:uid="{00000000-0005-0000-0000-00002A4A0000}"/>
    <cellStyle name="Comma [0] 6 3 10" xfId="19016" xr:uid="{00000000-0005-0000-0000-00002B4A0000}"/>
    <cellStyle name="Comma [0] 6 3 11" xfId="19017" xr:uid="{00000000-0005-0000-0000-00002C4A0000}"/>
    <cellStyle name="Comma [0] 6 3 12" xfId="19018" xr:uid="{00000000-0005-0000-0000-00002D4A0000}"/>
    <cellStyle name="Comma [0] 6 3 13" xfId="19019" xr:uid="{00000000-0005-0000-0000-00002E4A0000}"/>
    <cellStyle name="Comma [0] 6 3 14" xfId="19020" xr:uid="{00000000-0005-0000-0000-00002F4A0000}"/>
    <cellStyle name="Comma [0] 6 3 15" xfId="19021" xr:uid="{00000000-0005-0000-0000-0000304A0000}"/>
    <cellStyle name="Comma [0] 6 3 16" xfId="19022" xr:uid="{00000000-0005-0000-0000-0000314A0000}"/>
    <cellStyle name="Comma [0] 6 3 17" xfId="19023" xr:uid="{00000000-0005-0000-0000-0000324A0000}"/>
    <cellStyle name="Comma [0] 6 3 18" xfId="19024" xr:uid="{00000000-0005-0000-0000-0000334A0000}"/>
    <cellStyle name="Comma [0] 6 3 19" xfId="19025" xr:uid="{00000000-0005-0000-0000-0000344A0000}"/>
    <cellStyle name="Comma [0] 6 3 2" xfId="19026" xr:uid="{00000000-0005-0000-0000-0000354A0000}"/>
    <cellStyle name="Comma [0] 6 3 20" xfId="19027" xr:uid="{00000000-0005-0000-0000-0000364A0000}"/>
    <cellStyle name="Comma [0] 6 3 21" xfId="19028" xr:uid="{00000000-0005-0000-0000-0000374A0000}"/>
    <cellStyle name="Comma [0] 6 3 22" xfId="19029" xr:uid="{00000000-0005-0000-0000-0000384A0000}"/>
    <cellStyle name="Comma [0] 6 3 23" xfId="19030" xr:uid="{00000000-0005-0000-0000-0000394A0000}"/>
    <cellStyle name="Comma [0] 6 3 24" xfId="19031" xr:uid="{00000000-0005-0000-0000-00003A4A0000}"/>
    <cellStyle name="Comma [0] 6 3 25" xfId="19032" xr:uid="{00000000-0005-0000-0000-00003B4A0000}"/>
    <cellStyle name="Comma [0] 6 3 26" xfId="19033" xr:uid="{00000000-0005-0000-0000-00003C4A0000}"/>
    <cellStyle name="Comma [0] 6 3 27" xfId="19034" xr:uid="{00000000-0005-0000-0000-00003D4A0000}"/>
    <cellStyle name="Comma [0] 6 3 28" xfId="19035" xr:uid="{00000000-0005-0000-0000-00003E4A0000}"/>
    <cellStyle name="Comma [0] 6 3 29" xfId="19036" xr:uid="{00000000-0005-0000-0000-00003F4A0000}"/>
    <cellStyle name="Comma [0] 6 3 3" xfId="19037" xr:uid="{00000000-0005-0000-0000-0000404A0000}"/>
    <cellStyle name="Comma [0] 6 3 30" xfId="19038" xr:uid="{00000000-0005-0000-0000-0000414A0000}"/>
    <cellStyle name="Comma [0] 6 3 31" xfId="19039" xr:uid="{00000000-0005-0000-0000-0000424A0000}"/>
    <cellStyle name="Comma [0] 6 3 32" xfId="19040" xr:uid="{00000000-0005-0000-0000-0000434A0000}"/>
    <cellStyle name="Comma [0] 6 3 4" xfId="19041" xr:uid="{00000000-0005-0000-0000-0000444A0000}"/>
    <cellStyle name="Comma [0] 6 3 5" xfId="19042" xr:uid="{00000000-0005-0000-0000-0000454A0000}"/>
    <cellStyle name="Comma [0] 6 3 6" xfId="19043" xr:uid="{00000000-0005-0000-0000-0000464A0000}"/>
    <cellStyle name="Comma [0] 6 3 7" xfId="19044" xr:uid="{00000000-0005-0000-0000-0000474A0000}"/>
    <cellStyle name="Comma [0] 6 3 8" xfId="19045" xr:uid="{00000000-0005-0000-0000-0000484A0000}"/>
    <cellStyle name="Comma [0] 6 3 9" xfId="19046" xr:uid="{00000000-0005-0000-0000-0000494A0000}"/>
    <cellStyle name="Comma [0] 6 30" xfId="19047" xr:uid="{00000000-0005-0000-0000-00004A4A0000}"/>
    <cellStyle name="Comma [0] 6 31" xfId="19048" xr:uid="{00000000-0005-0000-0000-00004B4A0000}"/>
    <cellStyle name="Comma [0] 6 32" xfId="19049" xr:uid="{00000000-0005-0000-0000-00004C4A0000}"/>
    <cellStyle name="Comma [0] 6 33" xfId="19050" xr:uid="{00000000-0005-0000-0000-00004D4A0000}"/>
    <cellStyle name="Comma [0] 6 34" xfId="19051" xr:uid="{00000000-0005-0000-0000-00004E4A0000}"/>
    <cellStyle name="Comma [0] 6 4" xfId="19052" xr:uid="{00000000-0005-0000-0000-00004F4A0000}"/>
    <cellStyle name="Comma [0] 6 5" xfId="19053" xr:uid="{00000000-0005-0000-0000-0000504A0000}"/>
    <cellStyle name="Comma [0] 6 6" xfId="19054" xr:uid="{00000000-0005-0000-0000-0000514A0000}"/>
    <cellStyle name="Comma [0] 6 7" xfId="19055" xr:uid="{00000000-0005-0000-0000-0000524A0000}"/>
    <cellStyle name="Comma [0] 6 8" xfId="19056" xr:uid="{00000000-0005-0000-0000-0000534A0000}"/>
    <cellStyle name="Comma [0] 6 9" xfId="19057" xr:uid="{00000000-0005-0000-0000-0000544A0000}"/>
    <cellStyle name="Comma [0] 7" xfId="19058" xr:uid="{00000000-0005-0000-0000-0000554A0000}"/>
    <cellStyle name="Comma [0] 7 10" xfId="19059" xr:uid="{00000000-0005-0000-0000-0000564A0000}"/>
    <cellStyle name="Comma [0] 7 11" xfId="19060" xr:uid="{00000000-0005-0000-0000-0000574A0000}"/>
    <cellStyle name="Comma [0] 7 12" xfId="19061" xr:uid="{00000000-0005-0000-0000-0000584A0000}"/>
    <cellStyle name="Comma [0] 7 13" xfId="19062" xr:uid="{00000000-0005-0000-0000-0000594A0000}"/>
    <cellStyle name="Comma [0] 7 14" xfId="19063" xr:uid="{00000000-0005-0000-0000-00005A4A0000}"/>
    <cellStyle name="Comma [0] 7 15" xfId="19064" xr:uid="{00000000-0005-0000-0000-00005B4A0000}"/>
    <cellStyle name="Comma [0] 7 16" xfId="19065" xr:uid="{00000000-0005-0000-0000-00005C4A0000}"/>
    <cellStyle name="Comma [0] 7 17" xfId="19066" xr:uid="{00000000-0005-0000-0000-00005D4A0000}"/>
    <cellStyle name="Comma [0] 7 18" xfId="19067" xr:uid="{00000000-0005-0000-0000-00005E4A0000}"/>
    <cellStyle name="Comma [0] 7 19" xfId="19068" xr:uid="{00000000-0005-0000-0000-00005F4A0000}"/>
    <cellStyle name="Comma [0] 7 2" xfId="19069" xr:uid="{00000000-0005-0000-0000-0000604A0000}"/>
    <cellStyle name="Comma [0] 7 2 10" xfId="19070" xr:uid="{00000000-0005-0000-0000-0000614A0000}"/>
    <cellStyle name="Comma [0] 7 2 11" xfId="19071" xr:uid="{00000000-0005-0000-0000-0000624A0000}"/>
    <cellStyle name="Comma [0] 7 2 12" xfId="19072" xr:uid="{00000000-0005-0000-0000-0000634A0000}"/>
    <cellStyle name="Comma [0] 7 2 13" xfId="19073" xr:uid="{00000000-0005-0000-0000-0000644A0000}"/>
    <cellStyle name="Comma [0] 7 2 14" xfId="19074" xr:uid="{00000000-0005-0000-0000-0000654A0000}"/>
    <cellStyle name="Comma [0] 7 2 15" xfId="19075" xr:uid="{00000000-0005-0000-0000-0000664A0000}"/>
    <cellStyle name="Comma [0] 7 2 16" xfId="19076" xr:uid="{00000000-0005-0000-0000-0000674A0000}"/>
    <cellStyle name="Comma [0] 7 2 17" xfId="19077" xr:uid="{00000000-0005-0000-0000-0000684A0000}"/>
    <cellStyle name="Comma [0] 7 2 18" xfId="19078" xr:uid="{00000000-0005-0000-0000-0000694A0000}"/>
    <cellStyle name="Comma [0] 7 2 19" xfId="19079" xr:uid="{00000000-0005-0000-0000-00006A4A0000}"/>
    <cellStyle name="Comma [0] 7 2 2" xfId="19080" xr:uid="{00000000-0005-0000-0000-00006B4A0000}"/>
    <cellStyle name="Comma [0] 7 2 20" xfId="19081" xr:uid="{00000000-0005-0000-0000-00006C4A0000}"/>
    <cellStyle name="Comma [0] 7 2 21" xfId="19082" xr:uid="{00000000-0005-0000-0000-00006D4A0000}"/>
    <cellStyle name="Comma [0] 7 2 22" xfId="19083" xr:uid="{00000000-0005-0000-0000-00006E4A0000}"/>
    <cellStyle name="Comma [0] 7 2 23" xfId="19084" xr:uid="{00000000-0005-0000-0000-00006F4A0000}"/>
    <cellStyle name="Comma [0] 7 2 24" xfId="19085" xr:uid="{00000000-0005-0000-0000-0000704A0000}"/>
    <cellStyle name="Comma [0] 7 2 25" xfId="19086" xr:uid="{00000000-0005-0000-0000-0000714A0000}"/>
    <cellStyle name="Comma [0] 7 2 26" xfId="19087" xr:uid="{00000000-0005-0000-0000-0000724A0000}"/>
    <cellStyle name="Comma [0] 7 2 27" xfId="19088" xr:uid="{00000000-0005-0000-0000-0000734A0000}"/>
    <cellStyle name="Comma [0] 7 2 28" xfId="19089" xr:uid="{00000000-0005-0000-0000-0000744A0000}"/>
    <cellStyle name="Comma [0] 7 2 29" xfId="19090" xr:uid="{00000000-0005-0000-0000-0000754A0000}"/>
    <cellStyle name="Comma [0] 7 2 3" xfId="19091" xr:uid="{00000000-0005-0000-0000-0000764A0000}"/>
    <cellStyle name="Comma [0] 7 2 30" xfId="19092" xr:uid="{00000000-0005-0000-0000-0000774A0000}"/>
    <cellStyle name="Comma [0] 7 2 31" xfId="19093" xr:uid="{00000000-0005-0000-0000-0000784A0000}"/>
    <cellStyle name="Comma [0] 7 2 32" xfId="19094" xr:uid="{00000000-0005-0000-0000-0000794A0000}"/>
    <cellStyle name="Comma [0] 7 2 4" xfId="19095" xr:uid="{00000000-0005-0000-0000-00007A4A0000}"/>
    <cellStyle name="Comma [0] 7 2 5" xfId="19096" xr:uid="{00000000-0005-0000-0000-00007B4A0000}"/>
    <cellStyle name="Comma [0] 7 2 6" xfId="19097" xr:uid="{00000000-0005-0000-0000-00007C4A0000}"/>
    <cellStyle name="Comma [0] 7 2 7" xfId="19098" xr:uid="{00000000-0005-0000-0000-00007D4A0000}"/>
    <cellStyle name="Comma [0] 7 2 8" xfId="19099" xr:uid="{00000000-0005-0000-0000-00007E4A0000}"/>
    <cellStyle name="Comma [0] 7 2 9" xfId="19100" xr:uid="{00000000-0005-0000-0000-00007F4A0000}"/>
    <cellStyle name="Comma [0] 7 20" xfId="19101" xr:uid="{00000000-0005-0000-0000-0000804A0000}"/>
    <cellStyle name="Comma [0] 7 21" xfId="19102" xr:uid="{00000000-0005-0000-0000-0000814A0000}"/>
    <cellStyle name="Comma [0] 7 22" xfId="19103" xr:uid="{00000000-0005-0000-0000-0000824A0000}"/>
    <cellStyle name="Comma [0] 7 23" xfId="19104" xr:uid="{00000000-0005-0000-0000-0000834A0000}"/>
    <cellStyle name="Comma [0] 7 24" xfId="19105" xr:uid="{00000000-0005-0000-0000-0000844A0000}"/>
    <cellStyle name="Comma [0] 7 25" xfId="19106" xr:uid="{00000000-0005-0000-0000-0000854A0000}"/>
    <cellStyle name="Comma [0] 7 26" xfId="19107" xr:uid="{00000000-0005-0000-0000-0000864A0000}"/>
    <cellStyle name="Comma [0] 7 27" xfId="19108" xr:uid="{00000000-0005-0000-0000-0000874A0000}"/>
    <cellStyle name="Comma [0] 7 28" xfId="19109" xr:uid="{00000000-0005-0000-0000-0000884A0000}"/>
    <cellStyle name="Comma [0] 7 29" xfId="19110" xr:uid="{00000000-0005-0000-0000-0000894A0000}"/>
    <cellStyle name="Comma [0] 7 3" xfId="19111" xr:uid="{00000000-0005-0000-0000-00008A4A0000}"/>
    <cellStyle name="Comma [0] 7 3 10" xfId="19112" xr:uid="{00000000-0005-0000-0000-00008B4A0000}"/>
    <cellStyle name="Comma [0] 7 3 11" xfId="19113" xr:uid="{00000000-0005-0000-0000-00008C4A0000}"/>
    <cellStyle name="Comma [0] 7 3 12" xfId="19114" xr:uid="{00000000-0005-0000-0000-00008D4A0000}"/>
    <cellStyle name="Comma [0] 7 3 13" xfId="19115" xr:uid="{00000000-0005-0000-0000-00008E4A0000}"/>
    <cellStyle name="Comma [0] 7 3 14" xfId="19116" xr:uid="{00000000-0005-0000-0000-00008F4A0000}"/>
    <cellStyle name="Comma [0] 7 3 15" xfId="19117" xr:uid="{00000000-0005-0000-0000-0000904A0000}"/>
    <cellStyle name="Comma [0] 7 3 16" xfId="19118" xr:uid="{00000000-0005-0000-0000-0000914A0000}"/>
    <cellStyle name="Comma [0] 7 3 17" xfId="19119" xr:uid="{00000000-0005-0000-0000-0000924A0000}"/>
    <cellStyle name="Comma [0] 7 3 18" xfId="19120" xr:uid="{00000000-0005-0000-0000-0000934A0000}"/>
    <cellStyle name="Comma [0] 7 3 19" xfId="19121" xr:uid="{00000000-0005-0000-0000-0000944A0000}"/>
    <cellStyle name="Comma [0] 7 3 2" xfId="19122" xr:uid="{00000000-0005-0000-0000-0000954A0000}"/>
    <cellStyle name="Comma [0] 7 3 20" xfId="19123" xr:uid="{00000000-0005-0000-0000-0000964A0000}"/>
    <cellStyle name="Comma [0] 7 3 21" xfId="19124" xr:uid="{00000000-0005-0000-0000-0000974A0000}"/>
    <cellStyle name="Comma [0] 7 3 22" xfId="19125" xr:uid="{00000000-0005-0000-0000-0000984A0000}"/>
    <cellStyle name="Comma [0] 7 3 23" xfId="19126" xr:uid="{00000000-0005-0000-0000-0000994A0000}"/>
    <cellStyle name="Comma [0] 7 3 24" xfId="19127" xr:uid="{00000000-0005-0000-0000-00009A4A0000}"/>
    <cellStyle name="Comma [0] 7 3 25" xfId="19128" xr:uid="{00000000-0005-0000-0000-00009B4A0000}"/>
    <cellStyle name="Comma [0] 7 3 26" xfId="19129" xr:uid="{00000000-0005-0000-0000-00009C4A0000}"/>
    <cellStyle name="Comma [0] 7 3 27" xfId="19130" xr:uid="{00000000-0005-0000-0000-00009D4A0000}"/>
    <cellStyle name="Comma [0] 7 3 28" xfId="19131" xr:uid="{00000000-0005-0000-0000-00009E4A0000}"/>
    <cellStyle name="Comma [0] 7 3 29" xfId="19132" xr:uid="{00000000-0005-0000-0000-00009F4A0000}"/>
    <cellStyle name="Comma [0] 7 3 3" xfId="19133" xr:uid="{00000000-0005-0000-0000-0000A04A0000}"/>
    <cellStyle name="Comma [0] 7 3 30" xfId="19134" xr:uid="{00000000-0005-0000-0000-0000A14A0000}"/>
    <cellStyle name="Comma [0] 7 3 31" xfId="19135" xr:uid="{00000000-0005-0000-0000-0000A24A0000}"/>
    <cellStyle name="Comma [0] 7 3 32" xfId="19136" xr:uid="{00000000-0005-0000-0000-0000A34A0000}"/>
    <cellStyle name="Comma [0] 7 3 4" xfId="19137" xr:uid="{00000000-0005-0000-0000-0000A44A0000}"/>
    <cellStyle name="Comma [0] 7 3 5" xfId="19138" xr:uid="{00000000-0005-0000-0000-0000A54A0000}"/>
    <cellStyle name="Comma [0] 7 3 6" xfId="19139" xr:uid="{00000000-0005-0000-0000-0000A64A0000}"/>
    <cellStyle name="Comma [0] 7 3 7" xfId="19140" xr:uid="{00000000-0005-0000-0000-0000A74A0000}"/>
    <cellStyle name="Comma [0] 7 3 8" xfId="19141" xr:uid="{00000000-0005-0000-0000-0000A84A0000}"/>
    <cellStyle name="Comma [0] 7 3 9" xfId="19142" xr:uid="{00000000-0005-0000-0000-0000A94A0000}"/>
    <cellStyle name="Comma [0] 7 30" xfId="19143" xr:uid="{00000000-0005-0000-0000-0000AA4A0000}"/>
    <cellStyle name="Comma [0] 7 31" xfId="19144" xr:uid="{00000000-0005-0000-0000-0000AB4A0000}"/>
    <cellStyle name="Comma [0] 7 32" xfId="19145" xr:uid="{00000000-0005-0000-0000-0000AC4A0000}"/>
    <cellStyle name="Comma [0] 7 33" xfId="19146" xr:uid="{00000000-0005-0000-0000-0000AD4A0000}"/>
    <cellStyle name="Comma [0] 7 34" xfId="19147" xr:uid="{00000000-0005-0000-0000-0000AE4A0000}"/>
    <cellStyle name="Comma [0] 7 4" xfId="19148" xr:uid="{00000000-0005-0000-0000-0000AF4A0000}"/>
    <cellStyle name="Comma [0] 7 5" xfId="19149" xr:uid="{00000000-0005-0000-0000-0000B04A0000}"/>
    <cellStyle name="Comma [0] 7 6" xfId="19150" xr:uid="{00000000-0005-0000-0000-0000B14A0000}"/>
    <cellStyle name="Comma [0] 7 7" xfId="19151" xr:uid="{00000000-0005-0000-0000-0000B24A0000}"/>
    <cellStyle name="Comma [0] 7 8" xfId="19152" xr:uid="{00000000-0005-0000-0000-0000B34A0000}"/>
    <cellStyle name="Comma [0] 7 9" xfId="19153" xr:uid="{00000000-0005-0000-0000-0000B44A0000}"/>
    <cellStyle name="Comma [0] 8" xfId="19154" xr:uid="{00000000-0005-0000-0000-0000B54A0000}"/>
    <cellStyle name="Comma [0] 9" xfId="19155" xr:uid="{00000000-0005-0000-0000-0000B64A0000}"/>
    <cellStyle name="Comma [0] incl." xfId="19156" xr:uid="{00000000-0005-0000-0000-0000B74A0000}"/>
    <cellStyle name="Comma [0] incl. 2" xfId="19157" xr:uid="{00000000-0005-0000-0000-0000B84A0000}"/>
    <cellStyle name="Comma [0] N/A" xfId="19158" xr:uid="{00000000-0005-0000-0000-0000B94A0000}"/>
    <cellStyle name="Comma [0] N/A 2" xfId="19159" xr:uid="{00000000-0005-0000-0000-0000BA4A0000}"/>
    <cellStyle name="Comma [0] TBD" xfId="19160" xr:uid="{00000000-0005-0000-0000-0000BB4A0000}"/>
    <cellStyle name="Comma [0] TBD-" xfId="19161" xr:uid="{00000000-0005-0000-0000-0000BC4A0000}"/>
    <cellStyle name="Comma [0] TBD 2" xfId="19162" xr:uid="{00000000-0005-0000-0000-0000BD4A0000}"/>
    <cellStyle name="Comma [0] TBD- 2" xfId="19163" xr:uid="{00000000-0005-0000-0000-0000BE4A0000}"/>
    <cellStyle name="Comma [0] TBD 3" xfId="19164" xr:uid="{00000000-0005-0000-0000-0000BF4A0000}"/>
    <cellStyle name="Comma [0] TBD- 3" xfId="19165" xr:uid="{00000000-0005-0000-0000-0000C04A0000}"/>
    <cellStyle name="Comma [0] TBD 4" xfId="19166" xr:uid="{00000000-0005-0000-0000-0000C14A0000}"/>
    <cellStyle name="Comma [0] TBD- 4" xfId="19167" xr:uid="{00000000-0005-0000-0000-0000C24A0000}"/>
    <cellStyle name="Comma [0] TBD 5" xfId="19168" xr:uid="{00000000-0005-0000-0000-0000C34A0000}"/>
    <cellStyle name="Comma [0] TBD- 5" xfId="19169" xr:uid="{00000000-0005-0000-0000-0000C44A0000}"/>
    <cellStyle name="Comma [0] TBD 6" xfId="19170" xr:uid="{00000000-0005-0000-0000-0000C54A0000}"/>
    <cellStyle name="Comma [0] TBD- 6" xfId="19171" xr:uid="{00000000-0005-0000-0000-0000C64A0000}"/>
    <cellStyle name="Comma [0]; --" xfId="19172" xr:uid="{00000000-0005-0000-0000-0000C74A0000}"/>
    <cellStyle name="Comma [0]; -- 2" xfId="19173" xr:uid="{00000000-0005-0000-0000-0000C84A0000}"/>
    <cellStyle name="Comma [0]_!!!GO" xfId="19174" xr:uid="{00000000-0005-0000-0000-0000C94A0000}"/>
    <cellStyle name="Comma [00]" xfId="19175" xr:uid="{00000000-0005-0000-0000-0000CA4A0000}"/>
    <cellStyle name="Comma [00] 10" xfId="19176" xr:uid="{00000000-0005-0000-0000-0000CB4A0000}"/>
    <cellStyle name="Comma [00] 11" xfId="19177" xr:uid="{00000000-0005-0000-0000-0000CC4A0000}"/>
    <cellStyle name="Comma [00] 12" xfId="19178" xr:uid="{00000000-0005-0000-0000-0000CD4A0000}"/>
    <cellStyle name="Comma [00] 2" xfId="19179" xr:uid="{00000000-0005-0000-0000-0000CE4A0000}"/>
    <cellStyle name="Comma [00] 3" xfId="19180" xr:uid="{00000000-0005-0000-0000-0000CF4A0000}"/>
    <cellStyle name="Comma [00] 4" xfId="19181" xr:uid="{00000000-0005-0000-0000-0000D04A0000}"/>
    <cellStyle name="Comma [00] 5" xfId="19182" xr:uid="{00000000-0005-0000-0000-0000D14A0000}"/>
    <cellStyle name="Comma [00] 6" xfId="19183" xr:uid="{00000000-0005-0000-0000-0000D24A0000}"/>
    <cellStyle name="Comma [00] 7" xfId="19184" xr:uid="{00000000-0005-0000-0000-0000D34A0000}"/>
    <cellStyle name="Comma [00] 8" xfId="19185" xr:uid="{00000000-0005-0000-0000-0000D44A0000}"/>
    <cellStyle name="Comma [00] 9" xfId="19186" xr:uid="{00000000-0005-0000-0000-0000D54A0000}"/>
    <cellStyle name="Comma [1]" xfId="19187" xr:uid="{00000000-0005-0000-0000-0000D64A0000}"/>
    <cellStyle name="comma [2]" xfId="19188" xr:uid="{00000000-0005-0000-0000-0000D74A0000}"/>
    <cellStyle name="comma [2] 2" xfId="19189" xr:uid="{00000000-0005-0000-0000-0000D84A0000}"/>
    <cellStyle name="Comma [3]" xfId="19190" xr:uid="{00000000-0005-0000-0000-0000D94A0000}"/>
    <cellStyle name="Comma [3] 2" xfId="19191" xr:uid="{00000000-0005-0000-0000-0000DA4A0000}"/>
    <cellStyle name="Comma 0" xfId="19192" xr:uid="{00000000-0005-0000-0000-0000DB4A0000}"/>
    <cellStyle name="Comma 0*" xfId="19193" xr:uid="{00000000-0005-0000-0000-0000DC4A0000}"/>
    <cellStyle name="Comma 0_158105!" xfId="19194" xr:uid="{00000000-0005-0000-0000-0000DD4A0000}"/>
    <cellStyle name="Comma 10" xfId="19195" xr:uid="{00000000-0005-0000-0000-0000DE4A0000}"/>
    <cellStyle name="Comma 11" xfId="19196" xr:uid="{00000000-0005-0000-0000-0000DF4A0000}"/>
    <cellStyle name="Comma 11 2" xfId="19197" xr:uid="{00000000-0005-0000-0000-0000E04A0000}"/>
    <cellStyle name="Comma 12" xfId="19198" xr:uid="{00000000-0005-0000-0000-0000E14A0000}"/>
    <cellStyle name="Comma 12 2" xfId="19199" xr:uid="{00000000-0005-0000-0000-0000E24A0000}"/>
    <cellStyle name="Comma 13" xfId="19200" xr:uid="{00000000-0005-0000-0000-0000E34A0000}"/>
    <cellStyle name="Comma 13 2" xfId="19201" xr:uid="{00000000-0005-0000-0000-0000E44A0000}"/>
    <cellStyle name="Comma 13 3" xfId="19202" xr:uid="{00000000-0005-0000-0000-0000E54A0000}"/>
    <cellStyle name="Comma 14" xfId="19203" xr:uid="{00000000-0005-0000-0000-0000E64A0000}"/>
    <cellStyle name="Comma 14 2" xfId="19204" xr:uid="{00000000-0005-0000-0000-0000E74A0000}"/>
    <cellStyle name="Comma 15" xfId="19205" xr:uid="{00000000-0005-0000-0000-0000E84A0000}"/>
    <cellStyle name="Comma 15 2" xfId="19206" xr:uid="{00000000-0005-0000-0000-0000E94A0000}"/>
    <cellStyle name="Comma 16" xfId="19207" xr:uid="{00000000-0005-0000-0000-0000EA4A0000}"/>
    <cellStyle name="Comma 16 2" xfId="19208" xr:uid="{00000000-0005-0000-0000-0000EB4A0000}"/>
    <cellStyle name="Comma 16 2 2" xfId="19209" xr:uid="{00000000-0005-0000-0000-0000EC4A0000}"/>
    <cellStyle name="Comma 17" xfId="19210" xr:uid="{00000000-0005-0000-0000-0000ED4A0000}"/>
    <cellStyle name="Comma 17 2" xfId="19211" xr:uid="{00000000-0005-0000-0000-0000EE4A0000}"/>
    <cellStyle name="Comma 18" xfId="19212" xr:uid="{00000000-0005-0000-0000-0000EF4A0000}"/>
    <cellStyle name="Comma 18 2" xfId="19213" xr:uid="{00000000-0005-0000-0000-0000F04A0000}"/>
    <cellStyle name="Comma 19" xfId="19214" xr:uid="{00000000-0005-0000-0000-0000F14A0000}"/>
    <cellStyle name="Comma 19 2" xfId="19215" xr:uid="{00000000-0005-0000-0000-0000F24A0000}"/>
    <cellStyle name="Comma 2" xfId="62" xr:uid="{00000000-0005-0000-0000-0000F34A0000}"/>
    <cellStyle name="Comma 2 10" xfId="19217" xr:uid="{00000000-0005-0000-0000-0000F44A0000}"/>
    <cellStyle name="Comma 2 11" xfId="19218" xr:uid="{00000000-0005-0000-0000-0000F54A0000}"/>
    <cellStyle name="Comma 2 12" xfId="19219" xr:uid="{00000000-0005-0000-0000-0000F64A0000}"/>
    <cellStyle name="Comma 2 13" xfId="19220" xr:uid="{00000000-0005-0000-0000-0000F74A0000}"/>
    <cellStyle name="Comma 2 14" xfId="19221" xr:uid="{00000000-0005-0000-0000-0000F84A0000}"/>
    <cellStyle name="Comma 2 15" xfId="19222" xr:uid="{00000000-0005-0000-0000-0000F94A0000}"/>
    <cellStyle name="Comma 2 16" xfId="19223" xr:uid="{00000000-0005-0000-0000-0000FA4A0000}"/>
    <cellStyle name="Comma 2 17" xfId="19224" xr:uid="{00000000-0005-0000-0000-0000FB4A0000}"/>
    <cellStyle name="Comma 2 18" xfId="19225" xr:uid="{00000000-0005-0000-0000-0000FC4A0000}"/>
    <cellStyle name="Comma 2 19" xfId="36345" xr:uid="{00000000-0005-0000-0000-0000FD4A0000}"/>
    <cellStyle name="Comma 2 2" xfId="19226" xr:uid="{00000000-0005-0000-0000-0000FE4A0000}"/>
    <cellStyle name="Comma 2 2 10" xfId="19227" xr:uid="{00000000-0005-0000-0000-0000FF4A0000}"/>
    <cellStyle name="Comma 2 2 11" xfId="19228" xr:uid="{00000000-0005-0000-0000-0000004B0000}"/>
    <cellStyle name="Comma 2 2 12" xfId="19229" xr:uid="{00000000-0005-0000-0000-0000014B0000}"/>
    <cellStyle name="Comma 2 2 13" xfId="19230" xr:uid="{00000000-0005-0000-0000-0000024B0000}"/>
    <cellStyle name="Comma 2 2 2" xfId="19231" xr:uid="{00000000-0005-0000-0000-0000034B0000}"/>
    <cellStyle name="Comma 2 2 2 2" xfId="19232" xr:uid="{00000000-0005-0000-0000-0000044B0000}"/>
    <cellStyle name="Comma 2 2 2 2 2" xfId="19233" xr:uid="{00000000-0005-0000-0000-0000054B0000}"/>
    <cellStyle name="Comma 2 2 2 3" xfId="19234" xr:uid="{00000000-0005-0000-0000-0000064B0000}"/>
    <cellStyle name="Comma 2 2 2 3 2" xfId="19235" xr:uid="{00000000-0005-0000-0000-0000074B0000}"/>
    <cellStyle name="Comma 2 2 2 4" xfId="19236" xr:uid="{00000000-0005-0000-0000-0000084B0000}"/>
    <cellStyle name="Comma 2 2 2 4 2" xfId="19237" xr:uid="{00000000-0005-0000-0000-0000094B0000}"/>
    <cellStyle name="Comma 2 2 2 5" xfId="19238" xr:uid="{00000000-0005-0000-0000-00000A4B0000}"/>
    <cellStyle name="Comma 2 2 2 5 2" xfId="19239" xr:uid="{00000000-0005-0000-0000-00000B4B0000}"/>
    <cellStyle name="Comma 2 2 2 6" xfId="19240" xr:uid="{00000000-0005-0000-0000-00000C4B0000}"/>
    <cellStyle name="Comma 2 2 3" xfId="19241" xr:uid="{00000000-0005-0000-0000-00000D4B0000}"/>
    <cellStyle name="Comma 2 2 3 2" xfId="19242" xr:uid="{00000000-0005-0000-0000-00000E4B0000}"/>
    <cellStyle name="Comma 2 2 4" xfId="19243" xr:uid="{00000000-0005-0000-0000-00000F4B0000}"/>
    <cellStyle name="Comma 2 2 4 2" xfId="19244" xr:uid="{00000000-0005-0000-0000-0000104B0000}"/>
    <cellStyle name="Comma 2 2 5" xfId="19245" xr:uid="{00000000-0005-0000-0000-0000114B0000}"/>
    <cellStyle name="Comma 2 2 5 2" xfId="19246" xr:uid="{00000000-0005-0000-0000-0000124B0000}"/>
    <cellStyle name="Comma 2 2 6" xfId="19247" xr:uid="{00000000-0005-0000-0000-0000134B0000}"/>
    <cellStyle name="Comma 2 2 6 2" xfId="19248" xr:uid="{00000000-0005-0000-0000-0000144B0000}"/>
    <cellStyle name="Comma 2 2 7" xfId="19249" xr:uid="{00000000-0005-0000-0000-0000154B0000}"/>
    <cellStyle name="Comma 2 2 8" xfId="19250" xr:uid="{00000000-0005-0000-0000-0000164B0000}"/>
    <cellStyle name="Comma 2 2 9" xfId="19251" xr:uid="{00000000-0005-0000-0000-0000174B0000}"/>
    <cellStyle name="Comma 2 20" xfId="19216" xr:uid="{00000000-0005-0000-0000-0000184B0000}"/>
    <cellStyle name="Comma 2 3" xfId="19252" xr:uid="{00000000-0005-0000-0000-0000194B0000}"/>
    <cellStyle name="Comma 2 3 10" xfId="19253" xr:uid="{00000000-0005-0000-0000-00001A4B0000}"/>
    <cellStyle name="Comma 2 3 11" xfId="19254" xr:uid="{00000000-0005-0000-0000-00001B4B0000}"/>
    <cellStyle name="Comma 2 3 2" xfId="19255" xr:uid="{00000000-0005-0000-0000-00001C4B0000}"/>
    <cellStyle name="Comma 2 3 3" xfId="19256" xr:uid="{00000000-0005-0000-0000-00001D4B0000}"/>
    <cellStyle name="Comma 2 3 4" xfId="19257" xr:uid="{00000000-0005-0000-0000-00001E4B0000}"/>
    <cellStyle name="Comma 2 3 5" xfId="19258" xr:uid="{00000000-0005-0000-0000-00001F4B0000}"/>
    <cellStyle name="Comma 2 3 6" xfId="19259" xr:uid="{00000000-0005-0000-0000-0000204B0000}"/>
    <cellStyle name="Comma 2 3 7" xfId="19260" xr:uid="{00000000-0005-0000-0000-0000214B0000}"/>
    <cellStyle name="Comma 2 3 8" xfId="19261" xr:uid="{00000000-0005-0000-0000-0000224B0000}"/>
    <cellStyle name="Comma 2 3 9" xfId="19262" xr:uid="{00000000-0005-0000-0000-0000234B0000}"/>
    <cellStyle name="Comma 2 4" xfId="19263" xr:uid="{00000000-0005-0000-0000-0000244B0000}"/>
    <cellStyle name="Comma 2 4 10" xfId="19264" xr:uid="{00000000-0005-0000-0000-0000254B0000}"/>
    <cellStyle name="Comma 2 4 11" xfId="19265" xr:uid="{00000000-0005-0000-0000-0000264B0000}"/>
    <cellStyle name="Comma 2 4 2" xfId="19266" xr:uid="{00000000-0005-0000-0000-0000274B0000}"/>
    <cellStyle name="Comma 2 4 3" xfId="19267" xr:uid="{00000000-0005-0000-0000-0000284B0000}"/>
    <cellStyle name="Comma 2 4 4" xfId="19268" xr:uid="{00000000-0005-0000-0000-0000294B0000}"/>
    <cellStyle name="Comma 2 4 5" xfId="19269" xr:uid="{00000000-0005-0000-0000-00002A4B0000}"/>
    <cellStyle name="Comma 2 4 6" xfId="19270" xr:uid="{00000000-0005-0000-0000-00002B4B0000}"/>
    <cellStyle name="Comma 2 4 7" xfId="19271" xr:uid="{00000000-0005-0000-0000-00002C4B0000}"/>
    <cellStyle name="Comma 2 4 8" xfId="19272" xr:uid="{00000000-0005-0000-0000-00002D4B0000}"/>
    <cellStyle name="Comma 2 4 9" xfId="19273" xr:uid="{00000000-0005-0000-0000-00002E4B0000}"/>
    <cellStyle name="Comma 2 5" xfId="19274" xr:uid="{00000000-0005-0000-0000-00002F4B0000}"/>
    <cellStyle name="Comma 2 5 2" xfId="19275" xr:uid="{00000000-0005-0000-0000-0000304B0000}"/>
    <cellStyle name="Comma 2 6" xfId="19276" xr:uid="{00000000-0005-0000-0000-0000314B0000}"/>
    <cellStyle name="Comma 2 6 2" xfId="19277" xr:uid="{00000000-0005-0000-0000-0000324B0000}"/>
    <cellStyle name="Comma 2 7" xfId="19278" xr:uid="{00000000-0005-0000-0000-0000334B0000}"/>
    <cellStyle name="Comma 2 7 2" xfId="19279" xr:uid="{00000000-0005-0000-0000-0000344B0000}"/>
    <cellStyle name="Comma 2 8" xfId="19280" xr:uid="{00000000-0005-0000-0000-0000354B0000}"/>
    <cellStyle name="Comma 2 8 2" xfId="19281" xr:uid="{00000000-0005-0000-0000-0000364B0000}"/>
    <cellStyle name="Comma 2 9" xfId="19282" xr:uid="{00000000-0005-0000-0000-0000374B0000}"/>
    <cellStyle name="Comma 2*" xfId="19283" xr:uid="{00000000-0005-0000-0000-0000384B0000}"/>
    <cellStyle name="Comma 2_comps reference" xfId="19284" xr:uid="{00000000-0005-0000-0000-0000394B0000}"/>
    <cellStyle name="Comma 20" xfId="19285" xr:uid="{00000000-0005-0000-0000-00003A4B0000}"/>
    <cellStyle name="Comma 20 2" xfId="19286" xr:uid="{00000000-0005-0000-0000-00003B4B0000}"/>
    <cellStyle name="Comma 21" xfId="19287" xr:uid="{00000000-0005-0000-0000-00003C4B0000}"/>
    <cellStyle name="Comma 21 2" xfId="19288" xr:uid="{00000000-0005-0000-0000-00003D4B0000}"/>
    <cellStyle name="Comma 22" xfId="19289" xr:uid="{00000000-0005-0000-0000-00003E4B0000}"/>
    <cellStyle name="Comma 22 2" xfId="19290" xr:uid="{00000000-0005-0000-0000-00003F4B0000}"/>
    <cellStyle name="Comma 23" xfId="19291" xr:uid="{00000000-0005-0000-0000-0000404B0000}"/>
    <cellStyle name="Comma 24" xfId="19292" xr:uid="{00000000-0005-0000-0000-0000414B0000}"/>
    <cellStyle name="Comma 25" xfId="19293" xr:uid="{00000000-0005-0000-0000-0000424B0000}"/>
    <cellStyle name="Comma 26" xfId="19294" xr:uid="{00000000-0005-0000-0000-0000434B0000}"/>
    <cellStyle name="Comma 26 2" xfId="19295" xr:uid="{00000000-0005-0000-0000-0000444B0000}"/>
    <cellStyle name="Comma 27" xfId="19296" xr:uid="{00000000-0005-0000-0000-0000454B0000}"/>
    <cellStyle name="Comma 28" xfId="19297" xr:uid="{00000000-0005-0000-0000-0000464B0000}"/>
    <cellStyle name="Comma 29" xfId="19298" xr:uid="{00000000-0005-0000-0000-0000474B0000}"/>
    <cellStyle name="Comma 3" xfId="19299" xr:uid="{00000000-0005-0000-0000-0000484B0000}"/>
    <cellStyle name="Comma 3 10" xfId="19300" xr:uid="{00000000-0005-0000-0000-0000494B0000}"/>
    <cellStyle name="Comma 3 11" xfId="19301" xr:uid="{00000000-0005-0000-0000-00004A4B0000}"/>
    <cellStyle name="Comma 3 12" xfId="19302" xr:uid="{00000000-0005-0000-0000-00004B4B0000}"/>
    <cellStyle name="Comma 3 2" xfId="19303" xr:uid="{00000000-0005-0000-0000-00004C4B0000}"/>
    <cellStyle name="Comma 3 2 2" xfId="19304" xr:uid="{00000000-0005-0000-0000-00004D4B0000}"/>
    <cellStyle name="Comma 3 2 2 2" xfId="19305" xr:uid="{00000000-0005-0000-0000-00004E4B0000}"/>
    <cellStyle name="Comma 3 2 2 2 2" xfId="19306" xr:uid="{00000000-0005-0000-0000-00004F4B0000}"/>
    <cellStyle name="Comma 3 2 2 3" xfId="19307" xr:uid="{00000000-0005-0000-0000-0000504B0000}"/>
    <cellStyle name="Comma 3 2 2 3 2" xfId="19308" xr:uid="{00000000-0005-0000-0000-0000514B0000}"/>
    <cellStyle name="Comma 3 2 2 4" xfId="19309" xr:uid="{00000000-0005-0000-0000-0000524B0000}"/>
    <cellStyle name="Comma 3 2 2 4 2" xfId="19310" xr:uid="{00000000-0005-0000-0000-0000534B0000}"/>
    <cellStyle name="Comma 3 2 2 5" xfId="19311" xr:uid="{00000000-0005-0000-0000-0000544B0000}"/>
    <cellStyle name="Comma 3 2 2 5 2" xfId="19312" xr:uid="{00000000-0005-0000-0000-0000554B0000}"/>
    <cellStyle name="Comma 3 2 2 6" xfId="19313" xr:uid="{00000000-0005-0000-0000-0000564B0000}"/>
    <cellStyle name="Comma 3 2 3" xfId="19314" xr:uid="{00000000-0005-0000-0000-0000574B0000}"/>
    <cellStyle name="Comma 3 2 3 2" xfId="19315" xr:uid="{00000000-0005-0000-0000-0000584B0000}"/>
    <cellStyle name="Comma 3 2 4" xfId="19316" xr:uid="{00000000-0005-0000-0000-0000594B0000}"/>
    <cellStyle name="Comma 3 2 4 2" xfId="19317" xr:uid="{00000000-0005-0000-0000-00005A4B0000}"/>
    <cellStyle name="Comma 3 2 5" xfId="19318" xr:uid="{00000000-0005-0000-0000-00005B4B0000}"/>
    <cellStyle name="Comma 3 2 5 2" xfId="19319" xr:uid="{00000000-0005-0000-0000-00005C4B0000}"/>
    <cellStyle name="Comma 3 2 6" xfId="19320" xr:uid="{00000000-0005-0000-0000-00005D4B0000}"/>
    <cellStyle name="Comma 3 3" xfId="19321" xr:uid="{00000000-0005-0000-0000-00005E4B0000}"/>
    <cellStyle name="Comma 3 3 2" xfId="19322" xr:uid="{00000000-0005-0000-0000-00005F4B0000}"/>
    <cellStyle name="Comma 3 4" xfId="19323" xr:uid="{00000000-0005-0000-0000-0000604B0000}"/>
    <cellStyle name="Comma 3 4 2" xfId="19324" xr:uid="{00000000-0005-0000-0000-0000614B0000}"/>
    <cellStyle name="Comma 3 5" xfId="19325" xr:uid="{00000000-0005-0000-0000-0000624B0000}"/>
    <cellStyle name="Comma 3 5 2" xfId="19326" xr:uid="{00000000-0005-0000-0000-0000634B0000}"/>
    <cellStyle name="Comma 3 6" xfId="19327" xr:uid="{00000000-0005-0000-0000-0000644B0000}"/>
    <cellStyle name="Comma 3 6 2" xfId="19328" xr:uid="{00000000-0005-0000-0000-0000654B0000}"/>
    <cellStyle name="Comma 3 7" xfId="19329" xr:uid="{00000000-0005-0000-0000-0000664B0000}"/>
    <cellStyle name="Comma 3 7 2" xfId="19330" xr:uid="{00000000-0005-0000-0000-0000674B0000}"/>
    <cellStyle name="Comma 3 8" xfId="19331" xr:uid="{00000000-0005-0000-0000-0000684B0000}"/>
    <cellStyle name="Comma 3 9" xfId="19332" xr:uid="{00000000-0005-0000-0000-0000694B0000}"/>
    <cellStyle name="Comma 3*" xfId="19333" xr:uid="{00000000-0005-0000-0000-00006A4B0000}"/>
    <cellStyle name="Comma 30" xfId="19334" xr:uid="{00000000-0005-0000-0000-00006B4B0000}"/>
    <cellStyle name="Comma 31" xfId="19335" xr:uid="{00000000-0005-0000-0000-00006C4B0000}"/>
    <cellStyle name="Comma 32" xfId="19336" xr:uid="{00000000-0005-0000-0000-00006D4B0000}"/>
    <cellStyle name="Comma 33" xfId="19337" xr:uid="{00000000-0005-0000-0000-00006E4B0000}"/>
    <cellStyle name="Comma 34" xfId="19338" xr:uid="{00000000-0005-0000-0000-00006F4B0000}"/>
    <cellStyle name="Comma 35" xfId="19339" xr:uid="{00000000-0005-0000-0000-0000704B0000}"/>
    <cellStyle name="Comma 36" xfId="19340" xr:uid="{00000000-0005-0000-0000-0000714B0000}"/>
    <cellStyle name="Comma 37" xfId="19341" xr:uid="{00000000-0005-0000-0000-0000724B0000}"/>
    <cellStyle name="Comma 38" xfId="19342" xr:uid="{00000000-0005-0000-0000-0000734B0000}"/>
    <cellStyle name="Comma 39" xfId="19343" xr:uid="{00000000-0005-0000-0000-0000744B0000}"/>
    <cellStyle name="Comma 4" xfId="19344" xr:uid="{00000000-0005-0000-0000-0000754B0000}"/>
    <cellStyle name="Comma 4 10" xfId="19345" xr:uid="{00000000-0005-0000-0000-0000764B0000}"/>
    <cellStyle name="Comma 4 11" xfId="19346" xr:uid="{00000000-0005-0000-0000-0000774B0000}"/>
    <cellStyle name="Comma 4 12" xfId="19347" xr:uid="{00000000-0005-0000-0000-0000784B0000}"/>
    <cellStyle name="Comma 4 2" xfId="19348" xr:uid="{00000000-0005-0000-0000-0000794B0000}"/>
    <cellStyle name="Comma 4 2 2" xfId="19349" xr:uid="{00000000-0005-0000-0000-00007A4B0000}"/>
    <cellStyle name="Comma 4 2 2 2" xfId="19350" xr:uid="{00000000-0005-0000-0000-00007B4B0000}"/>
    <cellStyle name="Comma 4 2 2 3" xfId="19351" xr:uid="{00000000-0005-0000-0000-00007C4B0000}"/>
    <cellStyle name="Comma 4 2 2 4" xfId="19352" xr:uid="{00000000-0005-0000-0000-00007D4B0000}"/>
    <cellStyle name="Comma 4 2 2 5" xfId="19353" xr:uid="{00000000-0005-0000-0000-00007E4B0000}"/>
    <cellStyle name="Comma 4 2 2 6" xfId="19354" xr:uid="{00000000-0005-0000-0000-00007F4B0000}"/>
    <cellStyle name="Comma 4 2 3" xfId="19355" xr:uid="{00000000-0005-0000-0000-0000804B0000}"/>
    <cellStyle name="Comma 4 2 3 2" xfId="19356" xr:uid="{00000000-0005-0000-0000-0000814B0000}"/>
    <cellStyle name="Comma 4 2 4" xfId="19357" xr:uid="{00000000-0005-0000-0000-0000824B0000}"/>
    <cellStyle name="Comma 4 2 4 2" xfId="19358" xr:uid="{00000000-0005-0000-0000-0000834B0000}"/>
    <cellStyle name="Comma 4 2 5" xfId="19359" xr:uid="{00000000-0005-0000-0000-0000844B0000}"/>
    <cellStyle name="Comma 4 2 5 2" xfId="19360" xr:uid="{00000000-0005-0000-0000-0000854B0000}"/>
    <cellStyle name="Comma 4 2 6" xfId="19361" xr:uid="{00000000-0005-0000-0000-0000864B0000}"/>
    <cellStyle name="Comma 4 3" xfId="19362" xr:uid="{00000000-0005-0000-0000-0000874B0000}"/>
    <cellStyle name="Comma 4 4" xfId="19363" xr:uid="{00000000-0005-0000-0000-0000884B0000}"/>
    <cellStyle name="Comma 4 5" xfId="19364" xr:uid="{00000000-0005-0000-0000-0000894B0000}"/>
    <cellStyle name="Comma 4 6" xfId="19365" xr:uid="{00000000-0005-0000-0000-00008A4B0000}"/>
    <cellStyle name="Comma 4 7" xfId="19366" xr:uid="{00000000-0005-0000-0000-00008B4B0000}"/>
    <cellStyle name="Comma 4 7 2" xfId="19367" xr:uid="{00000000-0005-0000-0000-00008C4B0000}"/>
    <cellStyle name="Comma 4 8" xfId="19368" xr:uid="{00000000-0005-0000-0000-00008D4B0000}"/>
    <cellStyle name="Comma 4 9" xfId="19369" xr:uid="{00000000-0005-0000-0000-00008E4B0000}"/>
    <cellStyle name="Comma 40" xfId="19370" xr:uid="{00000000-0005-0000-0000-00008F4B0000}"/>
    <cellStyle name="Comma 41" xfId="19371" xr:uid="{00000000-0005-0000-0000-0000904B0000}"/>
    <cellStyle name="Comma 5" xfId="19372" xr:uid="{00000000-0005-0000-0000-0000914B0000}"/>
    <cellStyle name="Comma 5 10" xfId="19373" xr:uid="{00000000-0005-0000-0000-0000924B0000}"/>
    <cellStyle name="Comma 5 11" xfId="19374" xr:uid="{00000000-0005-0000-0000-0000934B0000}"/>
    <cellStyle name="Comma 5 2" xfId="19375" xr:uid="{00000000-0005-0000-0000-0000944B0000}"/>
    <cellStyle name="Comma 5 2 2" xfId="19376" xr:uid="{00000000-0005-0000-0000-0000954B0000}"/>
    <cellStyle name="Comma 5 2 2 2" xfId="19377" xr:uid="{00000000-0005-0000-0000-0000964B0000}"/>
    <cellStyle name="Comma 5 2 2 2 2" xfId="19378" xr:uid="{00000000-0005-0000-0000-0000974B0000}"/>
    <cellStyle name="Comma 5 2 2 3" xfId="19379" xr:uid="{00000000-0005-0000-0000-0000984B0000}"/>
    <cellStyle name="Comma 5 2 2 3 2" xfId="19380" xr:uid="{00000000-0005-0000-0000-0000994B0000}"/>
    <cellStyle name="Comma 5 2 2 4" xfId="19381" xr:uid="{00000000-0005-0000-0000-00009A4B0000}"/>
    <cellStyle name="Comma 5 2 2 4 2" xfId="19382" xr:uid="{00000000-0005-0000-0000-00009B4B0000}"/>
    <cellStyle name="Comma 5 2 2 5" xfId="19383" xr:uid="{00000000-0005-0000-0000-00009C4B0000}"/>
    <cellStyle name="Comma 5 2 2 5 2" xfId="19384" xr:uid="{00000000-0005-0000-0000-00009D4B0000}"/>
    <cellStyle name="Comma 5 2 2 6" xfId="19385" xr:uid="{00000000-0005-0000-0000-00009E4B0000}"/>
    <cellStyle name="Comma 5 2 3" xfId="19386" xr:uid="{00000000-0005-0000-0000-00009F4B0000}"/>
    <cellStyle name="Comma 5 2 3 2" xfId="19387" xr:uid="{00000000-0005-0000-0000-0000A04B0000}"/>
    <cellStyle name="Comma 5 2 4" xfId="19388" xr:uid="{00000000-0005-0000-0000-0000A14B0000}"/>
    <cellStyle name="Comma 5 2 4 2" xfId="19389" xr:uid="{00000000-0005-0000-0000-0000A24B0000}"/>
    <cellStyle name="Comma 5 2 5" xfId="19390" xr:uid="{00000000-0005-0000-0000-0000A34B0000}"/>
    <cellStyle name="Comma 5 2 5 2" xfId="19391" xr:uid="{00000000-0005-0000-0000-0000A44B0000}"/>
    <cellStyle name="Comma 5 2 6" xfId="19392" xr:uid="{00000000-0005-0000-0000-0000A54B0000}"/>
    <cellStyle name="Comma 5 3" xfId="19393" xr:uid="{00000000-0005-0000-0000-0000A64B0000}"/>
    <cellStyle name="Comma 5 3 2" xfId="19394" xr:uid="{00000000-0005-0000-0000-0000A74B0000}"/>
    <cellStyle name="Comma 5 4" xfId="19395" xr:uid="{00000000-0005-0000-0000-0000A84B0000}"/>
    <cellStyle name="Comma 5 4 2" xfId="19396" xr:uid="{00000000-0005-0000-0000-0000A94B0000}"/>
    <cellStyle name="Comma 5 5" xfId="19397" xr:uid="{00000000-0005-0000-0000-0000AA4B0000}"/>
    <cellStyle name="Comma 5 5 2" xfId="19398" xr:uid="{00000000-0005-0000-0000-0000AB4B0000}"/>
    <cellStyle name="Comma 5 6" xfId="19399" xr:uid="{00000000-0005-0000-0000-0000AC4B0000}"/>
    <cellStyle name="Comma 5 6 2" xfId="19400" xr:uid="{00000000-0005-0000-0000-0000AD4B0000}"/>
    <cellStyle name="Comma 5 7" xfId="19401" xr:uid="{00000000-0005-0000-0000-0000AE4B0000}"/>
    <cellStyle name="Comma 5 7 2" xfId="19402" xr:uid="{00000000-0005-0000-0000-0000AF4B0000}"/>
    <cellStyle name="Comma 5 8" xfId="19403" xr:uid="{00000000-0005-0000-0000-0000B04B0000}"/>
    <cellStyle name="Comma 5 9" xfId="19404" xr:uid="{00000000-0005-0000-0000-0000B14B0000}"/>
    <cellStyle name="Comma 6" xfId="19405" xr:uid="{00000000-0005-0000-0000-0000B24B0000}"/>
    <cellStyle name="Comma 6 10" xfId="19406" xr:uid="{00000000-0005-0000-0000-0000B34B0000}"/>
    <cellStyle name="Comma 6 11" xfId="19407" xr:uid="{00000000-0005-0000-0000-0000B44B0000}"/>
    <cellStyle name="Comma 6 2" xfId="19408" xr:uid="{00000000-0005-0000-0000-0000B54B0000}"/>
    <cellStyle name="Comma 6 2 2" xfId="19409" xr:uid="{00000000-0005-0000-0000-0000B64B0000}"/>
    <cellStyle name="Comma 6 3" xfId="19410" xr:uid="{00000000-0005-0000-0000-0000B74B0000}"/>
    <cellStyle name="Comma 6 3 2" xfId="19411" xr:uid="{00000000-0005-0000-0000-0000B84B0000}"/>
    <cellStyle name="Comma 6 4" xfId="19412" xr:uid="{00000000-0005-0000-0000-0000B94B0000}"/>
    <cellStyle name="Comma 6 4 2" xfId="19413" xr:uid="{00000000-0005-0000-0000-0000BA4B0000}"/>
    <cellStyle name="Comma 6 5" xfId="19414" xr:uid="{00000000-0005-0000-0000-0000BB4B0000}"/>
    <cellStyle name="Comma 6 5 2" xfId="19415" xr:uid="{00000000-0005-0000-0000-0000BC4B0000}"/>
    <cellStyle name="Comma 6 6" xfId="19416" xr:uid="{00000000-0005-0000-0000-0000BD4B0000}"/>
    <cellStyle name="Comma 6 6 2" xfId="19417" xr:uid="{00000000-0005-0000-0000-0000BE4B0000}"/>
    <cellStyle name="Comma 6 7" xfId="19418" xr:uid="{00000000-0005-0000-0000-0000BF4B0000}"/>
    <cellStyle name="Comma 6 8" xfId="19419" xr:uid="{00000000-0005-0000-0000-0000C04B0000}"/>
    <cellStyle name="Comma 6 9" xfId="19420" xr:uid="{00000000-0005-0000-0000-0000C14B0000}"/>
    <cellStyle name="Comma 7" xfId="19421" xr:uid="{00000000-0005-0000-0000-0000C24B0000}"/>
    <cellStyle name="Comma 7 2" xfId="19422" xr:uid="{00000000-0005-0000-0000-0000C34B0000}"/>
    <cellStyle name="Comma 8" xfId="19423" xr:uid="{00000000-0005-0000-0000-0000C44B0000}"/>
    <cellStyle name="Comma 8 2" xfId="19424" xr:uid="{00000000-0005-0000-0000-0000C54B0000}"/>
    <cellStyle name="Comma 9" xfId="19425" xr:uid="{00000000-0005-0000-0000-0000C64B0000}"/>
    <cellStyle name="Comma 9 2" xfId="19426" xr:uid="{00000000-0005-0000-0000-0000C74B0000}"/>
    <cellStyle name="Comma Cents" xfId="19427" xr:uid="{00000000-0005-0000-0000-0000C84B0000}"/>
    <cellStyle name="Comma Cents 2" xfId="19428" xr:uid="{00000000-0005-0000-0000-0000C94B0000}"/>
    <cellStyle name="Comma*" xfId="19429" xr:uid="{00000000-0005-0000-0000-0000CA4B0000}"/>
    <cellStyle name="Comma, 0 Dec, Parens, Zero -" xfId="19430" xr:uid="{00000000-0005-0000-0000-0000CB4B0000}"/>
    <cellStyle name="Comma[0]" xfId="19431" xr:uid="{00000000-0005-0000-0000-0000CC4B0000}"/>
    <cellStyle name="Comma[2]" xfId="19432" xr:uid="{00000000-0005-0000-0000-0000CD4B0000}"/>
    <cellStyle name="Comma_!!!GO" xfId="19433" xr:uid="{00000000-0005-0000-0000-0000CE4B0000}"/>
    <cellStyle name="Comma0" xfId="19434" xr:uid="{00000000-0005-0000-0000-0000CF4B0000}"/>
    <cellStyle name="Comma0 - Estilo3" xfId="19435" xr:uid="{00000000-0005-0000-0000-0000D04B0000}"/>
    <cellStyle name="Comma0 - Modelo1" xfId="19436" xr:uid="{00000000-0005-0000-0000-0000D14B0000}"/>
    <cellStyle name="Comma0 - Modelo1 10" xfId="19437" xr:uid="{00000000-0005-0000-0000-0000D24B0000}"/>
    <cellStyle name="Comma0 - Modelo1 11" xfId="19438" xr:uid="{00000000-0005-0000-0000-0000D34B0000}"/>
    <cellStyle name="Comma0 - Modelo1 12" xfId="19439" xr:uid="{00000000-0005-0000-0000-0000D44B0000}"/>
    <cellStyle name="Comma0 - Modelo1 2" xfId="19440" xr:uid="{00000000-0005-0000-0000-0000D54B0000}"/>
    <cellStyle name="Comma0 - Modelo1 3" xfId="19441" xr:uid="{00000000-0005-0000-0000-0000D64B0000}"/>
    <cellStyle name="Comma0 - Modelo1 4" xfId="19442" xr:uid="{00000000-0005-0000-0000-0000D74B0000}"/>
    <cellStyle name="Comma0 - Modelo1 5" xfId="19443" xr:uid="{00000000-0005-0000-0000-0000D84B0000}"/>
    <cellStyle name="Comma0 - Modelo1 6" xfId="19444" xr:uid="{00000000-0005-0000-0000-0000D94B0000}"/>
    <cellStyle name="Comma0 - Modelo1 7" xfId="19445" xr:uid="{00000000-0005-0000-0000-0000DA4B0000}"/>
    <cellStyle name="Comma0 - Modelo1 8" xfId="19446" xr:uid="{00000000-0005-0000-0000-0000DB4B0000}"/>
    <cellStyle name="Comma0 - Modelo1 9" xfId="19447" xr:uid="{00000000-0005-0000-0000-0000DC4B0000}"/>
    <cellStyle name="Comma0 - Style1" xfId="19448" xr:uid="{00000000-0005-0000-0000-0000DD4B0000}"/>
    <cellStyle name="Comma0 - Style1 10" xfId="19449" xr:uid="{00000000-0005-0000-0000-0000DE4B0000}"/>
    <cellStyle name="Comma0 - Style1 11" xfId="19450" xr:uid="{00000000-0005-0000-0000-0000DF4B0000}"/>
    <cellStyle name="Comma0 - Style1 12" xfId="19451" xr:uid="{00000000-0005-0000-0000-0000E04B0000}"/>
    <cellStyle name="Comma0 - Style1 2" xfId="19452" xr:uid="{00000000-0005-0000-0000-0000E14B0000}"/>
    <cellStyle name="Comma0 - Style1 3" xfId="19453" xr:uid="{00000000-0005-0000-0000-0000E24B0000}"/>
    <cellStyle name="Comma0 - Style1 4" xfId="19454" xr:uid="{00000000-0005-0000-0000-0000E34B0000}"/>
    <cellStyle name="Comma0 - Style1 5" xfId="19455" xr:uid="{00000000-0005-0000-0000-0000E44B0000}"/>
    <cellStyle name="Comma0 - Style1 6" xfId="19456" xr:uid="{00000000-0005-0000-0000-0000E54B0000}"/>
    <cellStyle name="Comma0 - Style1 7" xfId="19457" xr:uid="{00000000-0005-0000-0000-0000E64B0000}"/>
    <cellStyle name="Comma0 - Style1 8" xfId="19458" xr:uid="{00000000-0005-0000-0000-0000E74B0000}"/>
    <cellStyle name="Comma0 - Style1 9" xfId="19459" xr:uid="{00000000-0005-0000-0000-0000E84B0000}"/>
    <cellStyle name="Comma0 - Style2" xfId="19460" xr:uid="{00000000-0005-0000-0000-0000E94B0000}"/>
    <cellStyle name="Comma0 - Style3" xfId="19461" xr:uid="{00000000-0005-0000-0000-0000EA4B0000}"/>
    <cellStyle name="Comma0 10" xfId="19462" xr:uid="{00000000-0005-0000-0000-0000EB4B0000}"/>
    <cellStyle name="Comma0 11" xfId="19463" xr:uid="{00000000-0005-0000-0000-0000EC4B0000}"/>
    <cellStyle name="Comma0 12" xfId="19464" xr:uid="{00000000-0005-0000-0000-0000ED4B0000}"/>
    <cellStyle name="Comma0 13" xfId="19465" xr:uid="{00000000-0005-0000-0000-0000EE4B0000}"/>
    <cellStyle name="Comma0 14" xfId="19466" xr:uid="{00000000-0005-0000-0000-0000EF4B0000}"/>
    <cellStyle name="Comma0 15" xfId="19467" xr:uid="{00000000-0005-0000-0000-0000F04B0000}"/>
    <cellStyle name="Comma0 16" xfId="19468" xr:uid="{00000000-0005-0000-0000-0000F14B0000}"/>
    <cellStyle name="Comma0 17" xfId="19469" xr:uid="{00000000-0005-0000-0000-0000F24B0000}"/>
    <cellStyle name="Comma0 18" xfId="19470" xr:uid="{00000000-0005-0000-0000-0000F34B0000}"/>
    <cellStyle name="Comma0 19" xfId="19471" xr:uid="{00000000-0005-0000-0000-0000F44B0000}"/>
    <cellStyle name="Comma0 2" xfId="19472" xr:uid="{00000000-0005-0000-0000-0000F54B0000}"/>
    <cellStyle name="Comma0 20" xfId="19473" xr:uid="{00000000-0005-0000-0000-0000F64B0000}"/>
    <cellStyle name="Comma0 21" xfId="19474" xr:uid="{00000000-0005-0000-0000-0000F74B0000}"/>
    <cellStyle name="Comma0 22" xfId="19475" xr:uid="{00000000-0005-0000-0000-0000F84B0000}"/>
    <cellStyle name="Comma0 23" xfId="19476" xr:uid="{00000000-0005-0000-0000-0000F94B0000}"/>
    <cellStyle name="Comma0 24" xfId="19477" xr:uid="{00000000-0005-0000-0000-0000FA4B0000}"/>
    <cellStyle name="Comma0 25" xfId="19478" xr:uid="{00000000-0005-0000-0000-0000FB4B0000}"/>
    <cellStyle name="Comma0 26" xfId="19479" xr:uid="{00000000-0005-0000-0000-0000FC4B0000}"/>
    <cellStyle name="Comma0 27" xfId="19480" xr:uid="{00000000-0005-0000-0000-0000FD4B0000}"/>
    <cellStyle name="Comma0 28" xfId="19481" xr:uid="{00000000-0005-0000-0000-0000FE4B0000}"/>
    <cellStyle name="Comma0 29" xfId="19482" xr:uid="{00000000-0005-0000-0000-0000FF4B0000}"/>
    <cellStyle name="Comma0 3" xfId="19483" xr:uid="{00000000-0005-0000-0000-0000004C0000}"/>
    <cellStyle name="Comma0 30" xfId="19484" xr:uid="{00000000-0005-0000-0000-0000014C0000}"/>
    <cellStyle name="Comma0 31" xfId="19485" xr:uid="{00000000-0005-0000-0000-0000024C0000}"/>
    <cellStyle name="Comma0 32" xfId="19486" xr:uid="{00000000-0005-0000-0000-0000034C0000}"/>
    <cellStyle name="Comma0 33" xfId="19487" xr:uid="{00000000-0005-0000-0000-0000044C0000}"/>
    <cellStyle name="Comma0 34" xfId="19488" xr:uid="{00000000-0005-0000-0000-0000054C0000}"/>
    <cellStyle name="Comma0 35" xfId="19489" xr:uid="{00000000-0005-0000-0000-0000064C0000}"/>
    <cellStyle name="Comma0 36" xfId="19490" xr:uid="{00000000-0005-0000-0000-0000074C0000}"/>
    <cellStyle name="Comma0 37" xfId="19491" xr:uid="{00000000-0005-0000-0000-0000084C0000}"/>
    <cellStyle name="Comma0 38" xfId="19492" xr:uid="{00000000-0005-0000-0000-0000094C0000}"/>
    <cellStyle name="Comma0 4" xfId="19493" xr:uid="{00000000-0005-0000-0000-00000A4C0000}"/>
    <cellStyle name="Comma0 5" xfId="19494" xr:uid="{00000000-0005-0000-0000-00000B4C0000}"/>
    <cellStyle name="Comma0 6" xfId="19495" xr:uid="{00000000-0005-0000-0000-00000C4C0000}"/>
    <cellStyle name="Comma0 7" xfId="19496" xr:uid="{00000000-0005-0000-0000-00000D4C0000}"/>
    <cellStyle name="Comma0 8" xfId="19497" xr:uid="{00000000-0005-0000-0000-00000E4C0000}"/>
    <cellStyle name="Comma0 9" xfId="19498" xr:uid="{00000000-0005-0000-0000-00000F4C0000}"/>
    <cellStyle name="Comma0_09 2007 EEFF (Tomo II)" xfId="19499" xr:uid="{00000000-0005-0000-0000-0000104C0000}"/>
    <cellStyle name="Comma1" xfId="19500" xr:uid="{00000000-0005-0000-0000-0000114C0000}"/>
    <cellStyle name="Comma1 - Estilo1" xfId="19501" xr:uid="{00000000-0005-0000-0000-0000124C0000}"/>
    <cellStyle name="Comma1 - Modelo2" xfId="19502" xr:uid="{00000000-0005-0000-0000-0000134C0000}"/>
    <cellStyle name="Comma1 - Modelo2 10" xfId="19503" xr:uid="{00000000-0005-0000-0000-0000144C0000}"/>
    <cellStyle name="Comma1 - Modelo2 11" xfId="19504" xr:uid="{00000000-0005-0000-0000-0000154C0000}"/>
    <cellStyle name="Comma1 - Modelo2 12" xfId="19505" xr:uid="{00000000-0005-0000-0000-0000164C0000}"/>
    <cellStyle name="Comma1 - Modelo2 2" xfId="19506" xr:uid="{00000000-0005-0000-0000-0000174C0000}"/>
    <cellStyle name="Comma1 - Modelo2 3" xfId="19507" xr:uid="{00000000-0005-0000-0000-0000184C0000}"/>
    <cellStyle name="Comma1 - Modelo2 4" xfId="19508" xr:uid="{00000000-0005-0000-0000-0000194C0000}"/>
    <cellStyle name="Comma1 - Modelo2 5" xfId="19509" xr:uid="{00000000-0005-0000-0000-00001A4C0000}"/>
    <cellStyle name="Comma1 - Modelo2 6" xfId="19510" xr:uid="{00000000-0005-0000-0000-00001B4C0000}"/>
    <cellStyle name="Comma1 - Modelo2 7" xfId="19511" xr:uid="{00000000-0005-0000-0000-00001C4C0000}"/>
    <cellStyle name="Comma1 - Modelo2 8" xfId="19512" xr:uid="{00000000-0005-0000-0000-00001D4C0000}"/>
    <cellStyle name="Comma1 - Modelo2 9" xfId="19513" xr:uid="{00000000-0005-0000-0000-00001E4C0000}"/>
    <cellStyle name="Comma1 - Style1" xfId="19514" xr:uid="{00000000-0005-0000-0000-00001F4C0000}"/>
    <cellStyle name="Comma1 - Style2" xfId="19515" xr:uid="{00000000-0005-0000-0000-0000204C0000}"/>
    <cellStyle name="Comma1 - Style2 10" xfId="19516" xr:uid="{00000000-0005-0000-0000-0000214C0000}"/>
    <cellStyle name="Comma1 - Style2 11" xfId="19517" xr:uid="{00000000-0005-0000-0000-0000224C0000}"/>
    <cellStyle name="Comma1 - Style2 12" xfId="19518" xr:uid="{00000000-0005-0000-0000-0000234C0000}"/>
    <cellStyle name="Comma1 - Style2 2" xfId="19519" xr:uid="{00000000-0005-0000-0000-0000244C0000}"/>
    <cellStyle name="Comma1 - Style2 3" xfId="19520" xr:uid="{00000000-0005-0000-0000-0000254C0000}"/>
    <cellStyle name="Comma1 - Style2 4" xfId="19521" xr:uid="{00000000-0005-0000-0000-0000264C0000}"/>
    <cellStyle name="Comma1 - Style2 5" xfId="19522" xr:uid="{00000000-0005-0000-0000-0000274C0000}"/>
    <cellStyle name="Comma1 - Style2 6" xfId="19523" xr:uid="{00000000-0005-0000-0000-0000284C0000}"/>
    <cellStyle name="Comma1 - Style2 7" xfId="19524" xr:uid="{00000000-0005-0000-0000-0000294C0000}"/>
    <cellStyle name="Comma1 - Style2 8" xfId="19525" xr:uid="{00000000-0005-0000-0000-00002A4C0000}"/>
    <cellStyle name="Comma1 - Style2 9" xfId="19526" xr:uid="{00000000-0005-0000-0000-00002B4C0000}"/>
    <cellStyle name="Comma1_Del Sur Stand Alone Valuation  v17 (All Scenarios)" xfId="19527" xr:uid="{00000000-0005-0000-0000-00002C4C0000}"/>
    <cellStyle name="CompanyTitle" xfId="19528" xr:uid="{00000000-0005-0000-0000-00002D4C0000}"/>
    <cellStyle name="Comps - Comma" xfId="19529" xr:uid="{00000000-0005-0000-0000-00002E4C0000}"/>
    <cellStyle name="Comps - Comma 2" xfId="19530" xr:uid="{00000000-0005-0000-0000-00002F4C0000}"/>
    <cellStyle name="Comps - Percent" xfId="19531" xr:uid="{00000000-0005-0000-0000-0000304C0000}"/>
    <cellStyle name="Comps - Percent 2" xfId="19532" xr:uid="{00000000-0005-0000-0000-0000314C0000}"/>
    <cellStyle name="convenio" xfId="19533" xr:uid="{00000000-0005-0000-0000-0000324C0000}"/>
    <cellStyle name="convenio 2" xfId="19534" xr:uid="{00000000-0005-0000-0000-0000334C0000}"/>
    <cellStyle name="convenio 3" xfId="19535" xr:uid="{00000000-0005-0000-0000-0000344C0000}"/>
    <cellStyle name="Copied" xfId="19536" xr:uid="{00000000-0005-0000-0000-0000354C0000}"/>
    <cellStyle name="Copied 10" xfId="19537" xr:uid="{00000000-0005-0000-0000-0000364C0000}"/>
    <cellStyle name="Copied 11" xfId="19538" xr:uid="{00000000-0005-0000-0000-0000374C0000}"/>
    <cellStyle name="Copied 12" xfId="19539" xr:uid="{00000000-0005-0000-0000-0000384C0000}"/>
    <cellStyle name="Copied 13" xfId="19540" xr:uid="{00000000-0005-0000-0000-0000394C0000}"/>
    <cellStyle name="Copied 14" xfId="19541" xr:uid="{00000000-0005-0000-0000-00003A4C0000}"/>
    <cellStyle name="Copied 15" xfId="19542" xr:uid="{00000000-0005-0000-0000-00003B4C0000}"/>
    <cellStyle name="Copied 16" xfId="19543" xr:uid="{00000000-0005-0000-0000-00003C4C0000}"/>
    <cellStyle name="Copied 17" xfId="19544" xr:uid="{00000000-0005-0000-0000-00003D4C0000}"/>
    <cellStyle name="Copied 18" xfId="19545" xr:uid="{00000000-0005-0000-0000-00003E4C0000}"/>
    <cellStyle name="Copied 19" xfId="19546" xr:uid="{00000000-0005-0000-0000-00003F4C0000}"/>
    <cellStyle name="Copied 2" xfId="19547" xr:uid="{00000000-0005-0000-0000-0000404C0000}"/>
    <cellStyle name="Copied 20" xfId="19548" xr:uid="{00000000-0005-0000-0000-0000414C0000}"/>
    <cellStyle name="Copied 21" xfId="19549" xr:uid="{00000000-0005-0000-0000-0000424C0000}"/>
    <cellStyle name="Copied 22" xfId="19550" xr:uid="{00000000-0005-0000-0000-0000434C0000}"/>
    <cellStyle name="Copied 23" xfId="19551" xr:uid="{00000000-0005-0000-0000-0000444C0000}"/>
    <cellStyle name="Copied 24" xfId="19552" xr:uid="{00000000-0005-0000-0000-0000454C0000}"/>
    <cellStyle name="Copied 25" xfId="19553" xr:uid="{00000000-0005-0000-0000-0000464C0000}"/>
    <cellStyle name="Copied 26" xfId="19554" xr:uid="{00000000-0005-0000-0000-0000474C0000}"/>
    <cellStyle name="Copied 27" xfId="19555" xr:uid="{00000000-0005-0000-0000-0000484C0000}"/>
    <cellStyle name="Copied 28" xfId="19556" xr:uid="{00000000-0005-0000-0000-0000494C0000}"/>
    <cellStyle name="Copied 29" xfId="19557" xr:uid="{00000000-0005-0000-0000-00004A4C0000}"/>
    <cellStyle name="Copied 3" xfId="19558" xr:uid="{00000000-0005-0000-0000-00004B4C0000}"/>
    <cellStyle name="Copied 30" xfId="19559" xr:uid="{00000000-0005-0000-0000-00004C4C0000}"/>
    <cellStyle name="Copied 31" xfId="19560" xr:uid="{00000000-0005-0000-0000-00004D4C0000}"/>
    <cellStyle name="Copied 32" xfId="19561" xr:uid="{00000000-0005-0000-0000-00004E4C0000}"/>
    <cellStyle name="Copied 33" xfId="19562" xr:uid="{00000000-0005-0000-0000-00004F4C0000}"/>
    <cellStyle name="Copied 34" xfId="19563" xr:uid="{00000000-0005-0000-0000-0000504C0000}"/>
    <cellStyle name="Copied 35" xfId="19564" xr:uid="{00000000-0005-0000-0000-0000514C0000}"/>
    <cellStyle name="Copied 36" xfId="19565" xr:uid="{00000000-0005-0000-0000-0000524C0000}"/>
    <cellStyle name="Copied 37" xfId="19566" xr:uid="{00000000-0005-0000-0000-0000534C0000}"/>
    <cellStyle name="Copied 38" xfId="19567" xr:uid="{00000000-0005-0000-0000-0000544C0000}"/>
    <cellStyle name="Copied 39" xfId="19568" xr:uid="{00000000-0005-0000-0000-0000554C0000}"/>
    <cellStyle name="Copied 4" xfId="19569" xr:uid="{00000000-0005-0000-0000-0000564C0000}"/>
    <cellStyle name="Copied 5" xfId="19570" xr:uid="{00000000-0005-0000-0000-0000574C0000}"/>
    <cellStyle name="Copied 6" xfId="19571" xr:uid="{00000000-0005-0000-0000-0000584C0000}"/>
    <cellStyle name="Copied 7" xfId="19572" xr:uid="{00000000-0005-0000-0000-0000594C0000}"/>
    <cellStyle name="Copied 8" xfId="19573" xr:uid="{00000000-0005-0000-0000-00005A4C0000}"/>
    <cellStyle name="Copied 9" xfId="19574" xr:uid="{00000000-0005-0000-0000-00005B4C0000}"/>
    <cellStyle name="CopyrightRow" xfId="19575" xr:uid="{00000000-0005-0000-0000-00005C4C0000}"/>
    <cellStyle name="COST1" xfId="19576" xr:uid="{00000000-0005-0000-0000-00005D4C0000}"/>
    <cellStyle name="COST1 10" xfId="19577" xr:uid="{00000000-0005-0000-0000-00005E4C0000}"/>
    <cellStyle name="COST1 11" xfId="19578" xr:uid="{00000000-0005-0000-0000-00005F4C0000}"/>
    <cellStyle name="COST1 12" xfId="19579" xr:uid="{00000000-0005-0000-0000-0000604C0000}"/>
    <cellStyle name="COST1 13" xfId="19580" xr:uid="{00000000-0005-0000-0000-0000614C0000}"/>
    <cellStyle name="COST1 14" xfId="19581" xr:uid="{00000000-0005-0000-0000-0000624C0000}"/>
    <cellStyle name="COST1 15" xfId="19582" xr:uid="{00000000-0005-0000-0000-0000634C0000}"/>
    <cellStyle name="COST1 16" xfId="19583" xr:uid="{00000000-0005-0000-0000-0000644C0000}"/>
    <cellStyle name="COST1 17" xfId="19584" xr:uid="{00000000-0005-0000-0000-0000654C0000}"/>
    <cellStyle name="COST1 18" xfId="19585" xr:uid="{00000000-0005-0000-0000-0000664C0000}"/>
    <cellStyle name="COST1 19" xfId="19586" xr:uid="{00000000-0005-0000-0000-0000674C0000}"/>
    <cellStyle name="COST1 2" xfId="19587" xr:uid="{00000000-0005-0000-0000-0000684C0000}"/>
    <cellStyle name="COST1 20" xfId="19588" xr:uid="{00000000-0005-0000-0000-0000694C0000}"/>
    <cellStyle name="COST1 21" xfId="19589" xr:uid="{00000000-0005-0000-0000-00006A4C0000}"/>
    <cellStyle name="COST1 22" xfId="19590" xr:uid="{00000000-0005-0000-0000-00006B4C0000}"/>
    <cellStyle name="COST1 23" xfId="19591" xr:uid="{00000000-0005-0000-0000-00006C4C0000}"/>
    <cellStyle name="COST1 24" xfId="19592" xr:uid="{00000000-0005-0000-0000-00006D4C0000}"/>
    <cellStyle name="COST1 25" xfId="19593" xr:uid="{00000000-0005-0000-0000-00006E4C0000}"/>
    <cellStyle name="COST1 26" xfId="19594" xr:uid="{00000000-0005-0000-0000-00006F4C0000}"/>
    <cellStyle name="COST1 27" xfId="19595" xr:uid="{00000000-0005-0000-0000-0000704C0000}"/>
    <cellStyle name="COST1 28" xfId="19596" xr:uid="{00000000-0005-0000-0000-0000714C0000}"/>
    <cellStyle name="COST1 29" xfId="19597" xr:uid="{00000000-0005-0000-0000-0000724C0000}"/>
    <cellStyle name="COST1 3" xfId="19598" xr:uid="{00000000-0005-0000-0000-0000734C0000}"/>
    <cellStyle name="COST1 30" xfId="19599" xr:uid="{00000000-0005-0000-0000-0000744C0000}"/>
    <cellStyle name="COST1 31" xfId="19600" xr:uid="{00000000-0005-0000-0000-0000754C0000}"/>
    <cellStyle name="COST1 32" xfId="19601" xr:uid="{00000000-0005-0000-0000-0000764C0000}"/>
    <cellStyle name="COST1 33" xfId="19602" xr:uid="{00000000-0005-0000-0000-0000774C0000}"/>
    <cellStyle name="COST1 34" xfId="19603" xr:uid="{00000000-0005-0000-0000-0000784C0000}"/>
    <cellStyle name="COST1 35" xfId="19604" xr:uid="{00000000-0005-0000-0000-0000794C0000}"/>
    <cellStyle name="COST1 36" xfId="19605" xr:uid="{00000000-0005-0000-0000-00007A4C0000}"/>
    <cellStyle name="COST1 37" xfId="19606" xr:uid="{00000000-0005-0000-0000-00007B4C0000}"/>
    <cellStyle name="COST1 38" xfId="19607" xr:uid="{00000000-0005-0000-0000-00007C4C0000}"/>
    <cellStyle name="COST1 39" xfId="19608" xr:uid="{00000000-0005-0000-0000-00007D4C0000}"/>
    <cellStyle name="COST1 4" xfId="19609" xr:uid="{00000000-0005-0000-0000-00007E4C0000}"/>
    <cellStyle name="COST1 5" xfId="19610" xr:uid="{00000000-0005-0000-0000-00007F4C0000}"/>
    <cellStyle name="COST1 6" xfId="19611" xr:uid="{00000000-0005-0000-0000-0000804C0000}"/>
    <cellStyle name="COST1 7" xfId="19612" xr:uid="{00000000-0005-0000-0000-0000814C0000}"/>
    <cellStyle name="COST1 8" xfId="19613" xr:uid="{00000000-0005-0000-0000-0000824C0000}"/>
    <cellStyle name="COST1 9" xfId="19614" xr:uid="{00000000-0005-0000-0000-0000834C0000}"/>
    <cellStyle name="Cuadro 1" xfId="19615" xr:uid="{00000000-0005-0000-0000-0000844C0000}"/>
    <cellStyle name="Cuadro 2" xfId="19616" xr:uid="{00000000-0005-0000-0000-0000854C0000}"/>
    <cellStyle name="Curren - Style2" xfId="19617" xr:uid="{00000000-0005-0000-0000-0000864C0000}"/>
    <cellStyle name="Curren - Style4" xfId="19618" xr:uid="{00000000-0005-0000-0000-0000874C0000}"/>
    <cellStyle name="Currency" xfId="19619" xr:uid="{00000000-0005-0000-0000-0000884C0000}"/>
    <cellStyle name="Currency - Pounds" xfId="19620" xr:uid="{00000000-0005-0000-0000-0000894C0000}"/>
    <cellStyle name="Currency - Pounds 2" xfId="19621" xr:uid="{00000000-0005-0000-0000-00008A4C0000}"/>
    <cellStyle name="Currency $" xfId="19622" xr:uid="{00000000-0005-0000-0000-00008B4C0000}"/>
    <cellStyle name="Currency $ 2" xfId="19623" xr:uid="{00000000-0005-0000-0000-00008C4C0000}"/>
    <cellStyle name="Currency (0)" xfId="19624" xr:uid="{00000000-0005-0000-0000-00008D4C0000}"/>
    <cellStyle name="Currency (0) -" xfId="19625" xr:uid="{00000000-0005-0000-0000-00008E4C0000}"/>
    <cellStyle name="Currency (0) 10" xfId="19626" xr:uid="{00000000-0005-0000-0000-00008F4C0000}"/>
    <cellStyle name="Currency (0) 11" xfId="19627" xr:uid="{00000000-0005-0000-0000-0000904C0000}"/>
    <cellStyle name="Currency (0) 12" xfId="19628" xr:uid="{00000000-0005-0000-0000-0000914C0000}"/>
    <cellStyle name="Currency (0) 13" xfId="19629" xr:uid="{00000000-0005-0000-0000-0000924C0000}"/>
    <cellStyle name="Currency (0) 14" xfId="19630" xr:uid="{00000000-0005-0000-0000-0000934C0000}"/>
    <cellStyle name="Currency (0) 15" xfId="19631" xr:uid="{00000000-0005-0000-0000-0000944C0000}"/>
    <cellStyle name="Currency (0) 16" xfId="19632" xr:uid="{00000000-0005-0000-0000-0000954C0000}"/>
    <cellStyle name="Currency (0) 17" xfId="19633" xr:uid="{00000000-0005-0000-0000-0000964C0000}"/>
    <cellStyle name="Currency (0) 18" xfId="19634" xr:uid="{00000000-0005-0000-0000-0000974C0000}"/>
    <cellStyle name="Currency (0) 19" xfId="19635" xr:uid="{00000000-0005-0000-0000-0000984C0000}"/>
    <cellStyle name="Currency (0) 2" xfId="19636" xr:uid="{00000000-0005-0000-0000-0000994C0000}"/>
    <cellStyle name="Currency (0) 20" xfId="19637" xr:uid="{00000000-0005-0000-0000-00009A4C0000}"/>
    <cellStyle name="Currency (0) 21" xfId="19638" xr:uid="{00000000-0005-0000-0000-00009B4C0000}"/>
    <cellStyle name="Currency (0) 22" xfId="19639" xr:uid="{00000000-0005-0000-0000-00009C4C0000}"/>
    <cellStyle name="Currency (0) 23" xfId="19640" xr:uid="{00000000-0005-0000-0000-00009D4C0000}"/>
    <cellStyle name="Currency (0) 24" xfId="19641" xr:uid="{00000000-0005-0000-0000-00009E4C0000}"/>
    <cellStyle name="Currency (0) 25" xfId="19642" xr:uid="{00000000-0005-0000-0000-00009F4C0000}"/>
    <cellStyle name="Currency (0) 26" xfId="19643" xr:uid="{00000000-0005-0000-0000-0000A04C0000}"/>
    <cellStyle name="Currency (0) 27" xfId="19644" xr:uid="{00000000-0005-0000-0000-0000A14C0000}"/>
    <cellStyle name="Currency (0) 28" xfId="19645" xr:uid="{00000000-0005-0000-0000-0000A24C0000}"/>
    <cellStyle name="Currency (0) 29" xfId="19646" xr:uid="{00000000-0005-0000-0000-0000A34C0000}"/>
    <cellStyle name="Currency (0) 3" xfId="19647" xr:uid="{00000000-0005-0000-0000-0000A44C0000}"/>
    <cellStyle name="Currency (0) 30" xfId="19648" xr:uid="{00000000-0005-0000-0000-0000A54C0000}"/>
    <cellStyle name="Currency (0) 31" xfId="19649" xr:uid="{00000000-0005-0000-0000-0000A64C0000}"/>
    <cellStyle name="Currency (0) 32" xfId="19650" xr:uid="{00000000-0005-0000-0000-0000A74C0000}"/>
    <cellStyle name="Currency (0) 33" xfId="19651" xr:uid="{00000000-0005-0000-0000-0000A84C0000}"/>
    <cellStyle name="Currency (0) 34" xfId="19652" xr:uid="{00000000-0005-0000-0000-0000A94C0000}"/>
    <cellStyle name="Currency (0) 35" xfId="19653" xr:uid="{00000000-0005-0000-0000-0000AA4C0000}"/>
    <cellStyle name="Currency (0) 36" xfId="19654" xr:uid="{00000000-0005-0000-0000-0000AB4C0000}"/>
    <cellStyle name="Currency (0) 37" xfId="19655" xr:uid="{00000000-0005-0000-0000-0000AC4C0000}"/>
    <cellStyle name="Currency (0) 38" xfId="19656" xr:uid="{00000000-0005-0000-0000-0000AD4C0000}"/>
    <cellStyle name="Currency (0) 39" xfId="19657" xr:uid="{00000000-0005-0000-0000-0000AE4C0000}"/>
    <cellStyle name="Currency (0) 4" xfId="19658" xr:uid="{00000000-0005-0000-0000-0000AF4C0000}"/>
    <cellStyle name="Currency (0) 5" xfId="19659" xr:uid="{00000000-0005-0000-0000-0000B04C0000}"/>
    <cellStyle name="Currency (0) 6" xfId="19660" xr:uid="{00000000-0005-0000-0000-0000B14C0000}"/>
    <cellStyle name="Currency (0) 7" xfId="19661" xr:uid="{00000000-0005-0000-0000-0000B24C0000}"/>
    <cellStyle name="Currency (0) 8" xfId="19662" xr:uid="{00000000-0005-0000-0000-0000B34C0000}"/>
    <cellStyle name="Currency (0) 9" xfId="19663" xr:uid="{00000000-0005-0000-0000-0000B44C0000}"/>
    <cellStyle name="Currency (0) incl." xfId="19664" xr:uid="{00000000-0005-0000-0000-0000B54C0000}"/>
    <cellStyle name="Currency (0) incl. 2" xfId="19665" xr:uid="{00000000-0005-0000-0000-0000B64C0000}"/>
    <cellStyle name="Currency (0) N/A" xfId="19666" xr:uid="{00000000-0005-0000-0000-0000B74C0000}"/>
    <cellStyle name="Currency (0) N/A 2" xfId="19667" xr:uid="{00000000-0005-0000-0000-0000B84C0000}"/>
    <cellStyle name="Currency (0) TBD" xfId="19668" xr:uid="{00000000-0005-0000-0000-0000B94C0000}"/>
    <cellStyle name="Currency (0) TBD-" xfId="19669" xr:uid="{00000000-0005-0000-0000-0000BA4C0000}"/>
    <cellStyle name="Currency (0) TBD- 2" xfId="19670" xr:uid="{00000000-0005-0000-0000-0000BB4C0000}"/>
    <cellStyle name="Currency (2)" xfId="19671" xr:uid="{00000000-0005-0000-0000-0000BC4C0000}"/>
    <cellStyle name="Currency (2) 10" xfId="19672" xr:uid="{00000000-0005-0000-0000-0000BD4C0000}"/>
    <cellStyle name="Currency (2) 11" xfId="19673" xr:uid="{00000000-0005-0000-0000-0000BE4C0000}"/>
    <cellStyle name="Currency (2) 12" xfId="19674" xr:uid="{00000000-0005-0000-0000-0000BF4C0000}"/>
    <cellStyle name="Currency (2) 13" xfId="19675" xr:uid="{00000000-0005-0000-0000-0000C04C0000}"/>
    <cellStyle name="Currency (2) 14" xfId="19676" xr:uid="{00000000-0005-0000-0000-0000C14C0000}"/>
    <cellStyle name="Currency (2) 15" xfId="19677" xr:uid="{00000000-0005-0000-0000-0000C24C0000}"/>
    <cellStyle name="Currency (2) 16" xfId="19678" xr:uid="{00000000-0005-0000-0000-0000C34C0000}"/>
    <cellStyle name="Currency (2) 17" xfId="19679" xr:uid="{00000000-0005-0000-0000-0000C44C0000}"/>
    <cellStyle name="Currency (2) 18" xfId="19680" xr:uid="{00000000-0005-0000-0000-0000C54C0000}"/>
    <cellStyle name="Currency (2) 19" xfId="19681" xr:uid="{00000000-0005-0000-0000-0000C64C0000}"/>
    <cellStyle name="Currency (2) 2" xfId="19682" xr:uid="{00000000-0005-0000-0000-0000C74C0000}"/>
    <cellStyle name="Currency (2) 20" xfId="19683" xr:uid="{00000000-0005-0000-0000-0000C84C0000}"/>
    <cellStyle name="Currency (2) 21" xfId="19684" xr:uid="{00000000-0005-0000-0000-0000C94C0000}"/>
    <cellStyle name="Currency (2) 22" xfId="19685" xr:uid="{00000000-0005-0000-0000-0000CA4C0000}"/>
    <cellStyle name="Currency (2) 23" xfId="19686" xr:uid="{00000000-0005-0000-0000-0000CB4C0000}"/>
    <cellStyle name="Currency (2) 24" xfId="19687" xr:uid="{00000000-0005-0000-0000-0000CC4C0000}"/>
    <cellStyle name="Currency (2) 25" xfId="19688" xr:uid="{00000000-0005-0000-0000-0000CD4C0000}"/>
    <cellStyle name="Currency (2) 26" xfId="19689" xr:uid="{00000000-0005-0000-0000-0000CE4C0000}"/>
    <cellStyle name="Currency (2) 27" xfId="19690" xr:uid="{00000000-0005-0000-0000-0000CF4C0000}"/>
    <cellStyle name="Currency (2) 28" xfId="19691" xr:uid="{00000000-0005-0000-0000-0000D04C0000}"/>
    <cellStyle name="Currency (2) 29" xfId="19692" xr:uid="{00000000-0005-0000-0000-0000D14C0000}"/>
    <cellStyle name="Currency (2) 3" xfId="19693" xr:uid="{00000000-0005-0000-0000-0000D24C0000}"/>
    <cellStyle name="Currency (2) 30" xfId="19694" xr:uid="{00000000-0005-0000-0000-0000D34C0000}"/>
    <cellStyle name="Currency (2) 31" xfId="19695" xr:uid="{00000000-0005-0000-0000-0000D44C0000}"/>
    <cellStyle name="Currency (2) 32" xfId="19696" xr:uid="{00000000-0005-0000-0000-0000D54C0000}"/>
    <cellStyle name="Currency (2) 33" xfId="19697" xr:uid="{00000000-0005-0000-0000-0000D64C0000}"/>
    <cellStyle name="Currency (2) 34" xfId="19698" xr:uid="{00000000-0005-0000-0000-0000D74C0000}"/>
    <cellStyle name="Currency (2) 35" xfId="19699" xr:uid="{00000000-0005-0000-0000-0000D84C0000}"/>
    <cellStyle name="Currency (2) 36" xfId="19700" xr:uid="{00000000-0005-0000-0000-0000D94C0000}"/>
    <cellStyle name="Currency (2) 37" xfId="19701" xr:uid="{00000000-0005-0000-0000-0000DA4C0000}"/>
    <cellStyle name="Currency (2) 38" xfId="19702" xr:uid="{00000000-0005-0000-0000-0000DB4C0000}"/>
    <cellStyle name="Currency (2) 39" xfId="19703" xr:uid="{00000000-0005-0000-0000-0000DC4C0000}"/>
    <cellStyle name="Currency (2) 4" xfId="19704" xr:uid="{00000000-0005-0000-0000-0000DD4C0000}"/>
    <cellStyle name="Currency (2) 5" xfId="19705" xr:uid="{00000000-0005-0000-0000-0000DE4C0000}"/>
    <cellStyle name="Currency (2) 6" xfId="19706" xr:uid="{00000000-0005-0000-0000-0000DF4C0000}"/>
    <cellStyle name="Currency (2) 7" xfId="19707" xr:uid="{00000000-0005-0000-0000-0000E04C0000}"/>
    <cellStyle name="Currency (2) 8" xfId="19708" xr:uid="{00000000-0005-0000-0000-0000E14C0000}"/>
    <cellStyle name="Currency (2) 9" xfId="19709" xr:uid="{00000000-0005-0000-0000-0000E24C0000}"/>
    <cellStyle name="Currency [0,0]" xfId="19710" xr:uid="{00000000-0005-0000-0000-0000E34C0000}"/>
    <cellStyle name="Currency [0,0] -" xfId="19711" xr:uid="{00000000-0005-0000-0000-0000E44C0000}"/>
    <cellStyle name="Currency [0,0] incl." xfId="19712" xr:uid="{00000000-0005-0000-0000-0000E54C0000}"/>
    <cellStyle name="Currency [0,0] incl. 2" xfId="19713" xr:uid="{00000000-0005-0000-0000-0000E64C0000}"/>
    <cellStyle name="Currency [0,0] N/A" xfId="19714" xr:uid="{00000000-0005-0000-0000-0000E74C0000}"/>
    <cellStyle name="Currency [0,0] N/A 2" xfId="19715" xr:uid="{00000000-0005-0000-0000-0000E84C0000}"/>
    <cellStyle name="Currency [0,0] TBD" xfId="19716" xr:uid="{00000000-0005-0000-0000-0000E94C0000}"/>
    <cellStyle name="Currency [0,0] TBD-" xfId="19717" xr:uid="{00000000-0005-0000-0000-0000EA4C0000}"/>
    <cellStyle name="Currency [0,0] TBD- 2" xfId="19718" xr:uid="{00000000-0005-0000-0000-0000EB4C0000}"/>
    <cellStyle name="Currency [0,00]" xfId="19719" xr:uid="{00000000-0005-0000-0000-0000EC4C0000}"/>
    <cellStyle name="Currency [0,00] -" xfId="19720" xr:uid="{00000000-0005-0000-0000-0000ED4C0000}"/>
    <cellStyle name="Currency [0,00] - 2" xfId="19721" xr:uid="{00000000-0005-0000-0000-0000EE4C0000}"/>
    <cellStyle name="Currency [0,00] 2" xfId="19722" xr:uid="{00000000-0005-0000-0000-0000EF4C0000}"/>
    <cellStyle name="Currency [0,00] 3" xfId="19723" xr:uid="{00000000-0005-0000-0000-0000F04C0000}"/>
    <cellStyle name="Currency [0,00] 4" xfId="19724" xr:uid="{00000000-0005-0000-0000-0000F14C0000}"/>
    <cellStyle name="Currency [0,00] 5" xfId="19725" xr:uid="{00000000-0005-0000-0000-0000F24C0000}"/>
    <cellStyle name="Currency [0,00] 6" xfId="19726" xr:uid="{00000000-0005-0000-0000-0000F34C0000}"/>
    <cellStyle name="Currency [0,00] incl." xfId="19727" xr:uid="{00000000-0005-0000-0000-0000F44C0000}"/>
    <cellStyle name="Currency [0,00] incl. 2" xfId="19728" xr:uid="{00000000-0005-0000-0000-0000F54C0000}"/>
    <cellStyle name="Currency [0,00] N/A" xfId="19729" xr:uid="{00000000-0005-0000-0000-0000F64C0000}"/>
    <cellStyle name="Currency [0,00] N/A 2" xfId="19730" xr:uid="{00000000-0005-0000-0000-0000F74C0000}"/>
    <cellStyle name="Currency [0,00] TBD" xfId="19731" xr:uid="{00000000-0005-0000-0000-0000F84C0000}"/>
    <cellStyle name="Currency [0,00] TBD-" xfId="19732" xr:uid="{00000000-0005-0000-0000-0000F94C0000}"/>
    <cellStyle name="Currency [0,00] TBD 2" xfId="19733" xr:uid="{00000000-0005-0000-0000-0000FA4C0000}"/>
    <cellStyle name="Currency [0,00] TBD- 2" xfId="19734" xr:uid="{00000000-0005-0000-0000-0000FB4C0000}"/>
    <cellStyle name="Currency [0,00] TBD 3" xfId="19735" xr:uid="{00000000-0005-0000-0000-0000FC4C0000}"/>
    <cellStyle name="Currency [0,00] TBD- 3" xfId="19736" xr:uid="{00000000-0005-0000-0000-0000FD4C0000}"/>
    <cellStyle name="Currency [0,00] TBD 4" xfId="19737" xr:uid="{00000000-0005-0000-0000-0000FE4C0000}"/>
    <cellStyle name="Currency [0,00] TBD- 4" xfId="19738" xr:uid="{00000000-0005-0000-0000-0000FF4C0000}"/>
    <cellStyle name="Currency [0,00] TBD 5" xfId="19739" xr:uid="{00000000-0005-0000-0000-0000004D0000}"/>
    <cellStyle name="Currency [0,00] TBD- 5" xfId="19740" xr:uid="{00000000-0005-0000-0000-0000014D0000}"/>
    <cellStyle name="Currency [0,00] TBD 6" xfId="19741" xr:uid="{00000000-0005-0000-0000-0000024D0000}"/>
    <cellStyle name="Currency [0,00] TBD- 6" xfId="19742" xr:uid="{00000000-0005-0000-0000-0000034D0000}"/>
    <cellStyle name="Currency [0,00]_Europe Region" xfId="19743" xr:uid="{00000000-0005-0000-0000-0000044D0000}"/>
    <cellStyle name="Currency [0,000]" xfId="19744" xr:uid="{00000000-0005-0000-0000-0000054D0000}"/>
    <cellStyle name="Currency [0,000] -" xfId="19745" xr:uid="{00000000-0005-0000-0000-0000064D0000}"/>
    <cellStyle name="Currency [0,000] - 2" xfId="19746" xr:uid="{00000000-0005-0000-0000-0000074D0000}"/>
    <cellStyle name="Currency [0,000] 2" xfId="19747" xr:uid="{00000000-0005-0000-0000-0000084D0000}"/>
    <cellStyle name="Currency [0,000] 3" xfId="19748" xr:uid="{00000000-0005-0000-0000-0000094D0000}"/>
    <cellStyle name="Currency [0,000] 4" xfId="19749" xr:uid="{00000000-0005-0000-0000-00000A4D0000}"/>
    <cellStyle name="Currency [0,000] 5" xfId="19750" xr:uid="{00000000-0005-0000-0000-00000B4D0000}"/>
    <cellStyle name="Currency [0,000] 6" xfId="19751" xr:uid="{00000000-0005-0000-0000-00000C4D0000}"/>
    <cellStyle name="Currency [0,000] incl." xfId="19752" xr:uid="{00000000-0005-0000-0000-00000D4D0000}"/>
    <cellStyle name="Currency [0,000] incl. 2" xfId="19753" xr:uid="{00000000-0005-0000-0000-00000E4D0000}"/>
    <cellStyle name="Currency [0,000] N/A" xfId="19754" xr:uid="{00000000-0005-0000-0000-00000F4D0000}"/>
    <cellStyle name="Currency [0,000] N/A 2" xfId="19755" xr:uid="{00000000-0005-0000-0000-0000104D0000}"/>
    <cellStyle name="Currency [0,000] TBD" xfId="19756" xr:uid="{00000000-0005-0000-0000-0000114D0000}"/>
    <cellStyle name="Currency [0,000] TBD-" xfId="19757" xr:uid="{00000000-0005-0000-0000-0000124D0000}"/>
    <cellStyle name="Currency [0,000] TBD 2" xfId="19758" xr:uid="{00000000-0005-0000-0000-0000134D0000}"/>
    <cellStyle name="Currency [0,000] TBD- 2" xfId="19759" xr:uid="{00000000-0005-0000-0000-0000144D0000}"/>
    <cellStyle name="Currency [0,000] TBD 3" xfId="19760" xr:uid="{00000000-0005-0000-0000-0000154D0000}"/>
    <cellStyle name="Currency [0,000] TBD- 3" xfId="19761" xr:uid="{00000000-0005-0000-0000-0000164D0000}"/>
    <cellStyle name="Currency [0,000] TBD 4" xfId="19762" xr:uid="{00000000-0005-0000-0000-0000174D0000}"/>
    <cellStyle name="Currency [0,000] TBD- 4" xfId="19763" xr:uid="{00000000-0005-0000-0000-0000184D0000}"/>
    <cellStyle name="Currency [0,000] TBD 5" xfId="19764" xr:uid="{00000000-0005-0000-0000-0000194D0000}"/>
    <cellStyle name="Currency [0,000] TBD- 5" xfId="19765" xr:uid="{00000000-0005-0000-0000-00001A4D0000}"/>
    <cellStyle name="Currency [0,000] TBD 6" xfId="19766" xr:uid="{00000000-0005-0000-0000-00001B4D0000}"/>
    <cellStyle name="Currency [0,000] TBD- 6" xfId="19767" xr:uid="{00000000-0005-0000-0000-00001C4D0000}"/>
    <cellStyle name="Currency [0]" xfId="19768" xr:uid="{00000000-0005-0000-0000-00001D4D0000}"/>
    <cellStyle name="Currency [0] _FCG032A" xfId="19769" xr:uid="{00000000-0005-0000-0000-00001E4D0000}"/>
    <cellStyle name="Currency [0] 10" xfId="19770" xr:uid="{00000000-0005-0000-0000-00001F4D0000}"/>
    <cellStyle name="Currency [0] 2" xfId="19771" xr:uid="{00000000-0005-0000-0000-0000204D0000}"/>
    <cellStyle name="Currency [0] 2 10" xfId="19772" xr:uid="{00000000-0005-0000-0000-0000214D0000}"/>
    <cellStyle name="Currency [0] 2 10 10" xfId="19773" xr:uid="{00000000-0005-0000-0000-0000224D0000}"/>
    <cellStyle name="Currency [0] 2 10 11" xfId="19774" xr:uid="{00000000-0005-0000-0000-0000234D0000}"/>
    <cellStyle name="Currency [0] 2 10 12" xfId="19775" xr:uid="{00000000-0005-0000-0000-0000244D0000}"/>
    <cellStyle name="Currency [0] 2 10 13" xfId="19776" xr:uid="{00000000-0005-0000-0000-0000254D0000}"/>
    <cellStyle name="Currency [0] 2 10 14" xfId="19777" xr:uid="{00000000-0005-0000-0000-0000264D0000}"/>
    <cellStyle name="Currency [0] 2 10 15" xfId="19778" xr:uid="{00000000-0005-0000-0000-0000274D0000}"/>
    <cellStyle name="Currency [0] 2 10 16" xfId="19779" xr:uid="{00000000-0005-0000-0000-0000284D0000}"/>
    <cellStyle name="Currency [0] 2 10 17" xfId="19780" xr:uid="{00000000-0005-0000-0000-0000294D0000}"/>
    <cellStyle name="Currency [0] 2 10 18" xfId="19781" xr:uid="{00000000-0005-0000-0000-00002A4D0000}"/>
    <cellStyle name="Currency [0] 2 10 19" xfId="19782" xr:uid="{00000000-0005-0000-0000-00002B4D0000}"/>
    <cellStyle name="Currency [0] 2 10 2" xfId="19783" xr:uid="{00000000-0005-0000-0000-00002C4D0000}"/>
    <cellStyle name="Currency [0] 2 10 20" xfId="19784" xr:uid="{00000000-0005-0000-0000-00002D4D0000}"/>
    <cellStyle name="Currency [0] 2 10 21" xfId="19785" xr:uid="{00000000-0005-0000-0000-00002E4D0000}"/>
    <cellStyle name="Currency [0] 2 10 22" xfId="19786" xr:uid="{00000000-0005-0000-0000-00002F4D0000}"/>
    <cellStyle name="Currency [0] 2 10 23" xfId="19787" xr:uid="{00000000-0005-0000-0000-0000304D0000}"/>
    <cellStyle name="Currency [0] 2 10 24" xfId="19788" xr:uid="{00000000-0005-0000-0000-0000314D0000}"/>
    <cellStyle name="Currency [0] 2 10 25" xfId="19789" xr:uid="{00000000-0005-0000-0000-0000324D0000}"/>
    <cellStyle name="Currency [0] 2 10 26" xfId="19790" xr:uid="{00000000-0005-0000-0000-0000334D0000}"/>
    <cellStyle name="Currency [0] 2 10 27" xfId="19791" xr:uid="{00000000-0005-0000-0000-0000344D0000}"/>
    <cellStyle name="Currency [0] 2 10 28" xfId="19792" xr:uid="{00000000-0005-0000-0000-0000354D0000}"/>
    <cellStyle name="Currency [0] 2 10 29" xfId="19793" xr:uid="{00000000-0005-0000-0000-0000364D0000}"/>
    <cellStyle name="Currency [0] 2 10 3" xfId="19794" xr:uid="{00000000-0005-0000-0000-0000374D0000}"/>
    <cellStyle name="Currency [0] 2 10 30" xfId="19795" xr:uid="{00000000-0005-0000-0000-0000384D0000}"/>
    <cellStyle name="Currency [0] 2 10 31" xfId="19796" xr:uid="{00000000-0005-0000-0000-0000394D0000}"/>
    <cellStyle name="Currency [0] 2 10 32" xfId="19797" xr:uid="{00000000-0005-0000-0000-00003A4D0000}"/>
    <cellStyle name="Currency [0] 2 10 4" xfId="19798" xr:uid="{00000000-0005-0000-0000-00003B4D0000}"/>
    <cellStyle name="Currency [0] 2 10 5" xfId="19799" xr:uid="{00000000-0005-0000-0000-00003C4D0000}"/>
    <cellStyle name="Currency [0] 2 10 6" xfId="19800" xr:uid="{00000000-0005-0000-0000-00003D4D0000}"/>
    <cellStyle name="Currency [0] 2 10 7" xfId="19801" xr:uid="{00000000-0005-0000-0000-00003E4D0000}"/>
    <cellStyle name="Currency [0] 2 10 8" xfId="19802" xr:uid="{00000000-0005-0000-0000-00003F4D0000}"/>
    <cellStyle name="Currency [0] 2 10 9" xfId="19803" xr:uid="{00000000-0005-0000-0000-0000404D0000}"/>
    <cellStyle name="Currency [0] 2 11" xfId="19804" xr:uid="{00000000-0005-0000-0000-0000414D0000}"/>
    <cellStyle name="Currency [0] 2 11 10" xfId="19805" xr:uid="{00000000-0005-0000-0000-0000424D0000}"/>
    <cellStyle name="Currency [0] 2 11 11" xfId="19806" xr:uid="{00000000-0005-0000-0000-0000434D0000}"/>
    <cellStyle name="Currency [0] 2 11 12" xfId="19807" xr:uid="{00000000-0005-0000-0000-0000444D0000}"/>
    <cellStyle name="Currency [0] 2 11 13" xfId="19808" xr:uid="{00000000-0005-0000-0000-0000454D0000}"/>
    <cellStyle name="Currency [0] 2 11 14" xfId="19809" xr:uid="{00000000-0005-0000-0000-0000464D0000}"/>
    <cellStyle name="Currency [0] 2 11 15" xfId="19810" xr:uid="{00000000-0005-0000-0000-0000474D0000}"/>
    <cellStyle name="Currency [0] 2 11 16" xfId="19811" xr:uid="{00000000-0005-0000-0000-0000484D0000}"/>
    <cellStyle name="Currency [0] 2 11 17" xfId="19812" xr:uid="{00000000-0005-0000-0000-0000494D0000}"/>
    <cellStyle name="Currency [0] 2 11 18" xfId="19813" xr:uid="{00000000-0005-0000-0000-00004A4D0000}"/>
    <cellStyle name="Currency [0] 2 11 19" xfId="19814" xr:uid="{00000000-0005-0000-0000-00004B4D0000}"/>
    <cellStyle name="Currency [0] 2 11 2" xfId="19815" xr:uid="{00000000-0005-0000-0000-00004C4D0000}"/>
    <cellStyle name="Currency [0] 2 11 20" xfId="19816" xr:uid="{00000000-0005-0000-0000-00004D4D0000}"/>
    <cellStyle name="Currency [0] 2 11 21" xfId="19817" xr:uid="{00000000-0005-0000-0000-00004E4D0000}"/>
    <cellStyle name="Currency [0] 2 11 22" xfId="19818" xr:uid="{00000000-0005-0000-0000-00004F4D0000}"/>
    <cellStyle name="Currency [0] 2 11 23" xfId="19819" xr:uid="{00000000-0005-0000-0000-0000504D0000}"/>
    <cellStyle name="Currency [0] 2 11 24" xfId="19820" xr:uid="{00000000-0005-0000-0000-0000514D0000}"/>
    <cellStyle name="Currency [0] 2 11 25" xfId="19821" xr:uid="{00000000-0005-0000-0000-0000524D0000}"/>
    <cellStyle name="Currency [0] 2 11 26" xfId="19822" xr:uid="{00000000-0005-0000-0000-0000534D0000}"/>
    <cellStyle name="Currency [0] 2 11 27" xfId="19823" xr:uid="{00000000-0005-0000-0000-0000544D0000}"/>
    <cellStyle name="Currency [0] 2 11 28" xfId="19824" xr:uid="{00000000-0005-0000-0000-0000554D0000}"/>
    <cellStyle name="Currency [0] 2 11 29" xfId="19825" xr:uid="{00000000-0005-0000-0000-0000564D0000}"/>
    <cellStyle name="Currency [0] 2 11 3" xfId="19826" xr:uid="{00000000-0005-0000-0000-0000574D0000}"/>
    <cellStyle name="Currency [0] 2 11 30" xfId="19827" xr:uid="{00000000-0005-0000-0000-0000584D0000}"/>
    <cellStyle name="Currency [0] 2 11 31" xfId="19828" xr:uid="{00000000-0005-0000-0000-0000594D0000}"/>
    <cellStyle name="Currency [0] 2 11 32" xfId="19829" xr:uid="{00000000-0005-0000-0000-00005A4D0000}"/>
    <cellStyle name="Currency [0] 2 11 4" xfId="19830" xr:uid="{00000000-0005-0000-0000-00005B4D0000}"/>
    <cellStyle name="Currency [0] 2 11 5" xfId="19831" xr:uid="{00000000-0005-0000-0000-00005C4D0000}"/>
    <cellStyle name="Currency [0] 2 11 6" xfId="19832" xr:uid="{00000000-0005-0000-0000-00005D4D0000}"/>
    <cellStyle name="Currency [0] 2 11 7" xfId="19833" xr:uid="{00000000-0005-0000-0000-00005E4D0000}"/>
    <cellStyle name="Currency [0] 2 11 8" xfId="19834" xr:uid="{00000000-0005-0000-0000-00005F4D0000}"/>
    <cellStyle name="Currency [0] 2 11 9" xfId="19835" xr:uid="{00000000-0005-0000-0000-0000604D0000}"/>
    <cellStyle name="Currency [0] 2 12" xfId="19836" xr:uid="{00000000-0005-0000-0000-0000614D0000}"/>
    <cellStyle name="Currency [0] 2 12 10" xfId="19837" xr:uid="{00000000-0005-0000-0000-0000624D0000}"/>
    <cellStyle name="Currency [0] 2 12 11" xfId="19838" xr:uid="{00000000-0005-0000-0000-0000634D0000}"/>
    <cellStyle name="Currency [0] 2 12 12" xfId="19839" xr:uid="{00000000-0005-0000-0000-0000644D0000}"/>
    <cellStyle name="Currency [0] 2 12 13" xfId="19840" xr:uid="{00000000-0005-0000-0000-0000654D0000}"/>
    <cellStyle name="Currency [0] 2 12 14" xfId="19841" xr:uid="{00000000-0005-0000-0000-0000664D0000}"/>
    <cellStyle name="Currency [0] 2 12 15" xfId="19842" xr:uid="{00000000-0005-0000-0000-0000674D0000}"/>
    <cellStyle name="Currency [0] 2 12 16" xfId="19843" xr:uid="{00000000-0005-0000-0000-0000684D0000}"/>
    <cellStyle name="Currency [0] 2 12 17" xfId="19844" xr:uid="{00000000-0005-0000-0000-0000694D0000}"/>
    <cellStyle name="Currency [0] 2 12 18" xfId="19845" xr:uid="{00000000-0005-0000-0000-00006A4D0000}"/>
    <cellStyle name="Currency [0] 2 12 19" xfId="19846" xr:uid="{00000000-0005-0000-0000-00006B4D0000}"/>
    <cellStyle name="Currency [0] 2 12 2" xfId="19847" xr:uid="{00000000-0005-0000-0000-00006C4D0000}"/>
    <cellStyle name="Currency [0] 2 12 20" xfId="19848" xr:uid="{00000000-0005-0000-0000-00006D4D0000}"/>
    <cellStyle name="Currency [0] 2 12 21" xfId="19849" xr:uid="{00000000-0005-0000-0000-00006E4D0000}"/>
    <cellStyle name="Currency [0] 2 12 22" xfId="19850" xr:uid="{00000000-0005-0000-0000-00006F4D0000}"/>
    <cellStyle name="Currency [0] 2 12 23" xfId="19851" xr:uid="{00000000-0005-0000-0000-0000704D0000}"/>
    <cellStyle name="Currency [0] 2 12 24" xfId="19852" xr:uid="{00000000-0005-0000-0000-0000714D0000}"/>
    <cellStyle name="Currency [0] 2 12 25" xfId="19853" xr:uid="{00000000-0005-0000-0000-0000724D0000}"/>
    <cellStyle name="Currency [0] 2 12 26" xfId="19854" xr:uid="{00000000-0005-0000-0000-0000734D0000}"/>
    <cellStyle name="Currency [0] 2 12 27" xfId="19855" xr:uid="{00000000-0005-0000-0000-0000744D0000}"/>
    <cellStyle name="Currency [0] 2 12 28" xfId="19856" xr:uid="{00000000-0005-0000-0000-0000754D0000}"/>
    <cellStyle name="Currency [0] 2 12 29" xfId="19857" xr:uid="{00000000-0005-0000-0000-0000764D0000}"/>
    <cellStyle name="Currency [0] 2 12 3" xfId="19858" xr:uid="{00000000-0005-0000-0000-0000774D0000}"/>
    <cellStyle name="Currency [0] 2 12 30" xfId="19859" xr:uid="{00000000-0005-0000-0000-0000784D0000}"/>
    <cellStyle name="Currency [0] 2 12 31" xfId="19860" xr:uid="{00000000-0005-0000-0000-0000794D0000}"/>
    <cellStyle name="Currency [0] 2 12 32" xfId="19861" xr:uid="{00000000-0005-0000-0000-00007A4D0000}"/>
    <cellStyle name="Currency [0] 2 12 4" xfId="19862" xr:uid="{00000000-0005-0000-0000-00007B4D0000}"/>
    <cellStyle name="Currency [0] 2 12 5" xfId="19863" xr:uid="{00000000-0005-0000-0000-00007C4D0000}"/>
    <cellStyle name="Currency [0] 2 12 6" xfId="19864" xr:uid="{00000000-0005-0000-0000-00007D4D0000}"/>
    <cellStyle name="Currency [0] 2 12 7" xfId="19865" xr:uid="{00000000-0005-0000-0000-00007E4D0000}"/>
    <cellStyle name="Currency [0] 2 12 8" xfId="19866" xr:uid="{00000000-0005-0000-0000-00007F4D0000}"/>
    <cellStyle name="Currency [0] 2 12 9" xfId="19867" xr:uid="{00000000-0005-0000-0000-0000804D0000}"/>
    <cellStyle name="Currency [0] 2 13" xfId="19868" xr:uid="{00000000-0005-0000-0000-0000814D0000}"/>
    <cellStyle name="Currency [0] 2 14" xfId="19869" xr:uid="{00000000-0005-0000-0000-0000824D0000}"/>
    <cellStyle name="Currency [0] 2 15" xfId="19870" xr:uid="{00000000-0005-0000-0000-0000834D0000}"/>
    <cellStyle name="Currency [0] 2 16" xfId="19871" xr:uid="{00000000-0005-0000-0000-0000844D0000}"/>
    <cellStyle name="Currency [0] 2 17" xfId="19872" xr:uid="{00000000-0005-0000-0000-0000854D0000}"/>
    <cellStyle name="Currency [0] 2 18" xfId="19873" xr:uid="{00000000-0005-0000-0000-0000864D0000}"/>
    <cellStyle name="Currency [0] 2 19" xfId="19874" xr:uid="{00000000-0005-0000-0000-0000874D0000}"/>
    <cellStyle name="Currency [0] 2 2" xfId="19875" xr:uid="{00000000-0005-0000-0000-0000884D0000}"/>
    <cellStyle name="Currency [0] 2 2 10" xfId="19876" xr:uid="{00000000-0005-0000-0000-0000894D0000}"/>
    <cellStyle name="Currency [0] 2 2 11" xfId="19877" xr:uid="{00000000-0005-0000-0000-00008A4D0000}"/>
    <cellStyle name="Currency [0] 2 2 12" xfId="19878" xr:uid="{00000000-0005-0000-0000-00008B4D0000}"/>
    <cellStyle name="Currency [0] 2 2 13" xfId="19879" xr:uid="{00000000-0005-0000-0000-00008C4D0000}"/>
    <cellStyle name="Currency [0] 2 2 14" xfId="19880" xr:uid="{00000000-0005-0000-0000-00008D4D0000}"/>
    <cellStyle name="Currency [0] 2 2 15" xfId="19881" xr:uid="{00000000-0005-0000-0000-00008E4D0000}"/>
    <cellStyle name="Currency [0] 2 2 16" xfId="19882" xr:uid="{00000000-0005-0000-0000-00008F4D0000}"/>
    <cellStyle name="Currency [0] 2 2 17" xfId="19883" xr:uid="{00000000-0005-0000-0000-0000904D0000}"/>
    <cellStyle name="Currency [0] 2 2 18" xfId="19884" xr:uid="{00000000-0005-0000-0000-0000914D0000}"/>
    <cellStyle name="Currency [0] 2 2 19" xfId="19885" xr:uid="{00000000-0005-0000-0000-0000924D0000}"/>
    <cellStyle name="Currency [0] 2 2 2" xfId="19886" xr:uid="{00000000-0005-0000-0000-0000934D0000}"/>
    <cellStyle name="Currency [0] 2 2 20" xfId="19887" xr:uid="{00000000-0005-0000-0000-0000944D0000}"/>
    <cellStyle name="Currency [0] 2 2 21" xfId="19888" xr:uid="{00000000-0005-0000-0000-0000954D0000}"/>
    <cellStyle name="Currency [0] 2 2 22" xfId="19889" xr:uid="{00000000-0005-0000-0000-0000964D0000}"/>
    <cellStyle name="Currency [0] 2 2 23" xfId="19890" xr:uid="{00000000-0005-0000-0000-0000974D0000}"/>
    <cellStyle name="Currency [0] 2 2 24" xfId="19891" xr:uid="{00000000-0005-0000-0000-0000984D0000}"/>
    <cellStyle name="Currency [0] 2 2 25" xfId="19892" xr:uid="{00000000-0005-0000-0000-0000994D0000}"/>
    <cellStyle name="Currency [0] 2 2 26" xfId="19893" xr:uid="{00000000-0005-0000-0000-00009A4D0000}"/>
    <cellStyle name="Currency [0] 2 2 27" xfId="19894" xr:uid="{00000000-0005-0000-0000-00009B4D0000}"/>
    <cellStyle name="Currency [0] 2 2 28" xfId="19895" xr:uid="{00000000-0005-0000-0000-00009C4D0000}"/>
    <cellStyle name="Currency [0] 2 2 29" xfId="19896" xr:uid="{00000000-0005-0000-0000-00009D4D0000}"/>
    <cellStyle name="Currency [0] 2 2 3" xfId="19897" xr:uid="{00000000-0005-0000-0000-00009E4D0000}"/>
    <cellStyle name="Currency [0] 2 2 30" xfId="19898" xr:uid="{00000000-0005-0000-0000-00009F4D0000}"/>
    <cellStyle name="Currency [0] 2 2 31" xfId="19899" xr:uid="{00000000-0005-0000-0000-0000A04D0000}"/>
    <cellStyle name="Currency [0] 2 2 32" xfId="19900" xr:uid="{00000000-0005-0000-0000-0000A14D0000}"/>
    <cellStyle name="Currency [0] 2 2 4" xfId="19901" xr:uid="{00000000-0005-0000-0000-0000A24D0000}"/>
    <cellStyle name="Currency [0] 2 2 5" xfId="19902" xr:uid="{00000000-0005-0000-0000-0000A34D0000}"/>
    <cellStyle name="Currency [0] 2 2 6" xfId="19903" xr:uid="{00000000-0005-0000-0000-0000A44D0000}"/>
    <cellStyle name="Currency [0] 2 2 7" xfId="19904" xr:uid="{00000000-0005-0000-0000-0000A54D0000}"/>
    <cellStyle name="Currency [0] 2 2 8" xfId="19905" xr:uid="{00000000-0005-0000-0000-0000A64D0000}"/>
    <cellStyle name="Currency [0] 2 2 9" xfId="19906" xr:uid="{00000000-0005-0000-0000-0000A74D0000}"/>
    <cellStyle name="Currency [0] 2 20" xfId="19907" xr:uid="{00000000-0005-0000-0000-0000A84D0000}"/>
    <cellStyle name="Currency [0] 2 21" xfId="19908" xr:uid="{00000000-0005-0000-0000-0000A94D0000}"/>
    <cellStyle name="Currency [0] 2 22" xfId="19909" xr:uid="{00000000-0005-0000-0000-0000AA4D0000}"/>
    <cellStyle name="Currency [0] 2 23" xfId="19910" xr:uid="{00000000-0005-0000-0000-0000AB4D0000}"/>
    <cellStyle name="Currency [0] 2 24" xfId="19911" xr:uid="{00000000-0005-0000-0000-0000AC4D0000}"/>
    <cellStyle name="Currency [0] 2 25" xfId="19912" xr:uid="{00000000-0005-0000-0000-0000AD4D0000}"/>
    <cellStyle name="Currency [0] 2 26" xfId="19913" xr:uid="{00000000-0005-0000-0000-0000AE4D0000}"/>
    <cellStyle name="Currency [0] 2 27" xfId="19914" xr:uid="{00000000-0005-0000-0000-0000AF4D0000}"/>
    <cellStyle name="Currency [0] 2 28" xfId="19915" xr:uid="{00000000-0005-0000-0000-0000B04D0000}"/>
    <cellStyle name="Currency [0] 2 29" xfId="19916" xr:uid="{00000000-0005-0000-0000-0000B14D0000}"/>
    <cellStyle name="Currency [0] 2 3" xfId="19917" xr:uid="{00000000-0005-0000-0000-0000B24D0000}"/>
    <cellStyle name="Currency [0] 2 3 10" xfId="19918" xr:uid="{00000000-0005-0000-0000-0000B34D0000}"/>
    <cellStyle name="Currency [0] 2 3 11" xfId="19919" xr:uid="{00000000-0005-0000-0000-0000B44D0000}"/>
    <cellStyle name="Currency [0] 2 3 12" xfId="19920" xr:uid="{00000000-0005-0000-0000-0000B54D0000}"/>
    <cellStyle name="Currency [0] 2 3 13" xfId="19921" xr:uid="{00000000-0005-0000-0000-0000B64D0000}"/>
    <cellStyle name="Currency [0] 2 3 14" xfId="19922" xr:uid="{00000000-0005-0000-0000-0000B74D0000}"/>
    <cellStyle name="Currency [0] 2 3 15" xfId="19923" xr:uid="{00000000-0005-0000-0000-0000B84D0000}"/>
    <cellStyle name="Currency [0] 2 3 16" xfId="19924" xr:uid="{00000000-0005-0000-0000-0000B94D0000}"/>
    <cellStyle name="Currency [0] 2 3 17" xfId="19925" xr:uid="{00000000-0005-0000-0000-0000BA4D0000}"/>
    <cellStyle name="Currency [0] 2 3 18" xfId="19926" xr:uid="{00000000-0005-0000-0000-0000BB4D0000}"/>
    <cellStyle name="Currency [0] 2 3 19" xfId="19927" xr:uid="{00000000-0005-0000-0000-0000BC4D0000}"/>
    <cellStyle name="Currency [0] 2 3 2" xfId="19928" xr:uid="{00000000-0005-0000-0000-0000BD4D0000}"/>
    <cellStyle name="Currency [0] 2 3 2 10" xfId="19929" xr:uid="{00000000-0005-0000-0000-0000BE4D0000}"/>
    <cellStyle name="Currency [0] 2 3 2 11" xfId="19930" xr:uid="{00000000-0005-0000-0000-0000BF4D0000}"/>
    <cellStyle name="Currency [0] 2 3 2 12" xfId="19931" xr:uid="{00000000-0005-0000-0000-0000C04D0000}"/>
    <cellStyle name="Currency [0] 2 3 2 13" xfId="19932" xr:uid="{00000000-0005-0000-0000-0000C14D0000}"/>
    <cellStyle name="Currency [0] 2 3 2 14" xfId="19933" xr:uid="{00000000-0005-0000-0000-0000C24D0000}"/>
    <cellStyle name="Currency [0] 2 3 2 15" xfId="19934" xr:uid="{00000000-0005-0000-0000-0000C34D0000}"/>
    <cellStyle name="Currency [0] 2 3 2 16" xfId="19935" xr:uid="{00000000-0005-0000-0000-0000C44D0000}"/>
    <cellStyle name="Currency [0] 2 3 2 17" xfId="19936" xr:uid="{00000000-0005-0000-0000-0000C54D0000}"/>
    <cellStyle name="Currency [0] 2 3 2 18" xfId="19937" xr:uid="{00000000-0005-0000-0000-0000C64D0000}"/>
    <cellStyle name="Currency [0] 2 3 2 19" xfId="19938" xr:uid="{00000000-0005-0000-0000-0000C74D0000}"/>
    <cellStyle name="Currency [0] 2 3 2 2" xfId="19939" xr:uid="{00000000-0005-0000-0000-0000C84D0000}"/>
    <cellStyle name="Currency [0] 2 3 2 20" xfId="19940" xr:uid="{00000000-0005-0000-0000-0000C94D0000}"/>
    <cellStyle name="Currency [0] 2 3 2 21" xfId="19941" xr:uid="{00000000-0005-0000-0000-0000CA4D0000}"/>
    <cellStyle name="Currency [0] 2 3 2 22" xfId="19942" xr:uid="{00000000-0005-0000-0000-0000CB4D0000}"/>
    <cellStyle name="Currency [0] 2 3 2 23" xfId="19943" xr:uid="{00000000-0005-0000-0000-0000CC4D0000}"/>
    <cellStyle name="Currency [0] 2 3 2 24" xfId="19944" xr:uid="{00000000-0005-0000-0000-0000CD4D0000}"/>
    <cellStyle name="Currency [0] 2 3 2 25" xfId="19945" xr:uid="{00000000-0005-0000-0000-0000CE4D0000}"/>
    <cellStyle name="Currency [0] 2 3 2 26" xfId="19946" xr:uid="{00000000-0005-0000-0000-0000CF4D0000}"/>
    <cellStyle name="Currency [0] 2 3 2 27" xfId="19947" xr:uid="{00000000-0005-0000-0000-0000D04D0000}"/>
    <cellStyle name="Currency [0] 2 3 2 28" xfId="19948" xr:uid="{00000000-0005-0000-0000-0000D14D0000}"/>
    <cellStyle name="Currency [0] 2 3 2 29" xfId="19949" xr:uid="{00000000-0005-0000-0000-0000D24D0000}"/>
    <cellStyle name="Currency [0] 2 3 2 3" xfId="19950" xr:uid="{00000000-0005-0000-0000-0000D34D0000}"/>
    <cellStyle name="Currency [0] 2 3 2 30" xfId="19951" xr:uid="{00000000-0005-0000-0000-0000D44D0000}"/>
    <cellStyle name="Currency [0] 2 3 2 31" xfId="19952" xr:uid="{00000000-0005-0000-0000-0000D54D0000}"/>
    <cellStyle name="Currency [0] 2 3 2 32" xfId="19953" xr:uid="{00000000-0005-0000-0000-0000D64D0000}"/>
    <cellStyle name="Currency [0] 2 3 2 4" xfId="19954" xr:uid="{00000000-0005-0000-0000-0000D74D0000}"/>
    <cellStyle name="Currency [0] 2 3 2 5" xfId="19955" xr:uid="{00000000-0005-0000-0000-0000D84D0000}"/>
    <cellStyle name="Currency [0] 2 3 2 6" xfId="19956" xr:uid="{00000000-0005-0000-0000-0000D94D0000}"/>
    <cellStyle name="Currency [0] 2 3 2 7" xfId="19957" xr:uid="{00000000-0005-0000-0000-0000DA4D0000}"/>
    <cellStyle name="Currency [0] 2 3 2 8" xfId="19958" xr:uid="{00000000-0005-0000-0000-0000DB4D0000}"/>
    <cellStyle name="Currency [0] 2 3 2 9" xfId="19959" xr:uid="{00000000-0005-0000-0000-0000DC4D0000}"/>
    <cellStyle name="Currency [0] 2 3 20" xfId="19960" xr:uid="{00000000-0005-0000-0000-0000DD4D0000}"/>
    <cellStyle name="Currency [0] 2 3 21" xfId="19961" xr:uid="{00000000-0005-0000-0000-0000DE4D0000}"/>
    <cellStyle name="Currency [0] 2 3 22" xfId="19962" xr:uid="{00000000-0005-0000-0000-0000DF4D0000}"/>
    <cellStyle name="Currency [0] 2 3 23" xfId="19963" xr:uid="{00000000-0005-0000-0000-0000E04D0000}"/>
    <cellStyle name="Currency [0] 2 3 24" xfId="19964" xr:uid="{00000000-0005-0000-0000-0000E14D0000}"/>
    <cellStyle name="Currency [0] 2 3 25" xfId="19965" xr:uid="{00000000-0005-0000-0000-0000E24D0000}"/>
    <cellStyle name="Currency [0] 2 3 26" xfId="19966" xr:uid="{00000000-0005-0000-0000-0000E34D0000}"/>
    <cellStyle name="Currency [0] 2 3 27" xfId="19967" xr:uid="{00000000-0005-0000-0000-0000E44D0000}"/>
    <cellStyle name="Currency [0] 2 3 28" xfId="19968" xr:uid="{00000000-0005-0000-0000-0000E54D0000}"/>
    <cellStyle name="Currency [0] 2 3 29" xfId="19969" xr:uid="{00000000-0005-0000-0000-0000E64D0000}"/>
    <cellStyle name="Currency [0] 2 3 3" xfId="19970" xr:uid="{00000000-0005-0000-0000-0000E74D0000}"/>
    <cellStyle name="Currency [0] 2 3 3 10" xfId="19971" xr:uid="{00000000-0005-0000-0000-0000E84D0000}"/>
    <cellStyle name="Currency [0] 2 3 3 11" xfId="19972" xr:uid="{00000000-0005-0000-0000-0000E94D0000}"/>
    <cellStyle name="Currency [0] 2 3 3 12" xfId="19973" xr:uid="{00000000-0005-0000-0000-0000EA4D0000}"/>
    <cellStyle name="Currency [0] 2 3 3 13" xfId="19974" xr:uid="{00000000-0005-0000-0000-0000EB4D0000}"/>
    <cellStyle name="Currency [0] 2 3 3 14" xfId="19975" xr:uid="{00000000-0005-0000-0000-0000EC4D0000}"/>
    <cellStyle name="Currency [0] 2 3 3 15" xfId="19976" xr:uid="{00000000-0005-0000-0000-0000ED4D0000}"/>
    <cellStyle name="Currency [0] 2 3 3 16" xfId="19977" xr:uid="{00000000-0005-0000-0000-0000EE4D0000}"/>
    <cellStyle name="Currency [0] 2 3 3 17" xfId="19978" xr:uid="{00000000-0005-0000-0000-0000EF4D0000}"/>
    <cellStyle name="Currency [0] 2 3 3 18" xfId="19979" xr:uid="{00000000-0005-0000-0000-0000F04D0000}"/>
    <cellStyle name="Currency [0] 2 3 3 19" xfId="19980" xr:uid="{00000000-0005-0000-0000-0000F14D0000}"/>
    <cellStyle name="Currency [0] 2 3 3 2" xfId="19981" xr:uid="{00000000-0005-0000-0000-0000F24D0000}"/>
    <cellStyle name="Currency [0] 2 3 3 20" xfId="19982" xr:uid="{00000000-0005-0000-0000-0000F34D0000}"/>
    <cellStyle name="Currency [0] 2 3 3 21" xfId="19983" xr:uid="{00000000-0005-0000-0000-0000F44D0000}"/>
    <cellStyle name="Currency [0] 2 3 3 22" xfId="19984" xr:uid="{00000000-0005-0000-0000-0000F54D0000}"/>
    <cellStyle name="Currency [0] 2 3 3 23" xfId="19985" xr:uid="{00000000-0005-0000-0000-0000F64D0000}"/>
    <cellStyle name="Currency [0] 2 3 3 24" xfId="19986" xr:uid="{00000000-0005-0000-0000-0000F74D0000}"/>
    <cellStyle name="Currency [0] 2 3 3 25" xfId="19987" xr:uid="{00000000-0005-0000-0000-0000F84D0000}"/>
    <cellStyle name="Currency [0] 2 3 3 26" xfId="19988" xr:uid="{00000000-0005-0000-0000-0000F94D0000}"/>
    <cellStyle name="Currency [0] 2 3 3 27" xfId="19989" xr:uid="{00000000-0005-0000-0000-0000FA4D0000}"/>
    <cellStyle name="Currency [0] 2 3 3 28" xfId="19990" xr:uid="{00000000-0005-0000-0000-0000FB4D0000}"/>
    <cellStyle name="Currency [0] 2 3 3 29" xfId="19991" xr:uid="{00000000-0005-0000-0000-0000FC4D0000}"/>
    <cellStyle name="Currency [0] 2 3 3 3" xfId="19992" xr:uid="{00000000-0005-0000-0000-0000FD4D0000}"/>
    <cellStyle name="Currency [0] 2 3 3 30" xfId="19993" xr:uid="{00000000-0005-0000-0000-0000FE4D0000}"/>
    <cellStyle name="Currency [0] 2 3 3 31" xfId="19994" xr:uid="{00000000-0005-0000-0000-0000FF4D0000}"/>
    <cellStyle name="Currency [0] 2 3 3 32" xfId="19995" xr:uid="{00000000-0005-0000-0000-0000004E0000}"/>
    <cellStyle name="Currency [0] 2 3 3 4" xfId="19996" xr:uid="{00000000-0005-0000-0000-0000014E0000}"/>
    <cellStyle name="Currency [0] 2 3 3 5" xfId="19997" xr:uid="{00000000-0005-0000-0000-0000024E0000}"/>
    <cellStyle name="Currency [0] 2 3 3 6" xfId="19998" xr:uid="{00000000-0005-0000-0000-0000034E0000}"/>
    <cellStyle name="Currency [0] 2 3 3 7" xfId="19999" xr:uid="{00000000-0005-0000-0000-0000044E0000}"/>
    <cellStyle name="Currency [0] 2 3 3 8" xfId="20000" xr:uid="{00000000-0005-0000-0000-0000054E0000}"/>
    <cellStyle name="Currency [0] 2 3 3 9" xfId="20001" xr:uid="{00000000-0005-0000-0000-0000064E0000}"/>
    <cellStyle name="Currency [0] 2 3 30" xfId="20002" xr:uid="{00000000-0005-0000-0000-0000074E0000}"/>
    <cellStyle name="Currency [0] 2 3 31" xfId="20003" xr:uid="{00000000-0005-0000-0000-0000084E0000}"/>
    <cellStyle name="Currency [0] 2 3 32" xfId="20004" xr:uid="{00000000-0005-0000-0000-0000094E0000}"/>
    <cellStyle name="Currency [0] 2 3 33" xfId="20005" xr:uid="{00000000-0005-0000-0000-00000A4E0000}"/>
    <cellStyle name="Currency [0] 2 3 34" xfId="20006" xr:uid="{00000000-0005-0000-0000-00000B4E0000}"/>
    <cellStyle name="Currency [0] 2 3 35" xfId="20007" xr:uid="{00000000-0005-0000-0000-00000C4E0000}"/>
    <cellStyle name="Currency [0] 2 3 4" xfId="20008" xr:uid="{00000000-0005-0000-0000-00000D4E0000}"/>
    <cellStyle name="Currency [0] 2 3 4 10" xfId="20009" xr:uid="{00000000-0005-0000-0000-00000E4E0000}"/>
    <cellStyle name="Currency [0] 2 3 4 11" xfId="20010" xr:uid="{00000000-0005-0000-0000-00000F4E0000}"/>
    <cellStyle name="Currency [0] 2 3 4 12" xfId="20011" xr:uid="{00000000-0005-0000-0000-0000104E0000}"/>
    <cellStyle name="Currency [0] 2 3 4 13" xfId="20012" xr:uid="{00000000-0005-0000-0000-0000114E0000}"/>
    <cellStyle name="Currency [0] 2 3 4 14" xfId="20013" xr:uid="{00000000-0005-0000-0000-0000124E0000}"/>
    <cellStyle name="Currency [0] 2 3 4 15" xfId="20014" xr:uid="{00000000-0005-0000-0000-0000134E0000}"/>
    <cellStyle name="Currency [0] 2 3 4 16" xfId="20015" xr:uid="{00000000-0005-0000-0000-0000144E0000}"/>
    <cellStyle name="Currency [0] 2 3 4 17" xfId="20016" xr:uid="{00000000-0005-0000-0000-0000154E0000}"/>
    <cellStyle name="Currency [0] 2 3 4 18" xfId="20017" xr:uid="{00000000-0005-0000-0000-0000164E0000}"/>
    <cellStyle name="Currency [0] 2 3 4 19" xfId="20018" xr:uid="{00000000-0005-0000-0000-0000174E0000}"/>
    <cellStyle name="Currency [0] 2 3 4 2" xfId="20019" xr:uid="{00000000-0005-0000-0000-0000184E0000}"/>
    <cellStyle name="Currency [0] 2 3 4 20" xfId="20020" xr:uid="{00000000-0005-0000-0000-0000194E0000}"/>
    <cellStyle name="Currency [0] 2 3 4 21" xfId="20021" xr:uid="{00000000-0005-0000-0000-00001A4E0000}"/>
    <cellStyle name="Currency [0] 2 3 4 22" xfId="20022" xr:uid="{00000000-0005-0000-0000-00001B4E0000}"/>
    <cellStyle name="Currency [0] 2 3 4 23" xfId="20023" xr:uid="{00000000-0005-0000-0000-00001C4E0000}"/>
    <cellStyle name="Currency [0] 2 3 4 24" xfId="20024" xr:uid="{00000000-0005-0000-0000-00001D4E0000}"/>
    <cellStyle name="Currency [0] 2 3 4 25" xfId="20025" xr:uid="{00000000-0005-0000-0000-00001E4E0000}"/>
    <cellStyle name="Currency [0] 2 3 4 26" xfId="20026" xr:uid="{00000000-0005-0000-0000-00001F4E0000}"/>
    <cellStyle name="Currency [0] 2 3 4 27" xfId="20027" xr:uid="{00000000-0005-0000-0000-0000204E0000}"/>
    <cellStyle name="Currency [0] 2 3 4 28" xfId="20028" xr:uid="{00000000-0005-0000-0000-0000214E0000}"/>
    <cellStyle name="Currency [0] 2 3 4 29" xfId="20029" xr:uid="{00000000-0005-0000-0000-0000224E0000}"/>
    <cellStyle name="Currency [0] 2 3 4 3" xfId="20030" xr:uid="{00000000-0005-0000-0000-0000234E0000}"/>
    <cellStyle name="Currency [0] 2 3 4 30" xfId="20031" xr:uid="{00000000-0005-0000-0000-0000244E0000}"/>
    <cellStyle name="Currency [0] 2 3 4 31" xfId="20032" xr:uid="{00000000-0005-0000-0000-0000254E0000}"/>
    <cellStyle name="Currency [0] 2 3 4 32" xfId="20033" xr:uid="{00000000-0005-0000-0000-0000264E0000}"/>
    <cellStyle name="Currency [0] 2 3 4 4" xfId="20034" xr:uid="{00000000-0005-0000-0000-0000274E0000}"/>
    <cellStyle name="Currency [0] 2 3 4 5" xfId="20035" xr:uid="{00000000-0005-0000-0000-0000284E0000}"/>
    <cellStyle name="Currency [0] 2 3 4 6" xfId="20036" xr:uid="{00000000-0005-0000-0000-0000294E0000}"/>
    <cellStyle name="Currency [0] 2 3 4 7" xfId="20037" xr:uid="{00000000-0005-0000-0000-00002A4E0000}"/>
    <cellStyle name="Currency [0] 2 3 4 8" xfId="20038" xr:uid="{00000000-0005-0000-0000-00002B4E0000}"/>
    <cellStyle name="Currency [0] 2 3 4 9" xfId="20039" xr:uid="{00000000-0005-0000-0000-00002C4E0000}"/>
    <cellStyle name="Currency [0] 2 3 5" xfId="20040" xr:uid="{00000000-0005-0000-0000-00002D4E0000}"/>
    <cellStyle name="Currency [0] 2 3 6" xfId="20041" xr:uid="{00000000-0005-0000-0000-00002E4E0000}"/>
    <cellStyle name="Currency [0] 2 3 7" xfId="20042" xr:uid="{00000000-0005-0000-0000-00002F4E0000}"/>
    <cellStyle name="Currency [0] 2 3 8" xfId="20043" xr:uid="{00000000-0005-0000-0000-0000304E0000}"/>
    <cellStyle name="Currency [0] 2 3 9" xfId="20044" xr:uid="{00000000-0005-0000-0000-0000314E0000}"/>
    <cellStyle name="Currency [0] 2 30" xfId="20045" xr:uid="{00000000-0005-0000-0000-0000324E0000}"/>
    <cellStyle name="Currency [0] 2 31" xfId="20046" xr:uid="{00000000-0005-0000-0000-0000334E0000}"/>
    <cellStyle name="Currency [0] 2 32" xfId="20047" xr:uid="{00000000-0005-0000-0000-0000344E0000}"/>
    <cellStyle name="Currency [0] 2 33" xfId="20048" xr:uid="{00000000-0005-0000-0000-0000354E0000}"/>
    <cellStyle name="Currency [0] 2 34" xfId="20049" xr:uid="{00000000-0005-0000-0000-0000364E0000}"/>
    <cellStyle name="Currency [0] 2 35" xfId="20050" xr:uid="{00000000-0005-0000-0000-0000374E0000}"/>
    <cellStyle name="Currency [0] 2 36" xfId="20051" xr:uid="{00000000-0005-0000-0000-0000384E0000}"/>
    <cellStyle name="Currency [0] 2 37" xfId="20052" xr:uid="{00000000-0005-0000-0000-0000394E0000}"/>
    <cellStyle name="Currency [0] 2 38" xfId="20053" xr:uid="{00000000-0005-0000-0000-00003A4E0000}"/>
    <cellStyle name="Currency [0] 2 39" xfId="20054" xr:uid="{00000000-0005-0000-0000-00003B4E0000}"/>
    <cellStyle name="Currency [0] 2 4" xfId="20055" xr:uid="{00000000-0005-0000-0000-00003C4E0000}"/>
    <cellStyle name="Currency [0] 2 4 10" xfId="20056" xr:uid="{00000000-0005-0000-0000-00003D4E0000}"/>
    <cellStyle name="Currency [0] 2 4 11" xfId="20057" xr:uid="{00000000-0005-0000-0000-00003E4E0000}"/>
    <cellStyle name="Currency [0] 2 4 12" xfId="20058" xr:uid="{00000000-0005-0000-0000-00003F4E0000}"/>
    <cellStyle name="Currency [0] 2 4 13" xfId="20059" xr:uid="{00000000-0005-0000-0000-0000404E0000}"/>
    <cellStyle name="Currency [0] 2 4 14" xfId="20060" xr:uid="{00000000-0005-0000-0000-0000414E0000}"/>
    <cellStyle name="Currency [0] 2 4 15" xfId="20061" xr:uid="{00000000-0005-0000-0000-0000424E0000}"/>
    <cellStyle name="Currency [0] 2 4 16" xfId="20062" xr:uid="{00000000-0005-0000-0000-0000434E0000}"/>
    <cellStyle name="Currency [0] 2 4 17" xfId="20063" xr:uid="{00000000-0005-0000-0000-0000444E0000}"/>
    <cellStyle name="Currency [0] 2 4 18" xfId="20064" xr:uid="{00000000-0005-0000-0000-0000454E0000}"/>
    <cellStyle name="Currency [0] 2 4 19" xfId="20065" xr:uid="{00000000-0005-0000-0000-0000464E0000}"/>
    <cellStyle name="Currency [0] 2 4 2" xfId="20066" xr:uid="{00000000-0005-0000-0000-0000474E0000}"/>
    <cellStyle name="Currency [0] 2 4 20" xfId="20067" xr:uid="{00000000-0005-0000-0000-0000484E0000}"/>
    <cellStyle name="Currency [0] 2 4 21" xfId="20068" xr:uid="{00000000-0005-0000-0000-0000494E0000}"/>
    <cellStyle name="Currency [0] 2 4 22" xfId="20069" xr:uid="{00000000-0005-0000-0000-00004A4E0000}"/>
    <cellStyle name="Currency [0] 2 4 23" xfId="20070" xr:uid="{00000000-0005-0000-0000-00004B4E0000}"/>
    <cellStyle name="Currency [0] 2 4 24" xfId="20071" xr:uid="{00000000-0005-0000-0000-00004C4E0000}"/>
    <cellStyle name="Currency [0] 2 4 25" xfId="20072" xr:uid="{00000000-0005-0000-0000-00004D4E0000}"/>
    <cellStyle name="Currency [0] 2 4 26" xfId="20073" xr:uid="{00000000-0005-0000-0000-00004E4E0000}"/>
    <cellStyle name="Currency [0] 2 4 27" xfId="20074" xr:uid="{00000000-0005-0000-0000-00004F4E0000}"/>
    <cellStyle name="Currency [0] 2 4 28" xfId="20075" xr:uid="{00000000-0005-0000-0000-0000504E0000}"/>
    <cellStyle name="Currency [0] 2 4 29" xfId="20076" xr:uid="{00000000-0005-0000-0000-0000514E0000}"/>
    <cellStyle name="Currency [0] 2 4 3" xfId="20077" xr:uid="{00000000-0005-0000-0000-0000524E0000}"/>
    <cellStyle name="Currency [0] 2 4 30" xfId="20078" xr:uid="{00000000-0005-0000-0000-0000534E0000}"/>
    <cellStyle name="Currency [0] 2 4 31" xfId="20079" xr:uid="{00000000-0005-0000-0000-0000544E0000}"/>
    <cellStyle name="Currency [0] 2 4 32" xfId="20080" xr:uid="{00000000-0005-0000-0000-0000554E0000}"/>
    <cellStyle name="Currency [0] 2 4 4" xfId="20081" xr:uid="{00000000-0005-0000-0000-0000564E0000}"/>
    <cellStyle name="Currency [0] 2 4 5" xfId="20082" xr:uid="{00000000-0005-0000-0000-0000574E0000}"/>
    <cellStyle name="Currency [0] 2 4 6" xfId="20083" xr:uid="{00000000-0005-0000-0000-0000584E0000}"/>
    <cellStyle name="Currency [0] 2 4 7" xfId="20084" xr:uid="{00000000-0005-0000-0000-0000594E0000}"/>
    <cellStyle name="Currency [0] 2 4 8" xfId="20085" xr:uid="{00000000-0005-0000-0000-00005A4E0000}"/>
    <cellStyle name="Currency [0] 2 4 9" xfId="20086" xr:uid="{00000000-0005-0000-0000-00005B4E0000}"/>
    <cellStyle name="Currency [0] 2 40" xfId="20087" xr:uid="{00000000-0005-0000-0000-00005C4E0000}"/>
    <cellStyle name="Currency [0] 2 41" xfId="20088" xr:uid="{00000000-0005-0000-0000-00005D4E0000}"/>
    <cellStyle name="Currency [0] 2 42" xfId="20089" xr:uid="{00000000-0005-0000-0000-00005E4E0000}"/>
    <cellStyle name="Currency [0] 2 43" xfId="20090" xr:uid="{00000000-0005-0000-0000-00005F4E0000}"/>
    <cellStyle name="Currency [0] 2 5" xfId="20091" xr:uid="{00000000-0005-0000-0000-0000604E0000}"/>
    <cellStyle name="Currency [0] 2 5 10" xfId="20092" xr:uid="{00000000-0005-0000-0000-0000614E0000}"/>
    <cellStyle name="Currency [0] 2 5 11" xfId="20093" xr:uid="{00000000-0005-0000-0000-0000624E0000}"/>
    <cellStyle name="Currency [0] 2 5 12" xfId="20094" xr:uid="{00000000-0005-0000-0000-0000634E0000}"/>
    <cellStyle name="Currency [0] 2 5 13" xfId="20095" xr:uid="{00000000-0005-0000-0000-0000644E0000}"/>
    <cellStyle name="Currency [0] 2 5 14" xfId="20096" xr:uid="{00000000-0005-0000-0000-0000654E0000}"/>
    <cellStyle name="Currency [0] 2 5 15" xfId="20097" xr:uid="{00000000-0005-0000-0000-0000664E0000}"/>
    <cellStyle name="Currency [0] 2 5 16" xfId="20098" xr:uid="{00000000-0005-0000-0000-0000674E0000}"/>
    <cellStyle name="Currency [0] 2 5 17" xfId="20099" xr:uid="{00000000-0005-0000-0000-0000684E0000}"/>
    <cellStyle name="Currency [0] 2 5 18" xfId="20100" xr:uid="{00000000-0005-0000-0000-0000694E0000}"/>
    <cellStyle name="Currency [0] 2 5 19" xfId="20101" xr:uid="{00000000-0005-0000-0000-00006A4E0000}"/>
    <cellStyle name="Currency [0] 2 5 2" xfId="20102" xr:uid="{00000000-0005-0000-0000-00006B4E0000}"/>
    <cellStyle name="Currency [0] 2 5 20" xfId="20103" xr:uid="{00000000-0005-0000-0000-00006C4E0000}"/>
    <cellStyle name="Currency [0] 2 5 21" xfId="20104" xr:uid="{00000000-0005-0000-0000-00006D4E0000}"/>
    <cellStyle name="Currency [0] 2 5 22" xfId="20105" xr:uid="{00000000-0005-0000-0000-00006E4E0000}"/>
    <cellStyle name="Currency [0] 2 5 23" xfId="20106" xr:uid="{00000000-0005-0000-0000-00006F4E0000}"/>
    <cellStyle name="Currency [0] 2 5 24" xfId="20107" xr:uid="{00000000-0005-0000-0000-0000704E0000}"/>
    <cellStyle name="Currency [0] 2 5 25" xfId="20108" xr:uid="{00000000-0005-0000-0000-0000714E0000}"/>
    <cellStyle name="Currency [0] 2 5 26" xfId="20109" xr:uid="{00000000-0005-0000-0000-0000724E0000}"/>
    <cellStyle name="Currency [0] 2 5 27" xfId="20110" xr:uid="{00000000-0005-0000-0000-0000734E0000}"/>
    <cellStyle name="Currency [0] 2 5 28" xfId="20111" xr:uid="{00000000-0005-0000-0000-0000744E0000}"/>
    <cellStyle name="Currency [0] 2 5 29" xfId="20112" xr:uid="{00000000-0005-0000-0000-0000754E0000}"/>
    <cellStyle name="Currency [0] 2 5 3" xfId="20113" xr:uid="{00000000-0005-0000-0000-0000764E0000}"/>
    <cellStyle name="Currency [0] 2 5 30" xfId="20114" xr:uid="{00000000-0005-0000-0000-0000774E0000}"/>
    <cellStyle name="Currency [0] 2 5 31" xfId="20115" xr:uid="{00000000-0005-0000-0000-0000784E0000}"/>
    <cellStyle name="Currency [0] 2 5 32" xfId="20116" xr:uid="{00000000-0005-0000-0000-0000794E0000}"/>
    <cellStyle name="Currency [0] 2 5 4" xfId="20117" xr:uid="{00000000-0005-0000-0000-00007A4E0000}"/>
    <cellStyle name="Currency [0] 2 5 5" xfId="20118" xr:uid="{00000000-0005-0000-0000-00007B4E0000}"/>
    <cellStyle name="Currency [0] 2 5 6" xfId="20119" xr:uid="{00000000-0005-0000-0000-00007C4E0000}"/>
    <cellStyle name="Currency [0] 2 5 7" xfId="20120" xr:uid="{00000000-0005-0000-0000-00007D4E0000}"/>
    <cellStyle name="Currency [0] 2 5 8" xfId="20121" xr:uid="{00000000-0005-0000-0000-00007E4E0000}"/>
    <cellStyle name="Currency [0] 2 5 9" xfId="20122" xr:uid="{00000000-0005-0000-0000-00007F4E0000}"/>
    <cellStyle name="Currency [0] 2 6" xfId="20123" xr:uid="{00000000-0005-0000-0000-0000804E0000}"/>
    <cellStyle name="Currency [0] 2 6 10" xfId="20124" xr:uid="{00000000-0005-0000-0000-0000814E0000}"/>
    <cellStyle name="Currency [0] 2 6 11" xfId="20125" xr:uid="{00000000-0005-0000-0000-0000824E0000}"/>
    <cellStyle name="Currency [0] 2 6 12" xfId="20126" xr:uid="{00000000-0005-0000-0000-0000834E0000}"/>
    <cellStyle name="Currency [0] 2 6 13" xfId="20127" xr:uid="{00000000-0005-0000-0000-0000844E0000}"/>
    <cellStyle name="Currency [0] 2 6 14" xfId="20128" xr:uid="{00000000-0005-0000-0000-0000854E0000}"/>
    <cellStyle name="Currency [0] 2 6 15" xfId="20129" xr:uid="{00000000-0005-0000-0000-0000864E0000}"/>
    <cellStyle name="Currency [0] 2 6 16" xfId="20130" xr:uid="{00000000-0005-0000-0000-0000874E0000}"/>
    <cellStyle name="Currency [0] 2 6 17" xfId="20131" xr:uid="{00000000-0005-0000-0000-0000884E0000}"/>
    <cellStyle name="Currency [0] 2 6 18" xfId="20132" xr:uid="{00000000-0005-0000-0000-0000894E0000}"/>
    <cellStyle name="Currency [0] 2 6 19" xfId="20133" xr:uid="{00000000-0005-0000-0000-00008A4E0000}"/>
    <cellStyle name="Currency [0] 2 6 2" xfId="20134" xr:uid="{00000000-0005-0000-0000-00008B4E0000}"/>
    <cellStyle name="Currency [0] 2 6 20" xfId="20135" xr:uid="{00000000-0005-0000-0000-00008C4E0000}"/>
    <cellStyle name="Currency [0] 2 6 21" xfId="20136" xr:uid="{00000000-0005-0000-0000-00008D4E0000}"/>
    <cellStyle name="Currency [0] 2 6 22" xfId="20137" xr:uid="{00000000-0005-0000-0000-00008E4E0000}"/>
    <cellStyle name="Currency [0] 2 6 23" xfId="20138" xr:uid="{00000000-0005-0000-0000-00008F4E0000}"/>
    <cellStyle name="Currency [0] 2 6 24" xfId="20139" xr:uid="{00000000-0005-0000-0000-0000904E0000}"/>
    <cellStyle name="Currency [0] 2 6 25" xfId="20140" xr:uid="{00000000-0005-0000-0000-0000914E0000}"/>
    <cellStyle name="Currency [0] 2 6 26" xfId="20141" xr:uid="{00000000-0005-0000-0000-0000924E0000}"/>
    <cellStyle name="Currency [0] 2 6 27" xfId="20142" xr:uid="{00000000-0005-0000-0000-0000934E0000}"/>
    <cellStyle name="Currency [0] 2 6 28" xfId="20143" xr:uid="{00000000-0005-0000-0000-0000944E0000}"/>
    <cellStyle name="Currency [0] 2 6 29" xfId="20144" xr:uid="{00000000-0005-0000-0000-0000954E0000}"/>
    <cellStyle name="Currency [0] 2 6 3" xfId="20145" xr:uid="{00000000-0005-0000-0000-0000964E0000}"/>
    <cellStyle name="Currency [0] 2 6 30" xfId="20146" xr:uid="{00000000-0005-0000-0000-0000974E0000}"/>
    <cellStyle name="Currency [0] 2 6 31" xfId="20147" xr:uid="{00000000-0005-0000-0000-0000984E0000}"/>
    <cellStyle name="Currency [0] 2 6 32" xfId="20148" xr:uid="{00000000-0005-0000-0000-0000994E0000}"/>
    <cellStyle name="Currency [0] 2 6 4" xfId="20149" xr:uid="{00000000-0005-0000-0000-00009A4E0000}"/>
    <cellStyle name="Currency [0] 2 6 5" xfId="20150" xr:uid="{00000000-0005-0000-0000-00009B4E0000}"/>
    <cellStyle name="Currency [0] 2 6 6" xfId="20151" xr:uid="{00000000-0005-0000-0000-00009C4E0000}"/>
    <cellStyle name="Currency [0] 2 6 7" xfId="20152" xr:uid="{00000000-0005-0000-0000-00009D4E0000}"/>
    <cellStyle name="Currency [0] 2 6 8" xfId="20153" xr:uid="{00000000-0005-0000-0000-00009E4E0000}"/>
    <cellStyle name="Currency [0] 2 6 9" xfId="20154" xr:uid="{00000000-0005-0000-0000-00009F4E0000}"/>
    <cellStyle name="Currency [0] 2 7" xfId="20155" xr:uid="{00000000-0005-0000-0000-0000A04E0000}"/>
    <cellStyle name="Currency [0] 2 7 10" xfId="20156" xr:uid="{00000000-0005-0000-0000-0000A14E0000}"/>
    <cellStyle name="Currency [0] 2 7 11" xfId="20157" xr:uid="{00000000-0005-0000-0000-0000A24E0000}"/>
    <cellStyle name="Currency [0] 2 7 12" xfId="20158" xr:uid="{00000000-0005-0000-0000-0000A34E0000}"/>
    <cellStyle name="Currency [0] 2 7 13" xfId="20159" xr:uid="{00000000-0005-0000-0000-0000A44E0000}"/>
    <cellStyle name="Currency [0] 2 7 14" xfId="20160" xr:uid="{00000000-0005-0000-0000-0000A54E0000}"/>
    <cellStyle name="Currency [0] 2 7 15" xfId="20161" xr:uid="{00000000-0005-0000-0000-0000A64E0000}"/>
    <cellStyle name="Currency [0] 2 7 16" xfId="20162" xr:uid="{00000000-0005-0000-0000-0000A74E0000}"/>
    <cellStyle name="Currency [0] 2 7 17" xfId="20163" xr:uid="{00000000-0005-0000-0000-0000A84E0000}"/>
    <cellStyle name="Currency [0] 2 7 18" xfId="20164" xr:uid="{00000000-0005-0000-0000-0000A94E0000}"/>
    <cellStyle name="Currency [0] 2 7 19" xfId="20165" xr:uid="{00000000-0005-0000-0000-0000AA4E0000}"/>
    <cellStyle name="Currency [0] 2 7 2" xfId="20166" xr:uid="{00000000-0005-0000-0000-0000AB4E0000}"/>
    <cellStyle name="Currency [0] 2 7 20" xfId="20167" xr:uid="{00000000-0005-0000-0000-0000AC4E0000}"/>
    <cellStyle name="Currency [0] 2 7 21" xfId="20168" xr:uid="{00000000-0005-0000-0000-0000AD4E0000}"/>
    <cellStyle name="Currency [0] 2 7 22" xfId="20169" xr:uid="{00000000-0005-0000-0000-0000AE4E0000}"/>
    <cellStyle name="Currency [0] 2 7 23" xfId="20170" xr:uid="{00000000-0005-0000-0000-0000AF4E0000}"/>
    <cellStyle name="Currency [0] 2 7 24" xfId="20171" xr:uid="{00000000-0005-0000-0000-0000B04E0000}"/>
    <cellStyle name="Currency [0] 2 7 25" xfId="20172" xr:uid="{00000000-0005-0000-0000-0000B14E0000}"/>
    <cellStyle name="Currency [0] 2 7 26" xfId="20173" xr:uid="{00000000-0005-0000-0000-0000B24E0000}"/>
    <cellStyle name="Currency [0] 2 7 27" xfId="20174" xr:uid="{00000000-0005-0000-0000-0000B34E0000}"/>
    <cellStyle name="Currency [0] 2 7 28" xfId="20175" xr:uid="{00000000-0005-0000-0000-0000B44E0000}"/>
    <cellStyle name="Currency [0] 2 7 29" xfId="20176" xr:uid="{00000000-0005-0000-0000-0000B54E0000}"/>
    <cellStyle name="Currency [0] 2 7 3" xfId="20177" xr:uid="{00000000-0005-0000-0000-0000B64E0000}"/>
    <cellStyle name="Currency [0] 2 7 30" xfId="20178" xr:uid="{00000000-0005-0000-0000-0000B74E0000}"/>
    <cellStyle name="Currency [0] 2 7 31" xfId="20179" xr:uid="{00000000-0005-0000-0000-0000B84E0000}"/>
    <cellStyle name="Currency [0] 2 7 32" xfId="20180" xr:uid="{00000000-0005-0000-0000-0000B94E0000}"/>
    <cellStyle name="Currency [0] 2 7 4" xfId="20181" xr:uid="{00000000-0005-0000-0000-0000BA4E0000}"/>
    <cellStyle name="Currency [0] 2 7 5" xfId="20182" xr:uid="{00000000-0005-0000-0000-0000BB4E0000}"/>
    <cellStyle name="Currency [0] 2 7 6" xfId="20183" xr:uid="{00000000-0005-0000-0000-0000BC4E0000}"/>
    <cellStyle name="Currency [0] 2 7 7" xfId="20184" xr:uid="{00000000-0005-0000-0000-0000BD4E0000}"/>
    <cellStyle name="Currency [0] 2 7 8" xfId="20185" xr:uid="{00000000-0005-0000-0000-0000BE4E0000}"/>
    <cellStyle name="Currency [0] 2 7 9" xfId="20186" xr:uid="{00000000-0005-0000-0000-0000BF4E0000}"/>
    <cellStyle name="Currency [0] 2 8" xfId="20187" xr:uid="{00000000-0005-0000-0000-0000C04E0000}"/>
    <cellStyle name="Currency [0] 2 8 10" xfId="20188" xr:uid="{00000000-0005-0000-0000-0000C14E0000}"/>
    <cellStyle name="Currency [0] 2 8 11" xfId="20189" xr:uid="{00000000-0005-0000-0000-0000C24E0000}"/>
    <cellStyle name="Currency [0] 2 8 12" xfId="20190" xr:uid="{00000000-0005-0000-0000-0000C34E0000}"/>
    <cellStyle name="Currency [0] 2 8 13" xfId="20191" xr:uid="{00000000-0005-0000-0000-0000C44E0000}"/>
    <cellStyle name="Currency [0] 2 8 14" xfId="20192" xr:uid="{00000000-0005-0000-0000-0000C54E0000}"/>
    <cellStyle name="Currency [0] 2 8 15" xfId="20193" xr:uid="{00000000-0005-0000-0000-0000C64E0000}"/>
    <cellStyle name="Currency [0] 2 8 16" xfId="20194" xr:uid="{00000000-0005-0000-0000-0000C74E0000}"/>
    <cellStyle name="Currency [0] 2 8 17" xfId="20195" xr:uid="{00000000-0005-0000-0000-0000C84E0000}"/>
    <cellStyle name="Currency [0] 2 8 18" xfId="20196" xr:uid="{00000000-0005-0000-0000-0000C94E0000}"/>
    <cellStyle name="Currency [0] 2 8 19" xfId="20197" xr:uid="{00000000-0005-0000-0000-0000CA4E0000}"/>
    <cellStyle name="Currency [0] 2 8 2" xfId="20198" xr:uid="{00000000-0005-0000-0000-0000CB4E0000}"/>
    <cellStyle name="Currency [0] 2 8 20" xfId="20199" xr:uid="{00000000-0005-0000-0000-0000CC4E0000}"/>
    <cellStyle name="Currency [0] 2 8 21" xfId="20200" xr:uid="{00000000-0005-0000-0000-0000CD4E0000}"/>
    <cellStyle name="Currency [0] 2 8 22" xfId="20201" xr:uid="{00000000-0005-0000-0000-0000CE4E0000}"/>
    <cellStyle name="Currency [0] 2 8 23" xfId="20202" xr:uid="{00000000-0005-0000-0000-0000CF4E0000}"/>
    <cellStyle name="Currency [0] 2 8 24" xfId="20203" xr:uid="{00000000-0005-0000-0000-0000D04E0000}"/>
    <cellStyle name="Currency [0] 2 8 25" xfId="20204" xr:uid="{00000000-0005-0000-0000-0000D14E0000}"/>
    <cellStyle name="Currency [0] 2 8 26" xfId="20205" xr:uid="{00000000-0005-0000-0000-0000D24E0000}"/>
    <cellStyle name="Currency [0] 2 8 27" xfId="20206" xr:uid="{00000000-0005-0000-0000-0000D34E0000}"/>
    <cellStyle name="Currency [0] 2 8 28" xfId="20207" xr:uid="{00000000-0005-0000-0000-0000D44E0000}"/>
    <cellStyle name="Currency [0] 2 8 29" xfId="20208" xr:uid="{00000000-0005-0000-0000-0000D54E0000}"/>
    <cellStyle name="Currency [0] 2 8 3" xfId="20209" xr:uid="{00000000-0005-0000-0000-0000D64E0000}"/>
    <cellStyle name="Currency [0] 2 8 30" xfId="20210" xr:uid="{00000000-0005-0000-0000-0000D74E0000}"/>
    <cellStyle name="Currency [0] 2 8 31" xfId="20211" xr:uid="{00000000-0005-0000-0000-0000D84E0000}"/>
    <cellStyle name="Currency [0] 2 8 32" xfId="20212" xr:uid="{00000000-0005-0000-0000-0000D94E0000}"/>
    <cellStyle name="Currency [0] 2 8 4" xfId="20213" xr:uid="{00000000-0005-0000-0000-0000DA4E0000}"/>
    <cellStyle name="Currency [0] 2 8 5" xfId="20214" xr:uid="{00000000-0005-0000-0000-0000DB4E0000}"/>
    <cellStyle name="Currency [0] 2 8 6" xfId="20215" xr:uid="{00000000-0005-0000-0000-0000DC4E0000}"/>
    <cellStyle name="Currency [0] 2 8 7" xfId="20216" xr:uid="{00000000-0005-0000-0000-0000DD4E0000}"/>
    <cellStyle name="Currency [0] 2 8 8" xfId="20217" xr:uid="{00000000-0005-0000-0000-0000DE4E0000}"/>
    <cellStyle name="Currency [0] 2 8 9" xfId="20218" xr:uid="{00000000-0005-0000-0000-0000DF4E0000}"/>
    <cellStyle name="Currency [0] 2 9" xfId="20219" xr:uid="{00000000-0005-0000-0000-0000E04E0000}"/>
    <cellStyle name="Currency [0] 2 9 10" xfId="20220" xr:uid="{00000000-0005-0000-0000-0000E14E0000}"/>
    <cellStyle name="Currency [0] 2 9 11" xfId="20221" xr:uid="{00000000-0005-0000-0000-0000E24E0000}"/>
    <cellStyle name="Currency [0] 2 9 12" xfId="20222" xr:uid="{00000000-0005-0000-0000-0000E34E0000}"/>
    <cellStyle name="Currency [0] 2 9 13" xfId="20223" xr:uid="{00000000-0005-0000-0000-0000E44E0000}"/>
    <cellStyle name="Currency [0] 2 9 14" xfId="20224" xr:uid="{00000000-0005-0000-0000-0000E54E0000}"/>
    <cellStyle name="Currency [0] 2 9 15" xfId="20225" xr:uid="{00000000-0005-0000-0000-0000E64E0000}"/>
    <cellStyle name="Currency [0] 2 9 16" xfId="20226" xr:uid="{00000000-0005-0000-0000-0000E74E0000}"/>
    <cellStyle name="Currency [0] 2 9 17" xfId="20227" xr:uid="{00000000-0005-0000-0000-0000E84E0000}"/>
    <cellStyle name="Currency [0] 2 9 18" xfId="20228" xr:uid="{00000000-0005-0000-0000-0000E94E0000}"/>
    <cellStyle name="Currency [0] 2 9 19" xfId="20229" xr:uid="{00000000-0005-0000-0000-0000EA4E0000}"/>
    <cellStyle name="Currency [0] 2 9 2" xfId="20230" xr:uid="{00000000-0005-0000-0000-0000EB4E0000}"/>
    <cellStyle name="Currency [0] 2 9 20" xfId="20231" xr:uid="{00000000-0005-0000-0000-0000EC4E0000}"/>
    <cellStyle name="Currency [0] 2 9 21" xfId="20232" xr:uid="{00000000-0005-0000-0000-0000ED4E0000}"/>
    <cellStyle name="Currency [0] 2 9 22" xfId="20233" xr:uid="{00000000-0005-0000-0000-0000EE4E0000}"/>
    <cellStyle name="Currency [0] 2 9 23" xfId="20234" xr:uid="{00000000-0005-0000-0000-0000EF4E0000}"/>
    <cellStyle name="Currency [0] 2 9 24" xfId="20235" xr:uid="{00000000-0005-0000-0000-0000F04E0000}"/>
    <cellStyle name="Currency [0] 2 9 25" xfId="20236" xr:uid="{00000000-0005-0000-0000-0000F14E0000}"/>
    <cellStyle name="Currency [0] 2 9 26" xfId="20237" xr:uid="{00000000-0005-0000-0000-0000F24E0000}"/>
    <cellStyle name="Currency [0] 2 9 27" xfId="20238" xr:uid="{00000000-0005-0000-0000-0000F34E0000}"/>
    <cellStyle name="Currency [0] 2 9 28" xfId="20239" xr:uid="{00000000-0005-0000-0000-0000F44E0000}"/>
    <cellStyle name="Currency [0] 2 9 29" xfId="20240" xr:uid="{00000000-0005-0000-0000-0000F54E0000}"/>
    <cellStyle name="Currency [0] 2 9 3" xfId="20241" xr:uid="{00000000-0005-0000-0000-0000F64E0000}"/>
    <cellStyle name="Currency [0] 2 9 30" xfId="20242" xr:uid="{00000000-0005-0000-0000-0000F74E0000}"/>
    <cellStyle name="Currency [0] 2 9 31" xfId="20243" xr:uid="{00000000-0005-0000-0000-0000F84E0000}"/>
    <cellStyle name="Currency [0] 2 9 32" xfId="20244" xr:uid="{00000000-0005-0000-0000-0000F94E0000}"/>
    <cellStyle name="Currency [0] 2 9 4" xfId="20245" xr:uid="{00000000-0005-0000-0000-0000FA4E0000}"/>
    <cellStyle name="Currency [0] 2 9 5" xfId="20246" xr:uid="{00000000-0005-0000-0000-0000FB4E0000}"/>
    <cellStyle name="Currency [0] 2 9 6" xfId="20247" xr:uid="{00000000-0005-0000-0000-0000FC4E0000}"/>
    <cellStyle name="Currency [0] 2 9 7" xfId="20248" xr:uid="{00000000-0005-0000-0000-0000FD4E0000}"/>
    <cellStyle name="Currency [0] 2 9 8" xfId="20249" xr:uid="{00000000-0005-0000-0000-0000FE4E0000}"/>
    <cellStyle name="Currency [0] 2 9 9" xfId="20250" xr:uid="{00000000-0005-0000-0000-0000FF4E0000}"/>
    <cellStyle name="Currency [0] 3" xfId="20251" xr:uid="{00000000-0005-0000-0000-0000004F0000}"/>
    <cellStyle name="Currency [0] 3 10" xfId="20252" xr:uid="{00000000-0005-0000-0000-0000014F0000}"/>
    <cellStyle name="Currency [0] 3 11" xfId="20253" xr:uid="{00000000-0005-0000-0000-0000024F0000}"/>
    <cellStyle name="Currency [0] 3 12" xfId="20254" xr:uid="{00000000-0005-0000-0000-0000034F0000}"/>
    <cellStyle name="Currency [0] 3 13" xfId="20255" xr:uid="{00000000-0005-0000-0000-0000044F0000}"/>
    <cellStyle name="Currency [0] 3 14" xfId="20256" xr:uid="{00000000-0005-0000-0000-0000054F0000}"/>
    <cellStyle name="Currency [0] 3 15" xfId="20257" xr:uid="{00000000-0005-0000-0000-0000064F0000}"/>
    <cellStyle name="Currency [0] 3 16" xfId="20258" xr:uid="{00000000-0005-0000-0000-0000074F0000}"/>
    <cellStyle name="Currency [0] 3 17" xfId="20259" xr:uid="{00000000-0005-0000-0000-0000084F0000}"/>
    <cellStyle name="Currency [0] 3 18" xfId="20260" xr:uid="{00000000-0005-0000-0000-0000094F0000}"/>
    <cellStyle name="Currency [0] 3 19" xfId="20261" xr:uid="{00000000-0005-0000-0000-00000A4F0000}"/>
    <cellStyle name="Currency [0] 3 2" xfId="20262" xr:uid="{00000000-0005-0000-0000-00000B4F0000}"/>
    <cellStyle name="Currency [0] 3 2 10" xfId="20263" xr:uid="{00000000-0005-0000-0000-00000C4F0000}"/>
    <cellStyle name="Currency [0] 3 2 11" xfId="20264" xr:uid="{00000000-0005-0000-0000-00000D4F0000}"/>
    <cellStyle name="Currency [0] 3 2 12" xfId="20265" xr:uid="{00000000-0005-0000-0000-00000E4F0000}"/>
    <cellStyle name="Currency [0] 3 2 13" xfId="20266" xr:uid="{00000000-0005-0000-0000-00000F4F0000}"/>
    <cellStyle name="Currency [0] 3 2 14" xfId="20267" xr:uid="{00000000-0005-0000-0000-0000104F0000}"/>
    <cellStyle name="Currency [0] 3 2 15" xfId="20268" xr:uid="{00000000-0005-0000-0000-0000114F0000}"/>
    <cellStyle name="Currency [0] 3 2 16" xfId="20269" xr:uid="{00000000-0005-0000-0000-0000124F0000}"/>
    <cellStyle name="Currency [0] 3 2 17" xfId="20270" xr:uid="{00000000-0005-0000-0000-0000134F0000}"/>
    <cellStyle name="Currency [0] 3 2 18" xfId="20271" xr:uid="{00000000-0005-0000-0000-0000144F0000}"/>
    <cellStyle name="Currency [0] 3 2 19" xfId="20272" xr:uid="{00000000-0005-0000-0000-0000154F0000}"/>
    <cellStyle name="Currency [0] 3 2 2" xfId="20273" xr:uid="{00000000-0005-0000-0000-0000164F0000}"/>
    <cellStyle name="Currency [0] 3 2 20" xfId="20274" xr:uid="{00000000-0005-0000-0000-0000174F0000}"/>
    <cellStyle name="Currency [0] 3 2 21" xfId="20275" xr:uid="{00000000-0005-0000-0000-0000184F0000}"/>
    <cellStyle name="Currency [0] 3 2 22" xfId="20276" xr:uid="{00000000-0005-0000-0000-0000194F0000}"/>
    <cellStyle name="Currency [0] 3 2 23" xfId="20277" xr:uid="{00000000-0005-0000-0000-00001A4F0000}"/>
    <cellStyle name="Currency [0] 3 2 24" xfId="20278" xr:uid="{00000000-0005-0000-0000-00001B4F0000}"/>
    <cellStyle name="Currency [0] 3 2 25" xfId="20279" xr:uid="{00000000-0005-0000-0000-00001C4F0000}"/>
    <cellStyle name="Currency [0] 3 2 26" xfId="20280" xr:uid="{00000000-0005-0000-0000-00001D4F0000}"/>
    <cellStyle name="Currency [0] 3 2 27" xfId="20281" xr:uid="{00000000-0005-0000-0000-00001E4F0000}"/>
    <cellStyle name="Currency [0] 3 2 28" xfId="20282" xr:uid="{00000000-0005-0000-0000-00001F4F0000}"/>
    <cellStyle name="Currency [0] 3 2 29" xfId="20283" xr:uid="{00000000-0005-0000-0000-0000204F0000}"/>
    <cellStyle name="Currency [0] 3 2 3" xfId="20284" xr:uid="{00000000-0005-0000-0000-0000214F0000}"/>
    <cellStyle name="Currency [0] 3 2 30" xfId="20285" xr:uid="{00000000-0005-0000-0000-0000224F0000}"/>
    <cellStyle name="Currency [0] 3 2 31" xfId="20286" xr:uid="{00000000-0005-0000-0000-0000234F0000}"/>
    <cellStyle name="Currency [0] 3 2 32" xfId="20287" xr:uid="{00000000-0005-0000-0000-0000244F0000}"/>
    <cellStyle name="Currency [0] 3 2 4" xfId="20288" xr:uid="{00000000-0005-0000-0000-0000254F0000}"/>
    <cellStyle name="Currency [0] 3 2 5" xfId="20289" xr:uid="{00000000-0005-0000-0000-0000264F0000}"/>
    <cellStyle name="Currency [0] 3 2 6" xfId="20290" xr:uid="{00000000-0005-0000-0000-0000274F0000}"/>
    <cellStyle name="Currency [0] 3 2 7" xfId="20291" xr:uid="{00000000-0005-0000-0000-0000284F0000}"/>
    <cellStyle name="Currency [0] 3 2 8" xfId="20292" xr:uid="{00000000-0005-0000-0000-0000294F0000}"/>
    <cellStyle name="Currency [0] 3 2 9" xfId="20293" xr:uid="{00000000-0005-0000-0000-00002A4F0000}"/>
    <cellStyle name="Currency [0] 3 20" xfId="20294" xr:uid="{00000000-0005-0000-0000-00002B4F0000}"/>
    <cellStyle name="Currency [0] 3 21" xfId="20295" xr:uid="{00000000-0005-0000-0000-00002C4F0000}"/>
    <cellStyle name="Currency [0] 3 22" xfId="20296" xr:uid="{00000000-0005-0000-0000-00002D4F0000}"/>
    <cellStyle name="Currency [0] 3 23" xfId="20297" xr:uid="{00000000-0005-0000-0000-00002E4F0000}"/>
    <cellStyle name="Currency [0] 3 24" xfId="20298" xr:uid="{00000000-0005-0000-0000-00002F4F0000}"/>
    <cellStyle name="Currency [0] 3 25" xfId="20299" xr:uid="{00000000-0005-0000-0000-0000304F0000}"/>
    <cellStyle name="Currency [0] 3 26" xfId="20300" xr:uid="{00000000-0005-0000-0000-0000314F0000}"/>
    <cellStyle name="Currency [0] 3 27" xfId="20301" xr:uid="{00000000-0005-0000-0000-0000324F0000}"/>
    <cellStyle name="Currency [0] 3 28" xfId="20302" xr:uid="{00000000-0005-0000-0000-0000334F0000}"/>
    <cellStyle name="Currency [0] 3 29" xfId="20303" xr:uid="{00000000-0005-0000-0000-0000344F0000}"/>
    <cellStyle name="Currency [0] 3 3" xfId="20304" xr:uid="{00000000-0005-0000-0000-0000354F0000}"/>
    <cellStyle name="Currency [0] 3 3 10" xfId="20305" xr:uid="{00000000-0005-0000-0000-0000364F0000}"/>
    <cellStyle name="Currency [0] 3 3 11" xfId="20306" xr:uid="{00000000-0005-0000-0000-0000374F0000}"/>
    <cellStyle name="Currency [0] 3 3 12" xfId="20307" xr:uid="{00000000-0005-0000-0000-0000384F0000}"/>
    <cellStyle name="Currency [0] 3 3 13" xfId="20308" xr:uid="{00000000-0005-0000-0000-0000394F0000}"/>
    <cellStyle name="Currency [0] 3 3 14" xfId="20309" xr:uid="{00000000-0005-0000-0000-00003A4F0000}"/>
    <cellStyle name="Currency [0] 3 3 15" xfId="20310" xr:uid="{00000000-0005-0000-0000-00003B4F0000}"/>
    <cellStyle name="Currency [0] 3 3 16" xfId="20311" xr:uid="{00000000-0005-0000-0000-00003C4F0000}"/>
    <cellStyle name="Currency [0] 3 3 17" xfId="20312" xr:uid="{00000000-0005-0000-0000-00003D4F0000}"/>
    <cellStyle name="Currency [0] 3 3 18" xfId="20313" xr:uid="{00000000-0005-0000-0000-00003E4F0000}"/>
    <cellStyle name="Currency [0] 3 3 19" xfId="20314" xr:uid="{00000000-0005-0000-0000-00003F4F0000}"/>
    <cellStyle name="Currency [0] 3 3 2" xfId="20315" xr:uid="{00000000-0005-0000-0000-0000404F0000}"/>
    <cellStyle name="Currency [0] 3 3 20" xfId="20316" xr:uid="{00000000-0005-0000-0000-0000414F0000}"/>
    <cellStyle name="Currency [0] 3 3 21" xfId="20317" xr:uid="{00000000-0005-0000-0000-0000424F0000}"/>
    <cellStyle name="Currency [0] 3 3 22" xfId="20318" xr:uid="{00000000-0005-0000-0000-0000434F0000}"/>
    <cellStyle name="Currency [0] 3 3 23" xfId="20319" xr:uid="{00000000-0005-0000-0000-0000444F0000}"/>
    <cellStyle name="Currency [0] 3 3 24" xfId="20320" xr:uid="{00000000-0005-0000-0000-0000454F0000}"/>
    <cellStyle name="Currency [0] 3 3 25" xfId="20321" xr:uid="{00000000-0005-0000-0000-0000464F0000}"/>
    <cellStyle name="Currency [0] 3 3 26" xfId="20322" xr:uid="{00000000-0005-0000-0000-0000474F0000}"/>
    <cellStyle name="Currency [0] 3 3 27" xfId="20323" xr:uid="{00000000-0005-0000-0000-0000484F0000}"/>
    <cellStyle name="Currency [0] 3 3 28" xfId="20324" xr:uid="{00000000-0005-0000-0000-0000494F0000}"/>
    <cellStyle name="Currency [0] 3 3 29" xfId="20325" xr:uid="{00000000-0005-0000-0000-00004A4F0000}"/>
    <cellStyle name="Currency [0] 3 3 3" xfId="20326" xr:uid="{00000000-0005-0000-0000-00004B4F0000}"/>
    <cellStyle name="Currency [0] 3 3 30" xfId="20327" xr:uid="{00000000-0005-0000-0000-00004C4F0000}"/>
    <cellStyle name="Currency [0] 3 3 31" xfId="20328" xr:uid="{00000000-0005-0000-0000-00004D4F0000}"/>
    <cellStyle name="Currency [0] 3 3 32" xfId="20329" xr:uid="{00000000-0005-0000-0000-00004E4F0000}"/>
    <cellStyle name="Currency [0] 3 3 4" xfId="20330" xr:uid="{00000000-0005-0000-0000-00004F4F0000}"/>
    <cellStyle name="Currency [0] 3 3 5" xfId="20331" xr:uid="{00000000-0005-0000-0000-0000504F0000}"/>
    <cellStyle name="Currency [0] 3 3 6" xfId="20332" xr:uid="{00000000-0005-0000-0000-0000514F0000}"/>
    <cellStyle name="Currency [0] 3 3 7" xfId="20333" xr:uid="{00000000-0005-0000-0000-0000524F0000}"/>
    <cellStyle name="Currency [0] 3 3 8" xfId="20334" xr:uid="{00000000-0005-0000-0000-0000534F0000}"/>
    <cellStyle name="Currency [0] 3 3 9" xfId="20335" xr:uid="{00000000-0005-0000-0000-0000544F0000}"/>
    <cellStyle name="Currency [0] 3 30" xfId="20336" xr:uid="{00000000-0005-0000-0000-0000554F0000}"/>
    <cellStyle name="Currency [0] 3 31" xfId="20337" xr:uid="{00000000-0005-0000-0000-0000564F0000}"/>
    <cellStyle name="Currency [0] 3 32" xfId="20338" xr:uid="{00000000-0005-0000-0000-0000574F0000}"/>
    <cellStyle name="Currency [0] 3 33" xfId="20339" xr:uid="{00000000-0005-0000-0000-0000584F0000}"/>
    <cellStyle name="Currency [0] 3 34" xfId="20340" xr:uid="{00000000-0005-0000-0000-0000594F0000}"/>
    <cellStyle name="Currency [0] 3 35" xfId="20341" xr:uid="{00000000-0005-0000-0000-00005A4F0000}"/>
    <cellStyle name="Currency [0] 3 36" xfId="20342" xr:uid="{00000000-0005-0000-0000-00005B4F0000}"/>
    <cellStyle name="Currency [0] 3 37" xfId="20343" xr:uid="{00000000-0005-0000-0000-00005C4F0000}"/>
    <cellStyle name="Currency [0] 3 38" xfId="20344" xr:uid="{00000000-0005-0000-0000-00005D4F0000}"/>
    <cellStyle name="Currency [0] 3 39" xfId="20345" xr:uid="{00000000-0005-0000-0000-00005E4F0000}"/>
    <cellStyle name="Currency [0] 3 4" xfId="20346" xr:uid="{00000000-0005-0000-0000-00005F4F0000}"/>
    <cellStyle name="Currency [0] 3 4 10" xfId="20347" xr:uid="{00000000-0005-0000-0000-0000604F0000}"/>
    <cellStyle name="Currency [0] 3 4 11" xfId="20348" xr:uid="{00000000-0005-0000-0000-0000614F0000}"/>
    <cellStyle name="Currency [0] 3 4 12" xfId="20349" xr:uid="{00000000-0005-0000-0000-0000624F0000}"/>
    <cellStyle name="Currency [0] 3 4 13" xfId="20350" xr:uid="{00000000-0005-0000-0000-0000634F0000}"/>
    <cellStyle name="Currency [0] 3 4 14" xfId="20351" xr:uid="{00000000-0005-0000-0000-0000644F0000}"/>
    <cellStyle name="Currency [0] 3 4 15" xfId="20352" xr:uid="{00000000-0005-0000-0000-0000654F0000}"/>
    <cellStyle name="Currency [0] 3 4 16" xfId="20353" xr:uid="{00000000-0005-0000-0000-0000664F0000}"/>
    <cellStyle name="Currency [0] 3 4 17" xfId="20354" xr:uid="{00000000-0005-0000-0000-0000674F0000}"/>
    <cellStyle name="Currency [0] 3 4 18" xfId="20355" xr:uid="{00000000-0005-0000-0000-0000684F0000}"/>
    <cellStyle name="Currency [0] 3 4 19" xfId="20356" xr:uid="{00000000-0005-0000-0000-0000694F0000}"/>
    <cellStyle name="Currency [0] 3 4 2" xfId="20357" xr:uid="{00000000-0005-0000-0000-00006A4F0000}"/>
    <cellStyle name="Currency [0] 3 4 20" xfId="20358" xr:uid="{00000000-0005-0000-0000-00006B4F0000}"/>
    <cellStyle name="Currency [0] 3 4 21" xfId="20359" xr:uid="{00000000-0005-0000-0000-00006C4F0000}"/>
    <cellStyle name="Currency [0] 3 4 22" xfId="20360" xr:uid="{00000000-0005-0000-0000-00006D4F0000}"/>
    <cellStyle name="Currency [0] 3 4 23" xfId="20361" xr:uid="{00000000-0005-0000-0000-00006E4F0000}"/>
    <cellStyle name="Currency [0] 3 4 24" xfId="20362" xr:uid="{00000000-0005-0000-0000-00006F4F0000}"/>
    <cellStyle name="Currency [0] 3 4 25" xfId="20363" xr:uid="{00000000-0005-0000-0000-0000704F0000}"/>
    <cellStyle name="Currency [0] 3 4 26" xfId="20364" xr:uid="{00000000-0005-0000-0000-0000714F0000}"/>
    <cellStyle name="Currency [0] 3 4 27" xfId="20365" xr:uid="{00000000-0005-0000-0000-0000724F0000}"/>
    <cellStyle name="Currency [0] 3 4 28" xfId="20366" xr:uid="{00000000-0005-0000-0000-0000734F0000}"/>
    <cellStyle name="Currency [0] 3 4 29" xfId="20367" xr:uid="{00000000-0005-0000-0000-0000744F0000}"/>
    <cellStyle name="Currency [0] 3 4 3" xfId="20368" xr:uid="{00000000-0005-0000-0000-0000754F0000}"/>
    <cellStyle name="Currency [0] 3 4 30" xfId="20369" xr:uid="{00000000-0005-0000-0000-0000764F0000}"/>
    <cellStyle name="Currency [0] 3 4 31" xfId="20370" xr:uid="{00000000-0005-0000-0000-0000774F0000}"/>
    <cellStyle name="Currency [0] 3 4 32" xfId="20371" xr:uid="{00000000-0005-0000-0000-0000784F0000}"/>
    <cellStyle name="Currency [0] 3 4 4" xfId="20372" xr:uid="{00000000-0005-0000-0000-0000794F0000}"/>
    <cellStyle name="Currency [0] 3 4 5" xfId="20373" xr:uid="{00000000-0005-0000-0000-00007A4F0000}"/>
    <cellStyle name="Currency [0] 3 4 6" xfId="20374" xr:uid="{00000000-0005-0000-0000-00007B4F0000}"/>
    <cellStyle name="Currency [0] 3 4 7" xfId="20375" xr:uid="{00000000-0005-0000-0000-00007C4F0000}"/>
    <cellStyle name="Currency [0] 3 4 8" xfId="20376" xr:uid="{00000000-0005-0000-0000-00007D4F0000}"/>
    <cellStyle name="Currency [0] 3 4 9" xfId="20377" xr:uid="{00000000-0005-0000-0000-00007E4F0000}"/>
    <cellStyle name="Currency [0] 3 40" xfId="20378" xr:uid="{00000000-0005-0000-0000-00007F4F0000}"/>
    <cellStyle name="Currency [0] 3 5" xfId="20379" xr:uid="{00000000-0005-0000-0000-0000804F0000}"/>
    <cellStyle name="Currency [0] 3 5 10" xfId="20380" xr:uid="{00000000-0005-0000-0000-0000814F0000}"/>
    <cellStyle name="Currency [0] 3 5 11" xfId="20381" xr:uid="{00000000-0005-0000-0000-0000824F0000}"/>
    <cellStyle name="Currency [0] 3 5 12" xfId="20382" xr:uid="{00000000-0005-0000-0000-0000834F0000}"/>
    <cellStyle name="Currency [0] 3 5 13" xfId="20383" xr:uid="{00000000-0005-0000-0000-0000844F0000}"/>
    <cellStyle name="Currency [0] 3 5 14" xfId="20384" xr:uid="{00000000-0005-0000-0000-0000854F0000}"/>
    <cellStyle name="Currency [0] 3 5 15" xfId="20385" xr:uid="{00000000-0005-0000-0000-0000864F0000}"/>
    <cellStyle name="Currency [0] 3 5 16" xfId="20386" xr:uid="{00000000-0005-0000-0000-0000874F0000}"/>
    <cellStyle name="Currency [0] 3 5 17" xfId="20387" xr:uid="{00000000-0005-0000-0000-0000884F0000}"/>
    <cellStyle name="Currency [0] 3 5 18" xfId="20388" xr:uid="{00000000-0005-0000-0000-0000894F0000}"/>
    <cellStyle name="Currency [0] 3 5 19" xfId="20389" xr:uid="{00000000-0005-0000-0000-00008A4F0000}"/>
    <cellStyle name="Currency [0] 3 5 2" xfId="20390" xr:uid="{00000000-0005-0000-0000-00008B4F0000}"/>
    <cellStyle name="Currency [0] 3 5 20" xfId="20391" xr:uid="{00000000-0005-0000-0000-00008C4F0000}"/>
    <cellStyle name="Currency [0] 3 5 21" xfId="20392" xr:uid="{00000000-0005-0000-0000-00008D4F0000}"/>
    <cellStyle name="Currency [0] 3 5 22" xfId="20393" xr:uid="{00000000-0005-0000-0000-00008E4F0000}"/>
    <cellStyle name="Currency [0] 3 5 23" xfId="20394" xr:uid="{00000000-0005-0000-0000-00008F4F0000}"/>
    <cellStyle name="Currency [0] 3 5 24" xfId="20395" xr:uid="{00000000-0005-0000-0000-0000904F0000}"/>
    <cellStyle name="Currency [0] 3 5 25" xfId="20396" xr:uid="{00000000-0005-0000-0000-0000914F0000}"/>
    <cellStyle name="Currency [0] 3 5 26" xfId="20397" xr:uid="{00000000-0005-0000-0000-0000924F0000}"/>
    <cellStyle name="Currency [0] 3 5 27" xfId="20398" xr:uid="{00000000-0005-0000-0000-0000934F0000}"/>
    <cellStyle name="Currency [0] 3 5 28" xfId="20399" xr:uid="{00000000-0005-0000-0000-0000944F0000}"/>
    <cellStyle name="Currency [0] 3 5 29" xfId="20400" xr:uid="{00000000-0005-0000-0000-0000954F0000}"/>
    <cellStyle name="Currency [0] 3 5 3" xfId="20401" xr:uid="{00000000-0005-0000-0000-0000964F0000}"/>
    <cellStyle name="Currency [0] 3 5 30" xfId="20402" xr:uid="{00000000-0005-0000-0000-0000974F0000}"/>
    <cellStyle name="Currency [0] 3 5 31" xfId="20403" xr:uid="{00000000-0005-0000-0000-0000984F0000}"/>
    <cellStyle name="Currency [0] 3 5 32" xfId="20404" xr:uid="{00000000-0005-0000-0000-0000994F0000}"/>
    <cellStyle name="Currency [0] 3 5 4" xfId="20405" xr:uid="{00000000-0005-0000-0000-00009A4F0000}"/>
    <cellStyle name="Currency [0] 3 5 5" xfId="20406" xr:uid="{00000000-0005-0000-0000-00009B4F0000}"/>
    <cellStyle name="Currency [0] 3 5 6" xfId="20407" xr:uid="{00000000-0005-0000-0000-00009C4F0000}"/>
    <cellStyle name="Currency [0] 3 5 7" xfId="20408" xr:uid="{00000000-0005-0000-0000-00009D4F0000}"/>
    <cellStyle name="Currency [0] 3 5 8" xfId="20409" xr:uid="{00000000-0005-0000-0000-00009E4F0000}"/>
    <cellStyle name="Currency [0] 3 5 9" xfId="20410" xr:uid="{00000000-0005-0000-0000-00009F4F0000}"/>
    <cellStyle name="Currency [0] 3 6" xfId="20411" xr:uid="{00000000-0005-0000-0000-0000A04F0000}"/>
    <cellStyle name="Currency [0] 3 6 10" xfId="20412" xr:uid="{00000000-0005-0000-0000-0000A14F0000}"/>
    <cellStyle name="Currency [0] 3 6 11" xfId="20413" xr:uid="{00000000-0005-0000-0000-0000A24F0000}"/>
    <cellStyle name="Currency [0] 3 6 12" xfId="20414" xr:uid="{00000000-0005-0000-0000-0000A34F0000}"/>
    <cellStyle name="Currency [0] 3 6 13" xfId="20415" xr:uid="{00000000-0005-0000-0000-0000A44F0000}"/>
    <cellStyle name="Currency [0] 3 6 14" xfId="20416" xr:uid="{00000000-0005-0000-0000-0000A54F0000}"/>
    <cellStyle name="Currency [0] 3 6 15" xfId="20417" xr:uid="{00000000-0005-0000-0000-0000A64F0000}"/>
    <cellStyle name="Currency [0] 3 6 16" xfId="20418" xr:uid="{00000000-0005-0000-0000-0000A74F0000}"/>
    <cellStyle name="Currency [0] 3 6 17" xfId="20419" xr:uid="{00000000-0005-0000-0000-0000A84F0000}"/>
    <cellStyle name="Currency [0] 3 6 18" xfId="20420" xr:uid="{00000000-0005-0000-0000-0000A94F0000}"/>
    <cellStyle name="Currency [0] 3 6 19" xfId="20421" xr:uid="{00000000-0005-0000-0000-0000AA4F0000}"/>
    <cellStyle name="Currency [0] 3 6 2" xfId="20422" xr:uid="{00000000-0005-0000-0000-0000AB4F0000}"/>
    <cellStyle name="Currency [0] 3 6 20" xfId="20423" xr:uid="{00000000-0005-0000-0000-0000AC4F0000}"/>
    <cellStyle name="Currency [0] 3 6 21" xfId="20424" xr:uid="{00000000-0005-0000-0000-0000AD4F0000}"/>
    <cellStyle name="Currency [0] 3 6 22" xfId="20425" xr:uid="{00000000-0005-0000-0000-0000AE4F0000}"/>
    <cellStyle name="Currency [0] 3 6 23" xfId="20426" xr:uid="{00000000-0005-0000-0000-0000AF4F0000}"/>
    <cellStyle name="Currency [0] 3 6 24" xfId="20427" xr:uid="{00000000-0005-0000-0000-0000B04F0000}"/>
    <cellStyle name="Currency [0] 3 6 25" xfId="20428" xr:uid="{00000000-0005-0000-0000-0000B14F0000}"/>
    <cellStyle name="Currency [0] 3 6 26" xfId="20429" xr:uid="{00000000-0005-0000-0000-0000B24F0000}"/>
    <cellStyle name="Currency [0] 3 6 27" xfId="20430" xr:uid="{00000000-0005-0000-0000-0000B34F0000}"/>
    <cellStyle name="Currency [0] 3 6 28" xfId="20431" xr:uid="{00000000-0005-0000-0000-0000B44F0000}"/>
    <cellStyle name="Currency [0] 3 6 29" xfId="20432" xr:uid="{00000000-0005-0000-0000-0000B54F0000}"/>
    <cellStyle name="Currency [0] 3 6 3" xfId="20433" xr:uid="{00000000-0005-0000-0000-0000B64F0000}"/>
    <cellStyle name="Currency [0] 3 6 30" xfId="20434" xr:uid="{00000000-0005-0000-0000-0000B74F0000}"/>
    <cellStyle name="Currency [0] 3 6 31" xfId="20435" xr:uid="{00000000-0005-0000-0000-0000B84F0000}"/>
    <cellStyle name="Currency [0] 3 6 32" xfId="20436" xr:uid="{00000000-0005-0000-0000-0000B94F0000}"/>
    <cellStyle name="Currency [0] 3 6 4" xfId="20437" xr:uid="{00000000-0005-0000-0000-0000BA4F0000}"/>
    <cellStyle name="Currency [0] 3 6 5" xfId="20438" xr:uid="{00000000-0005-0000-0000-0000BB4F0000}"/>
    <cellStyle name="Currency [0] 3 6 6" xfId="20439" xr:uid="{00000000-0005-0000-0000-0000BC4F0000}"/>
    <cellStyle name="Currency [0] 3 6 7" xfId="20440" xr:uid="{00000000-0005-0000-0000-0000BD4F0000}"/>
    <cellStyle name="Currency [0] 3 6 8" xfId="20441" xr:uid="{00000000-0005-0000-0000-0000BE4F0000}"/>
    <cellStyle name="Currency [0] 3 6 9" xfId="20442" xr:uid="{00000000-0005-0000-0000-0000BF4F0000}"/>
    <cellStyle name="Currency [0] 3 7" xfId="20443" xr:uid="{00000000-0005-0000-0000-0000C04F0000}"/>
    <cellStyle name="Currency [0] 3 7 10" xfId="20444" xr:uid="{00000000-0005-0000-0000-0000C14F0000}"/>
    <cellStyle name="Currency [0] 3 7 11" xfId="20445" xr:uid="{00000000-0005-0000-0000-0000C24F0000}"/>
    <cellStyle name="Currency [0] 3 7 12" xfId="20446" xr:uid="{00000000-0005-0000-0000-0000C34F0000}"/>
    <cellStyle name="Currency [0] 3 7 13" xfId="20447" xr:uid="{00000000-0005-0000-0000-0000C44F0000}"/>
    <cellStyle name="Currency [0] 3 7 14" xfId="20448" xr:uid="{00000000-0005-0000-0000-0000C54F0000}"/>
    <cellStyle name="Currency [0] 3 7 15" xfId="20449" xr:uid="{00000000-0005-0000-0000-0000C64F0000}"/>
    <cellStyle name="Currency [0] 3 7 16" xfId="20450" xr:uid="{00000000-0005-0000-0000-0000C74F0000}"/>
    <cellStyle name="Currency [0] 3 7 17" xfId="20451" xr:uid="{00000000-0005-0000-0000-0000C84F0000}"/>
    <cellStyle name="Currency [0] 3 7 18" xfId="20452" xr:uid="{00000000-0005-0000-0000-0000C94F0000}"/>
    <cellStyle name="Currency [0] 3 7 19" xfId="20453" xr:uid="{00000000-0005-0000-0000-0000CA4F0000}"/>
    <cellStyle name="Currency [0] 3 7 2" xfId="20454" xr:uid="{00000000-0005-0000-0000-0000CB4F0000}"/>
    <cellStyle name="Currency [0] 3 7 20" xfId="20455" xr:uid="{00000000-0005-0000-0000-0000CC4F0000}"/>
    <cellStyle name="Currency [0] 3 7 21" xfId="20456" xr:uid="{00000000-0005-0000-0000-0000CD4F0000}"/>
    <cellStyle name="Currency [0] 3 7 22" xfId="20457" xr:uid="{00000000-0005-0000-0000-0000CE4F0000}"/>
    <cellStyle name="Currency [0] 3 7 23" xfId="20458" xr:uid="{00000000-0005-0000-0000-0000CF4F0000}"/>
    <cellStyle name="Currency [0] 3 7 24" xfId="20459" xr:uid="{00000000-0005-0000-0000-0000D04F0000}"/>
    <cellStyle name="Currency [0] 3 7 25" xfId="20460" xr:uid="{00000000-0005-0000-0000-0000D14F0000}"/>
    <cellStyle name="Currency [0] 3 7 26" xfId="20461" xr:uid="{00000000-0005-0000-0000-0000D24F0000}"/>
    <cellStyle name="Currency [0] 3 7 27" xfId="20462" xr:uid="{00000000-0005-0000-0000-0000D34F0000}"/>
    <cellStyle name="Currency [0] 3 7 28" xfId="20463" xr:uid="{00000000-0005-0000-0000-0000D44F0000}"/>
    <cellStyle name="Currency [0] 3 7 29" xfId="20464" xr:uid="{00000000-0005-0000-0000-0000D54F0000}"/>
    <cellStyle name="Currency [0] 3 7 3" xfId="20465" xr:uid="{00000000-0005-0000-0000-0000D64F0000}"/>
    <cellStyle name="Currency [0] 3 7 30" xfId="20466" xr:uid="{00000000-0005-0000-0000-0000D74F0000}"/>
    <cellStyle name="Currency [0] 3 7 31" xfId="20467" xr:uid="{00000000-0005-0000-0000-0000D84F0000}"/>
    <cellStyle name="Currency [0] 3 7 32" xfId="20468" xr:uid="{00000000-0005-0000-0000-0000D94F0000}"/>
    <cellStyle name="Currency [0] 3 7 4" xfId="20469" xr:uid="{00000000-0005-0000-0000-0000DA4F0000}"/>
    <cellStyle name="Currency [0] 3 7 5" xfId="20470" xr:uid="{00000000-0005-0000-0000-0000DB4F0000}"/>
    <cellStyle name="Currency [0] 3 7 6" xfId="20471" xr:uid="{00000000-0005-0000-0000-0000DC4F0000}"/>
    <cellStyle name="Currency [0] 3 7 7" xfId="20472" xr:uid="{00000000-0005-0000-0000-0000DD4F0000}"/>
    <cellStyle name="Currency [0] 3 7 8" xfId="20473" xr:uid="{00000000-0005-0000-0000-0000DE4F0000}"/>
    <cellStyle name="Currency [0] 3 7 9" xfId="20474" xr:uid="{00000000-0005-0000-0000-0000DF4F0000}"/>
    <cellStyle name="Currency [0] 3 8" xfId="20475" xr:uid="{00000000-0005-0000-0000-0000E04F0000}"/>
    <cellStyle name="Currency [0] 3 8 10" xfId="20476" xr:uid="{00000000-0005-0000-0000-0000E14F0000}"/>
    <cellStyle name="Currency [0] 3 8 11" xfId="20477" xr:uid="{00000000-0005-0000-0000-0000E24F0000}"/>
    <cellStyle name="Currency [0] 3 8 12" xfId="20478" xr:uid="{00000000-0005-0000-0000-0000E34F0000}"/>
    <cellStyle name="Currency [0] 3 8 13" xfId="20479" xr:uid="{00000000-0005-0000-0000-0000E44F0000}"/>
    <cellStyle name="Currency [0] 3 8 14" xfId="20480" xr:uid="{00000000-0005-0000-0000-0000E54F0000}"/>
    <cellStyle name="Currency [0] 3 8 15" xfId="20481" xr:uid="{00000000-0005-0000-0000-0000E64F0000}"/>
    <cellStyle name="Currency [0] 3 8 16" xfId="20482" xr:uid="{00000000-0005-0000-0000-0000E74F0000}"/>
    <cellStyle name="Currency [0] 3 8 17" xfId="20483" xr:uid="{00000000-0005-0000-0000-0000E84F0000}"/>
    <cellStyle name="Currency [0] 3 8 18" xfId="20484" xr:uid="{00000000-0005-0000-0000-0000E94F0000}"/>
    <cellStyle name="Currency [0] 3 8 19" xfId="20485" xr:uid="{00000000-0005-0000-0000-0000EA4F0000}"/>
    <cellStyle name="Currency [0] 3 8 2" xfId="20486" xr:uid="{00000000-0005-0000-0000-0000EB4F0000}"/>
    <cellStyle name="Currency [0] 3 8 20" xfId="20487" xr:uid="{00000000-0005-0000-0000-0000EC4F0000}"/>
    <cellStyle name="Currency [0] 3 8 21" xfId="20488" xr:uid="{00000000-0005-0000-0000-0000ED4F0000}"/>
    <cellStyle name="Currency [0] 3 8 22" xfId="20489" xr:uid="{00000000-0005-0000-0000-0000EE4F0000}"/>
    <cellStyle name="Currency [0] 3 8 23" xfId="20490" xr:uid="{00000000-0005-0000-0000-0000EF4F0000}"/>
    <cellStyle name="Currency [0] 3 8 24" xfId="20491" xr:uid="{00000000-0005-0000-0000-0000F04F0000}"/>
    <cellStyle name="Currency [0] 3 8 25" xfId="20492" xr:uid="{00000000-0005-0000-0000-0000F14F0000}"/>
    <cellStyle name="Currency [0] 3 8 26" xfId="20493" xr:uid="{00000000-0005-0000-0000-0000F24F0000}"/>
    <cellStyle name="Currency [0] 3 8 27" xfId="20494" xr:uid="{00000000-0005-0000-0000-0000F34F0000}"/>
    <cellStyle name="Currency [0] 3 8 28" xfId="20495" xr:uid="{00000000-0005-0000-0000-0000F44F0000}"/>
    <cellStyle name="Currency [0] 3 8 29" xfId="20496" xr:uid="{00000000-0005-0000-0000-0000F54F0000}"/>
    <cellStyle name="Currency [0] 3 8 3" xfId="20497" xr:uid="{00000000-0005-0000-0000-0000F64F0000}"/>
    <cellStyle name="Currency [0] 3 8 30" xfId="20498" xr:uid="{00000000-0005-0000-0000-0000F74F0000}"/>
    <cellStyle name="Currency [0] 3 8 31" xfId="20499" xr:uid="{00000000-0005-0000-0000-0000F84F0000}"/>
    <cellStyle name="Currency [0] 3 8 32" xfId="20500" xr:uid="{00000000-0005-0000-0000-0000F94F0000}"/>
    <cellStyle name="Currency [0] 3 8 4" xfId="20501" xr:uid="{00000000-0005-0000-0000-0000FA4F0000}"/>
    <cellStyle name="Currency [0] 3 8 5" xfId="20502" xr:uid="{00000000-0005-0000-0000-0000FB4F0000}"/>
    <cellStyle name="Currency [0] 3 8 6" xfId="20503" xr:uid="{00000000-0005-0000-0000-0000FC4F0000}"/>
    <cellStyle name="Currency [0] 3 8 7" xfId="20504" xr:uid="{00000000-0005-0000-0000-0000FD4F0000}"/>
    <cellStyle name="Currency [0] 3 8 8" xfId="20505" xr:uid="{00000000-0005-0000-0000-0000FE4F0000}"/>
    <cellStyle name="Currency [0] 3 8 9" xfId="20506" xr:uid="{00000000-0005-0000-0000-0000FF4F0000}"/>
    <cellStyle name="Currency [0] 3 9" xfId="20507" xr:uid="{00000000-0005-0000-0000-000000500000}"/>
    <cellStyle name="Currency [0] 3 9 10" xfId="20508" xr:uid="{00000000-0005-0000-0000-000001500000}"/>
    <cellStyle name="Currency [0] 3 9 11" xfId="20509" xr:uid="{00000000-0005-0000-0000-000002500000}"/>
    <cellStyle name="Currency [0] 3 9 12" xfId="20510" xr:uid="{00000000-0005-0000-0000-000003500000}"/>
    <cellStyle name="Currency [0] 3 9 13" xfId="20511" xr:uid="{00000000-0005-0000-0000-000004500000}"/>
    <cellStyle name="Currency [0] 3 9 14" xfId="20512" xr:uid="{00000000-0005-0000-0000-000005500000}"/>
    <cellStyle name="Currency [0] 3 9 15" xfId="20513" xr:uid="{00000000-0005-0000-0000-000006500000}"/>
    <cellStyle name="Currency [0] 3 9 16" xfId="20514" xr:uid="{00000000-0005-0000-0000-000007500000}"/>
    <cellStyle name="Currency [0] 3 9 17" xfId="20515" xr:uid="{00000000-0005-0000-0000-000008500000}"/>
    <cellStyle name="Currency [0] 3 9 18" xfId="20516" xr:uid="{00000000-0005-0000-0000-000009500000}"/>
    <cellStyle name="Currency [0] 3 9 19" xfId="20517" xr:uid="{00000000-0005-0000-0000-00000A500000}"/>
    <cellStyle name="Currency [0] 3 9 2" xfId="20518" xr:uid="{00000000-0005-0000-0000-00000B500000}"/>
    <cellStyle name="Currency [0] 3 9 20" xfId="20519" xr:uid="{00000000-0005-0000-0000-00000C500000}"/>
    <cellStyle name="Currency [0] 3 9 21" xfId="20520" xr:uid="{00000000-0005-0000-0000-00000D500000}"/>
    <cellStyle name="Currency [0] 3 9 22" xfId="20521" xr:uid="{00000000-0005-0000-0000-00000E500000}"/>
    <cellStyle name="Currency [0] 3 9 23" xfId="20522" xr:uid="{00000000-0005-0000-0000-00000F500000}"/>
    <cellStyle name="Currency [0] 3 9 24" xfId="20523" xr:uid="{00000000-0005-0000-0000-000010500000}"/>
    <cellStyle name="Currency [0] 3 9 25" xfId="20524" xr:uid="{00000000-0005-0000-0000-000011500000}"/>
    <cellStyle name="Currency [0] 3 9 26" xfId="20525" xr:uid="{00000000-0005-0000-0000-000012500000}"/>
    <cellStyle name="Currency [0] 3 9 27" xfId="20526" xr:uid="{00000000-0005-0000-0000-000013500000}"/>
    <cellStyle name="Currency [0] 3 9 28" xfId="20527" xr:uid="{00000000-0005-0000-0000-000014500000}"/>
    <cellStyle name="Currency [0] 3 9 29" xfId="20528" xr:uid="{00000000-0005-0000-0000-000015500000}"/>
    <cellStyle name="Currency [0] 3 9 3" xfId="20529" xr:uid="{00000000-0005-0000-0000-000016500000}"/>
    <cellStyle name="Currency [0] 3 9 30" xfId="20530" xr:uid="{00000000-0005-0000-0000-000017500000}"/>
    <cellStyle name="Currency [0] 3 9 31" xfId="20531" xr:uid="{00000000-0005-0000-0000-000018500000}"/>
    <cellStyle name="Currency [0] 3 9 32" xfId="20532" xr:uid="{00000000-0005-0000-0000-000019500000}"/>
    <cellStyle name="Currency [0] 3 9 4" xfId="20533" xr:uid="{00000000-0005-0000-0000-00001A500000}"/>
    <cellStyle name="Currency [0] 3 9 5" xfId="20534" xr:uid="{00000000-0005-0000-0000-00001B500000}"/>
    <cellStyle name="Currency [0] 3 9 6" xfId="20535" xr:uid="{00000000-0005-0000-0000-00001C500000}"/>
    <cellStyle name="Currency [0] 3 9 7" xfId="20536" xr:uid="{00000000-0005-0000-0000-00001D500000}"/>
    <cellStyle name="Currency [0] 3 9 8" xfId="20537" xr:uid="{00000000-0005-0000-0000-00001E500000}"/>
    <cellStyle name="Currency [0] 3 9 9" xfId="20538" xr:uid="{00000000-0005-0000-0000-00001F500000}"/>
    <cellStyle name="Currency [0] 4" xfId="20539" xr:uid="{00000000-0005-0000-0000-000020500000}"/>
    <cellStyle name="Currency [0] 4 10" xfId="20540" xr:uid="{00000000-0005-0000-0000-000021500000}"/>
    <cellStyle name="Currency [0] 4 11" xfId="20541" xr:uid="{00000000-0005-0000-0000-000022500000}"/>
    <cellStyle name="Currency [0] 4 12" xfId="20542" xr:uid="{00000000-0005-0000-0000-000023500000}"/>
    <cellStyle name="Currency [0] 4 13" xfId="20543" xr:uid="{00000000-0005-0000-0000-000024500000}"/>
    <cellStyle name="Currency [0] 4 14" xfId="20544" xr:uid="{00000000-0005-0000-0000-000025500000}"/>
    <cellStyle name="Currency [0] 4 15" xfId="20545" xr:uid="{00000000-0005-0000-0000-000026500000}"/>
    <cellStyle name="Currency [0] 4 16" xfId="20546" xr:uid="{00000000-0005-0000-0000-000027500000}"/>
    <cellStyle name="Currency [0] 4 17" xfId="20547" xr:uid="{00000000-0005-0000-0000-000028500000}"/>
    <cellStyle name="Currency [0] 4 18" xfId="20548" xr:uid="{00000000-0005-0000-0000-000029500000}"/>
    <cellStyle name="Currency [0] 4 19" xfId="20549" xr:uid="{00000000-0005-0000-0000-00002A500000}"/>
    <cellStyle name="Currency [0] 4 2" xfId="20550" xr:uid="{00000000-0005-0000-0000-00002B500000}"/>
    <cellStyle name="Currency [0] 4 2 10" xfId="20551" xr:uid="{00000000-0005-0000-0000-00002C500000}"/>
    <cellStyle name="Currency [0] 4 2 11" xfId="20552" xr:uid="{00000000-0005-0000-0000-00002D500000}"/>
    <cellStyle name="Currency [0] 4 2 12" xfId="20553" xr:uid="{00000000-0005-0000-0000-00002E500000}"/>
    <cellStyle name="Currency [0] 4 2 13" xfId="20554" xr:uid="{00000000-0005-0000-0000-00002F500000}"/>
    <cellStyle name="Currency [0] 4 2 14" xfId="20555" xr:uid="{00000000-0005-0000-0000-000030500000}"/>
    <cellStyle name="Currency [0] 4 2 15" xfId="20556" xr:uid="{00000000-0005-0000-0000-000031500000}"/>
    <cellStyle name="Currency [0] 4 2 16" xfId="20557" xr:uid="{00000000-0005-0000-0000-000032500000}"/>
    <cellStyle name="Currency [0] 4 2 17" xfId="20558" xr:uid="{00000000-0005-0000-0000-000033500000}"/>
    <cellStyle name="Currency [0] 4 2 18" xfId="20559" xr:uid="{00000000-0005-0000-0000-000034500000}"/>
    <cellStyle name="Currency [0] 4 2 19" xfId="20560" xr:uid="{00000000-0005-0000-0000-000035500000}"/>
    <cellStyle name="Currency [0] 4 2 2" xfId="20561" xr:uid="{00000000-0005-0000-0000-000036500000}"/>
    <cellStyle name="Currency [0] 4 2 20" xfId="20562" xr:uid="{00000000-0005-0000-0000-000037500000}"/>
    <cellStyle name="Currency [0] 4 2 21" xfId="20563" xr:uid="{00000000-0005-0000-0000-000038500000}"/>
    <cellStyle name="Currency [0] 4 2 22" xfId="20564" xr:uid="{00000000-0005-0000-0000-000039500000}"/>
    <cellStyle name="Currency [0] 4 2 23" xfId="20565" xr:uid="{00000000-0005-0000-0000-00003A500000}"/>
    <cellStyle name="Currency [0] 4 2 24" xfId="20566" xr:uid="{00000000-0005-0000-0000-00003B500000}"/>
    <cellStyle name="Currency [0] 4 2 25" xfId="20567" xr:uid="{00000000-0005-0000-0000-00003C500000}"/>
    <cellStyle name="Currency [0] 4 2 26" xfId="20568" xr:uid="{00000000-0005-0000-0000-00003D500000}"/>
    <cellStyle name="Currency [0] 4 2 27" xfId="20569" xr:uid="{00000000-0005-0000-0000-00003E500000}"/>
    <cellStyle name="Currency [0] 4 2 28" xfId="20570" xr:uid="{00000000-0005-0000-0000-00003F500000}"/>
    <cellStyle name="Currency [0] 4 2 29" xfId="20571" xr:uid="{00000000-0005-0000-0000-000040500000}"/>
    <cellStyle name="Currency [0] 4 2 3" xfId="20572" xr:uid="{00000000-0005-0000-0000-000041500000}"/>
    <cellStyle name="Currency [0] 4 2 30" xfId="20573" xr:uid="{00000000-0005-0000-0000-000042500000}"/>
    <cellStyle name="Currency [0] 4 2 31" xfId="20574" xr:uid="{00000000-0005-0000-0000-000043500000}"/>
    <cellStyle name="Currency [0] 4 2 32" xfId="20575" xr:uid="{00000000-0005-0000-0000-000044500000}"/>
    <cellStyle name="Currency [0] 4 2 4" xfId="20576" xr:uid="{00000000-0005-0000-0000-000045500000}"/>
    <cellStyle name="Currency [0] 4 2 5" xfId="20577" xr:uid="{00000000-0005-0000-0000-000046500000}"/>
    <cellStyle name="Currency [0] 4 2 6" xfId="20578" xr:uid="{00000000-0005-0000-0000-000047500000}"/>
    <cellStyle name="Currency [0] 4 2 7" xfId="20579" xr:uid="{00000000-0005-0000-0000-000048500000}"/>
    <cellStyle name="Currency [0] 4 2 8" xfId="20580" xr:uid="{00000000-0005-0000-0000-000049500000}"/>
    <cellStyle name="Currency [0] 4 2 9" xfId="20581" xr:uid="{00000000-0005-0000-0000-00004A500000}"/>
    <cellStyle name="Currency [0] 4 20" xfId="20582" xr:uid="{00000000-0005-0000-0000-00004B500000}"/>
    <cellStyle name="Currency [0] 4 21" xfId="20583" xr:uid="{00000000-0005-0000-0000-00004C500000}"/>
    <cellStyle name="Currency [0] 4 22" xfId="20584" xr:uid="{00000000-0005-0000-0000-00004D500000}"/>
    <cellStyle name="Currency [0] 4 23" xfId="20585" xr:uid="{00000000-0005-0000-0000-00004E500000}"/>
    <cellStyle name="Currency [0] 4 24" xfId="20586" xr:uid="{00000000-0005-0000-0000-00004F500000}"/>
    <cellStyle name="Currency [0] 4 25" xfId="20587" xr:uid="{00000000-0005-0000-0000-000050500000}"/>
    <cellStyle name="Currency [0] 4 26" xfId="20588" xr:uid="{00000000-0005-0000-0000-000051500000}"/>
    <cellStyle name="Currency [0] 4 27" xfId="20589" xr:uid="{00000000-0005-0000-0000-000052500000}"/>
    <cellStyle name="Currency [0] 4 28" xfId="20590" xr:uid="{00000000-0005-0000-0000-000053500000}"/>
    <cellStyle name="Currency [0] 4 29" xfId="20591" xr:uid="{00000000-0005-0000-0000-000054500000}"/>
    <cellStyle name="Currency [0] 4 3" xfId="20592" xr:uid="{00000000-0005-0000-0000-000055500000}"/>
    <cellStyle name="Currency [0] 4 3 10" xfId="20593" xr:uid="{00000000-0005-0000-0000-000056500000}"/>
    <cellStyle name="Currency [0] 4 3 11" xfId="20594" xr:uid="{00000000-0005-0000-0000-000057500000}"/>
    <cellStyle name="Currency [0] 4 3 12" xfId="20595" xr:uid="{00000000-0005-0000-0000-000058500000}"/>
    <cellStyle name="Currency [0] 4 3 13" xfId="20596" xr:uid="{00000000-0005-0000-0000-000059500000}"/>
    <cellStyle name="Currency [0] 4 3 14" xfId="20597" xr:uid="{00000000-0005-0000-0000-00005A500000}"/>
    <cellStyle name="Currency [0] 4 3 15" xfId="20598" xr:uid="{00000000-0005-0000-0000-00005B500000}"/>
    <cellStyle name="Currency [0] 4 3 16" xfId="20599" xr:uid="{00000000-0005-0000-0000-00005C500000}"/>
    <cellStyle name="Currency [0] 4 3 17" xfId="20600" xr:uid="{00000000-0005-0000-0000-00005D500000}"/>
    <cellStyle name="Currency [0] 4 3 18" xfId="20601" xr:uid="{00000000-0005-0000-0000-00005E500000}"/>
    <cellStyle name="Currency [0] 4 3 19" xfId="20602" xr:uid="{00000000-0005-0000-0000-00005F500000}"/>
    <cellStyle name="Currency [0] 4 3 2" xfId="20603" xr:uid="{00000000-0005-0000-0000-000060500000}"/>
    <cellStyle name="Currency [0] 4 3 20" xfId="20604" xr:uid="{00000000-0005-0000-0000-000061500000}"/>
    <cellStyle name="Currency [0] 4 3 21" xfId="20605" xr:uid="{00000000-0005-0000-0000-000062500000}"/>
    <cellStyle name="Currency [0] 4 3 22" xfId="20606" xr:uid="{00000000-0005-0000-0000-000063500000}"/>
    <cellStyle name="Currency [0] 4 3 23" xfId="20607" xr:uid="{00000000-0005-0000-0000-000064500000}"/>
    <cellStyle name="Currency [0] 4 3 24" xfId="20608" xr:uid="{00000000-0005-0000-0000-000065500000}"/>
    <cellStyle name="Currency [0] 4 3 25" xfId="20609" xr:uid="{00000000-0005-0000-0000-000066500000}"/>
    <cellStyle name="Currency [0] 4 3 26" xfId="20610" xr:uid="{00000000-0005-0000-0000-000067500000}"/>
    <cellStyle name="Currency [0] 4 3 27" xfId="20611" xr:uid="{00000000-0005-0000-0000-000068500000}"/>
    <cellStyle name="Currency [0] 4 3 28" xfId="20612" xr:uid="{00000000-0005-0000-0000-000069500000}"/>
    <cellStyle name="Currency [0] 4 3 29" xfId="20613" xr:uid="{00000000-0005-0000-0000-00006A500000}"/>
    <cellStyle name="Currency [0] 4 3 3" xfId="20614" xr:uid="{00000000-0005-0000-0000-00006B500000}"/>
    <cellStyle name="Currency [0] 4 3 30" xfId="20615" xr:uid="{00000000-0005-0000-0000-00006C500000}"/>
    <cellStyle name="Currency [0] 4 3 31" xfId="20616" xr:uid="{00000000-0005-0000-0000-00006D500000}"/>
    <cellStyle name="Currency [0] 4 3 32" xfId="20617" xr:uid="{00000000-0005-0000-0000-00006E500000}"/>
    <cellStyle name="Currency [0] 4 3 4" xfId="20618" xr:uid="{00000000-0005-0000-0000-00006F500000}"/>
    <cellStyle name="Currency [0] 4 3 5" xfId="20619" xr:uid="{00000000-0005-0000-0000-000070500000}"/>
    <cellStyle name="Currency [0] 4 3 6" xfId="20620" xr:uid="{00000000-0005-0000-0000-000071500000}"/>
    <cellStyle name="Currency [0] 4 3 7" xfId="20621" xr:uid="{00000000-0005-0000-0000-000072500000}"/>
    <cellStyle name="Currency [0] 4 3 8" xfId="20622" xr:uid="{00000000-0005-0000-0000-000073500000}"/>
    <cellStyle name="Currency [0] 4 3 9" xfId="20623" xr:uid="{00000000-0005-0000-0000-000074500000}"/>
    <cellStyle name="Currency [0] 4 30" xfId="20624" xr:uid="{00000000-0005-0000-0000-000075500000}"/>
    <cellStyle name="Currency [0] 4 31" xfId="20625" xr:uid="{00000000-0005-0000-0000-000076500000}"/>
    <cellStyle name="Currency [0] 4 32" xfId="20626" xr:uid="{00000000-0005-0000-0000-000077500000}"/>
    <cellStyle name="Currency [0] 4 33" xfId="20627" xr:uid="{00000000-0005-0000-0000-000078500000}"/>
    <cellStyle name="Currency [0] 4 34" xfId="20628" xr:uid="{00000000-0005-0000-0000-000079500000}"/>
    <cellStyle name="Currency [0] 4 4" xfId="20629" xr:uid="{00000000-0005-0000-0000-00007A500000}"/>
    <cellStyle name="Currency [0] 4 5" xfId="20630" xr:uid="{00000000-0005-0000-0000-00007B500000}"/>
    <cellStyle name="Currency [0] 4 6" xfId="20631" xr:uid="{00000000-0005-0000-0000-00007C500000}"/>
    <cellStyle name="Currency [0] 4 7" xfId="20632" xr:uid="{00000000-0005-0000-0000-00007D500000}"/>
    <cellStyle name="Currency [0] 4 8" xfId="20633" xr:uid="{00000000-0005-0000-0000-00007E500000}"/>
    <cellStyle name="Currency [0] 4 9" xfId="20634" xr:uid="{00000000-0005-0000-0000-00007F500000}"/>
    <cellStyle name="Currency [0] 4_x0007_CG306D" xfId="20635" xr:uid="{00000000-0005-0000-0000-000080500000}"/>
    <cellStyle name="Currency [0] 4_x0007_CG306D 2" xfId="20636" xr:uid="{00000000-0005-0000-0000-000081500000}"/>
    <cellStyle name="Currency [0] 5" xfId="20637" xr:uid="{00000000-0005-0000-0000-000082500000}"/>
    <cellStyle name="Currency [0] 5 10" xfId="20638" xr:uid="{00000000-0005-0000-0000-000083500000}"/>
    <cellStyle name="Currency [0] 5 11" xfId="20639" xr:uid="{00000000-0005-0000-0000-000084500000}"/>
    <cellStyle name="Currency [0] 5 12" xfId="20640" xr:uid="{00000000-0005-0000-0000-000085500000}"/>
    <cellStyle name="Currency [0] 5 13" xfId="20641" xr:uid="{00000000-0005-0000-0000-000086500000}"/>
    <cellStyle name="Currency [0] 5 14" xfId="20642" xr:uid="{00000000-0005-0000-0000-000087500000}"/>
    <cellStyle name="Currency [0] 5 15" xfId="20643" xr:uid="{00000000-0005-0000-0000-000088500000}"/>
    <cellStyle name="Currency [0] 5 16" xfId="20644" xr:uid="{00000000-0005-0000-0000-000089500000}"/>
    <cellStyle name="Currency [0] 5 17" xfId="20645" xr:uid="{00000000-0005-0000-0000-00008A500000}"/>
    <cellStyle name="Currency [0] 5 18" xfId="20646" xr:uid="{00000000-0005-0000-0000-00008B500000}"/>
    <cellStyle name="Currency [0] 5 19" xfId="20647" xr:uid="{00000000-0005-0000-0000-00008C500000}"/>
    <cellStyle name="Currency [0] 5 2" xfId="20648" xr:uid="{00000000-0005-0000-0000-00008D500000}"/>
    <cellStyle name="Currency [0] 5 2 10" xfId="20649" xr:uid="{00000000-0005-0000-0000-00008E500000}"/>
    <cellStyle name="Currency [0] 5 2 11" xfId="20650" xr:uid="{00000000-0005-0000-0000-00008F500000}"/>
    <cellStyle name="Currency [0] 5 2 12" xfId="20651" xr:uid="{00000000-0005-0000-0000-000090500000}"/>
    <cellStyle name="Currency [0] 5 2 13" xfId="20652" xr:uid="{00000000-0005-0000-0000-000091500000}"/>
    <cellStyle name="Currency [0] 5 2 14" xfId="20653" xr:uid="{00000000-0005-0000-0000-000092500000}"/>
    <cellStyle name="Currency [0] 5 2 15" xfId="20654" xr:uid="{00000000-0005-0000-0000-000093500000}"/>
    <cellStyle name="Currency [0] 5 2 16" xfId="20655" xr:uid="{00000000-0005-0000-0000-000094500000}"/>
    <cellStyle name="Currency [0] 5 2 17" xfId="20656" xr:uid="{00000000-0005-0000-0000-000095500000}"/>
    <cellStyle name="Currency [0] 5 2 18" xfId="20657" xr:uid="{00000000-0005-0000-0000-000096500000}"/>
    <cellStyle name="Currency [0] 5 2 19" xfId="20658" xr:uid="{00000000-0005-0000-0000-000097500000}"/>
    <cellStyle name="Currency [0] 5 2 2" xfId="20659" xr:uid="{00000000-0005-0000-0000-000098500000}"/>
    <cellStyle name="Currency [0] 5 2 20" xfId="20660" xr:uid="{00000000-0005-0000-0000-000099500000}"/>
    <cellStyle name="Currency [0] 5 2 21" xfId="20661" xr:uid="{00000000-0005-0000-0000-00009A500000}"/>
    <cellStyle name="Currency [0] 5 2 22" xfId="20662" xr:uid="{00000000-0005-0000-0000-00009B500000}"/>
    <cellStyle name="Currency [0] 5 2 23" xfId="20663" xr:uid="{00000000-0005-0000-0000-00009C500000}"/>
    <cellStyle name="Currency [0] 5 2 24" xfId="20664" xr:uid="{00000000-0005-0000-0000-00009D500000}"/>
    <cellStyle name="Currency [0] 5 2 25" xfId="20665" xr:uid="{00000000-0005-0000-0000-00009E500000}"/>
    <cellStyle name="Currency [0] 5 2 26" xfId="20666" xr:uid="{00000000-0005-0000-0000-00009F500000}"/>
    <cellStyle name="Currency [0] 5 2 27" xfId="20667" xr:uid="{00000000-0005-0000-0000-0000A0500000}"/>
    <cellStyle name="Currency [0] 5 2 28" xfId="20668" xr:uid="{00000000-0005-0000-0000-0000A1500000}"/>
    <cellStyle name="Currency [0] 5 2 29" xfId="20669" xr:uid="{00000000-0005-0000-0000-0000A2500000}"/>
    <cellStyle name="Currency [0] 5 2 3" xfId="20670" xr:uid="{00000000-0005-0000-0000-0000A3500000}"/>
    <cellStyle name="Currency [0] 5 2 30" xfId="20671" xr:uid="{00000000-0005-0000-0000-0000A4500000}"/>
    <cellStyle name="Currency [0] 5 2 31" xfId="20672" xr:uid="{00000000-0005-0000-0000-0000A5500000}"/>
    <cellStyle name="Currency [0] 5 2 32" xfId="20673" xr:uid="{00000000-0005-0000-0000-0000A6500000}"/>
    <cellStyle name="Currency [0] 5 2 4" xfId="20674" xr:uid="{00000000-0005-0000-0000-0000A7500000}"/>
    <cellStyle name="Currency [0] 5 2 5" xfId="20675" xr:uid="{00000000-0005-0000-0000-0000A8500000}"/>
    <cellStyle name="Currency [0] 5 2 6" xfId="20676" xr:uid="{00000000-0005-0000-0000-0000A9500000}"/>
    <cellStyle name="Currency [0] 5 2 7" xfId="20677" xr:uid="{00000000-0005-0000-0000-0000AA500000}"/>
    <cellStyle name="Currency [0] 5 2 8" xfId="20678" xr:uid="{00000000-0005-0000-0000-0000AB500000}"/>
    <cellStyle name="Currency [0] 5 2 9" xfId="20679" xr:uid="{00000000-0005-0000-0000-0000AC500000}"/>
    <cellStyle name="Currency [0] 5 20" xfId="20680" xr:uid="{00000000-0005-0000-0000-0000AD500000}"/>
    <cellStyle name="Currency [0] 5 21" xfId="20681" xr:uid="{00000000-0005-0000-0000-0000AE500000}"/>
    <cellStyle name="Currency [0] 5 22" xfId="20682" xr:uid="{00000000-0005-0000-0000-0000AF500000}"/>
    <cellStyle name="Currency [0] 5 23" xfId="20683" xr:uid="{00000000-0005-0000-0000-0000B0500000}"/>
    <cellStyle name="Currency [0] 5 24" xfId="20684" xr:uid="{00000000-0005-0000-0000-0000B1500000}"/>
    <cellStyle name="Currency [0] 5 25" xfId="20685" xr:uid="{00000000-0005-0000-0000-0000B2500000}"/>
    <cellStyle name="Currency [0] 5 26" xfId="20686" xr:uid="{00000000-0005-0000-0000-0000B3500000}"/>
    <cellStyle name="Currency [0] 5 27" xfId="20687" xr:uid="{00000000-0005-0000-0000-0000B4500000}"/>
    <cellStyle name="Currency [0] 5 28" xfId="20688" xr:uid="{00000000-0005-0000-0000-0000B5500000}"/>
    <cellStyle name="Currency [0] 5 29" xfId="20689" xr:uid="{00000000-0005-0000-0000-0000B6500000}"/>
    <cellStyle name="Currency [0] 5 3" xfId="20690" xr:uid="{00000000-0005-0000-0000-0000B7500000}"/>
    <cellStyle name="Currency [0] 5 3 10" xfId="20691" xr:uid="{00000000-0005-0000-0000-0000B8500000}"/>
    <cellStyle name="Currency [0] 5 3 11" xfId="20692" xr:uid="{00000000-0005-0000-0000-0000B9500000}"/>
    <cellStyle name="Currency [0] 5 3 12" xfId="20693" xr:uid="{00000000-0005-0000-0000-0000BA500000}"/>
    <cellStyle name="Currency [0] 5 3 13" xfId="20694" xr:uid="{00000000-0005-0000-0000-0000BB500000}"/>
    <cellStyle name="Currency [0] 5 3 14" xfId="20695" xr:uid="{00000000-0005-0000-0000-0000BC500000}"/>
    <cellStyle name="Currency [0] 5 3 15" xfId="20696" xr:uid="{00000000-0005-0000-0000-0000BD500000}"/>
    <cellStyle name="Currency [0] 5 3 16" xfId="20697" xr:uid="{00000000-0005-0000-0000-0000BE500000}"/>
    <cellStyle name="Currency [0] 5 3 17" xfId="20698" xr:uid="{00000000-0005-0000-0000-0000BF500000}"/>
    <cellStyle name="Currency [0] 5 3 18" xfId="20699" xr:uid="{00000000-0005-0000-0000-0000C0500000}"/>
    <cellStyle name="Currency [0] 5 3 19" xfId="20700" xr:uid="{00000000-0005-0000-0000-0000C1500000}"/>
    <cellStyle name="Currency [0] 5 3 2" xfId="20701" xr:uid="{00000000-0005-0000-0000-0000C2500000}"/>
    <cellStyle name="Currency [0] 5 3 20" xfId="20702" xr:uid="{00000000-0005-0000-0000-0000C3500000}"/>
    <cellStyle name="Currency [0] 5 3 21" xfId="20703" xr:uid="{00000000-0005-0000-0000-0000C4500000}"/>
    <cellStyle name="Currency [0] 5 3 22" xfId="20704" xr:uid="{00000000-0005-0000-0000-0000C5500000}"/>
    <cellStyle name="Currency [0] 5 3 23" xfId="20705" xr:uid="{00000000-0005-0000-0000-0000C6500000}"/>
    <cellStyle name="Currency [0] 5 3 24" xfId="20706" xr:uid="{00000000-0005-0000-0000-0000C7500000}"/>
    <cellStyle name="Currency [0] 5 3 25" xfId="20707" xr:uid="{00000000-0005-0000-0000-0000C8500000}"/>
    <cellStyle name="Currency [0] 5 3 26" xfId="20708" xr:uid="{00000000-0005-0000-0000-0000C9500000}"/>
    <cellStyle name="Currency [0] 5 3 27" xfId="20709" xr:uid="{00000000-0005-0000-0000-0000CA500000}"/>
    <cellStyle name="Currency [0] 5 3 28" xfId="20710" xr:uid="{00000000-0005-0000-0000-0000CB500000}"/>
    <cellStyle name="Currency [0] 5 3 29" xfId="20711" xr:uid="{00000000-0005-0000-0000-0000CC500000}"/>
    <cellStyle name="Currency [0] 5 3 3" xfId="20712" xr:uid="{00000000-0005-0000-0000-0000CD500000}"/>
    <cellStyle name="Currency [0] 5 3 30" xfId="20713" xr:uid="{00000000-0005-0000-0000-0000CE500000}"/>
    <cellStyle name="Currency [0] 5 3 31" xfId="20714" xr:uid="{00000000-0005-0000-0000-0000CF500000}"/>
    <cellStyle name="Currency [0] 5 3 32" xfId="20715" xr:uid="{00000000-0005-0000-0000-0000D0500000}"/>
    <cellStyle name="Currency [0] 5 3 4" xfId="20716" xr:uid="{00000000-0005-0000-0000-0000D1500000}"/>
    <cellStyle name="Currency [0] 5 3 5" xfId="20717" xr:uid="{00000000-0005-0000-0000-0000D2500000}"/>
    <cellStyle name="Currency [0] 5 3 6" xfId="20718" xr:uid="{00000000-0005-0000-0000-0000D3500000}"/>
    <cellStyle name="Currency [0] 5 3 7" xfId="20719" xr:uid="{00000000-0005-0000-0000-0000D4500000}"/>
    <cellStyle name="Currency [0] 5 3 8" xfId="20720" xr:uid="{00000000-0005-0000-0000-0000D5500000}"/>
    <cellStyle name="Currency [0] 5 3 9" xfId="20721" xr:uid="{00000000-0005-0000-0000-0000D6500000}"/>
    <cellStyle name="Currency [0] 5 30" xfId="20722" xr:uid="{00000000-0005-0000-0000-0000D7500000}"/>
    <cellStyle name="Currency [0] 5 31" xfId="20723" xr:uid="{00000000-0005-0000-0000-0000D8500000}"/>
    <cellStyle name="Currency [0] 5 32" xfId="20724" xr:uid="{00000000-0005-0000-0000-0000D9500000}"/>
    <cellStyle name="Currency [0] 5 33" xfId="20725" xr:uid="{00000000-0005-0000-0000-0000DA500000}"/>
    <cellStyle name="Currency [0] 5 34" xfId="20726" xr:uid="{00000000-0005-0000-0000-0000DB500000}"/>
    <cellStyle name="Currency [0] 5 4" xfId="20727" xr:uid="{00000000-0005-0000-0000-0000DC500000}"/>
    <cellStyle name="Currency [0] 5 5" xfId="20728" xr:uid="{00000000-0005-0000-0000-0000DD500000}"/>
    <cellStyle name="Currency [0] 5 6" xfId="20729" xr:uid="{00000000-0005-0000-0000-0000DE500000}"/>
    <cellStyle name="Currency [0] 5 7" xfId="20730" xr:uid="{00000000-0005-0000-0000-0000DF500000}"/>
    <cellStyle name="Currency [0] 5 8" xfId="20731" xr:uid="{00000000-0005-0000-0000-0000E0500000}"/>
    <cellStyle name="Currency [0] 5 9" xfId="20732" xr:uid="{00000000-0005-0000-0000-0000E1500000}"/>
    <cellStyle name="Currency [0] 6" xfId="20733" xr:uid="{00000000-0005-0000-0000-0000E2500000}"/>
    <cellStyle name="Currency [0] 6 10" xfId="20734" xr:uid="{00000000-0005-0000-0000-0000E3500000}"/>
    <cellStyle name="Currency [0] 6 11" xfId="20735" xr:uid="{00000000-0005-0000-0000-0000E4500000}"/>
    <cellStyle name="Currency [0] 6 12" xfId="20736" xr:uid="{00000000-0005-0000-0000-0000E5500000}"/>
    <cellStyle name="Currency [0] 6 13" xfId="20737" xr:uid="{00000000-0005-0000-0000-0000E6500000}"/>
    <cellStyle name="Currency [0] 6 14" xfId="20738" xr:uid="{00000000-0005-0000-0000-0000E7500000}"/>
    <cellStyle name="Currency [0] 6 15" xfId="20739" xr:uid="{00000000-0005-0000-0000-0000E8500000}"/>
    <cellStyle name="Currency [0] 6 16" xfId="20740" xr:uid="{00000000-0005-0000-0000-0000E9500000}"/>
    <cellStyle name="Currency [0] 6 17" xfId="20741" xr:uid="{00000000-0005-0000-0000-0000EA500000}"/>
    <cellStyle name="Currency [0] 6 18" xfId="20742" xr:uid="{00000000-0005-0000-0000-0000EB500000}"/>
    <cellStyle name="Currency [0] 6 19" xfId="20743" xr:uid="{00000000-0005-0000-0000-0000EC500000}"/>
    <cellStyle name="Currency [0] 6 2" xfId="20744" xr:uid="{00000000-0005-0000-0000-0000ED500000}"/>
    <cellStyle name="Currency [0] 6 2 10" xfId="20745" xr:uid="{00000000-0005-0000-0000-0000EE500000}"/>
    <cellStyle name="Currency [0] 6 2 11" xfId="20746" xr:uid="{00000000-0005-0000-0000-0000EF500000}"/>
    <cellStyle name="Currency [0] 6 2 12" xfId="20747" xr:uid="{00000000-0005-0000-0000-0000F0500000}"/>
    <cellStyle name="Currency [0] 6 2 13" xfId="20748" xr:uid="{00000000-0005-0000-0000-0000F1500000}"/>
    <cellStyle name="Currency [0] 6 2 14" xfId="20749" xr:uid="{00000000-0005-0000-0000-0000F2500000}"/>
    <cellStyle name="Currency [0] 6 2 15" xfId="20750" xr:uid="{00000000-0005-0000-0000-0000F3500000}"/>
    <cellStyle name="Currency [0] 6 2 16" xfId="20751" xr:uid="{00000000-0005-0000-0000-0000F4500000}"/>
    <cellStyle name="Currency [0] 6 2 17" xfId="20752" xr:uid="{00000000-0005-0000-0000-0000F5500000}"/>
    <cellStyle name="Currency [0] 6 2 18" xfId="20753" xr:uid="{00000000-0005-0000-0000-0000F6500000}"/>
    <cellStyle name="Currency [0] 6 2 19" xfId="20754" xr:uid="{00000000-0005-0000-0000-0000F7500000}"/>
    <cellStyle name="Currency [0] 6 2 2" xfId="20755" xr:uid="{00000000-0005-0000-0000-0000F8500000}"/>
    <cellStyle name="Currency [0] 6 2 20" xfId="20756" xr:uid="{00000000-0005-0000-0000-0000F9500000}"/>
    <cellStyle name="Currency [0] 6 2 21" xfId="20757" xr:uid="{00000000-0005-0000-0000-0000FA500000}"/>
    <cellStyle name="Currency [0] 6 2 22" xfId="20758" xr:uid="{00000000-0005-0000-0000-0000FB500000}"/>
    <cellStyle name="Currency [0] 6 2 23" xfId="20759" xr:uid="{00000000-0005-0000-0000-0000FC500000}"/>
    <cellStyle name="Currency [0] 6 2 24" xfId="20760" xr:uid="{00000000-0005-0000-0000-0000FD500000}"/>
    <cellStyle name="Currency [0] 6 2 25" xfId="20761" xr:uid="{00000000-0005-0000-0000-0000FE500000}"/>
    <cellStyle name="Currency [0] 6 2 26" xfId="20762" xr:uid="{00000000-0005-0000-0000-0000FF500000}"/>
    <cellStyle name="Currency [0] 6 2 27" xfId="20763" xr:uid="{00000000-0005-0000-0000-000000510000}"/>
    <cellStyle name="Currency [0] 6 2 28" xfId="20764" xr:uid="{00000000-0005-0000-0000-000001510000}"/>
    <cellStyle name="Currency [0] 6 2 29" xfId="20765" xr:uid="{00000000-0005-0000-0000-000002510000}"/>
    <cellStyle name="Currency [0] 6 2 3" xfId="20766" xr:uid="{00000000-0005-0000-0000-000003510000}"/>
    <cellStyle name="Currency [0] 6 2 30" xfId="20767" xr:uid="{00000000-0005-0000-0000-000004510000}"/>
    <cellStyle name="Currency [0] 6 2 31" xfId="20768" xr:uid="{00000000-0005-0000-0000-000005510000}"/>
    <cellStyle name="Currency [0] 6 2 32" xfId="20769" xr:uid="{00000000-0005-0000-0000-000006510000}"/>
    <cellStyle name="Currency [0] 6 2 4" xfId="20770" xr:uid="{00000000-0005-0000-0000-000007510000}"/>
    <cellStyle name="Currency [0] 6 2 5" xfId="20771" xr:uid="{00000000-0005-0000-0000-000008510000}"/>
    <cellStyle name="Currency [0] 6 2 6" xfId="20772" xr:uid="{00000000-0005-0000-0000-000009510000}"/>
    <cellStyle name="Currency [0] 6 2 7" xfId="20773" xr:uid="{00000000-0005-0000-0000-00000A510000}"/>
    <cellStyle name="Currency [0] 6 2 8" xfId="20774" xr:uid="{00000000-0005-0000-0000-00000B510000}"/>
    <cellStyle name="Currency [0] 6 2 9" xfId="20775" xr:uid="{00000000-0005-0000-0000-00000C510000}"/>
    <cellStyle name="Currency [0] 6 20" xfId="20776" xr:uid="{00000000-0005-0000-0000-00000D510000}"/>
    <cellStyle name="Currency [0] 6 21" xfId="20777" xr:uid="{00000000-0005-0000-0000-00000E510000}"/>
    <cellStyle name="Currency [0] 6 22" xfId="20778" xr:uid="{00000000-0005-0000-0000-00000F510000}"/>
    <cellStyle name="Currency [0] 6 23" xfId="20779" xr:uid="{00000000-0005-0000-0000-000010510000}"/>
    <cellStyle name="Currency [0] 6 24" xfId="20780" xr:uid="{00000000-0005-0000-0000-000011510000}"/>
    <cellStyle name="Currency [0] 6 25" xfId="20781" xr:uid="{00000000-0005-0000-0000-000012510000}"/>
    <cellStyle name="Currency [0] 6 26" xfId="20782" xr:uid="{00000000-0005-0000-0000-000013510000}"/>
    <cellStyle name="Currency [0] 6 27" xfId="20783" xr:uid="{00000000-0005-0000-0000-000014510000}"/>
    <cellStyle name="Currency [0] 6 28" xfId="20784" xr:uid="{00000000-0005-0000-0000-000015510000}"/>
    <cellStyle name="Currency [0] 6 29" xfId="20785" xr:uid="{00000000-0005-0000-0000-000016510000}"/>
    <cellStyle name="Currency [0] 6 3" xfId="20786" xr:uid="{00000000-0005-0000-0000-000017510000}"/>
    <cellStyle name="Currency [0] 6 3 10" xfId="20787" xr:uid="{00000000-0005-0000-0000-000018510000}"/>
    <cellStyle name="Currency [0] 6 3 11" xfId="20788" xr:uid="{00000000-0005-0000-0000-000019510000}"/>
    <cellStyle name="Currency [0] 6 3 12" xfId="20789" xr:uid="{00000000-0005-0000-0000-00001A510000}"/>
    <cellStyle name="Currency [0] 6 3 13" xfId="20790" xr:uid="{00000000-0005-0000-0000-00001B510000}"/>
    <cellStyle name="Currency [0] 6 3 14" xfId="20791" xr:uid="{00000000-0005-0000-0000-00001C510000}"/>
    <cellStyle name="Currency [0] 6 3 15" xfId="20792" xr:uid="{00000000-0005-0000-0000-00001D510000}"/>
    <cellStyle name="Currency [0] 6 3 16" xfId="20793" xr:uid="{00000000-0005-0000-0000-00001E510000}"/>
    <cellStyle name="Currency [0] 6 3 17" xfId="20794" xr:uid="{00000000-0005-0000-0000-00001F510000}"/>
    <cellStyle name="Currency [0] 6 3 18" xfId="20795" xr:uid="{00000000-0005-0000-0000-000020510000}"/>
    <cellStyle name="Currency [0] 6 3 19" xfId="20796" xr:uid="{00000000-0005-0000-0000-000021510000}"/>
    <cellStyle name="Currency [0] 6 3 2" xfId="20797" xr:uid="{00000000-0005-0000-0000-000022510000}"/>
    <cellStyle name="Currency [0] 6 3 20" xfId="20798" xr:uid="{00000000-0005-0000-0000-000023510000}"/>
    <cellStyle name="Currency [0] 6 3 21" xfId="20799" xr:uid="{00000000-0005-0000-0000-000024510000}"/>
    <cellStyle name="Currency [0] 6 3 22" xfId="20800" xr:uid="{00000000-0005-0000-0000-000025510000}"/>
    <cellStyle name="Currency [0] 6 3 23" xfId="20801" xr:uid="{00000000-0005-0000-0000-000026510000}"/>
    <cellStyle name="Currency [0] 6 3 24" xfId="20802" xr:uid="{00000000-0005-0000-0000-000027510000}"/>
    <cellStyle name="Currency [0] 6 3 25" xfId="20803" xr:uid="{00000000-0005-0000-0000-000028510000}"/>
    <cellStyle name="Currency [0] 6 3 26" xfId="20804" xr:uid="{00000000-0005-0000-0000-000029510000}"/>
    <cellStyle name="Currency [0] 6 3 27" xfId="20805" xr:uid="{00000000-0005-0000-0000-00002A510000}"/>
    <cellStyle name="Currency [0] 6 3 28" xfId="20806" xr:uid="{00000000-0005-0000-0000-00002B510000}"/>
    <cellStyle name="Currency [0] 6 3 29" xfId="20807" xr:uid="{00000000-0005-0000-0000-00002C510000}"/>
    <cellStyle name="Currency [0] 6 3 3" xfId="20808" xr:uid="{00000000-0005-0000-0000-00002D510000}"/>
    <cellStyle name="Currency [0] 6 3 30" xfId="20809" xr:uid="{00000000-0005-0000-0000-00002E510000}"/>
    <cellStyle name="Currency [0] 6 3 31" xfId="20810" xr:uid="{00000000-0005-0000-0000-00002F510000}"/>
    <cellStyle name="Currency [0] 6 3 32" xfId="20811" xr:uid="{00000000-0005-0000-0000-000030510000}"/>
    <cellStyle name="Currency [0] 6 3 4" xfId="20812" xr:uid="{00000000-0005-0000-0000-000031510000}"/>
    <cellStyle name="Currency [0] 6 3 5" xfId="20813" xr:uid="{00000000-0005-0000-0000-000032510000}"/>
    <cellStyle name="Currency [0] 6 3 6" xfId="20814" xr:uid="{00000000-0005-0000-0000-000033510000}"/>
    <cellStyle name="Currency [0] 6 3 7" xfId="20815" xr:uid="{00000000-0005-0000-0000-000034510000}"/>
    <cellStyle name="Currency [0] 6 3 8" xfId="20816" xr:uid="{00000000-0005-0000-0000-000035510000}"/>
    <cellStyle name="Currency [0] 6 3 9" xfId="20817" xr:uid="{00000000-0005-0000-0000-000036510000}"/>
    <cellStyle name="Currency [0] 6 30" xfId="20818" xr:uid="{00000000-0005-0000-0000-000037510000}"/>
    <cellStyle name="Currency [0] 6 31" xfId="20819" xr:uid="{00000000-0005-0000-0000-000038510000}"/>
    <cellStyle name="Currency [0] 6 32" xfId="20820" xr:uid="{00000000-0005-0000-0000-000039510000}"/>
    <cellStyle name="Currency [0] 6 33" xfId="20821" xr:uid="{00000000-0005-0000-0000-00003A510000}"/>
    <cellStyle name="Currency [0] 6 34" xfId="20822" xr:uid="{00000000-0005-0000-0000-00003B510000}"/>
    <cellStyle name="Currency [0] 6 4" xfId="20823" xr:uid="{00000000-0005-0000-0000-00003C510000}"/>
    <cellStyle name="Currency [0] 6 5" xfId="20824" xr:uid="{00000000-0005-0000-0000-00003D510000}"/>
    <cellStyle name="Currency [0] 6 6" xfId="20825" xr:uid="{00000000-0005-0000-0000-00003E510000}"/>
    <cellStyle name="Currency [0] 6 7" xfId="20826" xr:uid="{00000000-0005-0000-0000-00003F510000}"/>
    <cellStyle name="Currency [0] 6 8" xfId="20827" xr:uid="{00000000-0005-0000-0000-000040510000}"/>
    <cellStyle name="Currency [0] 6 9" xfId="20828" xr:uid="{00000000-0005-0000-0000-000041510000}"/>
    <cellStyle name="Currency [0] 7" xfId="20829" xr:uid="{00000000-0005-0000-0000-000042510000}"/>
    <cellStyle name="Currency [0] 7 10" xfId="20830" xr:uid="{00000000-0005-0000-0000-000043510000}"/>
    <cellStyle name="Currency [0] 7 11" xfId="20831" xr:uid="{00000000-0005-0000-0000-000044510000}"/>
    <cellStyle name="Currency [0] 7 12" xfId="20832" xr:uid="{00000000-0005-0000-0000-000045510000}"/>
    <cellStyle name="Currency [0] 7 13" xfId="20833" xr:uid="{00000000-0005-0000-0000-000046510000}"/>
    <cellStyle name="Currency [0] 7 14" xfId="20834" xr:uid="{00000000-0005-0000-0000-000047510000}"/>
    <cellStyle name="Currency [0] 7 15" xfId="20835" xr:uid="{00000000-0005-0000-0000-000048510000}"/>
    <cellStyle name="Currency [0] 7 16" xfId="20836" xr:uid="{00000000-0005-0000-0000-000049510000}"/>
    <cellStyle name="Currency [0] 7 17" xfId="20837" xr:uid="{00000000-0005-0000-0000-00004A510000}"/>
    <cellStyle name="Currency [0] 7 18" xfId="20838" xr:uid="{00000000-0005-0000-0000-00004B510000}"/>
    <cellStyle name="Currency [0] 7 19" xfId="20839" xr:uid="{00000000-0005-0000-0000-00004C510000}"/>
    <cellStyle name="Currency [0] 7 2" xfId="20840" xr:uid="{00000000-0005-0000-0000-00004D510000}"/>
    <cellStyle name="Currency [0] 7 2 10" xfId="20841" xr:uid="{00000000-0005-0000-0000-00004E510000}"/>
    <cellStyle name="Currency [0] 7 2 11" xfId="20842" xr:uid="{00000000-0005-0000-0000-00004F510000}"/>
    <cellStyle name="Currency [0] 7 2 12" xfId="20843" xr:uid="{00000000-0005-0000-0000-000050510000}"/>
    <cellStyle name="Currency [0] 7 2 13" xfId="20844" xr:uid="{00000000-0005-0000-0000-000051510000}"/>
    <cellStyle name="Currency [0] 7 2 14" xfId="20845" xr:uid="{00000000-0005-0000-0000-000052510000}"/>
    <cellStyle name="Currency [0] 7 2 15" xfId="20846" xr:uid="{00000000-0005-0000-0000-000053510000}"/>
    <cellStyle name="Currency [0] 7 2 16" xfId="20847" xr:uid="{00000000-0005-0000-0000-000054510000}"/>
    <cellStyle name="Currency [0] 7 2 17" xfId="20848" xr:uid="{00000000-0005-0000-0000-000055510000}"/>
    <cellStyle name="Currency [0] 7 2 18" xfId="20849" xr:uid="{00000000-0005-0000-0000-000056510000}"/>
    <cellStyle name="Currency [0] 7 2 19" xfId="20850" xr:uid="{00000000-0005-0000-0000-000057510000}"/>
    <cellStyle name="Currency [0] 7 2 2" xfId="20851" xr:uid="{00000000-0005-0000-0000-000058510000}"/>
    <cellStyle name="Currency [0] 7 2 20" xfId="20852" xr:uid="{00000000-0005-0000-0000-000059510000}"/>
    <cellStyle name="Currency [0] 7 2 21" xfId="20853" xr:uid="{00000000-0005-0000-0000-00005A510000}"/>
    <cellStyle name="Currency [0] 7 2 22" xfId="20854" xr:uid="{00000000-0005-0000-0000-00005B510000}"/>
    <cellStyle name="Currency [0] 7 2 23" xfId="20855" xr:uid="{00000000-0005-0000-0000-00005C510000}"/>
    <cellStyle name="Currency [0] 7 2 24" xfId="20856" xr:uid="{00000000-0005-0000-0000-00005D510000}"/>
    <cellStyle name="Currency [0] 7 2 25" xfId="20857" xr:uid="{00000000-0005-0000-0000-00005E510000}"/>
    <cellStyle name="Currency [0] 7 2 26" xfId="20858" xr:uid="{00000000-0005-0000-0000-00005F510000}"/>
    <cellStyle name="Currency [0] 7 2 27" xfId="20859" xr:uid="{00000000-0005-0000-0000-000060510000}"/>
    <cellStyle name="Currency [0] 7 2 28" xfId="20860" xr:uid="{00000000-0005-0000-0000-000061510000}"/>
    <cellStyle name="Currency [0] 7 2 29" xfId="20861" xr:uid="{00000000-0005-0000-0000-000062510000}"/>
    <cellStyle name="Currency [0] 7 2 3" xfId="20862" xr:uid="{00000000-0005-0000-0000-000063510000}"/>
    <cellStyle name="Currency [0] 7 2 30" xfId="20863" xr:uid="{00000000-0005-0000-0000-000064510000}"/>
    <cellStyle name="Currency [0] 7 2 31" xfId="20864" xr:uid="{00000000-0005-0000-0000-000065510000}"/>
    <cellStyle name="Currency [0] 7 2 32" xfId="20865" xr:uid="{00000000-0005-0000-0000-000066510000}"/>
    <cellStyle name="Currency [0] 7 2 4" xfId="20866" xr:uid="{00000000-0005-0000-0000-000067510000}"/>
    <cellStyle name="Currency [0] 7 2 5" xfId="20867" xr:uid="{00000000-0005-0000-0000-000068510000}"/>
    <cellStyle name="Currency [0] 7 2 6" xfId="20868" xr:uid="{00000000-0005-0000-0000-000069510000}"/>
    <cellStyle name="Currency [0] 7 2 7" xfId="20869" xr:uid="{00000000-0005-0000-0000-00006A510000}"/>
    <cellStyle name="Currency [0] 7 2 8" xfId="20870" xr:uid="{00000000-0005-0000-0000-00006B510000}"/>
    <cellStyle name="Currency [0] 7 2 9" xfId="20871" xr:uid="{00000000-0005-0000-0000-00006C510000}"/>
    <cellStyle name="Currency [0] 7 20" xfId="20872" xr:uid="{00000000-0005-0000-0000-00006D510000}"/>
    <cellStyle name="Currency [0] 7 21" xfId="20873" xr:uid="{00000000-0005-0000-0000-00006E510000}"/>
    <cellStyle name="Currency [0] 7 22" xfId="20874" xr:uid="{00000000-0005-0000-0000-00006F510000}"/>
    <cellStyle name="Currency [0] 7 23" xfId="20875" xr:uid="{00000000-0005-0000-0000-000070510000}"/>
    <cellStyle name="Currency [0] 7 24" xfId="20876" xr:uid="{00000000-0005-0000-0000-000071510000}"/>
    <cellStyle name="Currency [0] 7 25" xfId="20877" xr:uid="{00000000-0005-0000-0000-000072510000}"/>
    <cellStyle name="Currency [0] 7 26" xfId="20878" xr:uid="{00000000-0005-0000-0000-000073510000}"/>
    <cellStyle name="Currency [0] 7 27" xfId="20879" xr:uid="{00000000-0005-0000-0000-000074510000}"/>
    <cellStyle name="Currency [0] 7 28" xfId="20880" xr:uid="{00000000-0005-0000-0000-000075510000}"/>
    <cellStyle name="Currency [0] 7 29" xfId="20881" xr:uid="{00000000-0005-0000-0000-000076510000}"/>
    <cellStyle name="Currency [0] 7 3" xfId="20882" xr:uid="{00000000-0005-0000-0000-000077510000}"/>
    <cellStyle name="Currency [0] 7 3 10" xfId="20883" xr:uid="{00000000-0005-0000-0000-000078510000}"/>
    <cellStyle name="Currency [0] 7 3 11" xfId="20884" xr:uid="{00000000-0005-0000-0000-000079510000}"/>
    <cellStyle name="Currency [0] 7 3 12" xfId="20885" xr:uid="{00000000-0005-0000-0000-00007A510000}"/>
    <cellStyle name="Currency [0] 7 3 13" xfId="20886" xr:uid="{00000000-0005-0000-0000-00007B510000}"/>
    <cellStyle name="Currency [0] 7 3 14" xfId="20887" xr:uid="{00000000-0005-0000-0000-00007C510000}"/>
    <cellStyle name="Currency [0] 7 3 15" xfId="20888" xr:uid="{00000000-0005-0000-0000-00007D510000}"/>
    <cellStyle name="Currency [0] 7 3 16" xfId="20889" xr:uid="{00000000-0005-0000-0000-00007E510000}"/>
    <cellStyle name="Currency [0] 7 3 17" xfId="20890" xr:uid="{00000000-0005-0000-0000-00007F510000}"/>
    <cellStyle name="Currency [0] 7 3 18" xfId="20891" xr:uid="{00000000-0005-0000-0000-000080510000}"/>
    <cellStyle name="Currency [0] 7 3 19" xfId="20892" xr:uid="{00000000-0005-0000-0000-000081510000}"/>
    <cellStyle name="Currency [0] 7 3 2" xfId="20893" xr:uid="{00000000-0005-0000-0000-000082510000}"/>
    <cellStyle name="Currency [0] 7 3 20" xfId="20894" xr:uid="{00000000-0005-0000-0000-000083510000}"/>
    <cellStyle name="Currency [0] 7 3 21" xfId="20895" xr:uid="{00000000-0005-0000-0000-000084510000}"/>
    <cellStyle name="Currency [0] 7 3 22" xfId="20896" xr:uid="{00000000-0005-0000-0000-000085510000}"/>
    <cellStyle name="Currency [0] 7 3 23" xfId="20897" xr:uid="{00000000-0005-0000-0000-000086510000}"/>
    <cellStyle name="Currency [0] 7 3 24" xfId="20898" xr:uid="{00000000-0005-0000-0000-000087510000}"/>
    <cellStyle name="Currency [0] 7 3 25" xfId="20899" xr:uid="{00000000-0005-0000-0000-000088510000}"/>
    <cellStyle name="Currency [0] 7 3 26" xfId="20900" xr:uid="{00000000-0005-0000-0000-000089510000}"/>
    <cellStyle name="Currency [0] 7 3 27" xfId="20901" xr:uid="{00000000-0005-0000-0000-00008A510000}"/>
    <cellStyle name="Currency [0] 7 3 28" xfId="20902" xr:uid="{00000000-0005-0000-0000-00008B510000}"/>
    <cellStyle name="Currency [0] 7 3 29" xfId="20903" xr:uid="{00000000-0005-0000-0000-00008C510000}"/>
    <cellStyle name="Currency [0] 7 3 3" xfId="20904" xr:uid="{00000000-0005-0000-0000-00008D510000}"/>
    <cellStyle name="Currency [0] 7 3 30" xfId="20905" xr:uid="{00000000-0005-0000-0000-00008E510000}"/>
    <cellStyle name="Currency [0] 7 3 31" xfId="20906" xr:uid="{00000000-0005-0000-0000-00008F510000}"/>
    <cellStyle name="Currency [0] 7 3 32" xfId="20907" xr:uid="{00000000-0005-0000-0000-000090510000}"/>
    <cellStyle name="Currency [0] 7 3 4" xfId="20908" xr:uid="{00000000-0005-0000-0000-000091510000}"/>
    <cellStyle name="Currency [0] 7 3 5" xfId="20909" xr:uid="{00000000-0005-0000-0000-000092510000}"/>
    <cellStyle name="Currency [0] 7 3 6" xfId="20910" xr:uid="{00000000-0005-0000-0000-000093510000}"/>
    <cellStyle name="Currency [0] 7 3 7" xfId="20911" xr:uid="{00000000-0005-0000-0000-000094510000}"/>
    <cellStyle name="Currency [0] 7 3 8" xfId="20912" xr:uid="{00000000-0005-0000-0000-000095510000}"/>
    <cellStyle name="Currency [0] 7 3 9" xfId="20913" xr:uid="{00000000-0005-0000-0000-000096510000}"/>
    <cellStyle name="Currency [0] 7 30" xfId="20914" xr:uid="{00000000-0005-0000-0000-000097510000}"/>
    <cellStyle name="Currency [0] 7 31" xfId="20915" xr:uid="{00000000-0005-0000-0000-000098510000}"/>
    <cellStyle name="Currency [0] 7 32" xfId="20916" xr:uid="{00000000-0005-0000-0000-000099510000}"/>
    <cellStyle name="Currency [0] 7 33" xfId="20917" xr:uid="{00000000-0005-0000-0000-00009A510000}"/>
    <cellStyle name="Currency [0] 7 34" xfId="20918" xr:uid="{00000000-0005-0000-0000-00009B510000}"/>
    <cellStyle name="Currency [0] 7 4" xfId="20919" xr:uid="{00000000-0005-0000-0000-00009C510000}"/>
    <cellStyle name="Currency [0] 7 5" xfId="20920" xr:uid="{00000000-0005-0000-0000-00009D510000}"/>
    <cellStyle name="Currency [0] 7 6" xfId="20921" xr:uid="{00000000-0005-0000-0000-00009E510000}"/>
    <cellStyle name="Currency [0] 7 7" xfId="20922" xr:uid="{00000000-0005-0000-0000-00009F510000}"/>
    <cellStyle name="Currency [0] 7 8" xfId="20923" xr:uid="{00000000-0005-0000-0000-0000A0510000}"/>
    <cellStyle name="Currency [0] 7 9" xfId="20924" xr:uid="{00000000-0005-0000-0000-0000A1510000}"/>
    <cellStyle name="Currency [0] 8" xfId="20925" xr:uid="{00000000-0005-0000-0000-0000A2510000}"/>
    <cellStyle name="Currency [0] 9" xfId="20926" xr:uid="{00000000-0005-0000-0000-0000A3510000}"/>
    <cellStyle name="Currency [0]; --" xfId="20927" xr:uid="{00000000-0005-0000-0000-0000A4510000}"/>
    <cellStyle name="Currency [0]; -- 2" xfId="20928" xr:uid="{00000000-0005-0000-0000-0000A5510000}"/>
    <cellStyle name="Currency [0]_!!!GO" xfId="20929" xr:uid="{00000000-0005-0000-0000-0000A6510000}"/>
    <cellStyle name="Currency [00]" xfId="20930" xr:uid="{00000000-0005-0000-0000-0000A7510000}"/>
    <cellStyle name="Currency [00] 10" xfId="20931" xr:uid="{00000000-0005-0000-0000-0000A8510000}"/>
    <cellStyle name="Currency [00] 11" xfId="20932" xr:uid="{00000000-0005-0000-0000-0000A9510000}"/>
    <cellStyle name="Currency [00] 12" xfId="20933" xr:uid="{00000000-0005-0000-0000-0000AA510000}"/>
    <cellStyle name="Currency [00] 2" xfId="20934" xr:uid="{00000000-0005-0000-0000-0000AB510000}"/>
    <cellStyle name="Currency [00] 3" xfId="20935" xr:uid="{00000000-0005-0000-0000-0000AC510000}"/>
    <cellStyle name="Currency [00] 4" xfId="20936" xr:uid="{00000000-0005-0000-0000-0000AD510000}"/>
    <cellStyle name="Currency [00] 5" xfId="20937" xr:uid="{00000000-0005-0000-0000-0000AE510000}"/>
    <cellStyle name="Currency [00] 6" xfId="20938" xr:uid="{00000000-0005-0000-0000-0000AF510000}"/>
    <cellStyle name="Currency [00] 7" xfId="20939" xr:uid="{00000000-0005-0000-0000-0000B0510000}"/>
    <cellStyle name="Currency [00] 8" xfId="20940" xr:uid="{00000000-0005-0000-0000-0000B1510000}"/>
    <cellStyle name="Currency [00] 9" xfId="20941" xr:uid="{00000000-0005-0000-0000-0000B2510000}"/>
    <cellStyle name="Currency [1]" xfId="20942" xr:uid="{00000000-0005-0000-0000-0000B3510000}"/>
    <cellStyle name="Currency [2]" xfId="20943" xr:uid="{00000000-0005-0000-0000-0000B4510000}"/>
    <cellStyle name="Currency [3]" xfId="20944" xr:uid="{00000000-0005-0000-0000-0000B5510000}"/>
    <cellStyle name="Currency 0" xfId="20945" xr:uid="{00000000-0005-0000-0000-0000B6510000}"/>
    <cellStyle name="Currency 10" xfId="20946" xr:uid="{00000000-0005-0000-0000-0000B7510000}"/>
    <cellStyle name="Currency 11" xfId="20947" xr:uid="{00000000-0005-0000-0000-0000B8510000}"/>
    <cellStyle name="Currency 12" xfId="20948" xr:uid="{00000000-0005-0000-0000-0000B9510000}"/>
    <cellStyle name="Currency 13" xfId="20949" xr:uid="{00000000-0005-0000-0000-0000BA510000}"/>
    <cellStyle name="Currency 14" xfId="20950" xr:uid="{00000000-0005-0000-0000-0000BB510000}"/>
    <cellStyle name="Currency 15" xfId="20951" xr:uid="{00000000-0005-0000-0000-0000BC510000}"/>
    <cellStyle name="Currency 16" xfId="20952" xr:uid="{00000000-0005-0000-0000-0000BD510000}"/>
    <cellStyle name="Currency 17" xfId="20953" xr:uid="{00000000-0005-0000-0000-0000BE510000}"/>
    <cellStyle name="Currency 18" xfId="20954" xr:uid="{00000000-0005-0000-0000-0000BF510000}"/>
    <cellStyle name="Currency 19" xfId="20955" xr:uid="{00000000-0005-0000-0000-0000C0510000}"/>
    <cellStyle name="Currency 2" xfId="20956" xr:uid="{00000000-0005-0000-0000-0000C1510000}"/>
    <cellStyle name="Currency 2 10" xfId="20957" xr:uid="{00000000-0005-0000-0000-0000C2510000}"/>
    <cellStyle name="Currency 2 11" xfId="20958" xr:uid="{00000000-0005-0000-0000-0000C3510000}"/>
    <cellStyle name="Currency 2 2" xfId="20959" xr:uid="{00000000-0005-0000-0000-0000C4510000}"/>
    <cellStyle name="Currency 2 3" xfId="20960" xr:uid="{00000000-0005-0000-0000-0000C5510000}"/>
    <cellStyle name="Currency 2 4" xfId="20961" xr:uid="{00000000-0005-0000-0000-0000C6510000}"/>
    <cellStyle name="Currency 2 5" xfId="20962" xr:uid="{00000000-0005-0000-0000-0000C7510000}"/>
    <cellStyle name="Currency 2 6" xfId="20963" xr:uid="{00000000-0005-0000-0000-0000C8510000}"/>
    <cellStyle name="Currency 2 7" xfId="20964" xr:uid="{00000000-0005-0000-0000-0000C9510000}"/>
    <cellStyle name="Currency 2 8" xfId="20965" xr:uid="{00000000-0005-0000-0000-0000CA510000}"/>
    <cellStyle name="Currency 2 9" xfId="20966" xr:uid="{00000000-0005-0000-0000-0000CB510000}"/>
    <cellStyle name="Currency 2*" xfId="20967" xr:uid="{00000000-0005-0000-0000-0000CC510000}"/>
    <cellStyle name="Currency 2_Databook library PPART" xfId="20968" xr:uid="{00000000-0005-0000-0000-0000CD510000}"/>
    <cellStyle name="Currency 3" xfId="20969" xr:uid="{00000000-0005-0000-0000-0000CE510000}"/>
    <cellStyle name="Currency 3 2" xfId="20970" xr:uid="{00000000-0005-0000-0000-0000CF510000}"/>
    <cellStyle name="Currency 3*" xfId="20971" xr:uid="{00000000-0005-0000-0000-0000D0510000}"/>
    <cellStyle name="Currency 4" xfId="20972" xr:uid="{00000000-0005-0000-0000-0000D1510000}"/>
    <cellStyle name="Currency 5" xfId="20973" xr:uid="{00000000-0005-0000-0000-0000D2510000}"/>
    <cellStyle name="Currency 5 2" xfId="20974" xr:uid="{00000000-0005-0000-0000-0000D3510000}"/>
    <cellStyle name="Currency 6" xfId="20975" xr:uid="{00000000-0005-0000-0000-0000D4510000}"/>
    <cellStyle name="Currency 7" xfId="20976" xr:uid="{00000000-0005-0000-0000-0000D5510000}"/>
    <cellStyle name="Currency 8" xfId="20977" xr:uid="{00000000-0005-0000-0000-0000D6510000}"/>
    <cellStyle name="Currency 9" xfId="20978" xr:uid="{00000000-0005-0000-0000-0000D7510000}"/>
    <cellStyle name="currency rate" xfId="20979" xr:uid="{00000000-0005-0000-0000-0000D8510000}"/>
    <cellStyle name="currency rate 10" xfId="20980" xr:uid="{00000000-0005-0000-0000-0000D9510000}"/>
    <cellStyle name="currency rate 10 10" xfId="20981" xr:uid="{00000000-0005-0000-0000-0000DA510000}"/>
    <cellStyle name="currency rate 10 11" xfId="20982" xr:uid="{00000000-0005-0000-0000-0000DB510000}"/>
    <cellStyle name="currency rate 10 12" xfId="20983" xr:uid="{00000000-0005-0000-0000-0000DC510000}"/>
    <cellStyle name="currency rate 10 13" xfId="20984" xr:uid="{00000000-0005-0000-0000-0000DD510000}"/>
    <cellStyle name="currency rate 10 2" xfId="20985" xr:uid="{00000000-0005-0000-0000-0000DE510000}"/>
    <cellStyle name="currency rate 10 2 10" xfId="20986" xr:uid="{00000000-0005-0000-0000-0000DF510000}"/>
    <cellStyle name="currency rate 10 2 11" xfId="20987" xr:uid="{00000000-0005-0000-0000-0000E0510000}"/>
    <cellStyle name="currency rate 10 2 12" xfId="20988" xr:uid="{00000000-0005-0000-0000-0000E1510000}"/>
    <cellStyle name="currency rate 10 2 2" xfId="20989" xr:uid="{00000000-0005-0000-0000-0000E2510000}"/>
    <cellStyle name="currency rate 10 2 2 10" xfId="20990" xr:uid="{00000000-0005-0000-0000-0000E3510000}"/>
    <cellStyle name="currency rate 10 2 2 2" xfId="20991" xr:uid="{00000000-0005-0000-0000-0000E4510000}"/>
    <cellStyle name="currency rate 10 2 2 3" xfId="20992" xr:uid="{00000000-0005-0000-0000-0000E5510000}"/>
    <cellStyle name="currency rate 10 2 2 4" xfId="20993" xr:uid="{00000000-0005-0000-0000-0000E6510000}"/>
    <cellStyle name="currency rate 10 2 2 5" xfId="20994" xr:uid="{00000000-0005-0000-0000-0000E7510000}"/>
    <cellStyle name="currency rate 10 2 2 6" xfId="20995" xr:uid="{00000000-0005-0000-0000-0000E8510000}"/>
    <cellStyle name="currency rate 10 2 2 7" xfId="20996" xr:uid="{00000000-0005-0000-0000-0000E9510000}"/>
    <cellStyle name="currency rate 10 2 2 8" xfId="20997" xr:uid="{00000000-0005-0000-0000-0000EA510000}"/>
    <cellStyle name="currency rate 10 2 2 9" xfId="20998" xr:uid="{00000000-0005-0000-0000-0000EB510000}"/>
    <cellStyle name="currency rate 10 2 3" xfId="20999" xr:uid="{00000000-0005-0000-0000-0000EC510000}"/>
    <cellStyle name="currency rate 10 2 4" xfId="21000" xr:uid="{00000000-0005-0000-0000-0000ED510000}"/>
    <cellStyle name="currency rate 10 2 5" xfId="21001" xr:uid="{00000000-0005-0000-0000-0000EE510000}"/>
    <cellStyle name="currency rate 10 2 6" xfId="21002" xr:uid="{00000000-0005-0000-0000-0000EF510000}"/>
    <cellStyle name="currency rate 10 2 7" xfId="21003" xr:uid="{00000000-0005-0000-0000-0000F0510000}"/>
    <cellStyle name="currency rate 10 2 8" xfId="21004" xr:uid="{00000000-0005-0000-0000-0000F1510000}"/>
    <cellStyle name="currency rate 10 2 9" xfId="21005" xr:uid="{00000000-0005-0000-0000-0000F2510000}"/>
    <cellStyle name="currency rate 10 3" xfId="21006" xr:uid="{00000000-0005-0000-0000-0000F3510000}"/>
    <cellStyle name="currency rate 10 3 10" xfId="21007" xr:uid="{00000000-0005-0000-0000-0000F4510000}"/>
    <cellStyle name="currency rate 10 3 11" xfId="21008" xr:uid="{00000000-0005-0000-0000-0000F5510000}"/>
    <cellStyle name="currency rate 10 3 2" xfId="21009" xr:uid="{00000000-0005-0000-0000-0000F6510000}"/>
    <cellStyle name="currency rate 10 3 3" xfId="21010" xr:uid="{00000000-0005-0000-0000-0000F7510000}"/>
    <cellStyle name="currency rate 10 3 4" xfId="21011" xr:uid="{00000000-0005-0000-0000-0000F8510000}"/>
    <cellStyle name="currency rate 10 3 5" xfId="21012" xr:uid="{00000000-0005-0000-0000-0000F9510000}"/>
    <cellStyle name="currency rate 10 3 6" xfId="21013" xr:uid="{00000000-0005-0000-0000-0000FA510000}"/>
    <cellStyle name="currency rate 10 3 7" xfId="21014" xr:uid="{00000000-0005-0000-0000-0000FB510000}"/>
    <cellStyle name="currency rate 10 3 8" xfId="21015" xr:uid="{00000000-0005-0000-0000-0000FC510000}"/>
    <cellStyle name="currency rate 10 3 9" xfId="21016" xr:uid="{00000000-0005-0000-0000-0000FD510000}"/>
    <cellStyle name="currency rate 10 4" xfId="21017" xr:uid="{00000000-0005-0000-0000-0000FE510000}"/>
    <cellStyle name="currency rate 10 5" xfId="21018" xr:uid="{00000000-0005-0000-0000-0000FF510000}"/>
    <cellStyle name="currency rate 10 6" xfId="21019" xr:uid="{00000000-0005-0000-0000-000000520000}"/>
    <cellStyle name="currency rate 10 7" xfId="21020" xr:uid="{00000000-0005-0000-0000-000001520000}"/>
    <cellStyle name="currency rate 10 8" xfId="21021" xr:uid="{00000000-0005-0000-0000-000002520000}"/>
    <cellStyle name="currency rate 10 9" xfId="21022" xr:uid="{00000000-0005-0000-0000-000003520000}"/>
    <cellStyle name="currency rate 11" xfId="21023" xr:uid="{00000000-0005-0000-0000-000004520000}"/>
    <cellStyle name="currency rate 11 10" xfId="21024" xr:uid="{00000000-0005-0000-0000-000005520000}"/>
    <cellStyle name="currency rate 11 11" xfId="21025" xr:uid="{00000000-0005-0000-0000-000006520000}"/>
    <cellStyle name="currency rate 11 12" xfId="21026" xr:uid="{00000000-0005-0000-0000-000007520000}"/>
    <cellStyle name="currency rate 11 13" xfId="21027" xr:uid="{00000000-0005-0000-0000-000008520000}"/>
    <cellStyle name="currency rate 11 2" xfId="21028" xr:uid="{00000000-0005-0000-0000-000009520000}"/>
    <cellStyle name="currency rate 11 2 10" xfId="21029" xr:uid="{00000000-0005-0000-0000-00000A520000}"/>
    <cellStyle name="currency rate 11 2 11" xfId="21030" xr:uid="{00000000-0005-0000-0000-00000B520000}"/>
    <cellStyle name="currency rate 11 2 12" xfId="21031" xr:uid="{00000000-0005-0000-0000-00000C520000}"/>
    <cellStyle name="currency rate 11 2 2" xfId="21032" xr:uid="{00000000-0005-0000-0000-00000D520000}"/>
    <cellStyle name="currency rate 11 2 2 10" xfId="21033" xr:uid="{00000000-0005-0000-0000-00000E520000}"/>
    <cellStyle name="currency rate 11 2 2 2" xfId="21034" xr:uid="{00000000-0005-0000-0000-00000F520000}"/>
    <cellStyle name="currency rate 11 2 2 3" xfId="21035" xr:uid="{00000000-0005-0000-0000-000010520000}"/>
    <cellStyle name="currency rate 11 2 2 4" xfId="21036" xr:uid="{00000000-0005-0000-0000-000011520000}"/>
    <cellStyle name="currency rate 11 2 2 5" xfId="21037" xr:uid="{00000000-0005-0000-0000-000012520000}"/>
    <cellStyle name="currency rate 11 2 2 6" xfId="21038" xr:uid="{00000000-0005-0000-0000-000013520000}"/>
    <cellStyle name="currency rate 11 2 2 7" xfId="21039" xr:uid="{00000000-0005-0000-0000-000014520000}"/>
    <cellStyle name="currency rate 11 2 2 8" xfId="21040" xr:uid="{00000000-0005-0000-0000-000015520000}"/>
    <cellStyle name="currency rate 11 2 2 9" xfId="21041" xr:uid="{00000000-0005-0000-0000-000016520000}"/>
    <cellStyle name="currency rate 11 2 3" xfId="21042" xr:uid="{00000000-0005-0000-0000-000017520000}"/>
    <cellStyle name="currency rate 11 2 4" xfId="21043" xr:uid="{00000000-0005-0000-0000-000018520000}"/>
    <cellStyle name="currency rate 11 2 5" xfId="21044" xr:uid="{00000000-0005-0000-0000-000019520000}"/>
    <cellStyle name="currency rate 11 2 6" xfId="21045" xr:uid="{00000000-0005-0000-0000-00001A520000}"/>
    <cellStyle name="currency rate 11 2 7" xfId="21046" xr:uid="{00000000-0005-0000-0000-00001B520000}"/>
    <cellStyle name="currency rate 11 2 8" xfId="21047" xr:uid="{00000000-0005-0000-0000-00001C520000}"/>
    <cellStyle name="currency rate 11 2 9" xfId="21048" xr:uid="{00000000-0005-0000-0000-00001D520000}"/>
    <cellStyle name="currency rate 11 3" xfId="21049" xr:uid="{00000000-0005-0000-0000-00001E520000}"/>
    <cellStyle name="currency rate 11 3 10" xfId="21050" xr:uid="{00000000-0005-0000-0000-00001F520000}"/>
    <cellStyle name="currency rate 11 3 11" xfId="21051" xr:uid="{00000000-0005-0000-0000-000020520000}"/>
    <cellStyle name="currency rate 11 3 2" xfId="21052" xr:uid="{00000000-0005-0000-0000-000021520000}"/>
    <cellStyle name="currency rate 11 3 3" xfId="21053" xr:uid="{00000000-0005-0000-0000-000022520000}"/>
    <cellStyle name="currency rate 11 3 4" xfId="21054" xr:uid="{00000000-0005-0000-0000-000023520000}"/>
    <cellStyle name="currency rate 11 3 5" xfId="21055" xr:uid="{00000000-0005-0000-0000-000024520000}"/>
    <cellStyle name="currency rate 11 3 6" xfId="21056" xr:uid="{00000000-0005-0000-0000-000025520000}"/>
    <cellStyle name="currency rate 11 3 7" xfId="21057" xr:uid="{00000000-0005-0000-0000-000026520000}"/>
    <cellStyle name="currency rate 11 3 8" xfId="21058" xr:uid="{00000000-0005-0000-0000-000027520000}"/>
    <cellStyle name="currency rate 11 3 9" xfId="21059" xr:uid="{00000000-0005-0000-0000-000028520000}"/>
    <cellStyle name="currency rate 11 4" xfId="21060" xr:uid="{00000000-0005-0000-0000-000029520000}"/>
    <cellStyle name="currency rate 11 5" xfId="21061" xr:uid="{00000000-0005-0000-0000-00002A520000}"/>
    <cellStyle name="currency rate 11 6" xfId="21062" xr:uid="{00000000-0005-0000-0000-00002B520000}"/>
    <cellStyle name="currency rate 11 7" xfId="21063" xr:uid="{00000000-0005-0000-0000-00002C520000}"/>
    <cellStyle name="currency rate 11 8" xfId="21064" xr:uid="{00000000-0005-0000-0000-00002D520000}"/>
    <cellStyle name="currency rate 11 9" xfId="21065" xr:uid="{00000000-0005-0000-0000-00002E520000}"/>
    <cellStyle name="currency rate 12" xfId="21066" xr:uid="{00000000-0005-0000-0000-00002F520000}"/>
    <cellStyle name="currency rate 12 10" xfId="21067" xr:uid="{00000000-0005-0000-0000-000030520000}"/>
    <cellStyle name="currency rate 12 11" xfId="21068" xr:uid="{00000000-0005-0000-0000-000031520000}"/>
    <cellStyle name="currency rate 12 12" xfId="21069" xr:uid="{00000000-0005-0000-0000-000032520000}"/>
    <cellStyle name="currency rate 12 13" xfId="21070" xr:uid="{00000000-0005-0000-0000-000033520000}"/>
    <cellStyle name="currency rate 12 2" xfId="21071" xr:uid="{00000000-0005-0000-0000-000034520000}"/>
    <cellStyle name="currency rate 12 2 10" xfId="21072" xr:uid="{00000000-0005-0000-0000-000035520000}"/>
    <cellStyle name="currency rate 12 2 11" xfId="21073" xr:uid="{00000000-0005-0000-0000-000036520000}"/>
    <cellStyle name="currency rate 12 2 12" xfId="21074" xr:uid="{00000000-0005-0000-0000-000037520000}"/>
    <cellStyle name="currency rate 12 2 2" xfId="21075" xr:uid="{00000000-0005-0000-0000-000038520000}"/>
    <cellStyle name="currency rate 12 2 2 10" xfId="21076" xr:uid="{00000000-0005-0000-0000-000039520000}"/>
    <cellStyle name="currency rate 12 2 2 2" xfId="21077" xr:uid="{00000000-0005-0000-0000-00003A520000}"/>
    <cellStyle name="currency rate 12 2 2 3" xfId="21078" xr:uid="{00000000-0005-0000-0000-00003B520000}"/>
    <cellStyle name="currency rate 12 2 2 4" xfId="21079" xr:uid="{00000000-0005-0000-0000-00003C520000}"/>
    <cellStyle name="currency rate 12 2 2 5" xfId="21080" xr:uid="{00000000-0005-0000-0000-00003D520000}"/>
    <cellStyle name="currency rate 12 2 2 6" xfId="21081" xr:uid="{00000000-0005-0000-0000-00003E520000}"/>
    <cellStyle name="currency rate 12 2 2 7" xfId="21082" xr:uid="{00000000-0005-0000-0000-00003F520000}"/>
    <cellStyle name="currency rate 12 2 2 8" xfId="21083" xr:uid="{00000000-0005-0000-0000-000040520000}"/>
    <cellStyle name="currency rate 12 2 2 9" xfId="21084" xr:uid="{00000000-0005-0000-0000-000041520000}"/>
    <cellStyle name="currency rate 12 2 3" xfId="21085" xr:uid="{00000000-0005-0000-0000-000042520000}"/>
    <cellStyle name="currency rate 12 2 4" xfId="21086" xr:uid="{00000000-0005-0000-0000-000043520000}"/>
    <cellStyle name="currency rate 12 2 5" xfId="21087" xr:uid="{00000000-0005-0000-0000-000044520000}"/>
    <cellStyle name="currency rate 12 2 6" xfId="21088" xr:uid="{00000000-0005-0000-0000-000045520000}"/>
    <cellStyle name="currency rate 12 2 7" xfId="21089" xr:uid="{00000000-0005-0000-0000-000046520000}"/>
    <cellStyle name="currency rate 12 2 8" xfId="21090" xr:uid="{00000000-0005-0000-0000-000047520000}"/>
    <cellStyle name="currency rate 12 2 9" xfId="21091" xr:uid="{00000000-0005-0000-0000-000048520000}"/>
    <cellStyle name="currency rate 12 3" xfId="21092" xr:uid="{00000000-0005-0000-0000-000049520000}"/>
    <cellStyle name="currency rate 12 3 10" xfId="21093" xr:uid="{00000000-0005-0000-0000-00004A520000}"/>
    <cellStyle name="currency rate 12 3 11" xfId="21094" xr:uid="{00000000-0005-0000-0000-00004B520000}"/>
    <cellStyle name="currency rate 12 3 2" xfId="21095" xr:uid="{00000000-0005-0000-0000-00004C520000}"/>
    <cellStyle name="currency rate 12 3 3" xfId="21096" xr:uid="{00000000-0005-0000-0000-00004D520000}"/>
    <cellStyle name="currency rate 12 3 4" xfId="21097" xr:uid="{00000000-0005-0000-0000-00004E520000}"/>
    <cellStyle name="currency rate 12 3 5" xfId="21098" xr:uid="{00000000-0005-0000-0000-00004F520000}"/>
    <cellStyle name="currency rate 12 3 6" xfId="21099" xr:uid="{00000000-0005-0000-0000-000050520000}"/>
    <cellStyle name="currency rate 12 3 7" xfId="21100" xr:uid="{00000000-0005-0000-0000-000051520000}"/>
    <cellStyle name="currency rate 12 3 8" xfId="21101" xr:uid="{00000000-0005-0000-0000-000052520000}"/>
    <cellStyle name="currency rate 12 3 9" xfId="21102" xr:uid="{00000000-0005-0000-0000-000053520000}"/>
    <cellStyle name="currency rate 12 4" xfId="21103" xr:uid="{00000000-0005-0000-0000-000054520000}"/>
    <cellStyle name="currency rate 12 5" xfId="21104" xr:uid="{00000000-0005-0000-0000-000055520000}"/>
    <cellStyle name="currency rate 12 6" xfId="21105" xr:uid="{00000000-0005-0000-0000-000056520000}"/>
    <cellStyle name="currency rate 12 7" xfId="21106" xr:uid="{00000000-0005-0000-0000-000057520000}"/>
    <cellStyle name="currency rate 12 8" xfId="21107" xr:uid="{00000000-0005-0000-0000-000058520000}"/>
    <cellStyle name="currency rate 12 9" xfId="21108" xr:uid="{00000000-0005-0000-0000-000059520000}"/>
    <cellStyle name="currency rate 13" xfId="21109" xr:uid="{00000000-0005-0000-0000-00005A520000}"/>
    <cellStyle name="currency rate 13 10" xfId="21110" xr:uid="{00000000-0005-0000-0000-00005B520000}"/>
    <cellStyle name="currency rate 13 11" xfId="21111" xr:uid="{00000000-0005-0000-0000-00005C520000}"/>
    <cellStyle name="currency rate 13 12" xfId="21112" xr:uid="{00000000-0005-0000-0000-00005D520000}"/>
    <cellStyle name="currency rate 13 13" xfId="21113" xr:uid="{00000000-0005-0000-0000-00005E520000}"/>
    <cellStyle name="currency rate 13 2" xfId="21114" xr:uid="{00000000-0005-0000-0000-00005F520000}"/>
    <cellStyle name="currency rate 13 2 10" xfId="21115" xr:uid="{00000000-0005-0000-0000-000060520000}"/>
    <cellStyle name="currency rate 13 2 11" xfId="21116" xr:uid="{00000000-0005-0000-0000-000061520000}"/>
    <cellStyle name="currency rate 13 2 12" xfId="21117" xr:uid="{00000000-0005-0000-0000-000062520000}"/>
    <cellStyle name="currency rate 13 2 2" xfId="21118" xr:uid="{00000000-0005-0000-0000-000063520000}"/>
    <cellStyle name="currency rate 13 2 2 10" xfId="21119" xr:uid="{00000000-0005-0000-0000-000064520000}"/>
    <cellStyle name="currency rate 13 2 2 2" xfId="21120" xr:uid="{00000000-0005-0000-0000-000065520000}"/>
    <cellStyle name="currency rate 13 2 2 3" xfId="21121" xr:uid="{00000000-0005-0000-0000-000066520000}"/>
    <cellStyle name="currency rate 13 2 2 4" xfId="21122" xr:uid="{00000000-0005-0000-0000-000067520000}"/>
    <cellStyle name="currency rate 13 2 2 5" xfId="21123" xr:uid="{00000000-0005-0000-0000-000068520000}"/>
    <cellStyle name="currency rate 13 2 2 6" xfId="21124" xr:uid="{00000000-0005-0000-0000-000069520000}"/>
    <cellStyle name="currency rate 13 2 2 7" xfId="21125" xr:uid="{00000000-0005-0000-0000-00006A520000}"/>
    <cellStyle name="currency rate 13 2 2 8" xfId="21126" xr:uid="{00000000-0005-0000-0000-00006B520000}"/>
    <cellStyle name="currency rate 13 2 2 9" xfId="21127" xr:uid="{00000000-0005-0000-0000-00006C520000}"/>
    <cellStyle name="currency rate 13 2 3" xfId="21128" xr:uid="{00000000-0005-0000-0000-00006D520000}"/>
    <cellStyle name="currency rate 13 2 4" xfId="21129" xr:uid="{00000000-0005-0000-0000-00006E520000}"/>
    <cellStyle name="currency rate 13 2 5" xfId="21130" xr:uid="{00000000-0005-0000-0000-00006F520000}"/>
    <cellStyle name="currency rate 13 2 6" xfId="21131" xr:uid="{00000000-0005-0000-0000-000070520000}"/>
    <cellStyle name="currency rate 13 2 7" xfId="21132" xr:uid="{00000000-0005-0000-0000-000071520000}"/>
    <cellStyle name="currency rate 13 2 8" xfId="21133" xr:uid="{00000000-0005-0000-0000-000072520000}"/>
    <cellStyle name="currency rate 13 2 9" xfId="21134" xr:uid="{00000000-0005-0000-0000-000073520000}"/>
    <cellStyle name="currency rate 13 3" xfId="21135" xr:uid="{00000000-0005-0000-0000-000074520000}"/>
    <cellStyle name="currency rate 13 3 10" xfId="21136" xr:uid="{00000000-0005-0000-0000-000075520000}"/>
    <cellStyle name="currency rate 13 3 11" xfId="21137" xr:uid="{00000000-0005-0000-0000-000076520000}"/>
    <cellStyle name="currency rate 13 3 2" xfId="21138" xr:uid="{00000000-0005-0000-0000-000077520000}"/>
    <cellStyle name="currency rate 13 3 3" xfId="21139" xr:uid="{00000000-0005-0000-0000-000078520000}"/>
    <cellStyle name="currency rate 13 3 4" xfId="21140" xr:uid="{00000000-0005-0000-0000-000079520000}"/>
    <cellStyle name="currency rate 13 3 5" xfId="21141" xr:uid="{00000000-0005-0000-0000-00007A520000}"/>
    <cellStyle name="currency rate 13 3 6" xfId="21142" xr:uid="{00000000-0005-0000-0000-00007B520000}"/>
    <cellStyle name="currency rate 13 3 7" xfId="21143" xr:uid="{00000000-0005-0000-0000-00007C520000}"/>
    <cellStyle name="currency rate 13 3 8" xfId="21144" xr:uid="{00000000-0005-0000-0000-00007D520000}"/>
    <cellStyle name="currency rate 13 3 9" xfId="21145" xr:uid="{00000000-0005-0000-0000-00007E520000}"/>
    <cellStyle name="currency rate 13 4" xfId="21146" xr:uid="{00000000-0005-0000-0000-00007F520000}"/>
    <cellStyle name="currency rate 13 5" xfId="21147" xr:uid="{00000000-0005-0000-0000-000080520000}"/>
    <cellStyle name="currency rate 13 6" xfId="21148" xr:uid="{00000000-0005-0000-0000-000081520000}"/>
    <cellStyle name="currency rate 13 7" xfId="21149" xr:uid="{00000000-0005-0000-0000-000082520000}"/>
    <cellStyle name="currency rate 13 8" xfId="21150" xr:uid="{00000000-0005-0000-0000-000083520000}"/>
    <cellStyle name="currency rate 13 9" xfId="21151" xr:uid="{00000000-0005-0000-0000-000084520000}"/>
    <cellStyle name="currency rate 14" xfId="21152" xr:uid="{00000000-0005-0000-0000-000085520000}"/>
    <cellStyle name="currency rate 14 10" xfId="21153" xr:uid="{00000000-0005-0000-0000-000086520000}"/>
    <cellStyle name="currency rate 14 11" xfId="21154" xr:uid="{00000000-0005-0000-0000-000087520000}"/>
    <cellStyle name="currency rate 14 12" xfId="21155" xr:uid="{00000000-0005-0000-0000-000088520000}"/>
    <cellStyle name="currency rate 14 2" xfId="21156" xr:uid="{00000000-0005-0000-0000-000089520000}"/>
    <cellStyle name="currency rate 14 2 10" xfId="21157" xr:uid="{00000000-0005-0000-0000-00008A520000}"/>
    <cellStyle name="currency rate 14 2 2" xfId="21158" xr:uid="{00000000-0005-0000-0000-00008B520000}"/>
    <cellStyle name="currency rate 14 2 3" xfId="21159" xr:uid="{00000000-0005-0000-0000-00008C520000}"/>
    <cellStyle name="currency rate 14 2 4" xfId="21160" xr:uid="{00000000-0005-0000-0000-00008D520000}"/>
    <cellStyle name="currency rate 14 2 5" xfId="21161" xr:uid="{00000000-0005-0000-0000-00008E520000}"/>
    <cellStyle name="currency rate 14 2 6" xfId="21162" xr:uid="{00000000-0005-0000-0000-00008F520000}"/>
    <cellStyle name="currency rate 14 2 7" xfId="21163" xr:uid="{00000000-0005-0000-0000-000090520000}"/>
    <cellStyle name="currency rate 14 2 8" xfId="21164" xr:uid="{00000000-0005-0000-0000-000091520000}"/>
    <cellStyle name="currency rate 14 2 9" xfId="21165" xr:uid="{00000000-0005-0000-0000-000092520000}"/>
    <cellStyle name="currency rate 14 3" xfId="21166" xr:uid="{00000000-0005-0000-0000-000093520000}"/>
    <cellStyle name="currency rate 14 4" xfId="21167" xr:uid="{00000000-0005-0000-0000-000094520000}"/>
    <cellStyle name="currency rate 14 5" xfId="21168" xr:uid="{00000000-0005-0000-0000-000095520000}"/>
    <cellStyle name="currency rate 14 6" xfId="21169" xr:uid="{00000000-0005-0000-0000-000096520000}"/>
    <cellStyle name="currency rate 14 7" xfId="21170" xr:uid="{00000000-0005-0000-0000-000097520000}"/>
    <cellStyle name="currency rate 14 8" xfId="21171" xr:uid="{00000000-0005-0000-0000-000098520000}"/>
    <cellStyle name="currency rate 14 9" xfId="21172" xr:uid="{00000000-0005-0000-0000-000099520000}"/>
    <cellStyle name="currency rate 15" xfId="21173" xr:uid="{00000000-0005-0000-0000-00009A520000}"/>
    <cellStyle name="currency rate 15 10" xfId="21174" xr:uid="{00000000-0005-0000-0000-00009B520000}"/>
    <cellStyle name="currency rate 15 11" xfId="21175" xr:uid="{00000000-0005-0000-0000-00009C520000}"/>
    <cellStyle name="currency rate 15 2" xfId="21176" xr:uid="{00000000-0005-0000-0000-00009D520000}"/>
    <cellStyle name="currency rate 15 3" xfId="21177" xr:uid="{00000000-0005-0000-0000-00009E520000}"/>
    <cellStyle name="currency rate 15 4" xfId="21178" xr:uid="{00000000-0005-0000-0000-00009F520000}"/>
    <cellStyle name="currency rate 15 5" xfId="21179" xr:uid="{00000000-0005-0000-0000-0000A0520000}"/>
    <cellStyle name="currency rate 15 6" xfId="21180" xr:uid="{00000000-0005-0000-0000-0000A1520000}"/>
    <cellStyle name="currency rate 15 7" xfId="21181" xr:uid="{00000000-0005-0000-0000-0000A2520000}"/>
    <cellStyle name="currency rate 15 8" xfId="21182" xr:uid="{00000000-0005-0000-0000-0000A3520000}"/>
    <cellStyle name="currency rate 15 9" xfId="21183" xr:uid="{00000000-0005-0000-0000-0000A4520000}"/>
    <cellStyle name="currency rate 16" xfId="21184" xr:uid="{00000000-0005-0000-0000-0000A5520000}"/>
    <cellStyle name="currency rate 17" xfId="21185" xr:uid="{00000000-0005-0000-0000-0000A6520000}"/>
    <cellStyle name="currency rate 18" xfId="21186" xr:uid="{00000000-0005-0000-0000-0000A7520000}"/>
    <cellStyle name="currency rate 19" xfId="21187" xr:uid="{00000000-0005-0000-0000-0000A8520000}"/>
    <cellStyle name="currency rate 2" xfId="21188" xr:uid="{00000000-0005-0000-0000-0000A9520000}"/>
    <cellStyle name="currency rate 2 10" xfId="21189" xr:uid="{00000000-0005-0000-0000-0000AA520000}"/>
    <cellStyle name="currency rate 2 10 10" xfId="21190" xr:uid="{00000000-0005-0000-0000-0000AB520000}"/>
    <cellStyle name="currency rate 2 10 11" xfId="21191" xr:uid="{00000000-0005-0000-0000-0000AC520000}"/>
    <cellStyle name="currency rate 2 10 12" xfId="21192" xr:uid="{00000000-0005-0000-0000-0000AD520000}"/>
    <cellStyle name="currency rate 2 10 13" xfId="21193" xr:uid="{00000000-0005-0000-0000-0000AE520000}"/>
    <cellStyle name="currency rate 2 10 2" xfId="21194" xr:uid="{00000000-0005-0000-0000-0000AF520000}"/>
    <cellStyle name="currency rate 2 10 2 10" xfId="21195" xr:uid="{00000000-0005-0000-0000-0000B0520000}"/>
    <cellStyle name="currency rate 2 10 2 11" xfId="21196" xr:uid="{00000000-0005-0000-0000-0000B1520000}"/>
    <cellStyle name="currency rate 2 10 2 12" xfId="21197" xr:uid="{00000000-0005-0000-0000-0000B2520000}"/>
    <cellStyle name="currency rate 2 10 2 2" xfId="21198" xr:uid="{00000000-0005-0000-0000-0000B3520000}"/>
    <cellStyle name="currency rate 2 10 2 2 10" xfId="21199" xr:uid="{00000000-0005-0000-0000-0000B4520000}"/>
    <cellStyle name="currency rate 2 10 2 2 2" xfId="21200" xr:uid="{00000000-0005-0000-0000-0000B5520000}"/>
    <cellStyle name="currency rate 2 10 2 2 3" xfId="21201" xr:uid="{00000000-0005-0000-0000-0000B6520000}"/>
    <cellStyle name="currency rate 2 10 2 2 4" xfId="21202" xr:uid="{00000000-0005-0000-0000-0000B7520000}"/>
    <cellStyle name="currency rate 2 10 2 2 5" xfId="21203" xr:uid="{00000000-0005-0000-0000-0000B8520000}"/>
    <cellStyle name="currency rate 2 10 2 2 6" xfId="21204" xr:uid="{00000000-0005-0000-0000-0000B9520000}"/>
    <cellStyle name="currency rate 2 10 2 2 7" xfId="21205" xr:uid="{00000000-0005-0000-0000-0000BA520000}"/>
    <cellStyle name="currency rate 2 10 2 2 8" xfId="21206" xr:uid="{00000000-0005-0000-0000-0000BB520000}"/>
    <cellStyle name="currency rate 2 10 2 2 9" xfId="21207" xr:uid="{00000000-0005-0000-0000-0000BC520000}"/>
    <cellStyle name="currency rate 2 10 2 3" xfId="21208" xr:uid="{00000000-0005-0000-0000-0000BD520000}"/>
    <cellStyle name="currency rate 2 10 2 4" xfId="21209" xr:uid="{00000000-0005-0000-0000-0000BE520000}"/>
    <cellStyle name="currency rate 2 10 2 5" xfId="21210" xr:uid="{00000000-0005-0000-0000-0000BF520000}"/>
    <cellStyle name="currency rate 2 10 2 6" xfId="21211" xr:uid="{00000000-0005-0000-0000-0000C0520000}"/>
    <cellStyle name="currency rate 2 10 2 7" xfId="21212" xr:uid="{00000000-0005-0000-0000-0000C1520000}"/>
    <cellStyle name="currency rate 2 10 2 8" xfId="21213" xr:uid="{00000000-0005-0000-0000-0000C2520000}"/>
    <cellStyle name="currency rate 2 10 2 9" xfId="21214" xr:uid="{00000000-0005-0000-0000-0000C3520000}"/>
    <cellStyle name="currency rate 2 10 3" xfId="21215" xr:uid="{00000000-0005-0000-0000-0000C4520000}"/>
    <cellStyle name="currency rate 2 10 3 10" xfId="21216" xr:uid="{00000000-0005-0000-0000-0000C5520000}"/>
    <cellStyle name="currency rate 2 10 3 11" xfId="21217" xr:uid="{00000000-0005-0000-0000-0000C6520000}"/>
    <cellStyle name="currency rate 2 10 3 2" xfId="21218" xr:uid="{00000000-0005-0000-0000-0000C7520000}"/>
    <cellStyle name="currency rate 2 10 3 3" xfId="21219" xr:uid="{00000000-0005-0000-0000-0000C8520000}"/>
    <cellStyle name="currency rate 2 10 3 4" xfId="21220" xr:uid="{00000000-0005-0000-0000-0000C9520000}"/>
    <cellStyle name="currency rate 2 10 3 5" xfId="21221" xr:uid="{00000000-0005-0000-0000-0000CA520000}"/>
    <cellStyle name="currency rate 2 10 3 6" xfId="21222" xr:uid="{00000000-0005-0000-0000-0000CB520000}"/>
    <cellStyle name="currency rate 2 10 3 7" xfId="21223" xr:uid="{00000000-0005-0000-0000-0000CC520000}"/>
    <cellStyle name="currency rate 2 10 3 8" xfId="21224" xr:uid="{00000000-0005-0000-0000-0000CD520000}"/>
    <cellStyle name="currency rate 2 10 3 9" xfId="21225" xr:uid="{00000000-0005-0000-0000-0000CE520000}"/>
    <cellStyle name="currency rate 2 10 4" xfId="21226" xr:uid="{00000000-0005-0000-0000-0000CF520000}"/>
    <cellStyle name="currency rate 2 10 5" xfId="21227" xr:uid="{00000000-0005-0000-0000-0000D0520000}"/>
    <cellStyle name="currency rate 2 10 6" xfId="21228" xr:uid="{00000000-0005-0000-0000-0000D1520000}"/>
    <cellStyle name="currency rate 2 10 7" xfId="21229" xr:uid="{00000000-0005-0000-0000-0000D2520000}"/>
    <cellStyle name="currency rate 2 10 8" xfId="21230" xr:uid="{00000000-0005-0000-0000-0000D3520000}"/>
    <cellStyle name="currency rate 2 10 9" xfId="21231" xr:uid="{00000000-0005-0000-0000-0000D4520000}"/>
    <cellStyle name="currency rate 2 11" xfId="21232" xr:uid="{00000000-0005-0000-0000-0000D5520000}"/>
    <cellStyle name="currency rate 2 11 10" xfId="21233" xr:uid="{00000000-0005-0000-0000-0000D6520000}"/>
    <cellStyle name="currency rate 2 11 11" xfId="21234" xr:uid="{00000000-0005-0000-0000-0000D7520000}"/>
    <cellStyle name="currency rate 2 11 12" xfId="21235" xr:uid="{00000000-0005-0000-0000-0000D8520000}"/>
    <cellStyle name="currency rate 2 11 13" xfId="21236" xr:uid="{00000000-0005-0000-0000-0000D9520000}"/>
    <cellStyle name="currency rate 2 11 2" xfId="21237" xr:uid="{00000000-0005-0000-0000-0000DA520000}"/>
    <cellStyle name="currency rate 2 11 2 10" xfId="21238" xr:uid="{00000000-0005-0000-0000-0000DB520000}"/>
    <cellStyle name="currency rate 2 11 2 11" xfId="21239" xr:uid="{00000000-0005-0000-0000-0000DC520000}"/>
    <cellStyle name="currency rate 2 11 2 12" xfId="21240" xr:uid="{00000000-0005-0000-0000-0000DD520000}"/>
    <cellStyle name="currency rate 2 11 2 2" xfId="21241" xr:uid="{00000000-0005-0000-0000-0000DE520000}"/>
    <cellStyle name="currency rate 2 11 2 2 10" xfId="21242" xr:uid="{00000000-0005-0000-0000-0000DF520000}"/>
    <cellStyle name="currency rate 2 11 2 2 2" xfId="21243" xr:uid="{00000000-0005-0000-0000-0000E0520000}"/>
    <cellStyle name="currency rate 2 11 2 2 3" xfId="21244" xr:uid="{00000000-0005-0000-0000-0000E1520000}"/>
    <cellStyle name="currency rate 2 11 2 2 4" xfId="21245" xr:uid="{00000000-0005-0000-0000-0000E2520000}"/>
    <cellStyle name="currency rate 2 11 2 2 5" xfId="21246" xr:uid="{00000000-0005-0000-0000-0000E3520000}"/>
    <cellStyle name="currency rate 2 11 2 2 6" xfId="21247" xr:uid="{00000000-0005-0000-0000-0000E4520000}"/>
    <cellStyle name="currency rate 2 11 2 2 7" xfId="21248" xr:uid="{00000000-0005-0000-0000-0000E5520000}"/>
    <cellStyle name="currency rate 2 11 2 2 8" xfId="21249" xr:uid="{00000000-0005-0000-0000-0000E6520000}"/>
    <cellStyle name="currency rate 2 11 2 2 9" xfId="21250" xr:uid="{00000000-0005-0000-0000-0000E7520000}"/>
    <cellStyle name="currency rate 2 11 2 3" xfId="21251" xr:uid="{00000000-0005-0000-0000-0000E8520000}"/>
    <cellStyle name="currency rate 2 11 2 4" xfId="21252" xr:uid="{00000000-0005-0000-0000-0000E9520000}"/>
    <cellStyle name="currency rate 2 11 2 5" xfId="21253" xr:uid="{00000000-0005-0000-0000-0000EA520000}"/>
    <cellStyle name="currency rate 2 11 2 6" xfId="21254" xr:uid="{00000000-0005-0000-0000-0000EB520000}"/>
    <cellStyle name="currency rate 2 11 2 7" xfId="21255" xr:uid="{00000000-0005-0000-0000-0000EC520000}"/>
    <cellStyle name="currency rate 2 11 2 8" xfId="21256" xr:uid="{00000000-0005-0000-0000-0000ED520000}"/>
    <cellStyle name="currency rate 2 11 2 9" xfId="21257" xr:uid="{00000000-0005-0000-0000-0000EE520000}"/>
    <cellStyle name="currency rate 2 11 3" xfId="21258" xr:uid="{00000000-0005-0000-0000-0000EF520000}"/>
    <cellStyle name="currency rate 2 11 3 10" xfId="21259" xr:uid="{00000000-0005-0000-0000-0000F0520000}"/>
    <cellStyle name="currency rate 2 11 3 11" xfId="21260" xr:uid="{00000000-0005-0000-0000-0000F1520000}"/>
    <cellStyle name="currency rate 2 11 3 2" xfId="21261" xr:uid="{00000000-0005-0000-0000-0000F2520000}"/>
    <cellStyle name="currency rate 2 11 3 3" xfId="21262" xr:uid="{00000000-0005-0000-0000-0000F3520000}"/>
    <cellStyle name="currency rate 2 11 3 4" xfId="21263" xr:uid="{00000000-0005-0000-0000-0000F4520000}"/>
    <cellStyle name="currency rate 2 11 3 5" xfId="21264" xr:uid="{00000000-0005-0000-0000-0000F5520000}"/>
    <cellStyle name="currency rate 2 11 3 6" xfId="21265" xr:uid="{00000000-0005-0000-0000-0000F6520000}"/>
    <cellStyle name="currency rate 2 11 3 7" xfId="21266" xr:uid="{00000000-0005-0000-0000-0000F7520000}"/>
    <cellStyle name="currency rate 2 11 3 8" xfId="21267" xr:uid="{00000000-0005-0000-0000-0000F8520000}"/>
    <cellStyle name="currency rate 2 11 3 9" xfId="21268" xr:uid="{00000000-0005-0000-0000-0000F9520000}"/>
    <cellStyle name="currency rate 2 11 4" xfId="21269" xr:uid="{00000000-0005-0000-0000-0000FA520000}"/>
    <cellStyle name="currency rate 2 11 5" xfId="21270" xr:uid="{00000000-0005-0000-0000-0000FB520000}"/>
    <cellStyle name="currency rate 2 11 6" xfId="21271" xr:uid="{00000000-0005-0000-0000-0000FC520000}"/>
    <cellStyle name="currency rate 2 11 7" xfId="21272" xr:uid="{00000000-0005-0000-0000-0000FD520000}"/>
    <cellStyle name="currency rate 2 11 8" xfId="21273" xr:uid="{00000000-0005-0000-0000-0000FE520000}"/>
    <cellStyle name="currency rate 2 11 9" xfId="21274" xr:uid="{00000000-0005-0000-0000-0000FF520000}"/>
    <cellStyle name="currency rate 2 12" xfId="21275" xr:uid="{00000000-0005-0000-0000-000000530000}"/>
    <cellStyle name="currency rate 2 12 10" xfId="21276" xr:uid="{00000000-0005-0000-0000-000001530000}"/>
    <cellStyle name="currency rate 2 12 11" xfId="21277" xr:uid="{00000000-0005-0000-0000-000002530000}"/>
    <cellStyle name="currency rate 2 12 12" xfId="21278" xr:uid="{00000000-0005-0000-0000-000003530000}"/>
    <cellStyle name="currency rate 2 12 13" xfId="21279" xr:uid="{00000000-0005-0000-0000-000004530000}"/>
    <cellStyle name="currency rate 2 12 2" xfId="21280" xr:uid="{00000000-0005-0000-0000-000005530000}"/>
    <cellStyle name="currency rate 2 12 2 10" xfId="21281" xr:uid="{00000000-0005-0000-0000-000006530000}"/>
    <cellStyle name="currency rate 2 12 2 11" xfId="21282" xr:uid="{00000000-0005-0000-0000-000007530000}"/>
    <cellStyle name="currency rate 2 12 2 12" xfId="21283" xr:uid="{00000000-0005-0000-0000-000008530000}"/>
    <cellStyle name="currency rate 2 12 2 2" xfId="21284" xr:uid="{00000000-0005-0000-0000-000009530000}"/>
    <cellStyle name="currency rate 2 12 2 2 10" xfId="21285" xr:uid="{00000000-0005-0000-0000-00000A530000}"/>
    <cellStyle name="currency rate 2 12 2 2 2" xfId="21286" xr:uid="{00000000-0005-0000-0000-00000B530000}"/>
    <cellStyle name="currency rate 2 12 2 2 3" xfId="21287" xr:uid="{00000000-0005-0000-0000-00000C530000}"/>
    <cellStyle name="currency rate 2 12 2 2 4" xfId="21288" xr:uid="{00000000-0005-0000-0000-00000D530000}"/>
    <cellStyle name="currency rate 2 12 2 2 5" xfId="21289" xr:uid="{00000000-0005-0000-0000-00000E530000}"/>
    <cellStyle name="currency rate 2 12 2 2 6" xfId="21290" xr:uid="{00000000-0005-0000-0000-00000F530000}"/>
    <cellStyle name="currency rate 2 12 2 2 7" xfId="21291" xr:uid="{00000000-0005-0000-0000-000010530000}"/>
    <cellStyle name="currency rate 2 12 2 2 8" xfId="21292" xr:uid="{00000000-0005-0000-0000-000011530000}"/>
    <cellStyle name="currency rate 2 12 2 2 9" xfId="21293" xr:uid="{00000000-0005-0000-0000-000012530000}"/>
    <cellStyle name="currency rate 2 12 2 3" xfId="21294" xr:uid="{00000000-0005-0000-0000-000013530000}"/>
    <cellStyle name="currency rate 2 12 2 4" xfId="21295" xr:uid="{00000000-0005-0000-0000-000014530000}"/>
    <cellStyle name="currency rate 2 12 2 5" xfId="21296" xr:uid="{00000000-0005-0000-0000-000015530000}"/>
    <cellStyle name="currency rate 2 12 2 6" xfId="21297" xr:uid="{00000000-0005-0000-0000-000016530000}"/>
    <cellStyle name="currency rate 2 12 2 7" xfId="21298" xr:uid="{00000000-0005-0000-0000-000017530000}"/>
    <cellStyle name="currency rate 2 12 2 8" xfId="21299" xr:uid="{00000000-0005-0000-0000-000018530000}"/>
    <cellStyle name="currency rate 2 12 2 9" xfId="21300" xr:uid="{00000000-0005-0000-0000-000019530000}"/>
    <cellStyle name="currency rate 2 12 3" xfId="21301" xr:uid="{00000000-0005-0000-0000-00001A530000}"/>
    <cellStyle name="currency rate 2 12 3 10" xfId="21302" xr:uid="{00000000-0005-0000-0000-00001B530000}"/>
    <cellStyle name="currency rate 2 12 3 11" xfId="21303" xr:uid="{00000000-0005-0000-0000-00001C530000}"/>
    <cellStyle name="currency rate 2 12 3 2" xfId="21304" xr:uid="{00000000-0005-0000-0000-00001D530000}"/>
    <cellStyle name="currency rate 2 12 3 3" xfId="21305" xr:uid="{00000000-0005-0000-0000-00001E530000}"/>
    <cellStyle name="currency rate 2 12 3 4" xfId="21306" xr:uid="{00000000-0005-0000-0000-00001F530000}"/>
    <cellStyle name="currency rate 2 12 3 5" xfId="21307" xr:uid="{00000000-0005-0000-0000-000020530000}"/>
    <cellStyle name="currency rate 2 12 3 6" xfId="21308" xr:uid="{00000000-0005-0000-0000-000021530000}"/>
    <cellStyle name="currency rate 2 12 3 7" xfId="21309" xr:uid="{00000000-0005-0000-0000-000022530000}"/>
    <cellStyle name="currency rate 2 12 3 8" xfId="21310" xr:uid="{00000000-0005-0000-0000-000023530000}"/>
    <cellStyle name="currency rate 2 12 3 9" xfId="21311" xr:uid="{00000000-0005-0000-0000-000024530000}"/>
    <cellStyle name="currency rate 2 12 4" xfId="21312" xr:uid="{00000000-0005-0000-0000-000025530000}"/>
    <cellStyle name="currency rate 2 12 5" xfId="21313" xr:uid="{00000000-0005-0000-0000-000026530000}"/>
    <cellStyle name="currency rate 2 12 6" xfId="21314" xr:uid="{00000000-0005-0000-0000-000027530000}"/>
    <cellStyle name="currency rate 2 12 7" xfId="21315" xr:uid="{00000000-0005-0000-0000-000028530000}"/>
    <cellStyle name="currency rate 2 12 8" xfId="21316" xr:uid="{00000000-0005-0000-0000-000029530000}"/>
    <cellStyle name="currency rate 2 12 9" xfId="21317" xr:uid="{00000000-0005-0000-0000-00002A530000}"/>
    <cellStyle name="currency rate 2 13" xfId="21318" xr:uid="{00000000-0005-0000-0000-00002B530000}"/>
    <cellStyle name="currency rate 2 13 10" xfId="21319" xr:uid="{00000000-0005-0000-0000-00002C530000}"/>
    <cellStyle name="currency rate 2 13 11" xfId="21320" xr:uid="{00000000-0005-0000-0000-00002D530000}"/>
    <cellStyle name="currency rate 2 13 12" xfId="21321" xr:uid="{00000000-0005-0000-0000-00002E530000}"/>
    <cellStyle name="currency rate 2 13 2" xfId="21322" xr:uid="{00000000-0005-0000-0000-00002F530000}"/>
    <cellStyle name="currency rate 2 13 2 10" xfId="21323" xr:uid="{00000000-0005-0000-0000-000030530000}"/>
    <cellStyle name="currency rate 2 13 2 2" xfId="21324" xr:uid="{00000000-0005-0000-0000-000031530000}"/>
    <cellStyle name="currency rate 2 13 2 3" xfId="21325" xr:uid="{00000000-0005-0000-0000-000032530000}"/>
    <cellStyle name="currency rate 2 13 2 4" xfId="21326" xr:uid="{00000000-0005-0000-0000-000033530000}"/>
    <cellStyle name="currency rate 2 13 2 5" xfId="21327" xr:uid="{00000000-0005-0000-0000-000034530000}"/>
    <cellStyle name="currency rate 2 13 2 6" xfId="21328" xr:uid="{00000000-0005-0000-0000-000035530000}"/>
    <cellStyle name="currency rate 2 13 2 7" xfId="21329" xr:uid="{00000000-0005-0000-0000-000036530000}"/>
    <cellStyle name="currency rate 2 13 2 8" xfId="21330" xr:uid="{00000000-0005-0000-0000-000037530000}"/>
    <cellStyle name="currency rate 2 13 2 9" xfId="21331" xr:uid="{00000000-0005-0000-0000-000038530000}"/>
    <cellStyle name="currency rate 2 13 3" xfId="21332" xr:uid="{00000000-0005-0000-0000-000039530000}"/>
    <cellStyle name="currency rate 2 13 4" xfId="21333" xr:uid="{00000000-0005-0000-0000-00003A530000}"/>
    <cellStyle name="currency rate 2 13 5" xfId="21334" xr:uid="{00000000-0005-0000-0000-00003B530000}"/>
    <cellStyle name="currency rate 2 13 6" xfId="21335" xr:uid="{00000000-0005-0000-0000-00003C530000}"/>
    <cellStyle name="currency rate 2 13 7" xfId="21336" xr:uid="{00000000-0005-0000-0000-00003D530000}"/>
    <cellStyle name="currency rate 2 13 8" xfId="21337" xr:uid="{00000000-0005-0000-0000-00003E530000}"/>
    <cellStyle name="currency rate 2 13 9" xfId="21338" xr:uid="{00000000-0005-0000-0000-00003F530000}"/>
    <cellStyle name="currency rate 2 14" xfId="21339" xr:uid="{00000000-0005-0000-0000-000040530000}"/>
    <cellStyle name="currency rate 2 14 10" xfId="21340" xr:uid="{00000000-0005-0000-0000-000041530000}"/>
    <cellStyle name="currency rate 2 14 11" xfId="21341" xr:uid="{00000000-0005-0000-0000-000042530000}"/>
    <cellStyle name="currency rate 2 14 2" xfId="21342" xr:uid="{00000000-0005-0000-0000-000043530000}"/>
    <cellStyle name="currency rate 2 14 3" xfId="21343" xr:uid="{00000000-0005-0000-0000-000044530000}"/>
    <cellStyle name="currency rate 2 14 4" xfId="21344" xr:uid="{00000000-0005-0000-0000-000045530000}"/>
    <cellStyle name="currency rate 2 14 5" xfId="21345" xr:uid="{00000000-0005-0000-0000-000046530000}"/>
    <cellStyle name="currency rate 2 14 6" xfId="21346" xr:uid="{00000000-0005-0000-0000-000047530000}"/>
    <cellStyle name="currency rate 2 14 7" xfId="21347" xr:uid="{00000000-0005-0000-0000-000048530000}"/>
    <cellStyle name="currency rate 2 14 8" xfId="21348" xr:uid="{00000000-0005-0000-0000-000049530000}"/>
    <cellStyle name="currency rate 2 14 9" xfId="21349" xr:uid="{00000000-0005-0000-0000-00004A530000}"/>
    <cellStyle name="currency rate 2 15" xfId="21350" xr:uid="{00000000-0005-0000-0000-00004B530000}"/>
    <cellStyle name="currency rate 2 16" xfId="21351" xr:uid="{00000000-0005-0000-0000-00004C530000}"/>
    <cellStyle name="currency rate 2 17" xfId="21352" xr:uid="{00000000-0005-0000-0000-00004D530000}"/>
    <cellStyle name="currency rate 2 18" xfId="21353" xr:uid="{00000000-0005-0000-0000-00004E530000}"/>
    <cellStyle name="currency rate 2 19" xfId="21354" xr:uid="{00000000-0005-0000-0000-00004F530000}"/>
    <cellStyle name="currency rate 2 2" xfId="21355" xr:uid="{00000000-0005-0000-0000-000050530000}"/>
    <cellStyle name="currency rate 2 2 10" xfId="21356" xr:uid="{00000000-0005-0000-0000-000051530000}"/>
    <cellStyle name="currency rate 2 2 11" xfId="21357" xr:uid="{00000000-0005-0000-0000-000052530000}"/>
    <cellStyle name="currency rate 2 2 12" xfId="21358" xr:uid="{00000000-0005-0000-0000-000053530000}"/>
    <cellStyle name="currency rate 2 2 13" xfId="21359" xr:uid="{00000000-0005-0000-0000-000054530000}"/>
    <cellStyle name="currency rate 2 2 2" xfId="21360" xr:uid="{00000000-0005-0000-0000-000055530000}"/>
    <cellStyle name="currency rate 2 2 2 10" xfId="21361" xr:uid="{00000000-0005-0000-0000-000056530000}"/>
    <cellStyle name="currency rate 2 2 2 11" xfId="21362" xr:uid="{00000000-0005-0000-0000-000057530000}"/>
    <cellStyle name="currency rate 2 2 2 12" xfId="21363" xr:uid="{00000000-0005-0000-0000-000058530000}"/>
    <cellStyle name="currency rate 2 2 2 2" xfId="21364" xr:uid="{00000000-0005-0000-0000-000059530000}"/>
    <cellStyle name="currency rate 2 2 2 2 10" xfId="21365" xr:uid="{00000000-0005-0000-0000-00005A530000}"/>
    <cellStyle name="currency rate 2 2 2 2 2" xfId="21366" xr:uid="{00000000-0005-0000-0000-00005B530000}"/>
    <cellStyle name="currency rate 2 2 2 2 3" xfId="21367" xr:uid="{00000000-0005-0000-0000-00005C530000}"/>
    <cellStyle name="currency rate 2 2 2 2 4" xfId="21368" xr:uid="{00000000-0005-0000-0000-00005D530000}"/>
    <cellStyle name="currency rate 2 2 2 2 5" xfId="21369" xr:uid="{00000000-0005-0000-0000-00005E530000}"/>
    <cellStyle name="currency rate 2 2 2 2 6" xfId="21370" xr:uid="{00000000-0005-0000-0000-00005F530000}"/>
    <cellStyle name="currency rate 2 2 2 2 7" xfId="21371" xr:uid="{00000000-0005-0000-0000-000060530000}"/>
    <cellStyle name="currency rate 2 2 2 2 8" xfId="21372" xr:uid="{00000000-0005-0000-0000-000061530000}"/>
    <cellStyle name="currency rate 2 2 2 2 9" xfId="21373" xr:uid="{00000000-0005-0000-0000-000062530000}"/>
    <cellStyle name="currency rate 2 2 2 3" xfId="21374" xr:uid="{00000000-0005-0000-0000-000063530000}"/>
    <cellStyle name="currency rate 2 2 2 4" xfId="21375" xr:uid="{00000000-0005-0000-0000-000064530000}"/>
    <cellStyle name="currency rate 2 2 2 5" xfId="21376" xr:uid="{00000000-0005-0000-0000-000065530000}"/>
    <cellStyle name="currency rate 2 2 2 6" xfId="21377" xr:uid="{00000000-0005-0000-0000-000066530000}"/>
    <cellStyle name="currency rate 2 2 2 7" xfId="21378" xr:uid="{00000000-0005-0000-0000-000067530000}"/>
    <cellStyle name="currency rate 2 2 2 8" xfId="21379" xr:uid="{00000000-0005-0000-0000-000068530000}"/>
    <cellStyle name="currency rate 2 2 2 9" xfId="21380" xr:uid="{00000000-0005-0000-0000-000069530000}"/>
    <cellStyle name="currency rate 2 2 3" xfId="21381" xr:uid="{00000000-0005-0000-0000-00006A530000}"/>
    <cellStyle name="currency rate 2 2 3 10" xfId="21382" xr:uid="{00000000-0005-0000-0000-00006B530000}"/>
    <cellStyle name="currency rate 2 2 3 11" xfId="21383" xr:uid="{00000000-0005-0000-0000-00006C530000}"/>
    <cellStyle name="currency rate 2 2 3 2" xfId="21384" xr:uid="{00000000-0005-0000-0000-00006D530000}"/>
    <cellStyle name="currency rate 2 2 3 3" xfId="21385" xr:uid="{00000000-0005-0000-0000-00006E530000}"/>
    <cellStyle name="currency rate 2 2 3 4" xfId="21386" xr:uid="{00000000-0005-0000-0000-00006F530000}"/>
    <cellStyle name="currency rate 2 2 3 5" xfId="21387" xr:uid="{00000000-0005-0000-0000-000070530000}"/>
    <cellStyle name="currency rate 2 2 3 6" xfId="21388" xr:uid="{00000000-0005-0000-0000-000071530000}"/>
    <cellStyle name="currency rate 2 2 3 7" xfId="21389" xr:uid="{00000000-0005-0000-0000-000072530000}"/>
    <cellStyle name="currency rate 2 2 3 8" xfId="21390" xr:uid="{00000000-0005-0000-0000-000073530000}"/>
    <cellStyle name="currency rate 2 2 3 9" xfId="21391" xr:uid="{00000000-0005-0000-0000-000074530000}"/>
    <cellStyle name="currency rate 2 2 4" xfId="21392" xr:uid="{00000000-0005-0000-0000-000075530000}"/>
    <cellStyle name="currency rate 2 2 5" xfId="21393" xr:uid="{00000000-0005-0000-0000-000076530000}"/>
    <cellStyle name="currency rate 2 2 6" xfId="21394" xr:uid="{00000000-0005-0000-0000-000077530000}"/>
    <cellStyle name="currency rate 2 2 7" xfId="21395" xr:uid="{00000000-0005-0000-0000-000078530000}"/>
    <cellStyle name="currency rate 2 2 8" xfId="21396" xr:uid="{00000000-0005-0000-0000-000079530000}"/>
    <cellStyle name="currency rate 2 2 9" xfId="21397" xr:uid="{00000000-0005-0000-0000-00007A530000}"/>
    <cellStyle name="currency rate 2 20" xfId="21398" xr:uid="{00000000-0005-0000-0000-00007B530000}"/>
    <cellStyle name="currency rate 2 21" xfId="21399" xr:uid="{00000000-0005-0000-0000-00007C530000}"/>
    <cellStyle name="currency rate 2 22" xfId="21400" xr:uid="{00000000-0005-0000-0000-00007D530000}"/>
    <cellStyle name="currency rate 2 23" xfId="21401" xr:uid="{00000000-0005-0000-0000-00007E530000}"/>
    <cellStyle name="currency rate 2 24" xfId="21402" xr:uid="{00000000-0005-0000-0000-00007F530000}"/>
    <cellStyle name="currency rate 2 3" xfId="21403" xr:uid="{00000000-0005-0000-0000-000080530000}"/>
    <cellStyle name="currency rate 2 3 10" xfId="21404" xr:uid="{00000000-0005-0000-0000-000081530000}"/>
    <cellStyle name="currency rate 2 3 11" xfId="21405" xr:uid="{00000000-0005-0000-0000-000082530000}"/>
    <cellStyle name="currency rate 2 3 12" xfId="21406" xr:uid="{00000000-0005-0000-0000-000083530000}"/>
    <cellStyle name="currency rate 2 3 13" xfId="21407" xr:uid="{00000000-0005-0000-0000-000084530000}"/>
    <cellStyle name="currency rate 2 3 2" xfId="21408" xr:uid="{00000000-0005-0000-0000-000085530000}"/>
    <cellStyle name="currency rate 2 3 2 10" xfId="21409" xr:uid="{00000000-0005-0000-0000-000086530000}"/>
    <cellStyle name="currency rate 2 3 2 11" xfId="21410" xr:uid="{00000000-0005-0000-0000-000087530000}"/>
    <cellStyle name="currency rate 2 3 2 12" xfId="21411" xr:uid="{00000000-0005-0000-0000-000088530000}"/>
    <cellStyle name="currency rate 2 3 2 2" xfId="21412" xr:uid="{00000000-0005-0000-0000-000089530000}"/>
    <cellStyle name="currency rate 2 3 2 2 10" xfId="21413" xr:uid="{00000000-0005-0000-0000-00008A530000}"/>
    <cellStyle name="currency rate 2 3 2 2 2" xfId="21414" xr:uid="{00000000-0005-0000-0000-00008B530000}"/>
    <cellStyle name="currency rate 2 3 2 2 3" xfId="21415" xr:uid="{00000000-0005-0000-0000-00008C530000}"/>
    <cellStyle name="currency rate 2 3 2 2 4" xfId="21416" xr:uid="{00000000-0005-0000-0000-00008D530000}"/>
    <cellStyle name="currency rate 2 3 2 2 5" xfId="21417" xr:uid="{00000000-0005-0000-0000-00008E530000}"/>
    <cellStyle name="currency rate 2 3 2 2 6" xfId="21418" xr:uid="{00000000-0005-0000-0000-00008F530000}"/>
    <cellStyle name="currency rate 2 3 2 2 7" xfId="21419" xr:uid="{00000000-0005-0000-0000-000090530000}"/>
    <cellStyle name="currency rate 2 3 2 2 8" xfId="21420" xr:uid="{00000000-0005-0000-0000-000091530000}"/>
    <cellStyle name="currency rate 2 3 2 2 9" xfId="21421" xr:uid="{00000000-0005-0000-0000-000092530000}"/>
    <cellStyle name="currency rate 2 3 2 3" xfId="21422" xr:uid="{00000000-0005-0000-0000-000093530000}"/>
    <cellStyle name="currency rate 2 3 2 4" xfId="21423" xr:uid="{00000000-0005-0000-0000-000094530000}"/>
    <cellStyle name="currency rate 2 3 2 5" xfId="21424" xr:uid="{00000000-0005-0000-0000-000095530000}"/>
    <cellStyle name="currency rate 2 3 2 6" xfId="21425" xr:uid="{00000000-0005-0000-0000-000096530000}"/>
    <cellStyle name="currency rate 2 3 2 7" xfId="21426" xr:uid="{00000000-0005-0000-0000-000097530000}"/>
    <cellStyle name="currency rate 2 3 2 8" xfId="21427" xr:uid="{00000000-0005-0000-0000-000098530000}"/>
    <cellStyle name="currency rate 2 3 2 9" xfId="21428" xr:uid="{00000000-0005-0000-0000-000099530000}"/>
    <cellStyle name="currency rate 2 3 3" xfId="21429" xr:uid="{00000000-0005-0000-0000-00009A530000}"/>
    <cellStyle name="currency rate 2 3 3 10" xfId="21430" xr:uid="{00000000-0005-0000-0000-00009B530000}"/>
    <cellStyle name="currency rate 2 3 3 11" xfId="21431" xr:uid="{00000000-0005-0000-0000-00009C530000}"/>
    <cellStyle name="currency rate 2 3 3 2" xfId="21432" xr:uid="{00000000-0005-0000-0000-00009D530000}"/>
    <cellStyle name="currency rate 2 3 3 3" xfId="21433" xr:uid="{00000000-0005-0000-0000-00009E530000}"/>
    <cellStyle name="currency rate 2 3 3 4" xfId="21434" xr:uid="{00000000-0005-0000-0000-00009F530000}"/>
    <cellStyle name="currency rate 2 3 3 5" xfId="21435" xr:uid="{00000000-0005-0000-0000-0000A0530000}"/>
    <cellStyle name="currency rate 2 3 3 6" xfId="21436" xr:uid="{00000000-0005-0000-0000-0000A1530000}"/>
    <cellStyle name="currency rate 2 3 3 7" xfId="21437" xr:uid="{00000000-0005-0000-0000-0000A2530000}"/>
    <cellStyle name="currency rate 2 3 3 8" xfId="21438" xr:uid="{00000000-0005-0000-0000-0000A3530000}"/>
    <cellStyle name="currency rate 2 3 3 9" xfId="21439" xr:uid="{00000000-0005-0000-0000-0000A4530000}"/>
    <cellStyle name="currency rate 2 3 4" xfId="21440" xr:uid="{00000000-0005-0000-0000-0000A5530000}"/>
    <cellStyle name="currency rate 2 3 5" xfId="21441" xr:uid="{00000000-0005-0000-0000-0000A6530000}"/>
    <cellStyle name="currency rate 2 3 6" xfId="21442" xr:uid="{00000000-0005-0000-0000-0000A7530000}"/>
    <cellStyle name="currency rate 2 3 7" xfId="21443" xr:uid="{00000000-0005-0000-0000-0000A8530000}"/>
    <cellStyle name="currency rate 2 3 8" xfId="21444" xr:uid="{00000000-0005-0000-0000-0000A9530000}"/>
    <cellStyle name="currency rate 2 3 9" xfId="21445" xr:uid="{00000000-0005-0000-0000-0000AA530000}"/>
    <cellStyle name="currency rate 2 4" xfId="21446" xr:uid="{00000000-0005-0000-0000-0000AB530000}"/>
    <cellStyle name="currency rate 2 4 10" xfId="21447" xr:uid="{00000000-0005-0000-0000-0000AC530000}"/>
    <cellStyle name="currency rate 2 4 11" xfId="21448" xr:uid="{00000000-0005-0000-0000-0000AD530000}"/>
    <cellStyle name="currency rate 2 4 12" xfId="21449" xr:uid="{00000000-0005-0000-0000-0000AE530000}"/>
    <cellStyle name="currency rate 2 4 13" xfId="21450" xr:uid="{00000000-0005-0000-0000-0000AF530000}"/>
    <cellStyle name="currency rate 2 4 2" xfId="21451" xr:uid="{00000000-0005-0000-0000-0000B0530000}"/>
    <cellStyle name="currency rate 2 4 2 10" xfId="21452" xr:uid="{00000000-0005-0000-0000-0000B1530000}"/>
    <cellStyle name="currency rate 2 4 2 11" xfId="21453" xr:uid="{00000000-0005-0000-0000-0000B2530000}"/>
    <cellStyle name="currency rate 2 4 2 12" xfId="21454" xr:uid="{00000000-0005-0000-0000-0000B3530000}"/>
    <cellStyle name="currency rate 2 4 2 2" xfId="21455" xr:uid="{00000000-0005-0000-0000-0000B4530000}"/>
    <cellStyle name="currency rate 2 4 2 2 10" xfId="21456" xr:uid="{00000000-0005-0000-0000-0000B5530000}"/>
    <cellStyle name="currency rate 2 4 2 2 2" xfId="21457" xr:uid="{00000000-0005-0000-0000-0000B6530000}"/>
    <cellStyle name="currency rate 2 4 2 2 3" xfId="21458" xr:uid="{00000000-0005-0000-0000-0000B7530000}"/>
    <cellStyle name="currency rate 2 4 2 2 4" xfId="21459" xr:uid="{00000000-0005-0000-0000-0000B8530000}"/>
    <cellStyle name="currency rate 2 4 2 2 5" xfId="21460" xr:uid="{00000000-0005-0000-0000-0000B9530000}"/>
    <cellStyle name="currency rate 2 4 2 2 6" xfId="21461" xr:uid="{00000000-0005-0000-0000-0000BA530000}"/>
    <cellStyle name="currency rate 2 4 2 2 7" xfId="21462" xr:uid="{00000000-0005-0000-0000-0000BB530000}"/>
    <cellStyle name="currency rate 2 4 2 2 8" xfId="21463" xr:uid="{00000000-0005-0000-0000-0000BC530000}"/>
    <cellStyle name="currency rate 2 4 2 2 9" xfId="21464" xr:uid="{00000000-0005-0000-0000-0000BD530000}"/>
    <cellStyle name="currency rate 2 4 2 3" xfId="21465" xr:uid="{00000000-0005-0000-0000-0000BE530000}"/>
    <cellStyle name="currency rate 2 4 2 4" xfId="21466" xr:uid="{00000000-0005-0000-0000-0000BF530000}"/>
    <cellStyle name="currency rate 2 4 2 5" xfId="21467" xr:uid="{00000000-0005-0000-0000-0000C0530000}"/>
    <cellStyle name="currency rate 2 4 2 6" xfId="21468" xr:uid="{00000000-0005-0000-0000-0000C1530000}"/>
    <cellStyle name="currency rate 2 4 2 7" xfId="21469" xr:uid="{00000000-0005-0000-0000-0000C2530000}"/>
    <cellStyle name="currency rate 2 4 2 8" xfId="21470" xr:uid="{00000000-0005-0000-0000-0000C3530000}"/>
    <cellStyle name="currency rate 2 4 2 9" xfId="21471" xr:uid="{00000000-0005-0000-0000-0000C4530000}"/>
    <cellStyle name="currency rate 2 4 3" xfId="21472" xr:uid="{00000000-0005-0000-0000-0000C5530000}"/>
    <cellStyle name="currency rate 2 4 3 10" xfId="21473" xr:uid="{00000000-0005-0000-0000-0000C6530000}"/>
    <cellStyle name="currency rate 2 4 3 11" xfId="21474" xr:uid="{00000000-0005-0000-0000-0000C7530000}"/>
    <cellStyle name="currency rate 2 4 3 2" xfId="21475" xr:uid="{00000000-0005-0000-0000-0000C8530000}"/>
    <cellStyle name="currency rate 2 4 3 3" xfId="21476" xr:uid="{00000000-0005-0000-0000-0000C9530000}"/>
    <cellStyle name="currency rate 2 4 3 4" xfId="21477" xr:uid="{00000000-0005-0000-0000-0000CA530000}"/>
    <cellStyle name="currency rate 2 4 3 5" xfId="21478" xr:uid="{00000000-0005-0000-0000-0000CB530000}"/>
    <cellStyle name="currency rate 2 4 3 6" xfId="21479" xr:uid="{00000000-0005-0000-0000-0000CC530000}"/>
    <cellStyle name="currency rate 2 4 3 7" xfId="21480" xr:uid="{00000000-0005-0000-0000-0000CD530000}"/>
    <cellStyle name="currency rate 2 4 3 8" xfId="21481" xr:uid="{00000000-0005-0000-0000-0000CE530000}"/>
    <cellStyle name="currency rate 2 4 3 9" xfId="21482" xr:uid="{00000000-0005-0000-0000-0000CF530000}"/>
    <cellStyle name="currency rate 2 4 4" xfId="21483" xr:uid="{00000000-0005-0000-0000-0000D0530000}"/>
    <cellStyle name="currency rate 2 4 5" xfId="21484" xr:uid="{00000000-0005-0000-0000-0000D1530000}"/>
    <cellStyle name="currency rate 2 4 6" xfId="21485" xr:uid="{00000000-0005-0000-0000-0000D2530000}"/>
    <cellStyle name="currency rate 2 4 7" xfId="21486" xr:uid="{00000000-0005-0000-0000-0000D3530000}"/>
    <cellStyle name="currency rate 2 4 8" xfId="21487" xr:uid="{00000000-0005-0000-0000-0000D4530000}"/>
    <cellStyle name="currency rate 2 4 9" xfId="21488" xr:uid="{00000000-0005-0000-0000-0000D5530000}"/>
    <cellStyle name="currency rate 2 5" xfId="21489" xr:uid="{00000000-0005-0000-0000-0000D6530000}"/>
    <cellStyle name="currency rate 2 5 10" xfId="21490" xr:uid="{00000000-0005-0000-0000-0000D7530000}"/>
    <cellStyle name="currency rate 2 5 11" xfId="21491" xr:uid="{00000000-0005-0000-0000-0000D8530000}"/>
    <cellStyle name="currency rate 2 5 12" xfId="21492" xr:uid="{00000000-0005-0000-0000-0000D9530000}"/>
    <cellStyle name="currency rate 2 5 13" xfId="21493" xr:uid="{00000000-0005-0000-0000-0000DA530000}"/>
    <cellStyle name="currency rate 2 5 2" xfId="21494" xr:uid="{00000000-0005-0000-0000-0000DB530000}"/>
    <cellStyle name="currency rate 2 5 2 10" xfId="21495" xr:uid="{00000000-0005-0000-0000-0000DC530000}"/>
    <cellStyle name="currency rate 2 5 2 11" xfId="21496" xr:uid="{00000000-0005-0000-0000-0000DD530000}"/>
    <cellStyle name="currency rate 2 5 2 12" xfId="21497" xr:uid="{00000000-0005-0000-0000-0000DE530000}"/>
    <cellStyle name="currency rate 2 5 2 2" xfId="21498" xr:uid="{00000000-0005-0000-0000-0000DF530000}"/>
    <cellStyle name="currency rate 2 5 2 2 10" xfId="21499" xr:uid="{00000000-0005-0000-0000-0000E0530000}"/>
    <cellStyle name="currency rate 2 5 2 2 2" xfId="21500" xr:uid="{00000000-0005-0000-0000-0000E1530000}"/>
    <cellStyle name="currency rate 2 5 2 2 3" xfId="21501" xr:uid="{00000000-0005-0000-0000-0000E2530000}"/>
    <cellStyle name="currency rate 2 5 2 2 4" xfId="21502" xr:uid="{00000000-0005-0000-0000-0000E3530000}"/>
    <cellStyle name="currency rate 2 5 2 2 5" xfId="21503" xr:uid="{00000000-0005-0000-0000-0000E4530000}"/>
    <cellStyle name="currency rate 2 5 2 2 6" xfId="21504" xr:uid="{00000000-0005-0000-0000-0000E5530000}"/>
    <cellStyle name="currency rate 2 5 2 2 7" xfId="21505" xr:uid="{00000000-0005-0000-0000-0000E6530000}"/>
    <cellStyle name="currency rate 2 5 2 2 8" xfId="21506" xr:uid="{00000000-0005-0000-0000-0000E7530000}"/>
    <cellStyle name="currency rate 2 5 2 2 9" xfId="21507" xr:uid="{00000000-0005-0000-0000-0000E8530000}"/>
    <cellStyle name="currency rate 2 5 2 3" xfId="21508" xr:uid="{00000000-0005-0000-0000-0000E9530000}"/>
    <cellStyle name="currency rate 2 5 2 4" xfId="21509" xr:uid="{00000000-0005-0000-0000-0000EA530000}"/>
    <cellStyle name="currency rate 2 5 2 5" xfId="21510" xr:uid="{00000000-0005-0000-0000-0000EB530000}"/>
    <cellStyle name="currency rate 2 5 2 6" xfId="21511" xr:uid="{00000000-0005-0000-0000-0000EC530000}"/>
    <cellStyle name="currency rate 2 5 2 7" xfId="21512" xr:uid="{00000000-0005-0000-0000-0000ED530000}"/>
    <cellStyle name="currency rate 2 5 2 8" xfId="21513" xr:uid="{00000000-0005-0000-0000-0000EE530000}"/>
    <cellStyle name="currency rate 2 5 2 9" xfId="21514" xr:uid="{00000000-0005-0000-0000-0000EF530000}"/>
    <cellStyle name="currency rate 2 5 3" xfId="21515" xr:uid="{00000000-0005-0000-0000-0000F0530000}"/>
    <cellStyle name="currency rate 2 5 3 10" xfId="21516" xr:uid="{00000000-0005-0000-0000-0000F1530000}"/>
    <cellStyle name="currency rate 2 5 3 11" xfId="21517" xr:uid="{00000000-0005-0000-0000-0000F2530000}"/>
    <cellStyle name="currency rate 2 5 3 2" xfId="21518" xr:uid="{00000000-0005-0000-0000-0000F3530000}"/>
    <cellStyle name="currency rate 2 5 3 3" xfId="21519" xr:uid="{00000000-0005-0000-0000-0000F4530000}"/>
    <cellStyle name="currency rate 2 5 3 4" xfId="21520" xr:uid="{00000000-0005-0000-0000-0000F5530000}"/>
    <cellStyle name="currency rate 2 5 3 5" xfId="21521" xr:uid="{00000000-0005-0000-0000-0000F6530000}"/>
    <cellStyle name="currency rate 2 5 3 6" xfId="21522" xr:uid="{00000000-0005-0000-0000-0000F7530000}"/>
    <cellStyle name="currency rate 2 5 3 7" xfId="21523" xr:uid="{00000000-0005-0000-0000-0000F8530000}"/>
    <cellStyle name="currency rate 2 5 3 8" xfId="21524" xr:uid="{00000000-0005-0000-0000-0000F9530000}"/>
    <cellStyle name="currency rate 2 5 3 9" xfId="21525" xr:uid="{00000000-0005-0000-0000-0000FA530000}"/>
    <cellStyle name="currency rate 2 5 4" xfId="21526" xr:uid="{00000000-0005-0000-0000-0000FB530000}"/>
    <cellStyle name="currency rate 2 5 5" xfId="21527" xr:uid="{00000000-0005-0000-0000-0000FC530000}"/>
    <cellStyle name="currency rate 2 5 6" xfId="21528" xr:uid="{00000000-0005-0000-0000-0000FD530000}"/>
    <cellStyle name="currency rate 2 5 7" xfId="21529" xr:uid="{00000000-0005-0000-0000-0000FE530000}"/>
    <cellStyle name="currency rate 2 5 8" xfId="21530" xr:uid="{00000000-0005-0000-0000-0000FF530000}"/>
    <cellStyle name="currency rate 2 5 9" xfId="21531" xr:uid="{00000000-0005-0000-0000-000000540000}"/>
    <cellStyle name="currency rate 2 6" xfId="21532" xr:uid="{00000000-0005-0000-0000-000001540000}"/>
    <cellStyle name="currency rate 2 6 10" xfId="21533" xr:uid="{00000000-0005-0000-0000-000002540000}"/>
    <cellStyle name="currency rate 2 6 11" xfId="21534" xr:uid="{00000000-0005-0000-0000-000003540000}"/>
    <cellStyle name="currency rate 2 6 12" xfId="21535" xr:uid="{00000000-0005-0000-0000-000004540000}"/>
    <cellStyle name="currency rate 2 6 13" xfId="21536" xr:uid="{00000000-0005-0000-0000-000005540000}"/>
    <cellStyle name="currency rate 2 6 2" xfId="21537" xr:uid="{00000000-0005-0000-0000-000006540000}"/>
    <cellStyle name="currency rate 2 6 2 10" xfId="21538" xr:uid="{00000000-0005-0000-0000-000007540000}"/>
    <cellStyle name="currency rate 2 6 2 11" xfId="21539" xr:uid="{00000000-0005-0000-0000-000008540000}"/>
    <cellStyle name="currency rate 2 6 2 12" xfId="21540" xr:uid="{00000000-0005-0000-0000-000009540000}"/>
    <cellStyle name="currency rate 2 6 2 2" xfId="21541" xr:uid="{00000000-0005-0000-0000-00000A540000}"/>
    <cellStyle name="currency rate 2 6 2 2 10" xfId="21542" xr:uid="{00000000-0005-0000-0000-00000B540000}"/>
    <cellStyle name="currency rate 2 6 2 2 2" xfId="21543" xr:uid="{00000000-0005-0000-0000-00000C540000}"/>
    <cellStyle name="currency rate 2 6 2 2 3" xfId="21544" xr:uid="{00000000-0005-0000-0000-00000D540000}"/>
    <cellStyle name="currency rate 2 6 2 2 4" xfId="21545" xr:uid="{00000000-0005-0000-0000-00000E540000}"/>
    <cellStyle name="currency rate 2 6 2 2 5" xfId="21546" xr:uid="{00000000-0005-0000-0000-00000F540000}"/>
    <cellStyle name="currency rate 2 6 2 2 6" xfId="21547" xr:uid="{00000000-0005-0000-0000-000010540000}"/>
    <cellStyle name="currency rate 2 6 2 2 7" xfId="21548" xr:uid="{00000000-0005-0000-0000-000011540000}"/>
    <cellStyle name="currency rate 2 6 2 2 8" xfId="21549" xr:uid="{00000000-0005-0000-0000-000012540000}"/>
    <cellStyle name="currency rate 2 6 2 2 9" xfId="21550" xr:uid="{00000000-0005-0000-0000-000013540000}"/>
    <cellStyle name="currency rate 2 6 2 3" xfId="21551" xr:uid="{00000000-0005-0000-0000-000014540000}"/>
    <cellStyle name="currency rate 2 6 2 4" xfId="21552" xr:uid="{00000000-0005-0000-0000-000015540000}"/>
    <cellStyle name="currency rate 2 6 2 5" xfId="21553" xr:uid="{00000000-0005-0000-0000-000016540000}"/>
    <cellStyle name="currency rate 2 6 2 6" xfId="21554" xr:uid="{00000000-0005-0000-0000-000017540000}"/>
    <cellStyle name="currency rate 2 6 2 7" xfId="21555" xr:uid="{00000000-0005-0000-0000-000018540000}"/>
    <cellStyle name="currency rate 2 6 2 8" xfId="21556" xr:uid="{00000000-0005-0000-0000-000019540000}"/>
    <cellStyle name="currency rate 2 6 2 9" xfId="21557" xr:uid="{00000000-0005-0000-0000-00001A540000}"/>
    <cellStyle name="currency rate 2 6 3" xfId="21558" xr:uid="{00000000-0005-0000-0000-00001B540000}"/>
    <cellStyle name="currency rate 2 6 3 10" xfId="21559" xr:uid="{00000000-0005-0000-0000-00001C540000}"/>
    <cellStyle name="currency rate 2 6 3 11" xfId="21560" xr:uid="{00000000-0005-0000-0000-00001D540000}"/>
    <cellStyle name="currency rate 2 6 3 2" xfId="21561" xr:uid="{00000000-0005-0000-0000-00001E540000}"/>
    <cellStyle name="currency rate 2 6 3 3" xfId="21562" xr:uid="{00000000-0005-0000-0000-00001F540000}"/>
    <cellStyle name="currency rate 2 6 3 4" xfId="21563" xr:uid="{00000000-0005-0000-0000-000020540000}"/>
    <cellStyle name="currency rate 2 6 3 5" xfId="21564" xr:uid="{00000000-0005-0000-0000-000021540000}"/>
    <cellStyle name="currency rate 2 6 3 6" xfId="21565" xr:uid="{00000000-0005-0000-0000-000022540000}"/>
    <cellStyle name="currency rate 2 6 3 7" xfId="21566" xr:uid="{00000000-0005-0000-0000-000023540000}"/>
    <cellStyle name="currency rate 2 6 3 8" xfId="21567" xr:uid="{00000000-0005-0000-0000-000024540000}"/>
    <cellStyle name="currency rate 2 6 3 9" xfId="21568" xr:uid="{00000000-0005-0000-0000-000025540000}"/>
    <cellStyle name="currency rate 2 6 4" xfId="21569" xr:uid="{00000000-0005-0000-0000-000026540000}"/>
    <cellStyle name="currency rate 2 6 5" xfId="21570" xr:uid="{00000000-0005-0000-0000-000027540000}"/>
    <cellStyle name="currency rate 2 6 6" xfId="21571" xr:uid="{00000000-0005-0000-0000-000028540000}"/>
    <cellStyle name="currency rate 2 6 7" xfId="21572" xr:uid="{00000000-0005-0000-0000-000029540000}"/>
    <cellStyle name="currency rate 2 6 8" xfId="21573" xr:uid="{00000000-0005-0000-0000-00002A540000}"/>
    <cellStyle name="currency rate 2 6 9" xfId="21574" xr:uid="{00000000-0005-0000-0000-00002B540000}"/>
    <cellStyle name="currency rate 2 7" xfId="21575" xr:uid="{00000000-0005-0000-0000-00002C540000}"/>
    <cellStyle name="currency rate 2 7 10" xfId="21576" xr:uid="{00000000-0005-0000-0000-00002D540000}"/>
    <cellStyle name="currency rate 2 7 11" xfId="21577" xr:uid="{00000000-0005-0000-0000-00002E540000}"/>
    <cellStyle name="currency rate 2 7 12" xfId="21578" xr:uid="{00000000-0005-0000-0000-00002F540000}"/>
    <cellStyle name="currency rate 2 7 13" xfId="21579" xr:uid="{00000000-0005-0000-0000-000030540000}"/>
    <cellStyle name="currency rate 2 7 2" xfId="21580" xr:uid="{00000000-0005-0000-0000-000031540000}"/>
    <cellStyle name="currency rate 2 7 2 10" xfId="21581" xr:uid="{00000000-0005-0000-0000-000032540000}"/>
    <cellStyle name="currency rate 2 7 2 11" xfId="21582" xr:uid="{00000000-0005-0000-0000-000033540000}"/>
    <cellStyle name="currency rate 2 7 2 12" xfId="21583" xr:uid="{00000000-0005-0000-0000-000034540000}"/>
    <cellStyle name="currency rate 2 7 2 2" xfId="21584" xr:uid="{00000000-0005-0000-0000-000035540000}"/>
    <cellStyle name="currency rate 2 7 2 2 10" xfId="21585" xr:uid="{00000000-0005-0000-0000-000036540000}"/>
    <cellStyle name="currency rate 2 7 2 2 2" xfId="21586" xr:uid="{00000000-0005-0000-0000-000037540000}"/>
    <cellStyle name="currency rate 2 7 2 2 3" xfId="21587" xr:uid="{00000000-0005-0000-0000-000038540000}"/>
    <cellStyle name="currency rate 2 7 2 2 4" xfId="21588" xr:uid="{00000000-0005-0000-0000-000039540000}"/>
    <cellStyle name="currency rate 2 7 2 2 5" xfId="21589" xr:uid="{00000000-0005-0000-0000-00003A540000}"/>
    <cellStyle name="currency rate 2 7 2 2 6" xfId="21590" xr:uid="{00000000-0005-0000-0000-00003B540000}"/>
    <cellStyle name="currency rate 2 7 2 2 7" xfId="21591" xr:uid="{00000000-0005-0000-0000-00003C540000}"/>
    <cellStyle name="currency rate 2 7 2 2 8" xfId="21592" xr:uid="{00000000-0005-0000-0000-00003D540000}"/>
    <cellStyle name="currency rate 2 7 2 2 9" xfId="21593" xr:uid="{00000000-0005-0000-0000-00003E540000}"/>
    <cellStyle name="currency rate 2 7 2 3" xfId="21594" xr:uid="{00000000-0005-0000-0000-00003F540000}"/>
    <cellStyle name="currency rate 2 7 2 4" xfId="21595" xr:uid="{00000000-0005-0000-0000-000040540000}"/>
    <cellStyle name="currency rate 2 7 2 5" xfId="21596" xr:uid="{00000000-0005-0000-0000-000041540000}"/>
    <cellStyle name="currency rate 2 7 2 6" xfId="21597" xr:uid="{00000000-0005-0000-0000-000042540000}"/>
    <cellStyle name="currency rate 2 7 2 7" xfId="21598" xr:uid="{00000000-0005-0000-0000-000043540000}"/>
    <cellStyle name="currency rate 2 7 2 8" xfId="21599" xr:uid="{00000000-0005-0000-0000-000044540000}"/>
    <cellStyle name="currency rate 2 7 2 9" xfId="21600" xr:uid="{00000000-0005-0000-0000-000045540000}"/>
    <cellStyle name="currency rate 2 7 3" xfId="21601" xr:uid="{00000000-0005-0000-0000-000046540000}"/>
    <cellStyle name="currency rate 2 7 3 10" xfId="21602" xr:uid="{00000000-0005-0000-0000-000047540000}"/>
    <cellStyle name="currency rate 2 7 3 11" xfId="21603" xr:uid="{00000000-0005-0000-0000-000048540000}"/>
    <cellStyle name="currency rate 2 7 3 2" xfId="21604" xr:uid="{00000000-0005-0000-0000-000049540000}"/>
    <cellStyle name="currency rate 2 7 3 3" xfId="21605" xr:uid="{00000000-0005-0000-0000-00004A540000}"/>
    <cellStyle name="currency rate 2 7 3 4" xfId="21606" xr:uid="{00000000-0005-0000-0000-00004B540000}"/>
    <cellStyle name="currency rate 2 7 3 5" xfId="21607" xr:uid="{00000000-0005-0000-0000-00004C540000}"/>
    <cellStyle name="currency rate 2 7 3 6" xfId="21608" xr:uid="{00000000-0005-0000-0000-00004D540000}"/>
    <cellStyle name="currency rate 2 7 3 7" xfId="21609" xr:uid="{00000000-0005-0000-0000-00004E540000}"/>
    <cellStyle name="currency rate 2 7 3 8" xfId="21610" xr:uid="{00000000-0005-0000-0000-00004F540000}"/>
    <cellStyle name="currency rate 2 7 3 9" xfId="21611" xr:uid="{00000000-0005-0000-0000-000050540000}"/>
    <cellStyle name="currency rate 2 7 4" xfId="21612" xr:uid="{00000000-0005-0000-0000-000051540000}"/>
    <cellStyle name="currency rate 2 7 5" xfId="21613" xr:uid="{00000000-0005-0000-0000-000052540000}"/>
    <cellStyle name="currency rate 2 7 6" xfId="21614" xr:uid="{00000000-0005-0000-0000-000053540000}"/>
    <cellStyle name="currency rate 2 7 7" xfId="21615" xr:uid="{00000000-0005-0000-0000-000054540000}"/>
    <cellStyle name="currency rate 2 7 8" xfId="21616" xr:uid="{00000000-0005-0000-0000-000055540000}"/>
    <cellStyle name="currency rate 2 7 9" xfId="21617" xr:uid="{00000000-0005-0000-0000-000056540000}"/>
    <cellStyle name="currency rate 2 8" xfId="21618" xr:uid="{00000000-0005-0000-0000-000057540000}"/>
    <cellStyle name="currency rate 2 8 10" xfId="21619" xr:uid="{00000000-0005-0000-0000-000058540000}"/>
    <cellStyle name="currency rate 2 8 11" xfId="21620" xr:uid="{00000000-0005-0000-0000-000059540000}"/>
    <cellStyle name="currency rate 2 8 12" xfId="21621" xr:uid="{00000000-0005-0000-0000-00005A540000}"/>
    <cellStyle name="currency rate 2 8 13" xfId="21622" xr:uid="{00000000-0005-0000-0000-00005B540000}"/>
    <cellStyle name="currency rate 2 8 2" xfId="21623" xr:uid="{00000000-0005-0000-0000-00005C540000}"/>
    <cellStyle name="currency rate 2 8 2 10" xfId="21624" xr:uid="{00000000-0005-0000-0000-00005D540000}"/>
    <cellStyle name="currency rate 2 8 2 11" xfId="21625" xr:uid="{00000000-0005-0000-0000-00005E540000}"/>
    <cellStyle name="currency rate 2 8 2 12" xfId="21626" xr:uid="{00000000-0005-0000-0000-00005F540000}"/>
    <cellStyle name="currency rate 2 8 2 2" xfId="21627" xr:uid="{00000000-0005-0000-0000-000060540000}"/>
    <cellStyle name="currency rate 2 8 2 2 10" xfId="21628" xr:uid="{00000000-0005-0000-0000-000061540000}"/>
    <cellStyle name="currency rate 2 8 2 2 2" xfId="21629" xr:uid="{00000000-0005-0000-0000-000062540000}"/>
    <cellStyle name="currency rate 2 8 2 2 3" xfId="21630" xr:uid="{00000000-0005-0000-0000-000063540000}"/>
    <cellStyle name="currency rate 2 8 2 2 4" xfId="21631" xr:uid="{00000000-0005-0000-0000-000064540000}"/>
    <cellStyle name="currency rate 2 8 2 2 5" xfId="21632" xr:uid="{00000000-0005-0000-0000-000065540000}"/>
    <cellStyle name="currency rate 2 8 2 2 6" xfId="21633" xr:uid="{00000000-0005-0000-0000-000066540000}"/>
    <cellStyle name="currency rate 2 8 2 2 7" xfId="21634" xr:uid="{00000000-0005-0000-0000-000067540000}"/>
    <cellStyle name="currency rate 2 8 2 2 8" xfId="21635" xr:uid="{00000000-0005-0000-0000-000068540000}"/>
    <cellStyle name="currency rate 2 8 2 2 9" xfId="21636" xr:uid="{00000000-0005-0000-0000-000069540000}"/>
    <cellStyle name="currency rate 2 8 2 3" xfId="21637" xr:uid="{00000000-0005-0000-0000-00006A540000}"/>
    <cellStyle name="currency rate 2 8 2 4" xfId="21638" xr:uid="{00000000-0005-0000-0000-00006B540000}"/>
    <cellStyle name="currency rate 2 8 2 5" xfId="21639" xr:uid="{00000000-0005-0000-0000-00006C540000}"/>
    <cellStyle name="currency rate 2 8 2 6" xfId="21640" xr:uid="{00000000-0005-0000-0000-00006D540000}"/>
    <cellStyle name="currency rate 2 8 2 7" xfId="21641" xr:uid="{00000000-0005-0000-0000-00006E540000}"/>
    <cellStyle name="currency rate 2 8 2 8" xfId="21642" xr:uid="{00000000-0005-0000-0000-00006F540000}"/>
    <cellStyle name="currency rate 2 8 2 9" xfId="21643" xr:uid="{00000000-0005-0000-0000-000070540000}"/>
    <cellStyle name="currency rate 2 8 3" xfId="21644" xr:uid="{00000000-0005-0000-0000-000071540000}"/>
    <cellStyle name="currency rate 2 8 3 10" xfId="21645" xr:uid="{00000000-0005-0000-0000-000072540000}"/>
    <cellStyle name="currency rate 2 8 3 11" xfId="21646" xr:uid="{00000000-0005-0000-0000-000073540000}"/>
    <cellStyle name="currency rate 2 8 3 2" xfId="21647" xr:uid="{00000000-0005-0000-0000-000074540000}"/>
    <cellStyle name="currency rate 2 8 3 3" xfId="21648" xr:uid="{00000000-0005-0000-0000-000075540000}"/>
    <cellStyle name="currency rate 2 8 3 4" xfId="21649" xr:uid="{00000000-0005-0000-0000-000076540000}"/>
    <cellStyle name="currency rate 2 8 3 5" xfId="21650" xr:uid="{00000000-0005-0000-0000-000077540000}"/>
    <cellStyle name="currency rate 2 8 3 6" xfId="21651" xr:uid="{00000000-0005-0000-0000-000078540000}"/>
    <cellStyle name="currency rate 2 8 3 7" xfId="21652" xr:uid="{00000000-0005-0000-0000-000079540000}"/>
    <cellStyle name="currency rate 2 8 3 8" xfId="21653" xr:uid="{00000000-0005-0000-0000-00007A540000}"/>
    <cellStyle name="currency rate 2 8 3 9" xfId="21654" xr:uid="{00000000-0005-0000-0000-00007B540000}"/>
    <cellStyle name="currency rate 2 8 4" xfId="21655" xr:uid="{00000000-0005-0000-0000-00007C540000}"/>
    <cellStyle name="currency rate 2 8 5" xfId="21656" xr:uid="{00000000-0005-0000-0000-00007D540000}"/>
    <cellStyle name="currency rate 2 8 6" xfId="21657" xr:uid="{00000000-0005-0000-0000-00007E540000}"/>
    <cellStyle name="currency rate 2 8 7" xfId="21658" xr:uid="{00000000-0005-0000-0000-00007F540000}"/>
    <cellStyle name="currency rate 2 8 8" xfId="21659" xr:uid="{00000000-0005-0000-0000-000080540000}"/>
    <cellStyle name="currency rate 2 8 9" xfId="21660" xr:uid="{00000000-0005-0000-0000-000081540000}"/>
    <cellStyle name="currency rate 2 9" xfId="21661" xr:uid="{00000000-0005-0000-0000-000082540000}"/>
    <cellStyle name="currency rate 2 9 10" xfId="21662" xr:uid="{00000000-0005-0000-0000-000083540000}"/>
    <cellStyle name="currency rate 2 9 11" xfId="21663" xr:uid="{00000000-0005-0000-0000-000084540000}"/>
    <cellStyle name="currency rate 2 9 12" xfId="21664" xr:uid="{00000000-0005-0000-0000-000085540000}"/>
    <cellStyle name="currency rate 2 9 13" xfId="21665" xr:uid="{00000000-0005-0000-0000-000086540000}"/>
    <cellStyle name="currency rate 2 9 2" xfId="21666" xr:uid="{00000000-0005-0000-0000-000087540000}"/>
    <cellStyle name="currency rate 2 9 2 10" xfId="21667" xr:uid="{00000000-0005-0000-0000-000088540000}"/>
    <cellStyle name="currency rate 2 9 2 11" xfId="21668" xr:uid="{00000000-0005-0000-0000-000089540000}"/>
    <cellStyle name="currency rate 2 9 2 12" xfId="21669" xr:uid="{00000000-0005-0000-0000-00008A540000}"/>
    <cellStyle name="currency rate 2 9 2 2" xfId="21670" xr:uid="{00000000-0005-0000-0000-00008B540000}"/>
    <cellStyle name="currency rate 2 9 2 2 10" xfId="21671" xr:uid="{00000000-0005-0000-0000-00008C540000}"/>
    <cellStyle name="currency rate 2 9 2 2 2" xfId="21672" xr:uid="{00000000-0005-0000-0000-00008D540000}"/>
    <cellStyle name="currency rate 2 9 2 2 3" xfId="21673" xr:uid="{00000000-0005-0000-0000-00008E540000}"/>
    <cellStyle name="currency rate 2 9 2 2 4" xfId="21674" xr:uid="{00000000-0005-0000-0000-00008F540000}"/>
    <cellStyle name="currency rate 2 9 2 2 5" xfId="21675" xr:uid="{00000000-0005-0000-0000-000090540000}"/>
    <cellStyle name="currency rate 2 9 2 2 6" xfId="21676" xr:uid="{00000000-0005-0000-0000-000091540000}"/>
    <cellStyle name="currency rate 2 9 2 2 7" xfId="21677" xr:uid="{00000000-0005-0000-0000-000092540000}"/>
    <cellStyle name="currency rate 2 9 2 2 8" xfId="21678" xr:uid="{00000000-0005-0000-0000-000093540000}"/>
    <cellStyle name="currency rate 2 9 2 2 9" xfId="21679" xr:uid="{00000000-0005-0000-0000-000094540000}"/>
    <cellStyle name="currency rate 2 9 2 3" xfId="21680" xr:uid="{00000000-0005-0000-0000-000095540000}"/>
    <cellStyle name="currency rate 2 9 2 4" xfId="21681" xr:uid="{00000000-0005-0000-0000-000096540000}"/>
    <cellStyle name="currency rate 2 9 2 5" xfId="21682" xr:uid="{00000000-0005-0000-0000-000097540000}"/>
    <cellStyle name="currency rate 2 9 2 6" xfId="21683" xr:uid="{00000000-0005-0000-0000-000098540000}"/>
    <cellStyle name="currency rate 2 9 2 7" xfId="21684" xr:uid="{00000000-0005-0000-0000-000099540000}"/>
    <cellStyle name="currency rate 2 9 2 8" xfId="21685" xr:uid="{00000000-0005-0000-0000-00009A540000}"/>
    <cellStyle name="currency rate 2 9 2 9" xfId="21686" xr:uid="{00000000-0005-0000-0000-00009B540000}"/>
    <cellStyle name="currency rate 2 9 3" xfId="21687" xr:uid="{00000000-0005-0000-0000-00009C540000}"/>
    <cellStyle name="currency rate 2 9 3 10" xfId="21688" xr:uid="{00000000-0005-0000-0000-00009D540000}"/>
    <cellStyle name="currency rate 2 9 3 11" xfId="21689" xr:uid="{00000000-0005-0000-0000-00009E540000}"/>
    <cellStyle name="currency rate 2 9 3 2" xfId="21690" xr:uid="{00000000-0005-0000-0000-00009F540000}"/>
    <cellStyle name="currency rate 2 9 3 3" xfId="21691" xr:uid="{00000000-0005-0000-0000-0000A0540000}"/>
    <cellStyle name="currency rate 2 9 3 4" xfId="21692" xr:uid="{00000000-0005-0000-0000-0000A1540000}"/>
    <cellStyle name="currency rate 2 9 3 5" xfId="21693" xr:uid="{00000000-0005-0000-0000-0000A2540000}"/>
    <cellStyle name="currency rate 2 9 3 6" xfId="21694" xr:uid="{00000000-0005-0000-0000-0000A3540000}"/>
    <cellStyle name="currency rate 2 9 3 7" xfId="21695" xr:uid="{00000000-0005-0000-0000-0000A4540000}"/>
    <cellStyle name="currency rate 2 9 3 8" xfId="21696" xr:uid="{00000000-0005-0000-0000-0000A5540000}"/>
    <cellStyle name="currency rate 2 9 3 9" xfId="21697" xr:uid="{00000000-0005-0000-0000-0000A6540000}"/>
    <cellStyle name="currency rate 2 9 4" xfId="21698" xr:uid="{00000000-0005-0000-0000-0000A7540000}"/>
    <cellStyle name="currency rate 2 9 5" xfId="21699" xr:uid="{00000000-0005-0000-0000-0000A8540000}"/>
    <cellStyle name="currency rate 2 9 6" xfId="21700" xr:uid="{00000000-0005-0000-0000-0000A9540000}"/>
    <cellStyle name="currency rate 2 9 7" xfId="21701" xr:uid="{00000000-0005-0000-0000-0000AA540000}"/>
    <cellStyle name="currency rate 2 9 8" xfId="21702" xr:uid="{00000000-0005-0000-0000-0000AB540000}"/>
    <cellStyle name="currency rate 2 9 9" xfId="21703" xr:uid="{00000000-0005-0000-0000-0000AC540000}"/>
    <cellStyle name="currency rate 20" xfId="21704" xr:uid="{00000000-0005-0000-0000-0000AD540000}"/>
    <cellStyle name="currency rate 21" xfId="21705" xr:uid="{00000000-0005-0000-0000-0000AE540000}"/>
    <cellStyle name="currency rate 22" xfId="21706" xr:uid="{00000000-0005-0000-0000-0000AF540000}"/>
    <cellStyle name="currency rate 23" xfId="21707" xr:uid="{00000000-0005-0000-0000-0000B0540000}"/>
    <cellStyle name="currency rate 24" xfId="21708" xr:uid="{00000000-0005-0000-0000-0000B1540000}"/>
    <cellStyle name="currency rate 25" xfId="21709" xr:uid="{00000000-0005-0000-0000-0000B2540000}"/>
    <cellStyle name="currency rate 3" xfId="21710" xr:uid="{00000000-0005-0000-0000-0000B3540000}"/>
    <cellStyle name="currency rate 3 10" xfId="21711" xr:uid="{00000000-0005-0000-0000-0000B4540000}"/>
    <cellStyle name="currency rate 3 11" xfId="21712" xr:uid="{00000000-0005-0000-0000-0000B5540000}"/>
    <cellStyle name="currency rate 3 12" xfId="21713" xr:uid="{00000000-0005-0000-0000-0000B6540000}"/>
    <cellStyle name="currency rate 3 13" xfId="21714" xr:uid="{00000000-0005-0000-0000-0000B7540000}"/>
    <cellStyle name="currency rate 3 2" xfId="21715" xr:uid="{00000000-0005-0000-0000-0000B8540000}"/>
    <cellStyle name="currency rate 3 2 10" xfId="21716" xr:uid="{00000000-0005-0000-0000-0000B9540000}"/>
    <cellStyle name="currency rate 3 2 11" xfId="21717" xr:uid="{00000000-0005-0000-0000-0000BA540000}"/>
    <cellStyle name="currency rate 3 2 12" xfId="21718" xr:uid="{00000000-0005-0000-0000-0000BB540000}"/>
    <cellStyle name="currency rate 3 2 2" xfId="21719" xr:uid="{00000000-0005-0000-0000-0000BC540000}"/>
    <cellStyle name="currency rate 3 2 2 10" xfId="21720" xr:uid="{00000000-0005-0000-0000-0000BD540000}"/>
    <cellStyle name="currency rate 3 2 2 2" xfId="21721" xr:uid="{00000000-0005-0000-0000-0000BE540000}"/>
    <cellStyle name="currency rate 3 2 2 3" xfId="21722" xr:uid="{00000000-0005-0000-0000-0000BF540000}"/>
    <cellStyle name="currency rate 3 2 2 4" xfId="21723" xr:uid="{00000000-0005-0000-0000-0000C0540000}"/>
    <cellStyle name="currency rate 3 2 2 5" xfId="21724" xr:uid="{00000000-0005-0000-0000-0000C1540000}"/>
    <cellStyle name="currency rate 3 2 2 6" xfId="21725" xr:uid="{00000000-0005-0000-0000-0000C2540000}"/>
    <cellStyle name="currency rate 3 2 2 7" xfId="21726" xr:uid="{00000000-0005-0000-0000-0000C3540000}"/>
    <cellStyle name="currency rate 3 2 2 8" xfId="21727" xr:uid="{00000000-0005-0000-0000-0000C4540000}"/>
    <cellStyle name="currency rate 3 2 2 9" xfId="21728" xr:uid="{00000000-0005-0000-0000-0000C5540000}"/>
    <cellStyle name="currency rate 3 2 3" xfId="21729" xr:uid="{00000000-0005-0000-0000-0000C6540000}"/>
    <cellStyle name="currency rate 3 2 4" xfId="21730" xr:uid="{00000000-0005-0000-0000-0000C7540000}"/>
    <cellStyle name="currency rate 3 2 5" xfId="21731" xr:uid="{00000000-0005-0000-0000-0000C8540000}"/>
    <cellStyle name="currency rate 3 2 6" xfId="21732" xr:uid="{00000000-0005-0000-0000-0000C9540000}"/>
    <cellStyle name="currency rate 3 2 7" xfId="21733" xr:uid="{00000000-0005-0000-0000-0000CA540000}"/>
    <cellStyle name="currency rate 3 2 8" xfId="21734" xr:uid="{00000000-0005-0000-0000-0000CB540000}"/>
    <cellStyle name="currency rate 3 2 9" xfId="21735" xr:uid="{00000000-0005-0000-0000-0000CC540000}"/>
    <cellStyle name="currency rate 3 3" xfId="21736" xr:uid="{00000000-0005-0000-0000-0000CD540000}"/>
    <cellStyle name="currency rate 3 3 10" xfId="21737" xr:uid="{00000000-0005-0000-0000-0000CE540000}"/>
    <cellStyle name="currency rate 3 3 11" xfId="21738" xr:uid="{00000000-0005-0000-0000-0000CF540000}"/>
    <cellStyle name="currency rate 3 3 2" xfId="21739" xr:uid="{00000000-0005-0000-0000-0000D0540000}"/>
    <cellStyle name="currency rate 3 3 3" xfId="21740" xr:uid="{00000000-0005-0000-0000-0000D1540000}"/>
    <cellStyle name="currency rate 3 3 4" xfId="21741" xr:uid="{00000000-0005-0000-0000-0000D2540000}"/>
    <cellStyle name="currency rate 3 3 5" xfId="21742" xr:uid="{00000000-0005-0000-0000-0000D3540000}"/>
    <cellStyle name="currency rate 3 3 6" xfId="21743" xr:uid="{00000000-0005-0000-0000-0000D4540000}"/>
    <cellStyle name="currency rate 3 3 7" xfId="21744" xr:uid="{00000000-0005-0000-0000-0000D5540000}"/>
    <cellStyle name="currency rate 3 3 8" xfId="21745" xr:uid="{00000000-0005-0000-0000-0000D6540000}"/>
    <cellStyle name="currency rate 3 3 9" xfId="21746" xr:uid="{00000000-0005-0000-0000-0000D7540000}"/>
    <cellStyle name="currency rate 3 4" xfId="21747" xr:uid="{00000000-0005-0000-0000-0000D8540000}"/>
    <cellStyle name="currency rate 3 5" xfId="21748" xr:uid="{00000000-0005-0000-0000-0000D9540000}"/>
    <cellStyle name="currency rate 3 6" xfId="21749" xr:uid="{00000000-0005-0000-0000-0000DA540000}"/>
    <cellStyle name="currency rate 3 7" xfId="21750" xr:uid="{00000000-0005-0000-0000-0000DB540000}"/>
    <cellStyle name="currency rate 3 8" xfId="21751" xr:uid="{00000000-0005-0000-0000-0000DC540000}"/>
    <cellStyle name="currency rate 3 9" xfId="21752" xr:uid="{00000000-0005-0000-0000-0000DD540000}"/>
    <cellStyle name="currency rate 4" xfId="21753" xr:uid="{00000000-0005-0000-0000-0000DE540000}"/>
    <cellStyle name="currency rate 4 10" xfId="21754" xr:uid="{00000000-0005-0000-0000-0000DF540000}"/>
    <cellStyle name="currency rate 4 11" xfId="21755" xr:uid="{00000000-0005-0000-0000-0000E0540000}"/>
    <cellStyle name="currency rate 4 12" xfId="21756" xr:uid="{00000000-0005-0000-0000-0000E1540000}"/>
    <cellStyle name="currency rate 4 13" xfId="21757" xr:uid="{00000000-0005-0000-0000-0000E2540000}"/>
    <cellStyle name="currency rate 4 2" xfId="21758" xr:uid="{00000000-0005-0000-0000-0000E3540000}"/>
    <cellStyle name="currency rate 4 2 10" xfId="21759" xr:uid="{00000000-0005-0000-0000-0000E4540000}"/>
    <cellStyle name="currency rate 4 2 11" xfId="21760" xr:uid="{00000000-0005-0000-0000-0000E5540000}"/>
    <cellStyle name="currency rate 4 2 12" xfId="21761" xr:uid="{00000000-0005-0000-0000-0000E6540000}"/>
    <cellStyle name="currency rate 4 2 2" xfId="21762" xr:uid="{00000000-0005-0000-0000-0000E7540000}"/>
    <cellStyle name="currency rate 4 2 2 10" xfId="21763" xr:uid="{00000000-0005-0000-0000-0000E8540000}"/>
    <cellStyle name="currency rate 4 2 2 2" xfId="21764" xr:uid="{00000000-0005-0000-0000-0000E9540000}"/>
    <cellStyle name="currency rate 4 2 2 3" xfId="21765" xr:uid="{00000000-0005-0000-0000-0000EA540000}"/>
    <cellStyle name="currency rate 4 2 2 4" xfId="21766" xr:uid="{00000000-0005-0000-0000-0000EB540000}"/>
    <cellStyle name="currency rate 4 2 2 5" xfId="21767" xr:uid="{00000000-0005-0000-0000-0000EC540000}"/>
    <cellStyle name="currency rate 4 2 2 6" xfId="21768" xr:uid="{00000000-0005-0000-0000-0000ED540000}"/>
    <cellStyle name="currency rate 4 2 2 7" xfId="21769" xr:uid="{00000000-0005-0000-0000-0000EE540000}"/>
    <cellStyle name="currency rate 4 2 2 8" xfId="21770" xr:uid="{00000000-0005-0000-0000-0000EF540000}"/>
    <cellStyle name="currency rate 4 2 2 9" xfId="21771" xr:uid="{00000000-0005-0000-0000-0000F0540000}"/>
    <cellStyle name="currency rate 4 2 3" xfId="21772" xr:uid="{00000000-0005-0000-0000-0000F1540000}"/>
    <cellStyle name="currency rate 4 2 4" xfId="21773" xr:uid="{00000000-0005-0000-0000-0000F2540000}"/>
    <cellStyle name="currency rate 4 2 5" xfId="21774" xr:uid="{00000000-0005-0000-0000-0000F3540000}"/>
    <cellStyle name="currency rate 4 2 6" xfId="21775" xr:uid="{00000000-0005-0000-0000-0000F4540000}"/>
    <cellStyle name="currency rate 4 2 7" xfId="21776" xr:uid="{00000000-0005-0000-0000-0000F5540000}"/>
    <cellStyle name="currency rate 4 2 8" xfId="21777" xr:uid="{00000000-0005-0000-0000-0000F6540000}"/>
    <cellStyle name="currency rate 4 2 9" xfId="21778" xr:uid="{00000000-0005-0000-0000-0000F7540000}"/>
    <cellStyle name="currency rate 4 3" xfId="21779" xr:uid="{00000000-0005-0000-0000-0000F8540000}"/>
    <cellStyle name="currency rate 4 3 10" xfId="21780" xr:uid="{00000000-0005-0000-0000-0000F9540000}"/>
    <cellStyle name="currency rate 4 3 11" xfId="21781" xr:uid="{00000000-0005-0000-0000-0000FA540000}"/>
    <cellStyle name="currency rate 4 3 2" xfId="21782" xr:uid="{00000000-0005-0000-0000-0000FB540000}"/>
    <cellStyle name="currency rate 4 3 3" xfId="21783" xr:uid="{00000000-0005-0000-0000-0000FC540000}"/>
    <cellStyle name="currency rate 4 3 4" xfId="21784" xr:uid="{00000000-0005-0000-0000-0000FD540000}"/>
    <cellStyle name="currency rate 4 3 5" xfId="21785" xr:uid="{00000000-0005-0000-0000-0000FE540000}"/>
    <cellStyle name="currency rate 4 3 6" xfId="21786" xr:uid="{00000000-0005-0000-0000-0000FF540000}"/>
    <cellStyle name="currency rate 4 3 7" xfId="21787" xr:uid="{00000000-0005-0000-0000-000000550000}"/>
    <cellStyle name="currency rate 4 3 8" xfId="21788" xr:uid="{00000000-0005-0000-0000-000001550000}"/>
    <cellStyle name="currency rate 4 3 9" xfId="21789" xr:uid="{00000000-0005-0000-0000-000002550000}"/>
    <cellStyle name="currency rate 4 4" xfId="21790" xr:uid="{00000000-0005-0000-0000-000003550000}"/>
    <cellStyle name="currency rate 4 5" xfId="21791" xr:uid="{00000000-0005-0000-0000-000004550000}"/>
    <cellStyle name="currency rate 4 6" xfId="21792" xr:uid="{00000000-0005-0000-0000-000005550000}"/>
    <cellStyle name="currency rate 4 7" xfId="21793" xr:uid="{00000000-0005-0000-0000-000006550000}"/>
    <cellStyle name="currency rate 4 8" xfId="21794" xr:uid="{00000000-0005-0000-0000-000007550000}"/>
    <cellStyle name="currency rate 4 9" xfId="21795" xr:uid="{00000000-0005-0000-0000-000008550000}"/>
    <cellStyle name="currency rate 5" xfId="21796" xr:uid="{00000000-0005-0000-0000-000009550000}"/>
    <cellStyle name="currency rate 5 10" xfId="21797" xr:uid="{00000000-0005-0000-0000-00000A550000}"/>
    <cellStyle name="currency rate 5 11" xfId="21798" xr:uid="{00000000-0005-0000-0000-00000B550000}"/>
    <cellStyle name="currency rate 5 12" xfId="21799" xr:uid="{00000000-0005-0000-0000-00000C550000}"/>
    <cellStyle name="currency rate 5 13" xfId="21800" xr:uid="{00000000-0005-0000-0000-00000D550000}"/>
    <cellStyle name="currency rate 5 2" xfId="21801" xr:uid="{00000000-0005-0000-0000-00000E550000}"/>
    <cellStyle name="currency rate 5 2 10" xfId="21802" xr:uid="{00000000-0005-0000-0000-00000F550000}"/>
    <cellStyle name="currency rate 5 2 11" xfId="21803" xr:uid="{00000000-0005-0000-0000-000010550000}"/>
    <cellStyle name="currency rate 5 2 12" xfId="21804" xr:uid="{00000000-0005-0000-0000-000011550000}"/>
    <cellStyle name="currency rate 5 2 2" xfId="21805" xr:uid="{00000000-0005-0000-0000-000012550000}"/>
    <cellStyle name="currency rate 5 2 2 10" xfId="21806" xr:uid="{00000000-0005-0000-0000-000013550000}"/>
    <cellStyle name="currency rate 5 2 2 2" xfId="21807" xr:uid="{00000000-0005-0000-0000-000014550000}"/>
    <cellStyle name="currency rate 5 2 2 3" xfId="21808" xr:uid="{00000000-0005-0000-0000-000015550000}"/>
    <cellStyle name="currency rate 5 2 2 4" xfId="21809" xr:uid="{00000000-0005-0000-0000-000016550000}"/>
    <cellStyle name="currency rate 5 2 2 5" xfId="21810" xr:uid="{00000000-0005-0000-0000-000017550000}"/>
    <cellStyle name="currency rate 5 2 2 6" xfId="21811" xr:uid="{00000000-0005-0000-0000-000018550000}"/>
    <cellStyle name="currency rate 5 2 2 7" xfId="21812" xr:uid="{00000000-0005-0000-0000-000019550000}"/>
    <cellStyle name="currency rate 5 2 2 8" xfId="21813" xr:uid="{00000000-0005-0000-0000-00001A550000}"/>
    <cellStyle name="currency rate 5 2 2 9" xfId="21814" xr:uid="{00000000-0005-0000-0000-00001B550000}"/>
    <cellStyle name="currency rate 5 2 3" xfId="21815" xr:uid="{00000000-0005-0000-0000-00001C550000}"/>
    <cellStyle name="currency rate 5 2 4" xfId="21816" xr:uid="{00000000-0005-0000-0000-00001D550000}"/>
    <cellStyle name="currency rate 5 2 5" xfId="21817" xr:uid="{00000000-0005-0000-0000-00001E550000}"/>
    <cellStyle name="currency rate 5 2 6" xfId="21818" xr:uid="{00000000-0005-0000-0000-00001F550000}"/>
    <cellStyle name="currency rate 5 2 7" xfId="21819" xr:uid="{00000000-0005-0000-0000-000020550000}"/>
    <cellStyle name="currency rate 5 2 8" xfId="21820" xr:uid="{00000000-0005-0000-0000-000021550000}"/>
    <cellStyle name="currency rate 5 2 9" xfId="21821" xr:uid="{00000000-0005-0000-0000-000022550000}"/>
    <cellStyle name="currency rate 5 3" xfId="21822" xr:uid="{00000000-0005-0000-0000-000023550000}"/>
    <cellStyle name="currency rate 5 3 10" xfId="21823" xr:uid="{00000000-0005-0000-0000-000024550000}"/>
    <cellStyle name="currency rate 5 3 11" xfId="21824" xr:uid="{00000000-0005-0000-0000-000025550000}"/>
    <cellStyle name="currency rate 5 3 2" xfId="21825" xr:uid="{00000000-0005-0000-0000-000026550000}"/>
    <cellStyle name="currency rate 5 3 3" xfId="21826" xr:uid="{00000000-0005-0000-0000-000027550000}"/>
    <cellStyle name="currency rate 5 3 4" xfId="21827" xr:uid="{00000000-0005-0000-0000-000028550000}"/>
    <cellStyle name="currency rate 5 3 5" xfId="21828" xr:uid="{00000000-0005-0000-0000-000029550000}"/>
    <cellStyle name="currency rate 5 3 6" xfId="21829" xr:uid="{00000000-0005-0000-0000-00002A550000}"/>
    <cellStyle name="currency rate 5 3 7" xfId="21830" xr:uid="{00000000-0005-0000-0000-00002B550000}"/>
    <cellStyle name="currency rate 5 3 8" xfId="21831" xr:uid="{00000000-0005-0000-0000-00002C550000}"/>
    <cellStyle name="currency rate 5 3 9" xfId="21832" xr:uid="{00000000-0005-0000-0000-00002D550000}"/>
    <cellStyle name="currency rate 5 4" xfId="21833" xr:uid="{00000000-0005-0000-0000-00002E550000}"/>
    <cellStyle name="currency rate 5 5" xfId="21834" xr:uid="{00000000-0005-0000-0000-00002F550000}"/>
    <cellStyle name="currency rate 5 6" xfId="21835" xr:uid="{00000000-0005-0000-0000-000030550000}"/>
    <cellStyle name="currency rate 5 7" xfId="21836" xr:uid="{00000000-0005-0000-0000-000031550000}"/>
    <cellStyle name="currency rate 5 8" xfId="21837" xr:uid="{00000000-0005-0000-0000-000032550000}"/>
    <cellStyle name="currency rate 5 9" xfId="21838" xr:uid="{00000000-0005-0000-0000-000033550000}"/>
    <cellStyle name="currency rate 6" xfId="21839" xr:uid="{00000000-0005-0000-0000-000034550000}"/>
    <cellStyle name="currency rate 6 10" xfId="21840" xr:uid="{00000000-0005-0000-0000-000035550000}"/>
    <cellStyle name="currency rate 6 11" xfId="21841" xr:uid="{00000000-0005-0000-0000-000036550000}"/>
    <cellStyle name="currency rate 6 12" xfId="21842" xr:uid="{00000000-0005-0000-0000-000037550000}"/>
    <cellStyle name="currency rate 6 13" xfId="21843" xr:uid="{00000000-0005-0000-0000-000038550000}"/>
    <cellStyle name="currency rate 6 2" xfId="21844" xr:uid="{00000000-0005-0000-0000-000039550000}"/>
    <cellStyle name="currency rate 6 2 10" xfId="21845" xr:uid="{00000000-0005-0000-0000-00003A550000}"/>
    <cellStyle name="currency rate 6 2 11" xfId="21846" xr:uid="{00000000-0005-0000-0000-00003B550000}"/>
    <cellStyle name="currency rate 6 2 12" xfId="21847" xr:uid="{00000000-0005-0000-0000-00003C550000}"/>
    <cellStyle name="currency rate 6 2 2" xfId="21848" xr:uid="{00000000-0005-0000-0000-00003D550000}"/>
    <cellStyle name="currency rate 6 2 2 10" xfId="21849" xr:uid="{00000000-0005-0000-0000-00003E550000}"/>
    <cellStyle name="currency rate 6 2 2 2" xfId="21850" xr:uid="{00000000-0005-0000-0000-00003F550000}"/>
    <cellStyle name="currency rate 6 2 2 3" xfId="21851" xr:uid="{00000000-0005-0000-0000-000040550000}"/>
    <cellStyle name="currency rate 6 2 2 4" xfId="21852" xr:uid="{00000000-0005-0000-0000-000041550000}"/>
    <cellStyle name="currency rate 6 2 2 5" xfId="21853" xr:uid="{00000000-0005-0000-0000-000042550000}"/>
    <cellStyle name="currency rate 6 2 2 6" xfId="21854" xr:uid="{00000000-0005-0000-0000-000043550000}"/>
    <cellStyle name="currency rate 6 2 2 7" xfId="21855" xr:uid="{00000000-0005-0000-0000-000044550000}"/>
    <cellStyle name="currency rate 6 2 2 8" xfId="21856" xr:uid="{00000000-0005-0000-0000-000045550000}"/>
    <cellStyle name="currency rate 6 2 2 9" xfId="21857" xr:uid="{00000000-0005-0000-0000-000046550000}"/>
    <cellStyle name="currency rate 6 2 3" xfId="21858" xr:uid="{00000000-0005-0000-0000-000047550000}"/>
    <cellStyle name="currency rate 6 2 4" xfId="21859" xr:uid="{00000000-0005-0000-0000-000048550000}"/>
    <cellStyle name="currency rate 6 2 5" xfId="21860" xr:uid="{00000000-0005-0000-0000-000049550000}"/>
    <cellStyle name="currency rate 6 2 6" xfId="21861" xr:uid="{00000000-0005-0000-0000-00004A550000}"/>
    <cellStyle name="currency rate 6 2 7" xfId="21862" xr:uid="{00000000-0005-0000-0000-00004B550000}"/>
    <cellStyle name="currency rate 6 2 8" xfId="21863" xr:uid="{00000000-0005-0000-0000-00004C550000}"/>
    <cellStyle name="currency rate 6 2 9" xfId="21864" xr:uid="{00000000-0005-0000-0000-00004D550000}"/>
    <cellStyle name="currency rate 6 3" xfId="21865" xr:uid="{00000000-0005-0000-0000-00004E550000}"/>
    <cellStyle name="currency rate 6 3 10" xfId="21866" xr:uid="{00000000-0005-0000-0000-00004F550000}"/>
    <cellStyle name="currency rate 6 3 11" xfId="21867" xr:uid="{00000000-0005-0000-0000-000050550000}"/>
    <cellStyle name="currency rate 6 3 2" xfId="21868" xr:uid="{00000000-0005-0000-0000-000051550000}"/>
    <cellStyle name="currency rate 6 3 3" xfId="21869" xr:uid="{00000000-0005-0000-0000-000052550000}"/>
    <cellStyle name="currency rate 6 3 4" xfId="21870" xr:uid="{00000000-0005-0000-0000-000053550000}"/>
    <cellStyle name="currency rate 6 3 5" xfId="21871" xr:uid="{00000000-0005-0000-0000-000054550000}"/>
    <cellStyle name="currency rate 6 3 6" xfId="21872" xr:uid="{00000000-0005-0000-0000-000055550000}"/>
    <cellStyle name="currency rate 6 3 7" xfId="21873" xr:uid="{00000000-0005-0000-0000-000056550000}"/>
    <cellStyle name="currency rate 6 3 8" xfId="21874" xr:uid="{00000000-0005-0000-0000-000057550000}"/>
    <cellStyle name="currency rate 6 3 9" xfId="21875" xr:uid="{00000000-0005-0000-0000-000058550000}"/>
    <cellStyle name="currency rate 6 4" xfId="21876" xr:uid="{00000000-0005-0000-0000-000059550000}"/>
    <cellStyle name="currency rate 6 5" xfId="21877" xr:uid="{00000000-0005-0000-0000-00005A550000}"/>
    <cellStyle name="currency rate 6 6" xfId="21878" xr:uid="{00000000-0005-0000-0000-00005B550000}"/>
    <cellStyle name="currency rate 6 7" xfId="21879" xr:uid="{00000000-0005-0000-0000-00005C550000}"/>
    <cellStyle name="currency rate 6 8" xfId="21880" xr:uid="{00000000-0005-0000-0000-00005D550000}"/>
    <cellStyle name="currency rate 6 9" xfId="21881" xr:uid="{00000000-0005-0000-0000-00005E550000}"/>
    <cellStyle name="currency rate 7" xfId="21882" xr:uid="{00000000-0005-0000-0000-00005F550000}"/>
    <cellStyle name="currency rate 7 10" xfId="21883" xr:uid="{00000000-0005-0000-0000-000060550000}"/>
    <cellStyle name="currency rate 7 11" xfId="21884" xr:uid="{00000000-0005-0000-0000-000061550000}"/>
    <cellStyle name="currency rate 7 12" xfId="21885" xr:uid="{00000000-0005-0000-0000-000062550000}"/>
    <cellStyle name="currency rate 7 13" xfId="21886" xr:uid="{00000000-0005-0000-0000-000063550000}"/>
    <cellStyle name="currency rate 7 2" xfId="21887" xr:uid="{00000000-0005-0000-0000-000064550000}"/>
    <cellStyle name="currency rate 7 2 10" xfId="21888" xr:uid="{00000000-0005-0000-0000-000065550000}"/>
    <cellStyle name="currency rate 7 2 11" xfId="21889" xr:uid="{00000000-0005-0000-0000-000066550000}"/>
    <cellStyle name="currency rate 7 2 12" xfId="21890" xr:uid="{00000000-0005-0000-0000-000067550000}"/>
    <cellStyle name="currency rate 7 2 2" xfId="21891" xr:uid="{00000000-0005-0000-0000-000068550000}"/>
    <cellStyle name="currency rate 7 2 2 10" xfId="21892" xr:uid="{00000000-0005-0000-0000-000069550000}"/>
    <cellStyle name="currency rate 7 2 2 2" xfId="21893" xr:uid="{00000000-0005-0000-0000-00006A550000}"/>
    <cellStyle name="currency rate 7 2 2 3" xfId="21894" xr:uid="{00000000-0005-0000-0000-00006B550000}"/>
    <cellStyle name="currency rate 7 2 2 4" xfId="21895" xr:uid="{00000000-0005-0000-0000-00006C550000}"/>
    <cellStyle name="currency rate 7 2 2 5" xfId="21896" xr:uid="{00000000-0005-0000-0000-00006D550000}"/>
    <cellStyle name="currency rate 7 2 2 6" xfId="21897" xr:uid="{00000000-0005-0000-0000-00006E550000}"/>
    <cellStyle name="currency rate 7 2 2 7" xfId="21898" xr:uid="{00000000-0005-0000-0000-00006F550000}"/>
    <cellStyle name="currency rate 7 2 2 8" xfId="21899" xr:uid="{00000000-0005-0000-0000-000070550000}"/>
    <cellStyle name="currency rate 7 2 2 9" xfId="21900" xr:uid="{00000000-0005-0000-0000-000071550000}"/>
    <cellStyle name="currency rate 7 2 3" xfId="21901" xr:uid="{00000000-0005-0000-0000-000072550000}"/>
    <cellStyle name="currency rate 7 2 4" xfId="21902" xr:uid="{00000000-0005-0000-0000-000073550000}"/>
    <cellStyle name="currency rate 7 2 5" xfId="21903" xr:uid="{00000000-0005-0000-0000-000074550000}"/>
    <cellStyle name="currency rate 7 2 6" xfId="21904" xr:uid="{00000000-0005-0000-0000-000075550000}"/>
    <cellStyle name="currency rate 7 2 7" xfId="21905" xr:uid="{00000000-0005-0000-0000-000076550000}"/>
    <cellStyle name="currency rate 7 2 8" xfId="21906" xr:uid="{00000000-0005-0000-0000-000077550000}"/>
    <cellStyle name="currency rate 7 2 9" xfId="21907" xr:uid="{00000000-0005-0000-0000-000078550000}"/>
    <cellStyle name="currency rate 7 3" xfId="21908" xr:uid="{00000000-0005-0000-0000-000079550000}"/>
    <cellStyle name="currency rate 7 3 10" xfId="21909" xr:uid="{00000000-0005-0000-0000-00007A550000}"/>
    <cellStyle name="currency rate 7 3 11" xfId="21910" xr:uid="{00000000-0005-0000-0000-00007B550000}"/>
    <cellStyle name="currency rate 7 3 2" xfId="21911" xr:uid="{00000000-0005-0000-0000-00007C550000}"/>
    <cellStyle name="currency rate 7 3 3" xfId="21912" xr:uid="{00000000-0005-0000-0000-00007D550000}"/>
    <cellStyle name="currency rate 7 3 4" xfId="21913" xr:uid="{00000000-0005-0000-0000-00007E550000}"/>
    <cellStyle name="currency rate 7 3 5" xfId="21914" xr:uid="{00000000-0005-0000-0000-00007F550000}"/>
    <cellStyle name="currency rate 7 3 6" xfId="21915" xr:uid="{00000000-0005-0000-0000-000080550000}"/>
    <cellStyle name="currency rate 7 3 7" xfId="21916" xr:uid="{00000000-0005-0000-0000-000081550000}"/>
    <cellStyle name="currency rate 7 3 8" xfId="21917" xr:uid="{00000000-0005-0000-0000-000082550000}"/>
    <cellStyle name="currency rate 7 3 9" xfId="21918" xr:uid="{00000000-0005-0000-0000-000083550000}"/>
    <cellStyle name="currency rate 7 4" xfId="21919" xr:uid="{00000000-0005-0000-0000-000084550000}"/>
    <cellStyle name="currency rate 7 5" xfId="21920" xr:uid="{00000000-0005-0000-0000-000085550000}"/>
    <cellStyle name="currency rate 7 6" xfId="21921" xr:uid="{00000000-0005-0000-0000-000086550000}"/>
    <cellStyle name="currency rate 7 7" xfId="21922" xr:uid="{00000000-0005-0000-0000-000087550000}"/>
    <cellStyle name="currency rate 7 8" xfId="21923" xr:uid="{00000000-0005-0000-0000-000088550000}"/>
    <cellStyle name="currency rate 7 9" xfId="21924" xr:uid="{00000000-0005-0000-0000-000089550000}"/>
    <cellStyle name="currency rate 8" xfId="21925" xr:uid="{00000000-0005-0000-0000-00008A550000}"/>
    <cellStyle name="currency rate 8 10" xfId="21926" xr:uid="{00000000-0005-0000-0000-00008B550000}"/>
    <cellStyle name="currency rate 8 11" xfId="21927" xr:uid="{00000000-0005-0000-0000-00008C550000}"/>
    <cellStyle name="currency rate 8 12" xfId="21928" xr:uid="{00000000-0005-0000-0000-00008D550000}"/>
    <cellStyle name="currency rate 8 13" xfId="21929" xr:uid="{00000000-0005-0000-0000-00008E550000}"/>
    <cellStyle name="currency rate 8 2" xfId="21930" xr:uid="{00000000-0005-0000-0000-00008F550000}"/>
    <cellStyle name="currency rate 8 2 10" xfId="21931" xr:uid="{00000000-0005-0000-0000-000090550000}"/>
    <cellStyle name="currency rate 8 2 11" xfId="21932" xr:uid="{00000000-0005-0000-0000-000091550000}"/>
    <cellStyle name="currency rate 8 2 12" xfId="21933" xr:uid="{00000000-0005-0000-0000-000092550000}"/>
    <cellStyle name="currency rate 8 2 2" xfId="21934" xr:uid="{00000000-0005-0000-0000-000093550000}"/>
    <cellStyle name="currency rate 8 2 2 10" xfId="21935" xr:uid="{00000000-0005-0000-0000-000094550000}"/>
    <cellStyle name="currency rate 8 2 2 2" xfId="21936" xr:uid="{00000000-0005-0000-0000-000095550000}"/>
    <cellStyle name="currency rate 8 2 2 3" xfId="21937" xr:uid="{00000000-0005-0000-0000-000096550000}"/>
    <cellStyle name="currency rate 8 2 2 4" xfId="21938" xr:uid="{00000000-0005-0000-0000-000097550000}"/>
    <cellStyle name="currency rate 8 2 2 5" xfId="21939" xr:uid="{00000000-0005-0000-0000-000098550000}"/>
    <cellStyle name="currency rate 8 2 2 6" xfId="21940" xr:uid="{00000000-0005-0000-0000-000099550000}"/>
    <cellStyle name="currency rate 8 2 2 7" xfId="21941" xr:uid="{00000000-0005-0000-0000-00009A550000}"/>
    <cellStyle name="currency rate 8 2 2 8" xfId="21942" xr:uid="{00000000-0005-0000-0000-00009B550000}"/>
    <cellStyle name="currency rate 8 2 2 9" xfId="21943" xr:uid="{00000000-0005-0000-0000-00009C550000}"/>
    <cellStyle name="currency rate 8 2 3" xfId="21944" xr:uid="{00000000-0005-0000-0000-00009D550000}"/>
    <cellStyle name="currency rate 8 2 4" xfId="21945" xr:uid="{00000000-0005-0000-0000-00009E550000}"/>
    <cellStyle name="currency rate 8 2 5" xfId="21946" xr:uid="{00000000-0005-0000-0000-00009F550000}"/>
    <cellStyle name="currency rate 8 2 6" xfId="21947" xr:uid="{00000000-0005-0000-0000-0000A0550000}"/>
    <cellStyle name="currency rate 8 2 7" xfId="21948" xr:uid="{00000000-0005-0000-0000-0000A1550000}"/>
    <cellStyle name="currency rate 8 2 8" xfId="21949" xr:uid="{00000000-0005-0000-0000-0000A2550000}"/>
    <cellStyle name="currency rate 8 2 9" xfId="21950" xr:uid="{00000000-0005-0000-0000-0000A3550000}"/>
    <cellStyle name="currency rate 8 3" xfId="21951" xr:uid="{00000000-0005-0000-0000-0000A4550000}"/>
    <cellStyle name="currency rate 8 3 10" xfId="21952" xr:uid="{00000000-0005-0000-0000-0000A5550000}"/>
    <cellStyle name="currency rate 8 3 11" xfId="21953" xr:uid="{00000000-0005-0000-0000-0000A6550000}"/>
    <cellStyle name="currency rate 8 3 2" xfId="21954" xr:uid="{00000000-0005-0000-0000-0000A7550000}"/>
    <cellStyle name="currency rate 8 3 3" xfId="21955" xr:uid="{00000000-0005-0000-0000-0000A8550000}"/>
    <cellStyle name="currency rate 8 3 4" xfId="21956" xr:uid="{00000000-0005-0000-0000-0000A9550000}"/>
    <cellStyle name="currency rate 8 3 5" xfId="21957" xr:uid="{00000000-0005-0000-0000-0000AA550000}"/>
    <cellStyle name="currency rate 8 3 6" xfId="21958" xr:uid="{00000000-0005-0000-0000-0000AB550000}"/>
    <cellStyle name="currency rate 8 3 7" xfId="21959" xr:uid="{00000000-0005-0000-0000-0000AC550000}"/>
    <cellStyle name="currency rate 8 3 8" xfId="21960" xr:uid="{00000000-0005-0000-0000-0000AD550000}"/>
    <cellStyle name="currency rate 8 3 9" xfId="21961" xr:uid="{00000000-0005-0000-0000-0000AE550000}"/>
    <cellStyle name="currency rate 8 4" xfId="21962" xr:uid="{00000000-0005-0000-0000-0000AF550000}"/>
    <cellStyle name="currency rate 8 5" xfId="21963" xr:uid="{00000000-0005-0000-0000-0000B0550000}"/>
    <cellStyle name="currency rate 8 6" xfId="21964" xr:uid="{00000000-0005-0000-0000-0000B1550000}"/>
    <cellStyle name="currency rate 8 7" xfId="21965" xr:uid="{00000000-0005-0000-0000-0000B2550000}"/>
    <cellStyle name="currency rate 8 8" xfId="21966" xr:uid="{00000000-0005-0000-0000-0000B3550000}"/>
    <cellStyle name="currency rate 8 9" xfId="21967" xr:uid="{00000000-0005-0000-0000-0000B4550000}"/>
    <cellStyle name="currency rate 9" xfId="21968" xr:uid="{00000000-0005-0000-0000-0000B5550000}"/>
    <cellStyle name="currency rate 9 10" xfId="21969" xr:uid="{00000000-0005-0000-0000-0000B6550000}"/>
    <cellStyle name="currency rate 9 11" xfId="21970" xr:uid="{00000000-0005-0000-0000-0000B7550000}"/>
    <cellStyle name="currency rate 9 12" xfId="21971" xr:uid="{00000000-0005-0000-0000-0000B8550000}"/>
    <cellStyle name="currency rate 9 13" xfId="21972" xr:uid="{00000000-0005-0000-0000-0000B9550000}"/>
    <cellStyle name="currency rate 9 2" xfId="21973" xr:uid="{00000000-0005-0000-0000-0000BA550000}"/>
    <cellStyle name="currency rate 9 2 10" xfId="21974" xr:uid="{00000000-0005-0000-0000-0000BB550000}"/>
    <cellStyle name="currency rate 9 2 11" xfId="21975" xr:uid="{00000000-0005-0000-0000-0000BC550000}"/>
    <cellStyle name="currency rate 9 2 12" xfId="21976" xr:uid="{00000000-0005-0000-0000-0000BD550000}"/>
    <cellStyle name="currency rate 9 2 2" xfId="21977" xr:uid="{00000000-0005-0000-0000-0000BE550000}"/>
    <cellStyle name="currency rate 9 2 2 10" xfId="21978" xr:uid="{00000000-0005-0000-0000-0000BF550000}"/>
    <cellStyle name="currency rate 9 2 2 2" xfId="21979" xr:uid="{00000000-0005-0000-0000-0000C0550000}"/>
    <cellStyle name="currency rate 9 2 2 3" xfId="21980" xr:uid="{00000000-0005-0000-0000-0000C1550000}"/>
    <cellStyle name="currency rate 9 2 2 4" xfId="21981" xr:uid="{00000000-0005-0000-0000-0000C2550000}"/>
    <cellStyle name="currency rate 9 2 2 5" xfId="21982" xr:uid="{00000000-0005-0000-0000-0000C3550000}"/>
    <cellStyle name="currency rate 9 2 2 6" xfId="21983" xr:uid="{00000000-0005-0000-0000-0000C4550000}"/>
    <cellStyle name="currency rate 9 2 2 7" xfId="21984" xr:uid="{00000000-0005-0000-0000-0000C5550000}"/>
    <cellStyle name="currency rate 9 2 2 8" xfId="21985" xr:uid="{00000000-0005-0000-0000-0000C6550000}"/>
    <cellStyle name="currency rate 9 2 2 9" xfId="21986" xr:uid="{00000000-0005-0000-0000-0000C7550000}"/>
    <cellStyle name="currency rate 9 2 3" xfId="21987" xr:uid="{00000000-0005-0000-0000-0000C8550000}"/>
    <cellStyle name="currency rate 9 2 4" xfId="21988" xr:uid="{00000000-0005-0000-0000-0000C9550000}"/>
    <cellStyle name="currency rate 9 2 5" xfId="21989" xr:uid="{00000000-0005-0000-0000-0000CA550000}"/>
    <cellStyle name="currency rate 9 2 6" xfId="21990" xr:uid="{00000000-0005-0000-0000-0000CB550000}"/>
    <cellStyle name="currency rate 9 2 7" xfId="21991" xr:uid="{00000000-0005-0000-0000-0000CC550000}"/>
    <cellStyle name="currency rate 9 2 8" xfId="21992" xr:uid="{00000000-0005-0000-0000-0000CD550000}"/>
    <cellStyle name="currency rate 9 2 9" xfId="21993" xr:uid="{00000000-0005-0000-0000-0000CE550000}"/>
    <cellStyle name="currency rate 9 3" xfId="21994" xr:uid="{00000000-0005-0000-0000-0000CF550000}"/>
    <cellStyle name="currency rate 9 3 10" xfId="21995" xr:uid="{00000000-0005-0000-0000-0000D0550000}"/>
    <cellStyle name="currency rate 9 3 11" xfId="21996" xr:uid="{00000000-0005-0000-0000-0000D1550000}"/>
    <cellStyle name="currency rate 9 3 2" xfId="21997" xr:uid="{00000000-0005-0000-0000-0000D2550000}"/>
    <cellStyle name="currency rate 9 3 3" xfId="21998" xr:uid="{00000000-0005-0000-0000-0000D3550000}"/>
    <cellStyle name="currency rate 9 3 4" xfId="21999" xr:uid="{00000000-0005-0000-0000-0000D4550000}"/>
    <cellStyle name="currency rate 9 3 5" xfId="22000" xr:uid="{00000000-0005-0000-0000-0000D5550000}"/>
    <cellStyle name="currency rate 9 3 6" xfId="22001" xr:uid="{00000000-0005-0000-0000-0000D6550000}"/>
    <cellStyle name="currency rate 9 3 7" xfId="22002" xr:uid="{00000000-0005-0000-0000-0000D7550000}"/>
    <cellStyle name="currency rate 9 3 8" xfId="22003" xr:uid="{00000000-0005-0000-0000-0000D8550000}"/>
    <cellStyle name="currency rate 9 3 9" xfId="22004" xr:uid="{00000000-0005-0000-0000-0000D9550000}"/>
    <cellStyle name="currency rate 9 4" xfId="22005" xr:uid="{00000000-0005-0000-0000-0000DA550000}"/>
    <cellStyle name="currency rate 9 5" xfId="22006" xr:uid="{00000000-0005-0000-0000-0000DB550000}"/>
    <cellStyle name="currency rate 9 6" xfId="22007" xr:uid="{00000000-0005-0000-0000-0000DC550000}"/>
    <cellStyle name="currency rate 9 7" xfId="22008" xr:uid="{00000000-0005-0000-0000-0000DD550000}"/>
    <cellStyle name="currency rate 9 8" xfId="22009" xr:uid="{00000000-0005-0000-0000-0000DE550000}"/>
    <cellStyle name="currency rate 9 9" xfId="22010" xr:uid="{00000000-0005-0000-0000-0000DF550000}"/>
    <cellStyle name="Currency$[0]" xfId="22011" xr:uid="{00000000-0005-0000-0000-0000E0550000}"/>
    <cellStyle name="Currency$[2]" xfId="22012" xr:uid="{00000000-0005-0000-0000-0000E1550000}"/>
    <cellStyle name="Currency*" xfId="22013" xr:uid="{00000000-0005-0000-0000-0000E2550000}"/>
    <cellStyle name="Currency\[0]" xfId="22014" xr:uid="{00000000-0005-0000-0000-0000E3550000}"/>
    <cellStyle name="Currency_!!!GO" xfId="22015" xr:uid="{00000000-0005-0000-0000-0000E4550000}"/>
    <cellStyle name="Currency0" xfId="22016" xr:uid="{00000000-0005-0000-0000-0000E5550000}"/>
    <cellStyle name="Currency0 10" xfId="22017" xr:uid="{00000000-0005-0000-0000-0000E6550000}"/>
    <cellStyle name="Currency0 11" xfId="22018" xr:uid="{00000000-0005-0000-0000-0000E7550000}"/>
    <cellStyle name="Currency0 12" xfId="22019" xr:uid="{00000000-0005-0000-0000-0000E8550000}"/>
    <cellStyle name="Currency0 13" xfId="22020" xr:uid="{00000000-0005-0000-0000-0000E9550000}"/>
    <cellStyle name="Currency0 14" xfId="22021" xr:uid="{00000000-0005-0000-0000-0000EA550000}"/>
    <cellStyle name="Currency0 15" xfId="22022" xr:uid="{00000000-0005-0000-0000-0000EB550000}"/>
    <cellStyle name="Currency0 16" xfId="22023" xr:uid="{00000000-0005-0000-0000-0000EC550000}"/>
    <cellStyle name="Currency0 17" xfId="22024" xr:uid="{00000000-0005-0000-0000-0000ED550000}"/>
    <cellStyle name="Currency0 18" xfId="22025" xr:uid="{00000000-0005-0000-0000-0000EE550000}"/>
    <cellStyle name="Currency0 19" xfId="22026" xr:uid="{00000000-0005-0000-0000-0000EF550000}"/>
    <cellStyle name="Currency0 2" xfId="22027" xr:uid="{00000000-0005-0000-0000-0000F0550000}"/>
    <cellStyle name="Currency0 20" xfId="22028" xr:uid="{00000000-0005-0000-0000-0000F1550000}"/>
    <cellStyle name="Currency0 21" xfId="22029" xr:uid="{00000000-0005-0000-0000-0000F2550000}"/>
    <cellStyle name="Currency0 22" xfId="22030" xr:uid="{00000000-0005-0000-0000-0000F3550000}"/>
    <cellStyle name="Currency0 23" xfId="22031" xr:uid="{00000000-0005-0000-0000-0000F4550000}"/>
    <cellStyle name="Currency0 24" xfId="22032" xr:uid="{00000000-0005-0000-0000-0000F5550000}"/>
    <cellStyle name="Currency0 25" xfId="22033" xr:uid="{00000000-0005-0000-0000-0000F6550000}"/>
    <cellStyle name="Currency0 26" xfId="22034" xr:uid="{00000000-0005-0000-0000-0000F7550000}"/>
    <cellStyle name="Currency0 27" xfId="22035" xr:uid="{00000000-0005-0000-0000-0000F8550000}"/>
    <cellStyle name="Currency0 28" xfId="22036" xr:uid="{00000000-0005-0000-0000-0000F9550000}"/>
    <cellStyle name="Currency0 29" xfId="22037" xr:uid="{00000000-0005-0000-0000-0000FA550000}"/>
    <cellStyle name="Currency0 3" xfId="22038" xr:uid="{00000000-0005-0000-0000-0000FB550000}"/>
    <cellStyle name="Currency0 30" xfId="22039" xr:uid="{00000000-0005-0000-0000-0000FC550000}"/>
    <cellStyle name="Currency0 31" xfId="22040" xr:uid="{00000000-0005-0000-0000-0000FD550000}"/>
    <cellStyle name="Currency0 32" xfId="22041" xr:uid="{00000000-0005-0000-0000-0000FE550000}"/>
    <cellStyle name="Currency0 33" xfId="22042" xr:uid="{00000000-0005-0000-0000-0000FF550000}"/>
    <cellStyle name="Currency0 34" xfId="22043" xr:uid="{00000000-0005-0000-0000-000000560000}"/>
    <cellStyle name="Currency0 35" xfId="22044" xr:uid="{00000000-0005-0000-0000-000001560000}"/>
    <cellStyle name="Currency0 36" xfId="22045" xr:uid="{00000000-0005-0000-0000-000002560000}"/>
    <cellStyle name="Currency0 37" xfId="22046" xr:uid="{00000000-0005-0000-0000-000003560000}"/>
    <cellStyle name="Currency0 38" xfId="22047" xr:uid="{00000000-0005-0000-0000-000004560000}"/>
    <cellStyle name="Currency0 4" xfId="22048" xr:uid="{00000000-0005-0000-0000-000005560000}"/>
    <cellStyle name="Currency0 5" xfId="22049" xr:uid="{00000000-0005-0000-0000-000006560000}"/>
    <cellStyle name="Currency0 6" xfId="22050" xr:uid="{00000000-0005-0000-0000-000007560000}"/>
    <cellStyle name="Currency0 7" xfId="22051" xr:uid="{00000000-0005-0000-0000-000008560000}"/>
    <cellStyle name="Currency0 8" xfId="22052" xr:uid="{00000000-0005-0000-0000-000009560000}"/>
    <cellStyle name="Currency0 9" xfId="22053" xr:uid="{00000000-0005-0000-0000-00000A560000}"/>
    <cellStyle name="Currency2" xfId="22054" xr:uid="{00000000-0005-0000-0000-00000B560000}"/>
    <cellStyle name="custom" xfId="22055" xr:uid="{00000000-0005-0000-0000-00000C560000}"/>
    <cellStyle name="custom 2" xfId="22056" xr:uid="{00000000-0005-0000-0000-00000D560000}"/>
    <cellStyle name="d_yield" xfId="22057" xr:uid="{00000000-0005-0000-0000-00000E560000}"/>
    <cellStyle name="d_yield_AVP" xfId="22058" xr:uid="{00000000-0005-0000-0000-00000F560000}"/>
    <cellStyle name="d_yield_AVP_Graphic Depiction - NO DEV" xfId="22059" xr:uid="{00000000-0005-0000-0000-000010560000}"/>
    <cellStyle name="d_yield_AVP_THEsumPage (2)" xfId="22060" xr:uid="{00000000-0005-0000-0000-000011560000}"/>
    <cellStyle name="d_yield_CompSheet" xfId="22061" xr:uid="{00000000-0005-0000-0000-000012560000}"/>
    <cellStyle name="d_yield_CompSheet_LANCE_Model_v0.6.DCF.MASTER.Name" xfId="22062" xr:uid="{00000000-0005-0000-0000-000013560000}"/>
    <cellStyle name="d_yield_CompSheet_LANCE_Model_v0.6.DCF.MASTER.Name_Tootsie_TWO_DAY_TTS_Solution_v1.34" xfId="22063" xr:uid="{00000000-0005-0000-0000-000014560000}"/>
    <cellStyle name="d_yield_Disc Analysis" xfId="22064" xr:uid="{00000000-0005-0000-0000-000015560000}"/>
    <cellStyle name="d_yield_Disc Analysis_CompSheet" xfId="22065" xr:uid="{00000000-0005-0000-0000-000016560000}"/>
    <cellStyle name="d_yield_Disc Analysis_THEsumPage (2)" xfId="22066" xr:uid="{00000000-0005-0000-0000-000017560000}"/>
    <cellStyle name="d_yield_Fairness Opinion Valuation 4-23a.xls Chart 1" xfId="22067" xr:uid="{00000000-0005-0000-0000-000018560000}"/>
    <cellStyle name="d_yield_Fairness Opinion Valuation 4-23a.xls Chart 1_LANCE_Model_v0.6.DCF.MASTER.Name" xfId="22068" xr:uid="{00000000-0005-0000-0000-000019560000}"/>
    <cellStyle name="d_yield_Fairness Opinion Valuation 4-23a.xls Chart 1_LANCE_Model_v0.6.DCF.MASTER.Name_Tootsie_TWO_DAY_TTS_Solution_v1.34" xfId="22069" xr:uid="{00000000-0005-0000-0000-00001A560000}"/>
    <cellStyle name="d_yield_LP Chart" xfId="22070" xr:uid="{00000000-0005-0000-0000-00001B560000}"/>
    <cellStyle name="d_yield_LP Chart_LANCE_Model_v0.6.DCF.MASTER.Name" xfId="22071" xr:uid="{00000000-0005-0000-0000-00001C560000}"/>
    <cellStyle name="d_yield_LP Chart_LANCE_Model_v0.6.DCF.MASTER.Name_Tootsie_TWO_DAY_TTS_Solution_v1.34" xfId="22072" xr:uid="{00000000-0005-0000-0000-00001D560000}"/>
    <cellStyle name="d_yield_LP Chart_THEsumPage (2)" xfId="22073" xr:uid="{00000000-0005-0000-0000-00001E560000}"/>
    <cellStyle name="d_yield_LP Chart_THEsumPage (2)_LANCE_Model_v0.6.DCF.MASTER.Name" xfId="22074" xr:uid="{00000000-0005-0000-0000-00001F560000}"/>
    <cellStyle name="d_yield_LP Chart_THEsumPage (2)_LANCE_Model_v0.6.DCF.MASTER.Name_Tootsie_TWO_DAY_TTS_Solution_v1.34" xfId="22075" xr:uid="{00000000-0005-0000-0000-000020560000}"/>
    <cellStyle name="d_yield_Merg Cons" xfId="22076" xr:uid="{00000000-0005-0000-0000-000021560000}"/>
    <cellStyle name="d_yield_Merg Cons_CompSheet" xfId="22077" xr:uid="{00000000-0005-0000-0000-000022560000}"/>
    <cellStyle name="d_yield_Merg Cons_THEsumPage (2)" xfId="22078" xr:uid="{00000000-0005-0000-0000-000023560000}"/>
    <cellStyle name="d_yield_PowerValuation.xls Chart 21" xfId="22079" xr:uid="{00000000-0005-0000-0000-000024560000}"/>
    <cellStyle name="d_yield_PowerValuation.xls Chart 21_LANCE_Model_v0.6.DCF.MASTER.Name" xfId="22080" xr:uid="{00000000-0005-0000-0000-000025560000}"/>
    <cellStyle name="d_yield_PowerValuation.xls Chart 21_LANCE_Model_v0.6.DCF.MASTER.Name_Tootsie_TWO_DAY_TTS_Solution_v1.34" xfId="22081" xr:uid="{00000000-0005-0000-0000-000026560000}"/>
    <cellStyle name="d_yield_PowerValuation.xls Chart 28" xfId="22082" xr:uid="{00000000-0005-0000-0000-000027560000}"/>
    <cellStyle name="d_yield_PowerValuation.xls Chart 28_LANCE_Model_v0.6.DCF.MASTER.Name" xfId="22083" xr:uid="{00000000-0005-0000-0000-000028560000}"/>
    <cellStyle name="d_yield_PowerValuation.xls Chart 28_LANCE_Model_v0.6.DCF.MASTER.Name_Tootsie_TWO_DAY_TTS_Solution_v1.34" xfId="22084" xr:uid="{00000000-0005-0000-0000-000029560000}"/>
    <cellStyle name="d_yield_Proj10" xfId="22085" xr:uid="{00000000-0005-0000-0000-00002A560000}"/>
    <cellStyle name="d_yield_Proj10_AVP" xfId="22086" xr:uid="{00000000-0005-0000-0000-00002B560000}"/>
    <cellStyle name="d_yield_Proj10_AVP_Graphic Depiction - NO DEV" xfId="22087" xr:uid="{00000000-0005-0000-0000-00002C560000}"/>
    <cellStyle name="d_yield_Proj10_AVP_THEsumPage (2)" xfId="22088" xr:uid="{00000000-0005-0000-0000-00002D560000}"/>
    <cellStyle name="d_yield_Proj10_CompSheet" xfId="22089" xr:uid="{00000000-0005-0000-0000-00002E560000}"/>
    <cellStyle name="d_yield_Proj10_CompSheet_LANCE_Model_v0.6.DCF.MASTER.Name" xfId="22090" xr:uid="{00000000-0005-0000-0000-00002F560000}"/>
    <cellStyle name="d_yield_Proj10_CompSheet_LANCE_Model_v0.6.DCF.MASTER.Name_Tootsie_TWO_DAY_TTS_Solution_v1.34" xfId="22091" xr:uid="{00000000-0005-0000-0000-000030560000}"/>
    <cellStyle name="d_yield_Proj10_Disc Analysis" xfId="22092" xr:uid="{00000000-0005-0000-0000-000031560000}"/>
    <cellStyle name="d_yield_Proj10_Disc Analysis_CompSheet" xfId="22093" xr:uid="{00000000-0005-0000-0000-000032560000}"/>
    <cellStyle name="d_yield_Proj10_Disc Analysis_THEsumPage (2)" xfId="22094" xr:uid="{00000000-0005-0000-0000-000033560000}"/>
    <cellStyle name="d_yield_Proj10_Fairness Opinion Valuation 4-23a.xls Chart 1" xfId="22095" xr:uid="{00000000-0005-0000-0000-000034560000}"/>
    <cellStyle name="d_yield_Proj10_Fairness Opinion Valuation 4-23a.xls Chart 1_LANCE_Model_v0.6.DCF.MASTER.Name" xfId="22096" xr:uid="{00000000-0005-0000-0000-000035560000}"/>
    <cellStyle name="d_yield_Proj10_Fairness Opinion Valuation 4-23a.xls Chart 1_LANCE_Model_v0.6.DCF.MASTER.Name_Tootsie_TWO_DAY_TTS_Solution_v1.34" xfId="22097" xr:uid="{00000000-0005-0000-0000-000036560000}"/>
    <cellStyle name="d_yield_Proj10_LP Chart" xfId="22098" xr:uid="{00000000-0005-0000-0000-000037560000}"/>
    <cellStyle name="d_yield_Proj10_LP Chart_LANCE_Model_v0.6.DCF.MASTER.Name" xfId="22099" xr:uid="{00000000-0005-0000-0000-000038560000}"/>
    <cellStyle name="d_yield_Proj10_LP Chart_LANCE_Model_v0.6.DCF.MASTER.Name_Tootsie_TWO_DAY_TTS_Solution_v1.34" xfId="22100" xr:uid="{00000000-0005-0000-0000-000039560000}"/>
    <cellStyle name="d_yield_Proj10_LP Chart_THEsumPage (2)" xfId="22101" xr:uid="{00000000-0005-0000-0000-00003A560000}"/>
    <cellStyle name="d_yield_Proj10_LP Chart_THEsumPage (2)_LANCE_Model_v0.6.DCF.MASTER.Name" xfId="22102" xr:uid="{00000000-0005-0000-0000-00003B560000}"/>
    <cellStyle name="d_yield_Proj10_LP Chart_THEsumPage (2)_LANCE_Model_v0.6.DCF.MASTER.Name_Tootsie_TWO_DAY_TTS_Solution_v1.34" xfId="22103" xr:uid="{00000000-0005-0000-0000-00003C560000}"/>
    <cellStyle name="d_yield_Proj10_Merg Cons" xfId="22104" xr:uid="{00000000-0005-0000-0000-00003D560000}"/>
    <cellStyle name="d_yield_Proj10_Merg Cons_CompSheet" xfId="22105" xr:uid="{00000000-0005-0000-0000-00003E560000}"/>
    <cellStyle name="d_yield_Proj10_Merg Cons_THEsumPage (2)" xfId="22106" xr:uid="{00000000-0005-0000-0000-00003F560000}"/>
    <cellStyle name="d_yield_Proj10_PowerValuation.xls Chart 21" xfId="22107" xr:uid="{00000000-0005-0000-0000-000040560000}"/>
    <cellStyle name="d_yield_Proj10_PowerValuation.xls Chart 21_LANCE_Model_v0.6.DCF.MASTER.Name" xfId="22108" xr:uid="{00000000-0005-0000-0000-000041560000}"/>
    <cellStyle name="d_yield_Proj10_PowerValuation.xls Chart 21_LANCE_Model_v0.6.DCF.MASTER.Name_Tootsie_TWO_DAY_TTS_Solution_v1.34" xfId="22109" xr:uid="{00000000-0005-0000-0000-000042560000}"/>
    <cellStyle name="d_yield_Proj10_PowerValuation.xls Chart 28" xfId="22110" xr:uid="{00000000-0005-0000-0000-000043560000}"/>
    <cellStyle name="d_yield_Proj10_PowerValuation.xls Chart 28_LANCE_Model_v0.6.DCF.MASTER.Name" xfId="22111" xr:uid="{00000000-0005-0000-0000-000044560000}"/>
    <cellStyle name="d_yield_Proj10_PowerValuation.xls Chart 28_LANCE_Model_v0.6.DCF.MASTER.Name_Tootsie_TWO_DAY_TTS_Solution_v1.34" xfId="22112" xr:uid="{00000000-0005-0000-0000-000045560000}"/>
    <cellStyle name="d_yield_Proj10_Sensitivity" xfId="22113" xr:uid="{00000000-0005-0000-0000-000046560000}"/>
    <cellStyle name="d_yield_Proj10_Sensitivity_CompSheet" xfId="22114" xr:uid="{00000000-0005-0000-0000-000047560000}"/>
    <cellStyle name="d_yield_Proj10_Sensitivity_THEsumPage (2)" xfId="22115" xr:uid="{00000000-0005-0000-0000-000048560000}"/>
    <cellStyle name="d_yield_Proj10_show-hold" xfId="22116" xr:uid="{00000000-0005-0000-0000-000049560000}"/>
    <cellStyle name="d_yield_Proj10_show-hold_Graphic Depiction - NO DEV" xfId="22117" xr:uid="{00000000-0005-0000-0000-00004A560000}"/>
    <cellStyle name="d_yield_Proj10_show-hold_THEsumPage (2)" xfId="22118" xr:uid="{00000000-0005-0000-0000-00004B560000}"/>
    <cellStyle name="d_yield_Proj10_THEsumPage (2)" xfId="22119" xr:uid="{00000000-0005-0000-0000-00004C560000}"/>
    <cellStyle name="d_yield_Proj10_THEsumPage (2)_LANCE_Model_v0.6.DCF.MASTER.Name" xfId="22120" xr:uid="{00000000-0005-0000-0000-00004D560000}"/>
    <cellStyle name="d_yield_Proj10_THEsumPage (2)_LANCE_Model_v0.6.DCF.MASTER.Name_Tootsie_TWO_DAY_TTS_Solution_v1.34" xfId="22121" xr:uid="{00000000-0005-0000-0000-00004E560000}"/>
    <cellStyle name="d_yield_Proj10_Valuation summaries" xfId="22122" xr:uid="{00000000-0005-0000-0000-00004F560000}"/>
    <cellStyle name="d_yield_Proj10_Valuation summaries_LANCE_Model_v0.6.DCF.MASTER.Name" xfId="22123" xr:uid="{00000000-0005-0000-0000-000050560000}"/>
    <cellStyle name="d_yield_Proj10_Valuation summaries_LANCE_Model_v0.6.DCF.MASTER.Name_Tootsie_TWO_DAY_TTS_Solution_v1.34" xfId="22124" xr:uid="{00000000-0005-0000-0000-000051560000}"/>
    <cellStyle name="d_yield_Proj10_WACC-CableCar" xfId="22125" xr:uid="{00000000-0005-0000-0000-000052560000}"/>
    <cellStyle name="d_yield_Proj10_WACC-CableCar_LANCE_Model_v0.6.DCF.MASTER.Name" xfId="22126" xr:uid="{00000000-0005-0000-0000-000053560000}"/>
    <cellStyle name="d_yield_Proj10_WACC-CableCar_LANCE_Model_v0.6.DCF.MASTER.Name_Tootsie_TWO_DAY_TTS_Solution_v1.34" xfId="22127" xr:uid="{00000000-0005-0000-0000-000054560000}"/>
    <cellStyle name="d_yield_Proj10_WACC-CableCar_THEsumPage (2)" xfId="22128" xr:uid="{00000000-0005-0000-0000-000055560000}"/>
    <cellStyle name="d_yield_Proj10_WACC-CableCar_THEsumPage (2)_LANCE_Model_v0.6.DCF.MASTER.Name" xfId="22129" xr:uid="{00000000-0005-0000-0000-000056560000}"/>
    <cellStyle name="d_yield_Proj10_WACC-CableCar_THEsumPage (2)_LANCE_Model_v0.6.DCF.MASTER.Name_Tootsie_TWO_DAY_TTS_Solution_v1.34" xfId="22130" xr:uid="{00000000-0005-0000-0000-000057560000}"/>
    <cellStyle name="d_yield_Proj10_WACC-RAD (2)" xfId="22131" xr:uid="{00000000-0005-0000-0000-000058560000}"/>
    <cellStyle name="d_yield_Proj10_WACC-RAD (2)_LANCE_Model_v0.6.DCF.MASTER.Name" xfId="22132" xr:uid="{00000000-0005-0000-0000-000059560000}"/>
    <cellStyle name="d_yield_Proj10_WACC-RAD (2)_LANCE_Model_v0.6.DCF.MASTER.Name_Tootsie_TWO_DAY_TTS_Solution_v1.34" xfId="22133" xr:uid="{00000000-0005-0000-0000-00005A560000}"/>
    <cellStyle name="d_yield_Proj10_WACC-RAD (2)_THEsumPage (2)" xfId="22134" xr:uid="{00000000-0005-0000-0000-00005B560000}"/>
    <cellStyle name="d_yield_Proj10_WACC-RAD (2)_THEsumPage (2)_LANCE_Model_v0.6.DCF.MASTER.Name" xfId="22135" xr:uid="{00000000-0005-0000-0000-00005C560000}"/>
    <cellStyle name="d_yield_Proj10_WACC-RAD (2)_THEsumPage (2)_LANCE_Model_v0.6.DCF.MASTER.Name_Tootsie_TWO_DAY_TTS_Solution_v1.34" xfId="22136" xr:uid="{00000000-0005-0000-0000-00005D560000}"/>
    <cellStyle name="d_yield_Sensitivity" xfId="22137" xr:uid="{00000000-0005-0000-0000-00005E560000}"/>
    <cellStyle name="d_yield_Sensitivity_CompSheet" xfId="22138" xr:uid="{00000000-0005-0000-0000-00005F560000}"/>
    <cellStyle name="d_yield_Sensitivity_THEsumPage (2)" xfId="22139" xr:uid="{00000000-0005-0000-0000-000060560000}"/>
    <cellStyle name="d_yield_show-hold" xfId="22140" xr:uid="{00000000-0005-0000-0000-000061560000}"/>
    <cellStyle name="d_yield_show-hold_CompSheet" xfId="22141" xr:uid="{00000000-0005-0000-0000-000062560000}"/>
    <cellStyle name="d_yield_show-hold_THEsumPage (2)" xfId="22142" xr:uid="{00000000-0005-0000-0000-000063560000}"/>
    <cellStyle name="d_yield_THEsumPage (2)" xfId="22143" xr:uid="{00000000-0005-0000-0000-000064560000}"/>
    <cellStyle name="d_yield_THEsumPage (2)_LANCE_Model_v0.6.DCF.MASTER.Name" xfId="22144" xr:uid="{00000000-0005-0000-0000-000065560000}"/>
    <cellStyle name="d_yield_THEsumPage (2)_LANCE_Model_v0.6.DCF.MASTER.Name_Tootsie_TWO_DAY_TTS_Solution_v1.34" xfId="22145" xr:uid="{00000000-0005-0000-0000-000066560000}"/>
    <cellStyle name="d_yield_Valuation summaries" xfId="22146" xr:uid="{00000000-0005-0000-0000-000067560000}"/>
    <cellStyle name="d_yield_Valuation summaries_LANCE_Model_v0.6.DCF.MASTER.Name" xfId="22147" xr:uid="{00000000-0005-0000-0000-000068560000}"/>
    <cellStyle name="d_yield_Valuation summaries_LANCE_Model_v0.6.DCF.MASTER.Name_Tootsie_TWO_DAY_TTS_Solution_v1.34" xfId="22148" xr:uid="{00000000-0005-0000-0000-000069560000}"/>
    <cellStyle name="d_yield_WACC-CableCar" xfId="22149" xr:uid="{00000000-0005-0000-0000-00006A560000}"/>
    <cellStyle name="d_yield_WACC-CableCar_LANCE_Model_v0.6.DCF.MASTER.Name" xfId="22150" xr:uid="{00000000-0005-0000-0000-00006B560000}"/>
    <cellStyle name="d_yield_WACC-CableCar_LANCE_Model_v0.6.DCF.MASTER.Name_Tootsie_TWO_DAY_TTS_Solution_v1.34" xfId="22151" xr:uid="{00000000-0005-0000-0000-00006C560000}"/>
    <cellStyle name="d_yield_WACC-CableCar_THEsumPage (2)" xfId="22152" xr:uid="{00000000-0005-0000-0000-00006D560000}"/>
    <cellStyle name="d_yield_WACC-CableCar_THEsumPage (2)_LANCE_Model_v0.6.DCF.MASTER.Name" xfId="22153" xr:uid="{00000000-0005-0000-0000-00006E560000}"/>
    <cellStyle name="d_yield_WACC-CableCar_THEsumPage (2)_LANCE_Model_v0.6.DCF.MASTER.Name_Tootsie_TWO_DAY_TTS_Solution_v1.34" xfId="22154" xr:uid="{00000000-0005-0000-0000-00006F560000}"/>
    <cellStyle name="d_yield_WACC-RAD (2)" xfId="22155" xr:uid="{00000000-0005-0000-0000-000070560000}"/>
    <cellStyle name="d_yield_WACC-RAD (2)_LANCE_Model_v0.6.DCF.MASTER.Name" xfId="22156" xr:uid="{00000000-0005-0000-0000-000071560000}"/>
    <cellStyle name="d_yield_WACC-RAD (2)_LANCE_Model_v0.6.DCF.MASTER.Name_Tootsie_TWO_DAY_TTS_Solution_v1.34" xfId="22157" xr:uid="{00000000-0005-0000-0000-000072560000}"/>
    <cellStyle name="d_yield_WACC-RAD (2)_THEsumPage (2)" xfId="22158" xr:uid="{00000000-0005-0000-0000-000073560000}"/>
    <cellStyle name="d_yield_WACC-RAD (2)_THEsumPage (2)_LANCE_Model_v0.6.DCF.MASTER.Name" xfId="22159" xr:uid="{00000000-0005-0000-0000-000074560000}"/>
    <cellStyle name="d_yield_WACC-RAD (2)_THEsumPage (2)_LANCE_Model_v0.6.DCF.MASTER.Name_Tootsie_TWO_DAY_TTS_Solution_v1.34" xfId="22160" xr:uid="{00000000-0005-0000-0000-000075560000}"/>
    <cellStyle name="Dash" xfId="22161" xr:uid="{00000000-0005-0000-0000-000076560000}"/>
    <cellStyle name="dat.General" xfId="22162" xr:uid="{00000000-0005-0000-0000-000077560000}"/>
    <cellStyle name="dat.General 2" xfId="22163" xr:uid="{00000000-0005-0000-0000-000078560000}"/>
    <cellStyle name="dat.General.or" xfId="22164" xr:uid="{00000000-0005-0000-0000-000079560000}"/>
    <cellStyle name="dat.General.or 2" xfId="22165" xr:uid="{00000000-0005-0000-0000-00007A560000}"/>
    <cellStyle name="dat.US$" xfId="22166" xr:uid="{00000000-0005-0000-0000-00007B560000}"/>
    <cellStyle name="dat.US$ 2" xfId="22167" xr:uid="{00000000-0005-0000-0000-00007C560000}"/>
    <cellStyle name="dat.US$.or" xfId="22168" xr:uid="{00000000-0005-0000-0000-00007D560000}"/>
    <cellStyle name="dat.US$.or 2" xfId="22169" xr:uid="{00000000-0005-0000-0000-00007E560000}"/>
    <cellStyle name="Data" xfId="22170" xr:uid="{00000000-0005-0000-0000-00007F560000}"/>
    <cellStyle name="Data 2" xfId="22171" xr:uid="{00000000-0005-0000-0000-000080560000}"/>
    <cellStyle name="DataBases" xfId="22172" xr:uid="{00000000-0005-0000-0000-000081560000}"/>
    <cellStyle name="DataToHide" xfId="22173" xr:uid="{00000000-0005-0000-0000-000082560000}"/>
    <cellStyle name="Date" xfId="22174" xr:uid="{00000000-0005-0000-0000-000083560000}"/>
    <cellStyle name="Date [D-M-Y]" xfId="22175" xr:uid="{00000000-0005-0000-0000-000084560000}"/>
    <cellStyle name="Date [D-M-Y] 2" xfId="22176" xr:uid="{00000000-0005-0000-0000-000085560000}"/>
    <cellStyle name="Date [M/D/Y]" xfId="22177" xr:uid="{00000000-0005-0000-0000-000086560000}"/>
    <cellStyle name="Date [M/Y]" xfId="22178" xr:uid="{00000000-0005-0000-0000-000087560000}"/>
    <cellStyle name="Date [mmm-d-yyyy]" xfId="22179" xr:uid="{00000000-0005-0000-0000-000088560000}"/>
    <cellStyle name="Date [MMM-YY]" xfId="22180" xr:uid="{00000000-0005-0000-0000-000089560000}"/>
    <cellStyle name="Date [MMM-YY] 2" xfId="22181" xr:uid="{00000000-0005-0000-0000-00008A560000}"/>
    <cellStyle name="Date [mmm-yyyy]" xfId="22182" xr:uid="{00000000-0005-0000-0000-00008B560000}"/>
    <cellStyle name="Date [Y]" xfId="22183" xr:uid="{00000000-0005-0000-0000-00008C560000}"/>
    <cellStyle name="Date [Y] 2" xfId="22184" xr:uid="{00000000-0005-0000-0000-00008D560000}"/>
    <cellStyle name="Date 10" xfId="22185" xr:uid="{00000000-0005-0000-0000-00008E560000}"/>
    <cellStyle name="Date 11" xfId="22186" xr:uid="{00000000-0005-0000-0000-00008F560000}"/>
    <cellStyle name="Date 12" xfId="22187" xr:uid="{00000000-0005-0000-0000-000090560000}"/>
    <cellStyle name="Date 13" xfId="22188" xr:uid="{00000000-0005-0000-0000-000091560000}"/>
    <cellStyle name="Date 14" xfId="22189" xr:uid="{00000000-0005-0000-0000-000092560000}"/>
    <cellStyle name="Date 15" xfId="22190" xr:uid="{00000000-0005-0000-0000-000093560000}"/>
    <cellStyle name="Date 16" xfId="22191" xr:uid="{00000000-0005-0000-0000-000094560000}"/>
    <cellStyle name="Date 17" xfId="22192" xr:uid="{00000000-0005-0000-0000-000095560000}"/>
    <cellStyle name="Date 18" xfId="22193" xr:uid="{00000000-0005-0000-0000-000096560000}"/>
    <cellStyle name="Date 19" xfId="22194" xr:uid="{00000000-0005-0000-0000-000097560000}"/>
    <cellStyle name="Date 2" xfId="22195" xr:uid="{00000000-0005-0000-0000-000098560000}"/>
    <cellStyle name="Date 20" xfId="22196" xr:uid="{00000000-0005-0000-0000-000099560000}"/>
    <cellStyle name="Date 21" xfId="22197" xr:uid="{00000000-0005-0000-0000-00009A560000}"/>
    <cellStyle name="Date 22" xfId="22198" xr:uid="{00000000-0005-0000-0000-00009B560000}"/>
    <cellStyle name="Date 23" xfId="22199" xr:uid="{00000000-0005-0000-0000-00009C560000}"/>
    <cellStyle name="Date 24" xfId="22200" xr:uid="{00000000-0005-0000-0000-00009D560000}"/>
    <cellStyle name="Date 25" xfId="22201" xr:uid="{00000000-0005-0000-0000-00009E560000}"/>
    <cellStyle name="Date 26" xfId="22202" xr:uid="{00000000-0005-0000-0000-00009F560000}"/>
    <cellStyle name="Date 27" xfId="22203" xr:uid="{00000000-0005-0000-0000-0000A0560000}"/>
    <cellStyle name="Date 28" xfId="22204" xr:uid="{00000000-0005-0000-0000-0000A1560000}"/>
    <cellStyle name="Date 29" xfId="22205" xr:uid="{00000000-0005-0000-0000-0000A2560000}"/>
    <cellStyle name="Date 3" xfId="22206" xr:uid="{00000000-0005-0000-0000-0000A3560000}"/>
    <cellStyle name="Date 30" xfId="22207" xr:uid="{00000000-0005-0000-0000-0000A4560000}"/>
    <cellStyle name="Date 31" xfId="22208" xr:uid="{00000000-0005-0000-0000-0000A5560000}"/>
    <cellStyle name="Date 32" xfId="22209" xr:uid="{00000000-0005-0000-0000-0000A6560000}"/>
    <cellStyle name="Date 33" xfId="22210" xr:uid="{00000000-0005-0000-0000-0000A7560000}"/>
    <cellStyle name="Date 34" xfId="22211" xr:uid="{00000000-0005-0000-0000-0000A8560000}"/>
    <cellStyle name="Date 35" xfId="22212" xr:uid="{00000000-0005-0000-0000-0000A9560000}"/>
    <cellStyle name="Date 36" xfId="22213" xr:uid="{00000000-0005-0000-0000-0000AA560000}"/>
    <cellStyle name="Date 37" xfId="22214" xr:uid="{00000000-0005-0000-0000-0000AB560000}"/>
    <cellStyle name="Date 38" xfId="22215" xr:uid="{00000000-0005-0000-0000-0000AC560000}"/>
    <cellStyle name="Date 39" xfId="22216" xr:uid="{00000000-0005-0000-0000-0000AD560000}"/>
    <cellStyle name="Date 4" xfId="22217" xr:uid="{00000000-0005-0000-0000-0000AE560000}"/>
    <cellStyle name="Date 5" xfId="22218" xr:uid="{00000000-0005-0000-0000-0000AF560000}"/>
    <cellStyle name="Date 6" xfId="22219" xr:uid="{00000000-0005-0000-0000-0000B0560000}"/>
    <cellStyle name="Date 7" xfId="22220" xr:uid="{00000000-0005-0000-0000-0000B1560000}"/>
    <cellStyle name="Date 8" xfId="22221" xr:uid="{00000000-0005-0000-0000-0000B2560000}"/>
    <cellStyle name="Date 9" xfId="22222" xr:uid="{00000000-0005-0000-0000-0000B3560000}"/>
    <cellStyle name="Date Aligned" xfId="22223" xr:uid="{00000000-0005-0000-0000-0000B4560000}"/>
    <cellStyle name="Date Aligned*" xfId="22224" xr:uid="{00000000-0005-0000-0000-0000B5560000}"/>
    <cellStyle name="Date Aligned_Triumph_Model_EK" xfId="22225" xr:uid="{00000000-0005-0000-0000-0000B6560000}"/>
    <cellStyle name="Date format" xfId="22226" xr:uid="{00000000-0005-0000-0000-0000B7560000}"/>
    <cellStyle name="Date Short" xfId="22227" xr:uid="{00000000-0005-0000-0000-0000B8560000}"/>
    <cellStyle name="Date Short 2" xfId="22228" xr:uid="{00000000-0005-0000-0000-0000B9560000}"/>
    <cellStyle name="Date_09 2007 EEFF (Tomo II)" xfId="22229" xr:uid="{00000000-0005-0000-0000-0000BA560000}"/>
    <cellStyle name="Date1" xfId="22230" xr:uid="{00000000-0005-0000-0000-0000BB560000}"/>
    <cellStyle name="Date2" xfId="22231" xr:uid="{00000000-0005-0000-0000-0000BC560000}"/>
    <cellStyle name="datetime" xfId="22232" xr:uid="{00000000-0005-0000-0000-0000BD560000}"/>
    <cellStyle name="Date-Time" xfId="22233" xr:uid="{00000000-0005-0000-0000-0000BE560000}"/>
    <cellStyle name="Date-Time 10" xfId="22234" xr:uid="{00000000-0005-0000-0000-0000BF560000}"/>
    <cellStyle name="Date-Time 11" xfId="22235" xr:uid="{00000000-0005-0000-0000-0000C0560000}"/>
    <cellStyle name="Date-Time 12" xfId="22236" xr:uid="{00000000-0005-0000-0000-0000C1560000}"/>
    <cellStyle name="Date-Time 13" xfId="22237" xr:uid="{00000000-0005-0000-0000-0000C2560000}"/>
    <cellStyle name="Date-Time 14" xfId="22238" xr:uid="{00000000-0005-0000-0000-0000C3560000}"/>
    <cellStyle name="Date-Time 15" xfId="22239" xr:uid="{00000000-0005-0000-0000-0000C4560000}"/>
    <cellStyle name="Date-Time 16" xfId="22240" xr:uid="{00000000-0005-0000-0000-0000C5560000}"/>
    <cellStyle name="Date-Time 17" xfId="22241" xr:uid="{00000000-0005-0000-0000-0000C6560000}"/>
    <cellStyle name="Date-Time 18" xfId="22242" xr:uid="{00000000-0005-0000-0000-0000C7560000}"/>
    <cellStyle name="Date-Time 19" xfId="22243" xr:uid="{00000000-0005-0000-0000-0000C8560000}"/>
    <cellStyle name="Date-Time 2" xfId="22244" xr:uid="{00000000-0005-0000-0000-0000C9560000}"/>
    <cellStyle name="Date-Time 20" xfId="22245" xr:uid="{00000000-0005-0000-0000-0000CA560000}"/>
    <cellStyle name="Date-Time 21" xfId="22246" xr:uid="{00000000-0005-0000-0000-0000CB560000}"/>
    <cellStyle name="Date-Time 22" xfId="22247" xr:uid="{00000000-0005-0000-0000-0000CC560000}"/>
    <cellStyle name="Date-Time 23" xfId="22248" xr:uid="{00000000-0005-0000-0000-0000CD560000}"/>
    <cellStyle name="Date-Time 24" xfId="22249" xr:uid="{00000000-0005-0000-0000-0000CE560000}"/>
    <cellStyle name="Date-Time 25" xfId="22250" xr:uid="{00000000-0005-0000-0000-0000CF560000}"/>
    <cellStyle name="Date-Time 26" xfId="22251" xr:uid="{00000000-0005-0000-0000-0000D0560000}"/>
    <cellStyle name="Date-Time 27" xfId="22252" xr:uid="{00000000-0005-0000-0000-0000D1560000}"/>
    <cellStyle name="Date-Time 28" xfId="22253" xr:uid="{00000000-0005-0000-0000-0000D2560000}"/>
    <cellStyle name="Date-Time 29" xfId="22254" xr:uid="{00000000-0005-0000-0000-0000D3560000}"/>
    <cellStyle name="Date-Time 3" xfId="22255" xr:uid="{00000000-0005-0000-0000-0000D4560000}"/>
    <cellStyle name="Date-Time 30" xfId="22256" xr:uid="{00000000-0005-0000-0000-0000D5560000}"/>
    <cellStyle name="Date-Time 31" xfId="22257" xr:uid="{00000000-0005-0000-0000-0000D6560000}"/>
    <cellStyle name="Date-Time 32" xfId="22258" xr:uid="{00000000-0005-0000-0000-0000D7560000}"/>
    <cellStyle name="Date-Time 33" xfId="22259" xr:uid="{00000000-0005-0000-0000-0000D8560000}"/>
    <cellStyle name="Date-Time 34" xfId="22260" xr:uid="{00000000-0005-0000-0000-0000D9560000}"/>
    <cellStyle name="Date-Time 35" xfId="22261" xr:uid="{00000000-0005-0000-0000-0000DA560000}"/>
    <cellStyle name="Date-Time 36" xfId="22262" xr:uid="{00000000-0005-0000-0000-0000DB560000}"/>
    <cellStyle name="Date-Time 37" xfId="22263" xr:uid="{00000000-0005-0000-0000-0000DC560000}"/>
    <cellStyle name="Date-Time 38" xfId="22264" xr:uid="{00000000-0005-0000-0000-0000DD560000}"/>
    <cellStyle name="Date-Time 39" xfId="22265" xr:uid="{00000000-0005-0000-0000-0000DE560000}"/>
    <cellStyle name="Date-Time 4" xfId="22266" xr:uid="{00000000-0005-0000-0000-0000DF560000}"/>
    <cellStyle name="Date-Time 5" xfId="22267" xr:uid="{00000000-0005-0000-0000-0000E0560000}"/>
    <cellStyle name="Date-Time 6" xfId="22268" xr:uid="{00000000-0005-0000-0000-0000E1560000}"/>
    <cellStyle name="Date-Time 7" xfId="22269" xr:uid="{00000000-0005-0000-0000-0000E2560000}"/>
    <cellStyle name="Date-Time 8" xfId="22270" xr:uid="{00000000-0005-0000-0000-0000E3560000}"/>
    <cellStyle name="Date-Time 9" xfId="22271" xr:uid="{00000000-0005-0000-0000-0000E4560000}"/>
    <cellStyle name="Datos" xfId="22272" xr:uid="{00000000-0005-0000-0000-0000E5560000}"/>
    <cellStyle name="DblLineDollarAcct" xfId="22273" xr:uid="{00000000-0005-0000-0000-0000E6560000}"/>
    <cellStyle name="Delta percentuale" xfId="22274" xr:uid="{00000000-0005-0000-0000-0000E7560000}"/>
    <cellStyle name="Design" xfId="22275" xr:uid="{00000000-0005-0000-0000-0000E8560000}"/>
    <cellStyle name="Dezimal_FS01" xfId="22276" xr:uid="{00000000-0005-0000-0000-0000E9560000}"/>
    <cellStyle name="Dia" xfId="22277" xr:uid="{00000000-0005-0000-0000-0000EA560000}"/>
    <cellStyle name="Diseño" xfId="22278" xr:uid="{00000000-0005-0000-0000-0000EB560000}"/>
    <cellStyle name="Diseño 2" xfId="22279" xr:uid="{00000000-0005-0000-0000-0000EC560000}"/>
    <cellStyle name="Diseño 2 10" xfId="22280" xr:uid="{00000000-0005-0000-0000-0000ED560000}"/>
    <cellStyle name="Diseño 2 11" xfId="22281" xr:uid="{00000000-0005-0000-0000-0000EE560000}"/>
    <cellStyle name="Diseño 2 12" xfId="22282" xr:uid="{00000000-0005-0000-0000-0000EF560000}"/>
    <cellStyle name="Diseño 2 13" xfId="22283" xr:uid="{00000000-0005-0000-0000-0000F0560000}"/>
    <cellStyle name="Diseño 2 2" xfId="22284" xr:uid="{00000000-0005-0000-0000-0000F1560000}"/>
    <cellStyle name="Diseño 2 3" xfId="22285" xr:uid="{00000000-0005-0000-0000-0000F2560000}"/>
    <cellStyle name="Diseño 2 4" xfId="22286" xr:uid="{00000000-0005-0000-0000-0000F3560000}"/>
    <cellStyle name="Diseño 2 5" xfId="22287" xr:uid="{00000000-0005-0000-0000-0000F4560000}"/>
    <cellStyle name="Diseño 2 6" xfId="22288" xr:uid="{00000000-0005-0000-0000-0000F5560000}"/>
    <cellStyle name="Diseño 2 7" xfId="22289" xr:uid="{00000000-0005-0000-0000-0000F6560000}"/>
    <cellStyle name="Diseño 2 8" xfId="22290" xr:uid="{00000000-0005-0000-0000-0000F7560000}"/>
    <cellStyle name="Diseño 2 9" xfId="22291" xr:uid="{00000000-0005-0000-0000-0000F8560000}"/>
    <cellStyle name="Diseño 3" xfId="22292" xr:uid="{00000000-0005-0000-0000-0000F9560000}"/>
    <cellStyle name="Diseño 3 10" xfId="22293" xr:uid="{00000000-0005-0000-0000-0000FA560000}"/>
    <cellStyle name="Diseño 3 11" xfId="22294" xr:uid="{00000000-0005-0000-0000-0000FB560000}"/>
    <cellStyle name="Diseño 3 12" xfId="22295" xr:uid="{00000000-0005-0000-0000-0000FC560000}"/>
    <cellStyle name="Diseño 3 13" xfId="22296" xr:uid="{00000000-0005-0000-0000-0000FD560000}"/>
    <cellStyle name="Diseño 3 2" xfId="22297" xr:uid="{00000000-0005-0000-0000-0000FE560000}"/>
    <cellStyle name="Diseño 3 3" xfId="22298" xr:uid="{00000000-0005-0000-0000-0000FF560000}"/>
    <cellStyle name="Diseño 3 4" xfId="22299" xr:uid="{00000000-0005-0000-0000-000000570000}"/>
    <cellStyle name="Diseño 3 5" xfId="22300" xr:uid="{00000000-0005-0000-0000-000001570000}"/>
    <cellStyle name="Diseño 3 6" xfId="22301" xr:uid="{00000000-0005-0000-0000-000002570000}"/>
    <cellStyle name="Diseño 3 7" xfId="22302" xr:uid="{00000000-0005-0000-0000-000003570000}"/>
    <cellStyle name="Diseño 3 8" xfId="22303" xr:uid="{00000000-0005-0000-0000-000004570000}"/>
    <cellStyle name="Diseño 3 9" xfId="22304" xr:uid="{00000000-0005-0000-0000-000005570000}"/>
    <cellStyle name="Diseño 4" xfId="22305" xr:uid="{00000000-0005-0000-0000-000006570000}"/>
    <cellStyle name="Diseño 4 10" xfId="22306" xr:uid="{00000000-0005-0000-0000-000007570000}"/>
    <cellStyle name="Diseño 4 11" xfId="22307" xr:uid="{00000000-0005-0000-0000-000008570000}"/>
    <cellStyle name="Diseño 4 12" xfId="22308" xr:uid="{00000000-0005-0000-0000-000009570000}"/>
    <cellStyle name="Diseño 4 13" xfId="22309" xr:uid="{00000000-0005-0000-0000-00000A570000}"/>
    <cellStyle name="Diseño 4 2" xfId="22310" xr:uid="{00000000-0005-0000-0000-00000B570000}"/>
    <cellStyle name="Diseño 4 3" xfId="22311" xr:uid="{00000000-0005-0000-0000-00000C570000}"/>
    <cellStyle name="Diseño 4 4" xfId="22312" xr:uid="{00000000-0005-0000-0000-00000D570000}"/>
    <cellStyle name="Diseño 4 5" xfId="22313" xr:uid="{00000000-0005-0000-0000-00000E570000}"/>
    <cellStyle name="Diseño 4 6" xfId="22314" xr:uid="{00000000-0005-0000-0000-00000F570000}"/>
    <cellStyle name="Diseño 4 7" xfId="22315" xr:uid="{00000000-0005-0000-0000-000010570000}"/>
    <cellStyle name="Diseño 4 8" xfId="22316" xr:uid="{00000000-0005-0000-0000-000011570000}"/>
    <cellStyle name="Diseño 4 9" xfId="22317" xr:uid="{00000000-0005-0000-0000-000012570000}"/>
    <cellStyle name="Diseño 5" xfId="22318" xr:uid="{00000000-0005-0000-0000-000013570000}"/>
    <cellStyle name="Diseño 5 10" xfId="22319" xr:uid="{00000000-0005-0000-0000-000014570000}"/>
    <cellStyle name="Diseño 5 11" xfId="22320" xr:uid="{00000000-0005-0000-0000-000015570000}"/>
    <cellStyle name="Diseño 5 12" xfId="22321" xr:uid="{00000000-0005-0000-0000-000016570000}"/>
    <cellStyle name="Diseño 5 13" xfId="22322" xr:uid="{00000000-0005-0000-0000-000017570000}"/>
    <cellStyle name="Diseño 5 2" xfId="22323" xr:uid="{00000000-0005-0000-0000-000018570000}"/>
    <cellStyle name="Diseño 5 3" xfId="22324" xr:uid="{00000000-0005-0000-0000-000019570000}"/>
    <cellStyle name="Diseño 5 4" xfId="22325" xr:uid="{00000000-0005-0000-0000-00001A570000}"/>
    <cellStyle name="Diseño 5 5" xfId="22326" xr:uid="{00000000-0005-0000-0000-00001B570000}"/>
    <cellStyle name="Diseño 5 6" xfId="22327" xr:uid="{00000000-0005-0000-0000-00001C570000}"/>
    <cellStyle name="Diseño 5 7" xfId="22328" xr:uid="{00000000-0005-0000-0000-00001D570000}"/>
    <cellStyle name="Diseño 5 8" xfId="22329" xr:uid="{00000000-0005-0000-0000-00001E570000}"/>
    <cellStyle name="Diseño 5 9" xfId="22330" xr:uid="{00000000-0005-0000-0000-00001F570000}"/>
    <cellStyle name="Diseño 6" xfId="22331" xr:uid="{00000000-0005-0000-0000-000020570000}"/>
    <cellStyle name="Diseño 6 10" xfId="22332" xr:uid="{00000000-0005-0000-0000-000021570000}"/>
    <cellStyle name="Diseño 6 11" xfId="22333" xr:uid="{00000000-0005-0000-0000-000022570000}"/>
    <cellStyle name="Diseño 6 12" xfId="22334" xr:uid="{00000000-0005-0000-0000-000023570000}"/>
    <cellStyle name="Diseño 6 13" xfId="22335" xr:uid="{00000000-0005-0000-0000-000024570000}"/>
    <cellStyle name="Diseño 6 2" xfId="22336" xr:uid="{00000000-0005-0000-0000-000025570000}"/>
    <cellStyle name="Diseño 6 3" xfId="22337" xr:uid="{00000000-0005-0000-0000-000026570000}"/>
    <cellStyle name="Diseño 6 4" xfId="22338" xr:uid="{00000000-0005-0000-0000-000027570000}"/>
    <cellStyle name="Diseño 6 5" xfId="22339" xr:uid="{00000000-0005-0000-0000-000028570000}"/>
    <cellStyle name="Diseño 6 6" xfId="22340" xr:uid="{00000000-0005-0000-0000-000029570000}"/>
    <cellStyle name="Diseño 6 7" xfId="22341" xr:uid="{00000000-0005-0000-0000-00002A570000}"/>
    <cellStyle name="Diseño 6 8" xfId="22342" xr:uid="{00000000-0005-0000-0000-00002B570000}"/>
    <cellStyle name="Diseño 6 9" xfId="22343" xr:uid="{00000000-0005-0000-0000-00002C570000}"/>
    <cellStyle name="Diseño 7" xfId="22344" xr:uid="{00000000-0005-0000-0000-00002D570000}"/>
    <cellStyle name="Diseño 7 10" xfId="22345" xr:uid="{00000000-0005-0000-0000-00002E570000}"/>
    <cellStyle name="Diseño 7 11" xfId="22346" xr:uid="{00000000-0005-0000-0000-00002F570000}"/>
    <cellStyle name="Diseño 7 12" xfId="22347" xr:uid="{00000000-0005-0000-0000-000030570000}"/>
    <cellStyle name="Diseño 7 13" xfId="22348" xr:uid="{00000000-0005-0000-0000-000031570000}"/>
    <cellStyle name="Diseño 7 2" xfId="22349" xr:uid="{00000000-0005-0000-0000-000032570000}"/>
    <cellStyle name="Diseño 7 3" xfId="22350" xr:uid="{00000000-0005-0000-0000-000033570000}"/>
    <cellStyle name="Diseño 7 4" xfId="22351" xr:uid="{00000000-0005-0000-0000-000034570000}"/>
    <cellStyle name="Diseño 7 5" xfId="22352" xr:uid="{00000000-0005-0000-0000-000035570000}"/>
    <cellStyle name="Diseño 7 6" xfId="22353" xr:uid="{00000000-0005-0000-0000-000036570000}"/>
    <cellStyle name="Diseño 7 7" xfId="22354" xr:uid="{00000000-0005-0000-0000-000037570000}"/>
    <cellStyle name="Diseño 7 8" xfId="22355" xr:uid="{00000000-0005-0000-0000-000038570000}"/>
    <cellStyle name="Diseño 7 9" xfId="22356" xr:uid="{00000000-0005-0000-0000-000039570000}"/>
    <cellStyle name="Diseño 8" xfId="22357" xr:uid="{00000000-0005-0000-0000-00003A570000}"/>
    <cellStyle name="Diseño 8 10" xfId="22358" xr:uid="{00000000-0005-0000-0000-00003B570000}"/>
    <cellStyle name="Diseño 8 11" xfId="22359" xr:uid="{00000000-0005-0000-0000-00003C570000}"/>
    <cellStyle name="Diseño 8 12" xfId="22360" xr:uid="{00000000-0005-0000-0000-00003D570000}"/>
    <cellStyle name="Diseño 8 13" xfId="22361" xr:uid="{00000000-0005-0000-0000-00003E570000}"/>
    <cellStyle name="Diseño 8 2" xfId="22362" xr:uid="{00000000-0005-0000-0000-00003F570000}"/>
    <cellStyle name="Diseño 8 3" xfId="22363" xr:uid="{00000000-0005-0000-0000-000040570000}"/>
    <cellStyle name="Diseño 8 4" xfId="22364" xr:uid="{00000000-0005-0000-0000-000041570000}"/>
    <cellStyle name="Diseño 8 5" xfId="22365" xr:uid="{00000000-0005-0000-0000-000042570000}"/>
    <cellStyle name="Diseño 8 6" xfId="22366" xr:uid="{00000000-0005-0000-0000-000043570000}"/>
    <cellStyle name="Diseño 8 7" xfId="22367" xr:uid="{00000000-0005-0000-0000-000044570000}"/>
    <cellStyle name="Diseño 8 8" xfId="22368" xr:uid="{00000000-0005-0000-0000-000045570000}"/>
    <cellStyle name="Diseño 8 9" xfId="22369" xr:uid="{00000000-0005-0000-0000-000046570000}"/>
    <cellStyle name="Diseño 9" xfId="22370" xr:uid="{00000000-0005-0000-0000-000047570000}"/>
    <cellStyle name="DOBLE" xfId="22371" xr:uid="{00000000-0005-0000-0000-000048570000}"/>
    <cellStyle name="Dotted Line" xfId="22372" xr:uid="{00000000-0005-0000-0000-000049570000}"/>
    <cellStyle name="Emphasis 1" xfId="22373" xr:uid="{00000000-0005-0000-0000-00004A570000}"/>
    <cellStyle name="Emphasis 1 2" xfId="22374" xr:uid="{00000000-0005-0000-0000-00004B570000}"/>
    <cellStyle name="Emphasis 2" xfId="22375" xr:uid="{00000000-0005-0000-0000-00004C570000}"/>
    <cellStyle name="Emphasis 2 2" xfId="22376" xr:uid="{00000000-0005-0000-0000-00004D570000}"/>
    <cellStyle name="Emphasis 3" xfId="22377" xr:uid="{00000000-0005-0000-0000-00004E570000}"/>
    <cellStyle name="Encabez1" xfId="22378" xr:uid="{00000000-0005-0000-0000-00004F570000}"/>
    <cellStyle name="Encabez2" xfId="22379" xr:uid="{00000000-0005-0000-0000-000050570000}"/>
    <cellStyle name="Encabezado 1" xfId="56" builtinId="16" customBuiltin="1"/>
    <cellStyle name="Encabezado 4" xfId="35" builtinId="19" customBuiltin="1"/>
    <cellStyle name="Encabezado 4 10" xfId="22380" xr:uid="{00000000-0005-0000-0000-000053570000}"/>
    <cellStyle name="Encabezado 4 11" xfId="22381" xr:uid="{00000000-0005-0000-0000-000054570000}"/>
    <cellStyle name="Encabezado 4 12" xfId="22382" xr:uid="{00000000-0005-0000-0000-000055570000}"/>
    <cellStyle name="Encabezado 4 2" xfId="22383" xr:uid="{00000000-0005-0000-0000-000056570000}"/>
    <cellStyle name="Encabezado 4 2 10" xfId="22384" xr:uid="{00000000-0005-0000-0000-000057570000}"/>
    <cellStyle name="Encabezado 4 2 11" xfId="22385" xr:uid="{00000000-0005-0000-0000-000058570000}"/>
    <cellStyle name="Encabezado 4 2 12" xfId="22386" xr:uid="{00000000-0005-0000-0000-000059570000}"/>
    <cellStyle name="Encabezado 4 2 13" xfId="22387" xr:uid="{00000000-0005-0000-0000-00005A570000}"/>
    <cellStyle name="Encabezado 4 2 14" xfId="22388" xr:uid="{00000000-0005-0000-0000-00005B570000}"/>
    <cellStyle name="Encabezado 4 2 15" xfId="22389" xr:uid="{00000000-0005-0000-0000-00005C570000}"/>
    <cellStyle name="Encabezado 4 2 16" xfId="22390" xr:uid="{00000000-0005-0000-0000-00005D570000}"/>
    <cellStyle name="Encabezado 4 2 17" xfId="22391" xr:uid="{00000000-0005-0000-0000-00005E570000}"/>
    <cellStyle name="Encabezado 4 2 18" xfId="22392" xr:uid="{00000000-0005-0000-0000-00005F570000}"/>
    <cellStyle name="Encabezado 4 2 19" xfId="22393" xr:uid="{00000000-0005-0000-0000-000060570000}"/>
    <cellStyle name="Encabezado 4 2 2" xfId="22394" xr:uid="{00000000-0005-0000-0000-000061570000}"/>
    <cellStyle name="Encabezado 4 2 20" xfId="22395" xr:uid="{00000000-0005-0000-0000-000062570000}"/>
    <cellStyle name="Encabezado 4 2 21" xfId="22396" xr:uid="{00000000-0005-0000-0000-000063570000}"/>
    <cellStyle name="Encabezado 4 2 22" xfId="22397" xr:uid="{00000000-0005-0000-0000-000064570000}"/>
    <cellStyle name="Encabezado 4 2 23" xfId="22398" xr:uid="{00000000-0005-0000-0000-000065570000}"/>
    <cellStyle name="Encabezado 4 2 24" xfId="22399" xr:uid="{00000000-0005-0000-0000-000066570000}"/>
    <cellStyle name="Encabezado 4 2 25" xfId="22400" xr:uid="{00000000-0005-0000-0000-000067570000}"/>
    <cellStyle name="Encabezado 4 2 26" xfId="22401" xr:uid="{00000000-0005-0000-0000-000068570000}"/>
    <cellStyle name="Encabezado 4 2 27" xfId="22402" xr:uid="{00000000-0005-0000-0000-000069570000}"/>
    <cellStyle name="Encabezado 4 2 28" xfId="22403" xr:uid="{00000000-0005-0000-0000-00006A570000}"/>
    <cellStyle name="Encabezado 4 2 29" xfId="22404" xr:uid="{00000000-0005-0000-0000-00006B570000}"/>
    <cellStyle name="Encabezado 4 2 3" xfId="22405" xr:uid="{00000000-0005-0000-0000-00006C570000}"/>
    <cellStyle name="Encabezado 4 2 30" xfId="22406" xr:uid="{00000000-0005-0000-0000-00006D570000}"/>
    <cellStyle name="Encabezado 4 2 31" xfId="22407" xr:uid="{00000000-0005-0000-0000-00006E570000}"/>
    <cellStyle name="Encabezado 4 2 32" xfId="22408" xr:uid="{00000000-0005-0000-0000-00006F570000}"/>
    <cellStyle name="Encabezado 4 2 33" xfId="22409" xr:uid="{00000000-0005-0000-0000-000070570000}"/>
    <cellStyle name="Encabezado 4 2 34" xfId="22410" xr:uid="{00000000-0005-0000-0000-000071570000}"/>
    <cellStyle name="Encabezado 4 2 35" xfId="22411" xr:uid="{00000000-0005-0000-0000-000072570000}"/>
    <cellStyle name="Encabezado 4 2 36" xfId="22412" xr:uid="{00000000-0005-0000-0000-000073570000}"/>
    <cellStyle name="Encabezado 4 2 37" xfId="22413" xr:uid="{00000000-0005-0000-0000-000074570000}"/>
    <cellStyle name="Encabezado 4 2 38" xfId="22414" xr:uid="{00000000-0005-0000-0000-000075570000}"/>
    <cellStyle name="Encabezado 4 2 4" xfId="22415" xr:uid="{00000000-0005-0000-0000-000076570000}"/>
    <cellStyle name="Encabezado 4 2 5" xfId="22416" xr:uid="{00000000-0005-0000-0000-000077570000}"/>
    <cellStyle name="Encabezado 4 2 6" xfId="22417" xr:uid="{00000000-0005-0000-0000-000078570000}"/>
    <cellStyle name="Encabezado 4 2 7" xfId="22418" xr:uid="{00000000-0005-0000-0000-000079570000}"/>
    <cellStyle name="Encabezado 4 2 8" xfId="22419" xr:uid="{00000000-0005-0000-0000-00007A570000}"/>
    <cellStyle name="Encabezado 4 2 9" xfId="22420" xr:uid="{00000000-0005-0000-0000-00007B570000}"/>
    <cellStyle name="Encabezado 4 3" xfId="22421" xr:uid="{00000000-0005-0000-0000-00007C570000}"/>
    <cellStyle name="Encabezado 4 3 10" xfId="22422" xr:uid="{00000000-0005-0000-0000-00007D570000}"/>
    <cellStyle name="Encabezado 4 3 11" xfId="22423" xr:uid="{00000000-0005-0000-0000-00007E570000}"/>
    <cellStyle name="Encabezado 4 3 12" xfId="22424" xr:uid="{00000000-0005-0000-0000-00007F570000}"/>
    <cellStyle name="Encabezado 4 3 13" xfId="22425" xr:uid="{00000000-0005-0000-0000-000080570000}"/>
    <cellStyle name="Encabezado 4 3 14" xfId="22426" xr:uid="{00000000-0005-0000-0000-000081570000}"/>
    <cellStyle name="Encabezado 4 3 15" xfId="22427" xr:uid="{00000000-0005-0000-0000-000082570000}"/>
    <cellStyle name="Encabezado 4 3 16" xfId="22428" xr:uid="{00000000-0005-0000-0000-000083570000}"/>
    <cellStyle name="Encabezado 4 3 17" xfId="22429" xr:uid="{00000000-0005-0000-0000-000084570000}"/>
    <cellStyle name="Encabezado 4 3 18" xfId="22430" xr:uid="{00000000-0005-0000-0000-000085570000}"/>
    <cellStyle name="Encabezado 4 3 19" xfId="22431" xr:uid="{00000000-0005-0000-0000-000086570000}"/>
    <cellStyle name="Encabezado 4 3 2" xfId="22432" xr:uid="{00000000-0005-0000-0000-000087570000}"/>
    <cellStyle name="Encabezado 4 3 20" xfId="22433" xr:uid="{00000000-0005-0000-0000-000088570000}"/>
    <cellStyle name="Encabezado 4 3 21" xfId="22434" xr:uid="{00000000-0005-0000-0000-000089570000}"/>
    <cellStyle name="Encabezado 4 3 22" xfId="22435" xr:uid="{00000000-0005-0000-0000-00008A570000}"/>
    <cellStyle name="Encabezado 4 3 23" xfId="22436" xr:uid="{00000000-0005-0000-0000-00008B570000}"/>
    <cellStyle name="Encabezado 4 3 24" xfId="22437" xr:uid="{00000000-0005-0000-0000-00008C570000}"/>
    <cellStyle name="Encabezado 4 3 25" xfId="22438" xr:uid="{00000000-0005-0000-0000-00008D570000}"/>
    <cellStyle name="Encabezado 4 3 26" xfId="22439" xr:uid="{00000000-0005-0000-0000-00008E570000}"/>
    <cellStyle name="Encabezado 4 3 27" xfId="22440" xr:uid="{00000000-0005-0000-0000-00008F570000}"/>
    <cellStyle name="Encabezado 4 3 28" xfId="22441" xr:uid="{00000000-0005-0000-0000-000090570000}"/>
    <cellStyle name="Encabezado 4 3 29" xfId="22442" xr:uid="{00000000-0005-0000-0000-000091570000}"/>
    <cellStyle name="Encabezado 4 3 3" xfId="22443" xr:uid="{00000000-0005-0000-0000-000092570000}"/>
    <cellStyle name="Encabezado 4 3 30" xfId="22444" xr:uid="{00000000-0005-0000-0000-000093570000}"/>
    <cellStyle name="Encabezado 4 3 31" xfId="22445" xr:uid="{00000000-0005-0000-0000-000094570000}"/>
    <cellStyle name="Encabezado 4 3 32" xfId="22446" xr:uid="{00000000-0005-0000-0000-000095570000}"/>
    <cellStyle name="Encabezado 4 3 33" xfId="22447" xr:uid="{00000000-0005-0000-0000-000096570000}"/>
    <cellStyle name="Encabezado 4 3 34" xfId="22448" xr:uid="{00000000-0005-0000-0000-000097570000}"/>
    <cellStyle name="Encabezado 4 3 4" xfId="22449" xr:uid="{00000000-0005-0000-0000-000098570000}"/>
    <cellStyle name="Encabezado 4 3 5" xfId="22450" xr:uid="{00000000-0005-0000-0000-000099570000}"/>
    <cellStyle name="Encabezado 4 3 6" xfId="22451" xr:uid="{00000000-0005-0000-0000-00009A570000}"/>
    <cellStyle name="Encabezado 4 3 7" xfId="22452" xr:uid="{00000000-0005-0000-0000-00009B570000}"/>
    <cellStyle name="Encabezado 4 3 8" xfId="22453" xr:uid="{00000000-0005-0000-0000-00009C570000}"/>
    <cellStyle name="Encabezado 4 3 9" xfId="22454" xr:uid="{00000000-0005-0000-0000-00009D570000}"/>
    <cellStyle name="Encabezado 4 4" xfId="22455" xr:uid="{00000000-0005-0000-0000-00009E570000}"/>
    <cellStyle name="Encabezado 4 4 2" xfId="22456" xr:uid="{00000000-0005-0000-0000-00009F570000}"/>
    <cellStyle name="Encabezado 4 4 3" xfId="22457" xr:uid="{00000000-0005-0000-0000-0000A0570000}"/>
    <cellStyle name="Encabezado 4 4 4" xfId="22458" xr:uid="{00000000-0005-0000-0000-0000A1570000}"/>
    <cellStyle name="Encabezado 4 5" xfId="22459" xr:uid="{00000000-0005-0000-0000-0000A2570000}"/>
    <cellStyle name="Encabezado 4 5 2" xfId="22460" xr:uid="{00000000-0005-0000-0000-0000A3570000}"/>
    <cellStyle name="Encabezado 4 5 3" xfId="22461" xr:uid="{00000000-0005-0000-0000-0000A4570000}"/>
    <cellStyle name="Encabezado 4 5 4" xfId="22462" xr:uid="{00000000-0005-0000-0000-0000A5570000}"/>
    <cellStyle name="Encabezado 4 6" xfId="22463" xr:uid="{00000000-0005-0000-0000-0000A6570000}"/>
    <cellStyle name="Encabezado 4 6 2" xfId="22464" xr:uid="{00000000-0005-0000-0000-0000A7570000}"/>
    <cellStyle name="Encabezado 4 7" xfId="22465" xr:uid="{00000000-0005-0000-0000-0000A8570000}"/>
    <cellStyle name="Encabezado 4 7 2" xfId="22466" xr:uid="{00000000-0005-0000-0000-0000A9570000}"/>
    <cellStyle name="Encabezado 4 8" xfId="22467" xr:uid="{00000000-0005-0000-0000-0000AA570000}"/>
    <cellStyle name="Encabezado 4 9" xfId="22468" xr:uid="{00000000-0005-0000-0000-0000AB570000}"/>
    <cellStyle name="Énfasis 1" xfId="22469" xr:uid="{00000000-0005-0000-0000-0000AC570000}"/>
    <cellStyle name="Énfasis 1 2" xfId="22470" xr:uid="{00000000-0005-0000-0000-0000AD570000}"/>
    <cellStyle name="Énfasis 2" xfId="22471" xr:uid="{00000000-0005-0000-0000-0000AE570000}"/>
    <cellStyle name="Énfasis 2 2" xfId="22472" xr:uid="{00000000-0005-0000-0000-0000AF570000}"/>
    <cellStyle name="Énfasis 3" xfId="22473" xr:uid="{00000000-0005-0000-0000-0000B0570000}"/>
    <cellStyle name="Énfasis 3 2" xfId="22474" xr:uid="{00000000-0005-0000-0000-0000B1570000}"/>
    <cellStyle name="Énfasis1" xfId="36" builtinId="29" customBuiltin="1"/>
    <cellStyle name="Énfasis1 - 20%" xfId="22475" xr:uid="{00000000-0005-0000-0000-0000B3570000}"/>
    <cellStyle name="Énfasis1 - 20% 2" xfId="22476" xr:uid="{00000000-0005-0000-0000-0000B4570000}"/>
    <cellStyle name="Énfasis1 - 40%" xfId="22477" xr:uid="{00000000-0005-0000-0000-0000B5570000}"/>
    <cellStyle name="Énfasis1 - 60%" xfId="22478" xr:uid="{00000000-0005-0000-0000-0000B6570000}"/>
    <cellStyle name="Énfasis1 - 60% 2" xfId="22479" xr:uid="{00000000-0005-0000-0000-0000B7570000}"/>
    <cellStyle name="Énfasis1 10" xfId="22480" xr:uid="{00000000-0005-0000-0000-0000B8570000}"/>
    <cellStyle name="Énfasis1 11" xfId="22481" xr:uid="{00000000-0005-0000-0000-0000B9570000}"/>
    <cellStyle name="Énfasis1 12" xfId="22482" xr:uid="{00000000-0005-0000-0000-0000BA570000}"/>
    <cellStyle name="Énfasis1 13" xfId="22483" xr:uid="{00000000-0005-0000-0000-0000BB570000}"/>
    <cellStyle name="Énfasis1 14" xfId="22484" xr:uid="{00000000-0005-0000-0000-0000BC570000}"/>
    <cellStyle name="Énfasis1 15" xfId="22485" xr:uid="{00000000-0005-0000-0000-0000BD570000}"/>
    <cellStyle name="Énfasis1 16" xfId="22486" xr:uid="{00000000-0005-0000-0000-0000BE570000}"/>
    <cellStyle name="Énfasis1 17" xfId="22487" xr:uid="{00000000-0005-0000-0000-0000BF570000}"/>
    <cellStyle name="Énfasis1 18" xfId="22488" xr:uid="{00000000-0005-0000-0000-0000C0570000}"/>
    <cellStyle name="Énfasis1 19" xfId="22489" xr:uid="{00000000-0005-0000-0000-0000C1570000}"/>
    <cellStyle name="Énfasis1 2" xfId="22490" xr:uid="{00000000-0005-0000-0000-0000C2570000}"/>
    <cellStyle name="Énfasis1 2 10" xfId="22491" xr:uid="{00000000-0005-0000-0000-0000C3570000}"/>
    <cellStyle name="Énfasis1 2 11" xfId="22492" xr:uid="{00000000-0005-0000-0000-0000C4570000}"/>
    <cellStyle name="Énfasis1 2 12" xfId="22493" xr:uid="{00000000-0005-0000-0000-0000C5570000}"/>
    <cellStyle name="Énfasis1 2 13" xfId="22494" xr:uid="{00000000-0005-0000-0000-0000C6570000}"/>
    <cellStyle name="Énfasis1 2 14" xfId="22495" xr:uid="{00000000-0005-0000-0000-0000C7570000}"/>
    <cellStyle name="Énfasis1 2 15" xfId="22496" xr:uid="{00000000-0005-0000-0000-0000C8570000}"/>
    <cellStyle name="Énfasis1 2 16" xfId="22497" xr:uid="{00000000-0005-0000-0000-0000C9570000}"/>
    <cellStyle name="Énfasis1 2 17" xfId="22498" xr:uid="{00000000-0005-0000-0000-0000CA570000}"/>
    <cellStyle name="Énfasis1 2 18" xfId="22499" xr:uid="{00000000-0005-0000-0000-0000CB570000}"/>
    <cellStyle name="Énfasis1 2 19" xfId="22500" xr:uid="{00000000-0005-0000-0000-0000CC570000}"/>
    <cellStyle name="Énfasis1 2 2" xfId="22501" xr:uid="{00000000-0005-0000-0000-0000CD570000}"/>
    <cellStyle name="Énfasis1 2 20" xfId="22502" xr:uid="{00000000-0005-0000-0000-0000CE570000}"/>
    <cellStyle name="Énfasis1 2 21" xfId="22503" xr:uid="{00000000-0005-0000-0000-0000CF570000}"/>
    <cellStyle name="Énfasis1 2 22" xfId="22504" xr:uid="{00000000-0005-0000-0000-0000D0570000}"/>
    <cellStyle name="Énfasis1 2 23" xfId="22505" xr:uid="{00000000-0005-0000-0000-0000D1570000}"/>
    <cellStyle name="Énfasis1 2 24" xfId="22506" xr:uid="{00000000-0005-0000-0000-0000D2570000}"/>
    <cellStyle name="Énfasis1 2 25" xfId="22507" xr:uid="{00000000-0005-0000-0000-0000D3570000}"/>
    <cellStyle name="Énfasis1 2 26" xfId="22508" xr:uid="{00000000-0005-0000-0000-0000D4570000}"/>
    <cellStyle name="Énfasis1 2 27" xfId="22509" xr:uid="{00000000-0005-0000-0000-0000D5570000}"/>
    <cellStyle name="Énfasis1 2 28" xfId="22510" xr:uid="{00000000-0005-0000-0000-0000D6570000}"/>
    <cellStyle name="Énfasis1 2 29" xfId="22511" xr:uid="{00000000-0005-0000-0000-0000D7570000}"/>
    <cellStyle name="Énfasis1 2 3" xfId="22512" xr:uid="{00000000-0005-0000-0000-0000D8570000}"/>
    <cellStyle name="Énfasis1 2 30" xfId="22513" xr:uid="{00000000-0005-0000-0000-0000D9570000}"/>
    <cellStyle name="Énfasis1 2 31" xfId="22514" xr:uid="{00000000-0005-0000-0000-0000DA570000}"/>
    <cellStyle name="Énfasis1 2 32" xfId="22515" xr:uid="{00000000-0005-0000-0000-0000DB570000}"/>
    <cellStyle name="Énfasis1 2 33" xfId="22516" xr:uid="{00000000-0005-0000-0000-0000DC570000}"/>
    <cellStyle name="Énfasis1 2 34" xfId="22517" xr:uid="{00000000-0005-0000-0000-0000DD570000}"/>
    <cellStyle name="Énfasis1 2 35" xfId="22518" xr:uid="{00000000-0005-0000-0000-0000DE570000}"/>
    <cellStyle name="Énfasis1 2 36" xfId="22519" xr:uid="{00000000-0005-0000-0000-0000DF570000}"/>
    <cellStyle name="Énfasis1 2 37" xfId="22520" xr:uid="{00000000-0005-0000-0000-0000E0570000}"/>
    <cellStyle name="Énfasis1 2 38" xfId="22521" xr:uid="{00000000-0005-0000-0000-0000E1570000}"/>
    <cellStyle name="Énfasis1 2 4" xfId="22522" xr:uid="{00000000-0005-0000-0000-0000E2570000}"/>
    <cellStyle name="Énfasis1 2 5" xfId="22523" xr:uid="{00000000-0005-0000-0000-0000E3570000}"/>
    <cellStyle name="Énfasis1 2 6" xfId="22524" xr:uid="{00000000-0005-0000-0000-0000E4570000}"/>
    <cellStyle name="Énfasis1 2 7" xfId="22525" xr:uid="{00000000-0005-0000-0000-0000E5570000}"/>
    <cellStyle name="Énfasis1 2 8" xfId="22526" xr:uid="{00000000-0005-0000-0000-0000E6570000}"/>
    <cellStyle name="Énfasis1 2 9" xfId="22527" xr:uid="{00000000-0005-0000-0000-0000E7570000}"/>
    <cellStyle name="Énfasis1 20" xfId="22528" xr:uid="{00000000-0005-0000-0000-0000E8570000}"/>
    <cellStyle name="Énfasis1 21" xfId="22529" xr:uid="{00000000-0005-0000-0000-0000E9570000}"/>
    <cellStyle name="Énfasis1 22" xfId="22530" xr:uid="{00000000-0005-0000-0000-0000EA570000}"/>
    <cellStyle name="Énfasis1 23" xfId="22531" xr:uid="{00000000-0005-0000-0000-0000EB570000}"/>
    <cellStyle name="Énfasis1 24" xfId="22532" xr:uid="{00000000-0005-0000-0000-0000EC570000}"/>
    <cellStyle name="Énfasis1 3" xfId="22533" xr:uid="{00000000-0005-0000-0000-0000ED570000}"/>
    <cellStyle name="Énfasis1 3 10" xfId="22534" xr:uid="{00000000-0005-0000-0000-0000EE570000}"/>
    <cellStyle name="Énfasis1 3 11" xfId="22535" xr:uid="{00000000-0005-0000-0000-0000EF570000}"/>
    <cellStyle name="Énfasis1 3 12" xfId="22536" xr:uid="{00000000-0005-0000-0000-0000F0570000}"/>
    <cellStyle name="Énfasis1 3 13" xfId="22537" xr:uid="{00000000-0005-0000-0000-0000F1570000}"/>
    <cellStyle name="Énfasis1 3 14" xfId="22538" xr:uid="{00000000-0005-0000-0000-0000F2570000}"/>
    <cellStyle name="Énfasis1 3 15" xfId="22539" xr:uid="{00000000-0005-0000-0000-0000F3570000}"/>
    <cellStyle name="Énfasis1 3 16" xfId="22540" xr:uid="{00000000-0005-0000-0000-0000F4570000}"/>
    <cellStyle name="Énfasis1 3 17" xfId="22541" xr:uid="{00000000-0005-0000-0000-0000F5570000}"/>
    <cellStyle name="Énfasis1 3 18" xfId="22542" xr:uid="{00000000-0005-0000-0000-0000F6570000}"/>
    <cellStyle name="Énfasis1 3 19" xfId="22543" xr:uid="{00000000-0005-0000-0000-0000F7570000}"/>
    <cellStyle name="Énfasis1 3 2" xfId="22544" xr:uid="{00000000-0005-0000-0000-0000F8570000}"/>
    <cellStyle name="Énfasis1 3 20" xfId="22545" xr:uid="{00000000-0005-0000-0000-0000F9570000}"/>
    <cellStyle name="Énfasis1 3 21" xfId="22546" xr:uid="{00000000-0005-0000-0000-0000FA570000}"/>
    <cellStyle name="Énfasis1 3 22" xfId="22547" xr:uid="{00000000-0005-0000-0000-0000FB570000}"/>
    <cellStyle name="Énfasis1 3 23" xfId="22548" xr:uid="{00000000-0005-0000-0000-0000FC570000}"/>
    <cellStyle name="Énfasis1 3 24" xfId="22549" xr:uid="{00000000-0005-0000-0000-0000FD570000}"/>
    <cellStyle name="Énfasis1 3 25" xfId="22550" xr:uid="{00000000-0005-0000-0000-0000FE570000}"/>
    <cellStyle name="Énfasis1 3 26" xfId="22551" xr:uid="{00000000-0005-0000-0000-0000FF570000}"/>
    <cellStyle name="Énfasis1 3 27" xfId="22552" xr:uid="{00000000-0005-0000-0000-000000580000}"/>
    <cellStyle name="Énfasis1 3 28" xfId="22553" xr:uid="{00000000-0005-0000-0000-000001580000}"/>
    <cellStyle name="Énfasis1 3 29" xfId="22554" xr:uid="{00000000-0005-0000-0000-000002580000}"/>
    <cellStyle name="Énfasis1 3 3" xfId="22555" xr:uid="{00000000-0005-0000-0000-000003580000}"/>
    <cellStyle name="Énfasis1 3 30" xfId="22556" xr:uid="{00000000-0005-0000-0000-000004580000}"/>
    <cellStyle name="Énfasis1 3 31" xfId="22557" xr:uid="{00000000-0005-0000-0000-000005580000}"/>
    <cellStyle name="Énfasis1 3 32" xfId="22558" xr:uid="{00000000-0005-0000-0000-000006580000}"/>
    <cellStyle name="Énfasis1 3 33" xfId="22559" xr:uid="{00000000-0005-0000-0000-000007580000}"/>
    <cellStyle name="Énfasis1 3 34" xfId="22560" xr:uid="{00000000-0005-0000-0000-000008580000}"/>
    <cellStyle name="Énfasis1 3 4" xfId="22561" xr:uid="{00000000-0005-0000-0000-000009580000}"/>
    <cellStyle name="Énfasis1 3 5" xfId="22562" xr:uid="{00000000-0005-0000-0000-00000A580000}"/>
    <cellStyle name="Énfasis1 3 6" xfId="22563" xr:uid="{00000000-0005-0000-0000-00000B580000}"/>
    <cellStyle name="Énfasis1 3 7" xfId="22564" xr:uid="{00000000-0005-0000-0000-00000C580000}"/>
    <cellStyle name="Énfasis1 3 8" xfId="22565" xr:uid="{00000000-0005-0000-0000-00000D580000}"/>
    <cellStyle name="Énfasis1 3 9" xfId="22566" xr:uid="{00000000-0005-0000-0000-00000E580000}"/>
    <cellStyle name="Énfasis1 4" xfId="22567" xr:uid="{00000000-0005-0000-0000-00000F580000}"/>
    <cellStyle name="Énfasis1 4 2" xfId="22568" xr:uid="{00000000-0005-0000-0000-000010580000}"/>
    <cellStyle name="Énfasis1 4 3" xfId="22569" xr:uid="{00000000-0005-0000-0000-000011580000}"/>
    <cellStyle name="Énfasis1 4 4" xfId="22570" xr:uid="{00000000-0005-0000-0000-000012580000}"/>
    <cellStyle name="Énfasis1 5" xfId="22571" xr:uid="{00000000-0005-0000-0000-000013580000}"/>
    <cellStyle name="Énfasis1 5 2" xfId="22572" xr:uid="{00000000-0005-0000-0000-000014580000}"/>
    <cellStyle name="Énfasis1 5 3" xfId="22573" xr:uid="{00000000-0005-0000-0000-000015580000}"/>
    <cellStyle name="Énfasis1 5 4" xfId="22574" xr:uid="{00000000-0005-0000-0000-000016580000}"/>
    <cellStyle name="Énfasis1 6" xfId="22575" xr:uid="{00000000-0005-0000-0000-000017580000}"/>
    <cellStyle name="Énfasis1 6 2" xfId="22576" xr:uid="{00000000-0005-0000-0000-000018580000}"/>
    <cellStyle name="Énfasis1 7" xfId="22577" xr:uid="{00000000-0005-0000-0000-000019580000}"/>
    <cellStyle name="Énfasis1 7 2" xfId="22578" xr:uid="{00000000-0005-0000-0000-00001A580000}"/>
    <cellStyle name="Énfasis1 8" xfId="22579" xr:uid="{00000000-0005-0000-0000-00001B580000}"/>
    <cellStyle name="Énfasis1 9" xfId="22580" xr:uid="{00000000-0005-0000-0000-00001C580000}"/>
    <cellStyle name="Énfasis2" xfId="37" builtinId="33" customBuiltin="1"/>
    <cellStyle name="Énfasis2 - 20%" xfId="22581" xr:uid="{00000000-0005-0000-0000-00001E580000}"/>
    <cellStyle name="Énfasis2 - 20% 2" xfId="22582" xr:uid="{00000000-0005-0000-0000-00001F580000}"/>
    <cellStyle name="Énfasis2 - 40%" xfId="22583" xr:uid="{00000000-0005-0000-0000-000020580000}"/>
    <cellStyle name="Énfasis2 - 40% 2" xfId="22584" xr:uid="{00000000-0005-0000-0000-000021580000}"/>
    <cellStyle name="Énfasis2 - 60%" xfId="22585" xr:uid="{00000000-0005-0000-0000-000022580000}"/>
    <cellStyle name="Énfasis2 - 60% 2" xfId="22586" xr:uid="{00000000-0005-0000-0000-000023580000}"/>
    <cellStyle name="Énfasis2 10" xfId="22587" xr:uid="{00000000-0005-0000-0000-000024580000}"/>
    <cellStyle name="Énfasis2 11" xfId="22588" xr:uid="{00000000-0005-0000-0000-000025580000}"/>
    <cellStyle name="Énfasis2 12" xfId="22589" xr:uid="{00000000-0005-0000-0000-000026580000}"/>
    <cellStyle name="Énfasis2 13" xfId="22590" xr:uid="{00000000-0005-0000-0000-000027580000}"/>
    <cellStyle name="Énfasis2 14" xfId="22591" xr:uid="{00000000-0005-0000-0000-000028580000}"/>
    <cellStyle name="Énfasis2 15" xfId="22592" xr:uid="{00000000-0005-0000-0000-000029580000}"/>
    <cellStyle name="Énfasis2 16" xfId="22593" xr:uid="{00000000-0005-0000-0000-00002A580000}"/>
    <cellStyle name="Énfasis2 17" xfId="22594" xr:uid="{00000000-0005-0000-0000-00002B580000}"/>
    <cellStyle name="Énfasis2 18" xfId="22595" xr:uid="{00000000-0005-0000-0000-00002C580000}"/>
    <cellStyle name="Énfasis2 19" xfId="22596" xr:uid="{00000000-0005-0000-0000-00002D580000}"/>
    <cellStyle name="Énfasis2 2" xfId="22597" xr:uid="{00000000-0005-0000-0000-00002E580000}"/>
    <cellStyle name="Énfasis2 2 10" xfId="22598" xr:uid="{00000000-0005-0000-0000-00002F580000}"/>
    <cellStyle name="Énfasis2 2 11" xfId="22599" xr:uid="{00000000-0005-0000-0000-000030580000}"/>
    <cellStyle name="Énfasis2 2 12" xfId="22600" xr:uid="{00000000-0005-0000-0000-000031580000}"/>
    <cellStyle name="Énfasis2 2 13" xfId="22601" xr:uid="{00000000-0005-0000-0000-000032580000}"/>
    <cellStyle name="Énfasis2 2 14" xfId="22602" xr:uid="{00000000-0005-0000-0000-000033580000}"/>
    <cellStyle name="Énfasis2 2 15" xfId="22603" xr:uid="{00000000-0005-0000-0000-000034580000}"/>
    <cellStyle name="Énfasis2 2 16" xfId="22604" xr:uid="{00000000-0005-0000-0000-000035580000}"/>
    <cellStyle name="Énfasis2 2 17" xfId="22605" xr:uid="{00000000-0005-0000-0000-000036580000}"/>
    <cellStyle name="Énfasis2 2 18" xfId="22606" xr:uid="{00000000-0005-0000-0000-000037580000}"/>
    <cellStyle name="Énfasis2 2 19" xfId="22607" xr:uid="{00000000-0005-0000-0000-000038580000}"/>
    <cellStyle name="Énfasis2 2 2" xfId="22608" xr:uid="{00000000-0005-0000-0000-000039580000}"/>
    <cellStyle name="Énfasis2 2 20" xfId="22609" xr:uid="{00000000-0005-0000-0000-00003A580000}"/>
    <cellStyle name="Énfasis2 2 21" xfId="22610" xr:uid="{00000000-0005-0000-0000-00003B580000}"/>
    <cellStyle name="Énfasis2 2 22" xfId="22611" xr:uid="{00000000-0005-0000-0000-00003C580000}"/>
    <cellStyle name="Énfasis2 2 23" xfId="22612" xr:uid="{00000000-0005-0000-0000-00003D580000}"/>
    <cellStyle name="Énfasis2 2 24" xfId="22613" xr:uid="{00000000-0005-0000-0000-00003E580000}"/>
    <cellStyle name="Énfasis2 2 25" xfId="22614" xr:uid="{00000000-0005-0000-0000-00003F580000}"/>
    <cellStyle name="Énfasis2 2 26" xfId="22615" xr:uid="{00000000-0005-0000-0000-000040580000}"/>
    <cellStyle name="Énfasis2 2 27" xfId="22616" xr:uid="{00000000-0005-0000-0000-000041580000}"/>
    <cellStyle name="Énfasis2 2 28" xfId="22617" xr:uid="{00000000-0005-0000-0000-000042580000}"/>
    <cellStyle name="Énfasis2 2 29" xfId="22618" xr:uid="{00000000-0005-0000-0000-000043580000}"/>
    <cellStyle name="Énfasis2 2 3" xfId="22619" xr:uid="{00000000-0005-0000-0000-000044580000}"/>
    <cellStyle name="Énfasis2 2 30" xfId="22620" xr:uid="{00000000-0005-0000-0000-000045580000}"/>
    <cellStyle name="Énfasis2 2 31" xfId="22621" xr:uid="{00000000-0005-0000-0000-000046580000}"/>
    <cellStyle name="Énfasis2 2 32" xfId="22622" xr:uid="{00000000-0005-0000-0000-000047580000}"/>
    <cellStyle name="Énfasis2 2 33" xfId="22623" xr:uid="{00000000-0005-0000-0000-000048580000}"/>
    <cellStyle name="Énfasis2 2 34" xfId="22624" xr:uid="{00000000-0005-0000-0000-000049580000}"/>
    <cellStyle name="Énfasis2 2 35" xfId="22625" xr:uid="{00000000-0005-0000-0000-00004A580000}"/>
    <cellStyle name="Énfasis2 2 36" xfId="22626" xr:uid="{00000000-0005-0000-0000-00004B580000}"/>
    <cellStyle name="Énfasis2 2 37" xfId="22627" xr:uid="{00000000-0005-0000-0000-00004C580000}"/>
    <cellStyle name="Énfasis2 2 38" xfId="22628" xr:uid="{00000000-0005-0000-0000-00004D580000}"/>
    <cellStyle name="Énfasis2 2 4" xfId="22629" xr:uid="{00000000-0005-0000-0000-00004E580000}"/>
    <cellStyle name="Énfasis2 2 5" xfId="22630" xr:uid="{00000000-0005-0000-0000-00004F580000}"/>
    <cellStyle name="Énfasis2 2 6" xfId="22631" xr:uid="{00000000-0005-0000-0000-000050580000}"/>
    <cellStyle name="Énfasis2 2 7" xfId="22632" xr:uid="{00000000-0005-0000-0000-000051580000}"/>
    <cellStyle name="Énfasis2 2 8" xfId="22633" xr:uid="{00000000-0005-0000-0000-000052580000}"/>
    <cellStyle name="Énfasis2 2 9" xfId="22634" xr:uid="{00000000-0005-0000-0000-000053580000}"/>
    <cellStyle name="Énfasis2 20" xfId="22635" xr:uid="{00000000-0005-0000-0000-000054580000}"/>
    <cellStyle name="Énfasis2 21" xfId="22636" xr:uid="{00000000-0005-0000-0000-000055580000}"/>
    <cellStyle name="Énfasis2 22" xfId="22637" xr:uid="{00000000-0005-0000-0000-000056580000}"/>
    <cellStyle name="Énfasis2 23" xfId="22638" xr:uid="{00000000-0005-0000-0000-000057580000}"/>
    <cellStyle name="Énfasis2 24" xfId="22639" xr:uid="{00000000-0005-0000-0000-000058580000}"/>
    <cellStyle name="Énfasis2 3" xfId="22640" xr:uid="{00000000-0005-0000-0000-000059580000}"/>
    <cellStyle name="Énfasis2 3 10" xfId="22641" xr:uid="{00000000-0005-0000-0000-00005A580000}"/>
    <cellStyle name="Énfasis2 3 11" xfId="22642" xr:uid="{00000000-0005-0000-0000-00005B580000}"/>
    <cellStyle name="Énfasis2 3 12" xfId="22643" xr:uid="{00000000-0005-0000-0000-00005C580000}"/>
    <cellStyle name="Énfasis2 3 13" xfId="22644" xr:uid="{00000000-0005-0000-0000-00005D580000}"/>
    <cellStyle name="Énfasis2 3 14" xfId="22645" xr:uid="{00000000-0005-0000-0000-00005E580000}"/>
    <cellStyle name="Énfasis2 3 15" xfId="22646" xr:uid="{00000000-0005-0000-0000-00005F580000}"/>
    <cellStyle name="Énfasis2 3 16" xfId="22647" xr:uid="{00000000-0005-0000-0000-000060580000}"/>
    <cellStyle name="Énfasis2 3 17" xfId="22648" xr:uid="{00000000-0005-0000-0000-000061580000}"/>
    <cellStyle name="Énfasis2 3 18" xfId="22649" xr:uid="{00000000-0005-0000-0000-000062580000}"/>
    <cellStyle name="Énfasis2 3 19" xfId="22650" xr:uid="{00000000-0005-0000-0000-000063580000}"/>
    <cellStyle name="Énfasis2 3 2" xfId="22651" xr:uid="{00000000-0005-0000-0000-000064580000}"/>
    <cellStyle name="Énfasis2 3 20" xfId="22652" xr:uid="{00000000-0005-0000-0000-000065580000}"/>
    <cellStyle name="Énfasis2 3 21" xfId="22653" xr:uid="{00000000-0005-0000-0000-000066580000}"/>
    <cellStyle name="Énfasis2 3 22" xfId="22654" xr:uid="{00000000-0005-0000-0000-000067580000}"/>
    <cellStyle name="Énfasis2 3 23" xfId="22655" xr:uid="{00000000-0005-0000-0000-000068580000}"/>
    <cellStyle name="Énfasis2 3 24" xfId="22656" xr:uid="{00000000-0005-0000-0000-000069580000}"/>
    <cellStyle name="Énfasis2 3 25" xfId="22657" xr:uid="{00000000-0005-0000-0000-00006A580000}"/>
    <cellStyle name="Énfasis2 3 26" xfId="22658" xr:uid="{00000000-0005-0000-0000-00006B580000}"/>
    <cellStyle name="Énfasis2 3 27" xfId="22659" xr:uid="{00000000-0005-0000-0000-00006C580000}"/>
    <cellStyle name="Énfasis2 3 28" xfId="22660" xr:uid="{00000000-0005-0000-0000-00006D580000}"/>
    <cellStyle name="Énfasis2 3 29" xfId="22661" xr:uid="{00000000-0005-0000-0000-00006E580000}"/>
    <cellStyle name="Énfasis2 3 3" xfId="22662" xr:uid="{00000000-0005-0000-0000-00006F580000}"/>
    <cellStyle name="Énfasis2 3 30" xfId="22663" xr:uid="{00000000-0005-0000-0000-000070580000}"/>
    <cellStyle name="Énfasis2 3 31" xfId="22664" xr:uid="{00000000-0005-0000-0000-000071580000}"/>
    <cellStyle name="Énfasis2 3 32" xfId="22665" xr:uid="{00000000-0005-0000-0000-000072580000}"/>
    <cellStyle name="Énfasis2 3 33" xfId="22666" xr:uid="{00000000-0005-0000-0000-000073580000}"/>
    <cellStyle name="Énfasis2 3 34" xfId="22667" xr:uid="{00000000-0005-0000-0000-000074580000}"/>
    <cellStyle name="Énfasis2 3 4" xfId="22668" xr:uid="{00000000-0005-0000-0000-000075580000}"/>
    <cellStyle name="Énfasis2 3 5" xfId="22669" xr:uid="{00000000-0005-0000-0000-000076580000}"/>
    <cellStyle name="Énfasis2 3 6" xfId="22670" xr:uid="{00000000-0005-0000-0000-000077580000}"/>
    <cellStyle name="Énfasis2 3 7" xfId="22671" xr:uid="{00000000-0005-0000-0000-000078580000}"/>
    <cellStyle name="Énfasis2 3 8" xfId="22672" xr:uid="{00000000-0005-0000-0000-000079580000}"/>
    <cellStyle name="Énfasis2 3 9" xfId="22673" xr:uid="{00000000-0005-0000-0000-00007A580000}"/>
    <cellStyle name="Énfasis2 4" xfId="22674" xr:uid="{00000000-0005-0000-0000-00007B580000}"/>
    <cellStyle name="Énfasis2 4 2" xfId="22675" xr:uid="{00000000-0005-0000-0000-00007C580000}"/>
    <cellStyle name="Énfasis2 4 3" xfId="22676" xr:uid="{00000000-0005-0000-0000-00007D580000}"/>
    <cellStyle name="Énfasis2 4 4" xfId="22677" xr:uid="{00000000-0005-0000-0000-00007E580000}"/>
    <cellStyle name="Énfasis2 5" xfId="22678" xr:uid="{00000000-0005-0000-0000-00007F580000}"/>
    <cellStyle name="Énfasis2 5 2" xfId="22679" xr:uid="{00000000-0005-0000-0000-000080580000}"/>
    <cellStyle name="Énfasis2 5 3" xfId="22680" xr:uid="{00000000-0005-0000-0000-000081580000}"/>
    <cellStyle name="Énfasis2 5 4" xfId="22681" xr:uid="{00000000-0005-0000-0000-000082580000}"/>
    <cellStyle name="Énfasis2 6" xfId="22682" xr:uid="{00000000-0005-0000-0000-000083580000}"/>
    <cellStyle name="Énfasis2 6 2" xfId="22683" xr:uid="{00000000-0005-0000-0000-000084580000}"/>
    <cellStyle name="Énfasis2 7" xfId="22684" xr:uid="{00000000-0005-0000-0000-000085580000}"/>
    <cellStyle name="Énfasis2 7 2" xfId="22685" xr:uid="{00000000-0005-0000-0000-000086580000}"/>
    <cellStyle name="Énfasis2 8" xfId="22686" xr:uid="{00000000-0005-0000-0000-000087580000}"/>
    <cellStyle name="Énfasis2 9" xfId="22687" xr:uid="{00000000-0005-0000-0000-000088580000}"/>
    <cellStyle name="Énfasis3" xfId="38" builtinId="37" customBuiltin="1"/>
    <cellStyle name="Énfasis3 - 20%" xfId="22688" xr:uid="{00000000-0005-0000-0000-00008A580000}"/>
    <cellStyle name="Énfasis3 - 20% 2" xfId="22689" xr:uid="{00000000-0005-0000-0000-00008B580000}"/>
    <cellStyle name="Énfasis3 - 40%" xfId="22690" xr:uid="{00000000-0005-0000-0000-00008C580000}"/>
    <cellStyle name="Énfasis3 - 40% 2" xfId="22691" xr:uid="{00000000-0005-0000-0000-00008D580000}"/>
    <cellStyle name="Énfasis3 - 60%" xfId="22692" xr:uid="{00000000-0005-0000-0000-00008E580000}"/>
    <cellStyle name="Énfasis3 - 60% 2" xfId="22693" xr:uid="{00000000-0005-0000-0000-00008F580000}"/>
    <cellStyle name="Énfasis3 10" xfId="22694" xr:uid="{00000000-0005-0000-0000-000090580000}"/>
    <cellStyle name="Énfasis3 11" xfId="22695" xr:uid="{00000000-0005-0000-0000-000091580000}"/>
    <cellStyle name="Énfasis3 12" xfId="22696" xr:uid="{00000000-0005-0000-0000-000092580000}"/>
    <cellStyle name="Énfasis3 13" xfId="22697" xr:uid="{00000000-0005-0000-0000-000093580000}"/>
    <cellStyle name="Énfasis3 14" xfId="22698" xr:uid="{00000000-0005-0000-0000-000094580000}"/>
    <cellStyle name="Énfasis3 15" xfId="22699" xr:uid="{00000000-0005-0000-0000-000095580000}"/>
    <cellStyle name="Énfasis3 16" xfId="22700" xr:uid="{00000000-0005-0000-0000-000096580000}"/>
    <cellStyle name="Énfasis3 17" xfId="22701" xr:uid="{00000000-0005-0000-0000-000097580000}"/>
    <cellStyle name="Énfasis3 18" xfId="22702" xr:uid="{00000000-0005-0000-0000-000098580000}"/>
    <cellStyle name="Énfasis3 19" xfId="22703" xr:uid="{00000000-0005-0000-0000-000099580000}"/>
    <cellStyle name="Énfasis3 2" xfId="22704" xr:uid="{00000000-0005-0000-0000-00009A580000}"/>
    <cellStyle name="Énfasis3 2 10" xfId="22705" xr:uid="{00000000-0005-0000-0000-00009B580000}"/>
    <cellStyle name="Énfasis3 2 11" xfId="22706" xr:uid="{00000000-0005-0000-0000-00009C580000}"/>
    <cellStyle name="Énfasis3 2 12" xfId="22707" xr:uid="{00000000-0005-0000-0000-00009D580000}"/>
    <cellStyle name="Énfasis3 2 13" xfId="22708" xr:uid="{00000000-0005-0000-0000-00009E580000}"/>
    <cellStyle name="Énfasis3 2 14" xfId="22709" xr:uid="{00000000-0005-0000-0000-00009F580000}"/>
    <cellStyle name="Énfasis3 2 15" xfId="22710" xr:uid="{00000000-0005-0000-0000-0000A0580000}"/>
    <cellStyle name="Énfasis3 2 16" xfId="22711" xr:uid="{00000000-0005-0000-0000-0000A1580000}"/>
    <cellStyle name="Énfasis3 2 17" xfId="22712" xr:uid="{00000000-0005-0000-0000-0000A2580000}"/>
    <cellStyle name="Énfasis3 2 18" xfId="22713" xr:uid="{00000000-0005-0000-0000-0000A3580000}"/>
    <cellStyle name="Énfasis3 2 19" xfId="22714" xr:uid="{00000000-0005-0000-0000-0000A4580000}"/>
    <cellStyle name="Énfasis3 2 2" xfId="22715" xr:uid="{00000000-0005-0000-0000-0000A5580000}"/>
    <cellStyle name="Énfasis3 2 20" xfId="22716" xr:uid="{00000000-0005-0000-0000-0000A6580000}"/>
    <cellStyle name="Énfasis3 2 21" xfId="22717" xr:uid="{00000000-0005-0000-0000-0000A7580000}"/>
    <cellStyle name="Énfasis3 2 22" xfId="22718" xr:uid="{00000000-0005-0000-0000-0000A8580000}"/>
    <cellStyle name="Énfasis3 2 23" xfId="22719" xr:uid="{00000000-0005-0000-0000-0000A9580000}"/>
    <cellStyle name="Énfasis3 2 24" xfId="22720" xr:uid="{00000000-0005-0000-0000-0000AA580000}"/>
    <cellStyle name="Énfasis3 2 25" xfId="22721" xr:uid="{00000000-0005-0000-0000-0000AB580000}"/>
    <cellStyle name="Énfasis3 2 26" xfId="22722" xr:uid="{00000000-0005-0000-0000-0000AC580000}"/>
    <cellStyle name="Énfasis3 2 27" xfId="22723" xr:uid="{00000000-0005-0000-0000-0000AD580000}"/>
    <cellStyle name="Énfasis3 2 28" xfId="22724" xr:uid="{00000000-0005-0000-0000-0000AE580000}"/>
    <cellStyle name="Énfasis3 2 29" xfId="22725" xr:uid="{00000000-0005-0000-0000-0000AF580000}"/>
    <cellStyle name="Énfasis3 2 3" xfId="22726" xr:uid="{00000000-0005-0000-0000-0000B0580000}"/>
    <cellStyle name="Énfasis3 2 30" xfId="22727" xr:uid="{00000000-0005-0000-0000-0000B1580000}"/>
    <cellStyle name="Énfasis3 2 31" xfId="22728" xr:uid="{00000000-0005-0000-0000-0000B2580000}"/>
    <cellStyle name="Énfasis3 2 32" xfId="22729" xr:uid="{00000000-0005-0000-0000-0000B3580000}"/>
    <cellStyle name="Énfasis3 2 33" xfId="22730" xr:uid="{00000000-0005-0000-0000-0000B4580000}"/>
    <cellStyle name="Énfasis3 2 34" xfId="22731" xr:uid="{00000000-0005-0000-0000-0000B5580000}"/>
    <cellStyle name="Énfasis3 2 35" xfId="22732" xr:uid="{00000000-0005-0000-0000-0000B6580000}"/>
    <cellStyle name="Énfasis3 2 36" xfId="22733" xr:uid="{00000000-0005-0000-0000-0000B7580000}"/>
    <cellStyle name="Énfasis3 2 37" xfId="22734" xr:uid="{00000000-0005-0000-0000-0000B8580000}"/>
    <cellStyle name="Énfasis3 2 38" xfId="22735" xr:uid="{00000000-0005-0000-0000-0000B9580000}"/>
    <cellStyle name="Énfasis3 2 4" xfId="22736" xr:uid="{00000000-0005-0000-0000-0000BA580000}"/>
    <cellStyle name="Énfasis3 2 5" xfId="22737" xr:uid="{00000000-0005-0000-0000-0000BB580000}"/>
    <cellStyle name="Énfasis3 2 6" xfId="22738" xr:uid="{00000000-0005-0000-0000-0000BC580000}"/>
    <cellStyle name="Énfasis3 2 7" xfId="22739" xr:uid="{00000000-0005-0000-0000-0000BD580000}"/>
    <cellStyle name="Énfasis3 2 8" xfId="22740" xr:uid="{00000000-0005-0000-0000-0000BE580000}"/>
    <cellStyle name="Énfasis3 2 9" xfId="22741" xr:uid="{00000000-0005-0000-0000-0000BF580000}"/>
    <cellStyle name="Énfasis3 20" xfId="22742" xr:uid="{00000000-0005-0000-0000-0000C0580000}"/>
    <cellStyle name="Énfasis3 21" xfId="22743" xr:uid="{00000000-0005-0000-0000-0000C1580000}"/>
    <cellStyle name="Énfasis3 22" xfId="22744" xr:uid="{00000000-0005-0000-0000-0000C2580000}"/>
    <cellStyle name="Énfasis3 23" xfId="22745" xr:uid="{00000000-0005-0000-0000-0000C3580000}"/>
    <cellStyle name="Énfasis3 24" xfId="22746" xr:uid="{00000000-0005-0000-0000-0000C4580000}"/>
    <cellStyle name="Énfasis3 3" xfId="22747" xr:uid="{00000000-0005-0000-0000-0000C5580000}"/>
    <cellStyle name="Énfasis3 3 10" xfId="22748" xr:uid="{00000000-0005-0000-0000-0000C6580000}"/>
    <cellStyle name="Énfasis3 3 11" xfId="22749" xr:uid="{00000000-0005-0000-0000-0000C7580000}"/>
    <cellStyle name="Énfasis3 3 12" xfId="22750" xr:uid="{00000000-0005-0000-0000-0000C8580000}"/>
    <cellStyle name="Énfasis3 3 13" xfId="22751" xr:uid="{00000000-0005-0000-0000-0000C9580000}"/>
    <cellStyle name="Énfasis3 3 14" xfId="22752" xr:uid="{00000000-0005-0000-0000-0000CA580000}"/>
    <cellStyle name="Énfasis3 3 15" xfId="22753" xr:uid="{00000000-0005-0000-0000-0000CB580000}"/>
    <cellStyle name="Énfasis3 3 16" xfId="22754" xr:uid="{00000000-0005-0000-0000-0000CC580000}"/>
    <cellStyle name="Énfasis3 3 17" xfId="22755" xr:uid="{00000000-0005-0000-0000-0000CD580000}"/>
    <cellStyle name="Énfasis3 3 18" xfId="22756" xr:uid="{00000000-0005-0000-0000-0000CE580000}"/>
    <cellStyle name="Énfasis3 3 19" xfId="22757" xr:uid="{00000000-0005-0000-0000-0000CF580000}"/>
    <cellStyle name="Énfasis3 3 2" xfId="22758" xr:uid="{00000000-0005-0000-0000-0000D0580000}"/>
    <cellStyle name="Énfasis3 3 20" xfId="22759" xr:uid="{00000000-0005-0000-0000-0000D1580000}"/>
    <cellStyle name="Énfasis3 3 21" xfId="22760" xr:uid="{00000000-0005-0000-0000-0000D2580000}"/>
    <cellStyle name="Énfasis3 3 22" xfId="22761" xr:uid="{00000000-0005-0000-0000-0000D3580000}"/>
    <cellStyle name="Énfasis3 3 23" xfId="22762" xr:uid="{00000000-0005-0000-0000-0000D4580000}"/>
    <cellStyle name="Énfasis3 3 24" xfId="22763" xr:uid="{00000000-0005-0000-0000-0000D5580000}"/>
    <cellStyle name="Énfasis3 3 25" xfId="22764" xr:uid="{00000000-0005-0000-0000-0000D6580000}"/>
    <cellStyle name="Énfasis3 3 26" xfId="22765" xr:uid="{00000000-0005-0000-0000-0000D7580000}"/>
    <cellStyle name="Énfasis3 3 27" xfId="22766" xr:uid="{00000000-0005-0000-0000-0000D8580000}"/>
    <cellStyle name="Énfasis3 3 28" xfId="22767" xr:uid="{00000000-0005-0000-0000-0000D9580000}"/>
    <cellStyle name="Énfasis3 3 29" xfId="22768" xr:uid="{00000000-0005-0000-0000-0000DA580000}"/>
    <cellStyle name="Énfasis3 3 3" xfId="22769" xr:uid="{00000000-0005-0000-0000-0000DB580000}"/>
    <cellStyle name="Énfasis3 3 30" xfId="22770" xr:uid="{00000000-0005-0000-0000-0000DC580000}"/>
    <cellStyle name="Énfasis3 3 31" xfId="22771" xr:uid="{00000000-0005-0000-0000-0000DD580000}"/>
    <cellStyle name="Énfasis3 3 32" xfId="22772" xr:uid="{00000000-0005-0000-0000-0000DE580000}"/>
    <cellStyle name="Énfasis3 3 33" xfId="22773" xr:uid="{00000000-0005-0000-0000-0000DF580000}"/>
    <cellStyle name="Énfasis3 3 34" xfId="22774" xr:uid="{00000000-0005-0000-0000-0000E0580000}"/>
    <cellStyle name="Énfasis3 3 4" xfId="22775" xr:uid="{00000000-0005-0000-0000-0000E1580000}"/>
    <cellStyle name="Énfasis3 3 5" xfId="22776" xr:uid="{00000000-0005-0000-0000-0000E2580000}"/>
    <cellStyle name="Énfasis3 3 6" xfId="22777" xr:uid="{00000000-0005-0000-0000-0000E3580000}"/>
    <cellStyle name="Énfasis3 3 7" xfId="22778" xr:uid="{00000000-0005-0000-0000-0000E4580000}"/>
    <cellStyle name="Énfasis3 3 8" xfId="22779" xr:uid="{00000000-0005-0000-0000-0000E5580000}"/>
    <cellStyle name="Énfasis3 3 9" xfId="22780" xr:uid="{00000000-0005-0000-0000-0000E6580000}"/>
    <cellStyle name="Énfasis3 4" xfId="22781" xr:uid="{00000000-0005-0000-0000-0000E7580000}"/>
    <cellStyle name="Énfasis3 4 2" xfId="22782" xr:uid="{00000000-0005-0000-0000-0000E8580000}"/>
    <cellStyle name="Énfasis3 4 3" xfId="22783" xr:uid="{00000000-0005-0000-0000-0000E9580000}"/>
    <cellStyle name="Énfasis3 4 4" xfId="22784" xr:uid="{00000000-0005-0000-0000-0000EA580000}"/>
    <cellStyle name="Énfasis3 5" xfId="22785" xr:uid="{00000000-0005-0000-0000-0000EB580000}"/>
    <cellStyle name="Énfasis3 5 2" xfId="22786" xr:uid="{00000000-0005-0000-0000-0000EC580000}"/>
    <cellStyle name="Énfasis3 5 3" xfId="22787" xr:uid="{00000000-0005-0000-0000-0000ED580000}"/>
    <cellStyle name="Énfasis3 5 4" xfId="22788" xr:uid="{00000000-0005-0000-0000-0000EE580000}"/>
    <cellStyle name="Énfasis3 6" xfId="22789" xr:uid="{00000000-0005-0000-0000-0000EF580000}"/>
    <cellStyle name="Énfasis3 6 2" xfId="22790" xr:uid="{00000000-0005-0000-0000-0000F0580000}"/>
    <cellStyle name="Énfasis3 7" xfId="22791" xr:uid="{00000000-0005-0000-0000-0000F1580000}"/>
    <cellStyle name="Énfasis3 7 2" xfId="22792" xr:uid="{00000000-0005-0000-0000-0000F2580000}"/>
    <cellStyle name="Énfasis3 8" xfId="22793" xr:uid="{00000000-0005-0000-0000-0000F3580000}"/>
    <cellStyle name="Énfasis3 9" xfId="22794" xr:uid="{00000000-0005-0000-0000-0000F4580000}"/>
    <cellStyle name="Énfasis4" xfId="39" builtinId="41" customBuiltin="1"/>
    <cellStyle name="Énfasis4 - 20%" xfId="22795" xr:uid="{00000000-0005-0000-0000-0000F6580000}"/>
    <cellStyle name="Énfasis4 - 20% 2" xfId="22796" xr:uid="{00000000-0005-0000-0000-0000F7580000}"/>
    <cellStyle name="Énfasis4 - 40%" xfId="22797" xr:uid="{00000000-0005-0000-0000-0000F8580000}"/>
    <cellStyle name="Énfasis4 - 40% 2" xfId="22798" xr:uid="{00000000-0005-0000-0000-0000F9580000}"/>
    <cellStyle name="Énfasis4 - 60%" xfId="22799" xr:uid="{00000000-0005-0000-0000-0000FA580000}"/>
    <cellStyle name="Énfasis4 - 60% 2" xfId="22800" xr:uid="{00000000-0005-0000-0000-0000FB580000}"/>
    <cellStyle name="Énfasis4 10" xfId="22801" xr:uid="{00000000-0005-0000-0000-0000FC580000}"/>
    <cellStyle name="Énfasis4 11" xfId="22802" xr:uid="{00000000-0005-0000-0000-0000FD580000}"/>
    <cellStyle name="Énfasis4 12" xfId="22803" xr:uid="{00000000-0005-0000-0000-0000FE580000}"/>
    <cellStyle name="Énfasis4 13" xfId="22804" xr:uid="{00000000-0005-0000-0000-0000FF580000}"/>
    <cellStyle name="Énfasis4 14" xfId="22805" xr:uid="{00000000-0005-0000-0000-000000590000}"/>
    <cellStyle name="Énfasis4 15" xfId="22806" xr:uid="{00000000-0005-0000-0000-000001590000}"/>
    <cellStyle name="Énfasis4 16" xfId="22807" xr:uid="{00000000-0005-0000-0000-000002590000}"/>
    <cellStyle name="Énfasis4 17" xfId="22808" xr:uid="{00000000-0005-0000-0000-000003590000}"/>
    <cellStyle name="Énfasis4 18" xfId="22809" xr:uid="{00000000-0005-0000-0000-000004590000}"/>
    <cellStyle name="Énfasis4 19" xfId="22810" xr:uid="{00000000-0005-0000-0000-000005590000}"/>
    <cellStyle name="Énfasis4 2" xfId="22811" xr:uid="{00000000-0005-0000-0000-000006590000}"/>
    <cellStyle name="Énfasis4 2 10" xfId="22812" xr:uid="{00000000-0005-0000-0000-000007590000}"/>
    <cellStyle name="Énfasis4 2 11" xfId="22813" xr:uid="{00000000-0005-0000-0000-000008590000}"/>
    <cellStyle name="Énfasis4 2 12" xfId="22814" xr:uid="{00000000-0005-0000-0000-000009590000}"/>
    <cellStyle name="Énfasis4 2 13" xfId="22815" xr:uid="{00000000-0005-0000-0000-00000A590000}"/>
    <cellStyle name="Énfasis4 2 14" xfId="22816" xr:uid="{00000000-0005-0000-0000-00000B590000}"/>
    <cellStyle name="Énfasis4 2 15" xfId="22817" xr:uid="{00000000-0005-0000-0000-00000C590000}"/>
    <cellStyle name="Énfasis4 2 16" xfId="22818" xr:uid="{00000000-0005-0000-0000-00000D590000}"/>
    <cellStyle name="Énfasis4 2 17" xfId="22819" xr:uid="{00000000-0005-0000-0000-00000E590000}"/>
    <cellStyle name="Énfasis4 2 18" xfId="22820" xr:uid="{00000000-0005-0000-0000-00000F590000}"/>
    <cellStyle name="Énfasis4 2 19" xfId="22821" xr:uid="{00000000-0005-0000-0000-000010590000}"/>
    <cellStyle name="Énfasis4 2 2" xfId="22822" xr:uid="{00000000-0005-0000-0000-000011590000}"/>
    <cellStyle name="Énfasis4 2 20" xfId="22823" xr:uid="{00000000-0005-0000-0000-000012590000}"/>
    <cellStyle name="Énfasis4 2 21" xfId="22824" xr:uid="{00000000-0005-0000-0000-000013590000}"/>
    <cellStyle name="Énfasis4 2 22" xfId="22825" xr:uid="{00000000-0005-0000-0000-000014590000}"/>
    <cellStyle name="Énfasis4 2 23" xfId="22826" xr:uid="{00000000-0005-0000-0000-000015590000}"/>
    <cellStyle name="Énfasis4 2 24" xfId="22827" xr:uid="{00000000-0005-0000-0000-000016590000}"/>
    <cellStyle name="Énfasis4 2 25" xfId="22828" xr:uid="{00000000-0005-0000-0000-000017590000}"/>
    <cellStyle name="Énfasis4 2 26" xfId="22829" xr:uid="{00000000-0005-0000-0000-000018590000}"/>
    <cellStyle name="Énfasis4 2 27" xfId="22830" xr:uid="{00000000-0005-0000-0000-000019590000}"/>
    <cellStyle name="Énfasis4 2 28" xfId="22831" xr:uid="{00000000-0005-0000-0000-00001A590000}"/>
    <cellStyle name="Énfasis4 2 29" xfId="22832" xr:uid="{00000000-0005-0000-0000-00001B590000}"/>
    <cellStyle name="Énfasis4 2 3" xfId="22833" xr:uid="{00000000-0005-0000-0000-00001C590000}"/>
    <cellStyle name="Énfasis4 2 30" xfId="22834" xr:uid="{00000000-0005-0000-0000-00001D590000}"/>
    <cellStyle name="Énfasis4 2 31" xfId="22835" xr:uid="{00000000-0005-0000-0000-00001E590000}"/>
    <cellStyle name="Énfasis4 2 32" xfId="22836" xr:uid="{00000000-0005-0000-0000-00001F590000}"/>
    <cellStyle name="Énfasis4 2 33" xfId="22837" xr:uid="{00000000-0005-0000-0000-000020590000}"/>
    <cellStyle name="Énfasis4 2 34" xfId="22838" xr:uid="{00000000-0005-0000-0000-000021590000}"/>
    <cellStyle name="Énfasis4 2 35" xfId="22839" xr:uid="{00000000-0005-0000-0000-000022590000}"/>
    <cellStyle name="Énfasis4 2 36" xfId="22840" xr:uid="{00000000-0005-0000-0000-000023590000}"/>
    <cellStyle name="Énfasis4 2 37" xfId="22841" xr:uid="{00000000-0005-0000-0000-000024590000}"/>
    <cellStyle name="Énfasis4 2 38" xfId="22842" xr:uid="{00000000-0005-0000-0000-000025590000}"/>
    <cellStyle name="Énfasis4 2 4" xfId="22843" xr:uid="{00000000-0005-0000-0000-000026590000}"/>
    <cellStyle name="Énfasis4 2 5" xfId="22844" xr:uid="{00000000-0005-0000-0000-000027590000}"/>
    <cellStyle name="Énfasis4 2 6" xfId="22845" xr:uid="{00000000-0005-0000-0000-000028590000}"/>
    <cellStyle name="Énfasis4 2 7" xfId="22846" xr:uid="{00000000-0005-0000-0000-000029590000}"/>
    <cellStyle name="Énfasis4 2 8" xfId="22847" xr:uid="{00000000-0005-0000-0000-00002A590000}"/>
    <cellStyle name="Énfasis4 2 9" xfId="22848" xr:uid="{00000000-0005-0000-0000-00002B590000}"/>
    <cellStyle name="Énfasis4 20" xfId="22849" xr:uid="{00000000-0005-0000-0000-00002C590000}"/>
    <cellStyle name="Énfasis4 21" xfId="22850" xr:uid="{00000000-0005-0000-0000-00002D590000}"/>
    <cellStyle name="Énfasis4 22" xfId="22851" xr:uid="{00000000-0005-0000-0000-00002E590000}"/>
    <cellStyle name="Énfasis4 23" xfId="22852" xr:uid="{00000000-0005-0000-0000-00002F590000}"/>
    <cellStyle name="Énfasis4 24" xfId="22853" xr:uid="{00000000-0005-0000-0000-000030590000}"/>
    <cellStyle name="Énfasis4 3" xfId="22854" xr:uid="{00000000-0005-0000-0000-000031590000}"/>
    <cellStyle name="Énfasis4 3 10" xfId="22855" xr:uid="{00000000-0005-0000-0000-000032590000}"/>
    <cellStyle name="Énfasis4 3 11" xfId="22856" xr:uid="{00000000-0005-0000-0000-000033590000}"/>
    <cellStyle name="Énfasis4 3 12" xfId="22857" xr:uid="{00000000-0005-0000-0000-000034590000}"/>
    <cellStyle name="Énfasis4 3 13" xfId="22858" xr:uid="{00000000-0005-0000-0000-000035590000}"/>
    <cellStyle name="Énfasis4 3 14" xfId="22859" xr:uid="{00000000-0005-0000-0000-000036590000}"/>
    <cellStyle name="Énfasis4 3 15" xfId="22860" xr:uid="{00000000-0005-0000-0000-000037590000}"/>
    <cellStyle name="Énfasis4 3 16" xfId="22861" xr:uid="{00000000-0005-0000-0000-000038590000}"/>
    <cellStyle name="Énfasis4 3 17" xfId="22862" xr:uid="{00000000-0005-0000-0000-000039590000}"/>
    <cellStyle name="Énfasis4 3 18" xfId="22863" xr:uid="{00000000-0005-0000-0000-00003A590000}"/>
    <cellStyle name="Énfasis4 3 19" xfId="22864" xr:uid="{00000000-0005-0000-0000-00003B590000}"/>
    <cellStyle name="Énfasis4 3 2" xfId="22865" xr:uid="{00000000-0005-0000-0000-00003C590000}"/>
    <cellStyle name="Énfasis4 3 20" xfId="22866" xr:uid="{00000000-0005-0000-0000-00003D590000}"/>
    <cellStyle name="Énfasis4 3 21" xfId="22867" xr:uid="{00000000-0005-0000-0000-00003E590000}"/>
    <cellStyle name="Énfasis4 3 22" xfId="22868" xr:uid="{00000000-0005-0000-0000-00003F590000}"/>
    <cellStyle name="Énfasis4 3 23" xfId="22869" xr:uid="{00000000-0005-0000-0000-000040590000}"/>
    <cellStyle name="Énfasis4 3 24" xfId="22870" xr:uid="{00000000-0005-0000-0000-000041590000}"/>
    <cellStyle name="Énfasis4 3 25" xfId="22871" xr:uid="{00000000-0005-0000-0000-000042590000}"/>
    <cellStyle name="Énfasis4 3 26" xfId="22872" xr:uid="{00000000-0005-0000-0000-000043590000}"/>
    <cellStyle name="Énfasis4 3 27" xfId="22873" xr:uid="{00000000-0005-0000-0000-000044590000}"/>
    <cellStyle name="Énfasis4 3 28" xfId="22874" xr:uid="{00000000-0005-0000-0000-000045590000}"/>
    <cellStyle name="Énfasis4 3 29" xfId="22875" xr:uid="{00000000-0005-0000-0000-000046590000}"/>
    <cellStyle name="Énfasis4 3 3" xfId="22876" xr:uid="{00000000-0005-0000-0000-000047590000}"/>
    <cellStyle name="Énfasis4 3 30" xfId="22877" xr:uid="{00000000-0005-0000-0000-000048590000}"/>
    <cellStyle name="Énfasis4 3 31" xfId="22878" xr:uid="{00000000-0005-0000-0000-000049590000}"/>
    <cellStyle name="Énfasis4 3 32" xfId="22879" xr:uid="{00000000-0005-0000-0000-00004A590000}"/>
    <cellStyle name="Énfasis4 3 33" xfId="22880" xr:uid="{00000000-0005-0000-0000-00004B590000}"/>
    <cellStyle name="Énfasis4 3 34" xfId="22881" xr:uid="{00000000-0005-0000-0000-00004C590000}"/>
    <cellStyle name="Énfasis4 3 4" xfId="22882" xr:uid="{00000000-0005-0000-0000-00004D590000}"/>
    <cellStyle name="Énfasis4 3 5" xfId="22883" xr:uid="{00000000-0005-0000-0000-00004E590000}"/>
    <cellStyle name="Énfasis4 3 6" xfId="22884" xr:uid="{00000000-0005-0000-0000-00004F590000}"/>
    <cellStyle name="Énfasis4 3 7" xfId="22885" xr:uid="{00000000-0005-0000-0000-000050590000}"/>
    <cellStyle name="Énfasis4 3 8" xfId="22886" xr:uid="{00000000-0005-0000-0000-000051590000}"/>
    <cellStyle name="Énfasis4 3 9" xfId="22887" xr:uid="{00000000-0005-0000-0000-000052590000}"/>
    <cellStyle name="Énfasis4 4" xfId="22888" xr:uid="{00000000-0005-0000-0000-000053590000}"/>
    <cellStyle name="Énfasis4 4 2" xfId="22889" xr:uid="{00000000-0005-0000-0000-000054590000}"/>
    <cellStyle name="Énfasis4 4 3" xfId="22890" xr:uid="{00000000-0005-0000-0000-000055590000}"/>
    <cellStyle name="Énfasis4 4 4" xfId="22891" xr:uid="{00000000-0005-0000-0000-000056590000}"/>
    <cellStyle name="Énfasis4 5" xfId="22892" xr:uid="{00000000-0005-0000-0000-000057590000}"/>
    <cellStyle name="Énfasis4 5 2" xfId="22893" xr:uid="{00000000-0005-0000-0000-000058590000}"/>
    <cellStyle name="Énfasis4 5 3" xfId="22894" xr:uid="{00000000-0005-0000-0000-000059590000}"/>
    <cellStyle name="Énfasis4 5 4" xfId="22895" xr:uid="{00000000-0005-0000-0000-00005A590000}"/>
    <cellStyle name="Énfasis4 6" xfId="22896" xr:uid="{00000000-0005-0000-0000-00005B590000}"/>
    <cellStyle name="Énfasis4 6 2" xfId="22897" xr:uid="{00000000-0005-0000-0000-00005C590000}"/>
    <cellStyle name="Énfasis4 7" xfId="22898" xr:uid="{00000000-0005-0000-0000-00005D590000}"/>
    <cellStyle name="Énfasis4 7 2" xfId="22899" xr:uid="{00000000-0005-0000-0000-00005E590000}"/>
    <cellStyle name="Énfasis4 8" xfId="22900" xr:uid="{00000000-0005-0000-0000-00005F590000}"/>
    <cellStyle name="Énfasis4 9" xfId="22901" xr:uid="{00000000-0005-0000-0000-000060590000}"/>
    <cellStyle name="Énfasis5" xfId="40" builtinId="45" customBuiltin="1"/>
    <cellStyle name="Énfasis5 - 20%" xfId="22902" xr:uid="{00000000-0005-0000-0000-000062590000}"/>
    <cellStyle name="Énfasis5 - 20% 2" xfId="22903" xr:uid="{00000000-0005-0000-0000-000063590000}"/>
    <cellStyle name="Énfasis5 - 40%" xfId="22904" xr:uid="{00000000-0005-0000-0000-000064590000}"/>
    <cellStyle name="Énfasis5 - 40% 2" xfId="22905" xr:uid="{00000000-0005-0000-0000-000065590000}"/>
    <cellStyle name="Énfasis5 - 60%" xfId="22906" xr:uid="{00000000-0005-0000-0000-000066590000}"/>
    <cellStyle name="Énfasis5 - 60% 2" xfId="22907" xr:uid="{00000000-0005-0000-0000-000067590000}"/>
    <cellStyle name="Énfasis5 10" xfId="22908" xr:uid="{00000000-0005-0000-0000-000068590000}"/>
    <cellStyle name="Énfasis5 11" xfId="22909" xr:uid="{00000000-0005-0000-0000-000069590000}"/>
    <cellStyle name="Énfasis5 12" xfId="22910" xr:uid="{00000000-0005-0000-0000-00006A590000}"/>
    <cellStyle name="Énfasis5 13" xfId="22911" xr:uid="{00000000-0005-0000-0000-00006B590000}"/>
    <cellStyle name="Énfasis5 14" xfId="22912" xr:uid="{00000000-0005-0000-0000-00006C590000}"/>
    <cellStyle name="Énfasis5 15" xfId="22913" xr:uid="{00000000-0005-0000-0000-00006D590000}"/>
    <cellStyle name="Énfasis5 16" xfId="22914" xr:uid="{00000000-0005-0000-0000-00006E590000}"/>
    <cellStyle name="Énfasis5 17" xfId="22915" xr:uid="{00000000-0005-0000-0000-00006F590000}"/>
    <cellStyle name="Énfasis5 18" xfId="22916" xr:uid="{00000000-0005-0000-0000-000070590000}"/>
    <cellStyle name="Énfasis5 19" xfId="22917" xr:uid="{00000000-0005-0000-0000-000071590000}"/>
    <cellStyle name="Énfasis5 2" xfId="22918" xr:uid="{00000000-0005-0000-0000-000072590000}"/>
    <cellStyle name="Énfasis5 2 10" xfId="22919" xr:uid="{00000000-0005-0000-0000-000073590000}"/>
    <cellStyle name="Énfasis5 2 11" xfId="22920" xr:uid="{00000000-0005-0000-0000-000074590000}"/>
    <cellStyle name="Énfasis5 2 12" xfId="22921" xr:uid="{00000000-0005-0000-0000-000075590000}"/>
    <cellStyle name="Énfasis5 2 13" xfId="22922" xr:uid="{00000000-0005-0000-0000-000076590000}"/>
    <cellStyle name="Énfasis5 2 14" xfId="22923" xr:uid="{00000000-0005-0000-0000-000077590000}"/>
    <cellStyle name="Énfasis5 2 15" xfId="22924" xr:uid="{00000000-0005-0000-0000-000078590000}"/>
    <cellStyle name="Énfasis5 2 16" xfId="22925" xr:uid="{00000000-0005-0000-0000-000079590000}"/>
    <cellStyle name="Énfasis5 2 17" xfId="22926" xr:uid="{00000000-0005-0000-0000-00007A590000}"/>
    <cellStyle name="Énfasis5 2 18" xfId="22927" xr:uid="{00000000-0005-0000-0000-00007B590000}"/>
    <cellStyle name="Énfasis5 2 19" xfId="22928" xr:uid="{00000000-0005-0000-0000-00007C590000}"/>
    <cellStyle name="Énfasis5 2 2" xfId="22929" xr:uid="{00000000-0005-0000-0000-00007D590000}"/>
    <cellStyle name="Énfasis5 2 20" xfId="22930" xr:uid="{00000000-0005-0000-0000-00007E590000}"/>
    <cellStyle name="Énfasis5 2 21" xfId="22931" xr:uid="{00000000-0005-0000-0000-00007F590000}"/>
    <cellStyle name="Énfasis5 2 22" xfId="22932" xr:uid="{00000000-0005-0000-0000-000080590000}"/>
    <cellStyle name="Énfasis5 2 23" xfId="22933" xr:uid="{00000000-0005-0000-0000-000081590000}"/>
    <cellStyle name="Énfasis5 2 24" xfId="22934" xr:uid="{00000000-0005-0000-0000-000082590000}"/>
    <cellStyle name="Énfasis5 2 25" xfId="22935" xr:uid="{00000000-0005-0000-0000-000083590000}"/>
    <cellStyle name="Énfasis5 2 26" xfId="22936" xr:uid="{00000000-0005-0000-0000-000084590000}"/>
    <cellStyle name="Énfasis5 2 27" xfId="22937" xr:uid="{00000000-0005-0000-0000-000085590000}"/>
    <cellStyle name="Énfasis5 2 28" xfId="22938" xr:uid="{00000000-0005-0000-0000-000086590000}"/>
    <cellStyle name="Énfasis5 2 29" xfId="22939" xr:uid="{00000000-0005-0000-0000-000087590000}"/>
    <cellStyle name="Énfasis5 2 3" xfId="22940" xr:uid="{00000000-0005-0000-0000-000088590000}"/>
    <cellStyle name="Énfasis5 2 30" xfId="22941" xr:uid="{00000000-0005-0000-0000-000089590000}"/>
    <cellStyle name="Énfasis5 2 31" xfId="22942" xr:uid="{00000000-0005-0000-0000-00008A590000}"/>
    <cellStyle name="Énfasis5 2 32" xfId="22943" xr:uid="{00000000-0005-0000-0000-00008B590000}"/>
    <cellStyle name="Énfasis5 2 33" xfId="22944" xr:uid="{00000000-0005-0000-0000-00008C590000}"/>
    <cellStyle name="Énfasis5 2 34" xfId="22945" xr:uid="{00000000-0005-0000-0000-00008D590000}"/>
    <cellStyle name="Énfasis5 2 35" xfId="22946" xr:uid="{00000000-0005-0000-0000-00008E590000}"/>
    <cellStyle name="Énfasis5 2 36" xfId="22947" xr:uid="{00000000-0005-0000-0000-00008F590000}"/>
    <cellStyle name="Énfasis5 2 37" xfId="22948" xr:uid="{00000000-0005-0000-0000-000090590000}"/>
    <cellStyle name="Énfasis5 2 38" xfId="22949" xr:uid="{00000000-0005-0000-0000-000091590000}"/>
    <cellStyle name="Énfasis5 2 4" xfId="22950" xr:uid="{00000000-0005-0000-0000-000092590000}"/>
    <cellStyle name="Énfasis5 2 5" xfId="22951" xr:uid="{00000000-0005-0000-0000-000093590000}"/>
    <cellStyle name="Énfasis5 2 6" xfId="22952" xr:uid="{00000000-0005-0000-0000-000094590000}"/>
    <cellStyle name="Énfasis5 2 7" xfId="22953" xr:uid="{00000000-0005-0000-0000-000095590000}"/>
    <cellStyle name="Énfasis5 2 8" xfId="22954" xr:uid="{00000000-0005-0000-0000-000096590000}"/>
    <cellStyle name="Énfasis5 2 9" xfId="22955" xr:uid="{00000000-0005-0000-0000-000097590000}"/>
    <cellStyle name="Énfasis5 20" xfId="22956" xr:uid="{00000000-0005-0000-0000-000098590000}"/>
    <cellStyle name="Énfasis5 21" xfId="22957" xr:uid="{00000000-0005-0000-0000-000099590000}"/>
    <cellStyle name="Énfasis5 22" xfId="22958" xr:uid="{00000000-0005-0000-0000-00009A590000}"/>
    <cellStyle name="Énfasis5 23" xfId="22959" xr:uid="{00000000-0005-0000-0000-00009B590000}"/>
    <cellStyle name="Énfasis5 24" xfId="22960" xr:uid="{00000000-0005-0000-0000-00009C590000}"/>
    <cellStyle name="Énfasis5 3" xfId="22961" xr:uid="{00000000-0005-0000-0000-00009D590000}"/>
    <cellStyle name="Énfasis5 3 10" xfId="22962" xr:uid="{00000000-0005-0000-0000-00009E590000}"/>
    <cellStyle name="Énfasis5 3 11" xfId="22963" xr:uid="{00000000-0005-0000-0000-00009F590000}"/>
    <cellStyle name="Énfasis5 3 12" xfId="22964" xr:uid="{00000000-0005-0000-0000-0000A0590000}"/>
    <cellStyle name="Énfasis5 3 13" xfId="22965" xr:uid="{00000000-0005-0000-0000-0000A1590000}"/>
    <cellStyle name="Énfasis5 3 14" xfId="22966" xr:uid="{00000000-0005-0000-0000-0000A2590000}"/>
    <cellStyle name="Énfasis5 3 15" xfId="22967" xr:uid="{00000000-0005-0000-0000-0000A3590000}"/>
    <cellStyle name="Énfasis5 3 16" xfId="22968" xr:uid="{00000000-0005-0000-0000-0000A4590000}"/>
    <cellStyle name="Énfasis5 3 17" xfId="22969" xr:uid="{00000000-0005-0000-0000-0000A5590000}"/>
    <cellStyle name="Énfasis5 3 18" xfId="22970" xr:uid="{00000000-0005-0000-0000-0000A6590000}"/>
    <cellStyle name="Énfasis5 3 19" xfId="22971" xr:uid="{00000000-0005-0000-0000-0000A7590000}"/>
    <cellStyle name="Énfasis5 3 2" xfId="22972" xr:uid="{00000000-0005-0000-0000-0000A8590000}"/>
    <cellStyle name="Énfasis5 3 20" xfId="22973" xr:uid="{00000000-0005-0000-0000-0000A9590000}"/>
    <cellStyle name="Énfasis5 3 21" xfId="22974" xr:uid="{00000000-0005-0000-0000-0000AA590000}"/>
    <cellStyle name="Énfasis5 3 22" xfId="22975" xr:uid="{00000000-0005-0000-0000-0000AB590000}"/>
    <cellStyle name="Énfasis5 3 23" xfId="22976" xr:uid="{00000000-0005-0000-0000-0000AC590000}"/>
    <cellStyle name="Énfasis5 3 24" xfId="22977" xr:uid="{00000000-0005-0000-0000-0000AD590000}"/>
    <cellStyle name="Énfasis5 3 25" xfId="22978" xr:uid="{00000000-0005-0000-0000-0000AE590000}"/>
    <cellStyle name="Énfasis5 3 26" xfId="22979" xr:uid="{00000000-0005-0000-0000-0000AF590000}"/>
    <cellStyle name="Énfasis5 3 27" xfId="22980" xr:uid="{00000000-0005-0000-0000-0000B0590000}"/>
    <cellStyle name="Énfasis5 3 28" xfId="22981" xr:uid="{00000000-0005-0000-0000-0000B1590000}"/>
    <cellStyle name="Énfasis5 3 29" xfId="22982" xr:uid="{00000000-0005-0000-0000-0000B2590000}"/>
    <cellStyle name="Énfasis5 3 3" xfId="22983" xr:uid="{00000000-0005-0000-0000-0000B3590000}"/>
    <cellStyle name="Énfasis5 3 30" xfId="22984" xr:uid="{00000000-0005-0000-0000-0000B4590000}"/>
    <cellStyle name="Énfasis5 3 31" xfId="22985" xr:uid="{00000000-0005-0000-0000-0000B5590000}"/>
    <cellStyle name="Énfasis5 3 32" xfId="22986" xr:uid="{00000000-0005-0000-0000-0000B6590000}"/>
    <cellStyle name="Énfasis5 3 33" xfId="22987" xr:uid="{00000000-0005-0000-0000-0000B7590000}"/>
    <cellStyle name="Énfasis5 3 34" xfId="22988" xr:uid="{00000000-0005-0000-0000-0000B8590000}"/>
    <cellStyle name="Énfasis5 3 4" xfId="22989" xr:uid="{00000000-0005-0000-0000-0000B9590000}"/>
    <cellStyle name="Énfasis5 3 5" xfId="22990" xr:uid="{00000000-0005-0000-0000-0000BA590000}"/>
    <cellStyle name="Énfasis5 3 6" xfId="22991" xr:uid="{00000000-0005-0000-0000-0000BB590000}"/>
    <cellStyle name="Énfasis5 3 7" xfId="22992" xr:uid="{00000000-0005-0000-0000-0000BC590000}"/>
    <cellStyle name="Énfasis5 3 8" xfId="22993" xr:uid="{00000000-0005-0000-0000-0000BD590000}"/>
    <cellStyle name="Énfasis5 3 9" xfId="22994" xr:uid="{00000000-0005-0000-0000-0000BE590000}"/>
    <cellStyle name="Énfasis5 4" xfId="22995" xr:uid="{00000000-0005-0000-0000-0000BF590000}"/>
    <cellStyle name="Énfasis5 4 2" xfId="22996" xr:uid="{00000000-0005-0000-0000-0000C0590000}"/>
    <cellStyle name="Énfasis5 4 3" xfId="22997" xr:uid="{00000000-0005-0000-0000-0000C1590000}"/>
    <cellStyle name="Énfasis5 4 4" xfId="22998" xr:uid="{00000000-0005-0000-0000-0000C2590000}"/>
    <cellStyle name="Énfasis5 5" xfId="22999" xr:uid="{00000000-0005-0000-0000-0000C3590000}"/>
    <cellStyle name="Énfasis5 5 2" xfId="23000" xr:uid="{00000000-0005-0000-0000-0000C4590000}"/>
    <cellStyle name="Énfasis5 5 3" xfId="23001" xr:uid="{00000000-0005-0000-0000-0000C5590000}"/>
    <cellStyle name="Énfasis5 5 4" xfId="23002" xr:uid="{00000000-0005-0000-0000-0000C6590000}"/>
    <cellStyle name="Énfasis5 6" xfId="23003" xr:uid="{00000000-0005-0000-0000-0000C7590000}"/>
    <cellStyle name="Énfasis5 6 2" xfId="23004" xr:uid="{00000000-0005-0000-0000-0000C8590000}"/>
    <cellStyle name="Énfasis5 7" xfId="23005" xr:uid="{00000000-0005-0000-0000-0000C9590000}"/>
    <cellStyle name="Énfasis5 7 2" xfId="23006" xr:uid="{00000000-0005-0000-0000-0000CA590000}"/>
    <cellStyle name="Énfasis5 8" xfId="23007" xr:uid="{00000000-0005-0000-0000-0000CB590000}"/>
    <cellStyle name="Énfasis5 9" xfId="23008" xr:uid="{00000000-0005-0000-0000-0000CC590000}"/>
    <cellStyle name="Énfasis6" xfId="41" builtinId="49" customBuiltin="1"/>
    <cellStyle name="Énfasis6 - 20%" xfId="23009" xr:uid="{00000000-0005-0000-0000-0000CE590000}"/>
    <cellStyle name="Énfasis6 - 20% 2" xfId="23010" xr:uid="{00000000-0005-0000-0000-0000CF590000}"/>
    <cellStyle name="Énfasis6 - 40%" xfId="23011" xr:uid="{00000000-0005-0000-0000-0000D0590000}"/>
    <cellStyle name="Énfasis6 - 40% 2" xfId="23012" xr:uid="{00000000-0005-0000-0000-0000D1590000}"/>
    <cellStyle name="Énfasis6 - 60%" xfId="23013" xr:uid="{00000000-0005-0000-0000-0000D2590000}"/>
    <cellStyle name="Énfasis6 - 60% 2" xfId="23014" xr:uid="{00000000-0005-0000-0000-0000D3590000}"/>
    <cellStyle name="Énfasis6 10" xfId="23015" xr:uid="{00000000-0005-0000-0000-0000D4590000}"/>
    <cellStyle name="Énfasis6 11" xfId="23016" xr:uid="{00000000-0005-0000-0000-0000D5590000}"/>
    <cellStyle name="Énfasis6 12" xfId="23017" xr:uid="{00000000-0005-0000-0000-0000D6590000}"/>
    <cellStyle name="Énfasis6 13" xfId="23018" xr:uid="{00000000-0005-0000-0000-0000D7590000}"/>
    <cellStyle name="Énfasis6 14" xfId="23019" xr:uid="{00000000-0005-0000-0000-0000D8590000}"/>
    <cellStyle name="Énfasis6 15" xfId="23020" xr:uid="{00000000-0005-0000-0000-0000D9590000}"/>
    <cellStyle name="Énfasis6 16" xfId="23021" xr:uid="{00000000-0005-0000-0000-0000DA590000}"/>
    <cellStyle name="Énfasis6 17" xfId="23022" xr:uid="{00000000-0005-0000-0000-0000DB590000}"/>
    <cellStyle name="Énfasis6 18" xfId="23023" xr:uid="{00000000-0005-0000-0000-0000DC590000}"/>
    <cellStyle name="Énfasis6 19" xfId="23024" xr:uid="{00000000-0005-0000-0000-0000DD590000}"/>
    <cellStyle name="Énfasis6 2" xfId="23025" xr:uid="{00000000-0005-0000-0000-0000DE590000}"/>
    <cellStyle name="Énfasis6 2 10" xfId="23026" xr:uid="{00000000-0005-0000-0000-0000DF590000}"/>
    <cellStyle name="Énfasis6 2 11" xfId="23027" xr:uid="{00000000-0005-0000-0000-0000E0590000}"/>
    <cellStyle name="Énfasis6 2 12" xfId="23028" xr:uid="{00000000-0005-0000-0000-0000E1590000}"/>
    <cellStyle name="Énfasis6 2 13" xfId="23029" xr:uid="{00000000-0005-0000-0000-0000E2590000}"/>
    <cellStyle name="Énfasis6 2 14" xfId="23030" xr:uid="{00000000-0005-0000-0000-0000E3590000}"/>
    <cellStyle name="Énfasis6 2 15" xfId="23031" xr:uid="{00000000-0005-0000-0000-0000E4590000}"/>
    <cellStyle name="Énfasis6 2 16" xfId="23032" xr:uid="{00000000-0005-0000-0000-0000E5590000}"/>
    <cellStyle name="Énfasis6 2 17" xfId="23033" xr:uid="{00000000-0005-0000-0000-0000E6590000}"/>
    <cellStyle name="Énfasis6 2 18" xfId="23034" xr:uid="{00000000-0005-0000-0000-0000E7590000}"/>
    <cellStyle name="Énfasis6 2 19" xfId="23035" xr:uid="{00000000-0005-0000-0000-0000E8590000}"/>
    <cellStyle name="Énfasis6 2 2" xfId="23036" xr:uid="{00000000-0005-0000-0000-0000E9590000}"/>
    <cellStyle name="Énfasis6 2 20" xfId="23037" xr:uid="{00000000-0005-0000-0000-0000EA590000}"/>
    <cellStyle name="Énfasis6 2 21" xfId="23038" xr:uid="{00000000-0005-0000-0000-0000EB590000}"/>
    <cellStyle name="Énfasis6 2 22" xfId="23039" xr:uid="{00000000-0005-0000-0000-0000EC590000}"/>
    <cellStyle name="Énfasis6 2 23" xfId="23040" xr:uid="{00000000-0005-0000-0000-0000ED590000}"/>
    <cellStyle name="Énfasis6 2 24" xfId="23041" xr:uid="{00000000-0005-0000-0000-0000EE590000}"/>
    <cellStyle name="Énfasis6 2 25" xfId="23042" xr:uid="{00000000-0005-0000-0000-0000EF590000}"/>
    <cellStyle name="Énfasis6 2 26" xfId="23043" xr:uid="{00000000-0005-0000-0000-0000F0590000}"/>
    <cellStyle name="Énfasis6 2 27" xfId="23044" xr:uid="{00000000-0005-0000-0000-0000F1590000}"/>
    <cellStyle name="Énfasis6 2 28" xfId="23045" xr:uid="{00000000-0005-0000-0000-0000F2590000}"/>
    <cellStyle name="Énfasis6 2 29" xfId="23046" xr:uid="{00000000-0005-0000-0000-0000F3590000}"/>
    <cellStyle name="Énfasis6 2 3" xfId="23047" xr:uid="{00000000-0005-0000-0000-0000F4590000}"/>
    <cellStyle name="Énfasis6 2 30" xfId="23048" xr:uid="{00000000-0005-0000-0000-0000F5590000}"/>
    <cellStyle name="Énfasis6 2 31" xfId="23049" xr:uid="{00000000-0005-0000-0000-0000F6590000}"/>
    <cellStyle name="Énfasis6 2 32" xfId="23050" xr:uid="{00000000-0005-0000-0000-0000F7590000}"/>
    <cellStyle name="Énfasis6 2 33" xfId="23051" xr:uid="{00000000-0005-0000-0000-0000F8590000}"/>
    <cellStyle name="Énfasis6 2 34" xfId="23052" xr:uid="{00000000-0005-0000-0000-0000F9590000}"/>
    <cellStyle name="Énfasis6 2 35" xfId="23053" xr:uid="{00000000-0005-0000-0000-0000FA590000}"/>
    <cellStyle name="Énfasis6 2 36" xfId="23054" xr:uid="{00000000-0005-0000-0000-0000FB590000}"/>
    <cellStyle name="Énfasis6 2 37" xfId="23055" xr:uid="{00000000-0005-0000-0000-0000FC590000}"/>
    <cellStyle name="Énfasis6 2 38" xfId="23056" xr:uid="{00000000-0005-0000-0000-0000FD590000}"/>
    <cellStyle name="Énfasis6 2 4" xfId="23057" xr:uid="{00000000-0005-0000-0000-0000FE590000}"/>
    <cellStyle name="Énfasis6 2 5" xfId="23058" xr:uid="{00000000-0005-0000-0000-0000FF590000}"/>
    <cellStyle name="Énfasis6 2 6" xfId="23059" xr:uid="{00000000-0005-0000-0000-0000005A0000}"/>
    <cellStyle name="Énfasis6 2 7" xfId="23060" xr:uid="{00000000-0005-0000-0000-0000015A0000}"/>
    <cellStyle name="Énfasis6 2 8" xfId="23061" xr:uid="{00000000-0005-0000-0000-0000025A0000}"/>
    <cellStyle name="Énfasis6 2 9" xfId="23062" xr:uid="{00000000-0005-0000-0000-0000035A0000}"/>
    <cellStyle name="Énfasis6 20" xfId="23063" xr:uid="{00000000-0005-0000-0000-0000045A0000}"/>
    <cellStyle name="Énfasis6 21" xfId="23064" xr:uid="{00000000-0005-0000-0000-0000055A0000}"/>
    <cellStyle name="Énfasis6 22" xfId="23065" xr:uid="{00000000-0005-0000-0000-0000065A0000}"/>
    <cellStyle name="Énfasis6 23" xfId="23066" xr:uid="{00000000-0005-0000-0000-0000075A0000}"/>
    <cellStyle name="Énfasis6 24" xfId="23067" xr:uid="{00000000-0005-0000-0000-0000085A0000}"/>
    <cellStyle name="Énfasis6 3" xfId="23068" xr:uid="{00000000-0005-0000-0000-0000095A0000}"/>
    <cellStyle name="Énfasis6 3 10" xfId="23069" xr:uid="{00000000-0005-0000-0000-00000A5A0000}"/>
    <cellStyle name="Énfasis6 3 11" xfId="23070" xr:uid="{00000000-0005-0000-0000-00000B5A0000}"/>
    <cellStyle name="Énfasis6 3 12" xfId="23071" xr:uid="{00000000-0005-0000-0000-00000C5A0000}"/>
    <cellStyle name="Énfasis6 3 13" xfId="23072" xr:uid="{00000000-0005-0000-0000-00000D5A0000}"/>
    <cellStyle name="Énfasis6 3 14" xfId="23073" xr:uid="{00000000-0005-0000-0000-00000E5A0000}"/>
    <cellStyle name="Énfasis6 3 15" xfId="23074" xr:uid="{00000000-0005-0000-0000-00000F5A0000}"/>
    <cellStyle name="Énfasis6 3 16" xfId="23075" xr:uid="{00000000-0005-0000-0000-0000105A0000}"/>
    <cellStyle name="Énfasis6 3 17" xfId="23076" xr:uid="{00000000-0005-0000-0000-0000115A0000}"/>
    <cellStyle name="Énfasis6 3 18" xfId="23077" xr:uid="{00000000-0005-0000-0000-0000125A0000}"/>
    <cellStyle name="Énfasis6 3 19" xfId="23078" xr:uid="{00000000-0005-0000-0000-0000135A0000}"/>
    <cellStyle name="Énfasis6 3 2" xfId="23079" xr:uid="{00000000-0005-0000-0000-0000145A0000}"/>
    <cellStyle name="Énfasis6 3 20" xfId="23080" xr:uid="{00000000-0005-0000-0000-0000155A0000}"/>
    <cellStyle name="Énfasis6 3 21" xfId="23081" xr:uid="{00000000-0005-0000-0000-0000165A0000}"/>
    <cellStyle name="Énfasis6 3 22" xfId="23082" xr:uid="{00000000-0005-0000-0000-0000175A0000}"/>
    <cellStyle name="Énfasis6 3 23" xfId="23083" xr:uid="{00000000-0005-0000-0000-0000185A0000}"/>
    <cellStyle name="Énfasis6 3 24" xfId="23084" xr:uid="{00000000-0005-0000-0000-0000195A0000}"/>
    <cellStyle name="Énfasis6 3 25" xfId="23085" xr:uid="{00000000-0005-0000-0000-00001A5A0000}"/>
    <cellStyle name="Énfasis6 3 26" xfId="23086" xr:uid="{00000000-0005-0000-0000-00001B5A0000}"/>
    <cellStyle name="Énfasis6 3 27" xfId="23087" xr:uid="{00000000-0005-0000-0000-00001C5A0000}"/>
    <cellStyle name="Énfasis6 3 28" xfId="23088" xr:uid="{00000000-0005-0000-0000-00001D5A0000}"/>
    <cellStyle name="Énfasis6 3 29" xfId="23089" xr:uid="{00000000-0005-0000-0000-00001E5A0000}"/>
    <cellStyle name="Énfasis6 3 3" xfId="23090" xr:uid="{00000000-0005-0000-0000-00001F5A0000}"/>
    <cellStyle name="Énfasis6 3 30" xfId="23091" xr:uid="{00000000-0005-0000-0000-0000205A0000}"/>
    <cellStyle name="Énfasis6 3 31" xfId="23092" xr:uid="{00000000-0005-0000-0000-0000215A0000}"/>
    <cellStyle name="Énfasis6 3 32" xfId="23093" xr:uid="{00000000-0005-0000-0000-0000225A0000}"/>
    <cellStyle name="Énfasis6 3 33" xfId="23094" xr:uid="{00000000-0005-0000-0000-0000235A0000}"/>
    <cellStyle name="Énfasis6 3 34" xfId="23095" xr:uid="{00000000-0005-0000-0000-0000245A0000}"/>
    <cellStyle name="Énfasis6 3 4" xfId="23096" xr:uid="{00000000-0005-0000-0000-0000255A0000}"/>
    <cellStyle name="Énfasis6 3 5" xfId="23097" xr:uid="{00000000-0005-0000-0000-0000265A0000}"/>
    <cellStyle name="Énfasis6 3 6" xfId="23098" xr:uid="{00000000-0005-0000-0000-0000275A0000}"/>
    <cellStyle name="Énfasis6 3 7" xfId="23099" xr:uid="{00000000-0005-0000-0000-0000285A0000}"/>
    <cellStyle name="Énfasis6 3 8" xfId="23100" xr:uid="{00000000-0005-0000-0000-0000295A0000}"/>
    <cellStyle name="Énfasis6 3 9" xfId="23101" xr:uid="{00000000-0005-0000-0000-00002A5A0000}"/>
    <cellStyle name="Énfasis6 4" xfId="23102" xr:uid="{00000000-0005-0000-0000-00002B5A0000}"/>
    <cellStyle name="Énfasis6 4 2" xfId="23103" xr:uid="{00000000-0005-0000-0000-00002C5A0000}"/>
    <cellStyle name="Énfasis6 4 3" xfId="23104" xr:uid="{00000000-0005-0000-0000-00002D5A0000}"/>
    <cellStyle name="Énfasis6 4 4" xfId="23105" xr:uid="{00000000-0005-0000-0000-00002E5A0000}"/>
    <cellStyle name="Énfasis6 5" xfId="23106" xr:uid="{00000000-0005-0000-0000-00002F5A0000}"/>
    <cellStyle name="Énfasis6 5 2" xfId="23107" xr:uid="{00000000-0005-0000-0000-0000305A0000}"/>
    <cellStyle name="Énfasis6 5 3" xfId="23108" xr:uid="{00000000-0005-0000-0000-0000315A0000}"/>
    <cellStyle name="Énfasis6 5 4" xfId="23109" xr:uid="{00000000-0005-0000-0000-0000325A0000}"/>
    <cellStyle name="Énfasis6 6" xfId="23110" xr:uid="{00000000-0005-0000-0000-0000335A0000}"/>
    <cellStyle name="Énfasis6 6 2" xfId="23111" xr:uid="{00000000-0005-0000-0000-0000345A0000}"/>
    <cellStyle name="Énfasis6 7" xfId="23112" xr:uid="{00000000-0005-0000-0000-0000355A0000}"/>
    <cellStyle name="Énfasis6 7 2" xfId="23113" xr:uid="{00000000-0005-0000-0000-0000365A0000}"/>
    <cellStyle name="Énfasis6 8" xfId="23114" xr:uid="{00000000-0005-0000-0000-0000375A0000}"/>
    <cellStyle name="Énfasis6 9" xfId="23115" xr:uid="{00000000-0005-0000-0000-0000385A0000}"/>
    <cellStyle name="Enter Currency (0)" xfId="23116" xr:uid="{00000000-0005-0000-0000-0000395A0000}"/>
    <cellStyle name="Enter Currency (2)" xfId="23117" xr:uid="{00000000-0005-0000-0000-00003A5A0000}"/>
    <cellStyle name="Enter Units (0)" xfId="23118" xr:uid="{00000000-0005-0000-0000-00003B5A0000}"/>
    <cellStyle name="Enter Units (1)" xfId="23119" xr:uid="{00000000-0005-0000-0000-00003C5A0000}"/>
    <cellStyle name="Enter Units (2)" xfId="23120" xr:uid="{00000000-0005-0000-0000-00003D5A0000}"/>
    <cellStyle name="Entered" xfId="23121" xr:uid="{00000000-0005-0000-0000-00003E5A0000}"/>
    <cellStyle name="Entrada" xfId="42" builtinId="20" customBuiltin="1"/>
    <cellStyle name="Entrada 10" xfId="23122" xr:uid="{00000000-0005-0000-0000-0000405A0000}"/>
    <cellStyle name="Entrada 11" xfId="23123" xr:uid="{00000000-0005-0000-0000-0000415A0000}"/>
    <cellStyle name="Entrada 12" xfId="23124" xr:uid="{00000000-0005-0000-0000-0000425A0000}"/>
    <cellStyle name="Entrada 2" xfId="23125" xr:uid="{00000000-0005-0000-0000-0000435A0000}"/>
    <cellStyle name="Entrada 2 10" xfId="23126" xr:uid="{00000000-0005-0000-0000-0000445A0000}"/>
    <cellStyle name="Entrada 2 11" xfId="23127" xr:uid="{00000000-0005-0000-0000-0000455A0000}"/>
    <cellStyle name="Entrada 2 12" xfId="23128" xr:uid="{00000000-0005-0000-0000-0000465A0000}"/>
    <cellStyle name="Entrada 2 13" xfId="23129" xr:uid="{00000000-0005-0000-0000-0000475A0000}"/>
    <cellStyle name="Entrada 2 14" xfId="23130" xr:uid="{00000000-0005-0000-0000-0000485A0000}"/>
    <cellStyle name="Entrada 2 15" xfId="23131" xr:uid="{00000000-0005-0000-0000-0000495A0000}"/>
    <cellStyle name="Entrada 2 16" xfId="23132" xr:uid="{00000000-0005-0000-0000-00004A5A0000}"/>
    <cellStyle name="Entrada 2 17" xfId="23133" xr:uid="{00000000-0005-0000-0000-00004B5A0000}"/>
    <cellStyle name="Entrada 2 18" xfId="23134" xr:uid="{00000000-0005-0000-0000-00004C5A0000}"/>
    <cellStyle name="Entrada 2 19" xfId="23135" xr:uid="{00000000-0005-0000-0000-00004D5A0000}"/>
    <cellStyle name="Entrada 2 2" xfId="23136" xr:uid="{00000000-0005-0000-0000-00004E5A0000}"/>
    <cellStyle name="Entrada 2 20" xfId="23137" xr:uid="{00000000-0005-0000-0000-00004F5A0000}"/>
    <cellStyle name="Entrada 2 21" xfId="23138" xr:uid="{00000000-0005-0000-0000-0000505A0000}"/>
    <cellStyle name="Entrada 2 22" xfId="23139" xr:uid="{00000000-0005-0000-0000-0000515A0000}"/>
    <cellStyle name="Entrada 2 23" xfId="23140" xr:uid="{00000000-0005-0000-0000-0000525A0000}"/>
    <cellStyle name="Entrada 2 24" xfId="23141" xr:uid="{00000000-0005-0000-0000-0000535A0000}"/>
    <cellStyle name="Entrada 2 25" xfId="23142" xr:uid="{00000000-0005-0000-0000-0000545A0000}"/>
    <cellStyle name="Entrada 2 26" xfId="23143" xr:uid="{00000000-0005-0000-0000-0000555A0000}"/>
    <cellStyle name="Entrada 2 27" xfId="23144" xr:uid="{00000000-0005-0000-0000-0000565A0000}"/>
    <cellStyle name="Entrada 2 28" xfId="23145" xr:uid="{00000000-0005-0000-0000-0000575A0000}"/>
    <cellStyle name="Entrada 2 29" xfId="23146" xr:uid="{00000000-0005-0000-0000-0000585A0000}"/>
    <cellStyle name="Entrada 2 3" xfId="23147" xr:uid="{00000000-0005-0000-0000-0000595A0000}"/>
    <cellStyle name="Entrada 2 30" xfId="23148" xr:uid="{00000000-0005-0000-0000-00005A5A0000}"/>
    <cellStyle name="Entrada 2 31" xfId="23149" xr:uid="{00000000-0005-0000-0000-00005B5A0000}"/>
    <cellStyle name="Entrada 2 32" xfId="23150" xr:uid="{00000000-0005-0000-0000-00005C5A0000}"/>
    <cellStyle name="Entrada 2 33" xfId="23151" xr:uid="{00000000-0005-0000-0000-00005D5A0000}"/>
    <cellStyle name="Entrada 2 34" xfId="23152" xr:uid="{00000000-0005-0000-0000-00005E5A0000}"/>
    <cellStyle name="Entrada 2 35" xfId="23153" xr:uid="{00000000-0005-0000-0000-00005F5A0000}"/>
    <cellStyle name="Entrada 2 36" xfId="23154" xr:uid="{00000000-0005-0000-0000-0000605A0000}"/>
    <cellStyle name="Entrada 2 37" xfId="23155" xr:uid="{00000000-0005-0000-0000-0000615A0000}"/>
    <cellStyle name="Entrada 2 38" xfId="23156" xr:uid="{00000000-0005-0000-0000-0000625A0000}"/>
    <cellStyle name="Entrada 2 4" xfId="23157" xr:uid="{00000000-0005-0000-0000-0000635A0000}"/>
    <cellStyle name="Entrada 2 5" xfId="23158" xr:uid="{00000000-0005-0000-0000-0000645A0000}"/>
    <cellStyle name="Entrada 2 6" xfId="23159" xr:uid="{00000000-0005-0000-0000-0000655A0000}"/>
    <cellStyle name="Entrada 2 7" xfId="23160" xr:uid="{00000000-0005-0000-0000-0000665A0000}"/>
    <cellStyle name="Entrada 2 8" xfId="23161" xr:uid="{00000000-0005-0000-0000-0000675A0000}"/>
    <cellStyle name="Entrada 2 9" xfId="23162" xr:uid="{00000000-0005-0000-0000-0000685A0000}"/>
    <cellStyle name="Entrada 3" xfId="23163" xr:uid="{00000000-0005-0000-0000-0000695A0000}"/>
    <cellStyle name="Entrada 3 10" xfId="23164" xr:uid="{00000000-0005-0000-0000-00006A5A0000}"/>
    <cellStyle name="Entrada 3 11" xfId="23165" xr:uid="{00000000-0005-0000-0000-00006B5A0000}"/>
    <cellStyle name="Entrada 3 12" xfId="23166" xr:uid="{00000000-0005-0000-0000-00006C5A0000}"/>
    <cellStyle name="Entrada 3 13" xfId="23167" xr:uid="{00000000-0005-0000-0000-00006D5A0000}"/>
    <cellStyle name="Entrada 3 14" xfId="23168" xr:uid="{00000000-0005-0000-0000-00006E5A0000}"/>
    <cellStyle name="Entrada 3 15" xfId="23169" xr:uid="{00000000-0005-0000-0000-00006F5A0000}"/>
    <cellStyle name="Entrada 3 16" xfId="23170" xr:uid="{00000000-0005-0000-0000-0000705A0000}"/>
    <cellStyle name="Entrada 3 17" xfId="23171" xr:uid="{00000000-0005-0000-0000-0000715A0000}"/>
    <cellStyle name="Entrada 3 18" xfId="23172" xr:uid="{00000000-0005-0000-0000-0000725A0000}"/>
    <cellStyle name="Entrada 3 19" xfId="23173" xr:uid="{00000000-0005-0000-0000-0000735A0000}"/>
    <cellStyle name="Entrada 3 2" xfId="23174" xr:uid="{00000000-0005-0000-0000-0000745A0000}"/>
    <cellStyle name="Entrada 3 20" xfId="23175" xr:uid="{00000000-0005-0000-0000-0000755A0000}"/>
    <cellStyle name="Entrada 3 21" xfId="23176" xr:uid="{00000000-0005-0000-0000-0000765A0000}"/>
    <cellStyle name="Entrada 3 22" xfId="23177" xr:uid="{00000000-0005-0000-0000-0000775A0000}"/>
    <cellStyle name="Entrada 3 23" xfId="23178" xr:uid="{00000000-0005-0000-0000-0000785A0000}"/>
    <cellStyle name="Entrada 3 24" xfId="23179" xr:uid="{00000000-0005-0000-0000-0000795A0000}"/>
    <cellStyle name="Entrada 3 25" xfId="23180" xr:uid="{00000000-0005-0000-0000-00007A5A0000}"/>
    <cellStyle name="Entrada 3 26" xfId="23181" xr:uid="{00000000-0005-0000-0000-00007B5A0000}"/>
    <cellStyle name="Entrada 3 27" xfId="23182" xr:uid="{00000000-0005-0000-0000-00007C5A0000}"/>
    <cellStyle name="Entrada 3 28" xfId="23183" xr:uid="{00000000-0005-0000-0000-00007D5A0000}"/>
    <cellStyle name="Entrada 3 29" xfId="23184" xr:uid="{00000000-0005-0000-0000-00007E5A0000}"/>
    <cellStyle name="Entrada 3 3" xfId="23185" xr:uid="{00000000-0005-0000-0000-00007F5A0000}"/>
    <cellStyle name="Entrada 3 30" xfId="23186" xr:uid="{00000000-0005-0000-0000-0000805A0000}"/>
    <cellStyle name="Entrada 3 31" xfId="23187" xr:uid="{00000000-0005-0000-0000-0000815A0000}"/>
    <cellStyle name="Entrada 3 32" xfId="23188" xr:uid="{00000000-0005-0000-0000-0000825A0000}"/>
    <cellStyle name="Entrada 3 33" xfId="23189" xr:uid="{00000000-0005-0000-0000-0000835A0000}"/>
    <cellStyle name="Entrada 3 34" xfId="23190" xr:uid="{00000000-0005-0000-0000-0000845A0000}"/>
    <cellStyle name="Entrada 3 4" xfId="23191" xr:uid="{00000000-0005-0000-0000-0000855A0000}"/>
    <cellStyle name="Entrada 3 5" xfId="23192" xr:uid="{00000000-0005-0000-0000-0000865A0000}"/>
    <cellStyle name="Entrada 3 6" xfId="23193" xr:uid="{00000000-0005-0000-0000-0000875A0000}"/>
    <cellStyle name="Entrada 3 7" xfId="23194" xr:uid="{00000000-0005-0000-0000-0000885A0000}"/>
    <cellStyle name="Entrada 3 8" xfId="23195" xr:uid="{00000000-0005-0000-0000-0000895A0000}"/>
    <cellStyle name="Entrada 3 9" xfId="23196" xr:uid="{00000000-0005-0000-0000-00008A5A0000}"/>
    <cellStyle name="Entrada 4" xfId="23197" xr:uid="{00000000-0005-0000-0000-00008B5A0000}"/>
    <cellStyle name="Entrada 4 2" xfId="23198" xr:uid="{00000000-0005-0000-0000-00008C5A0000}"/>
    <cellStyle name="Entrada 4 3" xfId="23199" xr:uid="{00000000-0005-0000-0000-00008D5A0000}"/>
    <cellStyle name="Entrada 4 4" xfId="23200" xr:uid="{00000000-0005-0000-0000-00008E5A0000}"/>
    <cellStyle name="Entrada 5" xfId="23201" xr:uid="{00000000-0005-0000-0000-00008F5A0000}"/>
    <cellStyle name="Entrada 5 2" xfId="23202" xr:uid="{00000000-0005-0000-0000-0000905A0000}"/>
    <cellStyle name="Entrada 5 3" xfId="23203" xr:uid="{00000000-0005-0000-0000-0000915A0000}"/>
    <cellStyle name="Entrada 5 4" xfId="23204" xr:uid="{00000000-0005-0000-0000-0000925A0000}"/>
    <cellStyle name="Entrada 6" xfId="23205" xr:uid="{00000000-0005-0000-0000-0000935A0000}"/>
    <cellStyle name="Entrada 6 2" xfId="23206" xr:uid="{00000000-0005-0000-0000-0000945A0000}"/>
    <cellStyle name="Entrada 7" xfId="23207" xr:uid="{00000000-0005-0000-0000-0000955A0000}"/>
    <cellStyle name="Entrada 7 2" xfId="23208" xr:uid="{00000000-0005-0000-0000-0000965A0000}"/>
    <cellStyle name="Entrada 8" xfId="23209" xr:uid="{00000000-0005-0000-0000-0000975A0000}"/>
    <cellStyle name="Entrada 9" xfId="23210" xr:uid="{00000000-0005-0000-0000-0000985A0000}"/>
    <cellStyle name="Entry_Reporting_Pack_v6.0_NOT_IN_USE_YET" xfId="23211" xr:uid="{00000000-0005-0000-0000-0000995A0000}"/>
    <cellStyle name="Estilo 1" xfId="23212" xr:uid="{00000000-0005-0000-0000-00009A5A0000}"/>
    <cellStyle name="Estilo 1 2" xfId="23213" xr:uid="{00000000-0005-0000-0000-00009B5A0000}"/>
    <cellStyle name="Estilo 1_Cuadros paraPresentación de Sindicado de Palmas del Espino (V 05 12 08)}" xfId="23214" xr:uid="{00000000-0005-0000-0000-00009C5A0000}"/>
    <cellStyle name="Estilo 2" xfId="23215" xr:uid="{00000000-0005-0000-0000-00009D5A0000}"/>
    <cellStyle name="Estilo 3" xfId="23216" xr:uid="{00000000-0005-0000-0000-00009E5A0000}"/>
    <cellStyle name="Euro" xfId="23217" xr:uid="{00000000-0005-0000-0000-00009F5A0000}"/>
    <cellStyle name="Euro 10" xfId="23218" xr:uid="{00000000-0005-0000-0000-0000A05A0000}"/>
    <cellStyle name="Euro 11" xfId="23219" xr:uid="{00000000-0005-0000-0000-0000A15A0000}"/>
    <cellStyle name="Euro 12" xfId="23220" xr:uid="{00000000-0005-0000-0000-0000A25A0000}"/>
    <cellStyle name="Euro 13" xfId="23221" xr:uid="{00000000-0005-0000-0000-0000A35A0000}"/>
    <cellStyle name="Euro 14" xfId="23222" xr:uid="{00000000-0005-0000-0000-0000A45A0000}"/>
    <cellStyle name="Euro 15" xfId="23223" xr:uid="{00000000-0005-0000-0000-0000A55A0000}"/>
    <cellStyle name="Euro 16" xfId="23224" xr:uid="{00000000-0005-0000-0000-0000A65A0000}"/>
    <cellStyle name="Euro 17" xfId="23225" xr:uid="{00000000-0005-0000-0000-0000A75A0000}"/>
    <cellStyle name="Euro 18" xfId="23226" xr:uid="{00000000-0005-0000-0000-0000A85A0000}"/>
    <cellStyle name="Euro 19" xfId="23227" xr:uid="{00000000-0005-0000-0000-0000A95A0000}"/>
    <cellStyle name="Euro 2" xfId="23228" xr:uid="{00000000-0005-0000-0000-0000AA5A0000}"/>
    <cellStyle name="Euro 2 10" xfId="23229" xr:uid="{00000000-0005-0000-0000-0000AB5A0000}"/>
    <cellStyle name="Euro 2 11" xfId="23230" xr:uid="{00000000-0005-0000-0000-0000AC5A0000}"/>
    <cellStyle name="Euro 2 12" xfId="23231" xr:uid="{00000000-0005-0000-0000-0000AD5A0000}"/>
    <cellStyle name="Euro 2 13" xfId="23232" xr:uid="{00000000-0005-0000-0000-0000AE5A0000}"/>
    <cellStyle name="Euro 2 14" xfId="23233" xr:uid="{00000000-0005-0000-0000-0000AF5A0000}"/>
    <cellStyle name="Euro 2 15" xfId="23234" xr:uid="{00000000-0005-0000-0000-0000B05A0000}"/>
    <cellStyle name="Euro 2 16" xfId="23235" xr:uid="{00000000-0005-0000-0000-0000B15A0000}"/>
    <cellStyle name="Euro 2 17" xfId="23236" xr:uid="{00000000-0005-0000-0000-0000B25A0000}"/>
    <cellStyle name="Euro 2 18" xfId="23237" xr:uid="{00000000-0005-0000-0000-0000B35A0000}"/>
    <cellStyle name="Euro 2 19" xfId="23238" xr:uid="{00000000-0005-0000-0000-0000B45A0000}"/>
    <cellStyle name="Euro 2 2" xfId="23239" xr:uid="{00000000-0005-0000-0000-0000B55A0000}"/>
    <cellStyle name="Euro 2 20" xfId="23240" xr:uid="{00000000-0005-0000-0000-0000B65A0000}"/>
    <cellStyle name="Euro 2 21" xfId="23241" xr:uid="{00000000-0005-0000-0000-0000B75A0000}"/>
    <cellStyle name="Euro 2 22" xfId="23242" xr:uid="{00000000-0005-0000-0000-0000B85A0000}"/>
    <cellStyle name="Euro 2 23" xfId="23243" xr:uid="{00000000-0005-0000-0000-0000B95A0000}"/>
    <cellStyle name="Euro 2 24" xfId="23244" xr:uid="{00000000-0005-0000-0000-0000BA5A0000}"/>
    <cellStyle name="Euro 2 25" xfId="23245" xr:uid="{00000000-0005-0000-0000-0000BB5A0000}"/>
    <cellStyle name="Euro 2 26" xfId="23246" xr:uid="{00000000-0005-0000-0000-0000BC5A0000}"/>
    <cellStyle name="Euro 2 27" xfId="23247" xr:uid="{00000000-0005-0000-0000-0000BD5A0000}"/>
    <cellStyle name="Euro 2 28" xfId="23248" xr:uid="{00000000-0005-0000-0000-0000BE5A0000}"/>
    <cellStyle name="Euro 2 3" xfId="23249" xr:uid="{00000000-0005-0000-0000-0000BF5A0000}"/>
    <cellStyle name="Euro 2 4" xfId="23250" xr:uid="{00000000-0005-0000-0000-0000C05A0000}"/>
    <cellStyle name="Euro 2 5" xfId="23251" xr:uid="{00000000-0005-0000-0000-0000C15A0000}"/>
    <cellStyle name="Euro 2 6" xfId="23252" xr:uid="{00000000-0005-0000-0000-0000C25A0000}"/>
    <cellStyle name="Euro 2 7" xfId="23253" xr:uid="{00000000-0005-0000-0000-0000C35A0000}"/>
    <cellStyle name="Euro 2 8" xfId="23254" xr:uid="{00000000-0005-0000-0000-0000C45A0000}"/>
    <cellStyle name="Euro 2 9" xfId="23255" xr:uid="{00000000-0005-0000-0000-0000C55A0000}"/>
    <cellStyle name="Euro 20" xfId="23256" xr:uid="{00000000-0005-0000-0000-0000C65A0000}"/>
    <cellStyle name="Euro 21" xfId="23257" xr:uid="{00000000-0005-0000-0000-0000C75A0000}"/>
    <cellStyle name="Euro 22" xfId="23258" xr:uid="{00000000-0005-0000-0000-0000C85A0000}"/>
    <cellStyle name="Euro 23" xfId="23259" xr:uid="{00000000-0005-0000-0000-0000C95A0000}"/>
    <cellStyle name="Euro 24" xfId="23260" xr:uid="{00000000-0005-0000-0000-0000CA5A0000}"/>
    <cellStyle name="Euro 25" xfId="23261" xr:uid="{00000000-0005-0000-0000-0000CB5A0000}"/>
    <cellStyle name="Euro 26" xfId="23262" xr:uid="{00000000-0005-0000-0000-0000CC5A0000}"/>
    <cellStyle name="Euro 27" xfId="23263" xr:uid="{00000000-0005-0000-0000-0000CD5A0000}"/>
    <cellStyle name="Euro 28" xfId="23264" xr:uid="{00000000-0005-0000-0000-0000CE5A0000}"/>
    <cellStyle name="Euro 29" xfId="23265" xr:uid="{00000000-0005-0000-0000-0000CF5A0000}"/>
    <cellStyle name="Euro 3" xfId="23266" xr:uid="{00000000-0005-0000-0000-0000D05A0000}"/>
    <cellStyle name="Euro 30" xfId="23267" xr:uid="{00000000-0005-0000-0000-0000D15A0000}"/>
    <cellStyle name="Euro 31" xfId="23268" xr:uid="{00000000-0005-0000-0000-0000D25A0000}"/>
    <cellStyle name="Euro 32" xfId="23269" xr:uid="{00000000-0005-0000-0000-0000D35A0000}"/>
    <cellStyle name="Euro 33" xfId="23270" xr:uid="{00000000-0005-0000-0000-0000D45A0000}"/>
    <cellStyle name="Euro 34" xfId="23271" xr:uid="{00000000-0005-0000-0000-0000D55A0000}"/>
    <cellStyle name="Euro 4" xfId="23272" xr:uid="{00000000-0005-0000-0000-0000D65A0000}"/>
    <cellStyle name="Euro 5" xfId="23273" xr:uid="{00000000-0005-0000-0000-0000D75A0000}"/>
    <cellStyle name="Euro 6" xfId="23274" xr:uid="{00000000-0005-0000-0000-0000D85A0000}"/>
    <cellStyle name="Euro 7" xfId="23275" xr:uid="{00000000-0005-0000-0000-0000D95A0000}"/>
    <cellStyle name="Euro 8" xfId="23276" xr:uid="{00000000-0005-0000-0000-0000DA5A0000}"/>
    <cellStyle name="Euro 9" xfId="23277" xr:uid="{00000000-0005-0000-0000-0000DB5A0000}"/>
    <cellStyle name="Euro_FLUJO CONSOLIDADO PALMAS FEB 10" xfId="23278" xr:uid="{00000000-0005-0000-0000-0000DC5A0000}"/>
    <cellStyle name="Excel.Chart" xfId="23279" xr:uid="{00000000-0005-0000-0000-0000DD5A0000}"/>
    <cellStyle name="Excel.Chart 2" xfId="23280" xr:uid="{00000000-0005-0000-0000-0000DE5A0000}"/>
    <cellStyle name="Explanatory Text" xfId="23281" xr:uid="{00000000-0005-0000-0000-0000DF5A0000}"/>
    <cellStyle name="Explanatory Text 2" xfId="23282" xr:uid="{00000000-0005-0000-0000-0000E05A0000}"/>
    <cellStyle name="EYSheetHeading" xfId="23283" xr:uid="{00000000-0005-0000-0000-0000E15A0000}"/>
    <cellStyle name="EYtext" xfId="23284" xr:uid="{00000000-0005-0000-0000-0000E25A0000}"/>
    <cellStyle name="F2" xfId="23285" xr:uid="{00000000-0005-0000-0000-0000E35A0000}"/>
    <cellStyle name="F3" xfId="23286" xr:uid="{00000000-0005-0000-0000-0000E45A0000}"/>
    <cellStyle name="F4" xfId="23287" xr:uid="{00000000-0005-0000-0000-0000E55A0000}"/>
    <cellStyle name="F4 2" xfId="23288" xr:uid="{00000000-0005-0000-0000-0000E65A0000}"/>
    <cellStyle name="F5" xfId="23289" xr:uid="{00000000-0005-0000-0000-0000E75A0000}"/>
    <cellStyle name="F6" xfId="23290" xr:uid="{00000000-0005-0000-0000-0000E85A0000}"/>
    <cellStyle name="F7" xfId="23291" xr:uid="{00000000-0005-0000-0000-0000E95A0000}"/>
    <cellStyle name="F8" xfId="23292" xr:uid="{00000000-0005-0000-0000-0000EA5A0000}"/>
    <cellStyle name="F8 2" xfId="23293" xr:uid="{00000000-0005-0000-0000-0000EB5A0000}"/>
    <cellStyle name="Fecha" xfId="23294" xr:uid="{00000000-0005-0000-0000-0000EC5A0000}"/>
    <cellStyle name="Fijo" xfId="23295" xr:uid="{00000000-0005-0000-0000-0000ED5A0000}"/>
    <cellStyle name="Financiero" xfId="23296" xr:uid="{00000000-0005-0000-0000-0000EE5A0000}"/>
    <cellStyle name="Fixed" xfId="23297" xr:uid="{00000000-0005-0000-0000-0000EF5A0000}"/>
    <cellStyle name="Fixed 2" xfId="23298" xr:uid="{00000000-0005-0000-0000-0000F05A0000}"/>
    <cellStyle name="Fixo" xfId="23299" xr:uid="{00000000-0005-0000-0000-0000F15A0000}"/>
    <cellStyle name="Followed Hyperlink_Avance Modelo Braedt GL.xls" xfId="23300" xr:uid="{00000000-0005-0000-0000-0000F25A0000}"/>
    <cellStyle name="font12" xfId="23301" xr:uid="{00000000-0005-0000-0000-0000F35A0000}"/>
    <cellStyle name="font14" xfId="23302" xr:uid="{00000000-0005-0000-0000-0000F45A0000}"/>
    <cellStyle name="Footnote" xfId="23303" xr:uid="{00000000-0005-0000-0000-0000F55A0000}"/>
    <cellStyle name="Good" xfId="23304" xr:uid="{00000000-0005-0000-0000-0000F65A0000}"/>
    <cellStyle name="Good 2" xfId="23305" xr:uid="{00000000-0005-0000-0000-0000F75A0000}"/>
    <cellStyle name="Grey" xfId="23306" xr:uid="{00000000-0005-0000-0000-0000F85A0000}"/>
    <cellStyle name="Grey 2" xfId="23307" xr:uid="{00000000-0005-0000-0000-0000F95A0000}"/>
    <cellStyle name="Grey 3" xfId="23308" xr:uid="{00000000-0005-0000-0000-0000FA5A0000}"/>
    <cellStyle name="Hard Percent" xfId="23309" xr:uid="{00000000-0005-0000-0000-0000FB5A0000}"/>
    <cellStyle name="Header" xfId="23310" xr:uid="{00000000-0005-0000-0000-0000FC5A0000}"/>
    <cellStyle name="Header - Style1" xfId="23311" xr:uid="{00000000-0005-0000-0000-0000FD5A0000}"/>
    <cellStyle name="Header_Canon 2006" xfId="23312" xr:uid="{00000000-0005-0000-0000-0000FE5A0000}"/>
    <cellStyle name="Header1" xfId="23313" xr:uid="{00000000-0005-0000-0000-0000FF5A0000}"/>
    <cellStyle name="Header2" xfId="23314" xr:uid="{00000000-0005-0000-0000-0000005B0000}"/>
    <cellStyle name="Heading" xfId="23315" xr:uid="{00000000-0005-0000-0000-0000015B0000}"/>
    <cellStyle name="Heading 1" xfId="23316" xr:uid="{00000000-0005-0000-0000-0000025B0000}"/>
    <cellStyle name="Heading 1 2" xfId="23317" xr:uid="{00000000-0005-0000-0000-0000035B0000}"/>
    <cellStyle name="Heading 1 3" xfId="23318" xr:uid="{00000000-0005-0000-0000-0000045B0000}"/>
    <cellStyle name="Heading 2" xfId="23319" xr:uid="{00000000-0005-0000-0000-0000055B0000}"/>
    <cellStyle name="Heading 2 2" xfId="23320" xr:uid="{00000000-0005-0000-0000-0000065B0000}"/>
    <cellStyle name="Heading 2 3" xfId="23321" xr:uid="{00000000-0005-0000-0000-0000075B0000}"/>
    <cellStyle name="Heading 3" xfId="23322" xr:uid="{00000000-0005-0000-0000-0000085B0000}"/>
    <cellStyle name="Heading 3 2" xfId="23323" xr:uid="{00000000-0005-0000-0000-0000095B0000}"/>
    <cellStyle name="Heading 4" xfId="23324" xr:uid="{00000000-0005-0000-0000-00000A5B0000}"/>
    <cellStyle name="Heading 4 2" xfId="23325" xr:uid="{00000000-0005-0000-0000-00000B5B0000}"/>
    <cellStyle name="Heading_~1502101" xfId="23326" xr:uid="{00000000-0005-0000-0000-00000C5B0000}"/>
    <cellStyle name="HEADING1" xfId="23327" xr:uid="{00000000-0005-0000-0000-00000D5B0000}"/>
    <cellStyle name="HEADING2" xfId="23328" xr:uid="{00000000-0005-0000-0000-00000E5B0000}"/>
    <cellStyle name="Hipervínculo 2" xfId="23329" xr:uid="{00000000-0005-0000-0000-00000F5B0000}"/>
    <cellStyle name="Hipervínculo 2 10" xfId="23330" xr:uid="{00000000-0005-0000-0000-0000105B0000}"/>
    <cellStyle name="Hipervínculo 2 11" xfId="23331" xr:uid="{00000000-0005-0000-0000-0000115B0000}"/>
    <cellStyle name="Hipervínculo 2 12" xfId="23332" xr:uid="{00000000-0005-0000-0000-0000125B0000}"/>
    <cellStyle name="Hipervínculo 2 13" xfId="23333" xr:uid="{00000000-0005-0000-0000-0000135B0000}"/>
    <cellStyle name="Hipervínculo 2 14" xfId="23334" xr:uid="{00000000-0005-0000-0000-0000145B0000}"/>
    <cellStyle name="Hipervínculo 2 15" xfId="23335" xr:uid="{00000000-0005-0000-0000-0000155B0000}"/>
    <cellStyle name="Hipervínculo 2 16" xfId="23336" xr:uid="{00000000-0005-0000-0000-0000165B0000}"/>
    <cellStyle name="Hipervínculo 2 17" xfId="23337" xr:uid="{00000000-0005-0000-0000-0000175B0000}"/>
    <cellStyle name="Hipervínculo 2 18" xfId="23338" xr:uid="{00000000-0005-0000-0000-0000185B0000}"/>
    <cellStyle name="Hipervínculo 2 19" xfId="23339" xr:uid="{00000000-0005-0000-0000-0000195B0000}"/>
    <cellStyle name="Hipervínculo 2 2" xfId="23340" xr:uid="{00000000-0005-0000-0000-00001A5B0000}"/>
    <cellStyle name="Hipervínculo 2 20" xfId="23341" xr:uid="{00000000-0005-0000-0000-00001B5B0000}"/>
    <cellStyle name="Hipervínculo 2 21" xfId="23342" xr:uid="{00000000-0005-0000-0000-00001C5B0000}"/>
    <cellStyle name="Hipervínculo 2 22" xfId="23343" xr:uid="{00000000-0005-0000-0000-00001D5B0000}"/>
    <cellStyle name="Hipervínculo 2 23" xfId="23344" xr:uid="{00000000-0005-0000-0000-00001E5B0000}"/>
    <cellStyle name="Hipervínculo 2 24" xfId="23345" xr:uid="{00000000-0005-0000-0000-00001F5B0000}"/>
    <cellStyle name="Hipervínculo 2 3" xfId="23346" xr:uid="{00000000-0005-0000-0000-0000205B0000}"/>
    <cellStyle name="Hipervínculo 2 4" xfId="23347" xr:uid="{00000000-0005-0000-0000-0000215B0000}"/>
    <cellStyle name="Hipervínculo 2 5" xfId="23348" xr:uid="{00000000-0005-0000-0000-0000225B0000}"/>
    <cellStyle name="Hipervínculo 2 6" xfId="23349" xr:uid="{00000000-0005-0000-0000-0000235B0000}"/>
    <cellStyle name="Hipervínculo 2 7" xfId="23350" xr:uid="{00000000-0005-0000-0000-0000245B0000}"/>
    <cellStyle name="Hipervínculo 2 8" xfId="23351" xr:uid="{00000000-0005-0000-0000-0000255B0000}"/>
    <cellStyle name="Hipervínculo 2 9" xfId="23352" xr:uid="{00000000-0005-0000-0000-0000265B0000}"/>
    <cellStyle name="Hipervínculo 3" xfId="36339" xr:uid="{00000000-0005-0000-0000-0000275B0000}"/>
    <cellStyle name="Hyperlink seguido_apresentação 2ºsem.2001.xls Gráfico 2" xfId="23353" xr:uid="{00000000-0005-0000-0000-0000285B0000}"/>
    <cellStyle name="Hyperlink_Avance Modelo Braedt GL.xls" xfId="23354" xr:uid="{00000000-0005-0000-0000-0000295B0000}"/>
    <cellStyle name="Incorrecto" xfId="43" builtinId="27" customBuiltin="1"/>
    <cellStyle name="Incorrecto 10" xfId="23355" xr:uid="{00000000-0005-0000-0000-00002B5B0000}"/>
    <cellStyle name="Incorrecto 11" xfId="23356" xr:uid="{00000000-0005-0000-0000-00002C5B0000}"/>
    <cellStyle name="Incorrecto 12" xfId="23357" xr:uid="{00000000-0005-0000-0000-00002D5B0000}"/>
    <cellStyle name="Incorrecto 2" xfId="23358" xr:uid="{00000000-0005-0000-0000-00002E5B0000}"/>
    <cellStyle name="Incorrecto 2 10" xfId="23359" xr:uid="{00000000-0005-0000-0000-00002F5B0000}"/>
    <cellStyle name="Incorrecto 2 11" xfId="23360" xr:uid="{00000000-0005-0000-0000-0000305B0000}"/>
    <cellStyle name="Incorrecto 2 12" xfId="23361" xr:uid="{00000000-0005-0000-0000-0000315B0000}"/>
    <cellStyle name="Incorrecto 2 13" xfId="23362" xr:uid="{00000000-0005-0000-0000-0000325B0000}"/>
    <cellStyle name="Incorrecto 2 14" xfId="23363" xr:uid="{00000000-0005-0000-0000-0000335B0000}"/>
    <cellStyle name="Incorrecto 2 15" xfId="23364" xr:uid="{00000000-0005-0000-0000-0000345B0000}"/>
    <cellStyle name="Incorrecto 2 16" xfId="23365" xr:uid="{00000000-0005-0000-0000-0000355B0000}"/>
    <cellStyle name="Incorrecto 2 17" xfId="23366" xr:uid="{00000000-0005-0000-0000-0000365B0000}"/>
    <cellStyle name="Incorrecto 2 18" xfId="23367" xr:uid="{00000000-0005-0000-0000-0000375B0000}"/>
    <cellStyle name="Incorrecto 2 19" xfId="23368" xr:uid="{00000000-0005-0000-0000-0000385B0000}"/>
    <cellStyle name="Incorrecto 2 2" xfId="23369" xr:uid="{00000000-0005-0000-0000-0000395B0000}"/>
    <cellStyle name="Incorrecto 2 20" xfId="23370" xr:uid="{00000000-0005-0000-0000-00003A5B0000}"/>
    <cellStyle name="Incorrecto 2 21" xfId="23371" xr:uid="{00000000-0005-0000-0000-00003B5B0000}"/>
    <cellStyle name="Incorrecto 2 22" xfId="23372" xr:uid="{00000000-0005-0000-0000-00003C5B0000}"/>
    <cellStyle name="Incorrecto 2 23" xfId="23373" xr:uid="{00000000-0005-0000-0000-00003D5B0000}"/>
    <cellStyle name="Incorrecto 2 24" xfId="23374" xr:uid="{00000000-0005-0000-0000-00003E5B0000}"/>
    <cellStyle name="Incorrecto 2 25" xfId="23375" xr:uid="{00000000-0005-0000-0000-00003F5B0000}"/>
    <cellStyle name="Incorrecto 2 26" xfId="23376" xr:uid="{00000000-0005-0000-0000-0000405B0000}"/>
    <cellStyle name="Incorrecto 2 27" xfId="23377" xr:uid="{00000000-0005-0000-0000-0000415B0000}"/>
    <cellStyle name="Incorrecto 2 28" xfId="23378" xr:uid="{00000000-0005-0000-0000-0000425B0000}"/>
    <cellStyle name="Incorrecto 2 29" xfId="23379" xr:uid="{00000000-0005-0000-0000-0000435B0000}"/>
    <cellStyle name="Incorrecto 2 3" xfId="23380" xr:uid="{00000000-0005-0000-0000-0000445B0000}"/>
    <cellStyle name="Incorrecto 2 30" xfId="23381" xr:uid="{00000000-0005-0000-0000-0000455B0000}"/>
    <cellStyle name="Incorrecto 2 31" xfId="23382" xr:uid="{00000000-0005-0000-0000-0000465B0000}"/>
    <cellStyle name="Incorrecto 2 32" xfId="23383" xr:uid="{00000000-0005-0000-0000-0000475B0000}"/>
    <cellStyle name="Incorrecto 2 33" xfId="23384" xr:uid="{00000000-0005-0000-0000-0000485B0000}"/>
    <cellStyle name="Incorrecto 2 34" xfId="23385" xr:uid="{00000000-0005-0000-0000-0000495B0000}"/>
    <cellStyle name="Incorrecto 2 35" xfId="23386" xr:uid="{00000000-0005-0000-0000-00004A5B0000}"/>
    <cellStyle name="Incorrecto 2 36" xfId="23387" xr:uid="{00000000-0005-0000-0000-00004B5B0000}"/>
    <cellStyle name="Incorrecto 2 37" xfId="23388" xr:uid="{00000000-0005-0000-0000-00004C5B0000}"/>
    <cellStyle name="Incorrecto 2 38" xfId="23389" xr:uid="{00000000-0005-0000-0000-00004D5B0000}"/>
    <cellStyle name="Incorrecto 2 4" xfId="23390" xr:uid="{00000000-0005-0000-0000-00004E5B0000}"/>
    <cellStyle name="Incorrecto 2 5" xfId="23391" xr:uid="{00000000-0005-0000-0000-00004F5B0000}"/>
    <cellStyle name="Incorrecto 2 6" xfId="23392" xr:uid="{00000000-0005-0000-0000-0000505B0000}"/>
    <cellStyle name="Incorrecto 2 7" xfId="23393" xr:uid="{00000000-0005-0000-0000-0000515B0000}"/>
    <cellStyle name="Incorrecto 2 8" xfId="23394" xr:uid="{00000000-0005-0000-0000-0000525B0000}"/>
    <cellStyle name="Incorrecto 2 9" xfId="23395" xr:uid="{00000000-0005-0000-0000-0000535B0000}"/>
    <cellStyle name="Incorrecto 3" xfId="23396" xr:uid="{00000000-0005-0000-0000-0000545B0000}"/>
    <cellStyle name="Incorrecto 3 10" xfId="23397" xr:uid="{00000000-0005-0000-0000-0000555B0000}"/>
    <cellStyle name="Incorrecto 3 11" xfId="23398" xr:uid="{00000000-0005-0000-0000-0000565B0000}"/>
    <cellStyle name="Incorrecto 3 12" xfId="23399" xr:uid="{00000000-0005-0000-0000-0000575B0000}"/>
    <cellStyle name="Incorrecto 3 13" xfId="23400" xr:uid="{00000000-0005-0000-0000-0000585B0000}"/>
    <cellStyle name="Incorrecto 3 14" xfId="23401" xr:uid="{00000000-0005-0000-0000-0000595B0000}"/>
    <cellStyle name="Incorrecto 3 15" xfId="23402" xr:uid="{00000000-0005-0000-0000-00005A5B0000}"/>
    <cellStyle name="Incorrecto 3 16" xfId="23403" xr:uid="{00000000-0005-0000-0000-00005B5B0000}"/>
    <cellStyle name="Incorrecto 3 17" xfId="23404" xr:uid="{00000000-0005-0000-0000-00005C5B0000}"/>
    <cellStyle name="Incorrecto 3 18" xfId="23405" xr:uid="{00000000-0005-0000-0000-00005D5B0000}"/>
    <cellStyle name="Incorrecto 3 19" xfId="23406" xr:uid="{00000000-0005-0000-0000-00005E5B0000}"/>
    <cellStyle name="Incorrecto 3 2" xfId="23407" xr:uid="{00000000-0005-0000-0000-00005F5B0000}"/>
    <cellStyle name="Incorrecto 3 20" xfId="23408" xr:uid="{00000000-0005-0000-0000-0000605B0000}"/>
    <cellStyle name="Incorrecto 3 21" xfId="23409" xr:uid="{00000000-0005-0000-0000-0000615B0000}"/>
    <cellStyle name="Incorrecto 3 22" xfId="23410" xr:uid="{00000000-0005-0000-0000-0000625B0000}"/>
    <cellStyle name="Incorrecto 3 23" xfId="23411" xr:uid="{00000000-0005-0000-0000-0000635B0000}"/>
    <cellStyle name="Incorrecto 3 24" xfId="23412" xr:uid="{00000000-0005-0000-0000-0000645B0000}"/>
    <cellStyle name="Incorrecto 3 25" xfId="23413" xr:uid="{00000000-0005-0000-0000-0000655B0000}"/>
    <cellStyle name="Incorrecto 3 26" xfId="23414" xr:uid="{00000000-0005-0000-0000-0000665B0000}"/>
    <cellStyle name="Incorrecto 3 27" xfId="23415" xr:uid="{00000000-0005-0000-0000-0000675B0000}"/>
    <cellStyle name="Incorrecto 3 28" xfId="23416" xr:uid="{00000000-0005-0000-0000-0000685B0000}"/>
    <cellStyle name="Incorrecto 3 29" xfId="23417" xr:uid="{00000000-0005-0000-0000-0000695B0000}"/>
    <cellStyle name="Incorrecto 3 3" xfId="23418" xr:uid="{00000000-0005-0000-0000-00006A5B0000}"/>
    <cellStyle name="Incorrecto 3 30" xfId="23419" xr:uid="{00000000-0005-0000-0000-00006B5B0000}"/>
    <cellStyle name="Incorrecto 3 31" xfId="23420" xr:uid="{00000000-0005-0000-0000-00006C5B0000}"/>
    <cellStyle name="Incorrecto 3 32" xfId="23421" xr:uid="{00000000-0005-0000-0000-00006D5B0000}"/>
    <cellStyle name="Incorrecto 3 33" xfId="23422" xr:uid="{00000000-0005-0000-0000-00006E5B0000}"/>
    <cellStyle name="Incorrecto 3 34" xfId="23423" xr:uid="{00000000-0005-0000-0000-00006F5B0000}"/>
    <cellStyle name="Incorrecto 3 4" xfId="23424" xr:uid="{00000000-0005-0000-0000-0000705B0000}"/>
    <cellStyle name="Incorrecto 3 5" xfId="23425" xr:uid="{00000000-0005-0000-0000-0000715B0000}"/>
    <cellStyle name="Incorrecto 3 6" xfId="23426" xr:uid="{00000000-0005-0000-0000-0000725B0000}"/>
    <cellStyle name="Incorrecto 3 7" xfId="23427" xr:uid="{00000000-0005-0000-0000-0000735B0000}"/>
    <cellStyle name="Incorrecto 3 8" xfId="23428" xr:uid="{00000000-0005-0000-0000-0000745B0000}"/>
    <cellStyle name="Incorrecto 3 9" xfId="23429" xr:uid="{00000000-0005-0000-0000-0000755B0000}"/>
    <cellStyle name="Incorrecto 4" xfId="23430" xr:uid="{00000000-0005-0000-0000-0000765B0000}"/>
    <cellStyle name="Incorrecto 4 2" xfId="23431" xr:uid="{00000000-0005-0000-0000-0000775B0000}"/>
    <cellStyle name="Incorrecto 4 3" xfId="23432" xr:uid="{00000000-0005-0000-0000-0000785B0000}"/>
    <cellStyle name="Incorrecto 4 4" xfId="23433" xr:uid="{00000000-0005-0000-0000-0000795B0000}"/>
    <cellStyle name="Incorrecto 5" xfId="23434" xr:uid="{00000000-0005-0000-0000-00007A5B0000}"/>
    <cellStyle name="Incorrecto 5 2" xfId="23435" xr:uid="{00000000-0005-0000-0000-00007B5B0000}"/>
    <cellStyle name="Incorrecto 5 3" xfId="23436" xr:uid="{00000000-0005-0000-0000-00007C5B0000}"/>
    <cellStyle name="Incorrecto 5 4" xfId="23437" xr:uid="{00000000-0005-0000-0000-00007D5B0000}"/>
    <cellStyle name="Incorrecto 6" xfId="23438" xr:uid="{00000000-0005-0000-0000-00007E5B0000}"/>
    <cellStyle name="Incorrecto 6 2" xfId="23439" xr:uid="{00000000-0005-0000-0000-00007F5B0000}"/>
    <cellStyle name="Incorrecto 7" xfId="23440" xr:uid="{00000000-0005-0000-0000-0000805B0000}"/>
    <cellStyle name="Incorrecto 7 2" xfId="23441" xr:uid="{00000000-0005-0000-0000-0000815B0000}"/>
    <cellStyle name="Incorrecto 8" xfId="23442" xr:uid="{00000000-0005-0000-0000-0000825B0000}"/>
    <cellStyle name="Incorrecto 9" xfId="23443" xr:uid="{00000000-0005-0000-0000-0000835B0000}"/>
    <cellStyle name="Indefinido" xfId="23444" xr:uid="{00000000-0005-0000-0000-0000845B0000}"/>
    <cellStyle name="Input" xfId="23445" xr:uid="{00000000-0005-0000-0000-0000855B0000}"/>
    <cellStyle name="Input (%)" xfId="23446" xr:uid="{00000000-0005-0000-0000-0000865B0000}"/>
    <cellStyle name="Input (£m)" xfId="23447" xr:uid="{00000000-0005-0000-0000-0000875B0000}"/>
    <cellStyle name="Input (No)" xfId="23448" xr:uid="{00000000-0005-0000-0000-0000885B0000}"/>
    <cellStyle name="Input [yellow]" xfId="23449" xr:uid="{00000000-0005-0000-0000-0000895B0000}"/>
    <cellStyle name="Input [yellow] 2" xfId="23450" xr:uid="{00000000-0005-0000-0000-00008A5B0000}"/>
    <cellStyle name="Input [yellow] 3" xfId="23451" xr:uid="{00000000-0005-0000-0000-00008B5B0000}"/>
    <cellStyle name="Input 2" xfId="23452" xr:uid="{00000000-0005-0000-0000-00008C5B0000}"/>
    <cellStyle name="Input 3" xfId="23453" xr:uid="{00000000-0005-0000-0000-00008D5B0000}"/>
    <cellStyle name="Input blu" xfId="23454" xr:uid="{00000000-0005-0000-0000-00008E5B0000}"/>
    <cellStyle name="Input Cells" xfId="23455" xr:uid="{00000000-0005-0000-0000-00008F5B0000}"/>
    <cellStyle name="Input colorato" xfId="23456" xr:uid="{00000000-0005-0000-0000-0000905B0000}"/>
    <cellStyle name="Input colorato 10" xfId="23457" xr:uid="{00000000-0005-0000-0000-0000915B0000}"/>
    <cellStyle name="Input colorato_Cartel1" xfId="23458" xr:uid="{00000000-0005-0000-0000-0000925B0000}"/>
    <cellStyle name="Input_~1413058" xfId="23459" xr:uid="{00000000-0005-0000-0000-0000935B0000}"/>
    <cellStyle name="Input2" xfId="23460" xr:uid="{00000000-0005-0000-0000-0000945B0000}"/>
    <cellStyle name="INPUTS" xfId="23461" xr:uid="{00000000-0005-0000-0000-0000955B0000}"/>
    <cellStyle name="Invisible" xfId="23462" xr:uid="{00000000-0005-0000-0000-0000965B0000}"/>
    <cellStyle name="jpm standard" xfId="23463" xr:uid="{00000000-0005-0000-0000-0000975B0000}"/>
    <cellStyle name="kjk" xfId="23464" xr:uid="{00000000-0005-0000-0000-0000985B0000}"/>
    <cellStyle name="label" xfId="23465" xr:uid="{00000000-0005-0000-0000-0000995B0000}"/>
    <cellStyle name="Link Currency (0)" xfId="23466" xr:uid="{00000000-0005-0000-0000-00009A5B0000}"/>
    <cellStyle name="Link Currency (2)" xfId="23467" xr:uid="{00000000-0005-0000-0000-00009B5B0000}"/>
    <cellStyle name="Link Units (0)" xfId="23468" xr:uid="{00000000-0005-0000-0000-00009C5B0000}"/>
    <cellStyle name="Link Units (1)" xfId="23469" xr:uid="{00000000-0005-0000-0000-00009D5B0000}"/>
    <cellStyle name="Link Units (2)" xfId="23470" xr:uid="{00000000-0005-0000-0000-00009E5B0000}"/>
    <cellStyle name="Linked Cell" xfId="23471" xr:uid="{00000000-0005-0000-0000-00009F5B0000}"/>
    <cellStyle name="Linked Cell 2" xfId="23472" xr:uid="{00000000-0005-0000-0000-0000A05B0000}"/>
    <cellStyle name="Linked Cells" xfId="23473" xr:uid="{00000000-0005-0000-0000-0000A15B0000}"/>
    <cellStyle name="lista 3" xfId="23474" xr:uid="{00000000-0005-0000-0000-0000A25B0000}"/>
    <cellStyle name="MacroCode" xfId="23475" xr:uid="{00000000-0005-0000-0000-0000A35B0000}"/>
    <cellStyle name="main_input" xfId="23476" xr:uid="{00000000-0005-0000-0000-0000A45B0000}"/>
    <cellStyle name="Migliaia (0)_0601PI" xfId="23477" xr:uid="{00000000-0005-0000-0000-0000A55B0000}"/>
    <cellStyle name="Migliaia [0]_02 Databook Agosto03-10" xfId="23478" xr:uid="{00000000-0005-0000-0000-0000A65B0000}"/>
    <cellStyle name="Migliaia_BALANCE.XLS" xfId="23479" xr:uid="{00000000-0005-0000-0000-0000A75B0000}"/>
    <cellStyle name="Mike" xfId="23480" xr:uid="{00000000-0005-0000-0000-0000A85B0000}"/>
    <cellStyle name="Miliardi" xfId="23481" xr:uid="{00000000-0005-0000-0000-0000A95B0000}"/>
    <cellStyle name="Millares" xfId="44" builtinId="3"/>
    <cellStyle name="Millares [0,1]" xfId="23482" xr:uid="{00000000-0005-0000-0000-0000AB5B0000}"/>
    <cellStyle name="Millares [0,1] 2" xfId="23483" xr:uid="{00000000-0005-0000-0000-0000AC5B0000}"/>
    <cellStyle name="Millares [0.0]" xfId="23484" xr:uid="{00000000-0005-0000-0000-0000AD5B0000}"/>
    <cellStyle name="Millares [0.0] 2" xfId="23485" xr:uid="{00000000-0005-0000-0000-0000AE5B0000}"/>
    <cellStyle name="Millares [0.1]" xfId="23486" xr:uid="{00000000-0005-0000-0000-0000AF5B0000}"/>
    <cellStyle name="Millares [0.1] 2" xfId="23487" xr:uid="{00000000-0005-0000-0000-0000B05B0000}"/>
    <cellStyle name="Millares [0] 2" xfId="23488" xr:uid="{00000000-0005-0000-0000-0000B15B0000}"/>
    <cellStyle name="Millares [0] 2 10" xfId="23489" xr:uid="{00000000-0005-0000-0000-0000B25B0000}"/>
    <cellStyle name="Millares [0] 2 11" xfId="23490" xr:uid="{00000000-0005-0000-0000-0000B35B0000}"/>
    <cellStyle name="Millares [0] 2 12" xfId="23491" xr:uid="{00000000-0005-0000-0000-0000B45B0000}"/>
    <cellStyle name="Millares [0] 2 13" xfId="23492" xr:uid="{00000000-0005-0000-0000-0000B55B0000}"/>
    <cellStyle name="Millares [0] 2 14" xfId="23493" xr:uid="{00000000-0005-0000-0000-0000B65B0000}"/>
    <cellStyle name="Millares [0] 2 15" xfId="23494" xr:uid="{00000000-0005-0000-0000-0000B75B0000}"/>
    <cellStyle name="Millares [0] 2 16" xfId="23495" xr:uid="{00000000-0005-0000-0000-0000B85B0000}"/>
    <cellStyle name="Millares [0] 2 17" xfId="23496" xr:uid="{00000000-0005-0000-0000-0000B95B0000}"/>
    <cellStyle name="Millares [0] 2 18" xfId="23497" xr:uid="{00000000-0005-0000-0000-0000BA5B0000}"/>
    <cellStyle name="Millares [0] 2 19" xfId="23498" xr:uid="{00000000-0005-0000-0000-0000BB5B0000}"/>
    <cellStyle name="Millares [0] 2 2" xfId="23499" xr:uid="{00000000-0005-0000-0000-0000BC5B0000}"/>
    <cellStyle name="Millares [0] 2 20" xfId="23500" xr:uid="{00000000-0005-0000-0000-0000BD5B0000}"/>
    <cellStyle name="Millares [0] 2 21" xfId="23501" xr:uid="{00000000-0005-0000-0000-0000BE5B0000}"/>
    <cellStyle name="Millares [0] 2 22" xfId="23502" xr:uid="{00000000-0005-0000-0000-0000BF5B0000}"/>
    <cellStyle name="Millares [0] 2 23" xfId="23503" xr:uid="{00000000-0005-0000-0000-0000C05B0000}"/>
    <cellStyle name="Millares [0] 2 24" xfId="23504" xr:uid="{00000000-0005-0000-0000-0000C15B0000}"/>
    <cellStyle name="Millares [0] 2 25" xfId="36233" xr:uid="{00000000-0005-0000-0000-0000C25B0000}"/>
    <cellStyle name="Millares [0] 2 3" xfId="23505" xr:uid="{00000000-0005-0000-0000-0000C35B0000}"/>
    <cellStyle name="Millares [0] 2 4" xfId="23506" xr:uid="{00000000-0005-0000-0000-0000C45B0000}"/>
    <cellStyle name="Millares [0] 2 5" xfId="23507" xr:uid="{00000000-0005-0000-0000-0000C55B0000}"/>
    <cellStyle name="Millares [0] 2 6" xfId="23508" xr:uid="{00000000-0005-0000-0000-0000C65B0000}"/>
    <cellStyle name="Millares [0] 2 7" xfId="23509" xr:uid="{00000000-0005-0000-0000-0000C75B0000}"/>
    <cellStyle name="Millares [0] 2 8" xfId="23510" xr:uid="{00000000-0005-0000-0000-0000C85B0000}"/>
    <cellStyle name="Millares [0] 2 9" xfId="23511" xr:uid="{00000000-0005-0000-0000-0000C95B0000}"/>
    <cellStyle name="Millares [0] 3" xfId="23512" xr:uid="{00000000-0005-0000-0000-0000CA5B0000}"/>
    <cellStyle name="Millares [0] 3 10" xfId="23513" xr:uid="{00000000-0005-0000-0000-0000CB5B0000}"/>
    <cellStyle name="Millares [0] 3 11" xfId="23514" xr:uid="{00000000-0005-0000-0000-0000CC5B0000}"/>
    <cellStyle name="Millares [0] 3 12" xfId="23515" xr:uid="{00000000-0005-0000-0000-0000CD5B0000}"/>
    <cellStyle name="Millares [0] 3 13" xfId="23516" xr:uid="{00000000-0005-0000-0000-0000CE5B0000}"/>
    <cellStyle name="Millares [0] 3 14" xfId="23517" xr:uid="{00000000-0005-0000-0000-0000CF5B0000}"/>
    <cellStyle name="Millares [0] 3 15" xfId="23518" xr:uid="{00000000-0005-0000-0000-0000D05B0000}"/>
    <cellStyle name="Millares [0] 3 16" xfId="23519" xr:uid="{00000000-0005-0000-0000-0000D15B0000}"/>
    <cellStyle name="Millares [0] 3 17" xfId="23520" xr:uid="{00000000-0005-0000-0000-0000D25B0000}"/>
    <cellStyle name="Millares [0] 3 18" xfId="23521" xr:uid="{00000000-0005-0000-0000-0000D35B0000}"/>
    <cellStyle name="Millares [0] 3 19" xfId="23522" xr:uid="{00000000-0005-0000-0000-0000D45B0000}"/>
    <cellStyle name="Millares [0] 3 2" xfId="23523" xr:uid="{00000000-0005-0000-0000-0000D55B0000}"/>
    <cellStyle name="Millares [0] 3 20" xfId="23524" xr:uid="{00000000-0005-0000-0000-0000D65B0000}"/>
    <cellStyle name="Millares [0] 3 21" xfId="23525" xr:uid="{00000000-0005-0000-0000-0000D75B0000}"/>
    <cellStyle name="Millares [0] 3 22" xfId="23526" xr:uid="{00000000-0005-0000-0000-0000D85B0000}"/>
    <cellStyle name="Millares [0] 3 23" xfId="23527" xr:uid="{00000000-0005-0000-0000-0000D95B0000}"/>
    <cellStyle name="Millares [0] 3 24" xfId="23528" xr:uid="{00000000-0005-0000-0000-0000DA5B0000}"/>
    <cellStyle name="Millares [0] 3 3" xfId="23529" xr:uid="{00000000-0005-0000-0000-0000DB5B0000}"/>
    <cellStyle name="Millares [0] 3 4" xfId="23530" xr:uid="{00000000-0005-0000-0000-0000DC5B0000}"/>
    <cellStyle name="Millares [0] 3 5" xfId="23531" xr:uid="{00000000-0005-0000-0000-0000DD5B0000}"/>
    <cellStyle name="Millares [0] 3 6" xfId="23532" xr:uid="{00000000-0005-0000-0000-0000DE5B0000}"/>
    <cellStyle name="Millares [0] 3 7" xfId="23533" xr:uid="{00000000-0005-0000-0000-0000DF5B0000}"/>
    <cellStyle name="Millares [0] 3 8" xfId="23534" xr:uid="{00000000-0005-0000-0000-0000E05B0000}"/>
    <cellStyle name="Millares [0] 3 9" xfId="23535" xr:uid="{00000000-0005-0000-0000-0000E15B0000}"/>
    <cellStyle name="Millares [0] 4" xfId="23536" xr:uid="{00000000-0005-0000-0000-0000E25B0000}"/>
    <cellStyle name="Millares [0] 4 2" xfId="23537" xr:uid="{00000000-0005-0000-0000-0000E35B0000}"/>
    <cellStyle name="Millares [0] 5" xfId="23538" xr:uid="{00000000-0005-0000-0000-0000E45B0000}"/>
    <cellStyle name="Millares [1]" xfId="23539" xr:uid="{00000000-0005-0000-0000-0000E55B0000}"/>
    <cellStyle name="Millares [1] 2" xfId="23540" xr:uid="{00000000-0005-0000-0000-0000E65B0000}"/>
    <cellStyle name="Millares [2]" xfId="23541" xr:uid="{00000000-0005-0000-0000-0000E75B0000}"/>
    <cellStyle name="Millares [2] 2" xfId="23542" xr:uid="{00000000-0005-0000-0000-0000E85B0000}"/>
    <cellStyle name="Millares [3]" xfId="23543" xr:uid="{00000000-0005-0000-0000-0000E95B0000}"/>
    <cellStyle name="Millares [3] 2" xfId="23544" xr:uid="{00000000-0005-0000-0000-0000EA5B0000}"/>
    <cellStyle name="Millares 10" xfId="23545" xr:uid="{00000000-0005-0000-0000-0000EB5B0000}"/>
    <cellStyle name="Millares 10 10" xfId="23546" xr:uid="{00000000-0005-0000-0000-0000EC5B0000}"/>
    <cellStyle name="Millares 10 11" xfId="23547" xr:uid="{00000000-0005-0000-0000-0000ED5B0000}"/>
    <cellStyle name="Millares 10 12" xfId="23548" xr:uid="{00000000-0005-0000-0000-0000EE5B0000}"/>
    <cellStyle name="Millares 10 13" xfId="23549" xr:uid="{00000000-0005-0000-0000-0000EF5B0000}"/>
    <cellStyle name="Millares 10 14" xfId="23550" xr:uid="{00000000-0005-0000-0000-0000F05B0000}"/>
    <cellStyle name="Millares 10 15" xfId="23551" xr:uid="{00000000-0005-0000-0000-0000F15B0000}"/>
    <cellStyle name="Millares 10 16" xfId="23552" xr:uid="{00000000-0005-0000-0000-0000F25B0000}"/>
    <cellStyle name="Millares 10 17" xfId="23553" xr:uid="{00000000-0005-0000-0000-0000F35B0000}"/>
    <cellStyle name="Millares 10 18" xfId="23554" xr:uid="{00000000-0005-0000-0000-0000F45B0000}"/>
    <cellStyle name="Millares 10 19" xfId="23555" xr:uid="{00000000-0005-0000-0000-0000F55B0000}"/>
    <cellStyle name="Millares 10 2" xfId="23556" xr:uid="{00000000-0005-0000-0000-0000F65B0000}"/>
    <cellStyle name="Millares 10 20" xfId="23557" xr:uid="{00000000-0005-0000-0000-0000F75B0000}"/>
    <cellStyle name="Millares 10 21" xfId="23558" xr:uid="{00000000-0005-0000-0000-0000F85B0000}"/>
    <cellStyle name="Millares 10 22" xfId="23559" xr:uid="{00000000-0005-0000-0000-0000F95B0000}"/>
    <cellStyle name="Millares 10 23" xfId="23560" xr:uid="{00000000-0005-0000-0000-0000FA5B0000}"/>
    <cellStyle name="Millares 10 24" xfId="23561" xr:uid="{00000000-0005-0000-0000-0000FB5B0000}"/>
    <cellStyle name="Millares 10 25" xfId="23562" xr:uid="{00000000-0005-0000-0000-0000FC5B0000}"/>
    <cellStyle name="Millares 10 26" xfId="23563" xr:uid="{00000000-0005-0000-0000-0000FD5B0000}"/>
    <cellStyle name="Millares 10 27" xfId="23564" xr:uid="{00000000-0005-0000-0000-0000FE5B0000}"/>
    <cellStyle name="Millares 10 28" xfId="23565" xr:uid="{00000000-0005-0000-0000-0000FF5B0000}"/>
    <cellStyle name="Millares 10 29" xfId="23566" xr:uid="{00000000-0005-0000-0000-0000005C0000}"/>
    <cellStyle name="Millares 10 3" xfId="23567" xr:uid="{00000000-0005-0000-0000-0000015C0000}"/>
    <cellStyle name="Millares 10 30" xfId="23568" xr:uid="{00000000-0005-0000-0000-0000025C0000}"/>
    <cellStyle name="Millares 10 31" xfId="23569" xr:uid="{00000000-0005-0000-0000-0000035C0000}"/>
    <cellStyle name="Millares 10 32" xfId="23570" xr:uid="{00000000-0005-0000-0000-0000045C0000}"/>
    <cellStyle name="Millares 10 33" xfId="36237" xr:uid="{00000000-0005-0000-0000-0000055C0000}"/>
    <cellStyle name="Millares 10 4" xfId="23571" xr:uid="{00000000-0005-0000-0000-0000065C0000}"/>
    <cellStyle name="Millares 10 5" xfId="23572" xr:uid="{00000000-0005-0000-0000-0000075C0000}"/>
    <cellStyle name="Millares 10 6" xfId="23573" xr:uid="{00000000-0005-0000-0000-0000085C0000}"/>
    <cellStyle name="Millares 10 7" xfId="23574" xr:uid="{00000000-0005-0000-0000-0000095C0000}"/>
    <cellStyle name="Millares 10 8" xfId="23575" xr:uid="{00000000-0005-0000-0000-00000A5C0000}"/>
    <cellStyle name="Millares 10 9" xfId="23576" xr:uid="{00000000-0005-0000-0000-00000B5C0000}"/>
    <cellStyle name="Millares 11" xfId="23577" xr:uid="{00000000-0005-0000-0000-00000C5C0000}"/>
    <cellStyle name="Millares 11 10" xfId="23578" xr:uid="{00000000-0005-0000-0000-00000D5C0000}"/>
    <cellStyle name="Millares 11 11" xfId="23579" xr:uid="{00000000-0005-0000-0000-00000E5C0000}"/>
    <cellStyle name="Millares 11 12" xfId="23580" xr:uid="{00000000-0005-0000-0000-00000F5C0000}"/>
    <cellStyle name="Millares 11 13" xfId="23581" xr:uid="{00000000-0005-0000-0000-0000105C0000}"/>
    <cellStyle name="Millares 11 14" xfId="23582" xr:uid="{00000000-0005-0000-0000-0000115C0000}"/>
    <cellStyle name="Millares 11 15" xfId="23583" xr:uid="{00000000-0005-0000-0000-0000125C0000}"/>
    <cellStyle name="Millares 11 16" xfId="23584" xr:uid="{00000000-0005-0000-0000-0000135C0000}"/>
    <cellStyle name="Millares 11 17" xfId="23585" xr:uid="{00000000-0005-0000-0000-0000145C0000}"/>
    <cellStyle name="Millares 11 18" xfId="23586" xr:uid="{00000000-0005-0000-0000-0000155C0000}"/>
    <cellStyle name="Millares 11 19" xfId="23587" xr:uid="{00000000-0005-0000-0000-0000165C0000}"/>
    <cellStyle name="Millares 11 2" xfId="23588" xr:uid="{00000000-0005-0000-0000-0000175C0000}"/>
    <cellStyle name="Millares 11 2 2" xfId="23589" xr:uid="{00000000-0005-0000-0000-0000185C0000}"/>
    <cellStyle name="Millares 11 2 2 2" xfId="23590" xr:uid="{00000000-0005-0000-0000-0000195C0000}"/>
    <cellStyle name="Millares 11 2 2 2 2" xfId="23591" xr:uid="{00000000-0005-0000-0000-00001A5C0000}"/>
    <cellStyle name="Millares 11 2 2 2 2 2" xfId="23592" xr:uid="{00000000-0005-0000-0000-00001B5C0000}"/>
    <cellStyle name="Millares 11 2 2 2 2 2 2" xfId="23593" xr:uid="{00000000-0005-0000-0000-00001C5C0000}"/>
    <cellStyle name="Millares 11 2 2 2 2 3" xfId="23594" xr:uid="{00000000-0005-0000-0000-00001D5C0000}"/>
    <cellStyle name="Millares 11 2 2 2 2 3 2" xfId="23595" xr:uid="{00000000-0005-0000-0000-00001E5C0000}"/>
    <cellStyle name="Millares 11 2 2 2 2 4" xfId="23596" xr:uid="{00000000-0005-0000-0000-00001F5C0000}"/>
    <cellStyle name="Millares 11 2 2 2 3" xfId="23597" xr:uid="{00000000-0005-0000-0000-0000205C0000}"/>
    <cellStyle name="Millares 11 2 2 2 3 2" xfId="23598" xr:uid="{00000000-0005-0000-0000-0000215C0000}"/>
    <cellStyle name="Millares 11 2 2 2 4" xfId="23599" xr:uid="{00000000-0005-0000-0000-0000225C0000}"/>
    <cellStyle name="Millares 11 2 2 2 4 2" xfId="23600" xr:uid="{00000000-0005-0000-0000-0000235C0000}"/>
    <cellStyle name="Millares 11 2 2 2 5" xfId="23601" xr:uid="{00000000-0005-0000-0000-0000245C0000}"/>
    <cellStyle name="Millares 11 2 2 3" xfId="23602" xr:uid="{00000000-0005-0000-0000-0000255C0000}"/>
    <cellStyle name="Millares 11 2 2 3 2" xfId="23603" xr:uid="{00000000-0005-0000-0000-0000265C0000}"/>
    <cellStyle name="Millares 11 2 2 3 2 2" xfId="23604" xr:uid="{00000000-0005-0000-0000-0000275C0000}"/>
    <cellStyle name="Millares 11 2 2 3 3" xfId="23605" xr:uid="{00000000-0005-0000-0000-0000285C0000}"/>
    <cellStyle name="Millares 11 2 2 3 3 2" xfId="23606" xr:uid="{00000000-0005-0000-0000-0000295C0000}"/>
    <cellStyle name="Millares 11 2 2 3 4" xfId="23607" xr:uid="{00000000-0005-0000-0000-00002A5C0000}"/>
    <cellStyle name="Millares 11 2 2 4" xfId="23608" xr:uid="{00000000-0005-0000-0000-00002B5C0000}"/>
    <cellStyle name="Millares 11 2 2 4 2" xfId="23609" xr:uid="{00000000-0005-0000-0000-00002C5C0000}"/>
    <cellStyle name="Millares 11 2 2 5" xfId="23610" xr:uid="{00000000-0005-0000-0000-00002D5C0000}"/>
    <cellStyle name="Millares 11 2 2 5 2" xfId="23611" xr:uid="{00000000-0005-0000-0000-00002E5C0000}"/>
    <cellStyle name="Millares 11 2 2 6" xfId="23612" xr:uid="{00000000-0005-0000-0000-00002F5C0000}"/>
    <cellStyle name="Millares 11 2 3" xfId="23613" xr:uid="{00000000-0005-0000-0000-0000305C0000}"/>
    <cellStyle name="Millares 11 2 3 2" xfId="23614" xr:uid="{00000000-0005-0000-0000-0000315C0000}"/>
    <cellStyle name="Millares 11 2 3 2 2" xfId="23615" xr:uid="{00000000-0005-0000-0000-0000325C0000}"/>
    <cellStyle name="Millares 11 2 3 2 2 2" xfId="23616" xr:uid="{00000000-0005-0000-0000-0000335C0000}"/>
    <cellStyle name="Millares 11 2 3 2 3" xfId="23617" xr:uid="{00000000-0005-0000-0000-0000345C0000}"/>
    <cellStyle name="Millares 11 2 3 2 3 2" xfId="23618" xr:uid="{00000000-0005-0000-0000-0000355C0000}"/>
    <cellStyle name="Millares 11 2 3 2 4" xfId="23619" xr:uid="{00000000-0005-0000-0000-0000365C0000}"/>
    <cellStyle name="Millares 11 2 3 3" xfId="23620" xr:uid="{00000000-0005-0000-0000-0000375C0000}"/>
    <cellStyle name="Millares 11 2 3 3 2" xfId="23621" xr:uid="{00000000-0005-0000-0000-0000385C0000}"/>
    <cellStyle name="Millares 11 2 3 4" xfId="23622" xr:uid="{00000000-0005-0000-0000-0000395C0000}"/>
    <cellStyle name="Millares 11 2 3 4 2" xfId="23623" xr:uid="{00000000-0005-0000-0000-00003A5C0000}"/>
    <cellStyle name="Millares 11 2 3 5" xfId="23624" xr:uid="{00000000-0005-0000-0000-00003B5C0000}"/>
    <cellStyle name="Millares 11 2 4" xfId="23625" xr:uid="{00000000-0005-0000-0000-00003C5C0000}"/>
    <cellStyle name="Millares 11 2 4 2" xfId="23626" xr:uid="{00000000-0005-0000-0000-00003D5C0000}"/>
    <cellStyle name="Millares 11 2 4 2 2" xfId="23627" xr:uid="{00000000-0005-0000-0000-00003E5C0000}"/>
    <cellStyle name="Millares 11 2 4 3" xfId="23628" xr:uid="{00000000-0005-0000-0000-00003F5C0000}"/>
    <cellStyle name="Millares 11 2 4 3 2" xfId="23629" xr:uid="{00000000-0005-0000-0000-0000405C0000}"/>
    <cellStyle name="Millares 11 2 4 4" xfId="23630" xr:uid="{00000000-0005-0000-0000-0000415C0000}"/>
    <cellStyle name="Millares 11 2 5" xfId="23631" xr:uid="{00000000-0005-0000-0000-0000425C0000}"/>
    <cellStyle name="Millares 11 2 5 2" xfId="23632" xr:uid="{00000000-0005-0000-0000-0000435C0000}"/>
    <cellStyle name="Millares 11 2 6" xfId="23633" xr:uid="{00000000-0005-0000-0000-0000445C0000}"/>
    <cellStyle name="Millares 11 2 6 2" xfId="23634" xr:uid="{00000000-0005-0000-0000-0000455C0000}"/>
    <cellStyle name="Millares 11 2 7" xfId="23635" xr:uid="{00000000-0005-0000-0000-0000465C0000}"/>
    <cellStyle name="Millares 11 20" xfId="23636" xr:uid="{00000000-0005-0000-0000-0000475C0000}"/>
    <cellStyle name="Millares 11 21" xfId="23637" xr:uid="{00000000-0005-0000-0000-0000485C0000}"/>
    <cellStyle name="Millares 11 22" xfId="23638" xr:uid="{00000000-0005-0000-0000-0000495C0000}"/>
    <cellStyle name="Millares 11 23" xfId="23639" xr:uid="{00000000-0005-0000-0000-00004A5C0000}"/>
    <cellStyle name="Millares 11 24" xfId="23640" xr:uid="{00000000-0005-0000-0000-00004B5C0000}"/>
    <cellStyle name="Millares 11 25" xfId="23641" xr:uid="{00000000-0005-0000-0000-00004C5C0000}"/>
    <cellStyle name="Millares 11 26" xfId="23642" xr:uid="{00000000-0005-0000-0000-00004D5C0000}"/>
    <cellStyle name="Millares 11 27" xfId="23643" xr:uid="{00000000-0005-0000-0000-00004E5C0000}"/>
    <cellStyle name="Millares 11 28" xfId="23644" xr:uid="{00000000-0005-0000-0000-00004F5C0000}"/>
    <cellStyle name="Millares 11 29" xfId="23645" xr:uid="{00000000-0005-0000-0000-0000505C0000}"/>
    <cellStyle name="Millares 11 3" xfId="23646" xr:uid="{00000000-0005-0000-0000-0000515C0000}"/>
    <cellStyle name="Millares 11 3 2" xfId="23647" xr:uid="{00000000-0005-0000-0000-0000525C0000}"/>
    <cellStyle name="Millares 11 3 2 2" xfId="23648" xr:uid="{00000000-0005-0000-0000-0000535C0000}"/>
    <cellStyle name="Millares 11 3 2 2 2" xfId="23649" xr:uid="{00000000-0005-0000-0000-0000545C0000}"/>
    <cellStyle name="Millares 11 3 2 2 2 2" xfId="23650" xr:uid="{00000000-0005-0000-0000-0000555C0000}"/>
    <cellStyle name="Millares 11 3 2 2 2 2 2" xfId="23651" xr:uid="{00000000-0005-0000-0000-0000565C0000}"/>
    <cellStyle name="Millares 11 3 2 2 2 2 2 2" xfId="23652" xr:uid="{00000000-0005-0000-0000-0000575C0000}"/>
    <cellStyle name="Millares 11 3 2 2 2 2 3" xfId="23653" xr:uid="{00000000-0005-0000-0000-0000585C0000}"/>
    <cellStyle name="Millares 11 3 2 2 2 2 3 2" xfId="23654" xr:uid="{00000000-0005-0000-0000-0000595C0000}"/>
    <cellStyle name="Millares 11 3 2 2 2 2 4" xfId="23655" xr:uid="{00000000-0005-0000-0000-00005A5C0000}"/>
    <cellStyle name="Millares 11 3 2 2 2 3" xfId="23656" xr:uid="{00000000-0005-0000-0000-00005B5C0000}"/>
    <cellStyle name="Millares 11 3 2 2 2 3 2" xfId="23657" xr:uid="{00000000-0005-0000-0000-00005C5C0000}"/>
    <cellStyle name="Millares 11 3 2 2 2 4" xfId="23658" xr:uid="{00000000-0005-0000-0000-00005D5C0000}"/>
    <cellStyle name="Millares 11 3 2 2 2 4 2" xfId="23659" xr:uid="{00000000-0005-0000-0000-00005E5C0000}"/>
    <cellStyle name="Millares 11 3 2 2 2 5" xfId="23660" xr:uid="{00000000-0005-0000-0000-00005F5C0000}"/>
    <cellStyle name="Millares 11 3 2 2 3" xfId="23661" xr:uid="{00000000-0005-0000-0000-0000605C0000}"/>
    <cellStyle name="Millares 11 3 2 2 3 2" xfId="23662" xr:uid="{00000000-0005-0000-0000-0000615C0000}"/>
    <cellStyle name="Millares 11 3 2 2 3 2 2" xfId="23663" xr:uid="{00000000-0005-0000-0000-0000625C0000}"/>
    <cellStyle name="Millares 11 3 2 2 3 3" xfId="23664" xr:uid="{00000000-0005-0000-0000-0000635C0000}"/>
    <cellStyle name="Millares 11 3 2 2 3 3 2" xfId="23665" xr:uid="{00000000-0005-0000-0000-0000645C0000}"/>
    <cellStyle name="Millares 11 3 2 2 3 4" xfId="23666" xr:uid="{00000000-0005-0000-0000-0000655C0000}"/>
    <cellStyle name="Millares 11 3 2 2 4" xfId="23667" xr:uid="{00000000-0005-0000-0000-0000665C0000}"/>
    <cellStyle name="Millares 11 3 2 2 4 2" xfId="23668" xr:uid="{00000000-0005-0000-0000-0000675C0000}"/>
    <cellStyle name="Millares 11 3 2 2 5" xfId="23669" xr:uid="{00000000-0005-0000-0000-0000685C0000}"/>
    <cellStyle name="Millares 11 3 2 2 5 2" xfId="23670" xr:uid="{00000000-0005-0000-0000-0000695C0000}"/>
    <cellStyle name="Millares 11 3 2 2 6" xfId="23671" xr:uid="{00000000-0005-0000-0000-00006A5C0000}"/>
    <cellStyle name="Millares 11 3 2 3" xfId="23672" xr:uid="{00000000-0005-0000-0000-00006B5C0000}"/>
    <cellStyle name="Millares 11 3 2 3 2" xfId="23673" xr:uid="{00000000-0005-0000-0000-00006C5C0000}"/>
    <cellStyle name="Millares 11 3 2 3 2 2" xfId="23674" xr:uid="{00000000-0005-0000-0000-00006D5C0000}"/>
    <cellStyle name="Millares 11 3 2 3 2 2 2" xfId="23675" xr:uid="{00000000-0005-0000-0000-00006E5C0000}"/>
    <cellStyle name="Millares 11 3 2 3 2 3" xfId="23676" xr:uid="{00000000-0005-0000-0000-00006F5C0000}"/>
    <cellStyle name="Millares 11 3 2 3 2 3 2" xfId="23677" xr:uid="{00000000-0005-0000-0000-0000705C0000}"/>
    <cellStyle name="Millares 11 3 2 3 2 4" xfId="23678" xr:uid="{00000000-0005-0000-0000-0000715C0000}"/>
    <cellStyle name="Millares 11 3 2 3 3" xfId="23679" xr:uid="{00000000-0005-0000-0000-0000725C0000}"/>
    <cellStyle name="Millares 11 3 2 3 3 2" xfId="23680" xr:uid="{00000000-0005-0000-0000-0000735C0000}"/>
    <cellStyle name="Millares 11 3 2 3 4" xfId="23681" xr:uid="{00000000-0005-0000-0000-0000745C0000}"/>
    <cellStyle name="Millares 11 3 2 3 4 2" xfId="23682" xr:uid="{00000000-0005-0000-0000-0000755C0000}"/>
    <cellStyle name="Millares 11 3 2 3 5" xfId="23683" xr:uid="{00000000-0005-0000-0000-0000765C0000}"/>
    <cellStyle name="Millares 11 3 2 4" xfId="23684" xr:uid="{00000000-0005-0000-0000-0000775C0000}"/>
    <cellStyle name="Millares 11 3 2 4 2" xfId="23685" xr:uid="{00000000-0005-0000-0000-0000785C0000}"/>
    <cellStyle name="Millares 11 3 2 4 2 2" xfId="23686" xr:uid="{00000000-0005-0000-0000-0000795C0000}"/>
    <cellStyle name="Millares 11 3 2 4 3" xfId="23687" xr:uid="{00000000-0005-0000-0000-00007A5C0000}"/>
    <cellStyle name="Millares 11 3 2 4 3 2" xfId="23688" xr:uid="{00000000-0005-0000-0000-00007B5C0000}"/>
    <cellStyle name="Millares 11 3 2 4 4" xfId="23689" xr:uid="{00000000-0005-0000-0000-00007C5C0000}"/>
    <cellStyle name="Millares 11 3 2 5" xfId="23690" xr:uid="{00000000-0005-0000-0000-00007D5C0000}"/>
    <cellStyle name="Millares 11 3 2 5 2" xfId="23691" xr:uid="{00000000-0005-0000-0000-00007E5C0000}"/>
    <cellStyle name="Millares 11 3 2 6" xfId="23692" xr:uid="{00000000-0005-0000-0000-00007F5C0000}"/>
    <cellStyle name="Millares 11 3 2 6 2" xfId="23693" xr:uid="{00000000-0005-0000-0000-0000805C0000}"/>
    <cellStyle name="Millares 11 3 2 7" xfId="23694" xr:uid="{00000000-0005-0000-0000-0000815C0000}"/>
    <cellStyle name="Millares 11 3 3" xfId="23695" xr:uid="{00000000-0005-0000-0000-0000825C0000}"/>
    <cellStyle name="Millares 11 3 3 2" xfId="23696" xr:uid="{00000000-0005-0000-0000-0000835C0000}"/>
    <cellStyle name="Millares 11 3 3 2 2" xfId="23697" xr:uid="{00000000-0005-0000-0000-0000845C0000}"/>
    <cellStyle name="Millares 11 3 3 2 2 2" xfId="23698" xr:uid="{00000000-0005-0000-0000-0000855C0000}"/>
    <cellStyle name="Millares 11 3 3 2 2 2 2" xfId="23699" xr:uid="{00000000-0005-0000-0000-0000865C0000}"/>
    <cellStyle name="Millares 11 3 3 2 2 3" xfId="23700" xr:uid="{00000000-0005-0000-0000-0000875C0000}"/>
    <cellStyle name="Millares 11 3 3 2 2 3 2" xfId="23701" xr:uid="{00000000-0005-0000-0000-0000885C0000}"/>
    <cellStyle name="Millares 11 3 3 2 2 4" xfId="23702" xr:uid="{00000000-0005-0000-0000-0000895C0000}"/>
    <cellStyle name="Millares 11 3 3 2 3" xfId="23703" xr:uid="{00000000-0005-0000-0000-00008A5C0000}"/>
    <cellStyle name="Millares 11 3 3 2 3 2" xfId="23704" xr:uid="{00000000-0005-0000-0000-00008B5C0000}"/>
    <cellStyle name="Millares 11 3 3 2 4" xfId="23705" xr:uid="{00000000-0005-0000-0000-00008C5C0000}"/>
    <cellStyle name="Millares 11 3 3 2 4 2" xfId="23706" xr:uid="{00000000-0005-0000-0000-00008D5C0000}"/>
    <cellStyle name="Millares 11 3 3 2 5" xfId="23707" xr:uid="{00000000-0005-0000-0000-00008E5C0000}"/>
    <cellStyle name="Millares 11 3 3 3" xfId="23708" xr:uid="{00000000-0005-0000-0000-00008F5C0000}"/>
    <cellStyle name="Millares 11 3 3 3 2" xfId="23709" xr:uid="{00000000-0005-0000-0000-0000905C0000}"/>
    <cellStyle name="Millares 11 3 3 3 2 2" xfId="23710" xr:uid="{00000000-0005-0000-0000-0000915C0000}"/>
    <cellStyle name="Millares 11 3 3 3 3" xfId="23711" xr:uid="{00000000-0005-0000-0000-0000925C0000}"/>
    <cellStyle name="Millares 11 3 3 3 3 2" xfId="23712" xr:uid="{00000000-0005-0000-0000-0000935C0000}"/>
    <cellStyle name="Millares 11 3 3 3 4" xfId="23713" xr:uid="{00000000-0005-0000-0000-0000945C0000}"/>
    <cellStyle name="Millares 11 3 3 4" xfId="23714" xr:uid="{00000000-0005-0000-0000-0000955C0000}"/>
    <cellStyle name="Millares 11 3 3 4 2" xfId="23715" xr:uid="{00000000-0005-0000-0000-0000965C0000}"/>
    <cellStyle name="Millares 11 3 3 5" xfId="23716" xr:uid="{00000000-0005-0000-0000-0000975C0000}"/>
    <cellStyle name="Millares 11 3 3 5 2" xfId="23717" xr:uid="{00000000-0005-0000-0000-0000985C0000}"/>
    <cellStyle name="Millares 11 3 3 6" xfId="23718" xr:uid="{00000000-0005-0000-0000-0000995C0000}"/>
    <cellStyle name="Millares 11 3 4" xfId="23719" xr:uid="{00000000-0005-0000-0000-00009A5C0000}"/>
    <cellStyle name="Millares 11 3 4 2" xfId="23720" xr:uid="{00000000-0005-0000-0000-00009B5C0000}"/>
    <cellStyle name="Millares 11 3 4 2 2" xfId="23721" xr:uid="{00000000-0005-0000-0000-00009C5C0000}"/>
    <cellStyle name="Millares 11 3 4 2 2 2" xfId="23722" xr:uid="{00000000-0005-0000-0000-00009D5C0000}"/>
    <cellStyle name="Millares 11 3 4 2 3" xfId="23723" xr:uid="{00000000-0005-0000-0000-00009E5C0000}"/>
    <cellStyle name="Millares 11 3 4 2 3 2" xfId="23724" xr:uid="{00000000-0005-0000-0000-00009F5C0000}"/>
    <cellStyle name="Millares 11 3 4 2 4" xfId="23725" xr:uid="{00000000-0005-0000-0000-0000A05C0000}"/>
    <cellStyle name="Millares 11 3 4 3" xfId="23726" xr:uid="{00000000-0005-0000-0000-0000A15C0000}"/>
    <cellStyle name="Millares 11 3 4 3 2" xfId="23727" xr:uid="{00000000-0005-0000-0000-0000A25C0000}"/>
    <cellStyle name="Millares 11 3 4 4" xfId="23728" xr:uid="{00000000-0005-0000-0000-0000A35C0000}"/>
    <cellStyle name="Millares 11 3 4 4 2" xfId="23729" xr:uid="{00000000-0005-0000-0000-0000A45C0000}"/>
    <cellStyle name="Millares 11 3 4 5" xfId="23730" xr:uid="{00000000-0005-0000-0000-0000A55C0000}"/>
    <cellStyle name="Millares 11 3 5" xfId="23731" xr:uid="{00000000-0005-0000-0000-0000A65C0000}"/>
    <cellStyle name="Millares 11 3 5 2" xfId="23732" xr:uid="{00000000-0005-0000-0000-0000A75C0000}"/>
    <cellStyle name="Millares 11 3 5 2 2" xfId="23733" xr:uid="{00000000-0005-0000-0000-0000A85C0000}"/>
    <cellStyle name="Millares 11 3 5 3" xfId="23734" xr:uid="{00000000-0005-0000-0000-0000A95C0000}"/>
    <cellStyle name="Millares 11 3 5 3 2" xfId="23735" xr:uid="{00000000-0005-0000-0000-0000AA5C0000}"/>
    <cellStyle name="Millares 11 3 5 4" xfId="23736" xr:uid="{00000000-0005-0000-0000-0000AB5C0000}"/>
    <cellStyle name="Millares 11 3 6" xfId="23737" xr:uid="{00000000-0005-0000-0000-0000AC5C0000}"/>
    <cellStyle name="Millares 11 3 6 2" xfId="23738" xr:uid="{00000000-0005-0000-0000-0000AD5C0000}"/>
    <cellStyle name="Millares 11 3 7" xfId="23739" xr:uid="{00000000-0005-0000-0000-0000AE5C0000}"/>
    <cellStyle name="Millares 11 3 7 2" xfId="23740" xr:uid="{00000000-0005-0000-0000-0000AF5C0000}"/>
    <cellStyle name="Millares 11 3 8" xfId="23741" xr:uid="{00000000-0005-0000-0000-0000B05C0000}"/>
    <cellStyle name="Millares 11 30" xfId="23742" xr:uid="{00000000-0005-0000-0000-0000B15C0000}"/>
    <cellStyle name="Millares 11 31" xfId="23743" xr:uid="{00000000-0005-0000-0000-0000B25C0000}"/>
    <cellStyle name="Millares 11 32" xfId="23744" xr:uid="{00000000-0005-0000-0000-0000B35C0000}"/>
    <cellStyle name="Millares 11 33" xfId="23745" xr:uid="{00000000-0005-0000-0000-0000B45C0000}"/>
    <cellStyle name="Millares 11 34" xfId="23746" xr:uid="{00000000-0005-0000-0000-0000B55C0000}"/>
    <cellStyle name="Millares 11 35" xfId="23747" xr:uid="{00000000-0005-0000-0000-0000B65C0000}"/>
    <cellStyle name="Millares 11 36" xfId="23748" xr:uid="{00000000-0005-0000-0000-0000B75C0000}"/>
    <cellStyle name="Millares 11 37" xfId="23749" xr:uid="{00000000-0005-0000-0000-0000B85C0000}"/>
    <cellStyle name="Millares 11 38" xfId="23750" xr:uid="{00000000-0005-0000-0000-0000B95C0000}"/>
    <cellStyle name="Millares 11 39" xfId="23751" xr:uid="{00000000-0005-0000-0000-0000BA5C0000}"/>
    <cellStyle name="Millares 11 4" xfId="23752" xr:uid="{00000000-0005-0000-0000-0000BB5C0000}"/>
    <cellStyle name="Millares 11 4 2" xfId="23753" xr:uid="{00000000-0005-0000-0000-0000BC5C0000}"/>
    <cellStyle name="Millares 11 4 2 2" xfId="23754" xr:uid="{00000000-0005-0000-0000-0000BD5C0000}"/>
    <cellStyle name="Millares 11 4 2 2 2" xfId="23755" xr:uid="{00000000-0005-0000-0000-0000BE5C0000}"/>
    <cellStyle name="Millares 11 4 2 2 2 2" xfId="23756" xr:uid="{00000000-0005-0000-0000-0000BF5C0000}"/>
    <cellStyle name="Millares 11 4 2 2 3" xfId="23757" xr:uid="{00000000-0005-0000-0000-0000C05C0000}"/>
    <cellStyle name="Millares 11 4 2 2 3 2" xfId="23758" xr:uid="{00000000-0005-0000-0000-0000C15C0000}"/>
    <cellStyle name="Millares 11 4 2 2 4" xfId="23759" xr:uid="{00000000-0005-0000-0000-0000C25C0000}"/>
    <cellStyle name="Millares 11 4 2 3" xfId="23760" xr:uid="{00000000-0005-0000-0000-0000C35C0000}"/>
    <cellStyle name="Millares 11 4 2 3 2" xfId="23761" xr:uid="{00000000-0005-0000-0000-0000C45C0000}"/>
    <cellStyle name="Millares 11 4 2 4" xfId="23762" xr:uid="{00000000-0005-0000-0000-0000C55C0000}"/>
    <cellStyle name="Millares 11 4 2 4 2" xfId="23763" xr:uid="{00000000-0005-0000-0000-0000C65C0000}"/>
    <cellStyle name="Millares 11 4 2 5" xfId="23764" xr:uid="{00000000-0005-0000-0000-0000C75C0000}"/>
    <cellStyle name="Millares 11 4 3" xfId="23765" xr:uid="{00000000-0005-0000-0000-0000C85C0000}"/>
    <cellStyle name="Millares 11 4 3 2" xfId="23766" xr:uid="{00000000-0005-0000-0000-0000C95C0000}"/>
    <cellStyle name="Millares 11 4 3 2 2" xfId="23767" xr:uid="{00000000-0005-0000-0000-0000CA5C0000}"/>
    <cellStyle name="Millares 11 4 3 3" xfId="23768" xr:uid="{00000000-0005-0000-0000-0000CB5C0000}"/>
    <cellStyle name="Millares 11 4 3 3 2" xfId="23769" xr:uid="{00000000-0005-0000-0000-0000CC5C0000}"/>
    <cellStyle name="Millares 11 4 3 4" xfId="23770" xr:uid="{00000000-0005-0000-0000-0000CD5C0000}"/>
    <cellStyle name="Millares 11 4 4" xfId="23771" xr:uid="{00000000-0005-0000-0000-0000CE5C0000}"/>
    <cellStyle name="Millares 11 4 4 2" xfId="23772" xr:uid="{00000000-0005-0000-0000-0000CF5C0000}"/>
    <cellStyle name="Millares 11 4 5" xfId="23773" xr:uid="{00000000-0005-0000-0000-0000D05C0000}"/>
    <cellStyle name="Millares 11 4 5 2" xfId="23774" xr:uid="{00000000-0005-0000-0000-0000D15C0000}"/>
    <cellStyle name="Millares 11 4 6" xfId="23775" xr:uid="{00000000-0005-0000-0000-0000D25C0000}"/>
    <cellStyle name="Millares 11 40" xfId="23776" xr:uid="{00000000-0005-0000-0000-0000D35C0000}"/>
    <cellStyle name="Millares 11 41" xfId="23777" xr:uid="{00000000-0005-0000-0000-0000D45C0000}"/>
    <cellStyle name="Millares 11 42" xfId="23778" xr:uid="{00000000-0005-0000-0000-0000D55C0000}"/>
    <cellStyle name="Millares 11 43" xfId="23779" xr:uid="{00000000-0005-0000-0000-0000D65C0000}"/>
    <cellStyle name="Millares 11 44" xfId="23780" xr:uid="{00000000-0005-0000-0000-0000D75C0000}"/>
    <cellStyle name="Millares 11 45" xfId="23781" xr:uid="{00000000-0005-0000-0000-0000D85C0000}"/>
    <cellStyle name="Millares 11 46" xfId="36239" xr:uid="{00000000-0005-0000-0000-0000D95C0000}"/>
    <cellStyle name="Millares 11 5" xfId="23782" xr:uid="{00000000-0005-0000-0000-0000DA5C0000}"/>
    <cellStyle name="Millares 11 5 2" xfId="23783" xr:uid="{00000000-0005-0000-0000-0000DB5C0000}"/>
    <cellStyle name="Millares 11 5 2 2" xfId="23784" xr:uid="{00000000-0005-0000-0000-0000DC5C0000}"/>
    <cellStyle name="Millares 11 5 2 2 2" xfId="23785" xr:uid="{00000000-0005-0000-0000-0000DD5C0000}"/>
    <cellStyle name="Millares 11 5 2 3" xfId="23786" xr:uid="{00000000-0005-0000-0000-0000DE5C0000}"/>
    <cellStyle name="Millares 11 5 2 3 2" xfId="23787" xr:uid="{00000000-0005-0000-0000-0000DF5C0000}"/>
    <cellStyle name="Millares 11 5 2 4" xfId="23788" xr:uid="{00000000-0005-0000-0000-0000E05C0000}"/>
    <cellStyle name="Millares 11 5 3" xfId="23789" xr:uid="{00000000-0005-0000-0000-0000E15C0000}"/>
    <cellStyle name="Millares 11 5 3 2" xfId="23790" xr:uid="{00000000-0005-0000-0000-0000E25C0000}"/>
    <cellStyle name="Millares 11 5 4" xfId="23791" xr:uid="{00000000-0005-0000-0000-0000E35C0000}"/>
    <cellStyle name="Millares 11 5 4 2" xfId="23792" xr:uid="{00000000-0005-0000-0000-0000E45C0000}"/>
    <cellStyle name="Millares 11 5 5" xfId="23793" xr:uid="{00000000-0005-0000-0000-0000E55C0000}"/>
    <cellStyle name="Millares 11 6" xfId="23794" xr:uid="{00000000-0005-0000-0000-0000E65C0000}"/>
    <cellStyle name="Millares 11 6 2" xfId="23795" xr:uid="{00000000-0005-0000-0000-0000E75C0000}"/>
    <cellStyle name="Millares 11 6 2 2" xfId="23796" xr:uid="{00000000-0005-0000-0000-0000E85C0000}"/>
    <cellStyle name="Millares 11 6 3" xfId="23797" xr:uid="{00000000-0005-0000-0000-0000E95C0000}"/>
    <cellStyle name="Millares 11 6 3 2" xfId="23798" xr:uid="{00000000-0005-0000-0000-0000EA5C0000}"/>
    <cellStyle name="Millares 11 6 4" xfId="23799" xr:uid="{00000000-0005-0000-0000-0000EB5C0000}"/>
    <cellStyle name="Millares 11 7" xfId="23800" xr:uid="{00000000-0005-0000-0000-0000EC5C0000}"/>
    <cellStyle name="Millares 11 7 2" xfId="23801" xr:uid="{00000000-0005-0000-0000-0000ED5C0000}"/>
    <cellStyle name="Millares 11 8" xfId="23802" xr:uid="{00000000-0005-0000-0000-0000EE5C0000}"/>
    <cellStyle name="Millares 11 8 2" xfId="23803" xr:uid="{00000000-0005-0000-0000-0000EF5C0000}"/>
    <cellStyle name="Millares 11 9" xfId="23804" xr:uid="{00000000-0005-0000-0000-0000F05C0000}"/>
    <cellStyle name="Millares 12" xfId="23805" xr:uid="{00000000-0005-0000-0000-0000F15C0000}"/>
    <cellStyle name="Millares 12 10" xfId="23806" xr:uid="{00000000-0005-0000-0000-0000F25C0000}"/>
    <cellStyle name="Millares 12 11" xfId="23807" xr:uid="{00000000-0005-0000-0000-0000F35C0000}"/>
    <cellStyle name="Millares 12 12" xfId="23808" xr:uid="{00000000-0005-0000-0000-0000F45C0000}"/>
    <cellStyle name="Millares 12 13" xfId="23809" xr:uid="{00000000-0005-0000-0000-0000F55C0000}"/>
    <cellStyle name="Millares 12 14" xfId="23810" xr:uid="{00000000-0005-0000-0000-0000F65C0000}"/>
    <cellStyle name="Millares 12 15" xfId="23811" xr:uid="{00000000-0005-0000-0000-0000F75C0000}"/>
    <cellStyle name="Millares 12 16" xfId="23812" xr:uid="{00000000-0005-0000-0000-0000F85C0000}"/>
    <cellStyle name="Millares 12 17" xfId="23813" xr:uid="{00000000-0005-0000-0000-0000F95C0000}"/>
    <cellStyle name="Millares 12 18" xfId="23814" xr:uid="{00000000-0005-0000-0000-0000FA5C0000}"/>
    <cellStyle name="Millares 12 19" xfId="23815" xr:uid="{00000000-0005-0000-0000-0000FB5C0000}"/>
    <cellStyle name="Millares 12 2" xfId="23816" xr:uid="{00000000-0005-0000-0000-0000FC5C0000}"/>
    <cellStyle name="Millares 12 2 2" xfId="23817" xr:uid="{00000000-0005-0000-0000-0000FD5C0000}"/>
    <cellStyle name="Millares 12 2 2 2" xfId="23818" xr:uid="{00000000-0005-0000-0000-0000FE5C0000}"/>
    <cellStyle name="Millares 12 2 2 2 2" xfId="23819" xr:uid="{00000000-0005-0000-0000-0000FF5C0000}"/>
    <cellStyle name="Millares 12 2 2 2 2 2" xfId="23820" xr:uid="{00000000-0005-0000-0000-0000005D0000}"/>
    <cellStyle name="Millares 12 2 2 2 2 2 2" xfId="23821" xr:uid="{00000000-0005-0000-0000-0000015D0000}"/>
    <cellStyle name="Millares 12 2 2 2 2 3" xfId="23822" xr:uid="{00000000-0005-0000-0000-0000025D0000}"/>
    <cellStyle name="Millares 12 2 2 2 2 3 2" xfId="23823" xr:uid="{00000000-0005-0000-0000-0000035D0000}"/>
    <cellStyle name="Millares 12 2 2 2 2 4" xfId="23824" xr:uid="{00000000-0005-0000-0000-0000045D0000}"/>
    <cellStyle name="Millares 12 2 2 2 3" xfId="23825" xr:uid="{00000000-0005-0000-0000-0000055D0000}"/>
    <cellStyle name="Millares 12 2 2 2 3 2" xfId="23826" xr:uid="{00000000-0005-0000-0000-0000065D0000}"/>
    <cellStyle name="Millares 12 2 2 2 4" xfId="23827" xr:uid="{00000000-0005-0000-0000-0000075D0000}"/>
    <cellStyle name="Millares 12 2 2 2 4 2" xfId="23828" xr:uid="{00000000-0005-0000-0000-0000085D0000}"/>
    <cellStyle name="Millares 12 2 2 2 5" xfId="23829" xr:uid="{00000000-0005-0000-0000-0000095D0000}"/>
    <cellStyle name="Millares 12 2 2 3" xfId="23830" xr:uid="{00000000-0005-0000-0000-00000A5D0000}"/>
    <cellStyle name="Millares 12 2 2 3 2" xfId="23831" xr:uid="{00000000-0005-0000-0000-00000B5D0000}"/>
    <cellStyle name="Millares 12 2 2 3 2 2" xfId="23832" xr:uid="{00000000-0005-0000-0000-00000C5D0000}"/>
    <cellStyle name="Millares 12 2 2 3 3" xfId="23833" xr:uid="{00000000-0005-0000-0000-00000D5D0000}"/>
    <cellStyle name="Millares 12 2 2 3 3 2" xfId="23834" xr:uid="{00000000-0005-0000-0000-00000E5D0000}"/>
    <cellStyle name="Millares 12 2 2 3 4" xfId="23835" xr:uid="{00000000-0005-0000-0000-00000F5D0000}"/>
    <cellStyle name="Millares 12 2 2 4" xfId="23836" xr:uid="{00000000-0005-0000-0000-0000105D0000}"/>
    <cellStyle name="Millares 12 2 2 4 2" xfId="23837" xr:uid="{00000000-0005-0000-0000-0000115D0000}"/>
    <cellStyle name="Millares 12 2 2 5" xfId="23838" xr:uid="{00000000-0005-0000-0000-0000125D0000}"/>
    <cellStyle name="Millares 12 2 2 5 2" xfId="23839" xr:uid="{00000000-0005-0000-0000-0000135D0000}"/>
    <cellStyle name="Millares 12 2 2 6" xfId="23840" xr:uid="{00000000-0005-0000-0000-0000145D0000}"/>
    <cellStyle name="Millares 12 2 3" xfId="23841" xr:uid="{00000000-0005-0000-0000-0000155D0000}"/>
    <cellStyle name="Millares 12 2 3 2" xfId="23842" xr:uid="{00000000-0005-0000-0000-0000165D0000}"/>
    <cellStyle name="Millares 12 2 3 2 2" xfId="23843" xr:uid="{00000000-0005-0000-0000-0000175D0000}"/>
    <cellStyle name="Millares 12 2 3 2 2 2" xfId="23844" xr:uid="{00000000-0005-0000-0000-0000185D0000}"/>
    <cellStyle name="Millares 12 2 3 2 3" xfId="23845" xr:uid="{00000000-0005-0000-0000-0000195D0000}"/>
    <cellStyle name="Millares 12 2 3 2 3 2" xfId="23846" xr:uid="{00000000-0005-0000-0000-00001A5D0000}"/>
    <cellStyle name="Millares 12 2 3 2 4" xfId="23847" xr:uid="{00000000-0005-0000-0000-00001B5D0000}"/>
    <cellStyle name="Millares 12 2 3 3" xfId="23848" xr:uid="{00000000-0005-0000-0000-00001C5D0000}"/>
    <cellStyle name="Millares 12 2 3 3 2" xfId="23849" xr:uid="{00000000-0005-0000-0000-00001D5D0000}"/>
    <cellStyle name="Millares 12 2 3 4" xfId="23850" xr:uid="{00000000-0005-0000-0000-00001E5D0000}"/>
    <cellStyle name="Millares 12 2 3 4 2" xfId="23851" xr:uid="{00000000-0005-0000-0000-00001F5D0000}"/>
    <cellStyle name="Millares 12 2 3 5" xfId="23852" xr:uid="{00000000-0005-0000-0000-0000205D0000}"/>
    <cellStyle name="Millares 12 2 4" xfId="23853" xr:uid="{00000000-0005-0000-0000-0000215D0000}"/>
    <cellStyle name="Millares 12 2 4 2" xfId="23854" xr:uid="{00000000-0005-0000-0000-0000225D0000}"/>
    <cellStyle name="Millares 12 2 4 2 2" xfId="23855" xr:uid="{00000000-0005-0000-0000-0000235D0000}"/>
    <cellStyle name="Millares 12 2 4 3" xfId="23856" xr:uid="{00000000-0005-0000-0000-0000245D0000}"/>
    <cellStyle name="Millares 12 2 4 3 2" xfId="23857" xr:uid="{00000000-0005-0000-0000-0000255D0000}"/>
    <cellStyle name="Millares 12 2 4 4" xfId="23858" xr:uid="{00000000-0005-0000-0000-0000265D0000}"/>
    <cellStyle name="Millares 12 2 5" xfId="23859" xr:uid="{00000000-0005-0000-0000-0000275D0000}"/>
    <cellStyle name="Millares 12 2 5 2" xfId="23860" xr:uid="{00000000-0005-0000-0000-0000285D0000}"/>
    <cellStyle name="Millares 12 2 6" xfId="23861" xr:uid="{00000000-0005-0000-0000-0000295D0000}"/>
    <cellStyle name="Millares 12 2 6 2" xfId="23862" xr:uid="{00000000-0005-0000-0000-00002A5D0000}"/>
    <cellStyle name="Millares 12 2 7" xfId="23863" xr:uid="{00000000-0005-0000-0000-00002B5D0000}"/>
    <cellStyle name="Millares 12 20" xfId="23864" xr:uid="{00000000-0005-0000-0000-00002C5D0000}"/>
    <cellStyle name="Millares 12 21" xfId="23865" xr:uid="{00000000-0005-0000-0000-00002D5D0000}"/>
    <cellStyle name="Millares 12 22" xfId="23866" xr:uid="{00000000-0005-0000-0000-00002E5D0000}"/>
    <cellStyle name="Millares 12 23" xfId="23867" xr:uid="{00000000-0005-0000-0000-00002F5D0000}"/>
    <cellStyle name="Millares 12 24" xfId="23868" xr:uid="{00000000-0005-0000-0000-0000305D0000}"/>
    <cellStyle name="Millares 12 25" xfId="23869" xr:uid="{00000000-0005-0000-0000-0000315D0000}"/>
    <cellStyle name="Millares 12 26" xfId="23870" xr:uid="{00000000-0005-0000-0000-0000325D0000}"/>
    <cellStyle name="Millares 12 27" xfId="23871" xr:uid="{00000000-0005-0000-0000-0000335D0000}"/>
    <cellStyle name="Millares 12 28" xfId="23872" xr:uid="{00000000-0005-0000-0000-0000345D0000}"/>
    <cellStyle name="Millares 12 29" xfId="36242" xr:uid="{00000000-0005-0000-0000-0000355D0000}"/>
    <cellStyle name="Millares 12 3" xfId="23873" xr:uid="{00000000-0005-0000-0000-0000365D0000}"/>
    <cellStyle name="Millares 12 3 2" xfId="23874" xr:uid="{00000000-0005-0000-0000-0000375D0000}"/>
    <cellStyle name="Millares 12 3 2 2" xfId="23875" xr:uid="{00000000-0005-0000-0000-0000385D0000}"/>
    <cellStyle name="Millares 12 3 2 2 2" xfId="23876" xr:uid="{00000000-0005-0000-0000-0000395D0000}"/>
    <cellStyle name="Millares 12 3 2 2 2 2" xfId="23877" xr:uid="{00000000-0005-0000-0000-00003A5D0000}"/>
    <cellStyle name="Millares 12 3 2 2 2 2 2" xfId="23878" xr:uid="{00000000-0005-0000-0000-00003B5D0000}"/>
    <cellStyle name="Millares 12 3 2 2 2 2 2 2" xfId="23879" xr:uid="{00000000-0005-0000-0000-00003C5D0000}"/>
    <cellStyle name="Millares 12 3 2 2 2 2 3" xfId="23880" xr:uid="{00000000-0005-0000-0000-00003D5D0000}"/>
    <cellStyle name="Millares 12 3 2 2 2 2 3 2" xfId="23881" xr:uid="{00000000-0005-0000-0000-00003E5D0000}"/>
    <cellStyle name="Millares 12 3 2 2 2 2 4" xfId="23882" xr:uid="{00000000-0005-0000-0000-00003F5D0000}"/>
    <cellStyle name="Millares 12 3 2 2 2 3" xfId="23883" xr:uid="{00000000-0005-0000-0000-0000405D0000}"/>
    <cellStyle name="Millares 12 3 2 2 2 3 2" xfId="23884" xr:uid="{00000000-0005-0000-0000-0000415D0000}"/>
    <cellStyle name="Millares 12 3 2 2 2 4" xfId="23885" xr:uid="{00000000-0005-0000-0000-0000425D0000}"/>
    <cellStyle name="Millares 12 3 2 2 2 4 2" xfId="23886" xr:uid="{00000000-0005-0000-0000-0000435D0000}"/>
    <cellStyle name="Millares 12 3 2 2 2 5" xfId="23887" xr:uid="{00000000-0005-0000-0000-0000445D0000}"/>
    <cellStyle name="Millares 12 3 2 2 3" xfId="23888" xr:uid="{00000000-0005-0000-0000-0000455D0000}"/>
    <cellStyle name="Millares 12 3 2 2 3 2" xfId="23889" xr:uid="{00000000-0005-0000-0000-0000465D0000}"/>
    <cellStyle name="Millares 12 3 2 2 3 2 2" xfId="23890" xr:uid="{00000000-0005-0000-0000-0000475D0000}"/>
    <cellStyle name="Millares 12 3 2 2 3 3" xfId="23891" xr:uid="{00000000-0005-0000-0000-0000485D0000}"/>
    <cellStyle name="Millares 12 3 2 2 3 3 2" xfId="23892" xr:uid="{00000000-0005-0000-0000-0000495D0000}"/>
    <cellStyle name="Millares 12 3 2 2 3 4" xfId="23893" xr:uid="{00000000-0005-0000-0000-00004A5D0000}"/>
    <cellStyle name="Millares 12 3 2 2 4" xfId="23894" xr:uid="{00000000-0005-0000-0000-00004B5D0000}"/>
    <cellStyle name="Millares 12 3 2 2 4 2" xfId="23895" xr:uid="{00000000-0005-0000-0000-00004C5D0000}"/>
    <cellStyle name="Millares 12 3 2 2 5" xfId="23896" xr:uid="{00000000-0005-0000-0000-00004D5D0000}"/>
    <cellStyle name="Millares 12 3 2 2 5 2" xfId="23897" xr:uid="{00000000-0005-0000-0000-00004E5D0000}"/>
    <cellStyle name="Millares 12 3 2 2 6" xfId="23898" xr:uid="{00000000-0005-0000-0000-00004F5D0000}"/>
    <cellStyle name="Millares 12 3 2 3" xfId="23899" xr:uid="{00000000-0005-0000-0000-0000505D0000}"/>
    <cellStyle name="Millares 12 3 2 3 2" xfId="23900" xr:uid="{00000000-0005-0000-0000-0000515D0000}"/>
    <cellStyle name="Millares 12 3 2 3 2 2" xfId="23901" xr:uid="{00000000-0005-0000-0000-0000525D0000}"/>
    <cellStyle name="Millares 12 3 2 3 2 2 2" xfId="23902" xr:uid="{00000000-0005-0000-0000-0000535D0000}"/>
    <cellStyle name="Millares 12 3 2 3 2 3" xfId="23903" xr:uid="{00000000-0005-0000-0000-0000545D0000}"/>
    <cellStyle name="Millares 12 3 2 3 2 3 2" xfId="23904" xr:uid="{00000000-0005-0000-0000-0000555D0000}"/>
    <cellStyle name="Millares 12 3 2 3 2 4" xfId="23905" xr:uid="{00000000-0005-0000-0000-0000565D0000}"/>
    <cellStyle name="Millares 12 3 2 3 3" xfId="23906" xr:uid="{00000000-0005-0000-0000-0000575D0000}"/>
    <cellStyle name="Millares 12 3 2 3 3 2" xfId="23907" xr:uid="{00000000-0005-0000-0000-0000585D0000}"/>
    <cellStyle name="Millares 12 3 2 3 4" xfId="23908" xr:uid="{00000000-0005-0000-0000-0000595D0000}"/>
    <cellStyle name="Millares 12 3 2 3 4 2" xfId="23909" xr:uid="{00000000-0005-0000-0000-00005A5D0000}"/>
    <cellStyle name="Millares 12 3 2 3 5" xfId="23910" xr:uid="{00000000-0005-0000-0000-00005B5D0000}"/>
    <cellStyle name="Millares 12 3 2 4" xfId="23911" xr:uid="{00000000-0005-0000-0000-00005C5D0000}"/>
    <cellStyle name="Millares 12 3 2 4 2" xfId="23912" xr:uid="{00000000-0005-0000-0000-00005D5D0000}"/>
    <cellStyle name="Millares 12 3 2 4 2 2" xfId="23913" xr:uid="{00000000-0005-0000-0000-00005E5D0000}"/>
    <cellStyle name="Millares 12 3 2 4 3" xfId="23914" xr:uid="{00000000-0005-0000-0000-00005F5D0000}"/>
    <cellStyle name="Millares 12 3 2 4 3 2" xfId="23915" xr:uid="{00000000-0005-0000-0000-0000605D0000}"/>
    <cellStyle name="Millares 12 3 2 4 4" xfId="23916" xr:uid="{00000000-0005-0000-0000-0000615D0000}"/>
    <cellStyle name="Millares 12 3 2 5" xfId="23917" xr:uid="{00000000-0005-0000-0000-0000625D0000}"/>
    <cellStyle name="Millares 12 3 2 5 2" xfId="23918" xr:uid="{00000000-0005-0000-0000-0000635D0000}"/>
    <cellStyle name="Millares 12 3 2 6" xfId="23919" xr:uid="{00000000-0005-0000-0000-0000645D0000}"/>
    <cellStyle name="Millares 12 3 2 6 2" xfId="23920" xr:uid="{00000000-0005-0000-0000-0000655D0000}"/>
    <cellStyle name="Millares 12 3 2 7" xfId="23921" xr:uid="{00000000-0005-0000-0000-0000665D0000}"/>
    <cellStyle name="Millares 12 3 3" xfId="23922" xr:uid="{00000000-0005-0000-0000-0000675D0000}"/>
    <cellStyle name="Millares 12 3 3 2" xfId="23923" xr:uid="{00000000-0005-0000-0000-0000685D0000}"/>
    <cellStyle name="Millares 12 3 3 2 2" xfId="23924" xr:uid="{00000000-0005-0000-0000-0000695D0000}"/>
    <cellStyle name="Millares 12 3 3 2 2 2" xfId="23925" xr:uid="{00000000-0005-0000-0000-00006A5D0000}"/>
    <cellStyle name="Millares 12 3 3 2 2 2 2" xfId="23926" xr:uid="{00000000-0005-0000-0000-00006B5D0000}"/>
    <cellStyle name="Millares 12 3 3 2 2 3" xfId="23927" xr:uid="{00000000-0005-0000-0000-00006C5D0000}"/>
    <cellStyle name="Millares 12 3 3 2 2 3 2" xfId="23928" xr:uid="{00000000-0005-0000-0000-00006D5D0000}"/>
    <cellStyle name="Millares 12 3 3 2 2 4" xfId="23929" xr:uid="{00000000-0005-0000-0000-00006E5D0000}"/>
    <cellStyle name="Millares 12 3 3 2 3" xfId="23930" xr:uid="{00000000-0005-0000-0000-00006F5D0000}"/>
    <cellStyle name="Millares 12 3 3 2 3 2" xfId="23931" xr:uid="{00000000-0005-0000-0000-0000705D0000}"/>
    <cellStyle name="Millares 12 3 3 2 4" xfId="23932" xr:uid="{00000000-0005-0000-0000-0000715D0000}"/>
    <cellStyle name="Millares 12 3 3 2 4 2" xfId="23933" xr:uid="{00000000-0005-0000-0000-0000725D0000}"/>
    <cellStyle name="Millares 12 3 3 2 5" xfId="23934" xr:uid="{00000000-0005-0000-0000-0000735D0000}"/>
    <cellStyle name="Millares 12 3 3 3" xfId="23935" xr:uid="{00000000-0005-0000-0000-0000745D0000}"/>
    <cellStyle name="Millares 12 3 3 3 2" xfId="23936" xr:uid="{00000000-0005-0000-0000-0000755D0000}"/>
    <cellStyle name="Millares 12 3 3 3 2 2" xfId="23937" xr:uid="{00000000-0005-0000-0000-0000765D0000}"/>
    <cellStyle name="Millares 12 3 3 3 3" xfId="23938" xr:uid="{00000000-0005-0000-0000-0000775D0000}"/>
    <cellStyle name="Millares 12 3 3 3 3 2" xfId="23939" xr:uid="{00000000-0005-0000-0000-0000785D0000}"/>
    <cellStyle name="Millares 12 3 3 3 4" xfId="23940" xr:uid="{00000000-0005-0000-0000-0000795D0000}"/>
    <cellStyle name="Millares 12 3 3 4" xfId="23941" xr:uid="{00000000-0005-0000-0000-00007A5D0000}"/>
    <cellStyle name="Millares 12 3 3 4 2" xfId="23942" xr:uid="{00000000-0005-0000-0000-00007B5D0000}"/>
    <cellStyle name="Millares 12 3 3 5" xfId="23943" xr:uid="{00000000-0005-0000-0000-00007C5D0000}"/>
    <cellStyle name="Millares 12 3 3 5 2" xfId="23944" xr:uid="{00000000-0005-0000-0000-00007D5D0000}"/>
    <cellStyle name="Millares 12 3 3 6" xfId="23945" xr:uid="{00000000-0005-0000-0000-00007E5D0000}"/>
    <cellStyle name="Millares 12 3 4" xfId="23946" xr:uid="{00000000-0005-0000-0000-00007F5D0000}"/>
    <cellStyle name="Millares 12 3 4 2" xfId="23947" xr:uid="{00000000-0005-0000-0000-0000805D0000}"/>
    <cellStyle name="Millares 12 3 4 2 2" xfId="23948" xr:uid="{00000000-0005-0000-0000-0000815D0000}"/>
    <cellStyle name="Millares 12 3 4 2 2 2" xfId="23949" xr:uid="{00000000-0005-0000-0000-0000825D0000}"/>
    <cellStyle name="Millares 12 3 4 2 3" xfId="23950" xr:uid="{00000000-0005-0000-0000-0000835D0000}"/>
    <cellStyle name="Millares 12 3 4 2 3 2" xfId="23951" xr:uid="{00000000-0005-0000-0000-0000845D0000}"/>
    <cellStyle name="Millares 12 3 4 2 4" xfId="23952" xr:uid="{00000000-0005-0000-0000-0000855D0000}"/>
    <cellStyle name="Millares 12 3 4 3" xfId="23953" xr:uid="{00000000-0005-0000-0000-0000865D0000}"/>
    <cellStyle name="Millares 12 3 4 3 2" xfId="23954" xr:uid="{00000000-0005-0000-0000-0000875D0000}"/>
    <cellStyle name="Millares 12 3 4 4" xfId="23955" xr:uid="{00000000-0005-0000-0000-0000885D0000}"/>
    <cellStyle name="Millares 12 3 4 4 2" xfId="23956" xr:uid="{00000000-0005-0000-0000-0000895D0000}"/>
    <cellStyle name="Millares 12 3 4 5" xfId="23957" xr:uid="{00000000-0005-0000-0000-00008A5D0000}"/>
    <cellStyle name="Millares 12 3 5" xfId="23958" xr:uid="{00000000-0005-0000-0000-00008B5D0000}"/>
    <cellStyle name="Millares 12 3 5 2" xfId="23959" xr:uid="{00000000-0005-0000-0000-00008C5D0000}"/>
    <cellStyle name="Millares 12 3 5 2 2" xfId="23960" xr:uid="{00000000-0005-0000-0000-00008D5D0000}"/>
    <cellStyle name="Millares 12 3 5 3" xfId="23961" xr:uid="{00000000-0005-0000-0000-00008E5D0000}"/>
    <cellStyle name="Millares 12 3 5 3 2" xfId="23962" xr:uid="{00000000-0005-0000-0000-00008F5D0000}"/>
    <cellStyle name="Millares 12 3 5 4" xfId="23963" xr:uid="{00000000-0005-0000-0000-0000905D0000}"/>
    <cellStyle name="Millares 12 3 6" xfId="23964" xr:uid="{00000000-0005-0000-0000-0000915D0000}"/>
    <cellStyle name="Millares 12 3 6 2" xfId="23965" xr:uid="{00000000-0005-0000-0000-0000925D0000}"/>
    <cellStyle name="Millares 12 3 7" xfId="23966" xr:uid="{00000000-0005-0000-0000-0000935D0000}"/>
    <cellStyle name="Millares 12 3 7 2" xfId="23967" xr:uid="{00000000-0005-0000-0000-0000945D0000}"/>
    <cellStyle name="Millares 12 3 8" xfId="23968" xr:uid="{00000000-0005-0000-0000-0000955D0000}"/>
    <cellStyle name="Millares 12 4" xfId="23969" xr:uid="{00000000-0005-0000-0000-0000965D0000}"/>
    <cellStyle name="Millares 12 4 2" xfId="23970" xr:uid="{00000000-0005-0000-0000-0000975D0000}"/>
    <cellStyle name="Millares 12 4 2 2" xfId="23971" xr:uid="{00000000-0005-0000-0000-0000985D0000}"/>
    <cellStyle name="Millares 12 4 2 2 2" xfId="23972" xr:uid="{00000000-0005-0000-0000-0000995D0000}"/>
    <cellStyle name="Millares 12 4 2 2 2 2" xfId="23973" xr:uid="{00000000-0005-0000-0000-00009A5D0000}"/>
    <cellStyle name="Millares 12 4 2 2 2 2 2" xfId="23974" xr:uid="{00000000-0005-0000-0000-00009B5D0000}"/>
    <cellStyle name="Millares 12 4 2 2 2 3" xfId="23975" xr:uid="{00000000-0005-0000-0000-00009C5D0000}"/>
    <cellStyle name="Millares 12 4 2 2 2 3 2" xfId="23976" xr:uid="{00000000-0005-0000-0000-00009D5D0000}"/>
    <cellStyle name="Millares 12 4 2 2 2 4" xfId="23977" xr:uid="{00000000-0005-0000-0000-00009E5D0000}"/>
    <cellStyle name="Millares 12 4 2 2 3" xfId="23978" xr:uid="{00000000-0005-0000-0000-00009F5D0000}"/>
    <cellStyle name="Millares 12 4 2 2 3 2" xfId="23979" xr:uid="{00000000-0005-0000-0000-0000A05D0000}"/>
    <cellStyle name="Millares 12 4 2 2 4" xfId="23980" xr:uid="{00000000-0005-0000-0000-0000A15D0000}"/>
    <cellStyle name="Millares 12 4 2 2 4 2" xfId="23981" xr:uid="{00000000-0005-0000-0000-0000A25D0000}"/>
    <cellStyle name="Millares 12 4 2 2 5" xfId="23982" xr:uid="{00000000-0005-0000-0000-0000A35D0000}"/>
    <cellStyle name="Millares 12 4 2 3" xfId="23983" xr:uid="{00000000-0005-0000-0000-0000A45D0000}"/>
    <cellStyle name="Millares 12 4 2 3 2" xfId="23984" xr:uid="{00000000-0005-0000-0000-0000A55D0000}"/>
    <cellStyle name="Millares 12 4 2 3 2 2" xfId="23985" xr:uid="{00000000-0005-0000-0000-0000A65D0000}"/>
    <cellStyle name="Millares 12 4 2 3 3" xfId="23986" xr:uid="{00000000-0005-0000-0000-0000A75D0000}"/>
    <cellStyle name="Millares 12 4 2 3 3 2" xfId="23987" xr:uid="{00000000-0005-0000-0000-0000A85D0000}"/>
    <cellStyle name="Millares 12 4 2 3 4" xfId="23988" xr:uid="{00000000-0005-0000-0000-0000A95D0000}"/>
    <cellStyle name="Millares 12 4 2 4" xfId="23989" xr:uid="{00000000-0005-0000-0000-0000AA5D0000}"/>
    <cellStyle name="Millares 12 4 2 4 2" xfId="23990" xr:uid="{00000000-0005-0000-0000-0000AB5D0000}"/>
    <cellStyle name="Millares 12 4 2 5" xfId="23991" xr:uid="{00000000-0005-0000-0000-0000AC5D0000}"/>
    <cellStyle name="Millares 12 4 2 5 2" xfId="23992" xr:uid="{00000000-0005-0000-0000-0000AD5D0000}"/>
    <cellStyle name="Millares 12 4 2 6" xfId="23993" xr:uid="{00000000-0005-0000-0000-0000AE5D0000}"/>
    <cellStyle name="Millares 12 4 3" xfId="23994" xr:uid="{00000000-0005-0000-0000-0000AF5D0000}"/>
    <cellStyle name="Millares 12 4 3 2" xfId="23995" xr:uid="{00000000-0005-0000-0000-0000B05D0000}"/>
    <cellStyle name="Millares 12 4 3 2 2" xfId="23996" xr:uid="{00000000-0005-0000-0000-0000B15D0000}"/>
    <cellStyle name="Millares 12 4 3 2 2 2" xfId="23997" xr:uid="{00000000-0005-0000-0000-0000B25D0000}"/>
    <cellStyle name="Millares 12 4 3 2 3" xfId="23998" xr:uid="{00000000-0005-0000-0000-0000B35D0000}"/>
    <cellStyle name="Millares 12 4 3 2 3 2" xfId="23999" xr:uid="{00000000-0005-0000-0000-0000B45D0000}"/>
    <cellStyle name="Millares 12 4 3 2 4" xfId="24000" xr:uid="{00000000-0005-0000-0000-0000B55D0000}"/>
    <cellStyle name="Millares 12 4 3 3" xfId="24001" xr:uid="{00000000-0005-0000-0000-0000B65D0000}"/>
    <cellStyle name="Millares 12 4 3 3 2" xfId="24002" xr:uid="{00000000-0005-0000-0000-0000B75D0000}"/>
    <cellStyle name="Millares 12 4 3 4" xfId="24003" xr:uid="{00000000-0005-0000-0000-0000B85D0000}"/>
    <cellStyle name="Millares 12 4 3 4 2" xfId="24004" xr:uid="{00000000-0005-0000-0000-0000B95D0000}"/>
    <cellStyle name="Millares 12 4 3 5" xfId="24005" xr:uid="{00000000-0005-0000-0000-0000BA5D0000}"/>
    <cellStyle name="Millares 12 4 4" xfId="24006" xr:uid="{00000000-0005-0000-0000-0000BB5D0000}"/>
    <cellStyle name="Millares 12 4 4 2" xfId="24007" xr:uid="{00000000-0005-0000-0000-0000BC5D0000}"/>
    <cellStyle name="Millares 12 4 4 2 2" xfId="24008" xr:uid="{00000000-0005-0000-0000-0000BD5D0000}"/>
    <cellStyle name="Millares 12 4 4 3" xfId="24009" xr:uid="{00000000-0005-0000-0000-0000BE5D0000}"/>
    <cellStyle name="Millares 12 4 4 3 2" xfId="24010" xr:uid="{00000000-0005-0000-0000-0000BF5D0000}"/>
    <cellStyle name="Millares 12 4 4 4" xfId="24011" xr:uid="{00000000-0005-0000-0000-0000C05D0000}"/>
    <cellStyle name="Millares 12 4 5" xfId="24012" xr:uid="{00000000-0005-0000-0000-0000C15D0000}"/>
    <cellStyle name="Millares 12 4 5 2" xfId="24013" xr:uid="{00000000-0005-0000-0000-0000C25D0000}"/>
    <cellStyle name="Millares 12 4 6" xfId="24014" xr:uid="{00000000-0005-0000-0000-0000C35D0000}"/>
    <cellStyle name="Millares 12 4 6 2" xfId="24015" xr:uid="{00000000-0005-0000-0000-0000C45D0000}"/>
    <cellStyle name="Millares 12 4 7" xfId="24016" xr:uid="{00000000-0005-0000-0000-0000C55D0000}"/>
    <cellStyle name="Millares 12 5" xfId="24017" xr:uid="{00000000-0005-0000-0000-0000C65D0000}"/>
    <cellStyle name="Millares 12 5 2" xfId="24018" xr:uid="{00000000-0005-0000-0000-0000C75D0000}"/>
    <cellStyle name="Millares 12 5 2 2" xfId="24019" xr:uid="{00000000-0005-0000-0000-0000C85D0000}"/>
    <cellStyle name="Millares 12 5 2 2 2" xfId="24020" xr:uid="{00000000-0005-0000-0000-0000C95D0000}"/>
    <cellStyle name="Millares 12 5 2 2 2 2" xfId="24021" xr:uid="{00000000-0005-0000-0000-0000CA5D0000}"/>
    <cellStyle name="Millares 12 5 2 2 3" xfId="24022" xr:uid="{00000000-0005-0000-0000-0000CB5D0000}"/>
    <cellStyle name="Millares 12 5 2 2 3 2" xfId="24023" xr:uid="{00000000-0005-0000-0000-0000CC5D0000}"/>
    <cellStyle name="Millares 12 5 2 2 4" xfId="24024" xr:uid="{00000000-0005-0000-0000-0000CD5D0000}"/>
    <cellStyle name="Millares 12 5 2 3" xfId="24025" xr:uid="{00000000-0005-0000-0000-0000CE5D0000}"/>
    <cellStyle name="Millares 12 5 2 3 2" xfId="24026" xr:uid="{00000000-0005-0000-0000-0000CF5D0000}"/>
    <cellStyle name="Millares 12 5 2 4" xfId="24027" xr:uid="{00000000-0005-0000-0000-0000D05D0000}"/>
    <cellStyle name="Millares 12 5 2 4 2" xfId="24028" xr:uid="{00000000-0005-0000-0000-0000D15D0000}"/>
    <cellStyle name="Millares 12 5 2 5" xfId="24029" xr:uid="{00000000-0005-0000-0000-0000D25D0000}"/>
    <cellStyle name="Millares 12 5 3" xfId="24030" xr:uid="{00000000-0005-0000-0000-0000D35D0000}"/>
    <cellStyle name="Millares 12 5 3 2" xfId="24031" xr:uid="{00000000-0005-0000-0000-0000D45D0000}"/>
    <cellStyle name="Millares 12 5 3 2 2" xfId="24032" xr:uid="{00000000-0005-0000-0000-0000D55D0000}"/>
    <cellStyle name="Millares 12 5 3 3" xfId="24033" xr:uid="{00000000-0005-0000-0000-0000D65D0000}"/>
    <cellStyle name="Millares 12 5 3 3 2" xfId="24034" xr:uid="{00000000-0005-0000-0000-0000D75D0000}"/>
    <cellStyle name="Millares 12 5 3 4" xfId="24035" xr:uid="{00000000-0005-0000-0000-0000D85D0000}"/>
    <cellStyle name="Millares 12 5 4" xfId="24036" xr:uid="{00000000-0005-0000-0000-0000D95D0000}"/>
    <cellStyle name="Millares 12 5 4 2" xfId="24037" xr:uid="{00000000-0005-0000-0000-0000DA5D0000}"/>
    <cellStyle name="Millares 12 5 5" xfId="24038" xr:uid="{00000000-0005-0000-0000-0000DB5D0000}"/>
    <cellStyle name="Millares 12 5 5 2" xfId="24039" xr:uid="{00000000-0005-0000-0000-0000DC5D0000}"/>
    <cellStyle name="Millares 12 5 6" xfId="24040" xr:uid="{00000000-0005-0000-0000-0000DD5D0000}"/>
    <cellStyle name="Millares 12 6" xfId="24041" xr:uid="{00000000-0005-0000-0000-0000DE5D0000}"/>
    <cellStyle name="Millares 12 6 2" xfId="24042" xr:uid="{00000000-0005-0000-0000-0000DF5D0000}"/>
    <cellStyle name="Millares 12 6 2 2" xfId="24043" xr:uid="{00000000-0005-0000-0000-0000E05D0000}"/>
    <cellStyle name="Millares 12 6 2 2 2" xfId="24044" xr:uid="{00000000-0005-0000-0000-0000E15D0000}"/>
    <cellStyle name="Millares 12 6 2 3" xfId="24045" xr:uid="{00000000-0005-0000-0000-0000E25D0000}"/>
    <cellStyle name="Millares 12 6 2 3 2" xfId="24046" xr:uid="{00000000-0005-0000-0000-0000E35D0000}"/>
    <cellStyle name="Millares 12 6 2 4" xfId="24047" xr:uid="{00000000-0005-0000-0000-0000E45D0000}"/>
    <cellStyle name="Millares 12 6 3" xfId="24048" xr:uid="{00000000-0005-0000-0000-0000E55D0000}"/>
    <cellStyle name="Millares 12 6 3 2" xfId="24049" xr:uid="{00000000-0005-0000-0000-0000E65D0000}"/>
    <cellStyle name="Millares 12 6 4" xfId="24050" xr:uid="{00000000-0005-0000-0000-0000E75D0000}"/>
    <cellStyle name="Millares 12 6 4 2" xfId="24051" xr:uid="{00000000-0005-0000-0000-0000E85D0000}"/>
    <cellStyle name="Millares 12 6 5" xfId="24052" xr:uid="{00000000-0005-0000-0000-0000E95D0000}"/>
    <cellStyle name="Millares 12 7" xfId="24053" xr:uid="{00000000-0005-0000-0000-0000EA5D0000}"/>
    <cellStyle name="Millares 12 7 2" xfId="24054" xr:uid="{00000000-0005-0000-0000-0000EB5D0000}"/>
    <cellStyle name="Millares 12 7 2 2" xfId="24055" xr:uid="{00000000-0005-0000-0000-0000EC5D0000}"/>
    <cellStyle name="Millares 12 7 3" xfId="24056" xr:uid="{00000000-0005-0000-0000-0000ED5D0000}"/>
    <cellStyle name="Millares 12 7 3 2" xfId="24057" xr:uid="{00000000-0005-0000-0000-0000EE5D0000}"/>
    <cellStyle name="Millares 12 7 4" xfId="24058" xr:uid="{00000000-0005-0000-0000-0000EF5D0000}"/>
    <cellStyle name="Millares 12 8" xfId="24059" xr:uid="{00000000-0005-0000-0000-0000F05D0000}"/>
    <cellStyle name="Millares 12 8 2" xfId="24060" xr:uid="{00000000-0005-0000-0000-0000F15D0000}"/>
    <cellStyle name="Millares 12 9" xfId="24061" xr:uid="{00000000-0005-0000-0000-0000F25D0000}"/>
    <cellStyle name="Millares 12 9 2" xfId="24062" xr:uid="{00000000-0005-0000-0000-0000F35D0000}"/>
    <cellStyle name="Millares 13" xfId="24063" xr:uid="{00000000-0005-0000-0000-0000F45D0000}"/>
    <cellStyle name="Millares 13 10" xfId="24064" xr:uid="{00000000-0005-0000-0000-0000F55D0000}"/>
    <cellStyle name="Millares 13 11" xfId="24065" xr:uid="{00000000-0005-0000-0000-0000F65D0000}"/>
    <cellStyle name="Millares 13 12" xfId="24066" xr:uid="{00000000-0005-0000-0000-0000F75D0000}"/>
    <cellStyle name="Millares 13 13" xfId="24067" xr:uid="{00000000-0005-0000-0000-0000F85D0000}"/>
    <cellStyle name="Millares 13 14" xfId="24068" xr:uid="{00000000-0005-0000-0000-0000F95D0000}"/>
    <cellStyle name="Millares 13 15" xfId="24069" xr:uid="{00000000-0005-0000-0000-0000FA5D0000}"/>
    <cellStyle name="Millares 13 16" xfId="24070" xr:uid="{00000000-0005-0000-0000-0000FB5D0000}"/>
    <cellStyle name="Millares 13 17" xfId="24071" xr:uid="{00000000-0005-0000-0000-0000FC5D0000}"/>
    <cellStyle name="Millares 13 18" xfId="24072" xr:uid="{00000000-0005-0000-0000-0000FD5D0000}"/>
    <cellStyle name="Millares 13 19" xfId="24073" xr:uid="{00000000-0005-0000-0000-0000FE5D0000}"/>
    <cellStyle name="Millares 13 2" xfId="24074" xr:uid="{00000000-0005-0000-0000-0000FF5D0000}"/>
    <cellStyle name="Millares 13 20" xfId="24075" xr:uid="{00000000-0005-0000-0000-0000005E0000}"/>
    <cellStyle name="Millares 13 21" xfId="24076" xr:uid="{00000000-0005-0000-0000-0000015E0000}"/>
    <cellStyle name="Millares 13 22" xfId="24077" xr:uid="{00000000-0005-0000-0000-0000025E0000}"/>
    <cellStyle name="Millares 13 23" xfId="24078" xr:uid="{00000000-0005-0000-0000-0000035E0000}"/>
    <cellStyle name="Millares 13 24" xfId="24079" xr:uid="{00000000-0005-0000-0000-0000045E0000}"/>
    <cellStyle name="Millares 13 25" xfId="24080" xr:uid="{00000000-0005-0000-0000-0000055E0000}"/>
    <cellStyle name="Millares 13 26" xfId="24081" xr:uid="{00000000-0005-0000-0000-0000065E0000}"/>
    <cellStyle name="Millares 13 27" xfId="24082" xr:uid="{00000000-0005-0000-0000-0000075E0000}"/>
    <cellStyle name="Millares 13 28" xfId="24083" xr:uid="{00000000-0005-0000-0000-0000085E0000}"/>
    <cellStyle name="Millares 13 29" xfId="24084" xr:uid="{00000000-0005-0000-0000-0000095E0000}"/>
    <cellStyle name="Millares 13 3" xfId="24085" xr:uid="{00000000-0005-0000-0000-00000A5E0000}"/>
    <cellStyle name="Millares 13 30" xfId="24086" xr:uid="{00000000-0005-0000-0000-00000B5E0000}"/>
    <cellStyle name="Millares 13 31" xfId="24087" xr:uid="{00000000-0005-0000-0000-00000C5E0000}"/>
    <cellStyle name="Millares 13 32" xfId="24088" xr:uid="{00000000-0005-0000-0000-00000D5E0000}"/>
    <cellStyle name="Millares 13 33" xfId="24089" xr:uid="{00000000-0005-0000-0000-00000E5E0000}"/>
    <cellStyle name="Millares 13 34" xfId="24090" xr:uid="{00000000-0005-0000-0000-00000F5E0000}"/>
    <cellStyle name="Millares 13 35" xfId="24091" xr:uid="{00000000-0005-0000-0000-0000105E0000}"/>
    <cellStyle name="Millares 13 36" xfId="24092" xr:uid="{00000000-0005-0000-0000-0000115E0000}"/>
    <cellStyle name="Millares 13 37" xfId="24093" xr:uid="{00000000-0005-0000-0000-0000125E0000}"/>
    <cellStyle name="Millares 13 38" xfId="24094" xr:uid="{00000000-0005-0000-0000-0000135E0000}"/>
    <cellStyle name="Millares 13 39" xfId="24095" xr:uid="{00000000-0005-0000-0000-0000145E0000}"/>
    <cellStyle name="Millares 13 4" xfId="24096" xr:uid="{00000000-0005-0000-0000-0000155E0000}"/>
    <cellStyle name="Millares 13 40" xfId="24097" xr:uid="{00000000-0005-0000-0000-0000165E0000}"/>
    <cellStyle name="Millares 13 41" xfId="24098" xr:uid="{00000000-0005-0000-0000-0000175E0000}"/>
    <cellStyle name="Millares 13 42" xfId="36301" xr:uid="{00000000-0005-0000-0000-0000185E0000}"/>
    <cellStyle name="Millares 13 5" xfId="24099" xr:uid="{00000000-0005-0000-0000-0000195E0000}"/>
    <cellStyle name="Millares 13 6" xfId="24100" xr:uid="{00000000-0005-0000-0000-00001A5E0000}"/>
    <cellStyle name="Millares 13 7" xfId="24101" xr:uid="{00000000-0005-0000-0000-00001B5E0000}"/>
    <cellStyle name="Millares 13 8" xfId="24102" xr:uid="{00000000-0005-0000-0000-00001C5E0000}"/>
    <cellStyle name="Millares 13 9" xfId="24103" xr:uid="{00000000-0005-0000-0000-00001D5E0000}"/>
    <cellStyle name="Millares 14" xfId="24104" xr:uid="{00000000-0005-0000-0000-00001E5E0000}"/>
    <cellStyle name="Millares 14 10" xfId="24105" xr:uid="{00000000-0005-0000-0000-00001F5E0000}"/>
    <cellStyle name="Millares 14 11" xfId="24106" xr:uid="{00000000-0005-0000-0000-0000205E0000}"/>
    <cellStyle name="Millares 14 12" xfId="24107" xr:uid="{00000000-0005-0000-0000-0000215E0000}"/>
    <cellStyle name="Millares 14 13" xfId="24108" xr:uid="{00000000-0005-0000-0000-0000225E0000}"/>
    <cellStyle name="Millares 14 14" xfId="24109" xr:uid="{00000000-0005-0000-0000-0000235E0000}"/>
    <cellStyle name="Millares 14 15" xfId="24110" xr:uid="{00000000-0005-0000-0000-0000245E0000}"/>
    <cellStyle name="Millares 14 16" xfId="24111" xr:uid="{00000000-0005-0000-0000-0000255E0000}"/>
    <cellStyle name="Millares 14 17" xfId="24112" xr:uid="{00000000-0005-0000-0000-0000265E0000}"/>
    <cellStyle name="Millares 14 18" xfId="24113" xr:uid="{00000000-0005-0000-0000-0000275E0000}"/>
    <cellStyle name="Millares 14 19" xfId="24114" xr:uid="{00000000-0005-0000-0000-0000285E0000}"/>
    <cellStyle name="Millares 14 2" xfId="24115" xr:uid="{00000000-0005-0000-0000-0000295E0000}"/>
    <cellStyle name="Millares 14 2 2" xfId="24116" xr:uid="{00000000-0005-0000-0000-00002A5E0000}"/>
    <cellStyle name="Millares 14 2 2 2" xfId="24117" xr:uid="{00000000-0005-0000-0000-00002B5E0000}"/>
    <cellStyle name="Millares 14 2 2 2 2" xfId="24118" xr:uid="{00000000-0005-0000-0000-00002C5E0000}"/>
    <cellStyle name="Millares 14 2 2 2 2 2" xfId="24119" xr:uid="{00000000-0005-0000-0000-00002D5E0000}"/>
    <cellStyle name="Millares 14 2 2 2 3" xfId="24120" xr:uid="{00000000-0005-0000-0000-00002E5E0000}"/>
    <cellStyle name="Millares 14 2 2 2 3 2" xfId="24121" xr:uid="{00000000-0005-0000-0000-00002F5E0000}"/>
    <cellStyle name="Millares 14 2 2 2 4" xfId="24122" xr:uid="{00000000-0005-0000-0000-0000305E0000}"/>
    <cellStyle name="Millares 14 2 2 3" xfId="24123" xr:uid="{00000000-0005-0000-0000-0000315E0000}"/>
    <cellStyle name="Millares 14 2 2 3 2" xfId="24124" xr:uid="{00000000-0005-0000-0000-0000325E0000}"/>
    <cellStyle name="Millares 14 2 2 4" xfId="24125" xr:uid="{00000000-0005-0000-0000-0000335E0000}"/>
    <cellStyle name="Millares 14 2 2 4 2" xfId="24126" xr:uid="{00000000-0005-0000-0000-0000345E0000}"/>
    <cellStyle name="Millares 14 2 2 5" xfId="24127" xr:uid="{00000000-0005-0000-0000-0000355E0000}"/>
    <cellStyle name="Millares 14 2 3" xfId="24128" xr:uid="{00000000-0005-0000-0000-0000365E0000}"/>
    <cellStyle name="Millares 14 2 3 2" xfId="24129" xr:uid="{00000000-0005-0000-0000-0000375E0000}"/>
    <cellStyle name="Millares 14 2 3 2 2" xfId="24130" xr:uid="{00000000-0005-0000-0000-0000385E0000}"/>
    <cellStyle name="Millares 14 2 3 3" xfId="24131" xr:uid="{00000000-0005-0000-0000-0000395E0000}"/>
    <cellStyle name="Millares 14 2 3 3 2" xfId="24132" xr:uid="{00000000-0005-0000-0000-00003A5E0000}"/>
    <cellStyle name="Millares 14 2 3 4" xfId="24133" xr:uid="{00000000-0005-0000-0000-00003B5E0000}"/>
    <cellStyle name="Millares 14 2 4" xfId="24134" xr:uid="{00000000-0005-0000-0000-00003C5E0000}"/>
    <cellStyle name="Millares 14 2 4 2" xfId="24135" xr:uid="{00000000-0005-0000-0000-00003D5E0000}"/>
    <cellStyle name="Millares 14 2 5" xfId="24136" xr:uid="{00000000-0005-0000-0000-00003E5E0000}"/>
    <cellStyle name="Millares 14 2 5 2" xfId="24137" xr:uid="{00000000-0005-0000-0000-00003F5E0000}"/>
    <cellStyle name="Millares 14 2 6" xfId="24138" xr:uid="{00000000-0005-0000-0000-0000405E0000}"/>
    <cellStyle name="Millares 14 20" xfId="24139" xr:uid="{00000000-0005-0000-0000-0000415E0000}"/>
    <cellStyle name="Millares 14 21" xfId="24140" xr:uid="{00000000-0005-0000-0000-0000425E0000}"/>
    <cellStyle name="Millares 14 22" xfId="24141" xr:uid="{00000000-0005-0000-0000-0000435E0000}"/>
    <cellStyle name="Millares 14 23" xfId="24142" xr:uid="{00000000-0005-0000-0000-0000445E0000}"/>
    <cellStyle name="Millares 14 24" xfId="24143" xr:uid="{00000000-0005-0000-0000-0000455E0000}"/>
    <cellStyle name="Millares 14 25" xfId="24144" xr:uid="{00000000-0005-0000-0000-0000465E0000}"/>
    <cellStyle name="Millares 14 26" xfId="24145" xr:uid="{00000000-0005-0000-0000-0000475E0000}"/>
    <cellStyle name="Millares 14 27" xfId="24146" xr:uid="{00000000-0005-0000-0000-0000485E0000}"/>
    <cellStyle name="Millares 14 28" xfId="24147" xr:uid="{00000000-0005-0000-0000-0000495E0000}"/>
    <cellStyle name="Millares 14 29" xfId="36250" xr:uid="{00000000-0005-0000-0000-00004A5E0000}"/>
    <cellStyle name="Millares 14 3" xfId="24148" xr:uid="{00000000-0005-0000-0000-00004B5E0000}"/>
    <cellStyle name="Millares 14 3 2" xfId="24149" xr:uid="{00000000-0005-0000-0000-00004C5E0000}"/>
    <cellStyle name="Millares 14 3 2 2" xfId="24150" xr:uid="{00000000-0005-0000-0000-00004D5E0000}"/>
    <cellStyle name="Millares 14 3 2 2 2" xfId="24151" xr:uid="{00000000-0005-0000-0000-00004E5E0000}"/>
    <cellStyle name="Millares 14 3 2 3" xfId="24152" xr:uid="{00000000-0005-0000-0000-00004F5E0000}"/>
    <cellStyle name="Millares 14 3 2 3 2" xfId="24153" xr:uid="{00000000-0005-0000-0000-0000505E0000}"/>
    <cellStyle name="Millares 14 3 2 4" xfId="24154" xr:uid="{00000000-0005-0000-0000-0000515E0000}"/>
    <cellStyle name="Millares 14 3 3" xfId="24155" xr:uid="{00000000-0005-0000-0000-0000525E0000}"/>
    <cellStyle name="Millares 14 3 3 2" xfId="24156" xr:uid="{00000000-0005-0000-0000-0000535E0000}"/>
    <cellStyle name="Millares 14 3 4" xfId="24157" xr:uid="{00000000-0005-0000-0000-0000545E0000}"/>
    <cellStyle name="Millares 14 3 4 2" xfId="24158" xr:uid="{00000000-0005-0000-0000-0000555E0000}"/>
    <cellStyle name="Millares 14 3 5" xfId="24159" xr:uid="{00000000-0005-0000-0000-0000565E0000}"/>
    <cellStyle name="Millares 14 4" xfId="24160" xr:uid="{00000000-0005-0000-0000-0000575E0000}"/>
    <cellStyle name="Millares 14 4 2" xfId="24161" xr:uid="{00000000-0005-0000-0000-0000585E0000}"/>
    <cellStyle name="Millares 14 4 2 2" xfId="24162" xr:uid="{00000000-0005-0000-0000-0000595E0000}"/>
    <cellStyle name="Millares 14 4 3" xfId="24163" xr:uid="{00000000-0005-0000-0000-00005A5E0000}"/>
    <cellStyle name="Millares 14 4 3 2" xfId="24164" xr:uid="{00000000-0005-0000-0000-00005B5E0000}"/>
    <cellStyle name="Millares 14 4 4" xfId="24165" xr:uid="{00000000-0005-0000-0000-00005C5E0000}"/>
    <cellStyle name="Millares 14 5" xfId="24166" xr:uid="{00000000-0005-0000-0000-00005D5E0000}"/>
    <cellStyle name="Millares 14 5 2" xfId="24167" xr:uid="{00000000-0005-0000-0000-00005E5E0000}"/>
    <cellStyle name="Millares 14 6" xfId="24168" xr:uid="{00000000-0005-0000-0000-00005F5E0000}"/>
    <cellStyle name="Millares 14 6 2" xfId="24169" xr:uid="{00000000-0005-0000-0000-0000605E0000}"/>
    <cellStyle name="Millares 14 7" xfId="24170" xr:uid="{00000000-0005-0000-0000-0000615E0000}"/>
    <cellStyle name="Millares 14 8" xfId="24171" xr:uid="{00000000-0005-0000-0000-0000625E0000}"/>
    <cellStyle name="Millares 14 9" xfId="24172" xr:uid="{00000000-0005-0000-0000-0000635E0000}"/>
    <cellStyle name="Millares 15" xfId="24173" xr:uid="{00000000-0005-0000-0000-0000645E0000}"/>
    <cellStyle name="Millares 15 2" xfId="24174" xr:uid="{00000000-0005-0000-0000-0000655E0000}"/>
    <cellStyle name="Millares 15 2 2" xfId="24175" xr:uid="{00000000-0005-0000-0000-0000665E0000}"/>
    <cellStyle name="Millares 15 2 2 2" xfId="24176" xr:uid="{00000000-0005-0000-0000-0000675E0000}"/>
    <cellStyle name="Millares 15 2 2 2 2" xfId="24177" xr:uid="{00000000-0005-0000-0000-0000685E0000}"/>
    <cellStyle name="Millares 15 2 2 2 2 2" xfId="24178" xr:uid="{00000000-0005-0000-0000-0000695E0000}"/>
    <cellStyle name="Millares 15 2 2 2 3" xfId="24179" xr:uid="{00000000-0005-0000-0000-00006A5E0000}"/>
    <cellStyle name="Millares 15 2 2 2 3 2" xfId="24180" xr:uid="{00000000-0005-0000-0000-00006B5E0000}"/>
    <cellStyle name="Millares 15 2 2 2 4" xfId="24181" xr:uid="{00000000-0005-0000-0000-00006C5E0000}"/>
    <cellStyle name="Millares 15 2 2 3" xfId="24182" xr:uid="{00000000-0005-0000-0000-00006D5E0000}"/>
    <cellStyle name="Millares 15 2 2 3 2" xfId="24183" xr:uid="{00000000-0005-0000-0000-00006E5E0000}"/>
    <cellStyle name="Millares 15 2 2 4" xfId="24184" xr:uid="{00000000-0005-0000-0000-00006F5E0000}"/>
    <cellStyle name="Millares 15 2 2 4 2" xfId="24185" xr:uid="{00000000-0005-0000-0000-0000705E0000}"/>
    <cellStyle name="Millares 15 2 2 5" xfId="24186" xr:uid="{00000000-0005-0000-0000-0000715E0000}"/>
    <cellStyle name="Millares 15 2 3" xfId="24187" xr:uid="{00000000-0005-0000-0000-0000725E0000}"/>
    <cellStyle name="Millares 15 2 3 2" xfId="24188" xr:uid="{00000000-0005-0000-0000-0000735E0000}"/>
    <cellStyle name="Millares 15 2 3 2 2" xfId="24189" xr:uid="{00000000-0005-0000-0000-0000745E0000}"/>
    <cellStyle name="Millares 15 2 3 3" xfId="24190" xr:uid="{00000000-0005-0000-0000-0000755E0000}"/>
    <cellStyle name="Millares 15 2 3 3 2" xfId="24191" xr:uid="{00000000-0005-0000-0000-0000765E0000}"/>
    <cellStyle name="Millares 15 2 3 4" xfId="24192" xr:uid="{00000000-0005-0000-0000-0000775E0000}"/>
    <cellStyle name="Millares 15 2 4" xfId="24193" xr:uid="{00000000-0005-0000-0000-0000785E0000}"/>
    <cellStyle name="Millares 15 2 4 2" xfId="24194" xr:uid="{00000000-0005-0000-0000-0000795E0000}"/>
    <cellStyle name="Millares 15 2 5" xfId="24195" xr:uid="{00000000-0005-0000-0000-00007A5E0000}"/>
    <cellStyle name="Millares 15 2 5 2" xfId="24196" xr:uid="{00000000-0005-0000-0000-00007B5E0000}"/>
    <cellStyle name="Millares 15 2 6" xfId="24197" xr:uid="{00000000-0005-0000-0000-00007C5E0000}"/>
    <cellStyle name="Millares 15 3" xfId="24198" xr:uid="{00000000-0005-0000-0000-00007D5E0000}"/>
    <cellStyle name="Millares 15 3 2" xfId="24199" xr:uid="{00000000-0005-0000-0000-00007E5E0000}"/>
    <cellStyle name="Millares 15 3 2 2" xfId="24200" xr:uid="{00000000-0005-0000-0000-00007F5E0000}"/>
    <cellStyle name="Millares 15 3 2 2 2" xfId="24201" xr:uid="{00000000-0005-0000-0000-0000805E0000}"/>
    <cellStyle name="Millares 15 3 2 3" xfId="24202" xr:uid="{00000000-0005-0000-0000-0000815E0000}"/>
    <cellStyle name="Millares 15 3 2 3 2" xfId="24203" xr:uid="{00000000-0005-0000-0000-0000825E0000}"/>
    <cellStyle name="Millares 15 3 2 4" xfId="24204" xr:uid="{00000000-0005-0000-0000-0000835E0000}"/>
    <cellStyle name="Millares 15 3 3" xfId="24205" xr:uid="{00000000-0005-0000-0000-0000845E0000}"/>
    <cellStyle name="Millares 15 3 3 2" xfId="24206" xr:uid="{00000000-0005-0000-0000-0000855E0000}"/>
    <cellStyle name="Millares 15 3 4" xfId="24207" xr:uid="{00000000-0005-0000-0000-0000865E0000}"/>
    <cellStyle name="Millares 15 3 4 2" xfId="24208" xr:uid="{00000000-0005-0000-0000-0000875E0000}"/>
    <cellStyle name="Millares 15 3 5" xfId="24209" xr:uid="{00000000-0005-0000-0000-0000885E0000}"/>
    <cellStyle name="Millares 15 4" xfId="24210" xr:uid="{00000000-0005-0000-0000-0000895E0000}"/>
    <cellStyle name="Millares 15 4 2" xfId="24211" xr:uid="{00000000-0005-0000-0000-00008A5E0000}"/>
    <cellStyle name="Millares 15 4 2 2" xfId="24212" xr:uid="{00000000-0005-0000-0000-00008B5E0000}"/>
    <cellStyle name="Millares 15 4 3" xfId="24213" xr:uid="{00000000-0005-0000-0000-00008C5E0000}"/>
    <cellStyle name="Millares 15 4 3 2" xfId="24214" xr:uid="{00000000-0005-0000-0000-00008D5E0000}"/>
    <cellStyle name="Millares 15 4 4" xfId="24215" xr:uid="{00000000-0005-0000-0000-00008E5E0000}"/>
    <cellStyle name="Millares 15 5" xfId="24216" xr:uid="{00000000-0005-0000-0000-00008F5E0000}"/>
    <cellStyle name="Millares 15 5 2" xfId="24217" xr:uid="{00000000-0005-0000-0000-0000905E0000}"/>
    <cellStyle name="Millares 15 6" xfId="24218" xr:uid="{00000000-0005-0000-0000-0000915E0000}"/>
    <cellStyle name="Millares 15 6 2" xfId="24219" xr:uid="{00000000-0005-0000-0000-0000925E0000}"/>
    <cellStyle name="Millares 15 7" xfId="24220" xr:uid="{00000000-0005-0000-0000-0000935E0000}"/>
    <cellStyle name="Millares 15 8" xfId="36241" xr:uid="{00000000-0005-0000-0000-0000945E0000}"/>
    <cellStyle name="Millares 16" xfId="24221" xr:uid="{00000000-0005-0000-0000-0000955E0000}"/>
    <cellStyle name="Millares 16 10" xfId="24222" xr:uid="{00000000-0005-0000-0000-0000965E0000}"/>
    <cellStyle name="Millares 16 11" xfId="24223" xr:uid="{00000000-0005-0000-0000-0000975E0000}"/>
    <cellStyle name="Millares 16 12" xfId="24224" xr:uid="{00000000-0005-0000-0000-0000985E0000}"/>
    <cellStyle name="Millares 16 13" xfId="24225" xr:uid="{00000000-0005-0000-0000-0000995E0000}"/>
    <cellStyle name="Millares 16 14" xfId="24226" xr:uid="{00000000-0005-0000-0000-00009A5E0000}"/>
    <cellStyle name="Millares 16 15" xfId="36346" xr:uid="{00000000-0005-0000-0000-00009B5E0000}"/>
    <cellStyle name="Millares 16 2" xfId="24227" xr:uid="{00000000-0005-0000-0000-00009C5E0000}"/>
    <cellStyle name="Millares 16 2 2" xfId="24228" xr:uid="{00000000-0005-0000-0000-00009D5E0000}"/>
    <cellStyle name="Millares 16 2 2 2" xfId="24229" xr:uid="{00000000-0005-0000-0000-00009E5E0000}"/>
    <cellStyle name="Millares 16 2 2 2 2" xfId="24230" xr:uid="{00000000-0005-0000-0000-00009F5E0000}"/>
    <cellStyle name="Millares 16 2 2 2 2 2" xfId="24231" xr:uid="{00000000-0005-0000-0000-0000A05E0000}"/>
    <cellStyle name="Millares 16 2 2 2 3" xfId="24232" xr:uid="{00000000-0005-0000-0000-0000A15E0000}"/>
    <cellStyle name="Millares 16 2 2 2 3 2" xfId="24233" xr:uid="{00000000-0005-0000-0000-0000A25E0000}"/>
    <cellStyle name="Millares 16 2 2 2 4" xfId="24234" xr:uid="{00000000-0005-0000-0000-0000A35E0000}"/>
    <cellStyle name="Millares 16 2 2 3" xfId="24235" xr:uid="{00000000-0005-0000-0000-0000A45E0000}"/>
    <cellStyle name="Millares 16 2 2 3 2" xfId="24236" xr:uid="{00000000-0005-0000-0000-0000A55E0000}"/>
    <cellStyle name="Millares 16 2 2 4" xfId="24237" xr:uid="{00000000-0005-0000-0000-0000A65E0000}"/>
    <cellStyle name="Millares 16 2 2 4 2" xfId="24238" xr:uid="{00000000-0005-0000-0000-0000A75E0000}"/>
    <cellStyle name="Millares 16 2 2 5" xfId="24239" xr:uid="{00000000-0005-0000-0000-0000A85E0000}"/>
    <cellStyle name="Millares 16 2 3" xfId="24240" xr:uid="{00000000-0005-0000-0000-0000A95E0000}"/>
    <cellStyle name="Millares 16 2 3 2" xfId="24241" xr:uid="{00000000-0005-0000-0000-0000AA5E0000}"/>
    <cellStyle name="Millares 16 2 3 2 2" xfId="24242" xr:uid="{00000000-0005-0000-0000-0000AB5E0000}"/>
    <cellStyle name="Millares 16 2 3 3" xfId="24243" xr:uid="{00000000-0005-0000-0000-0000AC5E0000}"/>
    <cellStyle name="Millares 16 2 3 3 2" xfId="24244" xr:uid="{00000000-0005-0000-0000-0000AD5E0000}"/>
    <cellStyle name="Millares 16 2 3 4" xfId="24245" xr:uid="{00000000-0005-0000-0000-0000AE5E0000}"/>
    <cellStyle name="Millares 16 2 4" xfId="24246" xr:uid="{00000000-0005-0000-0000-0000AF5E0000}"/>
    <cellStyle name="Millares 16 2 4 2" xfId="24247" xr:uid="{00000000-0005-0000-0000-0000B05E0000}"/>
    <cellStyle name="Millares 16 2 5" xfId="24248" xr:uid="{00000000-0005-0000-0000-0000B15E0000}"/>
    <cellStyle name="Millares 16 2 5 2" xfId="24249" xr:uid="{00000000-0005-0000-0000-0000B25E0000}"/>
    <cellStyle name="Millares 16 2 6" xfId="24250" xr:uid="{00000000-0005-0000-0000-0000B35E0000}"/>
    <cellStyle name="Millares 16 3" xfId="24251" xr:uid="{00000000-0005-0000-0000-0000B45E0000}"/>
    <cellStyle name="Millares 16 3 2" xfId="24252" xr:uid="{00000000-0005-0000-0000-0000B55E0000}"/>
    <cellStyle name="Millares 16 3 2 2" xfId="24253" xr:uid="{00000000-0005-0000-0000-0000B65E0000}"/>
    <cellStyle name="Millares 16 3 2 2 2" xfId="24254" xr:uid="{00000000-0005-0000-0000-0000B75E0000}"/>
    <cellStyle name="Millares 16 3 2 3" xfId="24255" xr:uid="{00000000-0005-0000-0000-0000B85E0000}"/>
    <cellStyle name="Millares 16 3 2 3 2" xfId="24256" xr:uid="{00000000-0005-0000-0000-0000B95E0000}"/>
    <cellStyle name="Millares 16 3 2 4" xfId="24257" xr:uid="{00000000-0005-0000-0000-0000BA5E0000}"/>
    <cellStyle name="Millares 16 3 3" xfId="24258" xr:uid="{00000000-0005-0000-0000-0000BB5E0000}"/>
    <cellStyle name="Millares 16 3 3 2" xfId="24259" xr:uid="{00000000-0005-0000-0000-0000BC5E0000}"/>
    <cellStyle name="Millares 16 3 4" xfId="24260" xr:uid="{00000000-0005-0000-0000-0000BD5E0000}"/>
    <cellStyle name="Millares 16 3 4 2" xfId="24261" xr:uid="{00000000-0005-0000-0000-0000BE5E0000}"/>
    <cellStyle name="Millares 16 3 5" xfId="24262" xr:uid="{00000000-0005-0000-0000-0000BF5E0000}"/>
    <cellStyle name="Millares 16 4" xfId="24263" xr:uid="{00000000-0005-0000-0000-0000C05E0000}"/>
    <cellStyle name="Millares 16 4 2" xfId="24264" xr:uid="{00000000-0005-0000-0000-0000C15E0000}"/>
    <cellStyle name="Millares 16 4 2 2" xfId="24265" xr:uid="{00000000-0005-0000-0000-0000C25E0000}"/>
    <cellStyle name="Millares 16 4 3" xfId="24266" xr:uid="{00000000-0005-0000-0000-0000C35E0000}"/>
    <cellStyle name="Millares 16 4 3 2" xfId="24267" xr:uid="{00000000-0005-0000-0000-0000C45E0000}"/>
    <cellStyle name="Millares 16 4 4" xfId="24268" xr:uid="{00000000-0005-0000-0000-0000C55E0000}"/>
    <cellStyle name="Millares 16 5" xfId="24269" xr:uid="{00000000-0005-0000-0000-0000C65E0000}"/>
    <cellStyle name="Millares 16 5 2" xfId="24270" xr:uid="{00000000-0005-0000-0000-0000C75E0000}"/>
    <cellStyle name="Millares 16 6" xfId="24271" xr:uid="{00000000-0005-0000-0000-0000C85E0000}"/>
    <cellStyle name="Millares 16 6 2" xfId="24272" xr:uid="{00000000-0005-0000-0000-0000C95E0000}"/>
    <cellStyle name="Millares 16 7" xfId="24273" xr:uid="{00000000-0005-0000-0000-0000CA5E0000}"/>
    <cellStyle name="Millares 16 8" xfId="24274" xr:uid="{00000000-0005-0000-0000-0000CB5E0000}"/>
    <cellStyle name="Millares 16 9" xfId="24275" xr:uid="{00000000-0005-0000-0000-0000CC5E0000}"/>
    <cellStyle name="Millares 17" xfId="24276" xr:uid="{00000000-0005-0000-0000-0000CD5E0000}"/>
    <cellStyle name="Millares 17 2" xfId="24277" xr:uid="{00000000-0005-0000-0000-0000CE5E0000}"/>
    <cellStyle name="Millares 17 2 2" xfId="24278" xr:uid="{00000000-0005-0000-0000-0000CF5E0000}"/>
    <cellStyle name="Millares 17 2 2 2" xfId="24279" xr:uid="{00000000-0005-0000-0000-0000D05E0000}"/>
    <cellStyle name="Millares 17 2 2 2 2" xfId="24280" xr:uid="{00000000-0005-0000-0000-0000D15E0000}"/>
    <cellStyle name="Millares 17 2 2 2 2 2" xfId="24281" xr:uid="{00000000-0005-0000-0000-0000D25E0000}"/>
    <cellStyle name="Millares 17 2 2 2 2 2 2" xfId="24282" xr:uid="{00000000-0005-0000-0000-0000D35E0000}"/>
    <cellStyle name="Millares 17 2 2 2 2 2 2 2" xfId="24283" xr:uid="{00000000-0005-0000-0000-0000D45E0000}"/>
    <cellStyle name="Millares 17 2 2 2 2 2 2 2 2" xfId="24284" xr:uid="{00000000-0005-0000-0000-0000D55E0000}"/>
    <cellStyle name="Millares 17 2 2 2 2 2 2 3" xfId="24285" xr:uid="{00000000-0005-0000-0000-0000D65E0000}"/>
    <cellStyle name="Millares 17 2 2 2 2 2 2 3 2" xfId="24286" xr:uid="{00000000-0005-0000-0000-0000D75E0000}"/>
    <cellStyle name="Millares 17 2 2 2 2 2 2 4" xfId="24287" xr:uid="{00000000-0005-0000-0000-0000D85E0000}"/>
    <cellStyle name="Millares 17 2 2 2 2 2 3" xfId="24288" xr:uid="{00000000-0005-0000-0000-0000D95E0000}"/>
    <cellStyle name="Millares 17 2 2 2 2 2 3 2" xfId="24289" xr:uid="{00000000-0005-0000-0000-0000DA5E0000}"/>
    <cellStyle name="Millares 17 2 2 2 2 2 4" xfId="24290" xr:uid="{00000000-0005-0000-0000-0000DB5E0000}"/>
    <cellStyle name="Millares 17 2 2 2 2 2 4 2" xfId="24291" xr:uid="{00000000-0005-0000-0000-0000DC5E0000}"/>
    <cellStyle name="Millares 17 2 2 2 2 2 5" xfId="24292" xr:uid="{00000000-0005-0000-0000-0000DD5E0000}"/>
    <cellStyle name="Millares 17 2 2 2 2 3" xfId="24293" xr:uid="{00000000-0005-0000-0000-0000DE5E0000}"/>
    <cellStyle name="Millares 17 2 2 2 2 3 2" xfId="24294" xr:uid="{00000000-0005-0000-0000-0000DF5E0000}"/>
    <cellStyle name="Millares 17 2 2 2 2 3 2 2" xfId="24295" xr:uid="{00000000-0005-0000-0000-0000E05E0000}"/>
    <cellStyle name="Millares 17 2 2 2 2 3 3" xfId="24296" xr:uid="{00000000-0005-0000-0000-0000E15E0000}"/>
    <cellStyle name="Millares 17 2 2 2 2 3 3 2" xfId="24297" xr:uid="{00000000-0005-0000-0000-0000E25E0000}"/>
    <cellStyle name="Millares 17 2 2 2 2 3 4" xfId="24298" xr:uid="{00000000-0005-0000-0000-0000E35E0000}"/>
    <cellStyle name="Millares 17 2 2 2 2 4" xfId="24299" xr:uid="{00000000-0005-0000-0000-0000E45E0000}"/>
    <cellStyle name="Millares 17 2 2 2 2 4 2" xfId="24300" xr:uid="{00000000-0005-0000-0000-0000E55E0000}"/>
    <cellStyle name="Millares 17 2 2 2 2 5" xfId="24301" xr:uid="{00000000-0005-0000-0000-0000E65E0000}"/>
    <cellStyle name="Millares 17 2 2 2 2 5 2" xfId="24302" xr:uid="{00000000-0005-0000-0000-0000E75E0000}"/>
    <cellStyle name="Millares 17 2 2 2 2 6" xfId="24303" xr:uid="{00000000-0005-0000-0000-0000E85E0000}"/>
    <cellStyle name="Millares 17 2 2 2 3" xfId="24304" xr:uid="{00000000-0005-0000-0000-0000E95E0000}"/>
    <cellStyle name="Millares 17 2 2 2 3 2" xfId="24305" xr:uid="{00000000-0005-0000-0000-0000EA5E0000}"/>
    <cellStyle name="Millares 17 2 2 2 3 2 2" xfId="24306" xr:uid="{00000000-0005-0000-0000-0000EB5E0000}"/>
    <cellStyle name="Millares 17 2 2 2 3 2 2 2" xfId="24307" xr:uid="{00000000-0005-0000-0000-0000EC5E0000}"/>
    <cellStyle name="Millares 17 2 2 2 3 2 3" xfId="24308" xr:uid="{00000000-0005-0000-0000-0000ED5E0000}"/>
    <cellStyle name="Millares 17 2 2 2 3 2 3 2" xfId="24309" xr:uid="{00000000-0005-0000-0000-0000EE5E0000}"/>
    <cellStyle name="Millares 17 2 2 2 3 2 4" xfId="24310" xr:uid="{00000000-0005-0000-0000-0000EF5E0000}"/>
    <cellStyle name="Millares 17 2 2 2 3 3" xfId="24311" xr:uid="{00000000-0005-0000-0000-0000F05E0000}"/>
    <cellStyle name="Millares 17 2 2 2 3 3 2" xfId="24312" xr:uid="{00000000-0005-0000-0000-0000F15E0000}"/>
    <cellStyle name="Millares 17 2 2 2 3 4" xfId="24313" xr:uid="{00000000-0005-0000-0000-0000F25E0000}"/>
    <cellStyle name="Millares 17 2 2 2 3 4 2" xfId="24314" xr:uid="{00000000-0005-0000-0000-0000F35E0000}"/>
    <cellStyle name="Millares 17 2 2 2 3 5" xfId="24315" xr:uid="{00000000-0005-0000-0000-0000F45E0000}"/>
    <cellStyle name="Millares 17 2 2 2 4" xfId="24316" xr:uid="{00000000-0005-0000-0000-0000F55E0000}"/>
    <cellStyle name="Millares 17 2 2 2 4 2" xfId="24317" xr:uid="{00000000-0005-0000-0000-0000F65E0000}"/>
    <cellStyle name="Millares 17 2 2 2 4 2 2" xfId="24318" xr:uid="{00000000-0005-0000-0000-0000F75E0000}"/>
    <cellStyle name="Millares 17 2 2 2 4 3" xfId="24319" xr:uid="{00000000-0005-0000-0000-0000F85E0000}"/>
    <cellStyle name="Millares 17 2 2 2 4 3 2" xfId="24320" xr:uid="{00000000-0005-0000-0000-0000F95E0000}"/>
    <cellStyle name="Millares 17 2 2 2 4 4" xfId="24321" xr:uid="{00000000-0005-0000-0000-0000FA5E0000}"/>
    <cellStyle name="Millares 17 2 2 2 5" xfId="24322" xr:uid="{00000000-0005-0000-0000-0000FB5E0000}"/>
    <cellStyle name="Millares 17 2 2 2 5 2" xfId="24323" xr:uid="{00000000-0005-0000-0000-0000FC5E0000}"/>
    <cellStyle name="Millares 17 2 2 2 6" xfId="24324" xr:uid="{00000000-0005-0000-0000-0000FD5E0000}"/>
    <cellStyle name="Millares 17 2 2 2 6 2" xfId="24325" xr:uid="{00000000-0005-0000-0000-0000FE5E0000}"/>
    <cellStyle name="Millares 17 2 2 2 7" xfId="24326" xr:uid="{00000000-0005-0000-0000-0000FF5E0000}"/>
    <cellStyle name="Millares 17 2 2 3" xfId="24327" xr:uid="{00000000-0005-0000-0000-0000005F0000}"/>
    <cellStyle name="Millares 17 2 2 3 2" xfId="24328" xr:uid="{00000000-0005-0000-0000-0000015F0000}"/>
    <cellStyle name="Millares 17 2 2 3 2 2" xfId="24329" xr:uid="{00000000-0005-0000-0000-0000025F0000}"/>
    <cellStyle name="Millares 17 2 2 3 2 2 2" xfId="24330" xr:uid="{00000000-0005-0000-0000-0000035F0000}"/>
    <cellStyle name="Millares 17 2 2 3 2 2 2 2" xfId="24331" xr:uid="{00000000-0005-0000-0000-0000045F0000}"/>
    <cellStyle name="Millares 17 2 2 3 2 2 3" xfId="24332" xr:uid="{00000000-0005-0000-0000-0000055F0000}"/>
    <cellStyle name="Millares 17 2 2 3 2 2 3 2" xfId="24333" xr:uid="{00000000-0005-0000-0000-0000065F0000}"/>
    <cellStyle name="Millares 17 2 2 3 2 2 4" xfId="24334" xr:uid="{00000000-0005-0000-0000-0000075F0000}"/>
    <cellStyle name="Millares 17 2 2 3 2 3" xfId="24335" xr:uid="{00000000-0005-0000-0000-0000085F0000}"/>
    <cellStyle name="Millares 17 2 2 3 2 3 2" xfId="24336" xr:uid="{00000000-0005-0000-0000-0000095F0000}"/>
    <cellStyle name="Millares 17 2 2 3 2 4" xfId="24337" xr:uid="{00000000-0005-0000-0000-00000A5F0000}"/>
    <cellStyle name="Millares 17 2 2 3 2 4 2" xfId="24338" xr:uid="{00000000-0005-0000-0000-00000B5F0000}"/>
    <cellStyle name="Millares 17 2 2 3 2 5" xfId="24339" xr:uid="{00000000-0005-0000-0000-00000C5F0000}"/>
    <cellStyle name="Millares 17 2 2 3 3" xfId="24340" xr:uid="{00000000-0005-0000-0000-00000D5F0000}"/>
    <cellStyle name="Millares 17 2 2 3 3 2" xfId="24341" xr:uid="{00000000-0005-0000-0000-00000E5F0000}"/>
    <cellStyle name="Millares 17 2 2 3 3 2 2" xfId="24342" xr:uid="{00000000-0005-0000-0000-00000F5F0000}"/>
    <cellStyle name="Millares 17 2 2 3 3 3" xfId="24343" xr:uid="{00000000-0005-0000-0000-0000105F0000}"/>
    <cellStyle name="Millares 17 2 2 3 3 3 2" xfId="24344" xr:uid="{00000000-0005-0000-0000-0000115F0000}"/>
    <cellStyle name="Millares 17 2 2 3 3 4" xfId="24345" xr:uid="{00000000-0005-0000-0000-0000125F0000}"/>
    <cellStyle name="Millares 17 2 2 3 4" xfId="24346" xr:uid="{00000000-0005-0000-0000-0000135F0000}"/>
    <cellStyle name="Millares 17 2 2 3 4 2" xfId="24347" xr:uid="{00000000-0005-0000-0000-0000145F0000}"/>
    <cellStyle name="Millares 17 2 2 3 5" xfId="24348" xr:uid="{00000000-0005-0000-0000-0000155F0000}"/>
    <cellStyle name="Millares 17 2 2 3 5 2" xfId="24349" xr:uid="{00000000-0005-0000-0000-0000165F0000}"/>
    <cellStyle name="Millares 17 2 2 3 6" xfId="24350" xr:uid="{00000000-0005-0000-0000-0000175F0000}"/>
    <cellStyle name="Millares 17 2 2 4" xfId="24351" xr:uid="{00000000-0005-0000-0000-0000185F0000}"/>
    <cellStyle name="Millares 17 2 2 4 2" xfId="24352" xr:uid="{00000000-0005-0000-0000-0000195F0000}"/>
    <cellStyle name="Millares 17 2 2 4 2 2" xfId="24353" xr:uid="{00000000-0005-0000-0000-00001A5F0000}"/>
    <cellStyle name="Millares 17 2 2 4 2 2 2" xfId="24354" xr:uid="{00000000-0005-0000-0000-00001B5F0000}"/>
    <cellStyle name="Millares 17 2 2 4 2 3" xfId="24355" xr:uid="{00000000-0005-0000-0000-00001C5F0000}"/>
    <cellStyle name="Millares 17 2 2 4 2 3 2" xfId="24356" xr:uid="{00000000-0005-0000-0000-00001D5F0000}"/>
    <cellStyle name="Millares 17 2 2 4 2 4" xfId="24357" xr:uid="{00000000-0005-0000-0000-00001E5F0000}"/>
    <cellStyle name="Millares 17 2 2 4 3" xfId="24358" xr:uid="{00000000-0005-0000-0000-00001F5F0000}"/>
    <cellStyle name="Millares 17 2 2 4 3 2" xfId="24359" xr:uid="{00000000-0005-0000-0000-0000205F0000}"/>
    <cellStyle name="Millares 17 2 2 4 4" xfId="24360" xr:uid="{00000000-0005-0000-0000-0000215F0000}"/>
    <cellStyle name="Millares 17 2 2 4 4 2" xfId="24361" xr:uid="{00000000-0005-0000-0000-0000225F0000}"/>
    <cellStyle name="Millares 17 2 2 4 5" xfId="24362" xr:uid="{00000000-0005-0000-0000-0000235F0000}"/>
    <cellStyle name="Millares 17 2 2 5" xfId="24363" xr:uid="{00000000-0005-0000-0000-0000245F0000}"/>
    <cellStyle name="Millares 17 2 2 5 2" xfId="24364" xr:uid="{00000000-0005-0000-0000-0000255F0000}"/>
    <cellStyle name="Millares 17 2 2 5 2 2" xfId="24365" xr:uid="{00000000-0005-0000-0000-0000265F0000}"/>
    <cellStyle name="Millares 17 2 2 5 3" xfId="24366" xr:uid="{00000000-0005-0000-0000-0000275F0000}"/>
    <cellStyle name="Millares 17 2 2 5 3 2" xfId="24367" xr:uid="{00000000-0005-0000-0000-0000285F0000}"/>
    <cellStyle name="Millares 17 2 2 5 4" xfId="24368" xr:uid="{00000000-0005-0000-0000-0000295F0000}"/>
    <cellStyle name="Millares 17 2 2 6" xfId="24369" xr:uid="{00000000-0005-0000-0000-00002A5F0000}"/>
    <cellStyle name="Millares 17 2 2 6 2" xfId="24370" xr:uid="{00000000-0005-0000-0000-00002B5F0000}"/>
    <cellStyle name="Millares 17 2 2 7" xfId="24371" xr:uid="{00000000-0005-0000-0000-00002C5F0000}"/>
    <cellStyle name="Millares 17 2 2 7 2" xfId="24372" xr:uid="{00000000-0005-0000-0000-00002D5F0000}"/>
    <cellStyle name="Millares 17 2 2 8" xfId="24373" xr:uid="{00000000-0005-0000-0000-00002E5F0000}"/>
    <cellStyle name="Millares 17 2 3" xfId="24374" xr:uid="{00000000-0005-0000-0000-00002F5F0000}"/>
    <cellStyle name="Millares 17 2 3 2" xfId="24375" xr:uid="{00000000-0005-0000-0000-0000305F0000}"/>
    <cellStyle name="Millares 17 2 3 2 2" xfId="24376" xr:uid="{00000000-0005-0000-0000-0000315F0000}"/>
    <cellStyle name="Millares 17 2 3 2 2 2" xfId="24377" xr:uid="{00000000-0005-0000-0000-0000325F0000}"/>
    <cellStyle name="Millares 17 2 3 2 2 2 2" xfId="24378" xr:uid="{00000000-0005-0000-0000-0000335F0000}"/>
    <cellStyle name="Millares 17 2 3 2 2 3" xfId="24379" xr:uid="{00000000-0005-0000-0000-0000345F0000}"/>
    <cellStyle name="Millares 17 2 3 2 2 3 2" xfId="24380" xr:uid="{00000000-0005-0000-0000-0000355F0000}"/>
    <cellStyle name="Millares 17 2 3 2 2 4" xfId="24381" xr:uid="{00000000-0005-0000-0000-0000365F0000}"/>
    <cellStyle name="Millares 17 2 3 2 3" xfId="24382" xr:uid="{00000000-0005-0000-0000-0000375F0000}"/>
    <cellStyle name="Millares 17 2 3 2 3 2" xfId="24383" xr:uid="{00000000-0005-0000-0000-0000385F0000}"/>
    <cellStyle name="Millares 17 2 3 2 4" xfId="24384" xr:uid="{00000000-0005-0000-0000-0000395F0000}"/>
    <cellStyle name="Millares 17 2 3 2 4 2" xfId="24385" xr:uid="{00000000-0005-0000-0000-00003A5F0000}"/>
    <cellStyle name="Millares 17 2 3 2 5" xfId="24386" xr:uid="{00000000-0005-0000-0000-00003B5F0000}"/>
    <cellStyle name="Millares 17 2 3 3" xfId="24387" xr:uid="{00000000-0005-0000-0000-00003C5F0000}"/>
    <cellStyle name="Millares 17 2 3 3 2" xfId="24388" xr:uid="{00000000-0005-0000-0000-00003D5F0000}"/>
    <cellStyle name="Millares 17 2 3 3 2 2" xfId="24389" xr:uid="{00000000-0005-0000-0000-00003E5F0000}"/>
    <cellStyle name="Millares 17 2 3 3 3" xfId="24390" xr:uid="{00000000-0005-0000-0000-00003F5F0000}"/>
    <cellStyle name="Millares 17 2 3 3 3 2" xfId="24391" xr:uid="{00000000-0005-0000-0000-0000405F0000}"/>
    <cellStyle name="Millares 17 2 3 3 4" xfId="24392" xr:uid="{00000000-0005-0000-0000-0000415F0000}"/>
    <cellStyle name="Millares 17 2 3 4" xfId="24393" xr:uid="{00000000-0005-0000-0000-0000425F0000}"/>
    <cellStyle name="Millares 17 2 3 4 2" xfId="24394" xr:uid="{00000000-0005-0000-0000-0000435F0000}"/>
    <cellStyle name="Millares 17 2 3 5" xfId="24395" xr:uid="{00000000-0005-0000-0000-0000445F0000}"/>
    <cellStyle name="Millares 17 2 3 5 2" xfId="24396" xr:uid="{00000000-0005-0000-0000-0000455F0000}"/>
    <cellStyle name="Millares 17 2 3 6" xfId="24397" xr:uid="{00000000-0005-0000-0000-0000465F0000}"/>
    <cellStyle name="Millares 17 2 4" xfId="24398" xr:uid="{00000000-0005-0000-0000-0000475F0000}"/>
    <cellStyle name="Millares 17 2 4 2" xfId="24399" xr:uid="{00000000-0005-0000-0000-0000485F0000}"/>
    <cellStyle name="Millares 17 2 4 2 2" xfId="24400" xr:uid="{00000000-0005-0000-0000-0000495F0000}"/>
    <cellStyle name="Millares 17 2 4 2 2 2" xfId="24401" xr:uid="{00000000-0005-0000-0000-00004A5F0000}"/>
    <cellStyle name="Millares 17 2 4 2 3" xfId="24402" xr:uid="{00000000-0005-0000-0000-00004B5F0000}"/>
    <cellStyle name="Millares 17 2 4 2 3 2" xfId="24403" xr:uid="{00000000-0005-0000-0000-00004C5F0000}"/>
    <cellStyle name="Millares 17 2 4 2 4" xfId="24404" xr:uid="{00000000-0005-0000-0000-00004D5F0000}"/>
    <cellStyle name="Millares 17 2 4 3" xfId="24405" xr:uid="{00000000-0005-0000-0000-00004E5F0000}"/>
    <cellStyle name="Millares 17 2 4 3 2" xfId="24406" xr:uid="{00000000-0005-0000-0000-00004F5F0000}"/>
    <cellStyle name="Millares 17 2 4 4" xfId="24407" xr:uid="{00000000-0005-0000-0000-0000505F0000}"/>
    <cellStyle name="Millares 17 2 4 4 2" xfId="24408" xr:uid="{00000000-0005-0000-0000-0000515F0000}"/>
    <cellStyle name="Millares 17 2 4 5" xfId="24409" xr:uid="{00000000-0005-0000-0000-0000525F0000}"/>
    <cellStyle name="Millares 17 2 5" xfId="24410" xr:uid="{00000000-0005-0000-0000-0000535F0000}"/>
    <cellStyle name="Millares 17 2 5 2" xfId="24411" xr:uid="{00000000-0005-0000-0000-0000545F0000}"/>
    <cellStyle name="Millares 17 2 5 2 2" xfId="24412" xr:uid="{00000000-0005-0000-0000-0000555F0000}"/>
    <cellStyle name="Millares 17 2 5 3" xfId="24413" xr:uid="{00000000-0005-0000-0000-0000565F0000}"/>
    <cellStyle name="Millares 17 2 5 3 2" xfId="24414" xr:uid="{00000000-0005-0000-0000-0000575F0000}"/>
    <cellStyle name="Millares 17 2 5 4" xfId="24415" xr:uid="{00000000-0005-0000-0000-0000585F0000}"/>
    <cellStyle name="Millares 17 2 6" xfId="24416" xr:uid="{00000000-0005-0000-0000-0000595F0000}"/>
    <cellStyle name="Millares 17 2 6 2" xfId="24417" xr:uid="{00000000-0005-0000-0000-00005A5F0000}"/>
    <cellStyle name="Millares 17 2 7" xfId="24418" xr:uid="{00000000-0005-0000-0000-00005B5F0000}"/>
    <cellStyle name="Millares 17 2 7 2" xfId="24419" xr:uid="{00000000-0005-0000-0000-00005C5F0000}"/>
    <cellStyle name="Millares 17 2 8" xfId="24420" xr:uid="{00000000-0005-0000-0000-00005D5F0000}"/>
    <cellStyle name="Millares 17 3" xfId="24421" xr:uid="{00000000-0005-0000-0000-00005E5F0000}"/>
    <cellStyle name="Millares 17 3 2" xfId="24422" xr:uid="{00000000-0005-0000-0000-00005F5F0000}"/>
    <cellStyle name="Millares 17 3 2 2" xfId="24423" xr:uid="{00000000-0005-0000-0000-0000605F0000}"/>
    <cellStyle name="Millares 17 3 2 2 2" xfId="24424" xr:uid="{00000000-0005-0000-0000-0000615F0000}"/>
    <cellStyle name="Millares 17 3 2 2 2 2" xfId="24425" xr:uid="{00000000-0005-0000-0000-0000625F0000}"/>
    <cellStyle name="Millares 17 3 2 2 3" xfId="24426" xr:uid="{00000000-0005-0000-0000-0000635F0000}"/>
    <cellStyle name="Millares 17 3 2 2 3 2" xfId="24427" xr:uid="{00000000-0005-0000-0000-0000645F0000}"/>
    <cellStyle name="Millares 17 3 2 2 4" xfId="24428" xr:uid="{00000000-0005-0000-0000-0000655F0000}"/>
    <cellStyle name="Millares 17 3 2 3" xfId="24429" xr:uid="{00000000-0005-0000-0000-0000665F0000}"/>
    <cellStyle name="Millares 17 3 2 3 2" xfId="24430" xr:uid="{00000000-0005-0000-0000-0000675F0000}"/>
    <cellStyle name="Millares 17 3 2 4" xfId="24431" xr:uid="{00000000-0005-0000-0000-0000685F0000}"/>
    <cellStyle name="Millares 17 3 2 4 2" xfId="24432" xr:uid="{00000000-0005-0000-0000-0000695F0000}"/>
    <cellStyle name="Millares 17 3 2 5" xfId="24433" xr:uid="{00000000-0005-0000-0000-00006A5F0000}"/>
    <cellStyle name="Millares 17 3 3" xfId="24434" xr:uid="{00000000-0005-0000-0000-00006B5F0000}"/>
    <cellStyle name="Millares 17 3 3 2" xfId="24435" xr:uid="{00000000-0005-0000-0000-00006C5F0000}"/>
    <cellStyle name="Millares 17 3 3 2 2" xfId="24436" xr:uid="{00000000-0005-0000-0000-00006D5F0000}"/>
    <cellStyle name="Millares 17 3 3 3" xfId="24437" xr:uid="{00000000-0005-0000-0000-00006E5F0000}"/>
    <cellStyle name="Millares 17 3 3 3 2" xfId="24438" xr:uid="{00000000-0005-0000-0000-00006F5F0000}"/>
    <cellStyle name="Millares 17 3 3 4" xfId="24439" xr:uid="{00000000-0005-0000-0000-0000705F0000}"/>
    <cellStyle name="Millares 17 3 4" xfId="24440" xr:uid="{00000000-0005-0000-0000-0000715F0000}"/>
    <cellStyle name="Millares 17 3 4 2" xfId="24441" xr:uid="{00000000-0005-0000-0000-0000725F0000}"/>
    <cellStyle name="Millares 17 3 5" xfId="24442" xr:uid="{00000000-0005-0000-0000-0000735F0000}"/>
    <cellStyle name="Millares 17 3 5 2" xfId="24443" xr:uid="{00000000-0005-0000-0000-0000745F0000}"/>
    <cellStyle name="Millares 17 3 6" xfId="24444" xr:uid="{00000000-0005-0000-0000-0000755F0000}"/>
    <cellStyle name="Millares 17 4" xfId="24445" xr:uid="{00000000-0005-0000-0000-0000765F0000}"/>
    <cellStyle name="Millares 17 4 2" xfId="24446" xr:uid="{00000000-0005-0000-0000-0000775F0000}"/>
    <cellStyle name="Millares 17 4 2 2" xfId="24447" xr:uid="{00000000-0005-0000-0000-0000785F0000}"/>
    <cellStyle name="Millares 17 4 2 2 2" xfId="24448" xr:uid="{00000000-0005-0000-0000-0000795F0000}"/>
    <cellStyle name="Millares 17 4 2 3" xfId="24449" xr:uid="{00000000-0005-0000-0000-00007A5F0000}"/>
    <cellStyle name="Millares 17 4 2 3 2" xfId="24450" xr:uid="{00000000-0005-0000-0000-00007B5F0000}"/>
    <cellStyle name="Millares 17 4 2 4" xfId="24451" xr:uid="{00000000-0005-0000-0000-00007C5F0000}"/>
    <cellStyle name="Millares 17 4 3" xfId="24452" xr:uid="{00000000-0005-0000-0000-00007D5F0000}"/>
    <cellStyle name="Millares 17 4 3 2" xfId="24453" xr:uid="{00000000-0005-0000-0000-00007E5F0000}"/>
    <cellStyle name="Millares 17 4 4" xfId="24454" xr:uid="{00000000-0005-0000-0000-00007F5F0000}"/>
    <cellStyle name="Millares 17 4 4 2" xfId="24455" xr:uid="{00000000-0005-0000-0000-0000805F0000}"/>
    <cellStyle name="Millares 17 4 5" xfId="24456" xr:uid="{00000000-0005-0000-0000-0000815F0000}"/>
    <cellStyle name="Millares 17 5" xfId="24457" xr:uid="{00000000-0005-0000-0000-0000825F0000}"/>
    <cellStyle name="Millares 17 5 2" xfId="24458" xr:uid="{00000000-0005-0000-0000-0000835F0000}"/>
    <cellStyle name="Millares 17 5 2 2" xfId="24459" xr:uid="{00000000-0005-0000-0000-0000845F0000}"/>
    <cellStyle name="Millares 17 5 3" xfId="24460" xr:uid="{00000000-0005-0000-0000-0000855F0000}"/>
    <cellStyle name="Millares 17 5 3 2" xfId="24461" xr:uid="{00000000-0005-0000-0000-0000865F0000}"/>
    <cellStyle name="Millares 17 5 4" xfId="24462" xr:uid="{00000000-0005-0000-0000-0000875F0000}"/>
    <cellStyle name="Millares 17 6" xfId="24463" xr:uid="{00000000-0005-0000-0000-0000885F0000}"/>
    <cellStyle name="Millares 17 6 2" xfId="24464" xr:uid="{00000000-0005-0000-0000-0000895F0000}"/>
    <cellStyle name="Millares 17 7" xfId="24465" xr:uid="{00000000-0005-0000-0000-00008A5F0000}"/>
    <cellStyle name="Millares 17 7 2" xfId="24466" xr:uid="{00000000-0005-0000-0000-00008B5F0000}"/>
    <cellStyle name="Millares 17 8" xfId="24467" xr:uid="{00000000-0005-0000-0000-00008C5F0000}"/>
    <cellStyle name="Millares 17 9" xfId="36248" xr:uid="{00000000-0005-0000-0000-00008D5F0000}"/>
    <cellStyle name="Millares 18" xfId="24468" xr:uid="{00000000-0005-0000-0000-00008E5F0000}"/>
    <cellStyle name="Millares 18 2" xfId="24469" xr:uid="{00000000-0005-0000-0000-00008F5F0000}"/>
    <cellStyle name="Millares 18 2 2" xfId="24470" xr:uid="{00000000-0005-0000-0000-0000905F0000}"/>
    <cellStyle name="Millares 18 2 2 2" xfId="24471" xr:uid="{00000000-0005-0000-0000-0000915F0000}"/>
    <cellStyle name="Millares 18 2 2 2 2" xfId="24472" xr:uid="{00000000-0005-0000-0000-0000925F0000}"/>
    <cellStyle name="Millares 18 2 2 2 2 2" xfId="24473" xr:uid="{00000000-0005-0000-0000-0000935F0000}"/>
    <cellStyle name="Millares 18 2 2 2 2 2 2" xfId="24474" xr:uid="{00000000-0005-0000-0000-0000945F0000}"/>
    <cellStyle name="Millares 18 2 2 2 2 2 2 2" xfId="24475" xr:uid="{00000000-0005-0000-0000-0000955F0000}"/>
    <cellStyle name="Millares 18 2 2 2 2 2 3" xfId="24476" xr:uid="{00000000-0005-0000-0000-0000965F0000}"/>
    <cellStyle name="Millares 18 2 2 2 2 2 3 2" xfId="24477" xr:uid="{00000000-0005-0000-0000-0000975F0000}"/>
    <cellStyle name="Millares 18 2 2 2 2 2 4" xfId="24478" xr:uid="{00000000-0005-0000-0000-0000985F0000}"/>
    <cellStyle name="Millares 18 2 2 2 2 3" xfId="24479" xr:uid="{00000000-0005-0000-0000-0000995F0000}"/>
    <cellStyle name="Millares 18 2 2 2 2 3 2" xfId="24480" xr:uid="{00000000-0005-0000-0000-00009A5F0000}"/>
    <cellStyle name="Millares 18 2 2 2 2 4" xfId="24481" xr:uid="{00000000-0005-0000-0000-00009B5F0000}"/>
    <cellStyle name="Millares 18 2 2 2 2 4 2" xfId="24482" xr:uid="{00000000-0005-0000-0000-00009C5F0000}"/>
    <cellStyle name="Millares 18 2 2 2 2 5" xfId="24483" xr:uid="{00000000-0005-0000-0000-00009D5F0000}"/>
    <cellStyle name="Millares 18 2 2 2 3" xfId="24484" xr:uid="{00000000-0005-0000-0000-00009E5F0000}"/>
    <cellStyle name="Millares 18 2 2 2 3 2" xfId="24485" xr:uid="{00000000-0005-0000-0000-00009F5F0000}"/>
    <cellStyle name="Millares 18 2 2 2 3 2 2" xfId="24486" xr:uid="{00000000-0005-0000-0000-0000A05F0000}"/>
    <cellStyle name="Millares 18 2 2 2 3 3" xfId="24487" xr:uid="{00000000-0005-0000-0000-0000A15F0000}"/>
    <cellStyle name="Millares 18 2 2 2 3 3 2" xfId="24488" xr:uid="{00000000-0005-0000-0000-0000A25F0000}"/>
    <cellStyle name="Millares 18 2 2 2 3 4" xfId="24489" xr:uid="{00000000-0005-0000-0000-0000A35F0000}"/>
    <cellStyle name="Millares 18 2 2 2 4" xfId="24490" xr:uid="{00000000-0005-0000-0000-0000A45F0000}"/>
    <cellStyle name="Millares 18 2 2 2 4 2" xfId="24491" xr:uid="{00000000-0005-0000-0000-0000A55F0000}"/>
    <cellStyle name="Millares 18 2 2 2 5" xfId="24492" xr:uid="{00000000-0005-0000-0000-0000A65F0000}"/>
    <cellStyle name="Millares 18 2 2 2 5 2" xfId="24493" xr:uid="{00000000-0005-0000-0000-0000A75F0000}"/>
    <cellStyle name="Millares 18 2 2 2 6" xfId="24494" xr:uid="{00000000-0005-0000-0000-0000A85F0000}"/>
    <cellStyle name="Millares 18 2 2 3" xfId="24495" xr:uid="{00000000-0005-0000-0000-0000A95F0000}"/>
    <cellStyle name="Millares 18 2 2 3 2" xfId="24496" xr:uid="{00000000-0005-0000-0000-0000AA5F0000}"/>
    <cellStyle name="Millares 18 2 2 3 2 2" xfId="24497" xr:uid="{00000000-0005-0000-0000-0000AB5F0000}"/>
    <cellStyle name="Millares 18 2 2 3 2 2 2" xfId="24498" xr:uid="{00000000-0005-0000-0000-0000AC5F0000}"/>
    <cellStyle name="Millares 18 2 2 3 2 3" xfId="24499" xr:uid="{00000000-0005-0000-0000-0000AD5F0000}"/>
    <cellStyle name="Millares 18 2 2 3 2 3 2" xfId="24500" xr:uid="{00000000-0005-0000-0000-0000AE5F0000}"/>
    <cellStyle name="Millares 18 2 2 3 2 4" xfId="24501" xr:uid="{00000000-0005-0000-0000-0000AF5F0000}"/>
    <cellStyle name="Millares 18 2 2 3 3" xfId="24502" xr:uid="{00000000-0005-0000-0000-0000B05F0000}"/>
    <cellStyle name="Millares 18 2 2 3 3 2" xfId="24503" xr:uid="{00000000-0005-0000-0000-0000B15F0000}"/>
    <cellStyle name="Millares 18 2 2 3 4" xfId="24504" xr:uid="{00000000-0005-0000-0000-0000B25F0000}"/>
    <cellStyle name="Millares 18 2 2 3 4 2" xfId="24505" xr:uid="{00000000-0005-0000-0000-0000B35F0000}"/>
    <cellStyle name="Millares 18 2 2 3 5" xfId="24506" xr:uid="{00000000-0005-0000-0000-0000B45F0000}"/>
    <cellStyle name="Millares 18 2 2 4" xfId="24507" xr:uid="{00000000-0005-0000-0000-0000B55F0000}"/>
    <cellStyle name="Millares 18 2 2 4 2" xfId="24508" xr:uid="{00000000-0005-0000-0000-0000B65F0000}"/>
    <cellStyle name="Millares 18 2 2 4 2 2" xfId="24509" xr:uid="{00000000-0005-0000-0000-0000B75F0000}"/>
    <cellStyle name="Millares 18 2 2 4 3" xfId="24510" xr:uid="{00000000-0005-0000-0000-0000B85F0000}"/>
    <cellStyle name="Millares 18 2 2 4 3 2" xfId="24511" xr:uid="{00000000-0005-0000-0000-0000B95F0000}"/>
    <cellStyle name="Millares 18 2 2 4 4" xfId="24512" xr:uid="{00000000-0005-0000-0000-0000BA5F0000}"/>
    <cellStyle name="Millares 18 2 2 5" xfId="24513" xr:uid="{00000000-0005-0000-0000-0000BB5F0000}"/>
    <cellStyle name="Millares 18 2 2 5 2" xfId="24514" xr:uid="{00000000-0005-0000-0000-0000BC5F0000}"/>
    <cellStyle name="Millares 18 2 2 6" xfId="24515" xr:uid="{00000000-0005-0000-0000-0000BD5F0000}"/>
    <cellStyle name="Millares 18 2 2 6 2" xfId="24516" xr:uid="{00000000-0005-0000-0000-0000BE5F0000}"/>
    <cellStyle name="Millares 18 2 2 7" xfId="24517" xr:uid="{00000000-0005-0000-0000-0000BF5F0000}"/>
    <cellStyle name="Millares 18 2 3" xfId="24518" xr:uid="{00000000-0005-0000-0000-0000C05F0000}"/>
    <cellStyle name="Millares 18 2 3 2" xfId="24519" xr:uid="{00000000-0005-0000-0000-0000C15F0000}"/>
    <cellStyle name="Millares 18 2 3 2 2" xfId="24520" xr:uid="{00000000-0005-0000-0000-0000C25F0000}"/>
    <cellStyle name="Millares 18 2 3 2 2 2" xfId="24521" xr:uid="{00000000-0005-0000-0000-0000C35F0000}"/>
    <cellStyle name="Millares 18 2 3 2 2 2 2" xfId="24522" xr:uid="{00000000-0005-0000-0000-0000C45F0000}"/>
    <cellStyle name="Millares 18 2 3 2 2 3" xfId="24523" xr:uid="{00000000-0005-0000-0000-0000C55F0000}"/>
    <cellStyle name="Millares 18 2 3 2 2 3 2" xfId="24524" xr:uid="{00000000-0005-0000-0000-0000C65F0000}"/>
    <cellStyle name="Millares 18 2 3 2 2 4" xfId="24525" xr:uid="{00000000-0005-0000-0000-0000C75F0000}"/>
    <cellStyle name="Millares 18 2 3 2 3" xfId="24526" xr:uid="{00000000-0005-0000-0000-0000C85F0000}"/>
    <cellStyle name="Millares 18 2 3 2 3 2" xfId="24527" xr:uid="{00000000-0005-0000-0000-0000C95F0000}"/>
    <cellStyle name="Millares 18 2 3 2 4" xfId="24528" xr:uid="{00000000-0005-0000-0000-0000CA5F0000}"/>
    <cellStyle name="Millares 18 2 3 2 4 2" xfId="24529" xr:uid="{00000000-0005-0000-0000-0000CB5F0000}"/>
    <cellStyle name="Millares 18 2 3 2 5" xfId="24530" xr:uid="{00000000-0005-0000-0000-0000CC5F0000}"/>
    <cellStyle name="Millares 18 2 3 3" xfId="24531" xr:uid="{00000000-0005-0000-0000-0000CD5F0000}"/>
    <cellStyle name="Millares 18 2 3 3 2" xfId="24532" xr:uid="{00000000-0005-0000-0000-0000CE5F0000}"/>
    <cellStyle name="Millares 18 2 3 3 2 2" xfId="24533" xr:uid="{00000000-0005-0000-0000-0000CF5F0000}"/>
    <cellStyle name="Millares 18 2 3 3 3" xfId="24534" xr:uid="{00000000-0005-0000-0000-0000D05F0000}"/>
    <cellStyle name="Millares 18 2 3 3 3 2" xfId="24535" xr:uid="{00000000-0005-0000-0000-0000D15F0000}"/>
    <cellStyle name="Millares 18 2 3 3 4" xfId="24536" xr:uid="{00000000-0005-0000-0000-0000D25F0000}"/>
    <cellStyle name="Millares 18 2 3 4" xfId="24537" xr:uid="{00000000-0005-0000-0000-0000D35F0000}"/>
    <cellStyle name="Millares 18 2 3 4 2" xfId="24538" xr:uid="{00000000-0005-0000-0000-0000D45F0000}"/>
    <cellStyle name="Millares 18 2 3 5" xfId="24539" xr:uid="{00000000-0005-0000-0000-0000D55F0000}"/>
    <cellStyle name="Millares 18 2 3 5 2" xfId="24540" xr:uid="{00000000-0005-0000-0000-0000D65F0000}"/>
    <cellStyle name="Millares 18 2 3 6" xfId="24541" xr:uid="{00000000-0005-0000-0000-0000D75F0000}"/>
    <cellStyle name="Millares 18 2 4" xfId="24542" xr:uid="{00000000-0005-0000-0000-0000D85F0000}"/>
    <cellStyle name="Millares 18 2 4 2" xfId="24543" xr:uid="{00000000-0005-0000-0000-0000D95F0000}"/>
    <cellStyle name="Millares 18 2 4 2 2" xfId="24544" xr:uid="{00000000-0005-0000-0000-0000DA5F0000}"/>
    <cellStyle name="Millares 18 2 4 2 2 2" xfId="24545" xr:uid="{00000000-0005-0000-0000-0000DB5F0000}"/>
    <cellStyle name="Millares 18 2 4 2 3" xfId="24546" xr:uid="{00000000-0005-0000-0000-0000DC5F0000}"/>
    <cellStyle name="Millares 18 2 4 2 3 2" xfId="24547" xr:uid="{00000000-0005-0000-0000-0000DD5F0000}"/>
    <cellStyle name="Millares 18 2 4 2 4" xfId="24548" xr:uid="{00000000-0005-0000-0000-0000DE5F0000}"/>
    <cellStyle name="Millares 18 2 4 3" xfId="24549" xr:uid="{00000000-0005-0000-0000-0000DF5F0000}"/>
    <cellStyle name="Millares 18 2 4 3 2" xfId="24550" xr:uid="{00000000-0005-0000-0000-0000E05F0000}"/>
    <cellStyle name="Millares 18 2 4 4" xfId="24551" xr:uid="{00000000-0005-0000-0000-0000E15F0000}"/>
    <cellStyle name="Millares 18 2 4 4 2" xfId="24552" xr:uid="{00000000-0005-0000-0000-0000E25F0000}"/>
    <cellStyle name="Millares 18 2 4 5" xfId="24553" xr:uid="{00000000-0005-0000-0000-0000E35F0000}"/>
    <cellStyle name="Millares 18 2 5" xfId="24554" xr:uid="{00000000-0005-0000-0000-0000E45F0000}"/>
    <cellStyle name="Millares 18 2 5 2" xfId="24555" xr:uid="{00000000-0005-0000-0000-0000E55F0000}"/>
    <cellStyle name="Millares 18 2 5 2 2" xfId="24556" xr:uid="{00000000-0005-0000-0000-0000E65F0000}"/>
    <cellStyle name="Millares 18 2 5 3" xfId="24557" xr:uid="{00000000-0005-0000-0000-0000E75F0000}"/>
    <cellStyle name="Millares 18 2 5 3 2" xfId="24558" xr:uid="{00000000-0005-0000-0000-0000E85F0000}"/>
    <cellStyle name="Millares 18 2 5 4" xfId="24559" xr:uid="{00000000-0005-0000-0000-0000E95F0000}"/>
    <cellStyle name="Millares 18 2 6" xfId="24560" xr:uid="{00000000-0005-0000-0000-0000EA5F0000}"/>
    <cellStyle name="Millares 18 2 6 2" xfId="24561" xr:uid="{00000000-0005-0000-0000-0000EB5F0000}"/>
    <cellStyle name="Millares 18 2 7" xfId="24562" xr:uid="{00000000-0005-0000-0000-0000EC5F0000}"/>
    <cellStyle name="Millares 18 2 7 2" xfId="24563" xr:uid="{00000000-0005-0000-0000-0000ED5F0000}"/>
    <cellStyle name="Millares 18 2 8" xfId="24564" xr:uid="{00000000-0005-0000-0000-0000EE5F0000}"/>
    <cellStyle name="Millares 18 3" xfId="24565" xr:uid="{00000000-0005-0000-0000-0000EF5F0000}"/>
    <cellStyle name="Millares 18 3 2" xfId="24566" xr:uid="{00000000-0005-0000-0000-0000F05F0000}"/>
    <cellStyle name="Millares 18 3 2 2" xfId="24567" xr:uid="{00000000-0005-0000-0000-0000F15F0000}"/>
    <cellStyle name="Millares 18 3 2 2 2" xfId="24568" xr:uid="{00000000-0005-0000-0000-0000F25F0000}"/>
    <cellStyle name="Millares 18 3 2 2 2 2" xfId="24569" xr:uid="{00000000-0005-0000-0000-0000F35F0000}"/>
    <cellStyle name="Millares 18 3 2 2 3" xfId="24570" xr:uid="{00000000-0005-0000-0000-0000F45F0000}"/>
    <cellStyle name="Millares 18 3 2 2 3 2" xfId="24571" xr:uid="{00000000-0005-0000-0000-0000F55F0000}"/>
    <cellStyle name="Millares 18 3 2 2 4" xfId="24572" xr:uid="{00000000-0005-0000-0000-0000F65F0000}"/>
    <cellStyle name="Millares 18 3 2 3" xfId="24573" xr:uid="{00000000-0005-0000-0000-0000F75F0000}"/>
    <cellStyle name="Millares 18 3 2 3 2" xfId="24574" xr:uid="{00000000-0005-0000-0000-0000F85F0000}"/>
    <cellStyle name="Millares 18 3 2 4" xfId="24575" xr:uid="{00000000-0005-0000-0000-0000F95F0000}"/>
    <cellStyle name="Millares 18 3 2 4 2" xfId="24576" xr:uid="{00000000-0005-0000-0000-0000FA5F0000}"/>
    <cellStyle name="Millares 18 3 2 5" xfId="24577" xr:uid="{00000000-0005-0000-0000-0000FB5F0000}"/>
    <cellStyle name="Millares 18 3 3" xfId="24578" xr:uid="{00000000-0005-0000-0000-0000FC5F0000}"/>
    <cellStyle name="Millares 18 3 3 2" xfId="24579" xr:uid="{00000000-0005-0000-0000-0000FD5F0000}"/>
    <cellStyle name="Millares 18 3 3 2 2" xfId="24580" xr:uid="{00000000-0005-0000-0000-0000FE5F0000}"/>
    <cellStyle name="Millares 18 3 3 3" xfId="24581" xr:uid="{00000000-0005-0000-0000-0000FF5F0000}"/>
    <cellStyle name="Millares 18 3 3 3 2" xfId="24582" xr:uid="{00000000-0005-0000-0000-000000600000}"/>
    <cellStyle name="Millares 18 3 3 4" xfId="24583" xr:uid="{00000000-0005-0000-0000-000001600000}"/>
    <cellStyle name="Millares 18 3 4" xfId="24584" xr:uid="{00000000-0005-0000-0000-000002600000}"/>
    <cellStyle name="Millares 18 3 4 2" xfId="24585" xr:uid="{00000000-0005-0000-0000-000003600000}"/>
    <cellStyle name="Millares 18 3 5" xfId="24586" xr:uid="{00000000-0005-0000-0000-000004600000}"/>
    <cellStyle name="Millares 18 3 5 2" xfId="24587" xr:uid="{00000000-0005-0000-0000-000005600000}"/>
    <cellStyle name="Millares 18 3 6" xfId="24588" xr:uid="{00000000-0005-0000-0000-000006600000}"/>
    <cellStyle name="Millares 18 4" xfId="24589" xr:uid="{00000000-0005-0000-0000-000007600000}"/>
    <cellStyle name="Millares 18 4 2" xfId="24590" xr:uid="{00000000-0005-0000-0000-000008600000}"/>
    <cellStyle name="Millares 18 4 2 2" xfId="24591" xr:uid="{00000000-0005-0000-0000-000009600000}"/>
    <cellStyle name="Millares 18 4 2 2 2" xfId="24592" xr:uid="{00000000-0005-0000-0000-00000A600000}"/>
    <cellStyle name="Millares 18 4 2 3" xfId="24593" xr:uid="{00000000-0005-0000-0000-00000B600000}"/>
    <cellStyle name="Millares 18 4 2 3 2" xfId="24594" xr:uid="{00000000-0005-0000-0000-00000C600000}"/>
    <cellStyle name="Millares 18 4 2 4" xfId="24595" xr:uid="{00000000-0005-0000-0000-00000D600000}"/>
    <cellStyle name="Millares 18 4 3" xfId="24596" xr:uid="{00000000-0005-0000-0000-00000E600000}"/>
    <cellStyle name="Millares 18 4 3 2" xfId="24597" xr:uid="{00000000-0005-0000-0000-00000F600000}"/>
    <cellStyle name="Millares 18 4 4" xfId="24598" xr:uid="{00000000-0005-0000-0000-000010600000}"/>
    <cellStyle name="Millares 18 4 4 2" xfId="24599" xr:uid="{00000000-0005-0000-0000-000011600000}"/>
    <cellStyle name="Millares 18 4 5" xfId="24600" xr:uid="{00000000-0005-0000-0000-000012600000}"/>
    <cellStyle name="Millares 18 5" xfId="24601" xr:uid="{00000000-0005-0000-0000-000013600000}"/>
    <cellStyle name="Millares 18 5 2" xfId="24602" xr:uid="{00000000-0005-0000-0000-000014600000}"/>
    <cellStyle name="Millares 18 5 2 2" xfId="24603" xr:uid="{00000000-0005-0000-0000-000015600000}"/>
    <cellStyle name="Millares 18 5 3" xfId="24604" xr:uid="{00000000-0005-0000-0000-000016600000}"/>
    <cellStyle name="Millares 18 5 3 2" xfId="24605" xr:uid="{00000000-0005-0000-0000-000017600000}"/>
    <cellStyle name="Millares 18 5 4" xfId="24606" xr:uid="{00000000-0005-0000-0000-000018600000}"/>
    <cellStyle name="Millares 18 6" xfId="24607" xr:uid="{00000000-0005-0000-0000-000019600000}"/>
    <cellStyle name="Millares 18 6 2" xfId="24608" xr:uid="{00000000-0005-0000-0000-00001A600000}"/>
    <cellStyle name="Millares 18 7" xfId="24609" xr:uid="{00000000-0005-0000-0000-00001B600000}"/>
    <cellStyle name="Millares 18 7 2" xfId="24610" xr:uid="{00000000-0005-0000-0000-00001C600000}"/>
    <cellStyle name="Millares 18 8" xfId="24611" xr:uid="{00000000-0005-0000-0000-00001D600000}"/>
    <cellStyle name="Millares 18 9" xfId="36244" xr:uid="{00000000-0005-0000-0000-00001E600000}"/>
    <cellStyle name="Millares 19" xfId="24612" xr:uid="{00000000-0005-0000-0000-00001F600000}"/>
    <cellStyle name="Millares 19 2" xfId="24613" xr:uid="{00000000-0005-0000-0000-000020600000}"/>
    <cellStyle name="Millares 19 2 2" xfId="24614" xr:uid="{00000000-0005-0000-0000-000021600000}"/>
    <cellStyle name="Millares 19 2 2 2" xfId="24615" xr:uid="{00000000-0005-0000-0000-000022600000}"/>
    <cellStyle name="Millares 19 2 2 2 2" xfId="24616" xr:uid="{00000000-0005-0000-0000-000023600000}"/>
    <cellStyle name="Millares 19 2 2 2 2 2" xfId="24617" xr:uid="{00000000-0005-0000-0000-000024600000}"/>
    <cellStyle name="Millares 19 2 2 2 3" xfId="24618" xr:uid="{00000000-0005-0000-0000-000025600000}"/>
    <cellStyle name="Millares 19 2 2 2 3 2" xfId="24619" xr:uid="{00000000-0005-0000-0000-000026600000}"/>
    <cellStyle name="Millares 19 2 2 2 4" xfId="24620" xr:uid="{00000000-0005-0000-0000-000027600000}"/>
    <cellStyle name="Millares 19 2 2 3" xfId="24621" xr:uid="{00000000-0005-0000-0000-000028600000}"/>
    <cellStyle name="Millares 19 2 2 3 2" xfId="24622" xr:uid="{00000000-0005-0000-0000-000029600000}"/>
    <cellStyle name="Millares 19 2 2 4" xfId="24623" xr:uid="{00000000-0005-0000-0000-00002A600000}"/>
    <cellStyle name="Millares 19 2 2 4 2" xfId="24624" xr:uid="{00000000-0005-0000-0000-00002B600000}"/>
    <cellStyle name="Millares 19 2 2 5" xfId="24625" xr:uid="{00000000-0005-0000-0000-00002C600000}"/>
    <cellStyle name="Millares 19 2 3" xfId="24626" xr:uid="{00000000-0005-0000-0000-00002D600000}"/>
    <cellStyle name="Millares 19 2 3 2" xfId="24627" xr:uid="{00000000-0005-0000-0000-00002E600000}"/>
    <cellStyle name="Millares 19 2 3 2 2" xfId="24628" xr:uid="{00000000-0005-0000-0000-00002F600000}"/>
    <cellStyle name="Millares 19 2 3 3" xfId="24629" xr:uid="{00000000-0005-0000-0000-000030600000}"/>
    <cellStyle name="Millares 19 2 3 3 2" xfId="24630" xr:uid="{00000000-0005-0000-0000-000031600000}"/>
    <cellStyle name="Millares 19 2 3 4" xfId="24631" xr:uid="{00000000-0005-0000-0000-000032600000}"/>
    <cellStyle name="Millares 19 2 4" xfId="24632" xr:uid="{00000000-0005-0000-0000-000033600000}"/>
    <cellStyle name="Millares 19 2 4 2" xfId="24633" xr:uid="{00000000-0005-0000-0000-000034600000}"/>
    <cellStyle name="Millares 19 2 5" xfId="24634" xr:uid="{00000000-0005-0000-0000-000035600000}"/>
    <cellStyle name="Millares 19 2 5 2" xfId="24635" xr:uid="{00000000-0005-0000-0000-000036600000}"/>
    <cellStyle name="Millares 19 2 6" xfId="24636" xr:uid="{00000000-0005-0000-0000-000037600000}"/>
    <cellStyle name="Millares 19 3" xfId="24637" xr:uid="{00000000-0005-0000-0000-000038600000}"/>
    <cellStyle name="Millares 19 3 2" xfId="24638" xr:uid="{00000000-0005-0000-0000-000039600000}"/>
    <cellStyle name="Millares 19 3 2 2" xfId="24639" xr:uid="{00000000-0005-0000-0000-00003A600000}"/>
    <cellStyle name="Millares 19 3 2 2 2" xfId="24640" xr:uid="{00000000-0005-0000-0000-00003B600000}"/>
    <cellStyle name="Millares 19 3 2 3" xfId="24641" xr:uid="{00000000-0005-0000-0000-00003C600000}"/>
    <cellStyle name="Millares 19 3 2 3 2" xfId="24642" xr:uid="{00000000-0005-0000-0000-00003D600000}"/>
    <cellStyle name="Millares 19 3 2 4" xfId="24643" xr:uid="{00000000-0005-0000-0000-00003E600000}"/>
    <cellStyle name="Millares 19 3 3" xfId="24644" xr:uid="{00000000-0005-0000-0000-00003F600000}"/>
    <cellStyle name="Millares 19 3 3 2" xfId="24645" xr:uid="{00000000-0005-0000-0000-000040600000}"/>
    <cellStyle name="Millares 19 3 4" xfId="24646" xr:uid="{00000000-0005-0000-0000-000041600000}"/>
    <cellStyle name="Millares 19 3 4 2" xfId="24647" xr:uid="{00000000-0005-0000-0000-000042600000}"/>
    <cellStyle name="Millares 19 3 5" xfId="24648" xr:uid="{00000000-0005-0000-0000-000043600000}"/>
    <cellStyle name="Millares 19 4" xfId="24649" xr:uid="{00000000-0005-0000-0000-000044600000}"/>
    <cellStyle name="Millares 19 4 2" xfId="24650" xr:uid="{00000000-0005-0000-0000-000045600000}"/>
    <cellStyle name="Millares 19 4 2 2" xfId="24651" xr:uid="{00000000-0005-0000-0000-000046600000}"/>
    <cellStyle name="Millares 19 4 3" xfId="24652" xr:uid="{00000000-0005-0000-0000-000047600000}"/>
    <cellStyle name="Millares 19 4 3 2" xfId="24653" xr:uid="{00000000-0005-0000-0000-000048600000}"/>
    <cellStyle name="Millares 19 4 4" xfId="24654" xr:uid="{00000000-0005-0000-0000-000049600000}"/>
    <cellStyle name="Millares 19 5" xfId="24655" xr:uid="{00000000-0005-0000-0000-00004A600000}"/>
    <cellStyle name="Millares 19 5 2" xfId="24656" xr:uid="{00000000-0005-0000-0000-00004B600000}"/>
    <cellStyle name="Millares 19 6" xfId="24657" xr:uid="{00000000-0005-0000-0000-00004C600000}"/>
    <cellStyle name="Millares 19 6 2" xfId="24658" xr:uid="{00000000-0005-0000-0000-00004D600000}"/>
    <cellStyle name="Millares 19 7" xfId="24659" xr:uid="{00000000-0005-0000-0000-00004E600000}"/>
    <cellStyle name="Millares 19 8" xfId="36245" xr:uid="{00000000-0005-0000-0000-00004F600000}"/>
    <cellStyle name="Millares 2" xfId="45" xr:uid="{00000000-0005-0000-0000-000050600000}"/>
    <cellStyle name="Millares 2 10" xfId="24661" xr:uid="{00000000-0005-0000-0000-000051600000}"/>
    <cellStyle name="Millares 2 11" xfId="24662" xr:uid="{00000000-0005-0000-0000-000052600000}"/>
    <cellStyle name="Millares 2 12" xfId="24663" xr:uid="{00000000-0005-0000-0000-000053600000}"/>
    <cellStyle name="Millares 2 13" xfId="24664" xr:uid="{00000000-0005-0000-0000-000054600000}"/>
    <cellStyle name="Millares 2 14" xfId="24665" xr:uid="{00000000-0005-0000-0000-000055600000}"/>
    <cellStyle name="Millares 2 15" xfId="24666" xr:uid="{00000000-0005-0000-0000-000056600000}"/>
    <cellStyle name="Millares 2 16" xfId="24667" xr:uid="{00000000-0005-0000-0000-000057600000}"/>
    <cellStyle name="Millares 2 17" xfId="24668" xr:uid="{00000000-0005-0000-0000-000058600000}"/>
    <cellStyle name="Millares 2 18" xfId="24669" xr:uid="{00000000-0005-0000-0000-000059600000}"/>
    <cellStyle name="Millares 2 19" xfId="24670" xr:uid="{00000000-0005-0000-0000-00005A600000}"/>
    <cellStyle name="Millares 2 2" xfId="24671" xr:uid="{00000000-0005-0000-0000-00005B600000}"/>
    <cellStyle name="Millares 2 2 10" xfId="24672" xr:uid="{00000000-0005-0000-0000-00005C600000}"/>
    <cellStyle name="Millares 2 2 11" xfId="24673" xr:uid="{00000000-0005-0000-0000-00005D600000}"/>
    <cellStyle name="Millares 2 2 12" xfId="24674" xr:uid="{00000000-0005-0000-0000-00005E600000}"/>
    <cellStyle name="Millares 2 2 13" xfId="24675" xr:uid="{00000000-0005-0000-0000-00005F600000}"/>
    <cellStyle name="Millares 2 2 14" xfId="24676" xr:uid="{00000000-0005-0000-0000-000060600000}"/>
    <cellStyle name="Millares 2 2 15" xfId="24677" xr:uid="{00000000-0005-0000-0000-000061600000}"/>
    <cellStyle name="Millares 2 2 16" xfId="24678" xr:uid="{00000000-0005-0000-0000-000062600000}"/>
    <cellStyle name="Millares 2 2 17" xfId="24679" xr:uid="{00000000-0005-0000-0000-000063600000}"/>
    <cellStyle name="Millares 2 2 18" xfId="24680" xr:uid="{00000000-0005-0000-0000-000064600000}"/>
    <cellStyle name="Millares 2 2 19" xfId="24681" xr:uid="{00000000-0005-0000-0000-000065600000}"/>
    <cellStyle name="Millares 2 2 2" xfId="24682" xr:uid="{00000000-0005-0000-0000-000066600000}"/>
    <cellStyle name="Millares 2 2 2 10" xfId="24683" xr:uid="{00000000-0005-0000-0000-000067600000}"/>
    <cellStyle name="Millares 2 2 2 11" xfId="24684" xr:uid="{00000000-0005-0000-0000-000068600000}"/>
    <cellStyle name="Millares 2 2 2 12" xfId="24685" xr:uid="{00000000-0005-0000-0000-000069600000}"/>
    <cellStyle name="Millares 2 2 2 13" xfId="24686" xr:uid="{00000000-0005-0000-0000-00006A600000}"/>
    <cellStyle name="Millares 2 2 2 14" xfId="24687" xr:uid="{00000000-0005-0000-0000-00006B600000}"/>
    <cellStyle name="Millares 2 2 2 15" xfId="24688" xr:uid="{00000000-0005-0000-0000-00006C600000}"/>
    <cellStyle name="Millares 2 2 2 16" xfId="24689" xr:uid="{00000000-0005-0000-0000-00006D600000}"/>
    <cellStyle name="Millares 2 2 2 17" xfId="24690" xr:uid="{00000000-0005-0000-0000-00006E600000}"/>
    <cellStyle name="Millares 2 2 2 18" xfId="24691" xr:uid="{00000000-0005-0000-0000-00006F600000}"/>
    <cellStyle name="Millares 2 2 2 19" xfId="24692" xr:uid="{00000000-0005-0000-0000-000070600000}"/>
    <cellStyle name="Millares 2 2 2 2" xfId="24693" xr:uid="{00000000-0005-0000-0000-000071600000}"/>
    <cellStyle name="Millares 2 2 2 20" xfId="24694" xr:uid="{00000000-0005-0000-0000-000072600000}"/>
    <cellStyle name="Millares 2 2 2 21" xfId="24695" xr:uid="{00000000-0005-0000-0000-000073600000}"/>
    <cellStyle name="Millares 2 2 2 22" xfId="24696" xr:uid="{00000000-0005-0000-0000-000074600000}"/>
    <cellStyle name="Millares 2 2 2 23" xfId="24697" xr:uid="{00000000-0005-0000-0000-000075600000}"/>
    <cellStyle name="Millares 2 2 2 24" xfId="24698" xr:uid="{00000000-0005-0000-0000-000076600000}"/>
    <cellStyle name="Millares 2 2 2 25" xfId="24699" xr:uid="{00000000-0005-0000-0000-000077600000}"/>
    <cellStyle name="Millares 2 2 2 26" xfId="24700" xr:uid="{00000000-0005-0000-0000-000078600000}"/>
    <cellStyle name="Millares 2 2 2 27" xfId="24701" xr:uid="{00000000-0005-0000-0000-000079600000}"/>
    <cellStyle name="Millares 2 2 2 28" xfId="24702" xr:uid="{00000000-0005-0000-0000-00007A600000}"/>
    <cellStyle name="Millares 2 2 2 3" xfId="24703" xr:uid="{00000000-0005-0000-0000-00007B600000}"/>
    <cellStyle name="Millares 2 2 2 4" xfId="24704" xr:uid="{00000000-0005-0000-0000-00007C600000}"/>
    <cellStyle name="Millares 2 2 2 5" xfId="24705" xr:uid="{00000000-0005-0000-0000-00007D600000}"/>
    <cellStyle name="Millares 2 2 2 6" xfId="24706" xr:uid="{00000000-0005-0000-0000-00007E600000}"/>
    <cellStyle name="Millares 2 2 2 7" xfId="24707" xr:uid="{00000000-0005-0000-0000-00007F600000}"/>
    <cellStyle name="Millares 2 2 2 8" xfId="24708" xr:uid="{00000000-0005-0000-0000-000080600000}"/>
    <cellStyle name="Millares 2 2 2 9" xfId="24709" xr:uid="{00000000-0005-0000-0000-000081600000}"/>
    <cellStyle name="Millares 2 2 20" xfId="24710" xr:uid="{00000000-0005-0000-0000-000082600000}"/>
    <cellStyle name="Millares 2 2 21" xfId="24711" xr:uid="{00000000-0005-0000-0000-000083600000}"/>
    <cellStyle name="Millares 2 2 22" xfId="24712" xr:uid="{00000000-0005-0000-0000-000084600000}"/>
    <cellStyle name="Millares 2 2 23" xfId="24713" xr:uid="{00000000-0005-0000-0000-000085600000}"/>
    <cellStyle name="Millares 2 2 24" xfId="24714" xr:uid="{00000000-0005-0000-0000-000086600000}"/>
    <cellStyle name="Millares 2 2 25" xfId="24715" xr:uid="{00000000-0005-0000-0000-000087600000}"/>
    <cellStyle name="Millares 2 2 26" xfId="24716" xr:uid="{00000000-0005-0000-0000-000088600000}"/>
    <cellStyle name="Millares 2 2 27" xfId="24717" xr:uid="{00000000-0005-0000-0000-000089600000}"/>
    <cellStyle name="Millares 2 2 28" xfId="24718" xr:uid="{00000000-0005-0000-0000-00008A600000}"/>
    <cellStyle name="Millares 2 2 29" xfId="24719" xr:uid="{00000000-0005-0000-0000-00008B600000}"/>
    <cellStyle name="Millares 2 2 3" xfId="24720" xr:uid="{00000000-0005-0000-0000-00008C600000}"/>
    <cellStyle name="Millares 2 2 30" xfId="24721" xr:uid="{00000000-0005-0000-0000-00008D600000}"/>
    <cellStyle name="Millares 2 2 31" xfId="24722" xr:uid="{00000000-0005-0000-0000-00008E600000}"/>
    <cellStyle name="Millares 2 2 32" xfId="24723" xr:uid="{00000000-0005-0000-0000-00008F600000}"/>
    <cellStyle name="Millares 2 2 33" xfId="24724" xr:uid="{00000000-0005-0000-0000-000090600000}"/>
    <cellStyle name="Millares 2 2 34" xfId="24725" xr:uid="{00000000-0005-0000-0000-000091600000}"/>
    <cellStyle name="Millares 2 2 35" xfId="24726" xr:uid="{00000000-0005-0000-0000-000092600000}"/>
    <cellStyle name="Millares 2 2 36" xfId="36178" xr:uid="{00000000-0005-0000-0000-000093600000}"/>
    <cellStyle name="Millares 2 2 4" xfId="24727" xr:uid="{00000000-0005-0000-0000-000094600000}"/>
    <cellStyle name="Millares 2 2 5" xfId="24728" xr:uid="{00000000-0005-0000-0000-000095600000}"/>
    <cellStyle name="Millares 2 2 6" xfId="24729" xr:uid="{00000000-0005-0000-0000-000096600000}"/>
    <cellStyle name="Millares 2 2 7" xfId="24730" xr:uid="{00000000-0005-0000-0000-000097600000}"/>
    <cellStyle name="Millares 2 2 8" xfId="24731" xr:uid="{00000000-0005-0000-0000-000098600000}"/>
    <cellStyle name="Millares 2 2 9" xfId="24732" xr:uid="{00000000-0005-0000-0000-000099600000}"/>
    <cellStyle name="Millares 2 2_FLUJO CONSOLIDADO PALMAS FEB 10" xfId="24733" xr:uid="{00000000-0005-0000-0000-00009A600000}"/>
    <cellStyle name="Millares 2 20" xfId="24734" xr:uid="{00000000-0005-0000-0000-00009B600000}"/>
    <cellStyle name="Millares 2 21" xfId="24735" xr:uid="{00000000-0005-0000-0000-00009C600000}"/>
    <cellStyle name="Millares 2 22" xfId="24736" xr:uid="{00000000-0005-0000-0000-00009D600000}"/>
    <cellStyle name="Millares 2 23" xfId="24737" xr:uid="{00000000-0005-0000-0000-00009E600000}"/>
    <cellStyle name="Millares 2 24" xfId="24738" xr:uid="{00000000-0005-0000-0000-00009F600000}"/>
    <cellStyle name="Millares 2 25" xfId="24739" xr:uid="{00000000-0005-0000-0000-0000A0600000}"/>
    <cellStyle name="Millares 2 26" xfId="24740" xr:uid="{00000000-0005-0000-0000-0000A1600000}"/>
    <cellStyle name="Millares 2 27" xfId="24741" xr:uid="{00000000-0005-0000-0000-0000A2600000}"/>
    <cellStyle name="Millares 2 28" xfId="24742" xr:uid="{00000000-0005-0000-0000-0000A3600000}"/>
    <cellStyle name="Millares 2 29" xfId="24743" xr:uid="{00000000-0005-0000-0000-0000A4600000}"/>
    <cellStyle name="Millares 2 3" xfId="24744" xr:uid="{00000000-0005-0000-0000-0000A5600000}"/>
    <cellStyle name="Millares 2 3 10" xfId="24745" xr:uid="{00000000-0005-0000-0000-0000A6600000}"/>
    <cellStyle name="Millares 2 3 11" xfId="24746" xr:uid="{00000000-0005-0000-0000-0000A7600000}"/>
    <cellStyle name="Millares 2 3 12" xfId="24747" xr:uid="{00000000-0005-0000-0000-0000A8600000}"/>
    <cellStyle name="Millares 2 3 13" xfId="24748" xr:uid="{00000000-0005-0000-0000-0000A9600000}"/>
    <cellStyle name="Millares 2 3 14" xfId="24749" xr:uid="{00000000-0005-0000-0000-0000AA600000}"/>
    <cellStyle name="Millares 2 3 15" xfId="24750" xr:uid="{00000000-0005-0000-0000-0000AB600000}"/>
    <cellStyle name="Millares 2 3 16" xfId="24751" xr:uid="{00000000-0005-0000-0000-0000AC600000}"/>
    <cellStyle name="Millares 2 3 17" xfId="24752" xr:uid="{00000000-0005-0000-0000-0000AD600000}"/>
    <cellStyle name="Millares 2 3 18" xfId="24753" xr:uid="{00000000-0005-0000-0000-0000AE600000}"/>
    <cellStyle name="Millares 2 3 19" xfId="24754" xr:uid="{00000000-0005-0000-0000-0000AF600000}"/>
    <cellStyle name="Millares 2 3 2" xfId="24755" xr:uid="{00000000-0005-0000-0000-0000B0600000}"/>
    <cellStyle name="Millares 2 3 20" xfId="24756" xr:uid="{00000000-0005-0000-0000-0000B1600000}"/>
    <cellStyle name="Millares 2 3 21" xfId="24757" xr:uid="{00000000-0005-0000-0000-0000B2600000}"/>
    <cellStyle name="Millares 2 3 22" xfId="24758" xr:uid="{00000000-0005-0000-0000-0000B3600000}"/>
    <cellStyle name="Millares 2 3 23" xfId="24759" xr:uid="{00000000-0005-0000-0000-0000B4600000}"/>
    <cellStyle name="Millares 2 3 24" xfId="24760" xr:uid="{00000000-0005-0000-0000-0000B5600000}"/>
    <cellStyle name="Millares 2 3 25" xfId="24761" xr:uid="{00000000-0005-0000-0000-0000B6600000}"/>
    <cellStyle name="Millares 2 3 26" xfId="24762" xr:uid="{00000000-0005-0000-0000-0000B7600000}"/>
    <cellStyle name="Millares 2 3 27" xfId="24763" xr:uid="{00000000-0005-0000-0000-0000B8600000}"/>
    <cellStyle name="Millares 2 3 28" xfId="24764" xr:uid="{00000000-0005-0000-0000-0000B9600000}"/>
    <cellStyle name="Millares 2 3 29" xfId="24765" xr:uid="{00000000-0005-0000-0000-0000BA600000}"/>
    <cellStyle name="Millares 2 3 3" xfId="24766" xr:uid="{00000000-0005-0000-0000-0000BB600000}"/>
    <cellStyle name="Millares 2 3 30" xfId="24767" xr:uid="{00000000-0005-0000-0000-0000BC600000}"/>
    <cellStyle name="Millares 2 3 31" xfId="24768" xr:uid="{00000000-0005-0000-0000-0000BD600000}"/>
    <cellStyle name="Millares 2 3 32" xfId="24769" xr:uid="{00000000-0005-0000-0000-0000BE600000}"/>
    <cellStyle name="Millares 2 3 33" xfId="24770" xr:uid="{00000000-0005-0000-0000-0000BF600000}"/>
    <cellStyle name="Millares 2 3 34" xfId="24771" xr:uid="{00000000-0005-0000-0000-0000C0600000}"/>
    <cellStyle name="Millares 2 3 35" xfId="24772" xr:uid="{00000000-0005-0000-0000-0000C1600000}"/>
    <cellStyle name="Millares 2 3 36" xfId="36231" xr:uid="{00000000-0005-0000-0000-0000C2600000}"/>
    <cellStyle name="Millares 2 3 4" xfId="24773" xr:uid="{00000000-0005-0000-0000-0000C3600000}"/>
    <cellStyle name="Millares 2 3 5" xfId="24774" xr:uid="{00000000-0005-0000-0000-0000C4600000}"/>
    <cellStyle name="Millares 2 3 6" xfId="24775" xr:uid="{00000000-0005-0000-0000-0000C5600000}"/>
    <cellStyle name="Millares 2 3 7" xfId="24776" xr:uid="{00000000-0005-0000-0000-0000C6600000}"/>
    <cellStyle name="Millares 2 3 8" xfId="24777" xr:uid="{00000000-0005-0000-0000-0000C7600000}"/>
    <cellStyle name="Millares 2 3 9" xfId="24778" xr:uid="{00000000-0005-0000-0000-0000C8600000}"/>
    <cellStyle name="Millares 2 3_GRUPO PALMAS FC Y DEUDA A DIC 2010" xfId="24779" xr:uid="{00000000-0005-0000-0000-0000C9600000}"/>
    <cellStyle name="Millares 2 30" xfId="24780" xr:uid="{00000000-0005-0000-0000-0000CA600000}"/>
    <cellStyle name="Millares 2 31" xfId="24781" xr:uid="{00000000-0005-0000-0000-0000CB600000}"/>
    <cellStyle name="Millares 2 32" xfId="24782" xr:uid="{00000000-0005-0000-0000-0000CC600000}"/>
    <cellStyle name="Millares 2 33" xfId="24783" xr:uid="{00000000-0005-0000-0000-0000CD600000}"/>
    <cellStyle name="Millares 2 34" xfId="24784" xr:uid="{00000000-0005-0000-0000-0000CE600000}"/>
    <cellStyle name="Millares 2 35" xfId="24785" xr:uid="{00000000-0005-0000-0000-0000CF600000}"/>
    <cellStyle name="Millares 2 36" xfId="24786" xr:uid="{00000000-0005-0000-0000-0000D0600000}"/>
    <cellStyle name="Millares 2 37" xfId="24787" xr:uid="{00000000-0005-0000-0000-0000D1600000}"/>
    <cellStyle name="Millares 2 38" xfId="36166" xr:uid="{00000000-0005-0000-0000-0000D2600000}"/>
    <cellStyle name="Millares 2 39" xfId="36177" xr:uid="{00000000-0005-0000-0000-0000D3600000}"/>
    <cellStyle name="Millares 2 4" xfId="24788" xr:uid="{00000000-0005-0000-0000-0000D4600000}"/>
    <cellStyle name="Millares 2 4 10" xfId="24789" xr:uid="{00000000-0005-0000-0000-0000D5600000}"/>
    <cellStyle name="Millares 2 4 11" xfId="24790" xr:uid="{00000000-0005-0000-0000-0000D6600000}"/>
    <cellStyle name="Millares 2 4 12" xfId="24791" xr:uid="{00000000-0005-0000-0000-0000D7600000}"/>
    <cellStyle name="Millares 2 4 13" xfId="24792" xr:uid="{00000000-0005-0000-0000-0000D8600000}"/>
    <cellStyle name="Millares 2 4 14" xfId="24793" xr:uid="{00000000-0005-0000-0000-0000D9600000}"/>
    <cellStyle name="Millares 2 4 15" xfId="24794" xr:uid="{00000000-0005-0000-0000-0000DA600000}"/>
    <cellStyle name="Millares 2 4 16" xfId="24795" xr:uid="{00000000-0005-0000-0000-0000DB600000}"/>
    <cellStyle name="Millares 2 4 17" xfId="24796" xr:uid="{00000000-0005-0000-0000-0000DC600000}"/>
    <cellStyle name="Millares 2 4 18" xfId="24797" xr:uid="{00000000-0005-0000-0000-0000DD600000}"/>
    <cellStyle name="Millares 2 4 19" xfId="24798" xr:uid="{00000000-0005-0000-0000-0000DE600000}"/>
    <cellStyle name="Millares 2 4 2" xfId="24799" xr:uid="{00000000-0005-0000-0000-0000DF600000}"/>
    <cellStyle name="Millares 2 4 20" xfId="24800" xr:uid="{00000000-0005-0000-0000-0000E0600000}"/>
    <cellStyle name="Millares 2 4 21" xfId="24801" xr:uid="{00000000-0005-0000-0000-0000E1600000}"/>
    <cellStyle name="Millares 2 4 22" xfId="24802" xr:uid="{00000000-0005-0000-0000-0000E2600000}"/>
    <cellStyle name="Millares 2 4 23" xfId="24803" xr:uid="{00000000-0005-0000-0000-0000E3600000}"/>
    <cellStyle name="Millares 2 4 24" xfId="24804" xr:uid="{00000000-0005-0000-0000-0000E4600000}"/>
    <cellStyle name="Millares 2 4 25" xfId="24805" xr:uid="{00000000-0005-0000-0000-0000E5600000}"/>
    <cellStyle name="Millares 2 4 26" xfId="24806" xr:uid="{00000000-0005-0000-0000-0000E6600000}"/>
    <cellStyle name="Millares 2 4 27" xfId="24807" xr:uid="{00000000-0005-0000-0000-0000E7600000}"/>
    <cellStyle name="Millares 2 4 28" xfId="24808" xr:uid="{00000000-0005-0000-0000-0000E8600000}"/>
    <cellStyle name="Millares 2 4 3" xfId="24809" xr:uid="{00000000-0005-0000-0000-0000E9600000}"/>
    <cellStyle name="Millares 2 4 4" xfId="24810" xr:uid="{00000000-0005-0000-0000-0000EA600000}"/>
    <cellStyle name="Millares 2 4 5" xfId="24811" xr:uid="{00000000-0005-0000-0000-0000EB600000}"/>
    <cellStyle name="Millares 2 4 6" xfId="24812" xr:uid="{00000000-0005-0000-0000-0000EC600000}"/>
    <cellStyle name="Millares 2 4 7" xfId="24813" xr:uid="{00000000-0005-0000-0000-0000ED600000}"/>
    <cellStyle name="Millares 2 4 8" xfId="24814" xr:uid="{00000000-0005-0000-0000-0000EE600000}"/>
    <cellStyle name="Millares 2 4 9" xfId="24815" xr:uid="{00000000-0005-0000-0000-0000EF600000}"/>
    <cellStyle name="Millares 2 40" xfId="36348" xr:uid="{00000000-0005-0000-0000-0000F0600000}"/>
    <cellStyle name="Millares 2 41" xfId="36349" xr:uid="{00000000-0005-0000-0000-0000F1600000}"/>
    <cellStyle name="Millares 2 42" xfId="36350" xr:uid="{00000000-0005-0000-0000-0000F2600000}"/>
    <cellStyle name="Millares 2 43" xfId="36351" xr:uid="{00000000-0005-0000-0000-0000F3600000}"/>
    <cellStyle name="Millares 2 44" xfId="36352" xr:uid="{00000000-0005-0000-0000-0000F4600000}"/>
    <cellStyle name="Millares 2 45" xfId="36353" xr:uid="{00000000-0005-0000-0000-0000F5600000}"/>
    <cellStyle name="Millares 2 46" xfId="24660" xr:uid="{00000000-0005-0000-0000-0000F6600000}"/>
    <cellStyle name="Millares 2 47" xfId="36355" xr:uid="{00000000-0005-0000-0000-0000F7600000}"/>
    <cellStyle name="Millares 2 48" xfId="36357" xr:uid="{00000000-0005-0000-0000-0000F8600000}"/>
    <cellStyle name="Millares 2 49" xfId="36358" xr:uid="{00000000-0005-0000-0000-0000F9600000}"/>
    <cellStyle name="Millares 2 5" xfId="24816" xr:uid="{00000000-0005-0000-0000-0000FA600000}"/>
    <cellStyle name="Millares 2 5 2" xfId="24817" xr:uid="{00000000-0005-0000-0000-0000FB600000}"/>
    <cellStyle name="Millares 2 5 3" xfId="24818" xr:uid="{00000000-0005-0000-0000-0000FC600000}"/>
    <cellStyle name="Millares 2 5 4" xfId="24819" xr:uid="{00000000-0005-0000-0000-0000FD600000}"/>
    <cellStyle name="Millares 2 5 5" xfId="24820" xr:uid="{00000000-0005-0000-0000-0000FE600000}"/>
    <cellStyle name="Millares 2 5 6" xfId="24821" xr:uid="{00000000-0005-0000-0000-0000FF600000}"/>
    <cellStyle name="Millares 2 5 7" xfId="24822" xr:uid="{00000000-0005-0000-0000-000000610000}"/>
    <cellStyle name="Millares 2 50" xfId="36359" xr:uid="{00000000-0005-0000-0000-000001610000}"/>
    <cellStyle name="Millares 2 51" xfId="36360" xr:uid="{00000000-0005-0000-0000-000002610000}"/>
    <cellStyle name="Millares 2 52" xfId="36361" xr:uid="{00000000-0005-0000-0000-000003610000}"/>
    <cellStyle name="Millares 2 6" xfId="24823" xr:uid="{00000000-0005-0000-0000-000004610000}"/>
    <cellStyle name="Millares 2 6 10" xfId="24824" xr:uid="{00000000-0005-0000-0000-000005610000}"/>
    <cellStyle name="Millares 2 6 11" xfId="24825" xr:uid="{00000000-0005-0000-0000-000006610000}"/>
    <cellStyle name="Millares 2 6 12" xfId="24826" xr:uid="{00000000-0005-0000-0000-000007610000}"/>
    <cellStyle name="Millares 2 6 13" xfId="24827" xr:uid="{00000000-0005-0000-0000-000008610000}"/>
    <cellStyle name="Millares 2 6 14" xfId="24828" xr:uid="{00000000-0005-0000-0000-000009610000}"/>
    <cellStyle name="Millares 2 6 15" xfId="24829" xr:uid="{00000000-0005-0000-0000-00000A610000}"/>
    <cellStyle name="Millares 2 6 16" xfId="24830" xr:uid="{00000000-0005-0000-0000-00000B610000}"/>
    <cellStyle name="Millares 2 6 17" xfId="24831" xr:uid="{00000000-0005-0000-0000-00000C610000}"/>
    <cellStyle name="Millares 2 6 18" xfId="24832" xr:uid="{00000000-0005-0000-0000-00000D610000}"/>
    <cellStyle name="Millares 2 6 19" xfId="24833" xr:uid="{00000000-0005-0000-0000-00000E610000}"/>
    <cellStyle name="Millares 2 6 2" xfId="24834" xr:uid="{00000000-0005-0000-0000-00000F610000}"/>
    <cellStyle name="Millares 2 6 20" xfId="24835" xr:uid="{00000000-0005-0000-0000-000010610000}"/>
    <cellStyle name="Millares 2 6 21" xfId="24836" xr:uid="{00000000-0005-0000-0000-000011610000}"/>
    <cellStyle name="Millares 2 6 22" xfId="24837" xr:uid="{00000000-0005-0000-0000-000012610000}"/>
    <cellStyle name="Millares 2 6 23" xfId="24838" xr:uid="{00000000-0005-0000-0000-000013610000}"/>
    <cellStyle name="Millares 2 6 24" xfId="24839" xr:uid="{00000000-0005-0000-0000-000014610000}"/>
    <cellStyle name="Millares 2 6 25" xfId="24840" xr:uid="{00000000-0005-0000-0000-000015610000}"/>
    <cellStyle name="Millares 2 6 26" xfId="24841" xr:uid="{00000000-0005-0000-0000-000016610000}"/>
    <cellStyle name="Millares 2 6 27" xfId="24842" xr:uid="{00000000-0005-0000-0000-000017610000}"/>
    <cellStyle name="Millares 2 6 28" xfId="24843" xr:uid="{00000000-0005-0000-0000-000018610000}"/>
    <cellStyle name="Millares 2 6 3" xfId="24844" xr:uid="{00000000-0005-0000-0000-000019610000}"/>
    <cellStyle name="Millares 2 6 4" xfId="24845" xr:uid="{00000000-0005-0000-0000-00001A610000}"/>
    <cellStyle name="Millares 2 6 5" xfId="24846" xr:uid="{00000000-0005-0000-0000-00001B610000}"/>
    <cellStyle name="Millares 2 6 6" xfId="24847" xr:uid="{00000000-0005-0000-0000-00001C610000}"/>
    <cellStyle name="Millares 2 6 7" xfId="24848" xr:uid="{00000000-0005-0000-0000-00001D610000}"/>
    <cellStyle name="Millares 2 6 8" xfId="24849" xr:uid="{00000000-0005-0000-0000-00001E610000}"/>
    <cellStyle name="Millares 2 6 9" xfId="24850" xr:uid="{00000000-0005-0000-0000-00001F610000}"/>
    <cellStyle name="Millares 2 7" xfId="24851" xr:uid="{00000000-0005-0000-0000-000020610000}"/>
    <cellStyle name="Millares 2 7 10" xfId="24852" xr:uid="{00000000-0005-0000-0000-000021610000}"/>
    <cellStyle name="Millares 2 7 11" xfId="24853" xr:uid="{00000000-0005-0000-0000-000022610000}"/>
    <cellStyle name="Millares 2 7 12" xfId="24854" xr:uid="{00000000-0005-0000-0000-000023610000}"/>
    <cellStyle name="Millares 2 7 13" xfId="24855" xr:uid="{00000000-0005-0000-0000-000024610000}"/>
    <cellStyle name="Millares 2 7 14" xfId="24856" xr:uid="{00000000-0005-0000-0000-000025610000}"/>
    <cellStyle name="Millares 2 7 15" xfId="24857" xr:uid="{00000000-0005-0000-0000-000026610000}"/>
    <cellStyle name="Millares 2 7 16" xfId="24858" xr:uid="{00000000-0005-0000-0000-000027610000}"/>
    <cellStyle name="Millares 2 7 17" xfId="24859" xr:uid="{00000000-0005-0000-0000-000028610000}"/>
    <cellStyle name="Millares 2 7 18" xfId="24860" xr:uid="{00000000-0005-0000-0000-000029610000}"/>
    <cellStyle name="Millares 2 7 19" xfId="24861" xr:uid="{00000000-0005-0000-0000-00002A610000}"/>
    <cellStyle name="Millares 2 7 2" xfId="24862" xr:uid="{00000000-0005-0000-0000-00002B610000}"/>
    <cellStyle name="Millares 2 7 20" xfId="24863" xr:uid="{00000000-0005-0000-0000-00002C610000}"/>
    <cellStyle name="Millares 2 7 21" xfId="24864" xr:uid="{00000000-0005-0000-0000-00002D610000}"/>
    <cellStyle name="Millares 2 7 22" xfId="24865" xr:uid="{00000000-0005-0000-0000-00002E610000}"/>
    <cellStyle name="Millares 2 7 23" xfId="24866" xr:uid="{00000000-0005-0000-0000-00002F610000}"/>
    <cellStyle name="Millares 2 7 24" xfId="24867" xr:uid="{00000000-0005-0000-0000-000030610000}"/>
    <cellStyle name="Millares 2 7 25" xfId="24868" xr:uid="{00000000-0005-0000-0000-000031610000}"/>
    <cellStyle name="Millares 2 7 26" xfId="24869" xr:uid="{00000000-0005-0000-0000-000032610000}"/>
    <cellStyle name="Millares 2 7 27" xfId="24870" xr:uid="{00000000-0005-0000-0000-000033610000}"/>
    <cellStyle name="Millares 2 7 28" xfId="24871" xr:uid="{00000000-0005-0000-0000-000034610000}"/>
    <cellStyle name="Millares 2 7 3" xfId="24872" xr:uid="{00000000-0005-0000-0000-000035610000}"/>
    <cellStyle name="Millares 2 7 4" xfId="24873" xr:uid="{00000000-0005-0000-0000-000036610000}"/>
    <cellStyle name="Millares 2 7 5" xfId="24874" xr:uid="{00000000-0005-0000-0000-000037610000}"/>
    <cellStyle name="Millares 2 7 6" xfId="24875" xr:uid="{00000000-0005-0000-0000-000038610000}"/>
    <cellStyle name="Millares 2 7 7" xfId="24876" xr:uid="{00000000-0005-0000-0000-000039610000}"/>
    <cellStyle name="Millares 2 7 8" xfId="24877" xr:uid="{00000000-0005-0000-0000-00003A610000}"/>
    <cellStyle name="Millares 2 7 9" xfId="24878" xr:uid="{00000000-0005-0000-0000-00003B610000}"/>
    <cellStyle name="Millares 2 8" xfId="24879" xr:uid="{00000000-0005-0000-0000-00003C610000}"/>
    <cellStyle name="Millares 2 9" xfId="24880" xr:uid="{00000000-0005-0000-0000-00003D610000}"/>
    <cellStyle name="Millares 2_~4521452" xfId="24881" xr:uid="{00000000-0005-0000-0000-00003E610000}"/>
    <cellStyle name="Millares 20" xfId="24882" xr:uid="{00000000-0005-0000-0000-00003F610000}"/>
    <cellStyle name="Millares 20 2" xfId="24883" xr:uid="{00000000-0005-0000-0000-000040610000}"/>
    <cellStyle name="Millares 20 2 2" xfId="24884" xr:uid="{00000000-0005-0000-0000-000041610000}"/>
    <cellStyle name="Millares 20 2 2 2" xfId="24885" xr:uid="{00000000-0005-0000-0000-000042610000}"/>
    <cellStyle name="Millares 20 2 2 2 2" xfId="24886" xr:uid="{00000000-0005-0000-0000-000043610000}"/>
    <cellStyle name="Millares 20 2 2 2 2 2" xfId="24887" xr:uid="{00000000-0005-0000-0000-000044610000}"/>
    <cellStyle name="Millares 20 2 2 2 3" xfId="24888" xr:uid="{00000000-0005-0000-0000-000045610000}"/>
    <cellStyle name="Millares 20 2 2 2 3 2" xfId="24889" xr:uid="{00000000-0005-0000-0000-000046610000}"/>
    <cellStyle name="Millares 20 2 2 2 4" xfId="24890" xr:uid="{00000000-0005-0000-0000-000047610000}"/>
    <cellStyle name="Millares 20 2 2 3" xfId="24891" xr:uid="{00000000-0005-0000-0000-000048610000}"/>
    <cellStyle name="Millares 20 2 2 3 2" xfId="24892" xr:uid="{00000000-0005-0000-0000-000049610000}"/>
    <cellStyle name="Millares 20 2 2 4" xfId="24893" xr:uid="{00000000-0005-0000-0000-00004A610000}"/>
    <cellStyle name="Millares 20 2 2 4 2" xfId="24894" xr:uid="{00000000-0005-0000-0000-00004B610000}"/>
    <cellStyle name="Millares 20 2 2 5" xfId="24895" xr:uid="{00000000-0005-0000-0000-00004C610000}"/>
    <cellStyle name="Millares 20 2 3" xfId="24896" xr:uid="{00000000-0005-0000-0000-00004D610000}"/>
    <cellStyle name="Millares 20 2 3 2" xfId="24897" xr:uid="{00000000-0005-0000-0000-00004E610000}"/>
    <cellStyle name="Millares 20 2 3 2 2" xfId="24898" xr:uid="{00000000-0005-0000-0000-00004F610000}"/>
    <cellStyle name="Millares 20 2 3 3" xfId="24899" xr:uid="{00000000-0005-0000-0000-000050610000}"/>
    <cellStyle name="Millares 20 2 3 3 2" xfId="24900" xr:uid="{00000000-0005-0000-0000-000051610000}"/>
    <cellStyle name="Millares 20 2 3 4" xfId="24901" xr:uid="{00000000-0005-0000-0000-000052610000}"/>
    <cellStyle name="Millares 20 2 4" xfId="24902" xr:uid="{00000000-0005-0000-0000-000053610000}"/>
    <cellStyle name="Millares 20 2 4 2" xfId="24903" xr:uid="{00000000-0005-0000-0000-000054610000}"/>
    <cellStyle name="Millares 20 2 5" xfId="24904" xr:uid="{00000000-0005-0000-0000-000055610000}"/>
    <cellStyle name="Millares 20 2 5 2" xfId="24905" xr:uid="{00000000-0005-0000-0000-000056610000}"/>
    <cellStyle name="Millares 20 2 6" xfId="24906" xr:uid="{00000000-0005-0000-0000-000057610000}"/>
    <cellStyle name="Millares 20 3" xfId="24907" xr:uid="{00000000-0005-0000-0000-000058610000}"/>
    <cellStyle name="Millares 20 3 2" xfId="24908" xr:uid="{00000000-0005-0000-0000-000059610000}"/>
    <cellStyle name="Millares 20 3 2 2" xfId="24909" xr:uid="{00000000-0005-0000-0000-00005A610000}"/>
    <cellStyle name="Millares 20 3 2 2 2" xfId="24910" xr:uid="{00000000-0005-0000-0000-00005B610000}"/>
    <cellStyle name="Millares 20 3 2 3" xfId="24911" xr:uid="{00000000-0005-0000-0000-00005C610000}"/>
    <cellStyle name="Millares 20 3 2 3 2" xfId="24912" xr:uid="{00000000-0005-0000-0000-00005D610000}"/>
    <cellStyle name="Millares 20 3 2 4" xfId="24913" xr:uid="{00000000-0005-0000-0000-00005E610000}"/>
    <cellStyle name="Millares 20 3 3" xfId="24914" xr:uid="{00000000-0005-0000-0000-00005F610000}"/>
    <cellStyle name="Millares 20 3 3 2" xfId="24915" xr:uid="{00000000-0005-0000-0000-000060610000}"/>
    <cellStyle name="Millares 20 3 4" xfId="24916" xr:uid="{00000000-0005-0000-0000-000061610000}"/>
    <cellStyle name="Millares 20 3 4 2" xfId="24917" xr:uid="{00000000-0005-0000-0000-000062610000}"/>
    <cellStyle name="Millares 20 3 5" xfId="24918" xr:uid="{00000000-0005-0000-0000-000063610000}"/>
    <cellStyle name="Millares 20 4" xfId="24919" xr:uid="{00000000-0005-0000-0000-000064610000}"/>
    <cellStyle name="Millares 20 4 2" xfId="24920" xr:uid="{00000000-0005-0000-0000-000065610000}"/>
    <cellStyle name="Millares 20 4 2 2" xfId="24921" xr:uid="{00000000-0005-0000-0000-000066610000}"/>
    <cellStyle name="Millares 20 4 3" xfId="24922" xr:uid="{00000000-0005-0000-0000-000067610000}"/>
    <cellStyle name="Millares 20 4 3 2" xfId="24923" xr:uid="{00000000-0005-0000-0000-000068610000}"/>
    <cellStyle name="Millares 20 4 4" xfId="24924" xr:uid="{00000000-0005-0000-0000-000069610000}"/>
    <cellStyle name="Millares 20 5" xfId="24925" xr:uid="{00000000-0005-0000-0000-00006A610000}"/>
    <cellStyle name="Millares 20 5 2" xfId="24926" xr:uid="{00000000-0005-0000-0000-00006B610000}"/>
    <cellStyle name="Millares 20 6" xfId="24927" xr:uid="{00000000-0005-0000-0000-00006C610000}"/>
    <cellStyle name="Millares 20 6 2" xfId="24928" xr:uid="{00000000-0005-0000-0000-00006D610000}"/>
    <cellStyle name="Millares 20 7" xfId="24929" xr:uid="{00000000-0005-0000-0000-00006E610000}"/>
    <cellStyle name="Millares 20 8" xfId="36243" xr:uid="{00000000-0005-0000-0000-00006F610000}"/>
    <cellStyle name="Millares 21" xfId="24930" xr:uid="{00000000-0005-0000-0000-000070610000}"/>
    <cellStyle name="Millares 21 2" xfId="24931" xr:uid="{00000000-0005-0000-0000-000071610000}"/>
    <cellStyle name="Millares 21 2 2" xfId="24932" xr:uid="{00000000-0005-0000-0000-000072610000}"/>
    <cellStyle name="Millares 21 2 2 2" xfId="24933" xr:uid="{00000000-0005-0000-0000-000073610000}"/>
    <cellStyle name="Millares 21 2 2 2 2" xfId="24934" xr:uid="{00000000-0005-0000-0000-000074610000}"/>
    <cellStyle name="Millares 21 2 2 2 2 2" xfId="24935" xr:uid="{00000000-0005-0000-0000-000075610000}"/>
    <cellStyle name="Millares 21 2 2 2 3" xfId="24936" xr:uid="{00000000-0005-0000-0000-000076610000}"/>
    <cellStyle name="Millares 21 2 2 2 3 2" xfId="24937" xr:uid="{00000000-0005-0000-0000-000077610000}"/>
    <cellStyle name="Millares 21 2 2 2 4" xfId="24938" xr:uid="{00000000-0005-0000-0000-000078610000}"/>
    <cellStyle name="Millares 21 2 2 3" xfId="24939" xr:uid="{00000000-0005-0000-0000-000079610000}"/>
    <cellStyle name="Millares 21 2 2 3 2" xfId="24940" xr:uid="{00000000-0005-0000-0000-00007A610000}"/>
    <cellStyle name="Millares 21 2 2 4" xfId="24941" xr:uid="{00000000-0005-0000-0000-00007B610000}"/>
    <cellStyle name="Millares 21 2 2 4 2" xfId="24942" xr:uid="{00000000-0005-0000-0000-00007C610000}"/>
    <cellStyle name="Millares 21 2 2 5" xfId="24943" xr:uid="{00000000-0005-0000-0000-00007D610000}"/>
    <cellStyle name="Millares 21 2 3" xfId="24944" xr:uid="{00000000-0005-0000-0000-00007E610000}"/>
    <cellStyle name="Millares 21 2 3 2" xfId="24945" xr:uid="{00000000-0005-0000-0000-00007F610000}"/>
    <cellStyle name="Millares 21 2 3 2 2" xfId="24946" xr:uid="{00000000-0005-0000-0000-000080610000}"/>
    <cellStyle name="Millares 21 2 3 3" xfId="24947" xr:uid="{00000000-0005-0000-0000-000081610000}"/>
    <cellStyle name="Millares 21 2 3 3 2" xfId="24948" xr:uid="{00000000-0005-0000-0000-000082610000}"/>
    <cellStyle name="Millares 21 2 3 4" xfId="24949" xr:uid="{00000000-0005-0000-0000-000083610000}"/>
    <cellStyle name="Millares 21 2 4" xfId="24950" xr:uid="{00000000-0005-0000-0000-000084610000}"/>
    <cellStyle name="Millares 21 2 4 2" xfId="24951" xr:uid="{00000000-0005-0000-0000-000085610000}"/>
    <cellStyle name="Millares 21 2 5" xfId="24952" xr:uid="{00000000-0005-0000-0000-000086610000}"/>
    <cellStyle name="Millares 21 2 5 2" xfId="24953" xr:uid="{00000000-0005-0000-0000-000087610000}"/>
    <cellStyle name="Millares 21 2 6" xfId="24954" xr:uid="{00000000-0005-0000-0000-000088610000}"/>
    <cellStyle name="Millares 21 3" xfId="24955" xr:uid="{00000000-0005-0000-0000-000089610000}"/>
    <cellStyle name="Millares 21 3 2" xfId="24956" xr:uid="{00000000-0005-0000-0000-00008A610000}"/>
    <cellStyle name="Millares 21 3 2 2" xfId="24957" xr:uid="{00000000-0005-0000-0000-00008B610000}"/>
    <cellStyle name="Millares 21 3 2 2 2" xfId="24958" xr:uid="{00000000-0005-0000-0000-00008C610000}"/>
    <cellStyle name="Millares 21 3 2 3" xfId="24959" xr:uid="{00000000-0005-0000-0000-00008D610000}"/>
    <cellStyle name="Millares 21 3 2 3 2" xfId="24960" xr:uid="{00000000-0005-0000-0000-00008E610000}"/>
    <cellStyle name="Millares 21 3 2 4" xfId="24961" xr:uid="{00000000-0005-0000-0000-00008F610000}"/>
    <cellStyle name="Millares 21 3 3" xfId="24962" xr:uid="{00000000-0005-0000-0000-000090610000}"/>
    <cellStyle name="Millares 21 3 3 2" xfId="24963" xr:uid="{00000000-0005-0000-0000-000091610000}"/>
    <cellStyle name="Millares 21 3 4" xfId="24964" xr:uid="{00000000-0005-0000-0000-000092610000}"/>
    <cellStyle name="Millares 21 3 4 2" xfId="24965" xr:uid="{00000000-0005-0000-0000-000093610000}"/>
    <cellStyle name="Millares 21 3 5" xfId="24966" xr:uid="{00000000-0005-0000-0000-000094610000}"/>
    <cellStyle name="Millares 21 4" xfId="24967" xr:uid="{00000000-0005-0000-0000-000095610000}"/>
    <cellStyle name="Millares 21 4 2" xfId="24968" xr:uid="{00000000-0005-0000-0000-000096610000}"/>
    <cellStyle name="Millares 21 4 2 2" xfId="24969" xr:uid="{00000000-0005-0000-0000-000097610000}"/>
    <cellStyle name="Millares 21 4 3" xfId="24970" xr:uid="{00000000-0005-0000-0000-000098610000}"/>
    <cellStyle name="Millares 21 4 3 2" xfId="24971" xr:uid="{00000000-0005-0000-0000-000099610000}"/>
    <cellStyle name="Millares 21 4 4" xfId="24972" xr:uid="{00000000-0005-0000-0000-00009A610000}"/>
    <cellStyle name="Millares 21 5" xfId="24973" xr:uid="{00000000-0005-0000-0000-00009B610000}"/>
    <cellStyle name="Millares 21 5 2" xfId="24974" xr:uid="{00000000-0005-0000-0000-00009C610000}"/>
    <cellStyle name="Millares 21 6" xfId="24975" xr:uid="{00000000-0005-0000-0000-00009D610000}"/>
    <cellStyle name="Millares 21 6 2" xfId="24976" xr:uid="{00000000-0005-0000-0000-00009E610000}"/>
    <cellStyle name="Millares 21 7" xfId="24977" xr:uid="{00000000-0005-0000-0000-00009F610000}"/>
    <cellStyle name="Millares 21 8" xfId="36249" xr:uid="{00000000-0005-0000-0000-0000A0610000}"/>
    <cellStyle name="Millares 22" xfId="24978" xr:uid="{00000000-0005-0000-0000-0000A1610000}"/>
    <cellStyle name="Millares 22 2" xfId="24979" xr:uid="{00000000-0005-0000-0000-0000A2610000}"/>
    <cellStyle name="Millares 22 2 2" xfId="24980" xr:uid="{00000000-0005-0000-0000-0000A3610000}"/>
    <cellStyle name="Millares 22 2 2 2" xfId="24981" xr:uid="{00000000-0005-0000-0000-0000A4610000}"/>
    <cellStyle name="Millares 22 2 2 2 2" xfId="24982" xr:uid="{00000000-0005-0000-0000-0000A5610000}"/>
    <cellStyle name="Millares 22 2 2 2 2 2" xfId="24983" xr:uid="{00000000-0005-0000-0000-0000A6610000}"/>
    <cellStyle name="Millares 22 2 2 2 3" xfId="24984" xr:uid="{00000000-0005-0000-0000-0000A7610000}"/>
    <cellStyle name="Millares 22 2 2 2 3 2" xfId="24985" xr:uid="{00000000-0005-0000-0000-0000A8610000}"/>
    <cellStyle name="Millares 22 2 2 2 4" xfId="24986" xr:uid="{00000000-0005-0000-0000-0000A9610000}"/>
    <cellStyle name="Millares 22 2 2 3" xfId="24987" xr:uid="{00000000-0005-0000-0000-0000AA610000}"/>
    <cellStyle name="Millares 22 2 2 3 2" xfId="24988" xr:uid="{00000000-0005-0000-0000-0000AB610000}"/>
    <cellStyle name="Millares 22 2 2 4" xfId="24989" xr:uid="{00000000-0005-0000-0000-0000AC610000}"/>
    <cellStyle name="Millares 22 2 2 4 2" xfId="24990" xr:uid="{00000000-0005-0000-0000-0000AD610000}"/>
    <cellStyle name="Millares 22 2 2 5" xfId="24991" xr:uid="{00000000-0005-0000-0000-0000AE610000}"/>
    <cellStyle name="Millares 22 2 3" xfId="24992" xr:uid="{00000000-0005-0000-0000-0000AF610000}"/>
    <cellStyle name="Millares 22 2 3 2" xfId="24993" xr:uid="{00000000-0005-0000-0000-0000B0610000}"/>
    <cellStyle name="Millares 22 2 3 2 2" xfId="24994" xr:uid="{00000000-0005-0000-0000-0000B1610000}"/>
    <cellStyle name="Millares 22 2 3 3" xfId="24995" xr:uid="{00000000-0005-0000-0000-0000B2610000}"/>
    <cellStyle name="Millares 22 2 3 3 2" xfId="24996" xr:uid="{00000000-0005-0000-0000-0000B3610000}"/>
    <cellStyle name="Millares 22 2 3 4" xfId="24997" xr:uid="{00000000-0005-0000-0000-0000B4610000}"/>
    <cellStyle name="Millares 22 2 4" xfId="24998" xr:uid="{00000000-0005-0000-0000-0000B5610000}"/>
    <cellStyle name="Millares 22 2 4 2" xfId="24999" xr:uid="{00000000-0005-0000-0000-0000B6610000}"/>
    <cellStyle name="Millares 22 2 5" xfId="25000" xr:uid="{00000000-0005-0000-0000-0000B7610000}"/>
    <cellStyle name="Millares 22 2 5 2" xfId="25001" xr:uid="{00000000-0005-0000-0000-0000B8610000}"/>
    <cellStyle name="Millares 22 2 6" xfId="25002" xr:uid="{00000000-0005-0000-0000-0000B9610000}"/>
    <cellStyle name="Millares 22 3" xfId="25003" xr:uid="{00000000-0005-0000-0000-0000BA610000}"/>
    <cellStyle name="Millares 22 3 2" xfId="25004" xr:uid="{00000000-0005-0000-0000-0000BB610000}"/>
    <cellStyle name="Millares 22 3 2 2" xfId="25005" xr:uid="{00000000-0005-0000-0000-0000BC610000}"/>
    <cellStyle name="Millares 22 3 2 2 2" xfId="25006" xr:uid="{00000000-0005-0000-0000-0000BD610000}"/>
    <cellStyle name="Millares 22 3 2 3" xfId="25007" xr:uid="{00000000-0005-0000-0000-0000BE610000}"/>
    <cellStyle name="Millares 22 3 2 3 2" xfId="25008" xr:uid="{00000000-0005-0000-0000-0000BF610000}"/>
    <cellStyle name="Millares 22 3 2 4" xfId="25009" xr:uid="{00000000-0005-0000-0000-0000C0610000}"/>
    <cellStyle name="Millares 22 3 3" xfId="25010" xr:uid="{00000000-0005-0000-0000-0000C1610000}"/>
    <cellStyle name="Millares 22 3 3 2" xfId="25011" xr:uid="{00000000-0005-0000-0000-0000C2610000}"/>
    <cellStyle name="Millares 22 3 4" xfId="25012" xr:uid="{00000000-0005-0000-0000-0000C3610000}"/>
    <cellStyle name="Millares 22 3 4 2" xfId="25013" xr:uid="{00000000-0005-0000-0000-0000C4610000}"/>
    <cellStyle name="Millares 22 3 5" xfId="25014" xr:uid="{00000000-0005-0000-0000-0000C5610000}"/>
    <cellStyle name="Millares 22 4" xfId="25015" xr:uid="{00000000-0005-0000-0000-0000C6610000}"/>
    <cellStyle name="Millares 22 4 2" xfId="25016" xr:uid="{00000000-0005-0000-0000-0000C7610000}"/>
    <cellStyle name="Millares 22 4 2 2" xfId="25017" xr:uid="{00000000-0005-0000-0000-0000C8610000}"/>
    <cellStyle name="Millares 22 4 3" xfId="25018" xr:uid="{00000000-0005-0000-0000-0000C9610000}"/>
    <cellStyle name="Millares 22 4 3 2" xfId="25019" xr:uid="{00000000-0005-0000-0000-0000CA610000}"/>
    <cellStyle name="Millares 22 4 4" xfId="25020" xr:uid="{00000000-0005-0000-0000-0000CB610000}"/>
    <cellStyle name="Millares 22 5" xfId="25021" xr:uid="{00000000-0005-0000-0000-0000CC610000}"/>
    <cellStyle name="Millares 22 5 2" xfId="25022" xr:uid="{00000000-0005-0000-0000-0000CD610000}"/>
    <cellStyle name="Millares 22 6" xfId="25023" xr:uid="{00000000-0005-0000-0000-0000CE610000}"/>
    <cellStyle name="Millares 22 6 2" xfId="25024" xr:uid="{00000000-0005-0000-0000-0000CF610000}"/>
    <cellStyle name="Millares 22 7" xfId="25025" xr:uid="{00000000-0005-0000-0000-0000D0610000}"/>
    <cellStyle name="Millares 22 8" xfId="36251" xr:uid="{00000000-0005-0000-0000-0000D1610000}"/>
    <cellStyle name="Millares 23" xfId="25026" xr:uid="{00000000-0005-0000-0000-0000D2610000}"/>
    <cellStyle name="Millares 23 2" xfId="25027" xr:uid="{00000000-0005-0000-0000-0000D3610000}"/>
    <cellStyle name="Millares 23 2 2" xfId="25028" xr:uid="{00000000-0005-0000-0000-0000D4610000}"/>
    <cellStyle name="Millares 23 2 2 2" xfId="25029" xr:uid="{00000000-0005-0000-0000-0000D5610000}"/>
    <cellStyle name="Millares 23 2 2 2 2" xfId="25030" xr:uid="{00000000-0005-0000-0000-0000D6610000}"/>
    <cellStyle name="Millares 23 2 2 2 2 2" xfId="25031" xr:uid="{00000000-0005-0000-0000-0000D7610000}"/>
    <cellStyle name="Millares 23 2 2 2 3" xfId="25032" xr:uid="{00000000-0005-0000-0000-0000D8610000}"/>
    <cellStyle name="Millares 23 2 2 2 3 2" xfId="25033" xr:uid="{00000000-0005-0000-0000-0000D9610000}"/>
    <cellStyle name="Millares 23 2 2 2 4" xfId="25034" xr:uid="{00000000-0005-0000-0000-0000DA610000}"/>
    <cellStyle name="Millares 23 2 2 3" xfId="25035" xr:uid="{00000000-0005-0000-0000-0000DB610000}"/>
    <cellStyle name="Millares 23 2 2 3 2" xfId="25036" xr:uid="{00000000-0005-0000-0000-0000DC610000}"/>
    <cellStyle name="Millares 23 2 2 4" xfId="25037" xr:uid="{00000000-0005-0000-0000-0000DD610000}"/>
    <cellStyle name="Millares 23 2 2 4 2" xfId="25038" xr:uid="{00000000-0005-0000-0000-0000DE610000}"/>
    <cellStyle name="Millares 23 2 2 5" xfId="25039" xr:uid="{00000000-0005-0000-0000-0000DF610000}"/>
    <cellStyle name="Millares 23 2 3" xfId="25040" xr:uid="{00000000-0005-0000-0000-0000E0610000}"/>
    <cellStyle name="Millares 23 2 3 2" xfId="25041" xr:uid="{00000000-0005-0000-0000-0000E1610000}"/>
    <cellStyle name="Millares 23 2 3 2 2" xfId="25042" xr:uid="{00000000-0005-0000-0000-0000E2610000}"/>
    <cellStyle name="Millares 23 2 3 3" xfId="25043" xr:uid="{00000000-0005-0000-0000-0000E3610000}"/>
    <cellStyle name="Millares 23 2 3 3 2" xfId="25044" xr:uid="{00000000-0005-0000-0000-0000E4610000}"/>
    <cellStyle name="Millares 23 2 3 4" xfId="25045" xr:uid="{00000000-0005-0000-0000-0000E5610000}"/>
    <cellStyle name="Millares 23 2 4" xfId="25046" xr:uid="{00000000-0005-0000-0000-0000E6610000}"/>
    <cellStyle name="Millares 23 2 4 2" xfId="25047" xr:uid="{00000000-0005-0000-0000-0000E7610000}"/>
    <cellStyle name="Millares 23 2 5" xfId="25048" xr:uid="{00000000-0005-0000-0000-0000E8610000}"/>
    <cellStyle name="Millares 23 2 5 2" xfId="25049" xr:uid="{00000000-0005-0000-0000-0000E9610000}"/>
    <cellStyle name="Millares 23 2 6" xfId="25050" xr:uid="{00000000-0005-0000-0000-0000EA610000}"/>
    <cellStyle name="Millares 23 3" xfId="25051" xr:uid="{00000000-0005-0000-0000-0000EB610000}"/>
    <cellStyle name="Millares 23 3 2" xfId="25052" xr:uid="{00000000-0005-0000-0000-0000EC610000}"/>
    <cellStyle name="Millares 23 3 2 2" xfId="25053" xr:uid="{00000000-0005-0000-0000-0000ED610000}"/>
    <cellStyle name="Millares 23 3 2 2 2" xfId="25054" xr:uid="{00000000-0005-0000-0000-0000EE610000}"/>
    <cellStyle name="Millares 23 3 2 3" xfId="25055" xr:uid="{00000000-0005-0000-0000-0000EF610000}"/>
    <cellStyle name="Millares 23 3 2 3 2" xfId="25056" xr:uid="{00000000-0005-0000-0000-0000F0610000}"/>
    <cellStyle name="Millares 23 3 2 4" xfId="25057" xr:uid="{00000000-0005-0000-0000-0000F1610000}"/>
    <cellStyle name="Millares 23 3 3" xfId="25058" xr:uid="{00000000-0005-0000-0000-0000F2610000}"/>
    <cellStyle name="Millares 23 3 3 2" xfId="25059" xr:uid="{00000000-0005-0000-0000-0000F3610000}"/>
    <cellStyle name="Millares 23 3 4" xfId="25060" xr:uid="{00000000-0005-0000-0000-0000F4610000}"/>
    <cellStyle name="Millares 23 3 4 2" xfId="25061" xr:uid="{00000000-0005-0000-0000-0000F5610000}"/>
    <cellStyle name="Millares 23 3 5" xfId="25062" xr:uid="{00000000-0005-0000-0000-0000F6610000}"/>
    <cellStyle name="Millares 23 4" xfId="25063" xr:uid="{00000000-0005-0000-0000-0000F7610000}"/>
    <cellStyle name="Millares 23 4 2" xfId="25064" xr:uid="{00000000-0005-0000-0000-0000F8610000}"/>
    <cellStyle name="Millares 23 4 2 2" xfId="25065" xr:uid="{00000000-0005-0000-0000-0000F9610000}"/>
    <cellStyle name="Millares 23 4 3" xfId="25066" xr:uid="{00000000-0005-0000-0000-0000FA610000}"/>
    <cellStyle name="Millares 23 4 3 2" xfId="25067" xr:uid="{00000000-0005-0000-0000-0000FB610000}"/>
    <cellStyle name="Millares 23 4 4" xfId="25068" xr:uid="{00000000-0005-0000-0000-0000FC610000}"/>
    <cellStyle name="Millares 23 5" xfId="25069" xr:uid="{00000000-0005-0000-0000-0000FD610000}"/>
    <cellStyle name="Millares 23 5 2" xfId="25070" xr:uid="{00000000-0005-0000-0000-0000FE610000}"/>
    <cellStyle name="Millares 23 6" xfId="25071" xr:uid="{00000000-0005-0000-0000-0000FF610000}"/>
    <cellStyle name="Millares 23 6 2" xfId="25072" xr:uid="{00000000-0005-0000-0000-000000620000}"/>
    <cellStyle name="Millares 23 7" xfId="25073" xr:uid="{00000000-0005-0000-0000-000001620000}"/>
    <cellStyle name="Millares 24" xfId="25074" xr:uid="{00000000-0005-0000-0000-000002620000}"/>
    <cellStyle name="Millares 24 2" xfId="25075" xr:uid="{00000000-0005-0000-0000-000003620000}"/>
    <cellStyle name="Millares 24 2 2" xfId="25076" xr:uid="{00000000-0005-0000-0000-000004620000}"/>
    <cellStyle name="Millares 24 2 2 2" xfId="25077" xr:uid="{00000000-0005-0000-0000-000005620000}"/>
    <cellStyle name="Millares 24 2 2 2 2" xfId="25078" xr:uid="{00000000-0005-0000-0000-000006620000}"/>
    <cellStyle name="Millares 24 2 2 2 2 2" xfId="25079" xr:uid="{00000000-0005-0000-0000-000007620000}"/>
    <cellStyle name="Millares 24 2 2 2 3" xfId="25080" xr:uid="{00000000-0005-0000-0000-000008620000}"/>
    <cellStyle name="Millares 24 2 2 2 3 2" xfId="25081" xr:uid="{00000000-0005-0000-0000-000009620000}"/>
    <cellStyle name="Millares 24 2 2 2 4" xfId="25082" xr:uid="{00000000-0005-0000-0000-00000A620000}"/>
    <cellStyle name="Millares 24 2 2 3" xfId="25083" xr:uid="{00000000-0005-0000-0000-00000B620000}"/>
    <cellStyle name="Millares 24 2 2 3 2" xfId="25084" xr:uid="{00000000-0005-0000-0000-00000C620000}"/>
    <cellStyle name="Millares 24 2 2 4" xfId="25085" xr:uid="{00000000-0005-0000-0000-00000D620000}"/>
    <cellStyle name="Millares 24 2 2 4 2" xfId="25086" xr:uid="{00000000-0005-0000-0000-00000E620000}"/>
    <cellStyle name="Millares 24 2 2 5" xfId="25087" xr:uid="{00000000-0005-0000-0000-00000F620000}"/>
    <cellStyle name="Millares 24 2 3" xfId="25088" xr:uid="{00000000-0005-0000-0000-000010620000}"/>
    <cellStyle name="Millares 24 2 3 2" xfId="25089" xr:uid="{00000000-0005-0000-0000-000011620000}"/>
    <cellStyle name="Millares 24 2 3 2 2" xfId="25090" xr:uid="{00000000-0005-0000-0000-000012620000}"/>
    <cellStyle name="Millares 24 2 3 3" xfId="25091" xr:uid="{00000000-0005-0000-0000-000013620000}"/>
    <cellStyle name="Millares 24 2 3 3 2" xfId="25092" xr:uid="{00000000-0005-0000-0000-000014620000}"/>
    <cellStyle name="Millares 24 2 3 4" xfId="25093" xr:uid="{00000000-0005-0000-0000-000015620000}"/>
    <cellStyle name="Millares 24 2 4" xfId="25094" xr:uid="{00000000-0005-0000-0000-000016620000}"/>
    <cellStyle name="Millares 24 2 4 2" xfId="25095" xr:uid="{00000000-0005-0000-0000-000017620000}"/>
    <cellStyle name="Millares 24 2 5" xfId="25096" xr:uid="{00000000-0005-0000-0000-000018620000}"/>
    <cellStyle name="Millares 24 2 5 2" xfId="25097" xr:uid="{00000000-0005-0000-0000-000019620000}"/>
    <cellStyle name="Millares 24 2 6" xfId="25098" xr:uid="{00000000-0005-0000-0000-00001A620000}"/>
    <cellStyle name="Millares 24 3" xfId="25099" xr:uid="{00000000-0005-0000-0000-00001B620000}"/>
    <cellStyle name="Millares 24 3 2" xfId="25100" xr:uid="{00000000-0005-0000-0000-00001C620000}"/>
    <cellStyle name="Millares 24 3 2 2" xfId="25101" xr:uid="{00000000-0005-0000-0000-00001D620000}"/>
    <cellStyle name="Millares 24 3 2 2 2" xfId="25102" xr:uid="{00000000-0005-0000-0000-00001E620000}"/>
    <cellStyle name="Millares 24 3 2 3" xfId="25103" xr:uid="{00000000-0005-0000-0000-00001F620000}"/>
    <cellStyle name="Millares 24 3 2 3 2" xfId="25104" xr:uid="{00000000-0005-0000-0000-000020620000}"/>
    <cellStyle name="Millares 24 3 2 4" xfId="25105" xr:uid="{00000000-0005-0000-0000-000021620000}"/>
    <cellStyle name="Millares 24 3 3" xfId="25106" xr:uid="{00000000-0005-0000-0000-000022620000}"/>
    <cellStyle name="Millares 24 3 3 2" xfId="25107" xr:uid="{00000000-0005-0000-0000-000023620000}"/>
    <cellStyle name="Millares 24 3 4" xfId="25108" xr:uid="{00000000-0005-0000-0000-000024620000}"/>
    <cellStyle name="Millares 24 3 4 2" xfId="25109" xr:uid="{00000000-0005-0000-0000-000025620000}"/>
    <cellStyle name="Millares 24 3 5" xfId="25110" xr:uid="{00000000-0005-0000-0000-000026620000}"/>
    <cellStyle name="Millares 24 4" xfId="25111" xr:uid="{00000000-0005-0000-0000-000027620000}"/>
    <cellStyle name="Millares 24 4 2" xfId="25112" xr:uid="{00000000-0005-0000-0000-000028620000}"/>
    <cellStyle name="Millares 24 4 2 2" xfId="25113" xr:uid="{00000000-0005-0000-0000-000029620000}"/>
    <cellStyle name="Millares 24 4 3" xfId="25114" xr:uid="{00000000-0005-0000-0000-00002A620000}"/>
    <cellStyle name="Millares 24 4 3 2" xfId="25115" xr:uid="{00000000-0005-0000-0000-00002B620000}"/>
    <cellStyle name="Millares 24 4 4" xfId="25116" xr:uid="{00000000-0005-0000-0000-00002C620000}"/>
    <cellStyle name="Millares 24 5" xfId="25117" xr:uid="{00000000-0005-0000-0000-00002D620000}"/>
    <cellStyle name="Millares 24 5 2" xfId="25118" xr:uid="{00000000-0005-0000-0000-00002E620000}"/>
    <cellStyle name="Millares 24 6" xfId="25119" xr:uid="{00000000-0005-0000-0000-00002F620000}"/>
    <cellStyle name="Millares 24 6 2" xfId="25120" xr:uid="{00000000-0005-0000-0000-000030620000}"/>
    <cellStyle name="Millares 24 7" xfId="25121" xr:uid="{00000000-0005-0000-0000-000031620000}"/>
    <cellStyle name="Millares 24 8" xfId="36246" xr:uid="{00000000-0005-0000-0000-000032620000}"/>
    <cellStyle name="Millares 25" xfId="25122" xr:uid="{00000000-0005-0000-0000-000033620000}"/>
    <cellStyle name="Millares 25 2" xfId="25123" xr:uid="{00000000-0005-0000-0000-000034620000}"/>
    <cellStyle name="Millares 25 2 2" xfId="25124" xr:uid="{00000000-0005-0000-0000-000035620000}"/>
    <cellStyle name="Millares 25 2 2 2" xfId="25125" xr:uid="{00000000-0005-0000-0000-000036620000}"/>
    <cellStyle name="Millares 25 2 2 2 2" xfId="25126" xr:uid="{00000000-0005-0000-0000-000037620000}"/>
    <cellStyle name="Millares 25 2 2 3" xfId="25127" xr:uid="{00000000-0005-0000-0000-000038620000}"/>
    <cellStyle name="Millares 25 2 2 3 2" xfId="25128" xr:uid="{00000000-0005-0000-0000-000039620000}"/>
    <cellStyle name="Millares 25 2 2 4" xfId="25129" xr:uid="{00000000-0005-0000-0000-00003A620000}"/>
    <cellStyle name="Millares 25 2 3" xfId="25130" xr:uid="{00000000-0005-0000-0000-00003B620000}"/>
    <cellStyle name="Millares 25 2 3 2" xfId="25131" xr:uid="{00000000-0005-0000-0000-00003C620000}"/>
    <cellStyle name="Millares 25 2 4" xfId="25132" xr:uid="{00000000-0005-0000-0000-00003D620000}"/>
    <cellStyle name="Millares 25 2 4 2" xfId="25133" xr:uid="{00000000-0005-0000-0000-00003E620000}"/>
    <cellStyle name="Millares 25 2 5" xfId="25134" xr:uid="{00000000-0005-0000-0000-00003F620000}"/>
    <cellStyle name="Millares 25 3" xfId="25135" xr:uid="{00000000-0005-0000-0000-000040620000}"/>
    <cellStyle name="Millares 25 3 2" xfId="25136" xr:uid="{00000000-0005-0000-0000-000041620000}"/>
    <cellStyle name="Millares 25 3 2 2" xfId="25137" xr:uid="{00000000-0005-0000-0000-000042620000}"/>
    <cellStyle name="Millares 25 3 3" xfId="25138" xr:uid="{00000000-0005-0000-0000-000043620000}"/>
    <cellStyle name="Millares 25 3 3 2" xfId="25139" xr:uid="{00000000-0005-0000-0000-000044620000}"/>
    <cellStyle name="Millares 25 3 4" xfId="25140" xr:uid="{00000000-0005-0000-0000-000045620000}"/>
    <cellStyle name="Millares 25 4" xfId="25141" xr:uid="{00000000-0005-0000-0000-000046620000}"/>
    <cellStyle name="Millares 25 4 2" xfId="25142" xr:uid="{00000000-0005-0000-0000-000047620000}"/>
    <cellStyle name="Millares 25 5" xfId="25143" xr:uid="{00000000-0005-0000-0000-000048620000}"/>
    <cellStyle name="Millares 25 5 2" xfId="25144" xr:uid="{00000000-0005-0000-0000-000049620000}"/>
    <cellStyle name="Millares 25 6" xfId="25145" xr:uid="{00000000-0005-0000-0000-00004A620000}"/>
    <cellStyle name="Millares 26" xfId="25146" xr:uid="{00000000-0005-0000-0000-00004B620000}"/>
    <cellStyle name="Millares 26 2" xfId="25147" xr:uid="{00000000-0005-0000-0000-00004C620000}"/>
    <cellStyle name="Millares 26 2 2" xfId="25148" xr:uid="{00000000-0005-0000-0000-00004D620000}"/>
    <cellStyle name="Millares 26 3" xfId="25149" xr:uid="{00000000-0005-0000-0000-00004E620000}"/>
    <cellStyle name="Millares 26 3 2" xfId="25150" xr:uid="{00000000-0005-0000-0000-00004F620000}"/>
    <cellStyle name="Millares 26 4" xfId="25151" xr:uid="{00000000-0005-0000-0000-000050620000}"/>
    <cellStyle name="Millares 27" xfId="25152" xr:uid="{00000000-0005-0000-0000-000051620000}"/>
    <cellStyle name="Millares 27 2" xfId="36230" xr:uid="{00000000-0005-0000-0000-000052620000}"/>
    <cellStyle name="Millares 28" xfId="25153" xr:uid="{00000000-0005-0000-0000-000053620000}"/>
    <cellStyle name="Millares 28 2" xfId="36252" xr:uid="{00000000-0005-0000-0000-000054620000}"/>
    <cellStyle name="Millares 29" xfId="25154" xr:uid="{00000000-0005-0000-0000-000055620000}"/>
    <cellStyle name="Millares 3" xfId="60" xr:uid="{00000000-0005-0000-0000-000056620000}"/>
    <cellStyle name="Millares 3 10" xfId="25156" xr:uid="{00000000-0005-0000-0000-000057620000}"/>
    <cellStyle name="Millares 3 10 2" xfId="25157" xr:uid="{00000000-0005-0000-0000-000058620000}"/>
    <cellStyle name="Millares 3 10 2 2" xfId="25158" xr:uid="{00000000-0005-0000-0000-000059620000}"/>
    <cellStyle name="Millares 3 10 3" xfId="25159" xr:uid="{00000000-0005-0000-0000-00005A620000}"/>
    <cellStyle name="Millares 3 10 3 2" xfId="25160" xr:uid="{00000000-0005-0000-0000-00005B620000}"/>
    <cellStyle name="Millares 3 10 4" xfId="25161" xr:uid="{00000000-0005-0000-0000-00005C620000}"/>
    <cellStyle name="Millares 3 11" xfId="25162" xr:uid="{00000000-0005-0000-0000-00005D620000}"/>
    <cellStyle name="Millares 3 11 2" xfId="25163" xr:uid="{00000000-0005-0000-0000-00005E620000}"/>
    <cellStyle name="Millares 3 12" xfId="25164" xr:uid="{00000000-0005-0000-0000-00005F620000}"/>
    <cellStyle name="Millares 3 12 2" xfId="25165" xr:uid="{00000000-0005-0000-0000-000060620000}"/>
    <cellStyle name="Millares 3 13" xfId="25166" xr:uid="{00000000-0005-0000-0000-000061620000}"/>
    <cellStyle name="Millares 3 14" xfId="25167" xr:uid="{00000000-0005-0000-0000-000062620000}"/>
    <cellStyle name="Millares 3 15" xfId="25168" xr:uid="{00000000-0005-0000-0000-000063620000}"/>
    <cellStyle name="Millares 3 16" xfId="25169" xr:uid="{00000000-0005-0000-0000-000064620000}"/>
    <cellStyle name="Millares 3 17" xfId="25170" xr:uid="{00000000-0005-0000-0000-000065620000}"/>
    <cellStyle name="Millares 3 18" xfId="25171" xr:uid="{00000000-0005-0000-0000-000066620000}"/>
    <cellStyle name="Millares 3 19" xfId="25172" xr:uid="{00000000-0005-0000-0000-000067620000}"/>
    <cellStyle name="Millares 3 2" xfId="25173" xr:uid="{00000000-0005-0000-0000-000068620000}"/>
    <cellStyle name="Millares 3 2 10" xfId="25174" xr:uid="{00000000-0005-0000-0000-000069620000}"/>
    <cellStyle name="Millares 3 2 11" xfId="25175" xr:uid="{00000000-0005-0000-0000-00006A620000}"/>
    <cellStyle name="Millares 3 2 12" xfId="25176" xr:uid="{00000000-0005-0000-0000-00006B620000}"/>
    <cellStyle name="Millares 3 2 13" xfId="25177" xr:uid="{00000000-0005-0000-0000-00006C620000}"/>
    <cellStyle name="Millares 3 2 14" xfId="25178" xr:uid="{00000000-0005-0000-0000-00006D620000}"/>
    <cellStyle name="Millares 3 2 15" xfId="25179" xr:uid="{00000000-0005-0000-0000-00006E620000}"/>
    <cellStyle name="Millares 3 2 16" xfId="25180" xr:uid="{00000000-0005-0000-0000-00006F620000}"/>
    <cellStyle name="Millares 3 2 17" xfId="25181" xr:uid="{00000000-0005-0000-0000-000070620000}"/>
    <cellStyle name="Millares 3 2 18" xfId="25182" xr:uid="{00000000-0005-0000-0000-000071620000}"/>
    <cellStyle name="Millares 3 2 19" xfId="25183" xr:uid="{00000000-0005-0000-0000-000072620000}"/>
    <cellStyle name="Millares 3 2 2" xfId="25184" xr:uid="{00000000-0005-0000-0000-000073620000}"/>
    <cellStyle name="Millares 3 2 2 10" xfId="25185" xr:uid="{00000000-0005-0000-0000-000074620000}"/>
    <cellStyle name="Millares 3 2 2 11" xfId="25186" xr:uid="{00000000-0005-0000-0000-000075620000}"/>
    <cellStyle name="Millares 3 2 2 12" xfId="25187" xr:uid="{00000000-0005-0000-0000-000076620000}"/>
    <cellStyle name="Millares 3 2 2 13" xfId="25188" xr:uid="{00000000-0005-0000-0000-000077620000}"/>
    <cellStyle name="Millares 3 2 2 14" xfId="25189" xr:uid="{00000000-0005-0000-0000-000078620000}"/>
    <cellStyle name="Millares 3 2 2 15" xfId="25190" xr:uid="{00000000-0005-0000-0000-000079620000}"/>
    <cellStyle name="Millares 3 2 2 16" xfId="25191" xr:uid="{00000000-0005-0000-0000-00007A620000}"/>
    <cellStyle name="Millares 3 2 2 17" xfId="25192" xr:uid="{00000000-0005-0000-0000-00007B620000}"/>
    <cellStyle name="Millares 3 2 2 18" xfId="25193" xr:uid="{00000000-0005-0000-0000-00007C620000}"/>
    <cellStyle name="Millares 3 2 2 19" xfId="25194" xr:uid="{00000000-0005-0000-0000-00007D620000}"/>
    <cellStyle name="Millares 3 2 2 2" xfId="25195" xr:uid="{00000000-0005-0000-0000-00007E620000}"/>
    <cellStyle name="Millares 3 2 2 2 10" xfId="25196" xr:uid="{00000000-0005-0000-0000-00007F620000}"/>
    <cellStyle name="Millares 3 2 2 2 11" xfId="25197" xr:uid="{00000000-0005-0000-0000-000080620000}"/>
    <cellStyle name="Millares 3 2 2 2 12" xfId="25198" xr:uid="{00000000-0005-0000-0000-000081620000}"/>
    <cellStyle name="Millares 3 2 2 2 13" xfId="25199" xr:uid="{00000000-0005-0000-0000-000082620000}"/>
    <cellStyle name="Millares 3 2 2 2 2" xfId="25200" xr:uid="{00000000-0005-0000-0000-000083620000}"/>
    <cellStyle name="Millares 3 2 2 2 2 10" xfId="25201" xr:uid="{00000000-0005-0000-0000-000084620000}"/>
    <cellStyle name="Millares 3 2 2 2 2 11" xfId="25202" xr:uid="{00000000-0005-0000-0000-000085620000}"/>
    <cellStyle name="Millares 3 2 2 2 2 12" xfId="25203" xr:uid="{00000000-0005-0000-0000-000086620000}"/>
    <cellStyle name="Millares 3 2 2 2 2 13" xfId="25204" xr:uid="{00000000-0005-0000-0000-000087620000}"/>
    <cellStyle name="Millares 3 2 2 2 2 2" xfId="25205" xr:uid="{00000000-0005-0000-0000-000088620000}"/>
    <cellStyle name="Millares 3 2 2 2 2 2 2" xfId="25206" xr:uid="{00000000-0005-0000-0000-000089620000}"/>
    <cellStyle name="Millares 3 2 2 2 2 2 2 2" xfId="25207" xr:uid="{00000000-0005-0000-0000-00008A620000}"/>
    <cellStyle name="Millares 3 2 2 2 2 2 2 2 2" xfId="25208" xr:uid="{00000000-0005-0000-0000-00008B620000}"/>
    <cellStyle name="Millares 3 2 2 2 2 2 2 3" xfId="25209" xr:uid="{00000000-0005-0000-0000-00008C620000}"/>
    <cellStyle name="Millares 3 2 2 2 2 2 2 3 2" xfId="25210" xr:uid="{00000000-0005-0000-0000-00008D620000}"/>
    <cellStyle name="Millares 3 2 2 2 2 2 2 4" xfId="25211" xr:uid="{00000000-0005-0000-0000-00008E620000}"/>
    <cellStyle name="Millares 3 2 2 2 2 2 3" xfId="25212" xr:uid="{00000000-0005-0000-0000-00008F620000}"/>
    <cellStyle name="Millares 3 2 2 2 2 2 3 2" xfId="25213" xr:uid="{00000000-0005-0000-0000-000090620000}"/>
    <cellStyle name="Millares 3 2 2 2 2 2 4" xfId="25214" xr:uid="{00000000-0005-0000-0000-000091620000}"/>
    <cellStyle name="Millares 3 2 2 2 2 2 4 2" xfId="25215" xr:uid="{00000000-0005-0000-0000-000092620000}"/>
    <cellStyle name="Millares 3 2 2 2 2 2 5" xfId="25216" xr:uid="{00000000-0005-0000-0000-000093620000}"/>
    <cellStyle name="Millares 3 2 2 2 2 3" xfId="25217" xr:uid="{00000000-0005-0000-0000-000094620000}"/>
    <cellStyle name="Millares 3 2 2 2 2 3 2" xfId="25218" xr:uid="{00000000-0005-0000-0000-000095620000}"/>
    <cellStyle name="Millares 3 2 2 2 2 3 2 2" xfId="25219" xr:uid="{00000000-0005-0000-0000-000096620000}"/>
    <cellStyle name="Millares 3 2 2 2 2 3 3" xfId="25220" xr:uid="{00000000-0005-0000-0000-000097620000}"/>
    <cellStyle name="Millares 3 2 2 2 2 3 3 2" xfId="25221" xr:uid="{00000000-0005-0000-0000-000098620000}"/>
    <cellStyle name="Millares 3 2 2 2 2 3 4" xfId="25222" xr:uid="{00000000-0005-0000-0000-000099620000}"/>
    <cellStyle name="Millares 3 2 2 2 2 4" xfId="25223" xr:uid="{00000000-0005-0000-0000-00009A620000}"/>
    <cellStyle name="Millares 3 2 2 2 2 4 2" xfId="25224" xr:uid="{00000000-0005-0000-0000-00009B620000}"/>
    <cellStyle name="Millares 3 2 2 2 2 5" xfId="25225" xr:uid="{00000000-0005-0000-0000-00009C620000}"/>
    <cellStyle name="Millares 3 2 2 2 2 5 2" xfId="25226" xr:uid="{00000000-0005-0000-0000-00009D620000}"/>
    <cellStyle name="Millares 3 2 2 2 2 6" xfId="25227" xr:uid="{00000000-0005-0000-0000-00009E620000}"/>
    <cellStyle name="Millares 3 2 2 2 2 7" xfId="25228" xr:uid="{00000000-0005-0000-0000-00009F620000}"/>
    <cellStyle name="Millares 3 2 2 2 2 8" xfId="25229" xr:uid="{00000000-0005-0000-0000-0000A0620000}"/>
    <cellStyle name="Millares 3 2 2 2 2 9" xfId="25230" xr:uid="{00000000-0005-0000-0000-0000A1620000}"/>
    <cellStyle name="Millares 3 2 2 2 3" xfId="25231" xr:uid="{00000000-0005-0000-0000-0000A2620000}"/>
    <cellStyle name="Millares 3 2 2 2 3 2" xfId="25232" xr:uid="{00000000-0005-0000-0000-0000A3620000}"/>
    <cellStyle name="Millares 3 2 2 2 3 2 2" xfId="25233" xr:uid="{00000000-0005-0000-0000-0000A4620000}"/>
    <cellStyle name="Millares 3 2 2 2 3 2 2 2" xfId="25234" xr:uid="{00000000-0005-0000-0000-0000A5620000}"/>
    <cellStyle name="Millares 3 2 2 2 3 2 3" xfId="25235" xr:uid="{00000000-0005-0000-0000-0000A6620000}"/>
    <cellStyle name="Millares 3 2 2 2 3 2 3 2" xfId="25236" xr:uid="{00000000-0005-0000-0000-0000A7620000}"/>
    <cellStyle name="Millares 3 2 2 2 3 2 4" xfId="25237" xr:uid="{00000000-0005-0000-0000-0000A8620000}"/>
    <cellStyle name="Millares 3 2 2 2 3 3" xfId="25238" xr:uid="{00000000-0005-0000-0000-0000A9620000}"/>
    <cellStyle name="Millares 3 2 2 2 3 3 2" xfId="25239" xr:uid="{00000000-0005-0000-0000-0000AA620000}"/>
    <cellStyle name="Millares 3 2 2 2 3 4" xfId="25240" xr:uid="{00000000-0005-0000-0000-0000AB620000}"/>
    <cellStyle name="Millares 3 2 2 2 3 4 2" xfId="25241" xr:uid="{00000000-0005-0000-0000-0000AC620000}"/>
    <cellStyle name="Millares 3 2 2 2 3 5" xfId="25242" xr:uid="{00000000-0005-0000-0000-0000AD620000}"/>
    <cellStyle name="Millares 3 2 2 2 4" xfId="25243" xr:uid="{00000000-0005-0000-0000-0000AE620000}"/>
    <cellStyle name="Millares 3 2 2 2 4 2" xfId="25244" xr:uid="{00000000-0005-0000-0000-0000AF620000}"/>
    <cellStyle name="Millares 3 2 2 2 4 2 2" xfId="25245" xr:uid="{00000000-0005-0000-0000-0000B0620000}"/>
    <cellStyle name="Millares 3 2 2 2 4 3" xfId="25246" xr:uid="{00000000-0005-0000-0000-0000B1620000}"/>
    <cellStyle name="Millares 3 2 2 2 4 3 2" xfId="25247" xr:uid="{00000000-0005-0000-0000-0000B2620000}"/>
    <cellStyle name="Millares 3 2 2 2 4 4" xfId="25248" xr:uid="{00000000-0005-0000-0000-0000B3620000}"/>
    <cellStyle name="Millares 3 2 2 2 5" xfId="25249" xr:uid="{00000000-0005-0000-0000-0000B4620000}"/>
    <cellStyle name="Millares 3 2 2 2 5 2" xfId="25250" xr:uid="{00000000-0005-0000-0000-0000B5620000}"/>
    <cellStyle name="Millares 3 2 2 2 6" xfId="25251" xr:uid="{00000000-0005-0000-0000-0000B6620000}"/>
    <cellStyle name="Millares 3 2 2 2 6 2" xfId="25252" xr:uid="{00000000-0005-0000-0000-0000B7620000}"/>
    <cellStyle name="Millares 3 2 2 2 7" xfId="25253" xr:uid="{00000000-0005-0000-0000-0000B8620000}"/>
    <cellStyle name="Millares 3 2 2 2 8" xfId="25254" xr:uid="{00000000-0005-0000-0000-0000B9620000}"/>
    <cellStyle name="Millares 3 2 2 2 9" xfId="25255" xr:uid="{00000000-0005-0000-0000-0000BA620000}"/>
    <cellStyle name="Millares 3 2 2 20" xfId="25256" xr:uid="{00000000-0005-0000-0000-0000BB620000}"/>
    <cellStyle name="Millares 3 2 2 21" xfId="25257" xr:uid="{00000000-0005-0000-0000-0000BC620000}"/>
    <cellStyle name="Millares 3 2 2 22" xfId="25258" xr:uid="{00000000-0005-0000-0000-0000BD620000}"/>
    <cellStyle name="Millares 3 2 2 23" xfId="25259" xr:uid="{00000000-0005-0000-0000-0000BE620000}"/>
    <cellStyle name="Millares 3 2 2 24" xfId="25260" xr:uid="{00000000-0005-0000-0000-0000BF620000}"/>
    <cellStyle name="Millares 3 2 2 25" xfId="25261" xr:uid="{00000000-0005-0000-0000-0000C0620000}"/>
    <cellStyle name="Millares 3 2 2 26" xfId="25262" xr:uid="{00000000-0005-0000-0000-0000C1620000}"/>
    <cellStyle name="Millares 3 2 2 27" xfId="25263" xr:uid="{00000000-0005-0000-0000-0000C2620000}"/>
    <cellStyle name="Millares 3 2 2 28" xfId="25264" xr:uid="{00000000-0005-0000-0000-0000C3620000}"/>
    <cellStyle name="Millares 3 2 2 29" xfId="25265" xr:uid="{00000000-0005-0000-0000-0000C4620000}"/>
    <cellStyle name="Millares 3 2 2 3" xfId="25266" xr:uid="{00000000-0005-0000-0000-0000C5620000}"/>
    <cellStyle name="Millares 3 2 2 3 2" xfId="25267" xr:uid="{00000000-0005-0000-0000-0000C6620000}"/>
    <cellStyle name="Millares 3 2 2 3 2 2" xfId="25268" xr:uid="{00000000-0005-0000-0000-0000C7620000}"/>
    <cellStyle name="Millares 3 2 2 3 2 2 2" xfId="25269" xr:uid="{00000000-0005-0000-0000-0000C8620000}"/>
    <cellStyle name="Millares 3 2 2 3 2 2 2 2" xfId="25270" xr:uid="{00000000-0005-0000-0000-0000C9620000}"/>
    <cellStyle name="Millares 3 2 2 3 2 2 3" xfId="25271" xr:uid="{00000000-0005-0000-0000-0000CA620000}"/>
    <cellStyle name="Millares 3 2 2 3 2 2 3 2" xfId="25272" xr:uid="{00000000-0005-0000-0000-0000CB620000}"/>
    <cellStyle name="Millares 3 2 2 3 2 2 4" xfId="25273" xr:uid="{00000000-0005-0000-0000-0000CC620000}"/>
    <cellStyle name="Millares 3 2 2 3 2 3" xfId="25274" xr:uid="{00000000-0005-0000-0000-0000CD620000}"/>
    <cellStyle name="Millares 3 2 2 3 2 3 2" xfId="25275" xr:uid="{00000000-0005-0000-0000-0000CE620000}"/>
    <cellStyle name="Millares 3 2 2 3 2 4" xfId="25276" xr:uid="{00000000-0005-0000-0000-0000CF620000}"/>
    <cellStyle name="Millares 3 2 2 3 2 4 2" xfId="25277" xr:uid="{00000000-0005-0000-0000-0000D0620000}"/>
    <cellStyle name="Millares 3 2 2 3 2 5" xfId="25278" xr:uid="{00000000-0005-0000-0000-0000D1620000}"/>
    <cellStyle name="Millares 3 2 2 3 3" xfId="25279" xr:uid="{00000000-0005-0000-0000-0000D2620000}"/>
    <cellStyle name="Millares 3 2 2 3 3 2" xfId="25280" xr:uid="{00000000-0005-0000-0000-0000D3620000}"/>
    <cellStyle name="Millares 3 2 2 3 3 2 2" xfId="25281" xr:uid="{00000000-0005-0000-0000-0000D4620000}"/>
    <cellStyle name="Millares 3 2 2 3 3 3" xfId="25282" xr:uid="{00000000-0005-0000-0000-0000D5620000}"/>
    <cellStyle name="Millares 3 2 2 3 3 3 2" xfId="25283" xr:uid="{00000000-0005-0000-0000-0000D6620000}"/>
    <cellStyle name="Millares 3 2 2 3 3 4" xfId="25284" xr:uid="{00000000-0005-0000-0000-0000D7620000}"/>
    <cellStyle name="Millares 3 2 2 3 4" xfId="25285" xr:uid="{00000000-0005-0000-0000-0000D8620000}"/>
    <cellStyle name="Millares 3 2 2 3 4 2" xfId="25286" xr:uid="{00000000-0005-0000-0000-0000D9620000}"/>
    <cellStyle name="Millares 3 2 2 3 5" xfId="25287" xr:uid="{00000000-0005-0000-0000-0000DA620000}"/>
    <cellStyle name="Millares 3 2 2 3 5 2" xfId="25288" xr:uid="{00000000-0005-0000-0000-0000DB620000}"/>
    <cellStyle name="Millares 3 2 2 3 6" xfId="25289" xr:uid="{00000000-0005-0000-0000-0000DC620000}"/>
    <cellStyle name="Millares 3 2 2 30" xfId="25290" xr:uid="{00000000-0005-0000-0000-0000DD620000}"/>
    <cellStyle name="Millares 3 2 2 31" xfId="25291" xr:uid="{00000000-0005-0000-0000-0000DE620000}"/>
    <cellStyle name="Millares 3 2 2 32" xfId="25292" xr:uid="{00000000-0005-0000-0000-0000DF620000}"/>
    <cellStyle name="Millares 3 2 2 33" xfId="25293" xr:uid="{00000000-0005-0000-0000-0000E0620000}"/>
    <cellStyle name="Millares 3 2 2 34" xfId="25294" xr:uid="{00000000-0005-0000-0000-0000E1620000}"/>
    <cellStyle name="Millares 3 2 2 35" xfId="25295" xr:uid="{00000000-0005-0000-0000-0000E2620000}"/>
    <cellStyle name="Millares 3 2 2 36" xfId="25296" xr:uid="{00000000-0005-0000-0000-0000E3620000}"/>
    <cellStyle name="Millares 3 2 2 37" xfId="25297" xr:uid="{00000000-0005-0000-0000-0000E4620000}"/>
    <cellStyle name="Millares 3 2 2 38" xfId="25298" xr:uid="{00000000-0005-0000-0000-0000E5620000}"/>
    <cellStyle name="Millares 3 2 2 39" xfId="25299" xr:uid="{00000000-0005-0000-0000-0000E6620000}"/>
    <cellStyle name="Millares 3 2 2 4" xfId="25300" xr:uid="{00000000-0005-0000-0000-0000E7620000}"/>
    <cellStyle name="Millares 3 2 2 4 2" xfId="25301" xr:uid="{00000000-0005-0000-0000-0000E8620000}"/>
    <cellStyle name="Millares 3 2 2 4 2 2" xfId="25302" xr:uid="{00000000-0005-0000-0000-0000E9620000}"/>
    <cellStyle name="Millares 3 2 2 4 2 2 2" xfId="25303" xr:uid="{00000000-0005-0000-0000-0000EA620000}"/>
    <cellStyle name="Millares 3 2 2 4 2 3" xfId="25304" xr:uid="{00000000-0005-0000-0000-0000EB620000}"/>
    <cellStyle name="Millares 3 2 2 4 2 3 2" xfId="25305" xr:uid="{00000000-0005-0000-0000-0000EC620000}"/>
    <cellStyle name="Millares 3 2 2 4 2 4" xfId="25306" xr:uid="{00000000-0005-0000-0000-0000ED620000}"/>
    <cellStyle name="Millares 3 2 2 4 3" xfId="25307" xr:uid="{00000000-0005-0000-0000-0000EE620000}"/>
    <cellStyle name="Millares 3 2 2 4 3 2" xfId="25308" xr:uid="{00000000-0005-0000-0000-0000EF620000}"/>
    <cellStyle name="Millares 3 2 2 4 4" xfId="25309" xr:uid="{00000000-0005-0000-0000-0000F0620000}"/>
    <cellStyle name="Millares 3 2 2 4 4 2" xfId="25310" xr:uid="{00000000-0005-0000-0000-0000F1620000}"/>
    <cellStyle name="Millares 3 2 2 4 5" xfId="25311" xr:uid="{00000000-0005-0000-0000-0000F2620000}"/>
    <cellStyle name="Millares 3 2 2 40" xfId="25312" xr:uid="{00000000-0005-0000-0000-0000F3620000}"/>
    <cellStyle name="Millares 3 2 2 5" xfId="25313" xr:uid="{00000000-0005-0000-0000-0000F4620000}"/>
    <cellStyle name="Millares 3 2 2 5 2" xfId="25314" xr:uid="{00000000-0005-0000-0000-0000F5620000}"/>
    <cellStyle name="Millares 3 2 2 5 2 2" xfId="25315" xr:uid="{00000000-0005-0000-0000-0000F6620000}"/>
    <cellStyle name="Millares 3 2 2 5 3" xfId="25316" xr:uid="{00000000-0005-0000-0000-0000F7620000}"/>
    <cellStyle name="Millares 3 2 2 5 3 2" xfId="25317" xr:uid="{00000000-0005-0000-0000-0000F8620000}"/>
    <cellStyle name="Millares 3 2 2 5 4" xfId="25318" xr:uid="{00000000-0005-0000-0000-0000F9620000}"/>
    <cellStyle name="Millares 3 2 2 6" xfId="25319" xr:uid="{00000000-0005-0000-0000-0000FA620000}"/>
    <cellStyle name="Millares 3 2 2 6 2" xfId="25320" xr:uid="{00000000-0005-0000-0000-0000FB620000}"/>
    <cellStyle name="Millares 3 2 2 7" xfId="25321" xr:uid="{00000000-0005-0000-0000-0000FC620000}"/>
    <cellStyle name="Millares 3 2 2 7 2" xfId="25322" xr:uid="{00000000-0005-0000-0000-0000FD620000}"/>
    <cellStyle name="Millares 3 2 2 8" xfId="25323" xr:uid="{00000000-0005-0000-0000-0000FE620000}"/>
    <cellStyle name="Millares 3 2 2 9" xfId="25324" xr:uid="{00000000-0005-0000-0000-0000FF620000}"/>
    <cellStyle name="Millares 3 2 20" xfId="25325" xr:uid="{00000000-0005-0000-0000-000000630000}"/>
    <cellStyle name="Millares 3 2 21" xfId="25326" xr:uid="{00000000-0005-0000-0000-000001630000}"/>
    <cellStyle name="Millares 3 2 22" xfId="25327" xr:uid="{00000000-0005-0000-0000-000002630000}"/>
    <cellStyle name="Millares 3 2 23" xfId="25328" xr:uid="{00000000-0005-0000-0000-000003630000}"/>
    <cellStyle name="Millares 3 2 24" xfId="25329" xr:uid="{00000000-0005-0000-0000-000004630000}"/>
    <cellStyle name="Millares 3 2 25" xfId="25330" xr:uid="{00000000-0005-0000-0000-000005630000}"/>
    <cellStyle name="Millares 3 2 26" xfId="25331" xr:uid="{00000000-0005-0000-0000-000006630000}"/>
    <cellStyle name="Millares 3 2 27" xfId="25332" xr:uid="{00000000-0005-0000-0000-000007630000}"/>
    <cellStyle name="Millares 3 2 28" xfId="25333" xr:uid="{00000000-0005-0000-0000-000008630000}"/>
    <cellStyle name="Millares 3 2 29" xfId="25334" xr:uid="{00000000-0005-0000-0000-000009630000}"/>
    <cellStyle name="Millares 3 2 3" xfId="25335" xr:uid="{00000000-0005-0000-0000-00000A630000}"/>
    <cellStyle name="Millares 3 2 3 2" xfId="25336" xr:uid="{00000000-0005-0000-0000-00000B630000}"/>
    <cellStyle name="Millares 3 2 3 2 2" xfId="25337" xr:uid="{00000000-0005-0000-0000-00000C630000}"/>
    <cellStyle name="Millares 3 2 3 2 2 2" xfId="25338" xr:uid="{00000000-0005-0000-0000-00000D630000}"/>
    <cellStyle name="Millares 3 2 3 2 2 2 2" xfId="25339" xr:uid="{00000000-0005-0000-0000-00000E630000}"/>
    <cellStyle name="Millares 3 2 3 2 2 2 2 2" xfId="25340" xr:uid="{00000000-0005-0000-0000-00000F630000}"/>
    <cellStyle name="Millares 3 2 3 2 2 2 2 2 2" xfId="25341" xr:uid="{00000000-0005-0000-0000-000010630000}"/>
    <cellStyle name="Millares 3 2 3 2 2 2 2 2 2 2" xfId="25342" xr:uid="{00000000-0005-0000-0000-000011630000}"/>
    <cellStyle name="Millares 3 2 3 2 2 2 2 2 3" xfId="25343" xr:uid="{00000000-0005-0000-0000-000012630000}"/>
    <cellStyle name="Millares 3 2 3 2 2 2 2 2 3 2" xfId="25344" xr:uid="{00000000-0005-0000-0000-000013630000}"/>
    <cellStyle name="Millares 3 2 3 2 2 2 2 2 4" xfId="25345" xr:uid="{00000000-0005-0000-0000-000014630000}"/>
    <cellStyle name="Millares 3 2 3 2 2 2 2 3" xfId="25346" xr:uid="{00000000-0005-0000-0000-000015630000}"/>
    <cellStyle name="Millares 3 2 3 2 2 2 2 3 2" xfId="25347" xr:uid="{00000000-0005-0000-0000-000016630000}"/>
    <cellStyle name="Millares 3 2 3 2 2 2 2 4" xfId="25348" xr:uid="{00000000-0005-0000-0000-000017630000}"/>
    <cellStyle name="Millares 3 2 3 2 2 2 2 4 2" xfId="25349" xr:uid="{00000000-0005-0000-0000-000018630000}"/>
    <cellStyle name="Millares 3 2 3 2 2 2 2 5" xfId="25350" xr:uid="{00000000-0005-0000-0000-000019630000}"/>
    <cellStyle name="Millares 3 2 3 2 2 2 3" xfId="25351" xr:uid="{00000000-0005-0000-0000-00001A630000}"/>
    <cellStyle name="Millares 3 2 3 2 2 2 3 2" xfId="25352" xr:uid="{00000000-0005-0000-0000-00001B630000}"/>
    <cellStyle name="Millares 3 2 3 2 2 2 3 2 2" xfId="25353" xr:uid="{00000000-0005-0000-0000-00001C630000}"/>
    <cellStyle name="Millares 3 2 3 2 2 2 3 3" xfId="25354" xr:uid="{00000000-0005-0000-0000-00001D630000}"/>
    <cellStyle name="Millares 3 2 3 2 2 2 3 3 2" xfId="25355" xr:uid="{00000000-0005-0000-0000-00001E630000}"/>
    <cellStyle name="Millares 3 2 3 2 2 2 3 4" xfId="25356" xr:uid="{00000000-0005-0000-0000-00001F630000}"/>
    <cellStyle name="Millares 3 2 3 2 2 2 4" xfId="25357" xr:uid="{00000000-0005-0000-0000-000020630000}"/>
    <cellStyle name="Millares 3 2 3 2 2 2 4 2" xfId="25358" xr:uid="{00000000-0005-0000-0000-000021630000}"/>
    <cellStyle name="Millares 3 2 3 2 2 2 5" xfId="25359" xr:uid="{00000000-0005-0000-0000-000022630000}"/>
    <cellStyle name="Millares 3 2 3 2 2 2 5 2" xfId="25360" xr:uid="{00000000-0005-0000-0000-000023630000}"/>
    <cellStyle name="Millares 3 2 3 2 2 2 6" xfId="25361" xr:uid="{00000000-0005-0000-0000-000024630000}"/>
    <cellStyle name="Millares 3 2 3 2 2 3" xfId="25362" xr:uid="{00000000-0005-0000-0000-000025630000}"/>
    <cellStyle name="Millares 3 2 3 2 2 3 2" xfId="25363" xr:uid="{00000000-0005-0000-0000-000026630000}"/>
    <cellStyle name="Millares 3 2 3 2 2 3 2 2" xfId="25364" xr:uid="{00000000-0005-0000-0000-000027630000}"/>
    <cellStyle name="Millares 3 2 3 2 2 3 2 2 2" xfId="25365" xr:uid="{00000000-0005-0000-0000-000028630000}"/>
    <cellStyle name="Millares 3 2 3 2 2 3 2 3" xfId="25366" xr:uid="{00000000-0005-0000-0000-000029630000}"/>
    <cellStyle name="Millares 3 2 3 2 2 3 2 3 2" xfId="25367" xr:uid="{00000000-0005-0000-0000-00002A630000}"/>
    <cellStyle name="Millares 3 2 3 2 2 3 2 4" xfId="25368" xr:uid="{00000000-0005-0000-0000-00002B630000}"/>
    <cellStyle name="Millares 3 2 3 2 2 3 3" xfId="25369" xr:uid="{00000000-0005-0000-0000-00002C630000}"/>
    <cellStyle name="Millares 3 2 3 2 2 3 3 2" xfId="25370" xr:uid="{00000000-0005-0000-0000-00002D630000}"/>
    <cellStyle name="Millares 3 2 3 2 2 3 4" xfId="25371" xr:uid="{00000000-0005-0000-0000-00002E630000}"/>
    <cellStyle name="Millares 3 2 3 2 2 3 4 2" xfId="25372" xr:uid="{00000000-0005-0000-0000-00002F630000}"/>
    <cellStyle name="Millares 3 2 3 2 2 3 5" xfId="25373" xr:uid="{00000000-0005-0000-0000-000030630000}"/>
    <cellStyle name="Millares 3 2 3 2 2 4" xfId="25374" xr:uid="{00000000-0005-0000-0000-000031630000}"/>
    <cellStyle name="Millares 3 2 3 2 2 4 2" xfId="25375" xr:uid="{00000000-0005-0000-0000-000032630000}"/>
    <cellStyle name="Millares 3 2 3 2 2 4 2 2" xfId="25376" xr:uid="{00000000-0005-0000-0000-000033630000}"/>
    <cellStyle name="Millares 3 2 3 2 2 4 3" xfId="25377" xr:uid="{00000000-0005-0000-0000-000034630000}"/>
    <cellStyle name="Millares 3 2 3 2 2 4 3 2" xfId="25378" xr:uid="{00000000-0005-0000-0000-000035630000}"/>
    <cellStyle name="Millares 3 2 3 2 2 4 4" xfId="25379" xr:uid="{00000000-0005-0000-0000-000036630000}"/>
    <cellStyle name="Millares 3 2 3 2 2 5" xfId="25380" xr:uid="{00000000-0005-0000-0000-000037630000}"/>
    <cellStyle name="Millares 3 2 3 2 2 5 2" xfId="25381" xr:uid="{00000000-0005-0000-0000-000038630000}"/>
    <cellStyle name="Millares 3 2 3 2 2 6" xfId="25382" xr:uid="{00000000-0005-0000-0000-000039630000}"/>
    <cellStyle name="Millares 3 2 3 2 2 6 2" xfId="25383" xr:uid="{00000000-0005-0000-0000-00003A630000}"/>
    <cellStyle name="Millares 3 2 3 2 2 7" xfId="25384" xr:uid="{00000000-0005-0000-0000-00003B630000}"/>
    <cellStyle name="Millares 3 2 3 2 3" xfId="25385" xr:uid="{00000000-0005-0000-0000-00003C630000}"/>
    <cellStyle name="Millares 3 2 3 2 3 2" xfId="25386" xr:uid="{00000000-0005-0000-0000-00003D630000}"/>
    <cellStyle name="Millares 3 2 3 2 3 2 2" xfId="25387" xr:uid="{00000000-0005-0000-0000-00003E630000}"/>
    <cellStyle name="Millares 3 2 3 2 3 2 2 2" xfId="25388" xr:uid="{00000000-0005-0000-0000-00003F630000}"/>
    <cellStyle name="Millares 3 2 3 2 3 2 2 2 2" xfId="25389" xr:uid="{00000000-0005-0000-0000-000040630000}"/>
    <cellStyle name="Millares 3 2 3 2 3 2 2 3" xfId="25390" xr:uid="{00000000-0005-0000-0000-000041630000}"/>
    <cellStyle name="Millares 3 2 3 2 3 2 2 3 2" xfId="25391" xr:uid="{00000000-0005-0000-0000-000042630000}"/>
    <cellStyle name="Millares 3 2 3 2 3 2 2 4" xfId="25392" xr:uid="{00000000-0005-0000-0000-000043630000}"/>
    <cellStyle name="Millares 3 2 3 2 3 2 3" xfId="25393" xr:uid="{00000000-0005-0000-0000-000044630000}"/>
    <cellStyle name="Millares 3 2 3 2 3 2 3 2" xfId="25394" xr:uid="{00000000-0005-0000-0000-000045630000}"/>
    <cellStyle name="Millares 3 2 3 2 3 2 4" xfId="25395" xr:uid="{00000000-0005-0000-0000-000046630000}"/>
    <cellStyle name="Millares 3 2 3 2 3 2 4 2" xfId="25396" xr:uid="{00000000-0005-0000-0000-000047630000}"/>
    <cellStyle name="Millares 3 2 3 2 3 2 5" xfId="25397" xr:uid="{00000000-0005-0000-0000-000048630000}"/>
    <cellStyle name="Millares 3 2 3 2 3 3" xfId="25398" xr:uid="{00000000-0005-0000-0000-000049630000}"/>
    <cellStyle name="Millares 3 2 3 2 3 3 2" xfId="25399" xr:uid="{00000000-0005-0000-0000-00004A630000}"/>
    <cellStyle name="Millares 3 2 3 2 3 3 2 2" xfId="25400" xr:uid="{00000000-0005-0000-0000-00004B630000}"/>
    <cellStyle name="Millares 3 2 3 2 3 3 3" xfId="25401" xr:uid="{00000000-0005-0000-0000-00004C630000}"/>
    <cellStyle name="Millares 3 2 3 2 3 3 3 2" xfId="25402" xr:uid="{00000000-0005-0000-0000-00004D630000}"/>
    <cellStyle name="Millares 3 2 3 2 3 3 4" xfId="25403" xr:uid="{00000000-0005-0000-0000-00004E630000}"/>
    <cellStyle name="Millares 3 2 3 2 3 4" xfId="25404" xr:uid="{00000000-0005-0000-0000-00004F630000}"/>
    <cellStyle name="Millares 3 2 3 2 3 4 2" xfId="25405" xr:uid="{00000000-0005-0000-0000-000050630000}"/>
    <cellStyle name="Millares 3 2 3 2 3 5" xfId="25406" xr:uid="{00000000-0005-0000-0000-000051630000}"/>
    <cellStyle name="Millares 3 2 3 2 3 5 2" xfId="25407" xr:uid="{00000000-0005-0000-0000-000052630000}"/>
    <cellStyle name="Millares 3 2 3 2 3 6" xfId="25408" xr:uid="{00000000-0005-0000-0000-000053630000}"/>
    <cellStyle name="Millares 3 2 3 2 4" xfId="25409" xr:uid="{00000000-0005-0000-0000-000054630000}"/>
    <cellStyle name="Millares 3 2 3 2 4 2" xfId="25410" xr:uid="{00000000-0005-0000-0000-000055630000}"/>
    <cellStyle name="Millares 3 2 3 2 4 2 2" xfId="25411" xr:uid="{00000000-0005-0000-0000-000056630000}"/>
    <cellStyle name="Millares 3 2 3 2 4 2 2 2" xfId="25412" xr:uid="{00000000-0005-0000-0000-000057630000}"/>
    <cellStyle name="Millares 3 2 3 2 4 2 3" xfId="25413" xr:uid="{00000000-0005-0000-0000-000058630000}"/>
    <cellStyle name="Millares 3 2 3 2 4 2 3 2" xfId="25414" xr:uid="{00000000-0005-0000-0000-000059630000}"/>
    <cellStyle name="Millares 3 2 3 2 4 2 4" xfId="25415" xr:uid="{00000000-0005-0000-0000-00005A630000}"/>
    <cellStyle name="Millares 3 2 3 2 4 3" xfId="25416" xr:uid="{00000000-0005-0000-0000-00005B630000}"/>
    <cellStyle name="Millares 3 2 3 2 4 3 2" xfId="25417" xr:uid="{00000000-0005-0000-0000-00005C630000}"/>
    <cellStyle name="Millares 3 2 3 2 4 4" xfId="25418" xr:uid="{00000000-0005-0000-0000-00005D630000}"/>
    <cellStyle name="Millares 3 2 3 2 4 4 2" xfId="25419" xr:uid="{00000000-0005-0000-0000-00005E630000}"/>
    <cellStyle name="Millares 3 2 3 2 4 5" xfId="25420" xr:uid="{00000000-0005-0000-0000-00005F630000}"/>
    <cellStyle name="Millares 3 2 3 2 5" xfId="25421" xr:uid="{00000000-0005-0000-0000-000060630000}"/>
    <cellStyle name="Millares 3 2 3 2 5 2" xfId="25422" xr:uid="{00000000-0005-0000-0000-000061630000}"/>
    <cellStyle name="Millares 3 2 3 2 5 2 2" xfId="25423" xr:uid="{00000000-0005-0000-0000-000062630000}"/>
    <cellStyle name="Millares 3 2 3 2 5 3" xfId="25424" xr:uid="{00000000-0005-0000-0000-000063630000}"/>
    <cellStyle name="Millares 3 2 3 2 5 3 2" xfId="25425" xr:uid="{00000000-0005-0000-0000-000064630000}"/>
    <cellStyle name="Millares 3 2 3 2 5 4" xfId="25426" xr:uid="{00000000-0005-0000-0000-000065630000}"/>
    <cellStyle name="Millares 3 2 3 2 6" xfId="25427" xr:uid="{00000000-0005-0000-0000-000066630000}"/>
    <cellStyle name="Millares 3 2 3 2 6 2" xfId="25428" xr:uid="{00000000-0005-0000-0000-000067630000}"/>
    <cellStyle name="Millares 3 2 3 2 7" xfId="25429" xr:uid="{00000000-0005-0000-0000-000068630000}"/>
    <cellStyle name="Millares 3 2 3 2 7 2" xfId="25430" xr:uid="{00000000-0005-0000-0000-000069630000}"/>
    <cellStyle name="Millares 3 2 3 2 8" xfId="25431" xr:uid="{00000000-0005-0000-0000-00006A630000}"/>
    <cellStyle name="Millares 3 2 3 3" xfId="25432" xr:uid="{00000000-0005-0000-0000-00006B630000}"/>
    <cellStyle name="Millares 3 2 3 3 2" xfId="25433" xr:uid="{00000000-0005-0000-0000-00006C630000}"/>
    <cellStyle name="Millares 3 2 3 3 2 2" xfId="25434" xr:uid="{00000000-0005-0000-0000-00006D630000}"/>
    <cellStyle name="Millares 3 2 3 3 2 2 2" xfId="25435" xr:uid="{00000000-0005-0000-0000-00006E630000}"/>
    <cellStyle name="Millares 3 2 3 3 2 2 2 2" xfId="25436" xr:uid="{00000000-0005-0000-0000-00006F630000}"/>
    <cellStyle name="Millares 3 2 3 3 2 2 2 2 2" xfId="25437" xr:uid="{00000000-0005-0000-0000-000070630000}"/>
    <cellStyle name="Millares 3 2 3 3 2 2 2 3" xfId="25438" xr:uid="{00000000-0005-0000-0000-000071630000}"/>
    <cellStyle name="Millares 3 2 3 3 2 2 2 3 2" xfId="25439" xr:uid="{00000000-0005-0000-0000-000072630000}"/>
    <cellStyle name="Millares 3 2 3 3 2 2 2 4" xfId="25440" xr:uid="{00000000-0005-0000-0000-000073630000}"/>
    <cellStyle name="Millares 3 2 3 3 2 2 3" xfId="25441" xr:uid="{00000000-0005-0000-0000-000074630000}"/>
    <cellStyle name="Millares 3 2 3 3 2 2 3 2" xfId="25442" xr:uid="{00000000-0005-0000-0000-000075630000}"/>
    <cellStyle name="Millares 3 2 3 3 2 2 4" xfId="25443" xr:uid="{00000000-0005-0000-0000-000076630000}"/>
    <cellStyle name="Millares 3 2 3 3 2 2 4 2" xfId="25444" xr:uid="{00000000-0005-0000-0000-000077630000}"/>
    <cellStyle name="Millares 3 2 3 3 2 2 5" xfId="25445" xr:uid="{00000000-0005-0000-0000-000078630000}"/>
    <cellStyle name="Millares 3 2 3 3 2 3" xfId="25446" xr:uid="{00000000-0005-0000-0000-000079630000}"/>
    <cellStyle name="Millares 3 2 3 3 2 3 2" xfId="25447" xr:uid="{00000000-0005-0000-0000-00007A630000}"/>
    <cellStyle name="Millares 3 2 3 3 2 3 2 2" xfId="25448" xr:uid="{00000000-0005-0000-0000-00007B630000}"/>
    <cellStyle name="Millares 3 2 3 3 2 3 3" xfId="25449" xr:uid="{00000000-0005-0000-0000-00007C630000}"/>
    <cellStyle name="Millares 3 2 3 3 2 3 3 2" xfId="25450" xr:uid="{00000000-0005-0000-0000-00007D630000}"/>
    <cellStyle name="Millares 3 2 3 3 2 3 4" xfId="25451" xr:uid="{00000000-0005-0000-0000-00007E630000}"/>
    <cellStyle name="Millares 3 2 3 3 2 4" xfId="25452" xr:uid="{00000000-0005-0000-0000-00007F630000}"/>
    <cellStyle name="Millares 3 2 3 3 2 4 2" xfId="25453" xr:uid="{00000000-0005-0000-0000-000080630000}"/>
    <cellStyle name="Millares 3 2 3 3 2 5" xfId="25454" xr:uid="{00000000-0005-0000-0000-000081630000}"/>
    <cellStyle name="Millares 3 2 3 3 2 5 2" xfId="25455" xr:uid="{00000000-0005-0000-0000-000082630000}"/>
    <cellStyle name="Millares 3 2 3 3 2 6" xfId="25456" xr:uid="{00000000-0005-0000-0000-000083630000}"/>
    <cellStyle name="Millares 3 2 3 3 3" xfId="25457" xr:uid="{00000000-0005-0000-0000-000084630000}"/>
    <cellStyle name="Millares 3 2 3 3 3 2" xfId="25458" xr:uid="{00000000-0005-0000-0000-000085630000}"/>
    <cellStyle name="Millares 3 2 3 3 3 2 2" xfId="25459" xr:uid="{00000000-0005-0000-0000-000086630000}"/>
    <cellStyle name="Millares 3 2 3 3 3 2 2 2" xfId="25460" xr:uid="{00000000-0005-0000-0000-000087630000}"/>
    <cellStyle name="Millares 3 2 3 3 3 2 3" xfId="25461" xr:uid="{00000000-0005-0000-0000-000088630000}"/>
    <cellStyle name="Millares 3 2 3 3 3 2 3 2" xfId="25462" xr:uid="{00000000-0005-0000-0000-000089630000}"/>
    <cellStyle name="Millares 3 2 3 3 3 2 4" xfId="25463" xr:uid="{00000000-0005-0000-0000-00008A630000}"/>
    <cellStyle name="Millares 3 2 3 3 3 3" xfId="25464" xr:uid="{00000000-0005-0000-0000-00008B630000}"/>
    <cellStyle name="Millares 3 2 3 3 3 3 2" xfId="25465" xr:uid="{00000000-0005-0000-0000-00008C630000}"/>
    <cellStyle name="Millares 3 2 3 3 3 4" xfId="25466" xr:uid="{00000000-0005-0000-0000-00008D630000}"/>
    <cellStyle name="Millares 3 2 3 3 3 4 2" xfId="25467" xr:uid="{00000000-0005-0000-0000-00008E630000}"/>
    <cellStyle name="Millares 3 2 3 3 3 5" xfId="25468" xr:uid="{00000000-0005-0000-0000-00008F630000}"/>
    <cellStyle name="Millares 3 2 3 3 4" xfId="25469" xr:uid="{00000000-0005-0000-0000-000090630000}"/>
    <cellStyle name="Millares 3 2 3 3 4 2" xfId="25470" xr:uid="{00000000-0005-0000-0000-000091630000}"/>
    <cellStyle name="Millares 3 2 3 3 4 2 2" xfId="25471" xr:uid="{00000000-0005-0000-0000-000092630000}"/>
    <cellStyle name="Millares 3 2 3 3 4 3" xfId="25472" xr:uid="{00000000-0005-0000-0000-000093630000}"/>
    <cellStyle name="Millares 3 2 3 3 4 3 2" xfId="25473" xr:uid="{00000000-0005-0000-0000-000094630000}"/>
    <cellStyle name="Millares 3 2 3 3 4 4" xfId="25474" xr:uid="{00000000-0005-0000-0000-000095630000}"/>
    <cellStyle name="Millares 3 2 3 3 5" xfId="25475" xr:uid="{00000000-0005-0000-0000-000096630000}"/>
    <cellStyle name="Millares 3 2 3 3 5 2" xfId="25476" xr:uid="{00000000-0005-0000-0000-000097630000}"/>
    <cellStyle name="Millares 3 2 3 3 6" xfId="25477" xr:uid="{00000000-0005-0000-0000-000098630000}"/>
    <cellStyle name="Millares 3 2 3 3 6 2" xfId="25478" xr:uid="{00000000-0005-0000-0000-000099630000}"/>
    <cellStyle name="Millares 3 2 3 3 7" xfId="25479" xr:uid="{00000000-0005-0000-0000-00009A630000}"/>
    <cellStyle name="Millares 3 2 3 4" xfId="25480" xr:uid="{00000000-0005-0000-0000-00009B630000}"/>
    <cellStyle name="Millares 3 2 3 4 2" xfId="25481" xr:uid="{00000000-0005-0000-0000-00009C630000}"/>
    <cellStyle name="Millares 3 2 3 4 2 2" xfId="25482" xr:uid="{00000000-0005-0000-0000-00009D630000}"/>
    <cellStyle name="Millares 3 2 3 4 2 2 2" xfId="25483" xr:uid="{00000000-0005-0000-0000-00009E630000}"/>
    <cellStyle name="Millares 3 2 3 4 2 2 2 2" xfId="25484" xr:uid="{00000000-0005-0000-0000-00009F630000}"/>
    <cellStyle name="Millares 3 2 3 4 2 2 3" xfId="25485" xr:uid="{00000000-0005-0000-0000-0000A0630000}"/>
    <cellStyle name="Millares 3 2 3 4 2 2 3 2" xfId="25486" xr:uid="{00000000-0005-0000-0000-0000A1630000}"/>
    <cellStyle name="Millares 3 2 3 4 2 2 4" xfId="25487" xr:uid="{00000000-0005-0000-0000-0000A2630000}"/>
    <cellStyle name="Millares 3 2 3 4 2 3" xfId="25488" xr:uid="{00000000-0005-0000-0000-0000A3630000}"/>
    <cellStyle name="Millares 3 2 3 4 2 3 2" xfId="25489" xr:uid="{00000000-0005-0000-0000-0000A4630000}"/>
    <cellStyle name="Millares 3 2 3 4 2 4" xfId="25490" xr:uid="{00000000-0005-0000-0000-0000A5630000}"/>
    <cellStyle name="Millares 3 2 3 4 2 4 2" xfId="25491" xr:uid="{00000000-0005-0000-0000-0000A6630000}"/>
    <cellStyle name="Millares 3 2 3 4 2 5" xfId="25492" xr:uid="{00000000-0005-0000-0000-0000A7630000}"/>
    <cellStyle name="Millares 3 2 3 4 3" xfId="25493" xr:uid="{00000000-0005-0000-0000-0000A8630000}"/>
    <cellStyle name="Millares 3 2 3 4 3 2" xfId="25494" xr:uid="{00000000-0005-0000-0000-0000A9630000}"/>
    <cellStyle name="Millares 3 2 3 4 3 2 2" xfId="25495" xr:uid="{00000000-0005-0000-0000-0000AA630000}"/>
    <cellStyle name="Millares 3 2 3 4 3 3" xfId="25496" xr:uid="{00000000-0005-0000-0000-0000AB630000}"/>
    <cellStyle name="Millares 3 2 3 4 3 3 2" xfId="25497" xr:uid="{00000000-0005-0000-0000-0000AC630000}"/>
    <cellStyle name="Millares 3 2 3 4 3 4" xfId="25498" xr:uid="{00000000-0005-0000-0000-0000AD630000}"/>
    <cellStyle name="Millares 3 2 3 4 4" xfId="25499" xr:uid="{00000000-0005-0000-0000-0000AE630000}"/>
    <cellStyle name="Millares 3 2 3 4 4 2" xfId="25500" xr:uid="{00000000-0005-0000-0000-0000AF630000}"/>
    <cellStyle name="Millares 3 2 3 4 5" xfId="25501" xr:uid="{00000000-0005-0000-0000-0000B0630000}"/>
    <cellStyle name="Millares 3 2 3 4 5 2" xfId="25502" xr:uid="{00000000-0005-0000-0000-0000B1630000}"/>
    <cellStyle name="Millares 3 2 3 4 6" xfId="25503" xr:uid="{00000000-0005-0000-0000-0000B2630000}"/>
    <cellStyle name="Millares 3 2 3 5" xfId="25504" xr:uid="{00000000-0005-0000-0000-0000B3630000}"/>
    <cellStyle name="Millares 3 2 3 5 2" xfId="25505" xr:uid="{00000000-0005-0000-0000-0000B4630000}"/>
    <cellStyle name="Millares 3 2 3 5 2 2" xfId="25506" xr:uid="{00000000-0005-0000-0000-0000B5630000}"/>
    <cellStyle name="Millares 3 2 3 5 2 2 2" xfId="25507" xr:uid="{00000000-0005-0000-0000-0000B6630000}"/>
    <cellStyle name="Millares 3 2 3 5 2 3" xfId="25508" xr:uid="{00000000-0005-0000-0000-0000B7630000}"/>
    <cellStyle name="Millares 3 2 3 5 2 3 2" xfId="25509" xr:uid="{00000000-0005-0000-0000-0000B8630000}"/>
    <cellStyle name="Millares 3 2 3 5 2 4" xfId="25510" xr:uid="{00000000-0005-0000-0000-0000B9630000}"/>
    <cellStyle name="Millares 3 2 3 5 3" xfId="25511" xr:uid="{00000000-0005-0000-0000-0000BA630000}"/>
    <cellStyle name="Millares 3 2 3 5 3 2" xfId="25512" xr:uid="{00000000-0005-0000-0000-0000BB630000}"/>
    <cellStyle name="Millares 3 2 3 5 4" xfId="25513" xr:uid="{00000000-0005-0000-0000-0000BC630000}"/>
    <cellStyle name="Millares 3 2 3 5 4 2" xfId="25514" xr:uid="{00000000-0005-0000-0000-0000BD630000}"/>
    <cellStyle name="Millares 3 2 3 5 5" xfId="25515" xr:uid="{00000000-0005-0000-0000-0000BE630000}"/>
    <cellStyle name="Millares 3 2 3 6" xfId="25516" xr:uid="{00000000-0005-0000-0000-0000BF630000}"/>
    <cellStyle name="Millares 3 2 3 6 2" xfId="25517" xr:uid="{00000000-0005-0000-0000-0000C0630000}"/>
    <cellStyle name="Millares 3 2 3 6 2 2" xfId="25518" xr:uid="{00000000-0005-0000-0000-0000C1630000}"/>
    <cellStyle name="Millares 3 2 3 6 3" xfId="25519" xr:uid="{00000000-0005-0000-0000-0000C2630000}"/>
    <cellStyle name="Millares 3 2 3 6 3 2" xfId="25520" xr:uid="{00000000-0005-0000-0000-0000C3630000}"/>
    <cellStyle name="Millares 3 2 3 6 4" xfId="25521" xr:uid="{00000000-0005-0000-0000-0000C4630000}"/>
    <cellStyle name="Millares 3 2 3 7" xfId="25522" xr:uid="{00000000-0005-0000-0000-0000C5630000}"/>
    <cellStyle name="Millares 3 2 3 7 2" xfId="25523" xr:uid="{00000000-0005-0000-0000-0000C6630000}"/>
    <cellStyle name="Millares 3 2 3 8" xfId="25524" xr:uid="{00000000-0005-0000-0000-0000C7630000}"/>
    <cellStyle name="Millares 3 2 3 8 2" xfId="25525" xr:uid="{00000000-0005-0000-0000-0000C8630000}"/>
    <cellStyle name="Millares 3 2 3 9" xfId="25526" xr:uid="{00000000-0005-0000-0000-0000C9630000}"/>
    <cellStyle name="Millares 3 2 30" xfId="25527" xr:uid="{00000000-0005-0000-0000-0000CA630000}"/>
    <cellStyle name="Millares 3 2 31" xfId="25528" xr:uid="{00000000-0005-0000-0000-0000CB630000}"/>
    <cellStyle name="Millares 3 2 32" xfId="25529" xr:uid="{00000000-0005-0000-0000-0000CC630000}"/>
    <cellStyle name="Millares 3 2 33" xfId="25530" xr:uid="{00000000-0005-0000-0000-0000CD630000}"/>
    <cellStyle name="Millares 3 2 34" xfId="25531" xr:uid="{00000000-0005-0000-0000-0000CE630000}"/>
    <cellStyle name="Millares 3 2 35" xfId="25532" xr:uid="{00000000-0005-0000-0000-0000CF630000}"/>
    <cellStyle name="Millares 3 2 36" xfId="25533" xr:uid="{00000000-0005-0000-0000-0000D0630000}"/>
    <cellStyle name="Millares 3 2 37" xfId="25534" xr:uid="{00000000-0005-0000-0000-0000D1630000}"/>
    <cellStyle name="Millares 3 2 38" xfId="25535" xr:uid="{00000000-0005-0000-0000-0000D2630000}"/>
    <cellStyle name="Millares 3 2 39" xfId="25536" xr:uid="{00000000-0005-0000-0000-0000D3630000}"/>
    <cellStyle name="Millares 3 2 4" xfId="25537" xr:uid="{00000000-0005-0000-0000-0000D4630000}"/>
    <cellStyle name="Millares 3 2 4 2" xfId="25538" xr:uid="{00000000-0005-0000-0000-0000D5630000}"/>
    <cellStyle name="Millares 3 2 4 2 2" xfId="25539" xr:uid="{00000000-0005-0000-0000-0000D6630000}"/>
    <cellStyle name="Millares 3 2 4 2 2 2" xfId="25540" xr:uid="{00000000-0005-0000-0000-0000D7630000}"/>
    <cellStyle name="Millares 3 2 4 2 2 2 2" xfId="25541" xr:uid="{00000000-0005-0000-0000-0000D8630000}"/>
    <cellStyle name="Millares 3 2 4 2 2 2 2 2" xfId="25542" xr:uid="{00000000-0005-0000-0000-0000D9630000}"/>
    <cellStyle name="Millares 3 2 4 2 2 2 3" xfId="25543" xr:uid="{00000000-0005-0000-0000-0000DA630000}"/>
    <cellStyle name="Millares 3 2 4 2 2 2 3 2" xfId="25544" xr:uid="{00000000-0005-0000-0000-0000DB630000}"/>
    <cellStyle name="Millares 3 2 4 2 2 2 4" xfId="25545" xr:uid="{00000000-0005-0000-0000-0000DC630000}"/>
    <cellStyle name="Millares 3 2 4 2 2 3" xfId="25546" xr:uid="{00000000-0005-0000-0000-0000DD630000}"/>
    <cellStyle name="Millares 3 2 4 2 2 3 2" xfId="25547" xr:uid="{00000000-0005-0000-0000-0000DE630000}"/>
    <cellStyle name="Millares 3 2 4 2 2 4" xfId="25548" xr:uid="{00000000-0005-0000-0000-0000DF630000}"/>
    <cellStyle name="Millares 3 2 4 2 2 4 2" xfId="25549" xr:uid="{00000000-0005-0000-0000-0000E0630000}"/>
    <cellStyle name="Millares 3 2 4 2 2 5" xfId="25550" xr:uid="{00000000-0005-0000-0000-0000E1630000}"/>
    <cellStyle name="Millares 3 2 4 2 3" xfId="25551" xr:uid="{00000000-0005-0000-0000-0000E2630000}"/>
    <cellStyle name="Millares 3 2 4 2 3 2" xfId="25552" xr:uid="{00000000-0005-0000-0000-0000E3630000}"/>
    <cellStyle name="Millares 3 2 4 2 3 2 2" xfId="25553" xr:uid="{00000000-0005-0000-0000-0000E4630000}"/>
    <cellStyle name="Millares 3 2 4 2 3 3" xfId="25554" xr:uid="{00000000-0005-0000-0000-0000E5630000}"/>
    <cellStyle name="Millares 3 2 4 2 3 3 2" xfId="25555" xr:uid="{00000000-0005-0000-0000-0000E6630000}"/>
    <cellStyle name="Millares 3 2 4 2 3 4" xfId="25556" xr:uid="{00000000-0005-0000-0000-0000E7630000}"/>
    <cellStyle name="Millares 3 2 4 2 4" xfId="25557" xr:uid="{00000000-0005-0000-0000-0000E8630000}"/>
    <cellStyle name="Millares 3 2 4 2 4 2" xfId="25558" xr:uid="{00000000-0005-0000-0000-0000E9630000}"/>
    <cellStyle name="Millares 3 2 4 2 5" xfId="25559" xr:uid="{00000000-0005-0000-0000-0000EA630000}"/>
    <cellStyle name="Millares 3 2 4 2 5 2" xfId="25560" xr:uid="{00000000-0005-0000-0000-0000EB630000}"/>
    <cellStyle name="Millares 3 2 4 2 6" xfId="25561" xr:uid="{00000000-0005-0000-0000-0000EC630000}"/>
    <cellStyle name="Millares 3 2 4 3" xfId="25562" xr:uid="{00000000-0005-0000-0000-0000ED630000}"/>
    <cellStyle name="Millares 3 2 4 3 2" xfId="25563" xr:uid="{00000000-0005-0000-0000-0000EE630000}"/>
    <cellStyle name="Millares 3 2 4 3 2 2" xfId="25564" xr:uid="{00000000-0005-0000-0000-0000EF630000}"/>
    <cellStyle name="Millares 3 2 4 3 2 2 2" xfId="25565" xr:uid="{00000000-0005-0000-0000-0000F0630000}"/>
    <cellStyle name="Millares 3 2 4 3 2 3" xfId="25566" xr:uid="{00000000-0005-0000-0000-0000F1630000}"/>
    <cellStyle name="Millares 3 2 4 3 2 3 2" xfId="25567" xr:uid="{00000000-0005-0000-0000-0000F2630000}"/>
    <cellStyle name="Millares 3 2 4 3 2 4" xfId="25568" xr:uid="{00000000-0005-0000-0000-0000F3630000}"/>
    <cellStyle name="Millares 3 2 4 3 3" xfId="25569" xr:uid="{00000000-0005-0000-0000-0000F4630000}"/>
    <cellStyle name="Millares 3 2 4 3 3 2" xfId="25570" xr:uid="{00000000-0005-0000-0000-0000F5630000}"/>
    <cellStyle name="Millares 3 2 4 3 4" xfId="25571" xr:uid="{00000000-0005-0000-0000-0000F6630000}"/>
    <cellStyle name="Millares 3 2 4 3 4 2" xfId="25572" xr:uid="{00000000-0005-0000-0000-0000F7630000}"/>
    <cellStyle name="Millares 3 2 4 3 5" xfId="25573" xr:uid="{00000000-0005-0000-0000-0000F8630000}"/>
    <cellStyle name="Millares 3 2 4 4" xfId="25574" xr:uid="{00000000-0005-0000-0000-0000F9630000}"/>
    <cellStyle name="Millares 3 2 4 4 2" xfId="25575" xr:uid="{00000000-0005-0000-0000-0000FA630000}"/>
    <cellStyle name="Millares 3 2 4 4 2 2" xfId="25576" xr:uid="{00000000-0005-0000-0000-0000FB630000}"/>
    <cellStyle name="Millares 3 2 4 4 3" xfId="25577" xr:uid="{00000000-0005-0000-0000-0000FC630000}"/>
    <cellStyle name="Millares 3 2 4 4 3 2" xfId="25578" xr:uid="{00000000-0005-0000-0000-0000FD630000}"/>
    <cellStyle name="Millares 3 2 4 4 4" xfId="25579" xr:uid="{00000000-0005-0000-0000-0000FE630000}"/>
    <cellStyle name="Millares 3 2 4 5" xfId="25580" xr:uid="{00000000-0005-0000-0000-0000FF630000}"/>
    <cellStyle name="Millares 3 2 4 5 2" xfId="25581" xr:uid="{00000000-0005-0000-0000-000000640000}"/>
    <cellStyle name="Millares 3 2 4 6" xfId="25582" xr:uid="{00000000-0005-0000-0000-000001640000}"/>
    <cellStyle name="Millares 3 2 4 6 2" xfId="25583" xr:uid="{00000000-0005-0000-0000-000002640000}"/>
    <cellStyle name="Millares 3 2 4 7" xfId="25584" xr:uid="{00000000-0005-0000-0000-000003640000}"/>
    <cellStyle name="Millares 3 2 40" xfId="25585" xr:uid="{00000000-0005-0000-0000-000004640000}"/>
    <cellStyle name="Millares 3 2 5" xfId="25586" xr:uid="{00000000-0005-0000-0000-000005640000}"/>
    <cellStyle name="Millares 3 2 5 2" xfId="25587" xr:uid="{00000000-0005-0000-0000-000006640000}"/>
    <cellStyle name="Millares 3 2 5 2 2" xfId="25588" xr:uid="{00000000-0005-0000-0000-000007640000}"/>
    <cellStyle name="Millares 3 2 5 2 2 2" xfId="25589" xr:uid="{00000000-0005-0000-0000-000008640000}"/>
    <cellStyle name="Millares 3 2 5 2 2 2 2" xfId="25590" xr:uid="{00000000-0005-0000-0000-000009640000}"/>
    <cellStyle name="Millares 3 2 5 2 2 3" xfId="25591" xr:uid="{00000000-0005-0000-0000-00000A640000}"/>
    <cellStyle name="Millares 3 2 5 2 2 3 2" xfId="25592" xr:uid="{00000000-0005-0000-0000-00000B640000}"/>
    <cellStyle name="Millares 3 2 5 2 2 4" xfId="25593" xr:uid="{00000000-0005-0000-0000-00000C640000}"/>
    <cellStyle name="Millares 3 2 5 2 3" xfId="25594" xr:uid="{00000000-0005-0000-0000-00000D640000}"/>
    <cellStyle name="Millares 3 2 5 2 3 2" xfId="25595" xr:uid="{00000000-0005-0000-0000-00000E640000}"/>
    <cellStyle name="Millares 3 2 5 2 4" xfId="25596" xr:uid="{00000000-0005-0000-0000-00000F640000}"/>
    <cellStyle name="Millares 3 2 5 2 4 2" xfId="25597" xr:uid="{00000000-0005-0000-0000-000010640000}"/>
    <cellStyle name="Millares 3 2 5 2 5" xfId="25598" xr:uid="{00000000-0005-0000-0000-000011640000}"/>
    <cellStyle name="Millares 3 2 5 3" xfId="25599" xr:uid="{00000000-0005-0000-0000-000012640000}"/>
    <cellStyle name="Millares 3 2 5 3 2" xfId="25600" xr:uid="{00000000-0005-0000-0000-000013640000}"/>
    <cellStyle name="Millares 3 2 5 3 2 2" xfId="25601" xr:uid="{00000000-0005-0000-0000-000014640000}"/>
    <cellStyle name="Millares 3 2 5 3 3" xfId="25602" xr:uid="{00000000-0005-0000-0000-000015640000}"/>
    <cellStyle name="Millares 3 2 5 3 3 2" xfId="25603" xr:uid="{00000000-0005-0000-0000-000016640000}"/>
    <cellStyle name="Millares 3 2 5 3 4" xfId="25604" xr:uid="{00000000-0005-0000-0000-000017640000}"/>
    <cellStyle name="Millares 3 2 5 4" xfId="25605" xr:uid="{00000000-0005-0000-0000-000018640000}"/>
    <cellStyle name="Millares 3 2 5 4 2" xfId="25606" xr:uid="{00000000-0005-0000-0000-000019640000}"/>
    <cellStyle name="Millares 3 2 5 5" xfId="25607" xr:uid="{00000000-0005-0000-0000-00001A640000}"/>
    <cellStyle name="Millares 3 2 5 5 2" xfId="25608" xr:uid="{00000000-0005-0000-0000-00001B640000}"/>
    <cellStyle name="Millares 3 2 5 6" xfId="25609" xr:uid="{00000000-0005-0000-0000-00001C640000}"/>
    <cellStyle name="Millares 3 2 6" xfId="25610" xr:uid="{00000000-0005-0000-0000-00001D640000}"/>
    <cellStyle name="Millares 3 2 6 2" xfId="25611" xr:uid="{00000000-0005-0000-0000-00001E640000}"/>
    <cellStyle name="Millares 3 2 6 2 2" xfId="25612" xr:uid="{00000000-0005-0000-0000-00001F640000}"/>
    <cellStyle name="Millares 3 2 6 2 2 2" xfId="25613" xr:uid="{00000000-0005-0000-0000-000020640000}"/>
    <cellStyle name="Millares 3 2 6 2 3" xfId="25614" xr:uid="{00000000-0005-0000-0000-000021640000}"/>
    <cellStyle name="Millares 3 2 6 2 3 2" xfId="25615" xr:uid="{00000000-0005-0000-0000-000022640000}"/>
    <cellStyle name="Millares 3 2 6 2 4" xfId="25616" xr:uid="{00000000-0005-0000-0000-000023640000}"/>
    <cellStyle name="Millares 3 2 6 3" xfId="25617" xr:uid="{00000000-0005-0000-0000-000024640000}"/>
    <cellStyle name="Millares 3 2 6 3 2" xfId="25618" xr:uid="{00000000-0005-0000-0000-000025640000}"/>
    <cellStyle name="Millares 3 2 6 4" xfId="25619" xr:uid="{00000000-0005-0000-0000-000026640000}"/>
    <cellStyle name="Millares 3 2 6 4 2" xfId="25620" xr:uid="{00000000-0005-0000-0000-000027640000}"/>
    <cellStyle name="Millares 3 2 6 5" xfId="25621" xr:uid="{00000000-0005-0000-0000-000028640000}"/>
    <cellStyle name="Millares 3 2 7" xfId="25622" xr:uid="{00000000-0005-0000-0000-000029640000}"/>
    <cellStyle name="Millares 3 2 7 2" xfId="25623" xr:uid="{00000000-0005-0000-0000-00002A640000}"/>
    <cellStyle name="Millares 3 2 7 2 2" xfId="25624" xr:uid="{00000000-0005-0000-0000-00002B640000}"/>
    <cellStyle name="Millares 3 2 7 3" xfId="25625" xr:uid="{00000000-0005-0000-0000-00002C640000}"/>
    <cellStyle name="Millares 3 2 7 3 2" xfId="25626" xr:uid="{00000000-0005-0000-0000-00002D640000}"/>
    <cellStyle name="Millares 3 2 7 4" xfId="25627" xr:uid="{00000000-0005-0000-0000-00002E640000}"/>
    <cellStyle name="Millares 3 2 8" xfId="25628" xr:uid="{00000000-0005-0000-0000-00002F640000}"/>
    <cellStyle name="Millares 3 2 8 2" xfId="25629" xr:uid="{00000000-0005-0000-0000-000030640000}"/>
    <cellStyle name="Millares 3 2 9" xfId="25630" xr:uid="{00000000-0005-0000-0000-000031640000}"/>
    <cellStyle name="Millares 3 2 9 2" xfId="25631" xr:uid="{00000000-0005-0000-0000-000032640000}"/>
    <cellStyle name="Millares 3 20" xfId="25632" xr:uid="{00000000-0005-0000-0000-000033640000}"/>
    <cellStyle name="Millares 3 21" xfId="25633" xr:uid="{00000000-0005-0000-0000-000034640000}"/>
    <cellStyle name="Millares 3 22" xfId="25634" xr:uid="{00000000-0005-0000-0000-000035640000}"/>
    <cellStyle name="Millares 3 23" xfId="25635" xr:uid="{00000000-0005-0000-0000-000036640000}"/>
    <cellStyle name="Millares 3 24" xfId="25636" xr:uid="{00000000-0005-0000-0000-000037640000}"/>
    <cellStyle name="Millares 3 25" xfId="25637" xr:uid="{00000000-0005-0000-0000-000038640000}"/>
    <cellStyle name="Millares 3 26" xfId="25638" xr:uid="{00000000-0005-0000-0000-000039640000}"/>
    <cellStyle name="Millares 3 27" xfId="25639" xr:uid="{00000000-0005-0000-0000-00003A640000}"/>
    <cellStyle name="Millares 3 28" xfId="25640" xr:uid="{00000000-0005-0000-0000-00003B640000}"/>
    <cellStyle name="Millares 3 29" xfId="25641" xr:uid="{00000000-0005-0000-0000-00003C640000}"/>
    <cellStyle name="Millares 3 3" xfId="25642" xr:uid="{00000000-0005-0000-0000-00003D640000}"/>
    <cellStyle name="Millares 3 3 2" xfId="25643" xr:uid="{00000000-0005-0000-0000-00003E640000}"/>
    <cellStyle name="Millares 3 3 2 2" xfId="25644" xr:uid="{00000000-0005-0000-0000-00003F640000}"/>
    <cellStyle name="Millares 3 3 2 2 2" xfId="25645" xr:uid="{00000000-0005-0000-0000-000040640000}"/>
    <cellStyle name="Millares 3 3 2 2 2 10" xfId="25646" xr:uid="{00000000-0005-0000-0000-000041640000}"/>
    <cellStyle name="Millares 3 3 2 2 2 2" xfId="25647" xr:uid="{00000000-0005-0000-0000-000042640000}"/>
    <cellStyle name="Millares 3 3 2 2 2 2 2" xfId="25648" xr:uid="{00000000-0005-0000-0000-000043640000}"/>
    <cellStyle name="Millares 3 3 2 2 2 2 2 2" xfId="25649" xr:uid="{00000000-0005-0000-0000-000044640000}"/>
    <cellStyle name="Millares 3 3 2 2 2 2 2 2 2" xfId="25650" xr:uid="{00000000-0005-0000-0000-000045640000}"/>
    <cellStyle name="Millares 3 3 2 2 2 2 2 2 2 2" xfId="25651" xr:uid="{00000000-0005-0000-0000-000046640000}"/>
    <cellStyle name="Millares 3 3 2 2 2 2 2 2 2 2 2" xfId="25652" xr:uid="{00000000-0005-0000-0000-000047640000}"/>
    <cellStyle name="Millares 3 3 2 2 2 2 2 2 2 2 2 2" xfId="25653" xr:uid="{00000000-0005-0000-0000-000048640000}"/>
    <cellStyle name="Millares 3 3 2 2 2 2 2 2 2 2 3" xfId="25654" xr:uid="{00000000-0005-0000-0000-000049640000}"/>
    <cellStyle name="Millares 3 3 2 2 2 2 2 2 2 2 3 2" xfId="25655" xr:uid="{00000000-0005-0000-0000-00004A640000}"/>
    <cellStyle name="Millares 3 3 2 2 2 2 2 2 2 2 4" xfId="25656" xr:uid="{00000000-0005-0000-0000-00004B640000}"/>
    <cellStyle name="Millares 3 3 2 2 2 2 2 2 2 3" xfId="25657" xr:uid="{00000000-0005-0000-0000-00004C640000}"/>
    <cellStyle name="Millares 3 3 2 2 2 2 2 2 2 3 2" xfId="25658" xr:uid="{00000000-0005-0000-0000-00004D640000}"/>
    <cellStyle name="Millares 3 3 2 2 2 2 2 2 2 4" xfId="25659" xr:uid="{00000000-0005-0000-0000-00004E640000}"/>
    <cellStyle name="Millares 3 3 2 2 2 2 2 2 2 4 2" xfId="25660" xr:uid="{00000000-0005-0000-0000-00004F640000}"/>
    <cellStyle name="Millares 3 3 2 2 2 2 2 2 2 5" xfId="25661" xr:uid="{00000000-0005-0000-0000-000050640000}"/>
    <cellStyle name="Millares 3 3 2 2 2 2 2 2 3" xfId="25662" xr:uid="{00000000-0005-0000-0000-000051640000}"/>
    <cellStyle name="Millares 3 3 2 2 2 2 2 2 3 2" xfId="25663" xr:uid="{00000000-0005-0000-0000-000052640000}"/>
    <cellStyle name="Millares 3 3 2 2 2 2 2 2 3 2 2" xfId="25664" xr:uid="{00000000-0005-0000-0000-000053640000}"/>
    <cellStyle name="Millares 3 3 2 2 2 2 2 2 3 3" xfId="25665" xr:uid="{00000000-0005-0000-0000-000054640000}"/>
    <cellStyle name="Millares 3 3 2 2 2 2 2 2 3 3 2" xfId="25666" xr:uid="{00000000-0005-0000-0000-000055640000}"/>
    <cellStyle name="Millares 3 3 2 2 2 2 2 2 3 4" xfId="25667" xr:uid="{00000000-0005-0000-0000-000056640000}"/>
    <cellStyle name="Millares 3 3 2 2 2 2 2 2 4" xfId="25668" xr:uid="{00000000-0005-0000-0000-000057640000}"/>
    <cellStyle name="Millares 3 3 2 2 2 2 2 2 4 2" xfId="25669" xr:uid="{00000000-0005-0000-0000-000058640000}"/>
    <cellStyle name="Millares 3 3 2 2 2 2 2 2 5" xfId="25670" xr:uid="{00000000-0005-0000-0000-000059640000}"/>
    <cellStyle name="Millares 3 3 2 2 2 2 2 2 5 2" xfId="25671" xr:uid="{00000000-0005-0000-0000-00005A640000}"/>
    <cellStyle name="Millares 3 3 2 2 2 2 2 2 6" xfId="25672" xr:uid="{00000000-0005-0000-0000-00005B640000}"/>
    <cellStyle name="Millares 3 3 2 2 2 2 2 3" xfId="25673" xr:uid="{00000000-0005-0000-0000-00005C640000}"/>
    <cellStyle name="Millares 3 3 2 2 2 2 2 3 2" xfId="25674" xr:uid="{00000000-0005-0000-0000-00005D640000}"/>
    <cellStyle name="Millares 3 3 2 2 2 2 2 3 2 2" xfId="25675" xr:uid="{00000000-0005-0000-0000-00005E640000}"/>
    <cellStyle name="Millares 3 3 2 2 2 2 2 3 2 2 2" xfId="25676" xr:uid="{00000000-0005-0000-0000-00005F640000}"/>
    <cellStyle name="Millares 3 3 2 2 2 2 2 3 2 3" xfId="25677" xr:uid="{00000000-0005-0000-0000-000060640000}"/>
    <cellStyle name="Millares 3 3 2 2 2 2 2 3 2 3 2" xfId="25678" xr:uid="{00000000-0005-0000-0000-000061640000}"/>
    <cellStyle name="Millares 3 3 2 2 2 2 2 3 2 4" xfId="25679" xr:uid="{00000000-0005-0000-0000-000062640000}"/>
    <cellStyle name="Millares 3 3 2 2 2 2 2 3 3" xfId="25680" xr:uid="{00000000-0005-0000-0000-000063640000}"/>
    <cellStyle name="Millares 3 3 2 2 2 2 2 3 3 2" xfId="25681" xr:uid="{00000000-0005-0000-0000-000064640000}"/>
    <cellStyle name="Millares 3 3 2 2 2 2 2 3 4" xfId="25682" xr:uid="{00000000-0005-0000-0000-000065640000}"/>
    <cellStyle name="Millares 3 3 2 2 2 2 2 3 4 2" xfId="25683" xr:uid="{00000000-0005-0000-0000-000066640000}"/>
    <cellStyle name="Millares 3 3 2 2 2 2 2 3 5" xfId="25684" xr:uid="{00000000-0005-0000-0000-000067640000}"/>
    <cellStyle name="Millares 3 3 2 2 2 2 2 4" xfId="25685" xr:uid="{00000000-0005-0000-0000-000068640000}"/>
    <cellStyle name="Millares 3 3 2 2 2 2 2 4 2" xfId="25686" xr:uid="{00000000-0005-0000-0000-000069640000}"/>
    <cellStyle name="Millares 3 3 2 2 2 2 2 4 2 2" xfId="25687" xr:uid="{00000000-0005-0000-0000-00006A640000}"/>
    <cellStyle name="Millares 3 3 2 2 2 2 2 4 3" xfId="25688" xr:uid="{00000000-0005-0000-0000-00006B640000}"/>
    <cellStyle name="Millares 3 3 2 2 2 2 2 4 3 2" xfId="25689" xr:uid="{00000000-0005-0000-0000-00006C640000}"/>
    <cellStyle name="Millares 3 3 2 2 2 2 2 4 4" xfId="25690" xr:uid="{00000000-0005-0000-0000-00006D640000}"/>
    <cellStyle name="Millares 3 3 2 2 2 2 2 5" xfId="25691" xr:uid="{00000000-0005-0000-0000-00006E640000}"/>
    <cellStyle name="Millares 3 3 2 2 2 2 2 5 2" xfId="25692" xr:uid="{00000000-0005-0000-0000-00006F640000}"/>
    <cellStyle name="Millares 3 3 2 2 2 2 2 6" xfId="25693" xr:uid="{00000000-0005-0000-0000-000070640000}"/>
    <cellStyle name="Millares 3 3 2 2 2 2 2 6 2" xfId="25694" xr:uid="{00000000-0005-0000-0000-000071640000}"/>
    <cellStyle name="Millares 3 3 2 2 2 2 2 7" xfId="25695" xr:uid="{00000000-0005-0000-0000-000072640000}"/>
    <cellStyle name="Millares 3 3 2 2 2 2 3" xfId="25696" xr:uid="{00000000-0005-0000-0000-000073640000}"/>
    <cellStyle name="Millares 3 3 2 2 2 2 3 2" xfId="25697" xr:uid="{00000000-0005-0000-0000-000074640000}"/>
    <cellStyle name="Millares 3 3 2 2 2 2 3 2 2" xfId="25698" xr:uid="{00000000-0005-0000-0000-000075640000}"/>
    <cellStyle name="Millares 3 3 2 2 2 2 3 2 2 2" xfId="25699" xr:uid="{00000000-0005-0000-0000-000076640000}"/>
    <cellStyle name="Millares 3 3 2 2 2 2 3 2 2 2 2" xfId="25700" xr:uid="{00000000-0005-0000-0000-000077640000}"/>
    <cellStyle name="Millares 3 3 2 2 2 2 3 2 2 3" xfId="25701" xr:uid="{00000000-0005-0000-0000-000078640000}"/>
    <cellStyle name="Millares 3 3 2 2 2 2 3 2 2 3 2" xfId="25702" xr:uid="{00000000-0005-0000-0000-000079640000}"/>
    <cellStyle name="Millares 3 3 2 2 2 2 3 2 2 4" xfId="25703" xr:uid="{00000000-0005-0000-0000-00007A640000}"/>
    <cellStyle name="Millares 3 3 2 2 2 2 3 2 3" xfId="25704" xr:uid="{00000000-0005-0000-0000-00007B640000}"/>
    <cellStyle name="Millares 3 3 2 2 2 2 3 2 3 2" xfId="25705" xr:uid="{00000000-0005-0000-0000-00007C640000}"/>
    <cellStyle name="Millares 3 3 2 2 2 2 3 2 4" xfId="25706" xr:uid="{00000000-0005-0000-0000-00007D640000}"/>
    <cellStyle name="Millares 3 3 2 2 2 2 3 2 4 2" xfId="25707" xr:uid="{00000000-0005-0000-0000-00007E640000}"/>
    <cellStyle name="Millares 3 3 2 2 2 2 3 2 5" xfId="25708" xr:uid="{00000000-0005-0000-0000-00007F640000}"/>
    <cellStyle name="Millares 3 3 2 2 2 2 3 3" xfId="25709" xr:uid="{00000000-0005-0000-0000-000080640000}"/>
    <cellStyle name="Millares 3 3 2 2 2 2 3 3 2" xfId="25710" xr:uid="{00000000-0005-0000-0000-000081640000}"/>
    <cellStyle name="Millares 3 3 2 2 2 2 3 3 2 2" xfId="25711" xr:uid="{00000000-0005-0000-0000-000082640000}"/>
    <cellStyle name="Millares 3 3 2 2 2 2 3 3 3" xfId="25712" xr:uid="{00000000-0005-0000-0000-000083640000}"/>
    <cellStyle name="Millares 3 3 2 2 2 2 3 3 3 2" xfId="25713" xr:uid="{00000000-0005-0000-0000-000084640000}"/>
    <cellStyle name="Millares 3 3 2 2 2 2 3 3 4" xfId="25714" xr:uid="{00000000-0005-0000-0000-000085640000}"/>
    <cellStyle name="Millares 3 3 2 2 2 2 3 4" xfId="25715" xr:uid="{00000000-0005-0000-0000-000086640000}"/>
    <cellStyle name="Millares 3 3 2 2 2 2 3 4 2" xfId="25716" xr:uid="{00000000-0005-0000-0000-000087640000}"/>
    <cellStyle name="Millares 3 3 2 2 2 2 3 5" xfId="25717" xr:uid="{00000000-0005-0000-0000-000088640000}"/>
    <cellStyle name="Millares 3 3 2 2 2 2 3 5 2" xfId="25718" xr:uid="{00000000-0005-0000-0000-000089640000}"/>
    <cellStyle name="Millares 3 3 2 2 2 2 3 6" xfId="25719" xr:uid="{00000000-0005-0000-0000-00008A640000}"/>
    <cellStyle name="Millares 3 3 2 2 2 2 4" xfId="25720" xr:uid="{00000000-0005-0000-0000-00008B640000}"/>
    <cellStyle name="Millares 3 3 2 2 2 2 4 2" xfId="25721" xr:uid="{00000000-0005-0000-0000-00008C640000}"/>
    <cellStyle name="Millares 3 3 2 2 2 2 4 2 2" xfId="25722" xr:uid="{00000000-0005-0000-0000-00008D640000}"/>
    <cellStyle name="Millares 3 3 2 2 2 2 4 2 2 2" xfId="25723" xr:uid="{00000000-0005-0000-0000-00008E640000}"/>
    <cellStyle name="Millares 3 3 2 2 2 2 4 2 3" xfId="25724" xr:uid="{00000000-0005-0000-0000-00008F640000}"/>
    <cellStyle name="Millares 3 3 2 2 2 2 4 2 3 2" xfId="25725" xr:uid="{00000000-0005-0000-0000-000090640000}"/>
    <cellStyle name="Millares 3 3 2 2 2 2 4 2 4" xfId="25726" xr:uid="{00000000-0005-0000-0000-000091640000}"/>
    <cellStyle name="Millares 3 3 2 2 2 2 4 3" xfId="25727" xr:uid="{00000000-0005-0000-0000-000092640000}"/>
    <cellStyle name="Millares 3 3 2 2 2 2 4 3 2" xfId="25728" xr:uid="{00000000-0005-0000-0000-000093640000}"/>
    <cellStyle name="Millares 3 3 2 2 2 2 4 4" xfId="25729" xr:uid="{00000000-0005-0000-0000-000094640000}"/>
    <cellStyle name="Millares 3 3 2 2 2 2 4 4 2" xfId="25730" xr:uid="{00000000-0005-0000-0000-000095640000}"/>
    <cellStyle name="Millares 3 3 2 2 2 2 4 5" xfId="25731" xr:uid="{00000000-0005-0000-0000-000096640000}"/>
    <cellStyle name="Millares 3 3 2 2 2 2 5" xfId="25732" xr:uid="{00000000-0005-0000-0000-000097640000}"/>
    <cellStyle name="Millares 3 3 2 2 2 2 5 2" xfId="25733" xr:uid="{00000000-0005-0000-0000-000098640000}"/>
    <cellStyle name="Millares 3 3 2 2 2 2 5 2 2" xfId="25734" xr:uid="{00000000-0005-0000-0000-000099640000}"/>
    <cellStyle name="Millares 3 3 2 2 2 2 5 3" xfId="25735" xr:uid="{00000000-0005-0000-0000-00009A640000}"/>
    <cellStyle name="Millares 3 3 2 2 2 2 5 3 2" xfId="25736" xr:uid="{00000000-0005-0000-0000-00009B640000}"/>
    <cellStyle name="Millares 3 3 2 2 2 2 5 4" xfId="25737" xr:uid="{00000000-0005-0000-0000-00009C640000}"/>
    <cellStyle name="Millares 3 3 2 2 2 2 6" xfId="25738" xr:uid="{00000000-0005-0000-0000-00009D640000}"/>
    <cellStyle name="Millares 3 3 2 2 2 2 6 2" xfId="25739" xr:uid="{00000000-0005-0000-0000-00009E640000}"/>
    <cellStyle name="Millares 3 3 2 2 2 2 7" xfId="25740" xr:uid="{00000000-0005-0000-0000-00009F640000}"/>
    <cellStyle name="Millares 3 3 2 2 2 2 7 2" xfId="25741" xr:uid="{00000000-0005-0000-0000-0000A0640000}"/>
    <cellStyle name="Millares 3 3 2 2 2 2 8" xfId="25742" xr:uid="{00000000-0005-0000-0000-0000A1640000}"/>
    <cellStyle name="Millares 3 3 2 2 2 3" xfId="25743" xr:uid="{00000000-0005-0000-0000-0000A2640000}"/>
    <cellStyle name="Millares 3 3 2 2 2 3 2" xfId="25744" xr:uid="{00000000-0005-0000-0000-0000A3640000}"/>
    <cellStyle name="Millares 3 3 2 2 2 3 2 2" xfId="25745" xr:uid="{00000000-0005-0000-0000-0000A4640000}"/>
    <cellStyle name="Millares 3 3 2 2 2 3 2 2 2" xfId="25746" xr:uid="{00000000-0005-0000-0000-0000A5640000}"/>
    <cellStyle name="Millares 3 3 2 2 2 3 2 2 2 2" xfId="25747" xr:uid="{00000000-0005-0000-0000-0000A6640000}"/>
    <cellStyle name="Millares 3 3 2 2 2 3 2 2 2 2 2" xfId="25748" xr:uid="{00000000-0005-0000-0000-0000A7640000}"/>
    <cellStyle name="Millares 3 3 2 2 2 3 2 2 2 2 2 2" xfId="25749" xr:uid="{00000000-0005-0000-0000-0000A8640000}"/>
    <cellStyle name="Millares 3 3 2 2 2 3 2 2 2 2 2 2 2" xfId="25750" xr:uid="{00000000-0005-0000-0000-0000A9640000}"/>
    <cellStyle name="Millares 3 3 2 2 2 3 2 2 2 2 2 2 2 2" xfId="25751" xr:uid="{00000000-0005-0000-0000-0000AA640000}"/>
    <cellStyle name="Millares 3 3 2 2 2 3 2 2 2 2 2 2 3" xfId="25752" xr:uid="{00000000-0005-0000-0000-0000AB640000}"/>
    <cellStyle name="Millares 3 3 2 2 2 3 2 2 2 2 2 2 3 2" xfId="25753" xr:uid="{00000000-0005-0000-0000-0000AC640000}"/>
    <cellStyle name="Millares 3 3 2 2 2 3 2 2 2 2 2 2 4" xfId="25754" xr:uid="{00000000-0005-0000-0000-0000AD640000}"/>
    <cellStyle name="Millares 3 3 2 2 2 3 2 2 2 2 2 3" xfId="25755" xr:uid="{00000000-0005-0000-0000-0000AE640000}"/>
    <cellStyle name="Millares 3 3 2 2 2 3 2 2 2 2 2 3 2" xfId="25756" xr:uid="{00000000-0005-0000-0000-0000AF640000}"/>
    <cellStyle name="Millares 3 3 2 2 2 3 2 2 2 2 2 4" xfId="25757" xr:uid="{00000000-0005-0000-0000-0000B0640000}"/>
    <cellStyle name="Millares 3 3 2 2 2 3 2 2 2 2 2 4 2" xfId="25758" xr:uid="{00000000-0005-0000-0000-0000B1640000}"/>
    <cellStyle name="Millares 3 3 2 2 2 3 2 2 2 2 2 5" xfId="25759" xr:uid="{00000000-0005-0000-0000-0000B2640000}"/>
    <cellStyle name="Millares 3 3 2 2 2 3 2 2 2 2 3" xfId="25760" xr:uid="{00000000-0005-0000-0000-0000B3640000}"/>
    <cellStyle name="Millares 3 3 2 2 2 3 2 2 2 2 3 2" xfId="25761" xr:uid="{00000000-0005-0000-0000-0000B4640000}"/>
    <cellStyle name="Millares 3 3 2 2 2 3 2 2 2 2 3 2 2" xfId="25762" xr:uid="{00000000-0005-0000-0000-0000B5640000}"/>
    <cellStyle name="Millares 3 3 2 2 2 3 2 2 2 2 3 3" xfId="25763" xr:uid="{00000000-0005-0000-0000-0000B6640000}"/>
    <cellStyle name="Millares 3 3 2 2 2 3 2 2 2 2 3 3 2" xfId="25764" xr:uid="{00000000-0005-0000-0000-0000B7640000}"/>
    <cellStyle name="Millares 3 3 2 2 2 3 2 2 2 2 3 4" xfId="25765" xr:uid="{00000000-0005-0000-0000-0000B8640000}"/>
    <cellStyle name="Millares 3 3 2 2 2 3 2 2 2 2 4" xfId="25766" xr:uid="{00000000-0005-0000-0000-0000B9640000}"/>
    <cellStyle name="Millares 3 3 2 2 2 3 2 2 2 2 4 2" xfId="25767" xr:uid="{00000000-0005-0000-0000-0000BA640000}"/>
    <cellStyle name="Millares 3 3 2 2 2 3 2 2 2 2 5" xfId="25768" xr:uid="{00000000-0005-0000-0000-0000BB640000}"/>
    <cellStyle name="Millares 3 3 2 2 2 3 2 2 2 2 5 2" xfId="25769" xr:uid="{00000000-0005-0000-0000-0000BC640000}"/>
    <cellStyle name="Millares 3 3 2 2 2 3 2 2 2 2 6" xfId="25770" xr:uid="{00000000-0005-0000-0000-0000BD640000}"/>
    <cellStyle name="Millares 3 3 2 2 2 3 2 2 2 3" xfId="25771" xr:uid="{00000000-0005-0000-0000-0000BE640000}"/>
    <cellStyle name="Millares 3 3 2 2 2 3 2 2 2 3 2" xfId="25772" xr:uid="{00000000-0005-0000-0000-0000BF640000}"/>
    <cellStyle name="Millares 3 3 2 2 2 3 2 2 2 3 2 2" xfId="25773" xr:uid="{00000000-0005-0000-0000-0000C0640000}"/>
    <cellStyle name="Millares 3 3 2 2 2 3 2 2 2 3 2 2 2" xfId="25774" xr:uid="{00000000-0005-0000-0000-0000C1640000}"/>
    <cellStyle name="Millares 3 3 2 2 2 3 2 2 2 3 2 3" xfId="25775" xr:uid="{00000000-0005-0000-0000-0000C2640000}"/>
    <cellStyle name="Millares 3 3 2 2 2 3 2 2 2 3 2 3 2" xfId="25776" xr:uid="{00000000-0005-0000-0000-0000C3640000}"/>
    <cellStyle name="Millares 3 3 2 2 2 3 2 2 2 3 2 4" xfId="25777" xr:uid="{00000000-0005-0000-0000-0000C4640000}"/>
    <cellStyle name="Millares 3 3 2 2 2 3 2 2 2 3 3" xfId="25778" xr:uid="{00000000-0005-0000-0000-0000C5640000}"/>
    <cellStyle name="Millares 3 3 2 2 2 3 2 2 2 3 3 2" xfId="25779" xr:uid="{00000000-0005-0000-0000-0000C6640000}"/>
    <cellStyle name="Millares 3 3 2 2 2 3 2 2 2 3 4" xfId="25780" xr:uid="{00000000-0005-0000-0000-0000C7640000}"/>
    <cellStyle name="Millares 3 3 2 2 2 3 2 2 2 3 4 2" xfId="25781" xr:uid="{00000000-0005-0000-0000-0000C8640000}"/>
    <cellStyle name="Millares 3 3 2 2 2 3 2 2 2 3 5" xfId="25782" xr:uid="{00000000-0005-0000-0000-0000C9640000}"/>
    <cellStyle name="Millares 3 3 2 2 2 3 2 2 2 4" xfId="25783" xr:uid="{00000000-0005-0000-0000-0000CA640000}"/>
    <cellStyle name="Millares 3 3 2 2 2 3 2 2 2 4 2" xfId="25784" xr:uid="{00000000-0005-0000-0000-0000CB640000}"/>
    <cellStyle name="Millares 3 3 2 2 2 3 2 2 2 4 2 2" xfId="25785" xr:uid="{00000000-0005-0000-0000-0000CC640000}"/>
    <cellStyle name="Millares 3 3 2 2 2 3 2 2 2 4 3" xfId="25786" xr:uid="{00000000-0005-0000-0000-0000CD640000}"/>
    <cellStyle name="Millares 3 3 2 2 2 3 2 2 2 4 3 2" xfId="25787" xr:uid="{00000000-0005-0000-0000-0000CE640000}"/>
    <cellStyle name="Millares 3 3 2 2 2 3 2 2 2 4 4" xfId="25788" xr:uid="{00000000-0005-0000-0000-0000CF640000}"/>
    <cellStyle name="Millares 3 3 2 2 2 3 2 2 2 5" xfId="25789" xr:uid="{00000000-0005-0000-0000-0000D0640000}"/>
    <cellStyle name="Millares 3 3 2 2 2 3 2 2 2 5 2" xfId="25790" xr:uid="{00000000-0005-0000-0000-0000D1640000}"/>
    <cellStyle name="Millares 3 3 2 2 2 3 2 2 2 6" xfId="25791" xr:uid="{00000000-0005-0000-0000-0000D2640000}"/>
    <cellStyle name="Millares 3 3 2 2 2 3 2 2 2 6 2" xfId="25792" xr:uid="{00000000-0005-0000-0000-0000D3640000}"/>
    <cellStyle name="Millares 3 3 2 2 2 3 2 2 2 7" xfId="25793" xr:uid="{00000000-0005-0000-0000-0000D4640000}"/>
    <cellStyle name="Millares 3 3 2 2 2 3 2 2 3" xfId="25794" xr:uid="{00000000-0005-0000-0000-0000D5640000}"/>
    <cellStyle name="Millares 3 3 2 2 2 3 2 2 3 2" xfId="25795" xr:uid="{00000000-0005-0000-0000-0000D6640000}"/>
    <cellStyle name="Millares 3 3 2 2 2 3 2 2 3 2 2" xfId="25796" xr:uid="{00000000-0005-0000-0000-0000D7640000}"/>
    <cellStyle name="Millares 3 3 2 2 2 3 2 2 3 2 2 2" xfId="25797" xr:uid="{00000000-0005-0000-0000-0000D8640000}"/>
    <cellStyle name="Millares 3 3 2 2 2 3 2 2 3 2 2 2 2" xfId="25798" xr:uid="{00000000-0005-0000-0000-0000D9640000}"/>
    <cellStyle name="Millares 3 3 2 2 2 3 2 2 3 2 2 3" xfId="25799" xr:uid="{00000000-0005-0000-0000-0000DA640000}"/>
    <cellStyle name="Millares 3 3 2 2 2 3 2 2 3 2 2 3 2" xfId="25800" xr:uid="{00000000-0005-0000-0000-0000DB640000}"/>
    <cellStyle name="Millares 3 3 2 2 2 3 2 2 3 2 2 4" xfId="25801" xr:uid="{00000000-0005-0000-0000-0000DC640000}"/>
    <cellStyle name="Millares 3 3 2 2 2 3 2 2 3 2 3" xfId="25802" xr:uid="{00000000-0005-0000-0000-0000DD640000}"/>
    <cellStyle name="Millares 3 3 2 2 2 3 2 2 3 2 3 2" xfId="25803" xr:uid="{00000000-0005-0000-0000-0000DE640000}"/>
    <cellStyle name="Millares 3 3 2 2 2 3 2 2 3 2 4" xfId="25804" xr:uid="{00000000-0005-0000-0000-0000DF640000}"/>
    <cellStyle name="Millares 3 3 2 2 2 3 2 2 3 2 4 2" xfId="25805" xr:uid="{00000000-0005-0000-0000-0000E0640000}"/>
    <cellStyle name="Millares 3 3 2 2 2 3 2 2 3 2 5" xfId="25806" xr:uid="{00000000-0005-0000-0000-0000E1640000}"/>
    <cellStyle name="Millares 3 3 2 2 2 3 2 2 3 3" xfId="25807" xr:uid="{00000000-0005-0000-0000-0000E2640000}"/>
    <cellStyle name="Millares 3 3 2 2 2 3 2 2 3 3 2" xfId="25808" xr:uid="{00000000-0005-0000-0000-0000E3640000}"/>
    <cellStyle name="Millares 3 3 2 2 2 3 2 2 3 3 2 2" xfId="25809" xr:uid="{00000000-0005-0000-0000-0000E4640000}"/>
    <cellStyle name="Millares 3 3 2 2 2 3 2 2 3 3 3" xfId="25810" xr:uid="{00000000-0005-0000-0000-0000E5640000}"/>
    <cellStyle name="Millares 3 3 2 2 2 3 2 2 3 3 3 2" xfId="25811" xr:uid="{00000000-0005-0000-0000-0000E6640000}"/>
    <cellStyle name="Millares 3 3 2 2 2 3 2 2 3 3 4" xfId="25812" xr:uid="{00000000-0005-0000-0000-0000E7640000}"/>
    <cellStyle name="Millares 3 3 2 2 2 3 2 2 3 4" xfId="25813" xr:uid="{00000000-0005-0000-0000-0000E8640000}"/>
    <cellStyle name="Millares 3 3 2 2 2 3 2 2 3 4 2" xfId="25814" xr:uid="{00000000-0005-0000-0000-0000E9640000}"/>
    <cellStyle name="Millares 3 3 2 2 2 3 2 2 3 5" xfId="25815" xr:uid="{00000000-0005-0000-0000-0000EA640000}"/>
    <cellStyle name="Millares 3 3 2 2 2 3 2 2 3 5 2" xfId="25816" xr:uid="{00000000-0005-0000-0000-0000EB640000}"/>
    <cellStyle name="Millares 3 3 2 2 2 3 2 2 3 6" xfId="25817" xr:uid="{00000000-0005-0000-0000-0000EC640000}"/>
    <cellStyle name="Millares 3 3 2 2 2 3 2 2 4" xfId="25818" xr:uid="{00000000-0005-0000-0000-0000ED640000}"/>
    <cellStyle name="Millares 3 3 2 2 2 3 2 2 4 2" xfId="25819" xr:uid="{00000000-0005-0000-0000-0000EE640000}"/>
    <cellStyle name="Millares 3 3 2 2 2 3 2 2 4 2 2" xfId="25820" xr:uid="{00000000-0005-0000-0000-0000EF640000}"/>
    <cellStyle name="Millares 3 3 2 2 2 3 2 2 4 2 2 2" xfId="25821" xr:uid="{00000000-0005-0000-0000-0000F0640000}"/>
    <cellStyle name="Millares 3 3 2 2 2 3 2 2 4 2 3" xfId="25822" xr:uid="{00000000-0005-0000-0000-0000F1640000}"/>
    <cellStyle name="Millares 3 3 2 2 2 3 2 2 4 2 3 2" xfId="25823" xr:uid="{00000000-0005-0000-0000-0000F2640000}"/>
    <cellStyle name="Millares 3 3 2 2 2 3 2 2 4 2 4" xfId="25824" xr:uid="{00000000-0005-0000-0000-0000F3640000}"/>
    <cellStyle name="Millares 3 3 2 2 2 3 2 2 4 3" xfId="25825" xr:uid="{00000000-0005-0000-0000-0000F4640000}"/>
    <cellStyle name="Millares 3 3 2 2 2 3 2 2 4 3 2" xfId="25826" xr:uid="{00000000-0005-0000-0000-0000F5640000}"/>
    <cellStyle name="Millares 3 3 2 2 2 3 2 2 4 4" xfId="25827" xr:uid="{00000000-0005-0000-0000-0000F6640000}"/>
    <cellStyle name="Millares 3 3 2 2 2 3 2 2 4 4 2" xfId="25828" xr:uid="{00000000-0005-0000-0000-0000F7640000}"/>
    <cellStyle name="Millares 3 3 2 2 2 3 2 2 4 5" xfId="25829" xr:uid="{00000000-0005-0000-0000-0000F8640000}"/>
    <cellStyle name="Millares 3 3 2 2 2 3 2 2 5" xfId="25830" xr:uid="{00000000-0005-0000-0000-0000F9640000}"/>
    <cellStyle name="Millares 3 3 2 2 2 3 2 2 5 2" xfId="25831" xr:uid="{00000000-0005-0000-0000-0000FA640000}"/>
    <cellStyle name="Millares 3 3 2 2 2 3 2 2 5 2 2" xfId="25832" xr:uid="{00000000-0005-0000-0000-0000FB640000}"/>
    <cellStyle name="Millares 3 3 2 2 2 3 2 2 5 3" xfId="25833" xr:uid="{00000000-0005-0000-0000-0000FC640000}"/>
    <cellStyle name="Millares 3 3 2 2 2 3 2 2 5 3 2" xfId="25834" xr:uid="{00000000-0005-0000-0000-0000FD640000}"/>
    <cellStyle name="Millares 3 3 2 2 2 3 2 2 5 4" xfId="25835" xr:uid="{00000000-0005-0000-0000-0000FE640000}"/>
    <cellStyle name="Millares 3 3 2 2 2 3 2 2 6" xfId="25836" xr:uid="{00000000-0005-0000-0000-0000FF640000}"/>
    <cellStyle name="Millares 3 3 2 2 2 3 2 2 6 2" xfId="25837" xr:uid="{00000000-0005-0000-0000-000000650000}"/>
    <cellStyle name="Millares 3 3 2 2 2 3 2 2 7" xfId="25838" xr:uid="{00000000-0005-0000-0000-000001650000}"/>
    <cellStyle name="Millares 3 3 2 2 2 3 2 2 7 2" xfId="25839" xr:uid="{00000000-0005-0000-0000-000002650000}"/>
    <cellStyle name="Millares 3 3 2 2 2 3 2 2 8" xfId="25840" xr:uid="{00000000-0005-0000-0000-000003650000}"/>
    <cellStyle name="Millares 3 3 2 2 2 3 2 3" xfId="25841" xr:uid="{00000000-0005-0000-0000-000004650000}"/>
    <cellStyle name="Millares 3 3 2 2 2 3 2 3 2" xfId="25842" xr:uid="{00000000-0005-0000-0000-000005650000}"/>
    <cellStyle name="Millares 3 3 2 2 2 3 2 3 2 2" xfId="25843" xr:uid="{00000000-0005-0000-0000-000006650000}"/>
    <cellStyle name="Millares 3 3 2 2 2 3 2 3 2 2 2" xfId="25844" xr:uid="{00000000-0005-0000-0000-000007650000}"/>
    <cellStyle name="Millares 3 3 2 2 2 3 2 3 2 2 2 2" xfId="25845" xr:uid="{00000000-0005-0000-0000-000008650000}"/>
    <cellStyle name="Millares 3 3 2 2 2 3 2 3 2 2 3" xfId="25846" xr:uid="{00000000-0005-0000-0000-000009650000}"/>
    <cellStyle name="Millares 3 3 2 2 2 3 2 3 2 2 3 2" xfId="25847" xr:uid="{00000000-0005-0000-0000-00000A650000}"/>
    <cellStyle name="Millares 3 3 2 2 2 3 2 3 2 2 4" xfId="25848" xr:uid="{00000000-0005-0000-0000-00000B650000}"/>
    <cellStyle name="Millares 3 3 2 2 2 3 2 3 2 3" xfId="25849" xr:uid="{00000000-0005-0000-0000-00000C650000}"/>
    <cellStyle name="Millares 3 3 2 2 2 3 2 3 2 3 2" xfId="25850" xr:uid="{00000000-0005-0000-0000-00000D650000}"/>
    <cellStyle name="Millares 3 3 2 2 2 3 2 3 2 4" xfId="25851" xr:uid="{00000000-0005-0000-0000-00000E650000}"/>
    <cellStyle name="Millares 3 3 2 2 2 3 2 3 2 4 2" xfId="25852" xr:uid="{00000000-0005-0000-0000-00000F650000}"/>
    <cellStyle name="Millares 3 3 2 2 2 3 2 3 2 5" xfId="25853" xr:uid="{00000000-0005-0000-0000-000010650000}"/>
    <cellStyle name="Millares 3 3 2 2 2 3 2 3 3" xfId="25854" xr:uid="{00000000-0005-0000-0000-000011650000}"/>
    <cellStyle name="Millares 3 3 2 2 2 3 2 3 3 2" xfId="25855" xr:uid="{00000000-0005-0000-0000-000012650000}"/>
    <cellStyle name="Millares 3 3 2 2 2 3 2 3 3 2 2" xfId="25856" xr:uid="{00000000-0005-0000-0000-000013650000}"/>
    <cellStyle name="Millares 3 3 2 2 2 3 2 3 3 3" xfId="25857" xr:uid="{00000000-0005-0000-0000-000014650000}"/>
    <cellStyle name="Millares 3 3 2 2 2 3 2 3 3 3 2" xfId="25858" xr:uid="{00000000-0005-0000-0000-000015650000}"/>
    <cellStyle name="Millares 3 3 2 2 2 3 2 3 3 4" xfId="25859" xr:uid="{00000000-0005-0000-0000-000016650000}"/>
    <cellStyle name="Millares 3 3 2 2 2 3 2 3 4" xfId="25860" xr:uid="{00000000-0005-0000-0000-000017650000}"/>
    <cellStyle name="Millares 3 3 2 2 2 3 2 3 4 2" xfId="25861" xr:uid="{00000000-0005-0000-0000-000018650000}"/>
    <cellStyle name="Millares 3 3 2 2 2 3 2 3 5" xfId="25862" xr:uid="{00000000-0005-0000-0000-000019650000}"/>
    <cellStyle name="Millares 3 3 2 2 2 3 2 3 5 2" xfId="25863" xr:uid="{00000000-0005-0000-0000-00001A650000}"/>
    <cellStyle name="Millares 3 3 2 2 2 3 2 3 6" xfId="25864" xr:uid="{00000000-0005-0000-0000-00001B650000}"/>
    <cellStyle name="Millares 3 3 2 2 2 3 2 4" xfId="25865" xr:uid="{00000000-0005-0000-0000-00001C650000}"/>
    <cellStyle name="Millares 3 3 2 2 2 3 2 4 2" xfId="25866" xr:uid="{00000000-0005-0000-0000-00001D650000}"/>
    <cellStyle name="Millares 3 3 2 2 2 3 2 4 2 2" xfId="25867" xr:uid="{00000000-0005-0000-0000-00001E650000}"/>
    <cellStyle name="Millares 3 3 2 2 2 3 2 4 2 2 2" xfId="25868" xr:uid="{00000000-0005-0000-0000-00001F650000}"/>
    <cellStyle name="Millares 3 3 2 2 2 3 2 4 2 3" xfId="25869" xr:uid="{00000000-0005-0000-0000-000020650000}"/>
    <cellStyle name="Millares 3 3 2 2 2 3 2 4 2 3 2" xfId="25870" xr:uid="{00000000-0005-0000-0000-000021650000}"/>
    <cellStyle name="Millares 3 3 2 2 2 3 2 4 2 4" xfId="25871" xr:uid="{00000000-0005-0000-0000-000022650000}"/>
    <cellStyle name="Millares 3 3 2 2 2 3 2 4 3" xfId="25872" xr:uid="{00000000-0005-0000-0000-000023650000}"/>
    <cellStyle name="Millares 3 3 2 2 2 3 2 4 3 2" xfId="25873" xr:uid="{00000000-0005-0000-0000-000024650000}"/>
    <cellStyle name="Millares 3 3 2 2 2 3 2 4 4" xfId="25874" xr:uid="{00000000-0005-0000-0000-000025650000}"/>
    <cellStyle name="Millares 3 3 2 2 2 3 2 4 4 2" xfId="25875" xr:uid="{00000000-0005-0000-0000-000026650000}"/>
    <cellStyle name="Millares 3 3 2 2 2 3 2 4 5" xfId="25876" xr:uid="{00000000-0005-0000-0000-000027650000}"/>
    <cellStyle name="Millares 3 3 2 2 2 3 2 5" xfId="25877" xr:uid="{00000000-0005-0000-0000-000028650000}"/>
    <cellStyle name="Millares 3 3 2 2 2 3 2 5 2" xfId="25878" xr:uid="{00000000-0005-0000-0000-000029650000}"/>
    <cellStyle name="Millares 3 3 2 2 2 3 2 5 2 2" xfId="25879" xr:uid="{00000000-0005-0000-0000-00002A650000}"/>
    <cellStyle name="Millares 3 3 2 2 2 3 2 5 3" xfId="25880" xr:uid="{00000000-0005-0000-0000-00002B650000}"/>
    <cellStyle name="Millares 3 3 2 2 2 3 2 5 3 2" xfId="25881" xr:uid="{00000000-0005-0000-0000-00002C650000}"/>
    <cellStyle name="Millares 3 3 2 2 2 3 2 5 4" xfId="25882" xr:uid="{00000000-0005-0000-0000-00002D650000}"/>
    <cellStyle name="Millares 3 3 2 2 2 3 2 6" xfId="25883" xr:uid="{00000000-0005-0000-0000-00002E650000}"/>
    <cellStyle name="Millares 3 3 2 2 2 3 2 6 2" xfId="25884" xr:uid="{00000000-0005-0000-0000-00002F650000}"/>
    <cellStyle name="Millares 3 3 2 2 2 3 2 7" xfId="25885" xr:uid="{00000000-0005-0000-0000-000030650000}"/>
    <cellStyle name="Millares 3 3 2 2 2 3 2 7 2" xfId="25886" xr:uid="{00000000-0005-0000-0000-000031650000}"/>
    <cellStyle name="Millares 3 3 2 2 2 3 2 8" xfId="25887" xr:uid="{00000000-0005-0000-0000-000032650000}"/>
    <cellStyle name="Millares 3 3 2 2 2 3 3" xfId="25888" xr:uid="{00000000-0005-0000-0000-000033650000}"/>
    <cellStyle name="Millares 3 3 2 2 2 3 3 2" xfId="25889" xr:uid="{00000000-0005-0000-0000-000034650000}"/>
    <cellStyle name="Millares 3 3 2 2 2 3 3 2 2" xfId="25890" xr:uid="{00000000-0005-0000-0000-000035650000}"/>
    <cellStyle name="Millares 3 3 2 2 2 3 3 2 2 2" xfId="25891" xr:uid="{00000000-0005-0000-0000-000036650000}"/>
    <cellStyle name="Millares 3 3 2 2 2 3 3 2 2 2 2" xfId="25892" xr:uid="{00000000-0005-0000-0000-000037650000}"/>
    <cellStyle name="Millares 3 3 2 2 2 3 3 2 2 3" xfId="25893" xr:uid="{00000000-0005-0000-0000-000038650000}"/>
    <cellStyle name="Millares 3 3 2 2 2 3 3 2 2 3 2" xfId="25894" xr:uid="{00000000-0005-0000-0000-000039650000}"/>
    <cellStyle name="Millares 3 3 2 2 2 3 3 2 2 4" xfId="25895" xr:uid="{00000000-0005-0000-0000-00003A650000}"/>
    <cellStyle name="Millares 3 3 2 2 2 3 3 2 3" xfId="25896" xr:uid="{00000000-0005-0000-0000-00003B650000}"/>
    <cellStyle name="Millares 3 3 2 2 2 3 3 2 3 2" xfId="25897" xr:uid="{00000000-0005-0000-0000-00003C650000}"/>
    <cellStyle name="Millares 3 3 2 2 2 3 3 2 4" xfId="25898" xr:uid="{00000000-0005-0000-0000-00003D650000}"/>
    <cellStyle name="Millares 3 3 2 2 2 3 3 2 4 2" xfId="25899" xr:uid="{00000000-0005-0000-0000-00003E650000}"/>
    <cellStyle name="Millares 3 3 2 2 2 3 3 2 5" xfId="25900" xr:uid="{00000000-0005-0000-0000-00003F650000}"/>
    <cellStyle name="Millares 3 3 2 2 2 3 3 3" xfId="25901" xr:uid="{00000000-0005-0000-0000-000040650000}"/>
    <cellStyle name="Millares 3 3 2 2 2 3 3 3 2" xfId="25902" xr:uid="{00000000-0005-0000-0000-000041650000}"/>
    <cellStyle name="Millares 3 3 2 2 2 3 3 3 2 2" xfId="25903" xr:uid="{00000000-0005-0000-0000-000042650000}"/>
    <cellStyle name="Millares 3 3 2 2 2 3 3 3 3" xfId="25904" xr:uid="{00000000-0005-0000-0000-000043650000}"/>
    <cellStyle name="Millares 3 3 2 2 2 3 3 3 3 2" xfId="25905" xr:uid="{00000000-0005-0000-0000-000044650000}"/>
    <cellStyle name="Millares 3 3 2 2 2 3 3 3 4" xfId="25906" xr:uid="{00000000-0005-0000-0000-000045650000}"/>
    <cellStyle name="Millares 3 3 2 2 2 3 3 4" xfId="25907" xr:uid="{00000000-0005-0000-0000-000046650000}"/>
    <cellStyle name="Millares 3 3 2 2 2 3 3 4 2" xfId="25908" xr:uid="{00000000-0005-0000-0000-000047650000}"/>
    <cellStyle name="Millares 3 3 2 2 2 3 3 5" xfId="25909" xr:uid="{00000000-0005-0000-0000-000048650000}"/>
    <cellStyle name="Millares 3 3 2 2 2 3 3 5 2" xfId="25910" xr:uid="{00000000-0005-0000-0000-000049650000}"/>
    <cellStyle name="Millares 3 3 2 2 2 3 3 6" xfId="25911" xr:uid="{00000000-0005-0000-0000-00004A650000}"/>
    <cellStyle name="Millares 3 3 2 2 2 3 4" xfId="25912" xr:uid="{00000000-0005-0000-0000-00004B650000}"/>
    <cellStyle name="Millares 3 3 2 2 2 3 4 2" xfId="25913" xr:uid="{00000000-0005-0000-0000-00004C650000}"/>
    <cellStyle name="Millares 3 3 2 2 2 3 4 2 2" xfId="25914" xr:uid="{00000000-0005-0000-0000-00004D650000}"/>
    <cellStyle name="Millares 3 3 2 2 2 3 4 2 2 2" xfId="25915" xr:uid="{00000000-0005-0000-0000-00004E650000}"/>
    <cellStyle name="Millares 3 3 2 2 2 3 4 2 3" xfId="25916" xr:uid="{00000000-0005-0000-0000-00004F650000}"/>
    <cellStyle name="Millares 3 3 2 2 2 3 4 2 3 2" xfId="25917" xr:uid="{00000000-0005-0000-0000-000050650000}"/>
    <cellStyle name="Millares 3 3 2 2 2 3 4 2 4" xfId="25918" xr:uid="{00000000-0005-0000-0000-000051650000}"/>
    <cellStyle name="Millares 3 3 2 2 2 3 4 3" xfId="25919" xr:uid="{00000000-0005-0000-0000-000052650000}"/>
    <cellStyle name="Millares 3 3 2 2 2 3 4 3 2" xfId="25920" xr:uid="{00000000-0005-0000-0000-000053650000}"/>
    <cellStyle name="Millares 3 3 2 2 2 3 4 4" xfId="25921" xr:uid="{00000000-0005-0000-0000-000054650000}"/>
    <cellStyle name="Millares 3 3 2 2 2 3 4 4 2" xfId="25922" xr:uid="{00000000-0005-0000-0000-000055650000}"/>
    <cellStyle name="Millares 3 3 2 2 2 3 4 5" xfId="25923" xr:uid="{00000000-0005-0000-0000-000056650000}"/>
    <cellStyle name="Millares 3 3 2 2 2 3 5" xfId="25924" xr:uid="{00000000-0005-0000-0000-000057650000}"/>
    <cellStyle name="Millares 3 3 2 2 2 3 5 2" xfId="25925" xr:uid="{00000000-0005-0000-0000-000058650000}"/>
    <cellStyle name="Millares 3 3 2 2 2 3 5 2 2" xfId="25926" xr:uid="{00000000-0005-0000-0000-000059650000}"/>
    <cellStyle name="Millares 3 3 2 2 2 3 5 3" xfId="25927" xr:uid="{00000000-0005-0000-0000-00005A650000}"/>
    <cellStyle name="Millares 3 3 2 2 2 3 5 3 2" xfId="25928" xr:uid="{00000000-0005-0000-0000-00005B650000}"/>
    <cellStyle name="Millares 3 3 2 2 2 3 5 4" xfId="25929" xr:uid="{00000000-0005-0000-0000-00005C650000}"/>
    <cellStyle name="Millares 3 3 2 2 2 3 6" xfId="25930" xr:uid="{00000000-0005-0000-0000-00005D650000}"/>
    <cellStyle name="Millares 3 3 2 2 2 3 6 2" xfId="25931" xr:uid="{00000000-0005-0000-0000-00005E650000}"/>
    <cellStyle name="Millares 3 3 2 2 2 3 7" xfId="25932" xr:uid="{00000000-0005-0000-0000-00005F650000}"/>
    <cellStyle name="Millares 3 3 2 2 2 3 7 2" xfId="25933" xr:uid="{00000000-0005-0000-0000-000060650000}"/>
    <cellStyle name="Millares 3 3 2 2 2 3 8" xfId="25934" xr:uid="{00000000-0005-0000-0000-000061650000}"/>
    <cellStyle name="Millares 3 3 2 2 2 4" xfId="25935" xr:uid="{00000000-0005-0000-0000-000062650000}"/>
    <cellStyle name="Millares 3 3 2 2 2 4 2" xfId="25936" xr:uid="{00000000-0005-0000-0000-000063650000}"/>
    <cellStyle name="Millares 3 3 2 2 2 4 2 2" xfId="25937" xr:uid="{00000000-0005-0000-0000-000064650000}"/>
    <cellStyle name="Millares 3 3 2 2 2 4 2 2 2" xfId="25938" xr:uid="{00000000-0005-0000-0000-000065650000}"/>
    <cellStyle name="Millares 3 3 2 2 2 4 2 2 2 2" xfId="25939" xr:uid="{00000000-0005-0000-0000-000066650000}"/>
    <cellStyle name="Millares 3 3 2 2 2 4 2 2 2 2 2" xfId="25940" xr:uid="{00000000-0005-0000-0000-000067650000}"/>
    <cellStyle name="Millares 3 3 2 2 2 4 2 2 2 3" xfId="25941" xr:uid="{00000000-0005-0000-0000-000068650000}"/>
    <cellStyle name="Millares 3 3 2 2 2 4 2 2 2 3 2" xfId="25942" xr:uid="{00000000-0005-0000-0000-000069650000}"/>
    <cellStyle name="Millares 3 3 2 2 2 4 2 2 2 4" xfId="25943" xr:uid="{00000000-0005-0000-0000-00006A650000}"/>
    <cellStyle name="Millares 3 3 2 2 2 4 2 2 3" xfId="25944" xr:uid="{00000000-0005-0000-0000-00006B650000}"/>
    <cellStyle name="Millares 3 3 2 2 2 4 2 2 3 2" xfId="25945" xr:uid="{00000000-0005-0000-0000-00006C650000}"/>
    <cellStyle name="Millares 3 3 2 2 2 4 2 2 4" xfId="25946" xr:uid="{00000000-0005-0000-0000-00006D650000}"/>
    <cellStyle name="Millares 3 3 2 2 2 4 2 2 4 2" xfId="25947" xr:uid="{00000000-0005-0000-0000-00006E650000}"/>
    <cellStyle name="Millares 3 3 2 2 2 4 2 2 5" xfId="25948" xr:uid="{00000000-0005-0000-0000-00006F650000}"/>
    <cellStyle name="Millares 3 3 2 2 2 4 2 3" xfId="25949" xr:uid="{00000000-0005-0000-0000-000070650000}"/>
    <cellStyle name="Millares 3 3 2 2 2 4 2 3 2" xfId="25950" xr:uid="{00000000-0005-0000-0000-000071650000}"/>
    <cellStyle name="Millares 3 3 2 2 2 4 2 3 2 2" xfId="25951" xr:uid="{00000000-0005-0000-0000-000072650000}"/>
    <cellStyle name="Millares 3 3 2 2 2 4 2 3 3" xfId="25952" xr:uid="{00000000-0005-0000-0000-000073650000}"/>
    <cellStyle name="Millares 3 3 2 2 2 4 2 3 3 2" xfId="25953" xr:uid="{00000000-0005-0000-0000-000074650000}"/>
    <cellStyle name="Millares 3 3 2 2 2 4 2 3 4" xfId="25954" xr:uid="{00000000-0005-0000-0000-000075650000}"/>
    <cellStyle name="Millares 3 3 2 2 2 4 2 4" xfId="25955" xr:uid="{00000000-0005-0000-0000-000076650000}"/>
    <cellStyle name="Millares 3 3 2 2 2 4 2 4 2" xfId="25956" xr:uid="{00000000-0005-0000-0000-000077650000}"/>
    <cellStyle name="Millares 3 3 2 2 2 4 2 5" xfId="25957" xr:uid="{00000000-0005-0000-0000-000078650000}"/>
    <cellStyle name="Millares 3 3 2 2 2 4 2 5 2" xfId="25958" xr:uid="{00000000-0005-0000-0000-000079650000}"/>
    <cellStyle name="Millares 3 3 2 2 2 4 2 6" xfId="25959" xr:uid="{00000000-0005-0000-0000-00007A650000}"/>
    <cellStyle name="Millares 3 3 2 2 2 4 3" xfId="25960" xr:uid="{00000000-0005-0000-0000-00007B650000}"/>
    <cellStyle name="Millares 3 3 2 2 2 4 3 2" xfId="25961" xr:uid="{00000000-0005-0000-0000-00007C650000}"/>
    <cellStyle name="Millares 3 3 2 2 2 4 3 2 2" xfId="25962" xr:uid="{00000000-0005-0000-0000-00007D650000}"/>
    <cellStyle name="Millares 3 3 2 2 2 4 3 2 2 2" xfId="25963" xr:uid="{00000000-0005-0000-0000-00007E650000}"/>
    <cellStyle name="Millares 3 3 2 2 2 4 3 2 3" xfId="25964" xr:uid="{00000000-0005-0000-0000-00007F650000}"/>
    <cellStyle name="Millares 3 3 2 2 2 4 3 2 3 2" xfId="25965" xr:uid="{00000000-0005-0000-0000-000080650000}"/>
    <cellStyle name="Millares 3 3 2 2 2 4 3 2 4" xfId="25966" xr:uid="{00000000-0005-0000-0000-000081650000}"/>
    <cellStyle name="Millares 3 3 2 2 2 4 3 3" xfId="25967" xr:uid="{00000000-0005-0000-0000-000082650000}"/>
    <cellStyle name="Millares 3 3 2 2 2 4 3 3 2" xfId="25968" xr:uid="{00000000-0005-0000-0000-000083650000}"/>
    <cellStyle name="Millares 3 3 2 2 2 4 3 4" xfId="25969" xr:uid="{00000000-0005-0000-0000-000084650000}"/>
    <cellStyle name="Millares 3 3 2 2 2 4 3 4 2" xfId="25970" xr:uid="{00000000-0005-0000-0000-000085650000}"/>
    <cellStyle name="Millares 3 3 2 2 2 4 3 5" xfId="25971" xr:uid="{00000000-0005-0000-0000-000086650000}"/>
    <cellStyle name="Millares 3 3 2 2 2 4 4" xfId="25972" xr:uid="{00000000-0005-0000-0000-000087650000}"/>
    <cellStyle name="Millares 3 3 2 2 2 4 4 2" xfId="25973" xr:uid="{00000000-0005-0000-0000-000088650000}"/>
    <cellStyle name="Millares 3 3 2 2 2 4 4 2 2" xfId="25974" xr:uid="{00000000-0005-0000-0000-000089650000}"/>
    <cellStyle name="Millares 3 3 2 2 2 4 4 3" xfId="25975" xr:uid="{00000000-0005-0000-0000-00008A650000}"/>
    <cellStyle name="Millares 3 3 2 2 2 4 4 3 2" xfId="25976" xr:uid="{00000000-0005-0000-0000-00008B650000}"/>
    <cellStyle name="Millares 3 3 2 2 2 4 4 4" xfId="25977" xr:uid="{00000000-0005-0000-0000-00008C650000}"/>
    <cellStyle name="Millares 3 3 2 2 2 4 5" xfId="25978" xr:uid="{00000000-0005-0000-0000-00008D650000}"/>
    <cellStyle name="Millares 3 3 2 2 2 4 5 2" xfId="25979" xr:uid="{00000000-0005-0000-0000-00008E650000}"/>
    <cellStyle name="Millares 3 3 2 2 2 4 6" xfId="25980" xr:uid="{00000000-0005-0000-0000-00008F650000}"/>
    <cellStyle name="Millares 3 3 2 2 2 4 6 2" xfId="25981" xr:uid="{00000000-0005-0000-0000-000090650000}"/>
    <cellStyle name="Millares 3 3 2 2 2 4 7" xfId="25982" xr:uid="{00000000-0005-0000-0000-000091650000}"/>
    <cellStyle name="Millares 3 3 2 2 2 5" xfId="25983" xr:uid="{00000000-0005-0000-0000-000092650000}"/>
    <cellStyle name="Millares 3 3 2 2 2 5 2" xfId="25984" xr:uid="{00000000-0005-0000-0000-000093650000}"/>
    <cellStyle name="Millares 3 3 2 2 2 5 2 2" xfId="25985" xr:uid="{00000000-0005-0000-0000-000094650000}"/>
    <cellStyle name="Millares 3 3 2 2 2 5 2 2 2" xfId="25986" xr:uid="{00000000-0005-0000-0000-000095650000}"/>
    <cellStyle name="Millares 3 3 2 2 2 5 2 2 2 2" xfId="25987" xr:uid="{00000000-0005-0000-0000-000096650000}"/>
    <cellStyle name="Millares 3 3 2 2 2 5 2 2 3" xfId="25988" xr:uid="{00000000-0005-0000-0000-000097650000}"/>
    <cellStyle name="Millares 3 3 2 2 2 5 2 2 3 2" xfId="25989" xr:uid="{00000000-0005-0000-0000-000098650000}"/>
    <cellStyle name="Millares 3 3 2 2 2 5 2 2 4" xfId="25990" xr:uid="{00000000-0005-0000-0000-000099650000}"/>
    <cellStyle name="Millares 3 3 2 2 2 5 2 3" xfId="25991" xr:uid="{00000000-0005-0000-0000-00009A650000}"/>
    <cellStyle name="Millares 3 3 2 2 2 5 2 3 2" xfId="25992" xr:uid="{00000000-0005-0000-0000-00009B650000}"/>
    <cellStyle name="Millares 3 3 2 2 2 5 2 4" xfId="25993" xr:uid="{00000000-0005-0000-0000-00009C650000}"/>
    <cellStyle name="Millares 3 3 2 2 2 5 2 4 2" xfId="25994" xr:uid="{00000000-0005-0000-0000-00009D650000}"/>
    <cellStyle name="Millares 3 3 2 2 2 5 2 5" xfId="25995" xr:uid="{00000000-0005-0000-0000-00009E650000}"/>
    <cellStyle name="Millares 3 3 2 2 2 5 3" xfId="25996" xr:uid="{00000000-0005-0000-0000-00009F650000}"/>
    <cellStyle name="Millares 3 3 2 2 2 5 3 2" xfId="25997" xr:uid="{00000000-0005-0000-0000-0000A0650000}"/>
    <cellStyle name="Millares 3 3 2 2 2 5 3 2 2" xfId="25998" xr:uid="{00000000-0005-0000-0000-0000A1650000}"/>
    <cellStyle name="Millares 3 3 2 2 2 5 3 3" xfId="25999" xr:uid="{00000000-0005-0000-0000-0000A2650000}"/>
    <cellStyle name="Millares 3 3 2 2 2 5 3 3 2" xfId="26000" xr:uid="{00000000-0005-0000-0000-0000A3650000}"/>
    <cellStyle name="Millares 3 3 2 2 2 5 3 4" xfId="26001" xr:uid="{00000000-0005-0000-0000-0000A4650000}"/>
    <cellStyle name="Millares 3 3 2 2 2 5 4" xfId="26002" xr:uid="{00000000-0005-0000-0000-0000A5650000}"/>
    <cellStyle name="Millares 3 3 2 2 2 5 4 2" xfId="26003" xr:uid="{00000000-0005-0000-0000-0000A6650000}"/>
    <cellStyle name="Millares 3 3 2 2 2 5 5" xfId="26004" xr:uid="{00000000-0005-0000-0000-0000A7650000}"/>
    <cellStyle name="Millares 3 3 2 2 2 5 5 2" xfId="26005" xr:uid="{00000000-0005-0000-0000-0000A8650000}"/>
    <cellStyle name="Millares 3 3 2 2 2 5 6" xfId="26006" xr:uid="{00000000-0005-0000-0000-0000A9650000}"/>
    <cellStyle name="Millares 3 3 2 2 2 6" xfId="26007" xr:uid="{00000000-0005-0000-0000-0000AA650000}"/>
    <cellStyle name="Millares 3 3 2 2 2 6 2" xfId="26008" xr:uid="{00000000-0005-0000-0000-0000AB650000}"/>
    <cellStyle name="Millares 3 3 2 2 2 6 2 2" xfId="26009" xr:uid="{00000000-0005-0000-0000-0000AC650000}"/>
    <cellStyle name="Millares 3 3 2 2 2 6 2 2 2" xfId="26010" xr:uid="{00000000-0005-0000-0000-0000AD650000}"/>
    <cellStyle name="Millares 3 3 2 2 2 6 2 3" xfId="26011" xr:uid="{00000000-0005-0000-0000-0000AE650000}"/>
    <cellStyle name="Millares 3 3 2 2 2 6 2 3 2" xfId="26012" xr:uid="{00000000-0005-0000-0000-0000AF650000}"/>
    <cellStyle name="Millares 3 3 2 2 2 6 2 4" xfId="26013" xr:uid="{00000000-0005-0000-0000-0000B0650000}"/>
    <cellStyle name="Millares 3 3 2 2 2 6 3" xfId="26014" xr:uid="{00000000-0005-0000-0000-0000B1650000}"/>
    <cellStyle name="Millares 3 3 2 2 2 6 3 2" xfId="26015" xr:uid="{00000000-0005-0000-0000-0000B2650000}"/>
    <cellStyle name="Millares 3 3 2 2 2 6 4" xfId="26016" xr:uid="{00000000-0005-0000-0000-0000B3650000}"/>
    <cellStyle name="Millares 3 3 2 2 2 6 4 2" xfId="26017" xr:uid="{00000000-0005-0000-0000-0000B4650000}"/>
    <cellStyle name="Millares 3 3 2 2 2 6 5" xfId="26018" xr:uid="{00000000-0005-0000-0000-0000B5650000}"/>
    <cellStyle name="Millares 3 3 2 2 2 7" xfId="26019" xr:uid="{00000000-0005-0000-0000-0000B6650000}"/>
    <cellStyle name="Millares 3 3 2 2 2 7 2" xfId="26020" xr:uid="{00000000-0005-0000-0000-0000B7650000}"/>
    <cellStyle name="Millares 3 3 2 2 2 7 2 2" xfId="26021" xr:uid="{00000000-0005-0000-0000-0000B8650000}"/>
    <cellStyle name="Millares 3 3 2 2 2 7 3" xfId="26022" xr:uid="{00000000-0005-0000-0000-0000B9650000}"/>
    <cellStyle name="Millares 3 3 2 2 2 7 3 2" xfId="26023" xr:uid="{00000000-0005-0000-0000-0000BA650000}"/>
    <cellStyle name="Millares 3 3 2 2 2 7 4" xfId="26024" xr:uid="{00000000-0005-0000-0000-0000BB650000}"/>
    <cellStyle name="Millares 3 3 2 2 2 8" xfId="26025" xr:uid="{00000000-0005-0000-0000-0000BC650000}"/>
    <cellStyle name="Millares 3 3 2 2 2 8 2" xfId="26026" xr:uid="{00000000-0005-0000-0000-0000BD650000}"/>
    <cellStyle name="Millares 3 3 2 2 2 9" xfId="26027" xr:uid="{00000000-0005-0000-0000-0000BE650000}"/>
    <cellStyle name="Millares 3 3 2 2 2 9 2" xfId="26028" xr:uid="{00000000-0005-0000-0000-0000BF650000}"/>
    <cellStyle name="Millares 3 3 2 2 3" xfId="26029" xr:uid="{00000000-0005-0000-0000-0000C0650000}"/>
    <cellStyle name="Millares 3 3 2 2 3 2" xfId="26030" xr:uid="{00000000-0005-0000-0000-0000C1650000}"/>
    <cellStyle name="Millares 3 3 2 2 3 2 2" xfId="26031" xr:uid="{00000000-0005-0000-0000-0000C2650000}"/>
    <cellStyle name="Millares 3 3 2 2 3 2 2 2" xfId="26032" xr:uid="{00000000-0005-0000-0000-0000C3650000}"/>
    <cellStyle name="Millares 3 3 2 2 3 2 2 2 2" xfId="26033" xr:uid="{00000000-0005-0000-0000-0000C4650000}"/>
    <cellStyle name="Millares 3 3 2 2 3 2 2 2 2 2" xfId="26034" xr:uid="{00000000-0005-0000-0000-0000C5650000}"/>
    <cellStyle name="Millares 3 3 2 2 3 2 2 2 3" xfId="26035" xr:uid="{00000000-0005-0000-0000-0000C6650000}"/>
    <cellStyle name="Millares 3 3 2 2 3 2 2 2 3 2" xfId="26036" xr:uid="{00000000-0005-0000-0000-0000C7650000}"/>
    <cellStyle name="Millares 3 3 2 2 3 2 2 2 4" xfId="26037" xr:uid="{00000000-0005-0000-0000-0000C8650000}"/>
    <cellStyle name="Millares 3 3 2 2 3 2 2 3" xfId="26038" xr:uid="{00000000-0005-0000-0000-0000C9650000}"/>
    <cellStyle name="Millares 3 3 2 2 3 2 2 3 2" xfId="26039" xr:uid="{00000000-0005-0000-0000-0000CA650000}"/>
    <cellStyle name="Millares 3 3 2 2 3 2 2 4" xfId="26040" xr:uid="{00000000-0005-0000-0000-0000CB650000}"/>
    <cellStyle name="Millares 3 3 2 2 3 2 2 4 2" xfId="26041" xr:uid="{00000000-0005-0000-0000-0000CC650000}"/>
    <cellStyle name="Millares 3 3 2 2 3 2 2 5" xfId="26042" xr:uid="{00000000-0005-0000-0000-0000CD650000}"/>
    <cellStyle name="Millares 3 3 2 2 3 2 3" xfId="26043" xr:uid="{00000000-0005-0000-0000-0000CE650000}"/>
    <cellStyle name="Millares 3 3 2 2 3 2 3 2" xfId="26044" xr:uid="{00000000-0005-0000-0000-0000CF650000}"/>
    <cellStyle name="Millares 3 3 2 2 3 2 3 2 2" xfId="26045" xr:uid="{00000000-0005-0000-0000-0000D0650000}"/>
    <cellStyle name="Millares 3 3 2 2 3 2 3 3" xfId="26046" xr:uid="{00000000-0005-0000-0000-0000D1650000}"/>
    <cellStyle name="Millares 3 3 2 2 3 2 3 3 2" xfId="26047" xr:uid="{00000000-0005-0000-0000-0000D2650000}"/>
    <cellStyle name="Millares 3 3 2 2 3 2 3 4" xfId="26048" xr:uid="{00000000-0005-0000-0000-0000D3650000}"/>
    <cellStyle name="Millares 3 3 2 2 3 2 4" xfId="26049" xr:uid="{00000000-0005-0000-0000-0000D4650000}"/>
    <cellStyle name="Millares 3 3 2 2 3 2 4 2" xfId="26050" xr:uid="{00000000-0005-0000-0000-0000D5650000}"/>
    <cellStyle name="Millares 3 3 2 2 3 2 5" xfId="26051" xr:uid="{00000000-0005-0000-0000-0000D6650000}"/>
    <cellStyle name="Millares 3 3 2 2 3 2 5 2" xfId="26052" xr:uid="{00000000-0005-0000-0000-0000D7650000}"/>
    <cellStyle name="Millares 3 3 2 2 3 2 6" xfId="26053" xr:uid="{00000000-0005-0000-0000-0000D8650000}"/>
    <cellStyle name="Millares 3 3 2 2 3 3" xfId="26054" xr:uid="{00000000-0005-0000-0000-0000D9650000}"/>
    <cellStyle name="Millares 3 3 2 2 3 3 2" xfId="26055" xr:uid="{00000000-0005-0000-0000-0000DA650000}"/>
    <cellStyle name="Millares 3 3 2 2 3 3 2 2" xfId="26056" xr:uid="{00000000-0005-0000-0000-0000DB650000}"/>
    <cellStyle name="Millares 3 3 2 2 3 3 2 2 2" xfId="26057" xr:uid="{00000000-0005-0000-0000-0000DC650000}"/>
    <cellStyle name="Millares 3 3 2 2 3 3 2 3" xfId="26058" xr:uid="{00000000-0005-0000-0000-0000DD650000}"/>
    <cellStyle name="Millares 3 3 2 2 3 3 2 3 2" xfId="26059" xr:uid="{00000000-0005-0000-0000-0000DE650000}"/>
    <cellStyle name="Millares 3 3 2 2 3 3 2 4" xfId="26060" xr:uid="{00000000-0005-0000-0000-0000DF650000}"/>
    <cellStyle name="Millares 3 3 2 2 3 3 3" xfId="26061" xr:uid="{00000000-0005-0000-0000-0000E0650000}"/>
    <cellStyle name="Millares 3 3 2 2 3 3 3 2" xfId="26062" xr:uid="{00000000-0005-0000-0000-0000E1650000}"/>
    <cellStyle name="Millares 3 3 2 2 3 3 4" xfId="26063" xr:uid="{00000000-0005-0000-0000-0000E2650000}"/>
    <cellStyle name="Millares 3 3 2 2 3 3 4 2" xfId="26064" xr:uid="{00000000-0005-0000-0000-0000E3650000}"/>
    <cellStyle name="Millares 3 3 2 2 3 3 5" xfId="26065" xr:uid="{00000000-0005-0000-0000-0000E4650000}"/>
    <cellStyle name="Millares 3 3 2 2 3 4" xfId="26066" xr:uid="{00000000-0005-0000-0000-0000E5650000}"/>
    <cellStyle name="Millares 3 3 2 2 3 4 2" xfId="26067" xr:uid="{00000000-0005-0000-0000-0000E6650000}"/>
    <cellStyle name="Millares 3 3 2 2 3 4 2 2" xfId="26068" xr:uid="{00000000-0005-0000-0000-0000E7650000}"/>
    <cellStyle name="Millares 3 3 2 2 3 4 3" xfId="26069" xr:uid="{00000000-0005-0000-0000-0000E8650000}"/>
    <cellStyle name="Millares 3 3 2 2 3 4 3 2" xfId="26070" xr:uid="{00000000-0005-0000-0000-0000E9650000}"/>
    <cellStyle name="Millares 3 3 2 2 3 4 4" xfId="26071" xr:uid="{00000000-0005-0000-0000-0000EA650000}"/>
    <cellStyle name="Millares 3 3 2 2 3 5" xfId="26072" xr:uid="{00000000-0005-0000-0000-0000EB650000}"/>
    <cellStyle name="Millares 3 3 2 2 3 5 2" xfId="26073" xr:uid="{00000000-0005-0000-0000-0000EC650000}"/>
    <cellStyle name="Millares 3 3 2 2 3 6" xfId="26074" xr:uid="{00000000-0005-0000-0000-0000ED650000}"/>
    <cellStyle name="Millares 3 3 2 2 3 6 2" xfId="26075" xr:uid="{00000000-0005-0000-0000-0000EE650000}"/>
    <cellStyle name="Millares 3 3 2 2 3 7" xfId="26076" xr:uid="{00000000-0005-0000-0000-0000EF650000}"/>
    <cellStyle name="Millares 3 3 2 2 4" xfId="26077" xr:uid="{00000000-0005-0000-0000-0000F0650000}"/>
    <cellStyle name="Millares 3 3 2 2 4 2" xfId="26078" xr:uid="{00000000-0005-0000-0000-0000F1650000}"/>
    <cellStyle name="Millares 3 3 2 2 4 2 2" xfId="26079" xr:uid="{00000000-0005-0000-0000-0000F2650000}"/>
    <cellStyle name="Millares 3 3 2 2 4 2 2 2" xfId="26080" xr:uid="{00000000-0005-0000-0000-0000F3650000}"/>
    <cellStyle name="Millares 3 3 2 2 4 2 2 2 2" xfId="26081" xr:uid="{00000000-0005-0000-0000-0000F4650000}"/>
    <cellStyle name="Millares 3 3 2 2 4 2 2 3" xfId="26082" xr:uid="{00000000-0005-0000-0000-0000F5650000}"/>
    <cellStyle name="Millares 3 3 2 2 4 2 2 3 2" xfId="26083" xr:uid="{00000000-0005-0000-0000-0000F6650000}"/>
    <cellStyle name="Millares 3 3 2 2 4 2 2 4" xfId="26084" xr:uid="{00000000-0005-0000-0000-0000F7650000}"/>
    <cellStyle name="Millares 3 3 2 2 4 2 3" xfId="26085" xr:uid="{00000000-0005-0000-0000-0000F8650000}"/>
    <cellStyle name="Millares 3 3 2 2 4 2 3 2" xfId="26086" xr:uid="{00000000-0005-0000-0000-0000F9650000}"/>
    <cellStyle name="Millares 3 3 2 2 4 2 4" xfId="26087" xr:uid="{00000000-0005-0000-0000-0000FA650000}"/>
    <cellStyle name="Millares 3 3 2 2 4 2 4 2" xfId="26088" xr:uid="{00000000-0005-0000-0000-0000FB650000}"/>
    <cellStyle name="Millares 3 3 2 2 4 2 5" xfId="26089" xr:uid="{00000000-0005-0000-0000-0000FC650000}"/>
    <cellStyle name="Millares 3 3 2 2 4 3" xfId="26090" xr:uid="{00000000-0005-0000-0000-0000FD650000}"/>
    <cellStyle name="Millares 3 3 2 2 4 3 2" xfId="26091" xr:uid="{00000000-0005-0000-0000-0000FE650000}"/>
    <cellStyle name="Millares 3 3 2 2 4 3 2 2" xfId="26092" xr:uid="{00000000-0005-0000-0000-0000FF650000}"/>
    <cellStyle name="Millares 3 3 2 2 4 3 3" xfId="26093" xr:uid="{00000000-0005-0000-0000-000000660000}"/>
    <cellStyle name="Millares 3 3 2 2 4 3 3 2" xfId="26094" xr:uid="{00000000-0005-0000-0000-000001660000}"/>
    <cellStyle name="Millares 3 3 2 2 4 3 4" xfId="26095" xr:uid="{00000000-0005-0000-0000-000002660000}"/>
    <cellStyle name="Millares 3 3 2 2 4 4" xfId="26096" xr:uid="{00000000-0005-0000-0000-000003660000}"/>
    <cellStyle name="Millares 3 3 2 2 4 4 2" xfId="26097" xr:uid="{00000000-0005-0000-0000-000004660000}"/>
    <cellStyle name="Millares 3 3 2 2 4 5" xfId="26098" xr:uid="{00000000-0005-0000-0000-000005660000}"/>
    <cellStyle name="Millares 3 3 2 2 4 5 2" xfId="26099" xr:uid="{00000000-0005-0000-0000-000006660000}"/>
    <cellStyle name="Millares 3 3 2 2 4 6" xfId="26100" xr:uid="{00000000-0005-0000-0000-000007660000}"/>
    <cellStyle name="Millares 3 3 2 2 5" xfId="26101" xr:uid="{00000000-0005-0000-0000-000008660000}"/>
    <cellStyle name="Millares 3 3 2 2 5 2" xfId="26102" xr:uid="{00000000-0005-0000-0000-000009660000}"/>
    <cellStyle name="Millares 3 3 2 2 5 2 2" xfId="26103" xr:uid="{00000000-0005-0000-0000-00000A660000}"/>
    <cellStyle name="Millares 3 3 2 2 5 2 2 2" xfId="26104" xr:uid="{00000000-0005-0000-0000-00000B660000}"/>
    <cellStyle name="Millares 3 3 2 2 5 2 3" xfId="26105" xr:uid="{00000000-0005-0000-0000-00000C660000}"/>
    <cellStyle name="Millares 3 3 2 2 5 2 3 2" xfId="26106" xr:uid="{00000000-0005-0000-0000-00000D660000}"/>
    <cellStyle name="Millares 3 3 2 2 5 2 4" xfId="26107" xr:uid="{00000000-0005-0000-0000-00000E660000}"/>
    <cellStyle name="Millares 3 3 2 2 5 3" xfId="26108" xr:uid="{00000000-0005-0000-0000-00000F660000}"/>
    <cellStyle name="Millares 3 3 2 2 5 3 2" xfId="26109" xr:uid="{00000000-0005-0000-0000-000010660000}"/>
    <cellStyle name="Millares 3 3 2 2 5 4" xfId="26110" xr:uid="{00000000-0005-0000-0000-000011660000}"/>
    <cellStyle name="Millares 3 3 2 2 5 4 2" xfId="26111" xr:uid="{00000000-0005-0000-0000-000012660000}"/>
    <cellStyle name="Millares 3 3 2 2 5 5" xfId="26112" xr:uid="{00000000-0005-0000-0000-000013660000}"/>
    <cellStyle name="Millares 3 3 2 2 6" xfId="26113" xr:uid="{00000000-0005-0000-0000-000014660000}"/>
    <cellStyle name="Millares 3 3 2 2 6 2" xfId="26114" xr:uid="{00000000-0005-0000-0000-000015660000}"/>
    <cellStyle name="Millares 3 3 2 2 6 2 2" xfId="26115" xr:uid="{00000000-0005-0000-0000-000016660000}"/>
    <cellStyle name="Millares 3 3 2 2 6 3" xfId="26116" xr:uid="{00000000-0005-0000-0000-000017660000}"/>
    <cellStyle name="Millares 3 3 2 2 6 3 2" xfId="26117" xr:uid="{00000000-0005-0000-0000-000018660000}"/>
    <cellStyle name="Millares 3 3 2 2 6 4" xfId="26118" xr:uid="{00000000-0005-0000-0000-000019660000}"/>
    <cellStyle name="Millares 3 3 2 2 7" xfId="26119" xr:uid="{00000000-0005-0000-0000-00001A660000}"/>
    <cellStyle name="Millares 3 3 2 2 7 2" xfId="26120" xr:uid="{00000000-0005-0000-0000-00001B660000}"/>
    <cellStyle name="Millares 3 3 2 2 8" xfId="26121" xr:uid="{00000000-0005-0000-0000-00001C660000}"/>
    <cellStyle name="Millares 3 3 2 2 8 2" xfId="26122" xr:uid="{00000000-0005-0000-0000-00001D660000}"/>
    <cellStyle name="Millares 3 3 2 2 9" xfId="26123" xr:uid="{00000000-0005-0000-0000-00001E660000}"/>
    <cellStyle name="Millares 3 3 2 3" xfId="26124" xr:uid="{00000000-0005-0000-0000-00001F660000}"/>
    <cellStyle name="Millares 3 3 2 3 2" xfId="26125" xr:uid="{00000000-0005-0000-0000-000020660000}"/>
    <cellStyle name="Millares 3 3 2 3 2 2" xfId="26126" xr:uid="{00000000-0005-0000-0000-000021660000}"/>
    <cellStyle name="Millares 3 3 2 3 2 2 2" xfId="26127" xr:uid="{00000000-0005-0000-0000-000022660000}"/>
    <cellStyle name="Millares 3 3 2 3 2 2 2 2" xfId="26128" xr:uid="{00000000-0005-0000-0000-000023660000}"/>
    <cellStyle name="Millares 3 3 2 3 2 2 2 2 2" xfId="26129" xr:uid="{00000000-0005-0000-0000-000024660000}"/>
    <cellStyle name="Millares 3 3 2 3 2 2 2 3" xfId="26130" xr:uid="{00000000-0005-0000-0000-000025660000}"/>
    <cellStyle name="Millares 3 3 2 3 2 2 2 3 2" xfId="26131" xr:uid="{00000000-0005-0000-0000-000026660000}"/>
    <cellStyle name="Millares 3 3 2 3 2 2 2 4" xfId="26132" xr:uid="{00000000-0005-0000-0000-000027660000}"/>
    <cellStyle name="Millares 3 3 2 3 2 2 3" xfId="26133" xr:uid="{00000000-0005-0000-0000-000028660000}"/>
    <cellStyle name="Millares 3 3 2 3 2 2 3 2" xfId="26134" xr:uid="{00000000-0005-0000-0000-000029660000}"/>
    <cellStyle name="Millares 3 3 2 3 2 2 4" xfId="26135" xr:uid="{00000000-0005-0000-0000-00002A660000}"/>
    <cellStyle name="Millares 3 3 2 3 2 2 4 2" xfId="26136" xr:uid="{00000000-0005-0000-0000-00002B660000}"/>
    <cellStyle name="Millares 3 3 2 3 2 2 5" xfId="26137" xr:uid="{00000000-0005-0000-0000-00002C660000}"/>
    <cellStyle name="Millares 3 3 2 3 2 3" xfId="26138" xr:uid="{00000000-0005-0000-0000-00002D660000}"/>
    <cellStyle name="Millares 3 3 2 3 2 3 2" xfId="26139" xr:uid="{00000000-0005-0000-0000-00002E660000}"/>
    <cellStyle name="Millares 3 3 2 3 2 3 2 2" xfId="26140" xr:uid="{00000000-0005-0000-0000-00002F660000}"/>
    <cellStyle name="Millares 3 3 2 3 2 3 3" xfId="26141" xr:uid="{00000000-0005-0000-0000-000030660000}"/>
    <cellStyle name="Millares 3 3 2 3 2 3 3 2" xfId="26142" xr:uid="{00000000-0005-0000-0000-000031660000}"/>
    <cellStyle name="Millares 3 3 2 3 2 3 4" xfId="26143" xr:uid="{00000000-0005-0000-0000-000032660000}"/>
    <cellStyle name="Millares 3 3 2 3 2 4" xfId="26144" xr:uid="{00000000-0005-0000-0000-000033660000}"/>
    <cellStyle name="Millares 3 3 2 3 2 4 2" xfId="26145" xr:uid="{00000000-0005-0000-0000-000034660000}"/>
    <cellStyle name="Millares 3 3 2 3 2 5" xfId="26146" xr:uid="{00000000-0005-0000-0000-000035660000}"/>
    <cellStyle name="Millares 3 3 2 3 2 5 2" xfId="26147" xr:uid="{00000000-0005-0000-0000-000036660000}"/>
    <cellStyle name="Millares 3 3 2 3 2 6" xfId="26148" xr:uid="{00000000-0005-0000-0000-000037660000}"/>
    <cellStyle name="Millares 3 3 2 3 3" xfId="26149" xr:uid="{00000000-0005-0000-0000-000038660000}"/>
    <cellStyle name="Millares 3 3 2 3 3 2" xfId="26150" xr:uid="{00000000-0005-0000-0000-000039660000}"/>
    <cellStyle name="Millares 3 3 2 3 3 2 2" xfId="26151" xr:uid="{00000000-0005-0000-0000-00003A660000}"/>
    <cellStyle name="Millares 3 3 2 3 3 2 2 2" xfId="26152" xr:uid="{00000000-0005-0000-0000-00003B660000}"/>
    <cellStyle name="Millares 3 3 2 3 3 2 3" xfId="26153" xr:uid="{00000000-0005-0000-0000-00003C660000}"/>
    <cellStyle name="Millares 3 3 2 3 3 2 3 2" xfId="26154" xr:uid="{00000000-0005-0000-0000-00003D660000}"/>
    <cellStyle name="Millares 3 3 2 3 3 2 4" xfId="26155" xr:uid="{00000000-0005-0000-0000-00003E660000}"/>
    <cellStyle name="Millares 3 3 2 3 3 3" xfId="26156" xr:uid="{00000000-0005-0000-0000-00003F660000}"/>
    <cellStyle name="Millares 3 3 2 3 3 3 2" xfId="26157" xr:uid="{00000000-0005-0000-0000-000040660000}"/>
    <cellStyle name="Millares 3 3 2 3 3 4" xfId="26158" xr:uid="{00000000-0005-0000-0000-000041660000}"/>
    <cellStyle name="Millares 3 3 2 3 3 4 2" xfId="26159" xr:uid="{00000000-0005-0000-0000-000042660000}"/>
    <cellStyle name="Millares 3 3 2 3 3 5" xfId="26160" xr:uid="{00000000-0005-0000-0000-000043660000}"/>
    <cellStyle name="Millares 3 3 2 3 4" xfId="26161" xr:uid="{00000000-0005-0000-0000-000044660000}"/>
    <cellStyle name="Millares 3 3 2 3 4 2" xfId="26162" xr:uid="{00000000-0005-0000-0000-000045660000}"/>
    <cellStyle name="Millares 3 3 2 3 4 2 2" xfId="26163" xr:uid="{00000000-0005-0000-0000-000046660000}"/>
    <cellStyle name="Millares 3 3 2 3 4 3" xfId="26164" xr:uid="{00000000-0005-0000-0000-000047660000}"/>
    <cellStyle name="Millares 3 3 2 3 4 3 2" xfId="26165" xr:uid="{00000000-0005-0000-0000-000048660000}"/>
    <cellStyle name="Millares 3 3 2 3 4 4" xfId="26166" xr:uid="{00000000-0005-0000-0000-000049660000}"/>
    <cellStyle name="Millares 3 3 2 3 5" xfId="26167" xr:uid="{00000000-0005-0000-0000-00004A660000}"/>
    <cellStyle name="Millares 3 3 2 3 5 2" xfId="26168" xr:uid="{00000000-0005-0000-0000-00004B660000}"/>
    <cellStyle name="Millares 3 3 2 3 6" xfId="26169" xr:uid="{00000000-0005-0000-0000-00004C660000}"/>
    <cellStyle name="Millares 3 3 2 3 6 2" xfId="26170" xr:uid="{00000000-0005-0000-0000-00004D660000}"/>
    <cellStyle name="Millares 3 3 2 3 7" xfId="26171" xr:uid="{00000000-0005-0000-0000-00004E660000}"/>
    <cellStyle name="Millares 3 3 2 4" xfId="26172" xr:uid="{00000000-0005-0000-0000-00004F660000}"/>
    <cellStyle name="Millares 3 3 2 4 2" xfId="26173" xr:uid="{00000000-0005-0000-0000-000050660000}"/>
    <cellStyle name="Millares 3 3 2 4 2 2" xfId="26174" xr:uid="{00000000-0005-0000-0000-000051660000}"/>
    <cellStyle name="Millares 3 3 2 4 2 2 2" xfId="26175" xr:uid="{00000000-0005-0000-0000-000052660000}"/>
    <cellStyle name="Millares 3 3 2 4 2 2 2 2" xfId="26176" xr:uid="{00000000-0005-0000-0000-000053660000}"/>
    <cellStyle name="Millares 3 3 2 4 2 2 3" xfId="26177" xr:uid="{00000000-0005-0000-0000-000054660000}"/>
    <cellStyle name="Millares 3 3 2 4 2 2 3 2" xfId="26178" xr:uid="{00000000-0005-0000-0000-000055660000}"/>
    <cellStyle name="Millares 3 3 2 4 2 2 4" xfId="26179" xr:uid="{00000000-0005-0000-0000-000056660000}"/>
    <cellStyle name="Millares 3 3 2 4 2 3" xfId="26180" xr:uid="{00000000-0005-0000-0000-000057660000}"/>
    <cellStyle name="Millares 3 3 2 4 2 3 2" xfId="26181" xr:uid="{00000000-0005-0000-0000-000058660000}"/>
    <cellStyle name="Millares 3 3 2 4 2 4" xfId="26182" xr:uid="{00000000-0005-0000-0000-000059660000}"/>
    <cellStyle name="Millares 3 3 2 4 2 4 2" xfId="26183" xr:uid="{00000000-0005-0000-0000-00005A660000}"/>
    <cellStyle name="Millares 3 3 2 4 2 5" xfId="26184" xr:uid="{00000000-0005-0000-0000-00005B660000}"/>
    <cellStyle name="Millares 3 3 2 4 3" xfId="26185" xr:uid="{00000000-0005-0000-0000-00005C660000}"/>
    <cellStyle name="Millares 3 3 2 4 3 2" xfId="26186" xr:uid="{00000000-0005-0000-0000-00005D660000}"/>
    <cellStyle name="Millares 3 3 2 4 3 2 2" xfId="26187" xr:uid="{00000000-0005-0000-0000-00005E660000}"/>
    <cellStyle name="Millares 3 3 2 4 3 3" xfId="26188" xr:uid="{00000000-0005-0000-0000-00005F660000}"/>
    <cellStyle name="Millares 3 3 2 4 3 3 2" xfId="26189" xr:uid="{00000000-0005-0000-0000-000060660000}"/>
    <cellStyle name="Millares 3 3 2 4 3 4" xfId="26190" xr:uid="{00000000-0005-0000-0000-000061660000}"/>
    <cellStyle name="Millares 3 3 2 4 4" xfId="26191" xr:uid="{00000000-0005-0000-0000-000062660000}"/>
    <cellStyle name="Millares 3 3 2 4 4 2" xfId="26192" xr:uid="{00000000-0005-0000-0000-000063660000}"/>
    <cellStyle name="Millares 3 3 2 4 5" xfId="26193" xr:uid="{00000000-0005-0000-0000-000064660000}"/>
    <cellStyle name="Millares 3 3 2 4 5 2" xfId="26194" xr:uid="{00000000-0005-0000-0000-000065660000}"/>
    <cellStyle name="Millares 3 3 2 4 6" xfId="26195" xr:uid="{00000000-0005-0000-0000-000066660000}"/>
    <cellStyle name="Millares 3 3 2 5" xfId="26196" xr:uid="{00000000-0005-0000-0000-000067660000}"/>
    <cellStyle name="Millares 3 3 2 5 2" xfId="26197" xr:uid="{00000000-0005-0000-0000-000068660000}"/>
    <cellStyle name="Millares 3 3 2 5 2 2" xfId="26198" xr:uid="{00000000-0005-0000-0000-000069660000}"/>
    <cellStyle name="Millares 3 3 2 5 2 2 2" xfId="26199" xr:uid="{00000000-0005-0000-0000-00006A660000}"/>
    <cellStyle name="Millares 3 3 2 5 2 3" xfId="26200" xr:uid="{00000000-0005-0000-0000-00006B660000}"/>
    <cellStyle name="Millares 3 3 2 5 2 3 2" xfId="26201" xr:uid="{00000000-0005-0000-0000-00006C660000}"/>
    <cellStyle name="Millares 3 3 2 5 2 4" xfId="26202" xr:uid="{00000000-0005-0000-0000-00006D660000}"/>
    <cellStyle name="Millares 3 3 2 5 3" xfId="26203" xr:uid="{00000000-0005-0000-0000-00006E660000}"/>
    <cellStyle name="Millares 3 3 2 5 3 2" xfId="26204" xr:uid="{00000000-0005-0000-0000-00006F660000}"/>
    <cellStyle name="Millares 3 3 2 5 4" xfId="26205" xr:uid="{00000000-0005-0000-0000-000070660000}"/>
    <cellStyle name="Millares 3 3 2 5 4 2" xfId="26206" xr:uid="{00000000-0005-0000-0000-000071660000}"/>
    <cellStyle name="Millares 3 3 2 5 5" xfId="26207" xr:uid="{00000000-0005-0000-0000-000072660000}"/>
    <cellStyle name="Millares 3 3 2 6" xfId="26208" xr:uid="{00000000-0005-0000-0000-000073660000}"/>
    <cellStyle name="Millares 3 3 2 6 2" xfId="26209" xr:uid="{00000000-0005-0000-0000-000074660000}"/>
    <cellStyle name="Millares 3 3 2 6 2 2" xfId="26210" xr:uid="{00000000-0005-0000-0000-000075660000}"/>
    <cellStyle name="Millares 3 3 2 6 3" xfId="26211" xr:uid="{00000000-0005-0000-0000-000076660000}"/>
    <cellStyle name="Millares 3 3 2 6 3 2" xfId="26212" xr:uid="{00000000-0005-0000-0000-000077660000}"/>
    <cellStyle name="Millares 3 3 2 6 4" xfId="26213" xr:uid="{00000000-0005-0000-0000-000078660000}"/>
    <cellStyle name="Millares 3 3 2 7" xfId="26214" xr:uid="{00000000-0005-0000-0000-000079660000}"/>
    <cellStyle name="Millares 3 3 2 7 2" xfId="26215" xr:uid="{00000000-0005-0000-0000-00007A660000}"/>
    <cellStyle name="Millares 3 3 2 8" xfId="26216" xr:uid="{00000000-0005-0000-0000-00007B660000}"/>
    <cellStyle name="Millares 3 3 2 8 2" xfId="26217" xr:uid="{00000000-0005-0000-0000-00007C660000}"/>
    <cellStyle name="Millares 3 3 2 9" xfId="26218" xr:uid="{00000000-0005-0000-0000-00007D660000}"/>
    <cellStyle name="Millares 3 3 3" xfId="26219" xr:uid="{00000000-0005-0000-0000-00007E660000}"/>
    <cellStyle name="Millares 3 3 3 2" xfId="26220" xr:uid="{00000000-0005-0000-0000-00007F660000}"/>
    <cellStyle name="Millares 3 3 3 2 2" xfId="26221" xr:uid="{00000000-0005-0000-0000-000080660000}"/>
    <cellStyle name="Millares 3 3 3 2 2 2" xfId="26222" xr:uid="{00000000-0005-0000-0000-000081660000}"/>
    <cellStyle name="Millares 3 3 3 2 2 2 2" xfId="26223" xr:uid="{00000000-0005-0000-0000-000082660000}"/>
    <cellStyle name="Millares 3 3 3 2 2 2 2 2" xfId="26224" xr:uid="{00000000-0005-0000-0000-000083660000}"/>
    <cellStyle name="Millares 3 3 3 2 2 2 3" xfId="26225" xr:uid="{00000000-0005-0000-0000-000084660000}"/>
    <cellStyle name="Millares 3 3 3 2 2 2 3 2" xfId="26226" xr:uid="{00000000-0005-0000-0000-000085660000}"/>
    <cellStyle name="Millares 3 3 3 2 2 2 4" xfId="26227" xr:uid="{00000000-0005-0000-0000-000086660000}"/>
    <cellStyle name="Millares 3 3 3 2 2 3" xfId="26228" xr:uid="{00000000-0005-0000-0000-000087660000}"/>
    <cellStyle name="Millares 3 3 3 2 2 3 2" xfId="26229" xr:uid="{00000000-0005-0000-0000-000088660000}"/>
    <cellStyle name="Millares 3 3 3 2 2 4" xfId="26230" xr:uid="{00000000-0005-0000-0000-000089660000}"/>
    <cellStyle name="Millares 3 3 3 2 2 4 2" xfId="26231" xr:uid="{00000000-0005-0000-0000-00008A660000}"/>
    <cellStyle name="Millares 3 3 3 2 2 5" xfId="26232" xr:uid="{00000000-0005-0000-0000-00008B660000}"/>
    <cellStyle name="Millares 3 3 3 2 3" xfId="26233" xr:uid="{00000000-0005-0000-0000-00008C660000}"/>
    <cellStyle name="Millares 3 3 3 2 3 2" xfId="26234" xr:uid="{00000000-0005-0000-0000-00008D660000}"/>
    <cellStyle name="Millares 3 3 3 2 3 2 2" xfId="26235" xr:uid="{00000000-0005-0000-0000-00008E660000}"/>
    <cellStyle name="Millares 3 3 3 2 3 3" xfId="26236" xr:uid="{00000000-0005-0000-0000-00008F660000}"/>
    <cellStyle name="Millares 3 3 3 2 3 3 2" xfId="26237" xr:uid="{00000000-0005-0000-0000-000090660000}"/>
    <cellStyle name="Millares 3 3 3 2 3 4" xfId="26238" xr:uid="{00000000-0005-0000-0000-000091660000}"/>
    <cellStyle name="Millares 3 3 3 2 4" xfId="26239" xr:uid="{00000000-0005-0000-0000-000092660000}"/>
    <cellStyle name="Millares 3 3 3 2 4 2" xfId="26240" xr:uid="{00000000-0005-0000-0000-000093660000}"/>
    <cellStyle name="Millares 3 3 3 2 5" xfId="26241" xr:uid="{00000000-0005-0000-0000-000094660000}"/>
    <cellStyle name="Millares 3 3 3 2 5 2" xfId="26242" xr:uid="{00000000-0005-0000-0000-000095660000}"/>
    <cellStyle name="Millares 3 3 3 2 6" xfId="26243" xr:uid="{00000000-0005-0000-0000-000096660000}"/>
    <cellStyle name="Millares 3 3 3 3" xfId="26244" xr:uid="{00000000-0005-0000-0000-000097660000}"/>
    <cellStyle name="Millares 3 3 3 3 2" xfId="26245" xr:uid="{00000000-0005-0000-0000-000098660000}"/>
    <cellStyle name="Millares 3 3 3 3 2 2" xfId="26246" xr:uid="{00000000-0005-0000-0000-000099660000}"/>
    <cellStyle name="Millares 3 3 3 3 2 2 2" xfId="26247" xr:uid="{00000000-0005-0000-0000-00009A660000}"/>
    <cellStyle name="Millares 3 3 3 3 2 3" xfId="26248" xr:uid="{00000000-0005-0000-0000-00009B660000}"/>
    <cellStyle name="Millares 3 3 3 3 2 3 2" xfId="26249" xr:uid="{00000000-0005-0000-0000-00009C660000}"/>
    <cellStyle name="Millares 3 3 3 3 2 4" xfId="26250" xr:uid="{00000000-0005-0000-0000-00009D660000}"/>
    <cellStyle name="Millares 3 3 3 3 3" xfId="26251" xr:uid="{00000000-0005-0000-0000-00009E660000}"/>
    <cellStyle name="Millares 3 3 3 3 3 2" xfId="26252" xr:uid="{00000000-0005-0000-0000-00009F660000}"/>
    <cellStyle name="Millares 3 3 3 3 4" xfId="26253" xr:uid="{00000000-0005-0000-0000-0000A0660000}"/>
    <cellStyle name="Millares 3 3 3 3 4 2" xfId="26254" xr:uid="{00000000-0005-0000-0000-0000A1660000}"/>
    <cellStyle name="Millares 3 3 3 3 5" xfId="26255" xr:uid="{00000000-0005-0000-0000-0000A2660000}"/>
    <cellStyle name="Millares 3 3 3 4" xfId="26256" xr:uid="{00000000-0005-0000-0000-0000A3660000}"/>
    <cellStyle name="Millares 3 3 3 4 2" xfId="26257" xr:uid="{00000000-0005-0000-0000-0000A4660000}"/>
    <cellStyle name="Millares 3 3 3 4 2 2" xfId="26258" xr:uid="{00000000-0005-0000-0000-0000A5660000}"/>
    <cellStyle name="Millares 3 3 3 4 3" xfId="26259" xr:uid="{00000000-0005-0000-0000-0000A6660000}"/>
    <cellStyle name="Millares 3 3 3 4 3 2" xfId="26260" xr:uid="{00000000-0005-0000-0000-0000A7660000}"/>
    <cellStyle name="Millares 3 3 3 4 4" xfId="26261" xr:uid="{00000000-0005-0000-0000-0000A8660000}"/>
    <cellStyle name="Millares 3 3 3 5" xfId="26262" xr:uid="{00000000-0005-0000-0000-0000A9660000}"/>
    <cellStyle name="Millares 3 3 3 5 2" xfId="26263" xr:uid="{00000000-0005-0000-0000-0000AA660000}"/>
    <cellStyle name="Millares 3 3 3 6" xfId="26264" xr:uid="{00000000-0005-0000-0000-0000AB660000}"/>
    <cellStyle name="Millares 3 3 3 6 2" xfId="26265" xr:uid="{00000000-0005-0000-0000-0000AC660000}"/>
    <cellStyle name="Millares 3 3 3 7" xfId="26266" xr:uid="{00000000-0005-0000-0000-0000AD660000}"/>
    <cellStyle name="Millares 3 3 4" xfId="26267" xr:uid="{00000000-0005-0000-0000-0000AE660000}"/>
    <cellStyle name="Millares 3 3 4 2" xfId="26268" xr:uid="{00000000-0005-0000-0000-0000AF660000}"/>
    <cellStyle name="Millares 3 3 4 2 2" xfId="26269" xr:uid="{00000000-0005-0000-0000-0000B0660000}"/>
    <cellStyle name="Millares 3 3 4 2 2 2" xfId="26270" xr:uid="{00000000-0005-0000-0000-0000B1660000}"/>
    <cellStyle name="Millares 3 3 4 2 2 2 2" xfId="26271" xr:uid="{00000000-0005-0000-0000-0000B2660000}"/>
    <cellStyle name="Millares 3 3 4 2 2 3" xfId="26272" xr:uid="{00000000-0005-0000-0000-0000B3660000}"/>
    <cellStyle name="Millares 3 3 4 2 2 3 2" xfId="26273" xr:uid="{00000000-0005-0000-0000-0000B4660000}"/>
    <cellStyle name="Millares 3 3 4 2 2 4" xfId="26274" xr:uid="{00000000-0005-0000-0000-0000B5660000}"/>
    <cellStyle name="Millares 3 3 4 2 3" xfId="26275" xr:uid="{00000000-0005-0000-0000-0000B6660000}"/>
    <cellStyle name="Millares 3 3 4 2 3 2" xfId="26276" xr:uid="{00000000-0005-0000-0000-0000B7660000}"/>
    <cellStyle name="Millares 3 3 4 2 4" xfId="26277" xr:uid="{00000000-0005-0000-0000-0000B8660000}"/>
    <cellStyle name="Millares 3 3 4 2 4 2" xfId="26278" xr:uid="{00000000-0005-0000-0000-0000B9660000}"/>
    <cellStyle name="Millares 3 3 4 2 5" xfId="26279" xr:uid="{00000000-0005-0000-0000-0000BA660000}"/>
    <cellStyle name="Millares 3 3 4 3" xfId="26280" xr:uid="{00000000-0005-0000-0000-0000BB660000}"/>
    <cellStyle name="Millares 3 3 4 3 2" xfId="26281" xr:uid="{00000000-0005-0000-0000-0000BC660000}"/>
    <cellStyle name="Millares 3 3 4 3 2 2" xfId="26282" xr:uid="{00000000-0005-0000-0000-0000BD660000}"/>
    <cellStyle name="Millares 3 3 4 3 3" xfId="26283" xr:uid="{00000000-0005-0000-0000-0000BE660000}"/>
    <cellStyle name="Millares 3 3 4 3 3 2" xfId="26284" xr:uid="{00000000-0005-0000-0000-0000BF660000}"/>
    <cellStyle name="Millares 3 3 4 3 4" xfId="26285" xr:uid="{00000000-0005-0000-0000-0000C0660000}"/>
    <cellStyle name="Millares 3 3 4 4" xfId="26286" xr:uid="{00000000-0005-0000-0000-0000C1660000}"/>
    <cellStyle name="Millares 3 3 4 4 2" xfId="26287" xr:uid="{00000000-0005-0000-0000-0000C2660000}"/>
    <cellStyle name="Millares 3 3 4 5" xfId="26288" xr:uid="{00000000-0005-0000-0000-0000C3660000}"/>
    <cellStyle name="Millares 3 3 4 5 2" xfId="26289" xr:uid="{00000000-0005-0000-0000-0000C4660000}"/>
    <cellStyle name="Millares 3 3 4 6" xfId="26290" xr:uid="{00000000-0005-0000-0000-0000C5660000}"/>
    <cellStyle name="Millares 3 3 5" xfId="26291" xr:uid="{00000000-0005-0000-0000-0000C6660000}"/>
    <cellStyle name="Millares 3 3 5 2" xfId="26292" xr:uid="{00000000-0005-0000-0000-0000C7660000}"/>
    <cellStyle name="Millares 3 3 5 2 2" xfId="26293" xr:uid="{00000000-0005-0000-0000-0000C8660000}"/>
    <cellStyle name="Millares 3 3 5 2 2 2" xfId="26294" xr:uid="{00000000-0005-0000-0000-0000C9660000}"/>
    <cellStyle name="Millares 3 3 5 2 3" xfId="26295" xr:uid="{00000000-0005-0000-0000-0000CA660000}"/>
    <cellStyle name="Millares 3 3 5 2 3 2" xfId="26296" xr:uid="{00000000-0005-0000-0000-0000CB660000}"/>
    <cellStyle name="Millares 3 3 5 2 4" xfId="26297" xr:uid="{00000000-0005-0000-0000-0000CC660000}"/>
    <cellStyle name="Millares 3 3 5 3" xfId="26298" xr:uid="{00000000-0005-0000-0000-0000CD660000}"/>
    <cellStyle name="Millares 3 3 5 3 2" xfId="26299" xr:uid="{00000000-0005-0000-0000-0000CE660000}"/>
    <cellStyle name="Millares 3 3 5 4" xfId="26300" xr:uid="{00000000-0005-0000-0000-0000CF660000}"/>
    <cellStyle name="Millares 3 3 5 4 2" xfId="26301" xr:uid="{00000000-0005-0000-0000-0000D0660000}"/>
    <cellStyle name="Millares 3 3 5 5" xfId="26302" xr:uid="{00000000-0005-0000-0000-0000D1660000}"/>
    <cellStyle name="Millares 3 3 6" xfId="26303" xr:uid="{00000000-0005-0000-0000-0000D2660000}"/>
    <cellStyle name="Millares 3 3 6 2" xfId="26304" xr:uid="{00000000-0005-0000-0000-0000D3660000}"/>
    <cellStyle name="Millares 3 3 6 2 2" xfId="26305" xr:uid="{00000000-0005-0000-0000-0000D4660000}"/>
    <cellStyle name="Millares 3 3 6 3" xfId="26306" xr:uid="{00000000-0005-0000-0000-0000D5660000}"/>
    <cellStyle name="Millares 3 3 6 3 2" xfId="26307" xr:uid="{00000000-0005-0000-0000-0000D6660000}"/>
    <cellStyle name="Millares 3 3 6 4" xfId="26308" xr:uid="{00000000-0005-0000-0000-0000D7660000}"/>
    <cellStyle name="Millares 3 3 7" xfId="26309" xr:uid="{00000000-0005-0000-0000-0000D8660000}"/>
    <cellStyle name="Millares 3 3 7 2" xfId="26310" xr:uid="{00000000-0005-0000-0000-0000D9660000}"/>
    <cellStyle name="Millares 3 3 8" xfId="26311" xr:uid="{00000000-0005-0000-0000-0000DA660000}"/>
    <cellStyle name="Millares 3 3 8 2" xfId="26312" xr:uid="{00000000-0005-0000-0000-0000DB660000}"/>
    <cellStyle name="Millares 3 3 9" xfId="26313" xr:uid="{00000000-0005-0000-0000-0000DC660000}"/>
    <cellStyle name="Millares 3 30" xfId="26314" xr:uid="{00000000-0005-0000-0000-0000DD660000}"/>
    <cellStyle name="Millares 3 31" xfId="26315" xr:uid="{00000000-0005-0000-0000-0000DE660000}"/>
    <cellStyle name="Millares 3 32" xfId="26316" xr:uid="{00000000-0005-0000-0000-0000DF660000}"/>
    <cellStyle name="Millares 3 33" xfId="26317" xr:uid="{00000000-0005-0000-0000-0000E0660000}"/>
    <cellStyle name="Millares 3 34" xfId="26318" xr:uid="{00000000-0005-0000-0000-0000E1660000}"/>
    <cellStyle name="Millares 3 35" xfId="26319" xr:uid="{00000000-0005-0000-0000-0000E2660000}"/>
    <cellStyle name="Millares 3 36" xfId="26320" xr:uid="{00000000-0005-0000-0000-0000E3660000}"/>
    <cellStyle name="Millares 3 37" xfId="26321" xr:uid="{00000000-0005-0000-0000-0000E4660000}"/>
    <cellStyle name="Millares 3 38" xfId="26322" xr:uid="{00000000-0005-0000-0000-0000E5660000}"/>
    <cellStyle name="Millares 3 39" xfId="26323" xr:uid="{00000000-0005-0000-0000-0000E6660000}"/>
    <cellStyle name="Millares 3 4" xfId="26324" xr:uid="{00000000-0005-0000-0000-0000E7660000}"/>
    <cellStyle name="Millares 3 4 2" xfId="26325" xr:uid="{00000000-0005-0000-0000-0000E8660000}"/>
    <cellStyle name="Millares 3 4 2 2" xfId="26326" xr:uid="{00000000-0005-0000-0000-0000E9660000}"/>
    <cellStyle name="Millares 3 4 2 2 2" xfId="26327" xr:uid="{00000000-0005-0000-0000-0000EA660000}"/>
    <cellStyle name="Millares 3 4 2 2 2 2" xfId="26328" xr:uid="{00000000-0005-0000-0000-0000EB660000}"/>
    <cellStyle name="Millares 3 4 2 2 2 2 2" xfId="26329" xr:uid="{00000000-0005-0000-0000-0000EC660000}"/>
    <cellStyle name="Millares 3 4 2 2 2 2 2 2" xfId="26330" xr:uid="{00000000-0005-0000-0000-0000ED660000}"/>
    <cellStyle name="Millares 3 4 2 2 2 2 3" xfId="26331" xr:uid="{00000000-0005-0000-0000-0000EE660000}"/>
    <cellStyle name="Millares 3 4 2 2 2 2 3 2" xfId="26332" xr:uid="{00000000-0005-0000-0000-0000EF660000}"/>
    <cellStyle name="Millares 3 4 2 2 2 2 4" xfId="26333" xr:uid="{00000000-0005-0000-0000-0000F0660000}"/>
    <cellStyle name="Millares 3 4 2 2 2 3" xfId="26334" xr:uid="{00000000-0005-0000-0000-0000F1660000}"/>
    <cellStyle name="Millares 3 4 2 2 2 3 2" xfId="26335" xr:uid="{00000000-0005-0000-0000-0000F2660000}"/>
    <cellStyle name="Millares 3 4 2 2 2 4" xfId="26336" xr:uid="{00000000-0005-0000-0000-0000F3660000}"/>
    <cellStyle name="Millares 3 4 2 2 2 4 2" xfId="26337" xr:uid="{00000000-0005-0000-0000-0000F4660000}"/>
    <cellStyle name="Millares 3 4 2 2 2 5" xfId="26338" xr:uid="{00000000-0005-0000-0000-0000F5660000}"/>
    <cellStyle name="Millares 3 4 2 2 3" xfId="26339" xr:uid="{00000000-0005-0000-0000-0000F6660000}"/>
    <cellStyle name="Millares 3 4 2 2 3 2" xfId="26340" xr:uid="{00000000-0005-0000-0000-0000F7660000}"/>
    <cellStyle name="Millares 3 4 2 2 3 2 2" xfId="26341" xr:uid="{00000000-0005-0000-0000-0000F8660000}"/>
    <cellStyle name="Millares 3 4 2 2 3 3" xfId="26342" xr:uid="{00000000-0005-0000-0000-0000F9660000}"/>
    <cellStyle name="Millares 3 4 2 2 3 3 2" xfId="26343" xr:uid="{00000000-0005-0000-0000-0000FA660000}"/>
    <cellStyle name="Millares 3 4 2 2 3 4" xfId="26344" xr:uid="{00000000-0005-0000-0000-0000FB660000}"/>
    <cellStyle name="Millares 3 4 2 2 4" xfId="26345" xr:uid="{00000000-0005-0000-0000-0000FC660000}"/>
    <cellStyle name="Millares 3 4 2 2 4 2" xfId="26346" xr:uid="{00000000-0005-0000-0000-0000FD660000}"/>
    <cellStyle name="Millares 3 4 2 2 5" xfId="26347" xr:uid="{00000000-0005-0000-0000-0000FE660000}"/>
    <cellStyle name="Millares 3 4 2 2 5 2" xfId="26348" xr:uid="{00000000-0005-0000-0000-0000FF660000}"/>
    <cellStyle name="Millares 3 4 2 2 6" xfId="26349" xr:uid="{00000000-0005-0000-0000-000000670000}"/>
    <cellStyle name="Millares 3 4 2 3" xfId="26350" xr:uid="{00000000-0005-0000-0000-000001670000}"/>
    <cellStyle name="Millares 3 4 2 3 2" xfId="26351" xr:uid="{00000000-0005-0000-0000-000002670000}"/>
    <cellStyle name="Millares 3 4 2 3 2 2" xfId="26352" xr:uid="{00000000-0005-0000-0000-000003670000}"/>
    <cellStyle name="Millares 3 4 2 3 2 2 2" xfId="26353" xr:uid="{00000000-0005-0000-0000-000004670000}"/>
    <cellStyle name="Millares 3 4 2 3 2 3" xfId="26354" xr:uid="{00000000-0005-0000-0000-000005670000}"/>
    <cellStyle name="Millares 3 4 2 3 2 3 2" xfId="26355" xr:uid="{00000000-0005-0000-0000-000006670000}"/>
    <cellStyle name="Millares 3 4 2 3 2 4" xfId="26356" xr:uid="{00000000-0005-0000-0000-000007670000}"/>
    <cellStyle name="Millares 3 4 2 3 3" xfId="26357" xr:uid="{00000000-0005-0000-0000-000008670000}"/>
    <cellStyle name="Millares 3 4 2 3 3 2" xfId="26358" xr:uid="{00000000-0005-0000-0000-000009670000}"/>
    <cellStyle name="Millares 3 4 2 3 4" xfId="26359" xr:uid="{00000000-0005-0000-0000-00000A670000}"/>
    <cellStyle name="Millares 3 4 2 3 4 2" xfId="26360" xr:uid="{00000000-0005-0000-0000-00000B670000}"/>
    <cellStyle name="Millares 3 4 2 3 5" xfId="26361" xr:uid="{00000000-0005-0000-0000-00000C670000}"/>
    <cellStyle name="Millares 3 4 2 4" xfId="26362" xr:uid="{00000000-0005-0000-0000-00000D670000}"/>
    <cellStyle name="Millares 3 4 2 4 2" xfId="26363" xr:uid="{00000000-0005-0000-0000-00000E670000}"/>
    <cellStyle name="Millares 3 4 2 4 2 2" xfId="26364" xr:uid="{00000000-0005-0000-0000-00000F670000}"/>
    <cellStyle name="Millares 3 4 2 4 3" xfId="26365" xr:uid="{00000000-0005-0000-0000-000010670000}"/>
    <cellStyle name="Millares 3 4 2 4 3 2" xfId="26366" xr:uid="{00000000-0005-0000-0000-000011670000}"/>
    <cellStyle name="Millares 3 4 2 4 4" xfId="26367" xr:uid="{00000000-0005-0000-0000-000012670000}"/>
    <cellStyle name="Millares 3 4 2 5" xfId="26368" xr:uid="{00000000-0005-0000-0000-000013670000}"/>
    <cellStyle name="Millares 3 4 2 5 2" xfId="26369" xr:uid="{00000000-0005-0000-0000-000014670000}"/>
    <cellStyle name="Millares 3 4 2 6" xfId="26370" xr:uid="{00000000-0005-0000-0000-000015670000}"/>
    <cellStyle name="Millares 3 4 2 6 2" xfId="26371" xr:uid="{00000000-0005-0000-0000-000016670000}"/>
    <cellStyle name="Millares 3 4 2 7" xfId="26372" xr:uid="{00000000-0005-0000-0000-000017670000}"/>
    <cellStyle name="Millares 3 4 3" xfId="26373" xr:uid="{00000000-0005-0000-0000-000018670000}"/>
    <cellStyle name="Millares 3 4 3 2" xfId="26374" xr:uid="{00000000-0005-0000-0000-000019670000}"/>
    <cellStyle name="Millares 3 4 3 2 2" xfId="26375" xr:uid="{00000000-0005-0000-0000-00001A670000}"/>
    <cellStyle name="Millares 3 4 3 2 2 2" xfId="26376" xr:uid="{00000000-0005-0000-0000-00001B670000}"/>
    <cellStyle name="Millares 3 4 3 2 2 2 2" xfId="26377" xr:uid="{00000000-0005-0000-0000-00001C670000}"/>
    <cellStyle name="Millares 3 4 3 2 2 3" xfId="26378" xr:uid="{00000000-0005-0000-0000-00001D670000}"/>
    <cellStyle name="Millares 3 4 3 2 2 3 2" xfId="26379" xr:uid="{00000000-0005-0000-0000-00001E670000}"/>
    <cellStyle name="Millares 3 4 3 2 2 4" xfId="26380" xr:uid="{00000000-0005-0000-0000-00001F670000}"/>
    <cellStyle name="Millares 3 4 3 2 3" xfId="26381" xr:uid="{00000000-0005-0000-0000-000020670000}"/>
    <cellStyle name="Millares 3 4 3 2 3 2" xfId="26382" xr:uid="{00000000-0005-0000-0000-000021670000}"/>
    <cellStyle name="Millares 3 4 3 2 4" xfId="26383" xr:uid="{00000000-0005-0000-0000-000022670000}"/>
    <cellStyle name="Millares 3 4 3 2 4 2" xfId="26384" xr:uid="{00000000-0005-0000-0000-000023670000}"/>
    <cellStyle name="Millares 3 4 3 2 5" xfId="26385" xr:uid="{00000000-0005-0000-0000-000024670000}"/>
    <cellStyle name="Millares 3 4 3 3" xfId="26386" xr:uid="{00000000-0005-0000-0000-000025670000}"/>
    <cellStyle name="Millares 3 4 3 3 2" xfId="26387" xr:uid="{00000000-0005-0000-0000-000026670000}"/>
    <cellStyle name="Millares 3 4 3 3 2 2" xfId="26388" xr:uid="{00000000-0005-0000-0000-000027670000}"/>
    <cellStyle name="Millares 3 4 3 3 3" xfId="26389" xr:uid="{00000000-0005-0000-0000-000028670000}"/>
    <cellStyle name="Millares 3 4 3 3 3 2" xfId="26390" xr:uid="{00000000-0005-0000-0000-000029670000}"/>
    <cellStyle name="Millares 3 4 3 3 4" xfId="26391" xr:uid="{00000000-0005-0000-0000-00002A670000}"/>
    <cellStyle name="Millares 3 4 3 4" xfId="26392" xr:uid="{00000000-0005-0000-0000-00002B670000}"/>
    <cellStyle name="Millares 3 4 3 4 2" xfId="26393" xr:uid="{00000000-0005-0000-0000-00002C670000}"/>
    <cellStyle name="Millares 3 4 3 5" xfId="26394" xr:uid="{00000000-0005-0000-0000-00002D670000}"/>
    <cellStyle name="Millares 3 4 3 5 2" xfId="26395" xr:uid="{00000000-0005-0000-0000-00002E670000}"/>
    <cellStyle name="Millares 3 4 3 6" xfId="26396" xr:uid="{00000000-0005-0000-0000-00002F670000}"/>
    <cellStyle name="Millares 3 4 4" xfId="26397" xr:uid="{00000000-0005-0000-0000-000030670000}"/>
    <cellStyle name="Millares 3 4 4 2" xfId="26398" xr:uid="{00000000-0005-0000-0000-000031670000}"/>
    <cellStyle name="Millares 3 4 4 2 2" xfId="26399" xr:uid="{00000000-0005-0000-0000-000032670000}"/>
    <cellStyle name="Millares 3 4 4 2 2 2" xfId="26400" xr:uid="{00000000-0005-0000-0000-000033670000}"/>
    <cellStyle name="Millares 3 4 4 2 3" xfId="26401" xr:uid="{00000000-0005-0000-0000-000034670000}"/>
    <cellStyle name="Millares 3 4 4 2 3 2" xfId="26402" xr:uid="{00000000-0005-0000-0000-000035670000}"/>
    <cellStyle name="Millares 3 4 4 2 4" xfId="26403" xr:uid="{00000000-0005-0000-0000-000036670000}"/>
    <cellStyle name="Millares 3 4 4 3" xfId="26404" xr:uid="{00000000-0005-0000-0000-000037670000}"/>
    <cellStyle name="Millares 3 4 4 3 2" xfId="26405" xr:uid="{00000000-0005-0000-0000-000038670000}"/>
    <cellStyle name="Millares 3 4 4 4" xfId="26406" xr:uid="{00000000-0005-0000-0000-000039670000}"/>
    <cellStyle name="Millares 3 4 4 4 2" xfId="26407" xr:uid="{00000000-0005-0000-0000-00003A670000}"/>
    <cellStyle name="Millares 3 4 4 5" xfId="26408" xr:uid="{00000000-0005-0000-0000-00003B670000}"/>
    <cellStyle name="Millares 3 4 5" xfId="26409" xr:uid="{00000000-0005-0000-0000-00003C670000}"/>
    <cellStyle name="Millares 3 4 5 2" xfId="26410" xr:uid="{00000000-0005-0000-0000-00003D670000}"/>
    <cellStyle name="Millares 3 4 5 2 2" xfId="26411" xr:uid="{00000000-0005-0000-0000-00003E670000}"/>
    <cellStyle name="Millares 3 4 5 3" xfId="26412" xr:uid="{00000000-0005-0000-0000-00003F670000}"/>
    <cellStyle name="Millares 3 4 5 3 2" xfId="26413" xr:uid="{00000000-0005-0000-0000-000040670000}"/>
    <cellStyle name="Millares 3 4 5 4" xfId="26414" xr:uid="{00000000-0005-0000-0000-000041670000}"/>
    <cellStyle name="Millares 3 4 6" xfId="26415" xr:uid="{00000000-0005-0000-0000-000042670000}"/>
    <cellStyle name="Millares 3 4 6 2" xfId="26416" xr:uid="{00000000-0005-0000-0000-000043670000}"/>
    <cellStyle name="Millares 3 4 7" xfId="26417" xr:uid="{00000000-0005-0000-0000-000044670000}"/>
    <cellStyle name="Millares 3 4 7 2" xfId="26418" xr:uid="{00000000-0005-0000-0000-000045670000}"/>
    <cellStyle name="Millares 3 4 8" xfId="26419" xr:uid="{00000000-0005-0000-0000-000046670000}"/>
    <cellStyle name="Millares 3 40" xfId="26420" xr:uid="{00000000-0005-0000-0000-000047670000}"/>
    <cellStyle name="Millares 3 41" xfId="26421" xr:uid="{00000000-0005-0000-0000-000048670000}"/>
    <cellStyle name="Millares 3 42" xfId="26422" xr:uid="{00000000-0005-0000-0000-000049670000}"/>
    <cellStyle name="Millares 3 43" xfId="26423" xr:uid="{00000000-0005-0000-0000-00004A670000}"/>
    <cellStyle name="Millares 3 44" xfId="26424" xr:uid="{00000000-0005-0000-0000-00004B670000}"/>
    <cellStyle name="Millares 3 45" xfId="26425" xr:uid="{00000000-0005-0000-0000-00004C670000}"/>
    <cellStyle name="Millares 3 46" xfId="26426" xr:uid="{00000000-0005-0000-0000-00004D670000}"/>
    <cellStyle name="Millares 3 47" xfId="26427" xr:uid="{00000000-0005-0000-0000-00004E670000}"/>
    <cellStyle name="Millares 3 48" xfId="36180" xr:uid="{00000000-0005-0000-0000-00004F670000}"/>
    <cellStyle name="Millares 3 49" xfId="25155" xr:uid="{00000000-0005-0000-0000-000050670000}"/>
    <cellStyle name="Millares 3 5" xfId="26428" xr:uid="{00000000-0005-0000-0000-000051670000}"/>
    <cellStyle name="Millares 3 5 2" xfId="26429" xr:uid="{00000000-0005-0000-0000-000052670000}"/>
    <cellStyle name="Millares 3 5 2 2" xfId="26430" xr:uid="{00000000-0005-0000-0000-000053670000}"/>
    <cellStyle name="Millares 3 5 2 2 2" xfId="26431" xr:uid="{00000000-0005-0000-0000-000054670000}"/>
    <cellStyle name="Millares 3 5 2 2 2 2" xfId="26432" xr:uid="{00000000-0005-0000-0000-000055670000}"/>
    <cellStyle name="Millares 3 5 2 2 2 2 2" xfId="26433" xr:uid="{00000000-0005-0000-0000-000056670000}"/>
    <cellStyle name="Millares 3 5 2 2 2 2 2 2" xfId="26434" xr:uid="{00000000-0005-0000-0000-000057670000}"/>
    <cellStyle name="Millares 3 5 2 2 2 2 3" xfId="26435" xr:uid="{00000000-0005-0000-0000-000058670000}"/>
    <cellStyle name="Millares 3 5 2 2 2 2 3 2" xfId="26436" xr:uid="{00000000-0005-0000-0000-000059670000}"/>
    <cellStyle name="Millares 3 5 2 2 2 2 4" xfId="26437" xr:uid="{00000000-0005-0000-0000-00005A670000}"/>
    <cellStyle name="Millares 3 5 2 2 2 3" xfId="26438" xr:uid="{00000000-0005-0000-0000-00005B670000}"/>
    <cellStyle name="Millares 3 5 2 2 2 3 2" xfId="26439" xr:uid="{00000000-0005-0000-0000-00005C670000}"/>
    <cellStyle name="Millares 3 5 2 2 2 4" xfId="26440" xr:uid="{00000000-0005-0000-0000-00005D670000}"/>
    <cellStyle name="Millares 3 5 2 2 2 4 2" xfId="26441" xr:uid="{00000000-0005-0000-0000-00005E670000}"/>
    <cellStyle name="Millares 3 5 2 2 2 5" xfId="26442" xr:uid="{00000000-0005-0000-0000-00005F670000}"/>
    <cellStyle name="Millares 3 5 2 2 3" xfId="26443" xr:uid="{00000000-0005-0000-0000-000060670000}"/>
    <cellStyle name="Millares 3 5 2 2 3 2" xfId="26444" xr:uid="{00000000-0005-0000-0000-000061670000}"/>
    <cellStyle name="Millares 3 5 2 2 3 2 2" xfId="26445" xr:uid="{00000000-0005-0000-0000-000062670000}"/>
    <cellStyle name="Millares 3 5 2 2 3 3" xfId="26446" xr:uid="{00000000-0005-0000-0000-000063670000}"/>
    <cellStyle name="Millares 3 5 2 2 3 3 2" xfId="26447" xr:uid="{00000000-0005-0000-0000-000064670000}"/>
    <cellStyle name="Millares 3 5 2 2 3 4" xfId="26448" xr:uid="{00000000-0005-0000-0000-000065670000}"/>
    <cellStyle name="Millares 3 5 2 2 4" xfId="26449" xr:uid="{00000000-0005-0000-0000-000066670000}"/>
    <cellStyle name="Millares 3 5 2 2 4 2" xfId="26450" xr:uid="{00000000-0005-0000-0000-000067670000}"/>
    <cellStyle name="Millares 3 5 2 2 5" xfId="26451" xr:uid="{00000000-0005-0000-0000-000068670000}"/>
    <cellStyle name="Millares 3 5 2 2 5 2" xfId="26452" xr:uid="{00000000-0005-0000-0000-000069670000}"/>
    <cellStyle name="Millares 3 5 2 2 6" xfId="26453" xr:uid="{00000000-0005-0000-0000-00006A670000}"/>
    <cellStyle name="Millares 3 5 2 3" xfId="26454" xr:uid="{00000000-0005-0000-0000-00006B670000}"/>
    <cellStyle name="Millares 3 5 2 3 2" xfId="26455" xr:uid="{00000000-0005-0000-0000-00006C670000}"/>
    <cellStyle name="Millares 3 5 2 3 2 2" xfId="26456" xr:uid="{00000000-0005-0000-0000-00006D670000}"/>
    <cellStyle name="Millares 3 5 2 3 2 2 2" xfId="26457" xr:uid="{00000000-0005-0000-0000-00006E670000}"/>
    <cellStyle name="Millares 3 5 2 3 2 3" xfId="26458" xr:uid="{00000000-0005-0000-0000-00006F670000}"/>
    <cellStyle name="Millares 3 5 2 3 2 3 2" xfId="26459" xr:uid="{00000000-0005-0000-0000-000070670000}"/>
    <cellStyle name="Millares 3 5 2 3 2 4" xfId="26460" xr:uid="{00000000-0005-0000-0000-000071670000}"/>
    <cellStyle name="Millares 3 5 2 3 3" xfId="26461" xr:uid="{00000000-0005-0000-0000-000072670000}"/>
    <cellStyle name="Millares 3 5 2 3 3 2" xfId="26462" xr:uid="{00000000-0005-0000-0000-000073670000}"/>
    <cellStyle name="Millares 3 5 2 3 4" xfId="26463" xr:uid="{00000000-0005-0000-0000-000074670000}"/>
    <cellStyle name="Millares 3 5 2 3 4 2" xfId="26464" xr:uid="{00000000-0005-0000-0000-000075670000}"/>
    <cellStyle name="Millares 3 5 2 3 5" xfId="26465" xr:uid="{00000000-0005-0000-0000-000076670000}"/>
    <cellStyle name="Millares 3 5 2 4" xfId="26466" xr:uid="{00000000-0005-0000-0000-000077670000}"/>
    <cellStyle name="Millares 3 5 2 4 2" xfId="26467" xr:uid="{00000000-0005-0000-0000-000078670000}"/>
    <cellStyle name="Millares 3 5 2 4 2 2" xfId="26468" xr:uid="{00000000-0005-0000-0000-000079670000}"/>
    <cellStyle name="Millares 3 5 2 4 3" xfId="26469" xr:uid="{00000000-0005-0000-0000-00007A670000}"/>
    <cellStyle name="Millares 3 5 2 4 3 2" xfId="26470" xr:uid="{00000000-0005-0000-0000-00007B670000}"/>
    <cellStyle name="Millares 3 5 2 4 4" xfId="26471" xr:uid="{00000000-0005-0000-0000-00007C670000}"/>
    <cellStyle name="Millares 3 5 2 5" xfId="26472" xr:uid="{00000000-0005-0000-0000-00007D670000}"/>
    <cellStyle name="Millares 3 5 2 5 2" xfId="26473" xr:uid="{00000000-0005-0000-0000-00007E670000}"/>
    <cellStyle name="Millares 3 5 2 6" xfId="26474" xr:uid="{00000000-0005-0000-0000-00007F670000}"/>
    <cellStyle name="Millares 3 5 2 6 2" xfId="26475" xr:uid="{00000000-0005-0000-0000-000080670000}"/>
    <cellStyle name="Millares 3 5 2 7" xfId="26476" xr:uid="{00000000-0005-0000-0000-000081670000}"/>
    <cellStyle name="Millares 3 5 3" xfId="26477" xr:uid="{00000000-0005-0000-0000-000082670000}"/>
    <cellStyle name="Millares 3 5 3 2" xfId="26478" xr:uid="{00000000-0005-0000-0000-000083670000}"/>
    <cellStyle name="Millares 3 5 3 2 2" xfId="26479" xr:uid="{00000000-0005-0000-0000-000084670000}"/>
    <cellStyle name="Millares 3 5 3 2 2 2" xfId="26480" xr:uid="{00000000-0005-0000-0000-000085670000}"/>
    <cellStyle name="Millares 3 5 3 2 2 2 2" xfId="26481" xr:uid="{00000000-0005-0000-0000-000086670000}"/>
    <cellStyle name="Millares 3 5 3 2 2 3" xfId="26482" xr:uid="{00000000-0005-0000-0000-000087670000}"/>
    <cellStyle name="Millares 3 5 3 2 2 3 2" xfId="26483" xr:uid="{00000000-0005-0000-0000-000088670000}"/>
    <cellStyle name="Millares 3 5 3 2 2 4" xfId="26484" xr:uid="{00000000-0005-0000-0000-000089670000}"/>
    <cellStyle name="Millares 3 5 3 2 3" xfId="26485" xr:uid="{00000000-0005-0000-0000-00008A670000}"/>
    <cellStyle name="Millares 3 5 3 2 3 2" xfId="26486" xr:uid="{00000000-0005-0000-0000-00008B670000}"/>
    <cellStyle name="Millares 3 5 3 2 4" xfId="26487" xr:uid="{00000000-0005-0000-0000-00008C670000}"/>
    <cellStyle name="Millares 3 5 3 2 4 2" xfId="26488" xr:uid="{00000000-0005-0000-0000-00008D670000}"/>
    <cellStyle name="Millares 3 5 3 2 5" xfId="26489" xr:uid="{00000000-0005-0000-0000-00008E670000}"/>
    <cellStyle name="Millares 3 5 3 3" xfId="26490" xr:uid="{00000000-0005-0000-0000-00008F670000}"/>
    <cellStyle name="Millares 3 5 3 3 2" xfId="26491" xr:uid="{00000000-0005-0000-0000-000090670000}"/>
    <cellStyle name="Millares 3 5 3 3 2 2" xfId="26492" xr:uid="{00000000-0005-0000-0000-000091670000}"/>
    <cellStyle name="Millares 3 5 3 3 3" xfId="26493" xr:uid="{00000000-0005-0000-0000-000092670000}"/>
    <cellStyle name="Millares 3 5 3 3 3 2" xfId="26494" xr:uid="{00000000-0005-0000-0000-000093670000}"/>
    <cellStyle name="Millares 3 5 3 3 4" xfId="26495" xr:uid="{00000000-0005-0000-0000-000094670000}"/>
    <cellStyle name="Millares 3 5 3 4" xfId="26496" xr:uid="{00000000-0005-0000-0000-000095670000}"/>
    <cellStyle name="Millares 3 5 3 4 2" xfId="26497" xr:uid="{00000000-0005-0000-0000-000096670000}"/>
    <cellStyle name="Millares 3 5 3 5" xfId="26498" xr:uid="{00000000-0005-0000-0000-000097670000}"/>
    <cellStyle name="Millares 3 5 3 5 2" xfId="26499" xr:uid="{00000000-0005-0000-0000-000098670000}"/>
    <cellStyle name="Millares 3 5 3 6" xfId="26500" xr:uid="{00000000-0005-0000-0000-000099670000}"/>
    <cellStyle name="Millares 3 5 4" xfId="26501" xr:uid="{00000000-0005-0000-0000-00009A670000}"/>
    <cellStyle name="Millares 3 5 4 2" xfId="26502" xr:uid="{00000000-0005-0000-0000-00009B670000}"/>
    <cellStyle name="Millares 3 5 4 2 2" xfId="26503" xr:uid="{00000000-0005-0000-0000-00009C670000}"/>
    <cellStyle name="Millares 3 5 4 2 2 2" xfId="26504" xr:uid="{00000000-0005-0000-0000-00009D670000}"/>
    <cellStyle name="Millares 3 5 4 2 3" xfId="26505" xr:uid="{00000000-0005-0000-0000-00009E670000}"/>
    <cellStyle name="Millares 3 5 4 2 3 2" xfId="26506" xr:uid="{00000000-0005-0000-0000-00009F670000}"/>
    <cellStyle name="Millares 3 5 4 2 4" xfId="26507" xr:uid="{00000000-0005-0000-0000-0000A0670000}"/>
    <cellStyle name="Millares 3 5 4 3" xfId="26508" xr:uid="{00000000-0005-0000-0000-0000A1670000}"/>
    <cellStyle name="Millares 3 5 4 3 2" xfId="26509" xr:uid="{00000000-0005-0000-0000-0000A2670000}"/>
    <cellStyle name="Millares 3 5 4 4" xfId="26510" xr:uid="{00000000-0005-0000-0000-0000A3670000}"/>
    <cellStyle name="Millares 3 5 4 4 2" xfId="26511" xr:uid="{00000000-0005-0000-0000-0000A4670000}"/>
    <cellStyle name="Millares 3 5 4 5" xfId="26512" xr:uid="{00000000-0005-0000-0000-0000A5670000}"/>
    <cellStyle name="Millares 3 5 5" xfId="26513" xr:uid="{00000000-0005-0000-0000-0000A6670000}"/>
    <cellStyle name="Millares 3 5 5 2" xfId="26514" xr:uid="{00000000-0005-0000-0000-0000A7670000}"/>
    <cellStyle name="Millares 3 5 5 2 2" xfId="26515" xr:uid="{00000000-0005-0000-0000-0000A8670000}"/>
    <cellStyle name="Millares 3 5 5 3" xfId="26516" xr:uid="{00000000-0005-0000-0000-0000A9670000}"/>
    <cellStyle name="Millares 3 5 5 3 2" xfId="26517" xr:uid="{00000000-0005-0000-0000-0000AA670000}"/>
    <cellStyle name="Millares 3 5 5 4" xfId="26518" xr:uid="{00000000-0005-0000-0000-0000AB670000}"/>
    <cellStyle name="Millares 3 5 6" xfId="26519" xr:uid="{00000000-0005-0000-0000-0000AC670000}"/>
    <cellStyle name="Millares 3 5 6 2" xfId="26520" xr:uid="{00000000-0005-0000-0000-0000AD670000}"/>
    <cellStyle name="Millares 3 5 7" xfId="26521" xr:uid="{00000000-0005-0000-0000-0000AE670000}"/>
    <cellStyle name="Millares 3 5 7 2" xfId="26522" xr:uid="{00000000-0005-0000-0000-0000AF670000}"/>
    <cellStyle name="Millares 3 5 8" xfId="26523" xr:uid="{00000000-0005-0000-0000-0000B0670000}"/>
    <cellStyle name="Millares 3 6" xfId="26524" xr:uid="{00000000-0005-0000-0000-0000B1670000}"/>
    <cellStyle name="Millares 3 7" xfId="26525" xr:uid="{00000000-0005-0000-0000-0000B2670000}"/>
    <cellStyle name="Millares 3 7 2" xfId="26526" xr:uid="{00000000-0005-0000-0000-0000B3670000}"/>
    <cellStyle name="Millares 3 7 2 2" xfId="26527" xr:uid="{00000000-0005-0000-0000-0000B4670000}"/>
    <cellStyle name="Millares 3 7 2 2 2" xfId="26528" xr:uid="{00000000-0005-0000-0000-0000B5670000}"/>
    <cellStyle name="Millares 3 7 2 2 2 2" xfId="26529" xr:uid="{00000000-0005-0000-0000-0000B6670000}"/>
    <cellStyle name="Millares 3 7 2 2 2 2 2" xfId="26530" xr:uid="{00000000-0005-0000-0000-0000B7670000}"/>
    <cellStyle name="Millares 3 7 2 2 2 3" xfId="26531" xr:uid="{00000000-0005-0000-0000-0000B8670000}"/>
    <cellStyle name="Millares 3 7 2 2 2 3 2" xfId="26532" xr:uid="{00000000-0005-0000-0000-0000B9670000}"/>
    <cellStyle name="Millares 3 7 2 2 2 4" xfId="26533" xr:uid="{00000000-0005-0000-0000-0000BA670000}"/>
    <cellStyle name="Millares 3 7 2 2 3" xfId="26534" xr:uid="{00000000-0005-0000-0000-0000BB670000}"/>
    <cellStyle name="Millares 3 7 2 2 3 2" xfId="26535" xr:uid="{00000000-0005-0000-0000-0000BC670000}"/>
    <cellStyle name="Millares 3 7 2 2 4" xfId="26536" xr:uid="{00000000-0005-0000-0000-0000BD670000}"/>
    <cellStyle name="Millares 3 7 2 2 4 2" xfId="26537" xr:uid="{00000000-0005-0000-0000-0000BE670000}"/>
    <cellStyle name="Millares 3 7 2 2 5" xfId="26538" xr:uid="{00000000-0005-0000-0000-0000BF670000}"/>
    <cellStyle name="Millares 3 7 2 3" xfId="26539" xr:uid="{00000000-0005-0000-0000-0000C0670000}"/>
    <cellStyle name="Millares 3 7 2 3 2" xfId="26540" xr:uid="{00000000-0005-0000-0000-0000C1670000}"/>
    <cellStyle name="Millares 3 7 2 3 2 2" xfId="26541" xr:uid="{00000000-0005-0000-0000-0000C2670000}"/>
    <cellStyle name="Millares 3 7 2 3 3" xfId="26542" xr:uid="{00000000-0005-0000-0000-0000C3670000}"/>
    <cellStyle name="Millares 3 7 2 3 3 2" xfId="26543" xr:uid="{00000000-0005-0000-0000-0000C4670000}"/>
    <cellStyle name="Millares 3 7 2 3 4" xfId="26544" xr:uid="{00000000-0005-0000-0000-0000C5670000}"/>
    <cellStyle name="Millares 3 7 2 4" xfId="26545" xr:uid="{00000000-0005-0000-0000-0000C6670000}"/>
    <cellStyle name="Millares 3 7 2 4 2" xfId="26546" xr:uid="{00000000-0005-0000-0000-0000C7670000}"/>
    <cellStyle name="Millares 3 7 2 5" xfId="26547" xr:uid="{00000000-0005-0000-0000-0000C8670000}"/>
    <cellStyle name="Millares 3 7 2 5 2" xfId="26548" xr:uid="{00000000-0005-0000-0000-0000C9670000}"/>
    <cellStyle name="Millares 3 7 2 6" xfId="26549" xr:uid="{00000000-0005-0000-0000-0000CA670000}"/>
    <cellStyle name="Millares 3 7 3" xfId="26550" xr:uid="{00000000-0005-0000-0000-0000CB670000}"/>
    <cellStyle name="Millares 3 7 3 2" xfId="26551" xr:uid="{00000000-0005-0000-0000-0000CC670000}"/>
    <cellStyle name="Millares 3 7 3 2 2" xfId="26552" xr:uid="{00000000-0005-0000-0000-0000CD670000}"/>
    <cellStyle name="Millares 3 7 3 2 2 2" xfId="26553" xr:uid="{00000000-0005-0000-0000-0000CE670000}"/>
    <cellStyle name="Millares 3 7 3 2 3" xfId="26554" xr:uid="{00000000-0005-0000-0000-0000CF670000}"/>
    <cellStyle name="Millares 3 7 3 2 3 2" xfId="26555" xr:uid="{00000000-0005-0000-0000-0000D0670000}"/>
    <cellStyle name="Millares 3 7 3 2 4" xfId="26556" xr:uid="{00000000-0005-0000-0000-0000D1670000}"/>
    <cellStyle name="Millares 3 7 3 3" xfId="26557" xr:uid="{00000000-0005-0000-0000-0000D2670000}"/>
    <cellStyle name="Millares 3 7 3 3 2" xfId="26558" xr:uid="{00000000-0005-0000-0000-0000D3670000}"/>
    <cellStyle name="Millares 3 7 3 4" xfId="26559" xr:uid="{00000000-0005-0000-0000-0000D4670000}"/>
    <cellStyle name="Millares 3 7 3 4 2" xfId="26560" xr:uid="{00000000-0005-0000-0000-0000D5670000}"/>
    <cellStyle name="Millares 3 7 3 5" xfId="26561" xr:uid="{00000000-0005-0000-0000-0000D6670000}"/>
    <cellStyle name="Millares 3 7 4" xfId="26562" xr:uid="{00000000-0005-0000-0000-0000D7670000}"/>
    <cellStyle name="Millares 3 7 4 2" xfId="26563" xr:uid="{00000000-0005-0000-0000-0000D8670000}"/>
    <cellStyle name="Millares 3 7 4 2 2" xfId="26564" xr:uid="{00000000-0005-0000-0000-0000D9670000}"/>
    <cellStyle name="Millares 3 7 4 3" xfId="26565" xr:uid="{00000000-0005-0000-0000-0000DA670000}"/>
    <cellStyle name="Millares 3 7 4 3 2" xfId="26566" xr:uid="{00000000-0005-0000-0000-0000DB670000}"/>
    <cellStyle name="Millares 3 7 4 4" xfId="26567" xr:uid="{00000000-0005-0000-0000-0000DC670000}"/>
    <cellStyle name="Millares 3 7 5" xfId="26568" xr:uid="{00000000-0005-0000-0000-0000DD670000}"/>
    <cellStyle name="Millares 3 7 5 2" xfId="26569" xr:uid="{00000000-0005-0000-0000-0000DE670000}"/>
    <cellStyle name="Millares 3 7 6" xfId="26570" xr:uid="{00000000-0005-0000-0000-0000DF670000}"/>
    <cellStyle name="Millares 3 7 6 2" xfId="26571" xr:uid="{00000000-0005-0000-0000-0000E0670000}"/>
    <cellStyle name="Millares 3 7 7" xfId="26572" xr:uid="{00000000-0005-0000-0000-0000E1670000}"/>
    <cellStyle name="Millares 3 8" xfId="26573" xr:uid="{00000000-0005-0000-0000-0000E2670000}"/>
    <cellStyle name="Millares 3 8 2" xfId="26574" xr:uid="{00000000-0005-0000-0000-0000E3670000}"/>
    <cellStyle name="Millares 3 8 2 2" xfId="26575" xr:uid="{00000000-0005-0000-0000-0000E4670000}"/>
    <cellStyle name="Millares 3 8 2 2 2" xfId="26576" xr:uid="{00000000-0005-0000-0000-0000E5670000}"/>
    <cellStyle name="Millares 3 8 2 2 2 2" xfId="26577" xr:uid="{00000000-0005-0000-0000-0000E6670000}"/>
    <cellStyle name="Millares 3 8 2 2 3" xfId="26578" xr:uid="{00000000-0005-0000-0000-0000E7670000}"/>
    <cellStyle name="Millares 3 8 2 2 3 2" xfId="26579" xr:uid="{00000000-0005-0000-0000-0000E8670000}"/>
    <cellStyle name="Millares 3 8 2 2 4" xfId="26580" xr:uid="{00000000-0005-0000-0000-0000E9670000}"/>
    <cellStyle name="Millares 3 8 2 3" xfId="26581" xr:uid="{00000000-0005-0000-0000-0000EA670000}"/>
    <cellStyle name="Millares 3 8 2 3 2" xfId="26582" xr:uid="{00000000-0005-0000-0000-0000EB670000}"/>
    <cellStyle name="Millares 3 8 2 4" xfId="26583" xr:uid="{00000000-0005-0000-0000-0000EC670000}"/>
    <cellStyle name="Millares 3 8 2 4 2" xfId="26584" xr:uid="{00000000-0005-0000-0000-0000ED670000}"/>
    <cellStyle name="Millares 3 8 2 5" xfId="26585" xr:uid="{00000000-0005-0000-0000-0000EE670000}"/>
    <cellStyle name="Millares 3 8 3" xfId="26586" xr:uid="{00000000-0005-0000-0000-0000EF670000}"/>
    <cellStyle name="Millares 3 8 3 2" xfId="26587" xr:uid="{00000000-0005-0000-0000-0000F0670000}"/>
    <cellStyle name="Millares 3 8 3 2 2" xfId="26588" xr:uid="{00000000-0005-0000-0000-0000F1670000}"/>
    <cellStyle name="Millares 3 8 3 3" xfId="26589" xr:uid="{00000000-0005-0000-0000-0000F2670000}"/>
    <cellStyle name="Millares 3 8 3 3 2" xfId="26590" xr:uid="{00000000-0005-0000-0000-0000F3670000}"/>
    <cellStyle name="Millares 3 8 3 4" xfId="26591" xr:uid="{00000000-0005-0000-0000-0000F4670000}"/>
    <cellStyle name="Millares 3 8 4" xfId="26592" xr:uid="{00000000-0005-0000-0000-0000F5670000}"/>
    <cellStyle name="Millares 3 8 4 2" xfId="26593" xr:uid="{00000000-0005-0000-0000-0000F6670000}"/>
    <cellStyle name="Millares 3 8 5" xfId="26594" xr:uid="{00000000-0005-0000-0000-0000F7670000}"/>
    <cellStyle name="Millares 3 8 5 2" xfId="26595" xr:uid="{00000000-0005-0000-0000-0000F8670000}"/>
    <cellStyle name="Millares 3 8 6" xfId="26596" xr:uid="{00000000-0005-0000-0000-0000F9670000}"/>
    <cellStyle name="Millares 3 9" xfId="26597" xr:uid="{00000000-0005-0000-0000-0000FA670000}"/>
    <cellStyle name="Millares 3 9 2" xfId="26598" xr:uid="{00000000-0005-0000-0000-0000FB670000}"/>
    <cellStyle name="Millares 3 9 2 2" xfId="26599" xr:uid="{00000000-0005-0000-0000-0000FC670000}"/>
    <cellStyle name="Millares 3 9 2 2 2" xfId="26600" xr:uid="{00000000-0005-0000-0000-0000FD670000}"/>
    <cellStyle name="Millares 3 9 2 3" xfId="26601" xr:uid="{00000000-0005-0000-0000-0000FE670000}"/>
    <cellStyle name="Millares 3 9 2 3 2" xfId="26602" xr:uid="{00000000-0005-0000-0000-0000FF670000}"/>
    <cellStyle name="Millares 3 9 2 4" xfId="26603" xr:uid="{00000000-0005-0000-0000-000000680000}"/>
    <cellStyle name="Millares 3 9 3" xfId="26604" xr:uid="{00000000-0005-0000-0000-000001680000}"/>
    <cellStyle name="Millares 3 9 3 2" xfId="26605" xr:uid="{00000000-0005-0000-0000-000002680000}"/>
    <cellStyle name="Millares 3 9 4" xfId="26606" xr:uid="{00000000-0005-0000-0000-000003680000}"/>
    <cellStyle name="Millares 3 9 4 2" xfId="26607" xr:uid="{00000000-0005-0000-0000-000004680000}"/>
    <cellStyle name="Millares 3 9 5" xfId="26608" xr:uid="{00000000-0005-0000-0000-000005680000}"/>
    <cellStyle name="Millares 3_BBGG-Consolidado Chira Mar 10" xfId="26609" xr:uid="{00000000-0005-0000-0000-000006680000}"/>
    <cellStyle name="Millares 30" xfId="26610" xr:uid="{00000000-0005-0000-0000-000007680000}"/>
    <cellStyle name="Millares 31" xfId="26611" xr:uid="{00000000-0005-0000-0000-000008680000}"/>
    <cellStyle name="Millares 32" xfId="26612" xr:uid="{00000000-0005-0000-0000-000009680000}"/>
    <cellStyle name="Millares 33" xfId="26613" xr:uid="{00000000-0005-0000-0000-00000A680000}"/>
    <cellStyle name="Millares 34" xfId="26614" xr:uid="{00000000-0005-0000-0000-00000B680000}"/>
    <cellStyle name="Millares 35" xfId="26615" xr:uid="{00000000-0005-0000-0000-00000C680000}"/>
    <cellStyle name="Millares 36" xfId="26616" xr:uid="{00000000-0005-0000-0000-00000D680000}"/>
    <cellStyle name="Millares 37" xfId="26617" xr:uid="{00000000-0005-0000-0000-00000E680000}"/>
    <cellStyle name="Millares 38" xfId="26618" xr:uid="{00000000-0005-0000-0000-00000F680000}"/>
    <cellStyle name="Millares 39" xfId="26619" xr:uid="{00000000-0005-0000-0000-000010680000}"/>
    <cellStyle name="Millares 4" xfId="26620" xr:uid="{00000000-0005-0000-0000-000011680000}"/>
    <cellStyle name="Millares 4 10" xfId="26621" xr:uid="{00000000-0005-0000-0000-000012680000}"/>
    <cellStyle name="Millares 4 11" xfId="26622" xr:uid="{00000000-0005-0000-0000-000013680000}"/>
    <cellStyle name="Millares 4 12" xfId="26623" xr:uid="{00000000-0005-0000-0000-000014680000}"/>
    <cellStyle name="Millares 4 13" xfId="26624" xr:uid="{00000000-0005-0000-0000-000015680000}"/>
    <cellStyle name="Millares 4 14" xfId="26625" xr:uid="{00000000-0005-0000-0000-000016680000}"/>
    <cellStyle name="Millares 4 15" xfId="26626" xr:uid="{00000000-0005-0000-0000-000017680000}"/>
    <cellStyle name="Millares 4 16" xfId="26627" xr:uid="{00000000-0005-0000-0000-000018680000}"/>
    <cellStyle name="Millares 4 17" xfId="26628" xr:uid="{00000000-0005-0000-0000-000019680000}"/>
    <cellStyle name="Millares 4 18" xfId="26629" xr:uid="{00000000-0005-0000-0000-00001A680000}"/>
    <cellStyle name="Millares 4 19" xfId="26630" xr:uid="{00000000-0005-0000-0000-00001B680000}"/>
    <cellStyle name="Millares 4 2" xfId="26631" xr:uid="{00000000-0005-0000-0000-00001C680000}"/>
    <cellStyle name="Millares 4 2 10" xfId="26632" xr:uid="{00000000-0005-0000-0000-00001D680000}"/>
    <cellStyle name="Millares 4 2 11" xfId="26633" xr:uid="{00000000-0005-0000-0000-00001E680000}"/>
    <cellStyle name="Millares 4 2 12" xfId="26634" xr:uid="{00000000-0005-0000-0000-00001F680000}"/>
    <cellStyle name="Millares 4 2 13" xfId="26635" xr:uid="{00000000-0005-0000-0000-000020680000}"/>
    <cellStyle name="Millares 4 2 2" xfId="26636" xr:uid="{00000000-0005-0000-0000-000021680000}"/>
    <cellStyle name="Millares 4 2 2 10" xfId="26637" xr:uid="{00000000-0005-0000-0000-000022680000}"/>
    <cellStyle name="Millares 4 2 2 11" xfId="26638" xr:uid="{00000000-0005-0000-0000-000023680000}"/>
    <cellStyle name="Millares 4 2 2 12" xfId="26639" xr:uid="{00000000-0005-0000-0000-000024680000}"/>
    <cellStyle name="Millares 4 2 2 13" xfId="26640" xr:uid="{00000000-0005-0000-0000-000025680000}"/>
    <cellStyle name="Millares 4 2 2 2" xfId="26641" xr:uid="{00000000-0005-0000-0000-000026680000}"/>
    <cellStyle name="Millares 4 2 2 3" xfId="26642" xr:uid="{00000000-0005-0000-0000-000027680000}"/>
    <cellStyle name="Millares 4 2 2 4" xfId="26643" xr:uid="{00000000-0005-0000-0000-000028680000}"/>
    <cellStyle name="Millares 4 2 2 5" xfId="26644" xr:uid="{00000000-0005-0000-0000-000029680000}"/>
    <cellStyle name="Millares 4 2 2 6" xfId="26645" xr:uid="{00000000-0005-0000-0000-00002A680000}"/>
    <cellStyle name="Millares 4 2 2 7" xfId="26646" xr:uid="{00000000-0005-0000-0000-00002B680000}"/>
    <cellStyle name="Millares 4 2 2 8" xfId="26647" xr:uid="{00000000-0005-0000-0000-00002C680000}"/>
    <cellStyle name="Millares 4 2 2 9" xfId="26648" xr:uid="{00000000-0005-0000-0000-00002D680000}"/>
    <cellStyle name="Millares 4 2 3" xfId="26649" xr:uid="{00000000-0005-0000-0000-00002E680000}"/>
    <cellStyle name="Millares 4 2 4" xfId="26650" xr:uid="{00000000-0005-0000-0000-00002F680000}"/>
    <cellStyle name="Millares 4 2 5" xfId="26651" xr:uid="{00000000-0005-0000-0000-000030680000}"/>
    <cellStyle name="Millares 4 2 6" xfId="26652" xr:uid="{00000000-0005-0000-0000-000031680000}"/>
    <cellStyle name="Millares 4 2 7" xfId="26653" xr:uid="{00000000-0005-0000-0000-000032680000}"/>
    <cellStyle name="Millares 4 2 8" xfId="26654" xr:uid="{00000000-0005-0000-0000-000033680000}"/>
    <cellStyle name="Millares 4 2 9" xfId="26655" xr:uid="{00000000-0005-0000-0000-000034680000}"/>
    <cellStyle name="Millares 4 20" xfId="26656" xr:uid="{00000000-0005-0000-0000-000035680000}"/>
    <cellStyle name="Millares 4 21" xfId="26657" xr:uid="{00000000-0005-0000-0000-000036680000}"/>
    <cellStyle name="Millares 4 22" xfId="26658" xr:uid="{00000000-0005-0000-0000-000037680000}"/>
    <cellStyle name="Millares 4 23" xfId="26659" xr:uid="{00000000-0005-0000-0000-000038680000}"/>
    <cellStyle name="Millares 4 24" xfId="26660" xr:uid="{00000000-0005-0000-0000-000039680000}"/>
    <cellStyle name="Millares 4 25" xfId="26661" xr:uid="{00000000-0005-0000-0000-00003A680000}"/>
    <cellStyle name="Millares 4 26" xfId="26662" xr:uid="{00000000-0005-0000-0000-00003B680000}"/>
    <cellStyle name="Millares 4 27" xfId="26663" xr:uid="{00000000-0005-0000-0000-00003C680000}"/>
    <cellStyle name="Millares 4 28" xfId="26664" xr:uid="{00000000-0005-0000-0000-00003D680000}"/>
    <cellStyle name="Millares 4 29" xfId="36233" xr:uid="{00000000-0005-0000-0000-00003E680000}"/>
    <cellStyle name="Millares 4 3" xfId="26665" xr:uid="{00000000-0005-0000-0000-00003F680000}"/>
    <cellStyle name="Millares 4 4" xfId="26666" xr:uid="{00000000-0005-0000-0000-000040680000}"/>
    <cellStyle name="Millares 4 5" xfId="26667" xr:uid="{00000000-0005-0000-0000-000041680000}"/>
    <cellStyle name="Millares 4 6" xfId="26668" xr:uid="{00000000-0005-0000-0000-000042680000}"/>
    <cellStyle name="Millares 4 7" xfId="26669" xr:uid="{00000000-0005-0000-0000-000043680000}"/>
    <cellStyle name="Millares 4 8" xfId="26670" xr:uid="{00000000-0005-0000-0000-000044680000}"/>
    <cellStyle name="Millares 4 9" xfId="26671" xr:uid="{00000000-0005-0000-0000-000045680000}"/>
    <cellStyle name="Millares 40" xfId="26672" xr:uid="{00000000-0005-0000-0000-000046680000}"/>
    <cellStyle name="Millares 41" xfId="26673" xr:uid="{00000000-0005-0000-0000-000047680000}"/>
    <cellStyle name="Millares 42" xfId="26674" xr:uid="{00000000-0005-0000-0000-000048680000}"/>
    <cellStyle name="Millares 43" xfId="26675" xr:uid="{00000000-0005-0000-0000-000049680000}"/>
    <cellStyle name="Millares 44" xfId="26676" xr:uid="{00000000-0005-0000-0000-00004A680000}"/>
    <cellStyle name="Millares 45" xfId="26677" xr:uid="{00000000-0005-0000-0000-00004B680000}"/>
    <cellStyle name="Millares 46" xfId="26678" xr:uid="{00000000-0005-0000-0000-00004C680000}"/>
    <cellStyle name="Millares 47" xfId="26679" xr:uid="{00000000-0005-0000-0000-00004D680000}"/>
    <cellStyle name="Millares 48" xfId="26680" xr:uid="{00000000-0005-0000-0000-00004E680000}"/>
    <cellStyle name="Millares 49" xfId="26681" xr:uid="{00000000-0005-0000-0000-00004F680000}"/>
    <cellStyle name="Millares 5" xfId="26682" xr:uid="{00000000-0005-0000-0000-000050680000}"/>
    <cellStyle name="Millares 5 10" xfId="26683" xr:uid="{00000000-0005-0000-0000-000051680000}"/>
    <cellStyle name="Millares 5 11" xfId="26684" xr:uid="{00000000-0005-0000-0000-000052680000}"/>
    <cellStyle name="Millares 5 12" xfId="26685" xr:uid="{00000000-0005-0000-0000-000053680000}"/>
    <cellStyle name="Millares 5 13" xfId="26686" xr:uid="{00000000-0005-0000-0000-000054680000}"/>
    <cellStyle name="Millares 5 14" xfId="26687" xr:uid="{00000000-0005-0000-0000-000055680000}"/>
    <cellStyle name="Millares 5 15" xfId="26688" xr:uid="{00000000-0005-0000-0000-000056680000}"/>
    <cellStyle name="Millares 5 16" xfId="26689" xr:uid="{00000000-0005-0000-0000-000057680000}"/>
    <cellStyle name="Millares 5 17" xfId="26690" xr:uid="{00000000-0005-0000-0000-000058680000}"/>
    <cellStyle name="Millares 5 18" xfId="26691" xr:uid="{00000000-0005-0000-0000-000059680000}"/>
    <cellStyle name="Millares 5 19" xfId="26692" xr:uid="{00000000-0005-0000-0000-00005A680000}"/>
    <cellStyle name="Millares 5 2" xfId="26693" xr:uid="{00000000-0005-0000-0000-00005B680000}"/>
    <cellStyle name="Millares 5 20" xfId="26694" xr:uid="{00000000-0005-0000-0000-00005C680000}"/>
    <cellStyle name="Millares 5 21" xfId="26695" xr:uid="{00000000-0005-0000-0000-00005D680000}"/>
    <cellStyle name="Millares 5 22" xfId="26696" xr:uid="{00000000-0005-0000-0000-00005E680000}"/>
    <cellStyle name="Millares 5 23" xfId="26697" xr:uid="{00000000-0005-0000-0000-00005F680000}"/>
    <cellStyle name="Millares 5 24" xfId="26698" xr:uid="{00000000-0005-0000-0000-000060680000}"/>
    <cellStyle name="Millares 5 25" xfId="26699" xr:uid="{00000000-0005-0000-0000-000061680000}"/>
    <cellStyle name="Millares 5 26" xfId="26700" xr:uid="{00000000-0005-0000-0000-000062680000}"/>
    <cellStyle name="Millares 5 27" xfId="26701" xr:uid="{00000000-0005-0000-0000-000063680000}"/>
    <cellStyle name="Millares 5 28" xfId="26702" xr:uid="{00000000-0005-0000-0000-000064680000}"/>
    <cellStyle name="Millares 5 29" xfId="26703" xr:uid="{00000000-0005-0000-0000-000065680000}"/>
    <cellStyle name="Millares 5 3" xfId="26704" xr:uid="{00000000-0005-0000-0000-000066680000}"/>
    <cellStyle name="Millares 5 30" xfId="26705" xr:uid="{00000000-0005-0000-0000-000067680000}"/>
    <cellStyle name="Millares 5 31" xfId="26706" xr:uid="{00000000-0005-0000-0000-000068680000}"/>
    <cellStyle name="Millares 5 32" xfId="36341" xr:uid="{00000000-0005-0000-0000-000069680000}"/>
    <cellStyle name="Millares 5 4" xfId="26707" xr:uid="{00000000-0005-0000-0000-00006A680000}"/>
    <cellStyle name="Millares 5 5" xfId="26708" xr:uid="{00000000-0005-0000-0000-00006B680000}"/>
    <cellStyle name="Millares 5 6" xfId="26709" xr:uid="{00000000-0005-0000-0000-00006C680000}"/>
    <cellStyle name="Millares 5 7" xfId="26710" xr:uid="{00000000-0005-0000-0000-00006D680000}"/>
    <cellStyle name="Millares 5 8" xfId="26711" xr:uid="{00000000-0005-0000-0000-00006E680000}"/>
    <cellStyle name="Millares 5 9" xfId="26712" xr:uid="{00000000-0005-0000-0000-00006F680000}"/>
    <cellStyle name="Millares 50" xfId="26713" xr:uid="{00000000-0005-0000-0000-000070680000}"/>
    <cellStyle name="Millares 51" xfId="26714" xr:uid="{00000000-0005-0000-0000-000071680000}"/>
    <cellStyle name="Millares 52" xfId="26715" xr:uid="{00000000-0005-0000-0000-000072680000}"/>
    <cellStyle name="Millares 53" xfId="26716" xr:uid="{00000000-0005-0000-0000-000073680000}"/>
    <cellStyle name="Millares 54" xfId="26717" xr:uid="{00000000-0005-0000-0000-000074680000}"/>
    <cellStyle name="Millares 55" xfId="36130" xr:uid="{00000000-0005-0000-0000-000075680000}"/>
    <cellStyle name="Millares 56" xfId="36129" xr:uid="{00000000-0005-0000-0000-000076680000}"/>
    <cellStyle name="Millares 57" xfId="36131" xr:uid="{00000000-0005-0000-0000-000077680000}"/>
    <cellStyle name="Millares 58" xfId="36132" xr:uid="{00000000-0005-0000-0000-000078680000}"/>
    <cellStyle name="Millares 59" xfId="36133" xr:uid="{00000000-0005-0000-0000-000079680000}"/>
    <cellStyle name="Millares 6" xfId="26718" xr:uid="{00000000-0005-0000-0000-00007A680000}"/>
    <cellStyle name="Millares 6 10" xfId="26719" xr:uid="{00000000-0005-0000-0000-00007B680000}"/>
    <cellStyle name="Millares 6 11" xfId="26720" xr:uid="{00000000-0005-0000-0000-00007C680000}"/>
    <cellStyle name="Millares 6 12" xfId="26721" xr:uid="{00000000-0005-0000-0000-00007D680000}"/>
    <cellStyle name="Millares 6 13" xfId="26722" xr:uid="{00000000-0005-0000-0000-00007E680000}"/>
    <cellStyle name="Millares 6 14" xfId="26723" xr:uid="{00000000-0005-0000-0000-00007F680000}"/>
    <cellStyle name="Millares 6 15" xfId="26724" xr:uid="{00000000-0005-0000-0000-000080680000}"/>
    <cellStyle name="Millares 6 16" xfId="26725" xr:uid="{00000000-0005-0000-0000-000081680000}"/>
    <cellStyle name="Millares 6 17" xfId="26726" xr:uid="{00000000-0005-0000-0000-000082680000}"/>
    <cellStyle name="Millares 6 18" xfId="26727" xr:uid="{00000000-0005-0000-0000-000083680000}"/>
    <cellStyle name="Millares 6 19" xfId="26728" xr:uid="{00000000-0005-0000-0000-000084680000}"/>
    <cellStyle name="Millares 6 2" xfId="26729" xr:uid="{00000000-0005-0000-0000-000085680000}"/>
    <cellStyle name="Millares 6 20" xfId="26730" xr:uid="{00000000-0005-0000-0000-000086680000}"/>
    <cellStyle name="Millares 6 21" xfId="26731" xr:uid="{00000000-0005-0000-0000-000087680000}"/>
    <cellStyle name="Millares 6 22" xfId="26732" xr:uid="{00000000-0005-0000-0000-000088680000}"/>
    <cellStyle name="Millares 6 23" xfId="26733" xr:uid="{00000000-0005-0000-0000-000089680000}"/>
    <cellStyle name="Millares 6 24" xfId="26734" xr:uid="{00000000-0005-0000-0000-00008A680000}"/>
    <cellStyle name="Millares 6 25" xfId="26735" xr:uid="{00000000-0005-0000-0000-00008B680000}"/>
    <cellStyle name="Millares 6 26" xfId="26736" xr:uid="{00000000-0005-0000-0000-00008C680000}"/>
    <cellStyle name="Millares 6 27" xfId="26737" xr:uid="{00000000-0005-0000-0000-00008D680000}"/>
    <cellStyle name="Millares 6 28" xfId="26738" xr:uid="{00000000-0005-0000-0000-00008E680000}"/>
    <cellStyle name="Millares 6 29" xfId="26739" xr:uid="{00000000-0005-0000-0000-00008F680000}"/>
    <cellStyle name="Millares 6 3" xfId="26740" xr:uid="{00000000-0005-0000-0000-000090680000}"/>
    <cellStyle name="Millares 6 30" xfId="26741" xr:uid="{00000000-0005-0000-0000-000091680000}"/>
    <cellStyle name="Millares 6 31" xfId="26742" xr:uid="{00000000-0005-0000-0000-000092680000}"/>
    <cellStyle name="Millares 6 32" xfId="26743" xr:uid="{00000000-0005-0000-0000-000093680000}"/>
    <cellStyle name="Millares 6 33" xfId="26744" xr:uid="{00000000-0005-0000-0000-000094680000}"/>
    <cellStyle name="Millares 6 34" xfId="26745" xr:uid="{00000000-0005-0000-0000-000095680000}"/>
    <cellStyle name="Millares 6 35" xfId="26746" xr:uid="{00000000-0005-0000-0000-000096680000}"/>
    <cellStyle name="Millares 6 36" xfId="26747" xr:uid="{00000000-0005-0000-0000-000097680000}"/>
    <cellStyle name="Millares 6 37" xfId="26748" xr:uid="{00000000-0005-0000-0000-000098680000}"/>
    <cellStyle name="Millares 6 38" xfId="26749" xr:uid="{00000000-0005-0000-0000-000099680000}"/>
    <cellStyle name="Millares 6 39" xfId="26750" xr:uid="{00000000-0005-0000-0000-00009A680000}"/>
    <cellStyle name="Millares 6 4" xfId="26751" xr:uid="{00000000-0005-0000-0000-00009B680000}"/>
    <cellStyle name="Millares 6 40" xfId="26752" xr:uid="{00000000-0005-0000-0000-00009C680000}"/>
    <cellStyle name="Millares 6 41" xfId="26753" xr:uid="{00000000-0005-0000-0000-00009D680000}"/>
    <cellStyle name="Millares 6 42" xfId="26754" xr:uid="{00000000-0005-0000-0000-00009E680000}"/>
    <cellStyle name="Millares 6 43" xfId="26755" xr:uid="{00000000-0005-0000-0000-00009F680000}"/>
    <cellStyle name="Millares 6 44" xfId="26756" xr:uid="{00000000-0005-0000-0000-0000A0680000}"/>
    <cellStyle name="Millares 6 5" xfId="26757" xr:uid="{00000000-0005-0000-0000-0000A1680000}"/>
    <cellStyle name="Millares 6 6" xfId="26758" xr:uid="{00000000-0005-0000-0000-0000A2680000}"/>
    <cellStyle name="Millares 6 7" xfId="26759" xr:uid="{00000000-0005-0000-0000-0000A3680000}"/>
    <cellStyle name="Millares 6 8" xfId="26760" xr:uid="{00000000-0005-0000-0000-0000A4680000}"/>
    <cellStyle name="Millares 6 9" xfId="26761" xr:uid="{00000000-0005-0000-0000-0000A5680000}"/>
    <cellStyle name="Millares 60" xfId="36134" xr:uid="{00000000-0005-0000-0000-0000A6680000}"/>
    <cellStyle name="Millares 61" xfId="36135" xr:uid="{00000000-0005-0000-0000-0000A7680000}"/>
    <cellStyle name="Millares 62" xfId="36136" xr:uid="{00000000-0005-0000-0000-0000A8680000}"/>
    <cellStyle name="Millares 63" xfId="36137" xr:uid="{00000000-0005-0000-0000-0000A9680000}"/>
    <cellStyle name="Millares 64" xfId="36138" xr:uid="{00000000-0005-0000-0000-0000AA680000}"/>
    <cellStyle name="Millares 65" xfId="36139" xr:uid="{00000000-0005-0000-0000-0000AB680000}"/>
    <cellStyle name="Millares 66" xfId="36140" xr:uid="{00000000-0005-0000-0000-0000AC680000}"/>
    <cellStyle name="Millares 67" xfId="36141" xr:uid="{00000000-0005-0000-0000-0000AD680000}"/>
    <cellStyle name="Millares 68" xfId="36142" xr:uid="{00000000-0005-0000-0000-0000AE680000}"/>
    <cellStyle name="Millares 69" xfId="36143" xr:uid="{00000000-0005-0000-0000-0000AF680000}"/>
    <cellStyle name="Millares 7" xfId="26762" xr:uid="{00000000-0005-0000-0000-0000B0680000}"/>
    <cellStyle name="Millares 7 10" xfId="26763" xr:uid="{00000000-0005-0000-0000-0000B1680000}"/>
    <cellStyle name="Millares 7 11" xfId="26764" xr:uid="{00000000-0005-0000-0000-0000B2680000}"/>
    <cellStyle name="Millares 7 12" xfId="26765" xr:uid="{00000000-0005-0000-0000-0000B3680000}"/>
    <cellStyle name="Millares 7 13" xfId="26766" xr:uid="{00000000-0005-0000-0000-0000B4680000}"/>
    <cellStyle name="Millares 7 14" xfId="26767" xr:uid="{00000000-0005-0000-0000-0000B5680000}"/>
    <cellStyle name="Millares 7 15" xfId="26768" xr:uid="{00000000-0005-0000-0000-0000B6680000}"/>
    <cellStyle name="Millares 7 16" xfId="26769" xr:uid="{00000000-0005-0000-0000-0000B7680000}"/>
    <cellStyle name="Millares 7 17" xfId="26770" xr:uid="{00000000-0005-0000-0000-0000B8680000}"/>
    <cellStyle name="Millares 7 18" xfId="26771" xr:uid="{00000000-0005-0000-0000-0000B9680000}"/>
    <cellStyle name="Millares 7 19" xfId="26772" xr:uid="{00000000-0005-0000-0000-0000BA680000}"/>
    <cellStyle name="Millares 7 2" xfId="26773" xr:uid="{00000000-0005-0000-0000-0000BB680000}"/>
    <cellStyle name="Millares 7 2 2" xfId="26774" xr:uid="{00000000-0005-0000-0000-0000BC680000}"/>
    <cellStyle name="Millares 7 2 2 2" xfId="26775" xr:uid="{00000000-0005-0000-0000-0000BD680000}"/>
    <cellStyle name="Millares 7 2 2 2 2" xfId="26776" xr:uid="{00000000-0005-0000-0000-0000BE680000}"/>
    <cellStyle name="Millares 7 2 2 2 2 2" xfId="26777" xr:uid="{00000000-0005-0000-0000-0000BF680000}"/>
    <cellStyle name="Millares 7 2 2 2 2 2 2" xfId="26778" xr:uid="{00000000-0005-0000-0000-0000C0680000}"/>
    <cellStyle name="Millares 7 2 2 2 2 2 2 2" xfId="26779" xr:uid="{00000000-0005-0000-0000-0000C1680000}"/>
    <cellStyle name="Millares 7 2 2 2 2 2 3" xfId="26780" xr:uid="{00000000-0005-0000-0000-0000C2680000}"/>
    <cellStyle name="Millares 7 2 2 2 2 2 3 2" xfId="26781" xr:uid="{00000000-0005-0000-0000-0000C3680000}"/>
    <cellStyle name="Millares 7 2 2 2 2 2 4" xfId="26782" xr:uid="{00000000-0005-0000-0000-0000C4680000}"/>
    <cellStyle name="Millares 7 2 2 2 2 3" xfId="26783" xr:uid="{00000000-0005-0000-0000-0000C5680000}"/>
    <cellStyle name="Millares 7 2 2 2 2 3 2" xfId="26784" xr:uid="{00000000-0005-0000-0000-0000C6680000}"/>
    <cellStyle name="Millares 7 2 2 2 2 4" xfId="26785" xr:uid="{00000000-0005-0000-0000-0000C7680000}"/>
    <cellStyle name="Millares 7 2 2 2 2 4 2" xfId="26786" xr:uid="{00000000-0005-0000-0000-0000C8680000}"/>
    <cellStyle name="Millares 7 2 2 2 2 5" xfId="26787" xr:uid="{00000000-0005-0000-0000-0000C9680000}"/>
    <cellStyle name="Millares 7 2 2 2 3" xfId="26788" xr:uid="{00000000-0005-0000-0000-0000CA680000}"/>
    <cellStyle name="Millares 7 2 2 2 3 2" xfId="26789" xr:uid="{00000000-0005-0000-0000-0000CB680000}"/>
    <cellStyle name="Millares 7 2 2 2 3 2 2" xfId="26790" xr:uid="{00000000-0005-0000-0000-0000CC680000}"/>
    <cellStyle name="Millares 7 2 2 2 3 3" xfId="26791" xr:uid="{00000000-0005-0000-0000-0000CD680000}"/>
    <cellStyle name="Millares 7 2 2 2 3 3 2" xfId="26792" xr:uid="{00000000-0005-0000-0000-0000CE680000}"/>
    <cellStyle name="Millares 7 2 2 2 3 4" xfId="26793" xr:uid="{00000000-0005-0000-0000-0000CF680000}"/>
    <cellStyle name="Millares 7 2 2 2 4" xfId="26794" xr:uid="{00000000-0005-0000-0000-0000D0680000}"/>
    <cellStyle name="Millares 7 2 2 2 4 2" xfId="26795" xr:uid="{00000000-0005-0000-0000-0000D1680000}"/>
    <cellStyle name="Millares 7 2 2 2 5" xfId="26796" xr:uid="{00000000-0005-0000-0000-0000D2680000}"/>
    <cellStyle name="Millares 7 2 2 2 5 2" xfId="26797" xr:uid="{00000000-0005-0000-0000-0000D3680000}"/>
    <cellStyle name="Millares 7 2 2 2 6" xfId="26798" xr:uid="{00000000-0005-0000-0000-0000D4680000}"/>
    <cellStyle name="Millares 7 2 2 3" xfId="26799" xr:uid="{00000000-0005-0000-0000-0000D5680000}"/>
    <cellStyle name="Millares 7 2 2 3 2" xfId="26800" xr:uid="{00000000-0005-0000-0000-0000D6680000}"/>
    <cellStyle name="Millares 7 2 2 3 2 2" xfId="26801" xr:uid="{00000000-0005-0000-0000-0000D7680000}"/>
    <cellStyle name="Millares 7 2 2 3 2 2 2" xfId="26802" xr:uid="{00000000-0005-0000-0000-0000D8680000}"/>
    <cellStyle name="Millares 7 2 2 3 2 3" xfId="26803" xr:uid="{00000000-0005-0000-0000-0000D9680000}"/>
    <cellStyle name="Millares 7 2 2 3 2 3 2" xfId="26804" xr:uid="{00000000-0005-0000-0000-0000DA680000}"/>
    <cellStyle name="Millares 7 2 2 3 2 4" xfId="26805" xr:uid="{00000000-0005-0000-0000-0000DB680000}"/>
    <cellStyle name="Millares 7 2 2 3 3" xfId="26806" xr:uid="{00000000-0005-0000-0000-0000DC680000}"/>
    <cellStyle name="Millares 7 2 2 3 3 2" xfId="26807" xr:uid="{00000000-0005-0000-0000-0000DD680000}"/>
    <cellStyle name="Millares 7 2 2 3 4" xfId="26808" xr:uid="{00000000-0005-0000-0000-0000DE680000}"/>
    <cellStyle name="Millares 7 2 2 3 4 2" xfId="26809" xr:uid="{00000000-0005-0000-0000-0000DF680000}"/>
    <cellStyle name="Millares 7 2 2 3 5" xfId="26810" xr:uid="{00000000-0005-0000-0000-0000E0680000}"/>
    <cellStyle name="Millares 7 2 2 4" xfId="26811" xr:uid="{00000000-0005-0000-0000-0000E1680000}"/>
    <cellStyle name="Millares 7 2 2 4 2" xfId="26812" xr:uid="{00000000-0005-0000-0000-0000E2680000}"/>
    <cellStyle name="Millares 7 2 2 4 2 2" xfId="26813" xr:uid="{00000000-0005-0000-0000-0000E3680000}"/>
    <cellStyle name="Millares 7 2 2 4 3" xfId="26814" xr:uid="{00000000-0005-0000-0000-0000E4680000}"/>
    <cellStyle name="Millares 7 2 2 4 3 2" xfId="26815" xr:uid="{00000000-0005-0000-0000-0000E5680000}"/>
    <cellStyle name="Millares 7 2 2 4 4" xfId="26816" xr:uid="{00000000-0005-0000-0000-0000E6680000}"/>
    <cellStyle name="Millares 7 2 2 5" xfId="26817" xr:uid="{00000000-0005-0000-0000-0000E7680000}"/>
    <cellStyle name="Millares 7 2 2 5 2" xfId="26818" xr:uid="{00000000-0005-0000-0000-0000E8680000}"/>
    <cellStyle name="Millares 7 2 2 6" xfId="26819" xr:uid="{00000000-0005-0000-0000-0000E9680000}"/>
    <cellStyle name="Millares 7 2 2 6 2" xfId="26820" xr:uid="{00000000-0005-0000-0000-0000EA680000}"/>
    <cellStyle name="Millares 7 2 2 7" xfId="26821" xr:uid="{00000000-0005-0000-0000-0000EB680000}"/>
    <cellStyle name="Millares 7 2 3" xfId="26822" xr:uid="{00000000-0005-0000-0000-0000EC680000}"/>
    <cellStyle name="Millares 7 2 3 2" xfId="26823" xr:uid="{00000000-0005-0000-0000-0000ED680000}"/>
    <cellStyle name="Millares 7 2 3 2 2" xfId="26824" xr:uid="{00000000-0005-0000-0000-0000EE680000}"/>
    <cellStyle name="Millares 7 2 3 2 2 2" xfId="26825" xr:uid="{00000000-0005-0000-0000-0000EF680000}"/>
    <cellStyle name="Millares 7 2 3 2 2 2 2" xfId="26826" xr:uid="{00000000-0005-0000-0000-0000F0680000}"/>
    <cellStyle name="Millares 7 2 3 2 2 3" xfId="26827" xr:uid="{00000000-0005-0000-0000-0000F1680000}"/>
    <cellStyle name="Millares 7 2 3 2 2 3 2" xfId="26828" xr:uid="{00000000-0005-0000-0000-0000F2680000}"/>
    <cellStyle name="Millares 7 2 3 2 2 4" xfId="26829" xr:uid="{00000000-0005-0000-0000-0000F3680000}"/>
    <cellStyle name="Millares 7 2 3 2 3" xfId="26830" xr:uid="{00000000-0005-0000-0000-0000F4680000}"/>
    <cellStyle name="Millares 7 2 3 2 3 2" xfId="26831" xr:uid="{00000000-0005-0000-0000-0000F5680000}"/>
    <cellStyle name="Millares 7 2 3 2 4" xfId="26832" xr:uid="{00000000-0005-0000-0000-0000F6680000}"/>
    <cellStyle name="Millares 7 2 3 2 4 2" xfId="26833" xr:uid="{00000000-0005-0000-0000-0000F7680000}"/>
    <cellStyle name="Millares 7 2 3 2 5" xfId="26834" xr:uid="{00000000-0005-0000-0000-0000F8680000}"/>
    <cellStyle name="Millares 7 2 3 3" xfId="26835" xr:uid="{00000000-0005-0000-0000-0000F9680000}"/>
    <cellStyle name="Millares 7 2 3 3 2" xfId="26836" xr:uid="{00000000-0005-0000-0000-0000FA680000}"/>
    <cellStyle name="Millares 7 2 3 3 2 2" xfId="26837" xr:uid="{00000000-0005-0000-0000-0000FB680000}"/>
    <cellStyle name="Millares 7 2 3 3 3" xfId="26838" xr:uid="{00000000-0005-0000-0000-0000FC680000}"/>
    <cellStyle name="Millares 7 2 3 3 3 2" xfId="26839" xr:uid="{00000000-0005-0000-0000-0000FD680000}"/>
    <cellStyle name="Millares 7 2 3 3 4" xfId="26840" xr:uid="{00000000-0005-0000-0000-0000FE680000}"/>
    <cellStyle name="Millares 7 2 3 4" xfId="26841" xr:uid="{00000000-0005-0000-0000-0000FF680000}"/>
    <cellStyle name="Millares 7 2 3 4 2" xfId="26842" xr:uid="{00000000-0005-0000-0000-000000690000}"/>
    <cellStyle name="Millares 7 2 3 5" xfId="26843" xr:uid="{00000000-0005-0000-0000-000001690000}"/>
    <cellStyle name="Millares 7 2 3 5 2" xfId="26844" xr:uid="{00000000-0005-0000-0000-000002690000}"/>
    <cellStyle name="Millares 7 2 3 6" xfId="26845" xr:uid="{00000000-0005-0000-0000-000003690000}"/>
    <cellStyle name="Millares 7 2 4" xfId="26846" xr:uid="{00000000-0005-0000-0000-000004690000}"/>
    <cellStyle name="Millares 7 2 4 2" xfId="26847" xr:uid="{00000000-0005-0000-0000-000005690000}"/>
    <cellStyle name="Millares 7 2 4 2 2" xfId="26848" xr:uid="{00000000-0005-0000-0000-000006690000}"/>
    <cellStyle name="Millares 7 2 4 2 2 2" xfId="26849" xr:uid="{00000000-0005-0000-0000-000007690000}"/>
    <cellStyle name="Millares 7 2 4 2 3" xfId="26850" xr:uid="{00000000-0005-0000-0000-000008690000}"/>
    <cellStyle name="Millares 7 2 4 2 3 2" xfId="26851" xr:uid="{00000000-0005-0000-0000-000009690000}"/>
    <cellStyle name="Millares 7 2 4 2 4" xfId="26852" xr:uid="{00000000-0005-0000-0000-00000A690000}"/>
    <cellStyle name="Millares 7 2 4 3" xfId="26853" xr:uid="{00000000-0005-0000-0000-00000B690000}"/>
    <cellStyle name="Millares 7 2 4 3 2" xfId="26854" xr:uid="{00000000-0005-0000-0000-00000C690000}"/>
    <cellStyle name="Millares 7 2 4 4" xfId="26855" xr:uid="{00000000-0005-0000-0000-00000D690000}"/>
    <cellStyle name="Millares 7 2 4 4 2" xfId="26856" xr:uid="{00000000-0005-0000-0000-00000E690000}"/>
    <cellStyle name="Millares 7 2 4 5" xfId="26857" xr:uid="{00000000-0005-0000-0000-00000F690000}"/>
    <cellStyle name="Millares 7 2 5" xfId="26858" xr:uid="{00000000-0005-0000-0000-000010690000}"/>
    <cellStyle name="Millares 7 2 5 2" xfId="26859" xr:uid="{00000000-0005-0000-0000-000011690000}"/>
    <cellStyle name="Millares 7 2 5 2 2" xfId="26860" xr:uid="{00000000-0005-0000-0000-000012690000}"/>
    <cellStyle name="Millares 7 2 5 3" xfId="26861" xr:uid="{00000000-0005-0000-0000-000013690000}"/>
    <cellStyle name="Millares 7 2 5 3 2" xfId="26862" xr:uid="{00000000-0005-0000-0000-000014690000}"/>
    <cellStyle name="Millares 7 2 5 4" xfId="26863" xr:uid="{00000000-0005-0000-0000-000015690000}"/>
    <cellStyle name="Millares 7 2 6" xfId="26864" xr:uid="{00000000-0005-0000-0000-000016690000}"/>
    <cellStyle name="Millares 7 2 6 2" xfId="26865" xr:uid="{00000000-0005-0000-0000-000017690000}"/>
    <cellStyle name="Millares 7 2 7" xfId="26866" xr:uid="{00000000-0005-0000-0000-000018690000}"/>
    <cellStyle name="Millares 7 2 7 2" xfId="26867" xr:uid="{00000000-0005-0000-0000-000019690000}"/>
    <cellStyle name="Millares 7 2 8" xfId="26868" xr:uid="{00000000-0005-0000-0000-00001A690000}"/>
    <cellStyle name="Millares 7 20" xfId="26869" xr:uid="{00000000-0005-0000-0000-00001B690000}"/>
    <cellStyle name="Millares 7 21" xfId="26870" xr:uid="{00000000-0005-0000-0000-00001C690000}"/>
    <cellStyle name="Millares 7 22" xfId="26871" xr:uid="{00000000-0005-0000-0000-00001D690000}"/>
    <cellStyle name="Millares 7 23" xfId="26872" xr:uid="{00000000-0005-0000-0000-00001E690000}"/>
    <cellStyle name="Millares 7 24" xfId="26873" xr:uid="{00000000-0005-0000-0000-00001F690000}"/>
    <cellStyle name="Millares 7 25" xfId="26874" xr:uid="{00000000-0005-0000-0000-000020690000}"/>
    <cellStyle name="Millares 7 26" xfId="26875" xr:uid="{00000000-0005-0000-0000-000021690000}"/>
    <cellStyle name="Millares 7 27" xfId="26876" xr:uid="{00000000-0005-0000-0000-000022690000}"/>
    <cellStyle name="Millares 7 28" xfId="26877" xr:uid="{00000000-0005-0000-0000-000023690000}"/>
    <cellStyle name="Millares 7 29" xfId="26878" xr:uid="{00000000-0005-0000-0000-000024690000}"/>
    <cellStyle name="Millares 7 3" xfId="26879" xr:uid="{00000000-0005-0000-0000-000025690000}"/>
    <cellStyle name="Millares 7 3 2" xfId="26880" xr:uid="{00000000-0005-0000-0000-000026690000}"/>
    <cellStyle name="Millares 7 3 2 2" xfId="26881" xr:uid="{00000000-0005-0000-0000-000027690000}"/>
    <cellStyle name="Millares 7 3 2 2 2" xfId="26882" xr:uid="{00000000-0005-0000-0000-000028690000}"/>
    <cellStyle name="Millares 7 3 2 2 2 2" xfId="26883" xr:uid="{00000000-0005-0000-0000-000029690000}"/>
    <cellStyle name="Millares 7 3 2 2 2 2 2" xfId="26884" xr:uid="{00000000-0005-0000-0000-00002A690000}"/>
    <cellStyle name="Millares 7 3 2 2 2 2 2 2" xfId="26885" xr:uid="{00000000-0005-0000-0000-00002B690000}"/>
    <cellStyle name="Millares 7 3 2 2 2 2 3" xfId="26886" xr:uid="{00000000-0005-0000-0000-00002C690000}"/>
    <cellStyle name="Millares 7 3 2 2 2 2 3 2" xfId="26887" xr:uid="{00000000-0005-0000-0000-00002D690000}"/>
    <cellStyle name="Millares 7 3 2 2 2 2 4" xfId="26888" xr:uid="{00000000-0005-0000-0000-00002E690000}"/>
    <cellStyle name="Millares 7 3 2 2 2 3" xfId="26889" xr:uid="{00000000-0005-0000-0000-00002F690000}"/>
    <cellStyle name="Millares 7 3 2 2 2 3 2" xfId="26890" xr:uid="{00000000-0005-0000-0000-000030690000}"/>
    <cellStyle name="Millares 7 3 2 2 2 4" xfId="26891" xr:uid="{00000000-0005-0000-0000-000031690000}"/>
    <cellStyle name="Millares 7 3 2 2 2 4 2" xfId="26892" xr:uid="{00000000-0005-0000-0000-000032690000}"/>
    <cellStyle name="Millares 7 3 2 2 2 5" xfId="26893" xr:uid="{00000000-0005-0000-0000-000033690000}"/>
    <cellStyle name="Millares 7 3 2 2 3" xfId="26894" xr:uid="{00000000-0005-0000-0000-000034690000}"/>
    <cellStyle name="Millares 7 3 2 2 3 2" xfId="26895" xr:uid="{00000000-0005-0000-0000-000035690000}"/>
    <cellStyle name="Millares 7 3 2 2 3 2 2" xfId="26896" xr:uid="{00000000-0005-0000-0000-000036690000}"/>
    <cellStyle name="Millares 7 3 2 2 3 3" xfId="26897" xr:uid="{00000000-0005-0000-0000-000037690000}"/>
    <cellStyle name="Millares 7 3 2 2 3 3 2" xfId="26898" xr:uid="{00000000-0005-0000-0000-000038690000}"/>
    <cellStyle name="Millares 7 3 2 2 3 4" xfId="26899" xr:uid="{00000000-0005-0000-0000-000039690000}"/>
    <cellStyle name="Millares 7 3 2 2 4" xfId="26900" xr:uid="{00000000-0005-0000-0000-00003A690000}"/>
    <cellStyle name="Millares 7 3 2 2 4 2" xfId="26901" xr:uid="{00000000-0005-0000-0000-00003B690000}"/>
    <cellStyle name="Millares 7 3 2 2 5" xfId="26902" xr:uid="{00000000-0005-0000-0000-00003C690000}"/>
    <cellStyle name="Millares 7 3 2 2 5 2" xfId="26903" xr:uid="{00000000-0005-0000-0000-00003D690000}"/>
    <cellStyle name="Millares 7 3 2 2 6" xfId="26904" xr:uid="{00000000-0005-0000-0000-00003E690000}"/>
    <cellStyle name="Millares 7 3 2 3" xfId="26905" xr:uid="{00000000-0005-0000-0000-00003F690000}"/>
    <cellStyle name="Millares 7 3 2 3 2" xfId="26906" xr:uid="{00000000-0005-0000-0000-000040690000}"/>
    <cellStyle name="Millares 7 3 2 3 2 2" xfId="26907" xr:uid="{00000000-0005-0000-0000-000041690000}"/>
    <cellStyle name="Millares 7 3 2 3 2 2 2" xfId="26908" xr:uid="{00000000-0005-0000-0000-000042690000}"/>
    <cellStyle name="Millares 7 3 2 3 2 3" xfId="26909" xr:uid="{00000000-0005-0000-0000-000043690000}"/>
    <cellStyle name="Millares 7 3 2 3 2 3 2" xfId="26910" xr:uid="{00000000-0005-0000-0000-000044690000}"/>
    <cellStyle name="Millares 7 3 2 3 2 4" xfId="26911" xr:uid="{00000000-0005-0000-0000-000045690000}"/>
    <cellStyle name="Millares 7 3 2 3 3" xfId="26912" xr:uid="{00000000-0005-0000-0000-000046690000}"/>
    <cellStyle name="Millares 7 3 2 3 3 2" xfId="26913" xr:uid="{00000000-0005-0000-0000-000047690000}"/>
    <cellStyle name="Millares 7 3 2 3 4" xfId="26914" xr:uid="{00000000-0005-0000-0000-000048690000}"/>
    <cellStyle name="Millares 7 3 2 3 4 2" xfId="26915" xr:uid="{00000000-0005-0000-0000-000049690000}"/>
    <cellStyle name="Millares 7 3 2 3 5" xfId="26916" xr:uid="{00000000-0005-0000-0000-00004A690000}"/>
    <cellStyle name="Millares 7 3 2 4" xfId="26917" xr:uid="{00000000-0005-0000-0000-00004B690000}"/>
    <cellStyle name="Millares 7 3 2 4 2" xfId="26918" xr:uid="{00000000-0005-0000-0000-00004C690000}"/>
    <cellStyle name="Millares 7 3 2 4 2 2" xfId="26919" xr:uid="{00000000-0005-0000-0000-00004D690000}"/>
    <cellStyle name="Millares 7 3 2 4 3" xfId="26920" xr:uid="{00000000-0005-0000-0000-00004E690000}"/>
    <cellStyle name="Millares 7 3 2 4 3 2" xfId="26921" xr:uid="{00000000-0005-0000-0000-00004F690000}"/>
    <cellStyle name="Millares 7 3 2 4 4" xfId="26922" xr:uid="{00000000-0005-0000-0000-000050690000}"/>
    <cellStyle name="Millares 7 3 2 5" xfId="26923" xr:uid="{00000000-0005-0000-0000-000051690000}"/>
    <cellStyle name="Millares 7 3 2 5 2" xfId="26924" xr:uid="{00000000-0005-0000-0000-000052690000}"/>
    <cellStyle name="Millares 7 3 2 6" xfId="26925" xr:uid="{00000000-0005-0000-0000-000053690000}"/>
    <cellStyle name="Millares 7 3 2 6 2" xfId="26926" xr:uid="{00000000-0005-0000-0000-000054690000}"/>
    <cellStyle name="Millares 7 3 2 7" xfId="26927" xr:uid="{00000000-0005-0000-0000-000055690000}"/>
    <cellStyle name="Millares 7 3 3" xfId="26928" xr:uid="{00000000-0005-0000-0000-000056690000}"/>
    <cellStyle name="Millares 7 3 3 2" xfId="26929" xr:uid="{00000000-0005-0000-0000-000057690000}"/>
    <cellStyle name="Millares 7 3 3 2 2" xfId="26930" xr:uid="{00000000-0005-0000-0000-000058690000}"/>
    <cellStyle name="Millares 7 3 3 2 2 2" xfId="26931" xr:uid="{00000000-0005-0000-0000-000059690000}"/>
    <cellStyle name="Millares 7 3 3 2 2 2 2" xfId="26932" xr:uid="{00000000-0005-0000-0000-00005A690000}"/>
    <cellStyle name="Millares 7 3 3 2 2 3" xfId="26933" xr:uid="{00000000-0005-0000-0000-00005B690000}"/>
    <cellStyle name="Millares 7 3 3 2 2 3 2" xfId="26934" xr:uid="{00000000-0005-0000-0000-00005C690000}"/>
    <cellStyle name="Millares 7 3 3 2 2 4" xfId="26935" xr:uid="{00000000-0005-0000-0000-00005D690000}"/>
    <cellStyle name="Millares 7 3 3 2 3" xfId="26936" xr:uid="{00000000-0005-0000-0000-00005E690000}"/>
    <cellStyle name="Millares 7 3 3 2 3 2" xfId="26937" xr:uid="{00000000-0005-0000-0000-00005F690000}"/>
    <cellStyle name="Millares 7 3 3 2 4" xfId="26938" xr:uid="{00000000-0005-0000-0000-000060690000}"/>
    <cellStyle name="Millares 7 3 3 2 4 2" xfId="26939" xr:uid="{00000000-0005-0000-0000-000061690000}"/>
    <cellStyle name="Millares 7 3 3 2 5" xfId="26940" xr:uid="{00000000-0005-0000-0000-000062690000}"/>
    <cellStyle name="Millares 7 3 3 3" xfId="26941" xr:uid="{00000000-0005-0000-0000-000063690000}"/>
    <cellStyle name="Millares 7 3 3 3 2" xfId="26942" xr:uid="{00000000-0005-0000-0000-000064690000}"/>
    <cellStyle name="Millares 7 3 3 3 2 2" xfId="26943" xr:uid="{00000000-0005-0000-0000-000065690000}"/>
    <cellStyle name="Millares 7 3 3 3 3" xfId="26944" xr:uid="{00000000-0005-0000-0000-000066690000}"/>
    <cellStyle name="Millares 7 3 3 3 3 2" xfId="26945" xr:uid="{00000000-0005-0000-0000-000067690000}"/>
    <cellStyle name="Millares 7 3 3 3 4" xfId="26946" xr:uid="{00000000-0005-0000-0000-000068690000}"/>
    <cellStyle name="Millares 7 3 3 4" xfId="26947" xr:uid="{00000000-0005-0000-0000-000069690000}"/>
    <cellStyle name="Millares 7 3 3 4 2" xfId="26948" xr:uid="{00000000-0005-0000-0000-00006A690000}"/>
    <cellStyle name="Millares 7 3 3 5" xfId="26949" xr:uid="{00000000-0005-0000-0000-00006B690000}"/>
    <cellStyle name="Millares 7 3 3 5 2" xfId="26950" xr:uid="{00000000-0005-0000-0000-00006C690000}"/>
    <cellStyle name="Millares 7 3 3 6" xfId="26951" xr:uid="{00000000-0005-0000-0000-00006D690000}"/>
    <cellStyle name="Millares 7 3 4" xfId="26952" xr:uid="{00000000-0005-0000-0000-00006E690000}"/>
    <cellStyle name="Millares 7 3 4 2" xfId="26953" xr:uid="{00000000-0005-0000-0000-00006F690000}"/>
    <cellStyle name="Millares 7 3 4 2 2" xfId="26954" xr:uid="{00000000-0005-0000-0000-000070690000}"/>
    <cellStyle name="Millares 7 3 4 2 2 2" xfId="26955" xr:uid="{00000000-0005-0000-0000-000071690000}"/>
    <cellStyle name="Millares 7 3 4 2 3" xfId="26956" xr:uid="{00000000-0005-0000-0000-000072690000}"/>
    <cellStyle name="Millares 7 3 4 2 3 2" xfId="26957" xr:uid="{00000000-0005-0000-0000-000073690000}"/>
    <cellStyle name="Millares 7 3 4 2 4" xfId="26958" xr:uid="{00000000-0005-0000-0000-000074690000}"/>
    <cellStyle name="Millares 7 3 4 3" xfId="26959" xr:uid="{00000000-0005-0000-0000-000075690000}"/>
    <cellStyle name="Millares 7 3 4 3 2" xfId="26960" xr:uid="{00000000-0005-0000-0000-000076690000}"/>
    <cellStyle name="Millares 7 3 4 4" xfId="26961" xr:uid="{00000000-0005-0000-0000-000077690000}"/>
    <cellStyle name="Millares 7 3 4 4 2" xfId="26962" xr:uid="{00000000-0005-0000-0000-000078690000}"/>
    <cellStyle name="Millares 7 3 4 5" xfId="26963" xr:uid="{00000000-0005-0000-0000-000079690000}"/>
    <cellStyle name="Millares 7 3 5" xfId="26964" xr:uid="{00000000-0005-0000-0000-00007A690000}"/>
    <cellStyle name="Millares 7 3 5 2" xfId="26965" xr:uid="{00000000-0005-0000-0000-00007B690000}"/>
    <cellStyle name="Millares 7 3 5 2 2" xfId="26966" xr:uid="{00000000-0005-0000-0000-00007C690000}"/>
    <cellStyle name="Millares 7 3 5 3" xfId="26967" xr:uid="{00000000-0005-0000-0000-00007D690000}"/>
    <cellStyle name="Millares 7 3 5 3 2" xfId="26968" xr:uid="{00000000-0005-0000-0000-00007E690000}"/>
    <cellStyle name="Millares 7 3 5 4" xfId="26969" xr:uid="{00000000-0005-0000-0000-00007F690000}"/>
    <cellStyle name="Millares 7 3 6" xfId="26970" xr:uid="{00000000-0005-0000-0000-000080690000}"/>
    <cellStyle name="Millares 7 3 6 2" xfId="26971" xr:uid="{00000000-0005-0000-0000-000081690000}"/>
    <cellStyle name="Millares 7 3 7" xfId="26972" xr:uid="{00000000-0005-0000-0000-000082690000}"/>
    <cellStyle name="Millares 7 3 7 2" xfId="26973" xr:uid="{00000000-0005-0000-0000-000083690000}"/>
    <cellStyle name="Millares 7 3 8" xfId="26974" xr:uid="{00000000-0005-0000-0000-000084690000}"/>
    <cellStyle name="Millares 7 30" xfId="26975" xr:uid="{00000000-0005-0000-0000-000085690000}"/>
    <cellStyle name="Millares 7 31" xfId="26976" xr:uid="{00000000-0005-0000-0000-000086690000}"/>
    <cellStyle name="Millares 7 32" xfId="26977" xr:uid="{00000000-0005-0000-0000-000087690000}"/>
    <cellStyle name="Millares 7 33" xfId="26978" xr:uid="{00000000-0005-0000-0000-000088690000}"/>
    <cellStyle name="Millares 7 34" xfId="26979" xr:uid="{00000000-0005-0000-0000-000089690000}"/>
    <cellStyle name="Millares 7 35" xfId="26980" xr:uid="{00000000-0005-0000-0000-00008A690000}"/>
    <cellStyle name="Millares 7 36" xfId="26981" xr:uid="{00000000-0005-0000-0000-00008B690000}"/>
    <cellStyle name="Millares 7 37" xfId="26982" xr:uid="{00000000-0005-0000-0000-00008C690000}"/>
    <cellStyle name="Millares 7 38" xfId="26983" xr:uid="{00000000-0005-0000-0000-00008D690000}"/>
    <cellStyle name="Millares 7 39" xfId="26984" xr:uid="{00000000-0005-0000-0000-00008E690000}"/>
    <cellStyle name="Millares 7 4" xfId="26985" xr:uid="{00000000-0005-0000-0000-00008F690000}"/>
    <cellStyle name="Millares 7 4 2" xfId="26986" xr:uid="{00000000-0005-0000-0000-000090690000}"/>
    <cellStyle name="Millares 7 4 2 2" xfId="26987" xr:uid="{00000000-0005-0000-0000-000091690000}"/>
    <cellStyle name="Millares 7 4 2 2 2" xfId="26988" xr:uid="{00000000-0005-0000-0000-000092690000}"/>
    <cellStyle name="Millares 7 4 2 2 2 2" xfId="26989" xr:uid="{00000000-0005-0000-0000-000093690000}"/>
    <cellStyle name="Millares 7 4 2 2 2 2 2" xfId="26990" xr:uid="{00000000-0005-0000-0000-000094690000}"/>
    <cellStyle name="Millares 7 4 2 2 2 3" xfId="26991" xr:uid="{00000000-0005-0000-0000-000095690000}"/>
    <cellStyle name="Millares 7 4 2 2 2 3 2" xfId="26992" xr:uid="{00000000-0005-0000-0000-000096690000}"/>
    <cellStyle name="Millares 7 4 2 2 2 4" xfId="26993" xr:uid="{00000000-0005-0000-0000-000097690000}"/>
    <cellStyle name="Millares 7 4 2 2 3" xfId="26994" xr:uid="{00000000-0005-0000-0000-000098690000}"/>
    <cellStyle name="Millares 7 4 2 2 3 2" xfId="26995" xr:uid="{00000000-0005-0000-0000-000099690000}"/>
    <cellStyle name="Millares 7 4 2 2 4" xfId="26996" xr:uid="{00000000-0005-0000-0000-00009A690000}"/>
    <cellStyle name="Millares 7 4 2 2 4 2" xfId="26997" xr:uid="{00000000-0005-0000-0000-00009B690000}"/>
    <cellStyle name="Millares 7 4 2 2 5" xfId="26998" xr:uid="{00000000-0005-0000-0000-00009C690000}"/>
    <cellStyle name="Millares 7 4 2 3" xfId="26999" xr:uid="{00000000-0005-0000-0000-00009D690000}"/>
    <cellStyle name="Millares 7 4 2 3 2" xfId="27000" xr:uid="{00000000-0005-0000-0000-00009E690000}"/>
    <cellStyle name="Millares 7 4 2 3 2 2" xfId="27001" xr:uid="{00000000-0005-0000-0000-00009F690000}"/>
    <cellStyle name="Millares 7 4 2 3 3" xfId="27002" xr:uid="{00000000-0005-0000-0000-0000A0690000}"/>
    <cellStyle name="Millares 7 4 2 3 3 2" xfId="27003" xr:uid="{00000000-0005-0000-0000-0000A1690000}"/>
    <cellStyle name="Millares 7 4 2 3 4" xfId="27004" xr:uid="{00000000-0005-0000-0000-0000A2690000}"/>
    <cellStyle name="Millares 7 4 2 4" xfId="27005" xr:uid="{00000000-0005-0000-0000-0000A3690000}"/>
    <cellStyle name="Millares 7 4 2 4 2" xfId="27006" xr:uid="{00000000-0005-0000-0000-0000A4690000}"/>
    <cellStyle name="Millares 7 4 2 5" xfId="27007" xr:uid="{00000000-0005-0000-0000-0000A5690000}"/>
    <cellStyle name="Millares 7 4 2 5 2" xfId="27008" xr:uid="{00000000-0005-0000-0000-0000A6690000}"/>
    <cellStyle name="Millares 7 4 2 6" xfId="27009" xr:uid="{00000000-0005-0000-0000-0000A7690000}"/>
    <cellStyle name="Millares 7 4 3" xfId="27010" xr:uid="{00000000-0005-0000-0000-0000A8690000}"/>
    <cellStyle name="Millares 7 4 3 2" xfId="27011" xr:uid="{00000000-0005-0000-0000-0000A9690000}"/>
    <cellStyle name="Millares 7 4 3 2 2" xfId="27012" xr:uid="{00000000-0005-0000-0000-0000AA690000}"/>
    <cellStyle name="Millares 7 4 3 2 2 2" xfId="27013" xr:uid="{00000000-0005-0000-0000-0000AB690000}"/>
    <cellStyle name="Millares 7 4 3 2 3" xfId="27014" xr:uid="{00000000-0005-0000-0000-0000AC690000}"/>
    <cellStyle name="Millares 7 4 3 2 3 2" xfId="27015" xr:uid="{00000000-0005-0000-0000-0000AD690000}"/>
    <cellStyle name="Millares 7 4 3 2 4" xfId="27016" xr:uid="{00000000-0005-0000-0000-0000AE690000}"/>
    <cellStyle name="Millares 7 4 3 3" xfId="27017" xr:uid="{00000000-0005-0000-0000-0000AF690000}"/>
    <cellStyle name="Millares 7 4 3 3 2" xfId="27018" xr:uid="{00000000-0005-0000-0000-0000B0690000}"/>
    <cellStyle name="Millares 7 4 3 4" xfId="27019" xr:uid="{00000000-0005-0000-0000-0000B1690000}"/>
    <cellStyle name="Millares 7 4 3 4 2" xfId="27020" xr:uid="{00000000-0005-0000-0000-0000B2690000}"/>
    <cellStyle name="Millares 7 4 3 5" xfId="27021" xr:uid="{00000000-0005-0000-0000-0000B3690000}"/>
    <cellStyle name="Millares 7 4 4" xfId="27022" xr:uid="{00000000-0005-0000-0000-0000B4690000}"/>
    <cellStyle name="Millares 7 4 4 2" xfId="27023" xr:uid="{00000000-0005-0000-0000-0000B5690000}"/>
    <cellStyle name="Millares 7 4 4 2 2" xfId="27024" xr:uid="{00000000-0005-0000-0000-0000B6690000}"/>
    <cellStyle name="Millares 7 4 4 3" xfId="27025" xr:uid="{00000000-0005-0000-0000-0000B7690000}"/>
    <cellStyle name="Millares 7 4 4 3 2" xfId="27026" xr:uid="{00000000-0005-0000-0000-0000B8690000}"/>
    <cellStyle name="Millares 7 4 4 4" xfId="27027" xr:uid="{00000000-0005-0000-0000-0000B9690000}"/>
    <cellStyle name="Millares 7 4 5" xfId="27028" xr:uid="{00000000-0005-0000-0000-0000BA690000}"/>
    <cellStyle name="Millares 7 4 5 2" xfId="27029" xr:uid="{00000000-0005-0000-0000-0000BB690000}"/>
    <cellStyle name="Millares 7 4 6" xfId="27030" xr:uid="{00000000-0005-0000-0000-0000BC690000}"/>
    <cellStyle name="Millares 7 4 6 2" xfId="27031" xr:uid="{00000000-0005-0000-0000-0000BD690000}"/>
    <cellStyle name="Millares 7 4 7" xfId="27032" xr:uid="{00000000-0005-0000-0000-0000BE690000}"/>
    <cellStyle name="Millares 7 40" xfId="27033" xr:uid="{00000000-0005-0000-0000-0000BF690000}"/>
    <cellStyle name="Millares 7 41" xfId="27034" xr:uid="{00000000-0005-0000-0000-0000C0690000}"/>
    <cellStyle name="Millares 7 42" xfId="27035" xr:uid="{00000000-0005-0000-0000-0000C1690000}"/>
    <cellStyle name="Millares 7 43" xfId="27036" xr:uid="{00000000-0005-0000-0000-0000C2690000}"/>
    <cellStyle name="Millares 7 44" xfId="27037" xr:uid="{00000000-0005-0000-0000-0000C3690000}"/>
    <cellStyle name="Millares 7 5" xfId="27038" xr:uid="{00000000-0005-0000-0000-0000C4690000}"/>
    <cellStyle name="Millares 7 5 2" xfId="27039" xr:uid="{00000000-0005-0000-0000-0000C5690000}"/>
    <cellStyle name="Millares 7 5 2 2" xfId="27040" xr:uid="{00000000-0005-0000-0000-0000C6690000}"/>
    <cellStyle name="Millares 7 5 2 2 2" xfId="27041" xr:uid="{00000000-0005-0000-0000-0000C7690000}"/>
    <cellStyle name="Millares 7 5 2 2 2 2" xfId="27042" xr:uid="{00000000-0005-0000-0000-0000C8690000}"/>
    <cellStyle name="Millares 7 5 2 2 3" xfId="27043" xr:uid="{00000000-0005-0000-0000-0000C9690000}"/>
    <cellStyle name="Millares 7 5 2 2 3 2" xfId="27044" xr:uid="{00000000-0005-0000-0000-0000CA690000}"/>
    <cellStyle name="Millares 7 5 2 2 4" xfId="27045" xr:uid="{00000000-0005-0000-0000-0000CB690000}"/>
    <cellStyle name="Millares 7 5 2 3" xfId="27046" xr:uid="{00000000-0005-0000-0000-0000CC690000}"/>
    <cellStyle name="Millares 7 5 2 3 2" xfId="27047" xr:uid="{00000000-0005-0000-0000-0000CD690000}"/>
    <cellStyle name="Millares 7 5 2 4" xfId="27048" xr:uid="{00000000-0005-0000-0000-0000CE690000}"/>
    <cellStyle name="Millares 7 5 2 4 2" xfId="27049" xr:uid="{00000000-0005-0000-0000-0000CF690000}"/>
    <cellStyle name="Millares 7 5 2 5" xfId="27050" xr:uid="{00000000-0005-0000-0000-0000D0690000}"/>
    <cellStyle name="Millares 7 5 3" xfId="27051" xr:uid="{00000000-0005-0000-0000-0000D1690000}"/>
    <cellStyle name="Millares 7 5 3 2" xfId="27052" xr:uid="{00000000-0005-0000-0000-0000D2690000}"/>
    <cellStyle name="Millares 7 5 3 2 2" xfId="27053" xr:uid="{00000000-0005-0000-0000-0000D3690000}"/>
    <cellStyle name="Millares 7 5 3 3" xfId="27054" xr:uid="{00000000-0005-0000-0000-0000D4690000}"/>
    <cellStyle name="Millares 7 5 3 3 2" xfId="27055" xr:uid="{00000000-0005-0000-0000-0000D5690000}"/>
    <cellStyle name="Millares 7 5 3 4" xfId="27056" xr:uid="{00000000-0005-0000-0000-0000D6690000}"/>
    <cellStyle name="Millares 7 5 4" xfId="27057" xr:uid="{00000000-0005-0000-0000-0000D7690000}"/>
    <cellStyle name="Millares 7 5 4 2" xfId="27058" xr:uid="{00000000-0005-0000-0000-0000D8690000}"/>
    <cellStyle name="Millares 7 5 5" xfId="27059" xr:uid="{00000000-0005-0000-0000-0000D9690000}"/>
    <cellStyle name="Millares 7 5 5 2" xfId="27060" xr:uid="{00000000-0005-0000-0000-0000DA690000}"/>
    <cellStyle name="Millares 7 5 6" xfId="27061" xr:uid="{00000000-0005-0000-0000-0000DB690000}"/>
    <cellStyle name="Millares 7 6" xfId="27062" xr:uid="{00000000-0005-0000-0000-0000DC690000}"/>
    <cellStyle name="Millares 7 6 2" xfId="27063" xr:uid="{00000000-0005-0000-0000-0000DD690000}"/>
    <cellStyle name="Millares 7 6 2 2" xfId="27064" xr:uid="{00000000-0005-0000-0000-0000DE690000}"/>
    <cellStyle name="Millares 7 6 2 2 2" xfId="27065" xr:uid="{00000000-0005-0000-0000-0000DF690000}"/>
    <cellStyle name="Millares 7 6 2 3" xfId="27066" xr:uid="{00000000-0005-0000-0000-0000E0690000}"/>
    <cellStyle name="Millares 7 6 2 3 2" xfId="27067" xr:uid="{00000000-0005-0000-0000-0000E1690000}"/>
    <cellStyle name="Millares 7 6 2 4" xfId="27068" xr:uid="{00000000-0005-0000-0000-0000E2690000}"/>
    <cellStyle name="Millares 7 6 3" xfId="27069" xr:uid="{00000000-0005-0000-0000-0000E3690000}"/>
    <cellStyle name="Millares 7 6 3 2" xfId="27070" xr:uid="{00000000-0005-0000-0000-0000E4690000}"/>
    <cellStyle name="Millares 7 6 4" xfId="27071" xr:uid="{00000000-0005-0000-0000-0000E5690000}"/>
    <cellStyle name="Millares 7 6 4 2" xfId="27072" xr:uid="{00000000-0005-0000-0000-0000E6690000}"/>
    <cellStyle name="Millares 7 6 5" xfId="27073" xr:uid="{00000000-0005-0000-0000-0000E7690000}"/>
    <cellStyle name="Millares 7 7" xfId="27074" xr:uid="{00000000-0005-0000-0000-0000E8690000}"/>
    <cellStyle name="Millares 7 7 2" xfId="27075" xr:uid="{00000000-0005-0000-0000-0000E9690000}"/>
    <cellStyle name="Millares 7 7 2 2" xfId="27076" xr:uid="{00000000-0005-0000-0000-0000EA690000}"/>
    <cellStyle name="Millares 7 7 3" xfId="27077" xr:uid="{00000000-0005-0000-0000-0000EB690000}"/>
    <cellStyle name="Millares 7 7 3 2" xfId="27078" xr:uid="{00000000-0005-0000-0000-0000EC690000}"/>
    <cellStyle name="Millares 7 7 4" xfId="27079" xr:uid="{00000000-0005-0000-0000-0000ED690000}"/>
    <cellStyle name="Millares 7 8" xfId="27080" xr:uid="{00000000-0005-0000-0000-0000EE690000}"/>
    <cellStyle name="Millares 7 8 2" xfId="27081" xr:uid="{00000000-0005-0000-0000-0000EF690000}"/>
    <cellStyle name="Millares 7 9" xfId="27082" xr:uid="{00000000-0005-0000-0000-0000F0690000}"/>
    <cellStyle name="Millares 7 9 2" xfId="27083" xr:uid="{00000000-0005-0000-0000-0000F1690000}"/>
    <cellStyle name="Millares 70" xfId="36144" xr:uid="{00000000-0005-0000-0000-0000F2690000}"/>
    <cellStyle name="Millares 71" xfId="27084" xr:uid="{00000000-0005-0000-0000-0000F3690000}"/>
    <cellStyle name="Millares 72" xfId="36145" xr:uid="{00000000-0005-0000-0000-0000F4690000}"/>
    <cellStyle name="Millares 73" xfId="27085" xr:uid="{00000000-0005-0000-0000-0000F5690000}"/>
    <cellStyle name="Millares 74" xfId="36146" xr:uid="{00000000-0005-0000-0000-0000F6690000}"/>
    <cellStyle name="Millares 75" xfId="36147" xr:uid="{00000000-0005-0000-0000-0000F7690000}"/>
    <cellStyle name="Millares 76" xfId="36148" xr:uid="{00000000-0005-0000-0000-0000F8690000}"/>
    <cellStyle name="Millares 77" xfId="36149" xr:uid="{00000000-0005-0000-0000-0000F9690000}"/>
    <cellStyle name="Millares 78" xfId="36150" xr:uid="{00000000-0005-0000-0000-0000FA690000}"/>
    <cellStyle name="Millares 79" xfId="36151" xr:uid="{00000000-0005-0000-0000-0000FB690000}"/>
    <cellStyle name="Millares 8" xfId="27086" xr:uid="{00000000-0005-0000-0000-0000FC690000}"/>
    <cellStyle name="Millares 8 10" xfId="27087" xr:uid="{00000000-0005-0000-0000-0000FD690000}"/>
    <cellStyle name="Millares 8 11" xfId="27088" xr:uid="{00000000-0005-0000-0000-0000FE690000}"/>
    <cellStyle name="Millares 8 12" xfId="27089" xr:uid="{00000000-0005-0000-0000-0000FF690000}"/>
    <cellStyle name="Millares 8 13" xfId="27090" xr:uid="{00000000-0005-0000-0000-0000006A0000}"/>
    <cellStyle name="Millares 8 14" xfId="27091" xr:uid="{00000000-0005-0000-0000-0000016A0000}"/>
    <cellStyle name="Millares 8 15" xfId="27092" xr:uid="{00000000-0005-0000-0000-0000026A0000}"/>
    <cellStyle name="Millares 8 16" xfId="27093" xr:uid="{00000000-0005-0000-0000-0000036A0000}"/>
    <cellStyle name="Millares 8 17" xfId="27094" xr:uid="{00000000-0005-0000-0000-0000046A0000}"/>
    <cellStyle name="Millares 8 18" xfId="27095" xr:uid="{00000000-0005-0000-0000-0000056A0000}"/>
    <cellStyle name="Millares 8 19" xfId="27096" xr:uid="{00000000-0005-0000-0000-0000066A0000}"/>
    <cellStyle name="Millares 8 2" xfId="27097" xr:uid="{00000000-0005-0000-0000-0000076A0000}"/>
    <cellStyle name="Millares 8 2 10" xfId="27098" xr:uid="{00000000-0005-0000-0000-0000086A0000}"/>
    <cellStyle name="Millares 8 2 11" xfId="27099" xr:uid="{00000000-0005-0000-0000-0000096A0000}"/>
    <cellStyle name="Millares 8 2 12" xfId="27100" xr:uid="{00000000-0005-0000-0000-00000A6A0000}"/>
    <cellStyle name="Millares 8 2 13" xfId="27101" xr:uid="{00000000-0005-0000-0000-00000B6A0000}"/>
    <cellStyle name="Millares 8 2 14" xfId="27102" xr:uid="{00000000-0005-0000-0000-00000C6A0000}"/>
    <cellStyle name="Millares 8 2 15" xfId="27103" xr:uid="{00000000-0005-0000-0000-00000D6A0000}"/>
    <cellStyle name="Millares 8 2 16" xfId="27104" xr:uid="{00000000-0005-0000-0000-00000E6A0000}"/>
    <cellStyle name="Millares 8 2 17" xfId="27105" xr:uid="{00000000-0005-0000-0000-00000F6A0000}"/>
    <cellStyle name="Millares 8 2 18" xfId="27106" xr:uid="{00000000-0005-0000-0000-0000106A0000}"/>
    <cellStyle name="Millares 8 2 19" xfId="27107" xr:uid="{00000000-0005-0000-0000-0000116A0000}"/>
    <cellStyle name="Millares 8 2 2" xfId="27108" xr:uid="{00000000-0005-0000-0000-0000126A0000}"/>
    <cellStyle name="Millares 8 2 20" xfId="27109" xr:uid="{00000000-0005-0000-0000-0000136A0000}"/>
    <cellStyle name="Millares 8 2 21" xfId="27110" xr:uid="{00000000-0005-0000-0000-0000146A0000}"/>
    <cellStyle name="Millares 8 2 22" xfId="27111" xr:uid="{00000000-0005-0000-0000-0000156A0000}"/>
    <cellStyle name="Millares 8 2 23" xfId="27112" xr:uid="{00000000-0005-0000-0000-0000166A0000}"/>
    <cellStyle name="Millares 8 2 24" xfId="27113" xr:uid="{00000000-0005-0000-0000-0000176A0000}"/>
    <cellStyle name="Millares 8 2 25" xfId="27114" xr:uid="{00000000-0005-0000-0000-0000186A0000}"/>
    <cellStyle name="Millares 8 2 26" xfId="27115" xr:uid="{00000000-0005-0000-0000-0000196A0000}"/>
    <cellStyle name="Millares 8 2 27" xfId="27116" xr:uid="{00000000-0005-0000-0000-00001A6A0000}"/>
    <cellStyle name="Millares 8 2 28" xfId="27117" xr:uid="{00000000-0005-0000-0000-00001B6A0000}"/>
    <cellStyle name="Millares 8 2 3" xfId="27118" xr:uid="{00000000-0005-0000-0000-00001C6A0000}"/>
    <cellStyle name="Millares 8 2 4" xfId="27119" xr:uid="{00000000-0005-0000-0000-00001D6A0000}"/>
    <cellStyle name="Millares 8 2 5" xfId="27120" xr:uid="{00000000-0005-0000-0000-00001E6A0000}"/>
    <cellStyle name="Millares 8 2 6" xfId="27121" xr:uid="{00000000-0005-0000-0000-00001F6A0000}"/>
    <cellStyle name="Millares 8 2 7" xfId="27122" xr:uid="{00000000-0005-0000-0000-0000206A0000}"/>
    <cellStyle name="Millares 8 2 8" xfId="27123" xr:uid="{00000000-0005-0000-0000-0000216A0000}"/>
    <cellStyle name="Millares 8 2 9" xfId="27124" xr:uid="{00000000-0005-0000-0000-0000226A0000}"/>
    <cellStyle name="Millares 8 20" xfId="27125" xr:uid="{00000000-0005-0000-0000-0000236A0000}"/>
    <cellStyle name="Millares 8 21" xfId="27126" xr:uid="{00000000-0005-0000-0000-0000246A0000}"/>
    <cellStyle name="Millares 8 22" xfId="27127" xr:uid="{00000000-0005-0000-0000-0000256A0000}"/>
    <cellStyle name="Millares 8 23" xfId="27128" xr:uid="{00000000-0005-0000-0000-0000266A0000}"/>
    <cellStyle name="Millares 8 24" xfId="27129" xr:uid="{00000000-0005-0000-0000-0000276A0000}"/>
    <cellStyle name="Millares 8 25" xfId="27130" xr:uid="{00000000-0005-0000-0000-0000286A0000}"/>
    <cellStyle name="Millares 8 26" xfId="27131" xr:uid="{00000000-0005-0000-0000-0000296A0000}"/>
    <cellStyle name="Millares 8 27" xfId="27132" xr:uid="{00000000-0005-0000-0000-00002A6A0000}"/>
    <cellStyle name="Millares 8 28" xfId="27133" xr:uid="{00000000-0005-0000-0000-00002B6A0000}"/>
    <cellStyle name="Millares 8 29" xfId="27134" xr:uid="{00000000-0005-0000-0000-00002C6A0000}"/>
    <cellStyle name="Millares 8 3" xfId="27135" xr:uid="{00000000-0005-0000-0000-00002D6A0000}"/>
    <cellStyle name="Millares 8 30" xfId="27136" xr:uid="{00000000-0005-0000-0000-00002E6A0000}"/>
    <cellStyle name="Millares 8 31" xfId="27137" xr:uid="{00000000-0005-0000-0000-00002F6A0000}"/>
    <cellStyle name="Millares 8 32" xfId="27138" xr:uid="{00000000-0005-0000-0000-0000306A0000}"/>
    <cellStyle name="Millares 8 33" xfId="27139" xr:uid="{00000000-0005-0000-0000-0000316A0000}"/>
    <cellStyle name="Millares 8 34" xfId="27140" xr:uid="{00000000-0005-0000-0000-0000326A0000}"/>
    <cellStyle name="Millares 8 35" xfId="27141" xr:uid="{00000000-0005-0000-0000-0000336A0000}"/>
    <cellStyle name="Millares 8 36" xfId="27142" xr:uid="{00000000-0005-0000-0000-0000346A0000}"/>
    <cellStyle name="Millares 8 37" xfId="27143" xr:uid="{00000000-0005-0000-0000-0000356A0000}"/>
    <cellStyle name="Millares 8 38" xfId="27144" xr:uid="{00000000-0005-0000-0000-0000366A0000}"/>
    <cellStyle name="Millares 8 39" xfId="27145" xr:uid="{00000000-0005-0000-0000-0000376A0000}"/>
    <cellStyle name="Millares 8 4" xfId="27146" xr:uid="{00000000-0005-0000-0000-0000386A0000}"/>
    <cellStyle name="Millares 8 40" xfId="27147" xr:uid="{00000000-0005-0000-0000-0000396A0000}"/>
    <cellStyle name="Millares 8 41" xfId="27148" xr:uid="{00000000-0005-0000-0000-00003A6A0000}"/>
    <cellStyle name="Millares 8 42" xfId="27149" xr:uid="{00000000-0005-0000-0000-00003B6A0000}"/>
    <cellStyle name="Millares 8 43" xfId="27150" xr:uid="{00000000-0005-0000-0000-00003C6A0000}"/>
    <cellStyle name="Millares 8 44" xfId="27151" xr:uid="{00000000-0005-0000-0000-00003D6A0000}"/>
    <cellStyle name="Millares 8 45" xfId="36238" xr:uid="{00000000-0005-0000-0000-00003E6A0000}"/>
    <cellStyle name="Millares 8 5" xfId="27152" xr:uid="{00000000-0005-0000-0000-00003F6A0000}"/>
    <cellStyle name="Millares 8 6" xfId="27153" xr:uid="{00000000-0005-0000-0000-0000406A0000}"/>
    <cellStyle name="Millares 8 7" xfId="27154" xr:uid="{00000000-0005-0000-0000-0000416A0000}"/>
    <cellStyle name="Millares 8 8" xfId="27155" xr:uid="{00000000-0005-0000-0000-0000426A0000}"/>
    <cellStyle name="Millares 8 9" xfId="27156" xr:uid="{00000000-0005-0000-0000-0000436A0000}"/>
    <cellStyle name="Millares 8_presupuesto 2011 PE+IE 2" xfId="27157" xr:uid="{00000000-0005-0000-0000-0000446A0000}"/>
    <cellStyle name="Millares 80" xfId="36152" xr:uid="{00000000-0005-0000-0000-0000456A0000}"/>
    <cellStyle name="Millares 81" xfId="36153" xr:uid="{00000000-0005-0000-0000-0000466A0000}"/>
    <cellStyle name="Millares 9" xfId="27158" xr:uid="{00000000-0005-0000-0000-0000476A0000}"/>
    <cellStyle name="Millares 9 10" xfId="27159" xr:uid="{00000000-0005-0000-0000-0000486A0000}"/>
    <cellStyle name="Millares 9 11" xfId="27160" xr:uid="{00000000-0005-0000-0000-0000496A0000}"/>
    <cellStyle name="Millares 9 12" xfId="27161" xr:uid="{00000000-0005-0000-0000-00004A6A0000}"/>
    <cellStyle name="Millares 9 13" xfId="27162" xr:uid="{00000000-0005-0000-0000-00004B6A0000}"/>
    <cellStyle name="Millares 9 14" xfId="27163" xr:uid="{00000000-0005-0000-0000-00004C6A0000}"/>
    <cellStyle name="Millares 9 15" xfId="27164" xr:uid="{00000000-0005-0000-0000-00004D6A0000}"/>
    <cellStyle name="Millares 9 16" xfId="27165" xr:uid="{00000000-0005-0000-0000-00004E6A0000}"/>
    <cellStyle name="Millares 9 17" xfId="27166" xr:uid="{00000000-0005-0000-0000-00004F6A0000}"/>
    <cellStyle name="Millares 9 18" xfId="27167" xr:uid="{00000000-0005-0000-0000-0000506A0000}"/>
    <cellStyle name="Millares 9 19" xfId="27168" xr:uid="{00000000-0005-0000-0000-0000516A0000}"/>
    <cellStyle name="Millares 9 2" xfId="27169" xr:uid="{00000000-0005-0000-0000-0000526A0000}"/>
    <cellStyle name="Millares 9 2 2" xfId="27170" xr:uid="{00000000-0005-0000-0000-0000536A0000}"/>
    <cellStyle name="Millares 9 2 2 2" xfId="27171" xr:uid="{00000000-0005-0000-0000-0000546A0000}"/>
    <cellStyle name="Millares 9 2 2 2 2" xfId="27172" xr:uid="{00000000-0005-0000-0000-0000556A0000}"/>
    <cellStyle name="Millares 9 2 2 2 2 2" xfId="27173" xr:uid="{00000000-0005-0000-0000-0000566A0000}"/>
    <cellStyle name="Millares 9 2 2 2 2 2 2" xfId="27174" xr:uid="{00000000-0005-0000-0000-0000576A0000}"/>
    <cellStyle name="Millares 9 2 2 2 2 2 2 2" xfId="27175" xr:uid="{00000000-0005-0000-0000-0000586A0000}"/>
    <cellStyle name="Millares 9 2 2 2 2 2 2 2 2" xfId="27176" xr:uid="{00000000-0005-0000-0000-0000596A0000}"/>
    <cellStyle name="Millares 9 2 2 2 2 2 2 3" xfId="27177" xr:uid="{00000000-0005-0000-0000-00005A6A0000}"/>
    <cellStyle name="Millares 9 2 2 2 2 2 2 3 2" xfId="27178" xr:uid="{00000000-0005-0000-0000-00005B6A0000}"/>
    <cellStyle name="Millares 9 2 2 2 2 2 2 4" xfId="27179" xr:uid="{00000000-0005-0000-0000-00005C6A0000}"/>
    <cellStyle name="Millares 9 2 2 2 2 2 3" xfId="27180" xr:uid="{00000000-0005-0000-0000-00005D6A0000}"/>
    <cellStyle name="Millares 9 2 2 2 2 2 3 2" xfId="27181" xr:uid="{00000000-0005-0000-0000-00005E6A0000}"/>
    <cellStyle name="Millares 9 2 2 2 2 2 4" xfId="27182" xr:uid="{00000000-0005-0000-0000-00005F6A0000}"/>
    <cellStyle name="Millares 9 2 2 2 2 2 4 2" xfId="27183" xr:uid="{00000000-0005-0000-0000-0000606A0000}"/>
    <cellStyle name="Millares 9 2 2 2 2 2 5" xfId="27184" xr:uid="{00000000-0005-0000-0000-0000616A0000}"/>
    <cellStyle name="Millares 9 2 2 2 2 3" xfId="27185" xr:uid="{00000000-0005-0000-0000-0000626A0000}"/>
    <cellStyle name="Millares 9 2 2 2 2 3 2" xfId="27186" xr:uid="{00000000-0005-0000-0000-0000636A0000}"/>
    <cellStyle name="Millares 9 2 2 2 2 3 2 2" xfId="27187" xr:uid="{00000000-0005-0000-0000-0000646A0000}"/>
    <cellStyle name="Millares 9 2 2 2 2 3 3" xfId="27188" xr:uid="{00000000-0005-0000-0000-0000656A0000}"/>
    <cellStyle name="Millares 9 2 2 2 2 3 3 2" xfId="27189" xr:uid="{00000000-0005-0000-0000-0000666A0000}"/>
    <cellStyle name="Millares 9 2 2 2 2 3 4" xfId="27190" xr:uid="{00000000-0005-0000-0000-0000676A0000}"/>
    <cellStyle name="Millares 9 2 2 2 2 4" xfId="27191" xr:uid="{00000000-0005-0000-0000-0000686A0000}"/>
    <cellStyle name="Millares 9 2 2 2 2 4 2" xfId="27192" xr:uid="{00000000-0005-0000-0000-0000696A0000}"/>
    <cellStyle name="Millares 9 2 2 2 2 5" xfId="27193" xr:uid="{00000000-0005-0000-0000-00006A6A0000}"/>
    <cellStyle name="Millares 9 2 2 2 2 5 2" xfId="27194" xr:uid="{00000000-0005-0000-0000-00006B6A0000}"/>
    <cellStyle name="Millares 9 2 2 2 2 6" xfId="27195" xr:uid="{00000000-0005-0000-0000-00006C6A0000}"/>
    <cellStyle name="Millares 9 2 2 2 3" xfId="27196" xr:uid="{00000000-0005-0000-0000-00006D6A0000}"/>
    <cellStyle name="Millares 9 2 2 2 3 2" xfId="27197" xr:uid="{00000000-0005-0000-0000-00006E6A0000}"/>
    <cellStyle name="Millares 9 2 2 2 3 2 2" xfId="27198" xr:uid="{00000000-0005-0000-0000-00006F6A0000}"/>
    <cellStyle name="Millares 9 2 2 2 3 2 2 2" xfId="27199" xr:uid="{00000000-0005-0000-0000-0000706A0000}"/>
    <cellStyle name="Millares 9 2 2 2 3 2 3" xfId="27200" xr:uid="{00000000-0005-0000-0000-0000716A0000}"/>
    <cellStyle name="Millares 9 2 2 2 3 2 3 2" xfId="27201" xr:uid="{00000000-0005-0000-0000-0000726A0000}"/>
    <cellStyle name="Millares 9 2 2 2 3 2 4" xfId="27202" xr:uid="{00000000-0005-0000-0000-0000736A0000}"/>
    <cellStyle name="Millares 9 2 2 2 3 3" xfId="27203" xr:uid="{00000000-0005-0000-0000-0000746A0000}"/>
    <cellStyle name="Millares 9 2 2 2 3 3 2" xfId="27204" xr:uid="{00000000-0005-0000-0000-0000756A0000}"/>
    <cellStyle name="Millares 9 2 2 2 3 4" xfId="27205" xr:uid="{00000000-0005-0000-0000-0000766A0000}"/>
    <cellStyle name="Millares 9 2 2 2 3 4 2" xfId="27206" xr:uid="{00000000-0005-0000-0000-0000776A0000}"/>
    <cellStyle name="Millares 9 2 2 2 3 5" xfId="27207" xr:uid="{00000000-0005-0000-0000-0000786A0000}"/>
    <cellStyle name="Millares 9 2 2 2 4" xfId="27208" xr:uid="{00000000-0005-0000-0000-0000796A0000}"/>
    <cellStyle name="Millares 9 2 2 2 4 2" xfId="27209" xr:uid="{00000000-0005-0000-0000-00007A6A0000}"/>
    <cellStyle name="Millares 9 2 2 2 4 2 2" xfId="27210" xr:uid="{00000000-0005-0000-0000-00007B6A0000}"/>
    <cellStyle name="Millares 9 2 2 2 4 3" xfId="27211" xr:uid="{00000000-0005-0000-0000-00007C6A0000}"/>
    <cellStyle name="Millares 9 2 2 2 4 3 2" xfId="27212" xr:uid="{00000000-0005-0000-0000-00007D6A0000}"/>
    <cellStyle name="Millares 9 2 2 2 4 4" xfId="27213" xr:uid="{00000000-0005-0000-0000-00007E6A0000}"/>
    <cellStyle name="Millares 9 2 2 2 5" xfId="27214" xr:uid="{00000000-0005-0000-0000-00007F6A0000}"/>
    <cellStyle name="Millares 9 2 2 2 5 2" xfId="27215" xr:uid="{00000000-0005-0000-0000-0000806A0000}"/>
    <cellStyle name="Millares 9 2 2 2 6" xfId="27216" xr:uid="{00000000-0005-0000-0000-0000816A0000}"/>
    <cellStyle name="Millares 9 2 2 2 6 2" xfId="27217" xr:uid="{00000000-0005-0000-0000-0000826A0000}"/>
    <cellStyle name="Millares 9 2 2 2 7" xfId="27218" xr:uid="{00000000-0005-0000-0000-0000836A0000}"/>
    <cellStyle name="Millares 9 2 2 3" xfId="27219" xr:uid="{00000000-0005-0000-0000-0000846A0000}"/>
    <cellStyle name="Millares 9 2 2 3 2" xfId="27220" xr:uid="{00000000-0005-0000-0000-0000856A0000}"/>
    <cellStyle name="Millares 9 2 2 3 2 2" xfId="27221" xr:uid="{00000000-0005-0000-0000-0000866A0000}"/>
    <cellStyle name="Millares 9 2 2 3 2 2 2" xfId="27222" xr:uid="{00000000-0005-0000-0000-0000876A0000}"/>
    <cellStyle name="Millares 9 2 2 3 2 2 2 2" xfId="27223" xr:uid="{00000000-0005-0000-0000-0000886A0000}"/>
    <cellStyle name="Millares 9 2 2 3 2 2 3" xfId="27224" xr:uid="{00000000-0005-0000-0000-0000896A0000}"/>
    <cellStyle name="Millares 9 2 2 3 2 2 3 2" xfId="27225" xr:uid="{00000000-0005-0000-0000-00008A6A0000}"/>
    <cellStyle name="Millares 9 2 2 3 2 2 4" xfId="27226" xr:uid="{00000000-0005-0000-0000-00008B6A0000}"/>
    <cellStyle name="Millares 9 2 2 3 2 3" xfId="27227" xr:uid="{00000000-0005-0000-0000-00008C6A0000}"/>
    <cellStyle name="Millares 9 2 2 3 2 3 2" xfId="27228" xr:uid="{00000000-0005-0000-0000-00008D6A0000}"/>
    <cellStyle name="Millares 9 2 2 3 2 4" xfId="27229" xr:uid="{00000000-0005-0000-0000-00008E6A0000}"/>
    <cellStyle name="Millares 9 2 2 3 2 4 2" xfId="27230" xr:uid="{00000000-0005-0000-0000-00008F6A0000}"/>
    <cellStyle name="Millares 9 2 2 3 2 5" xfId="27231" xr:uid="{00000000-0005-0000-0000-0000906A0000}"/>
    <cellStyle name="Millares 9 2 2 3 3" xfId="27232" xr:uid="{00000000-0005-0000-0000-0000916A0000}"/>
    <cellStyle name="Millares 9 2 2 3 3 2" xfId="27233" xr:uid="{00000000-0005-0000-0000-0000926A0000}"/>
    <cellStyle name="Millares 9 2 2 3 3 2 2" xfId="27234" xr:uid="{00000000-0005-0000-0000-0000936A0000}"/>
    <cellStyle name="Millares 9 2 2 3 3 3" xfId="27235" xr:uid="{00000000-0005-0000-0000-0000946A0000}"/>
    <cellStyle name="Millares 9 2 2 3 3 3 2" xfId="27236" xr:uid="{00000000-0005-0000-0000-0000956A0000}"/>
    <cellStyle name="Millares 9 2 2 3 3 4" xfId="27237" xr:uid="{00000000-0005-0000-0000-0000966A0000}"/>
    <cellStyle name="Millares 9 2 2 3 4" xfId="27238" xr:uid="{00000000-0005-0000-0000-0000976A0000}"/>
    <cellStyle name="Millares 9 2 2 3 4 2" xfId="27239" xr:uid="{00000000-0005-0000-0000-0000986A0000}"/>
    <cellStyle name="Millares 9 2 2 3 5" xfId="27240" xr:uid="{00000000-0005-0000-0000-0000996A0000}"/>
    <cellStyle name="Millares 9 2 2 3 5 2" xfId="27241" xr:uid="{00000000-0005-0000-0000-00009A6A0000}"/>
    <cellStyle name="Millares 9 2 2 3 6" xfId="27242" xr:uid="{00000000-0005-0000-0000-00009B6A0000}"/>
    <cellStyle name="Millares 9 2 2 4" xfId="27243" xr:uid="{00000000-0005-0000-0000-00009C6A0000}"/>
    <cellStyle name="Millares 9 2 2 4 2" xfId="27244" xr:uid="{00000000-0005-0000-0000-00009D6A0000}"/>
    <cellStyle name="Millares 9 2 2 4 2 2" xfId="27245" xr:uid="{00000000-0005-0000-0000-00009E6A0000}"/>
    <cellStyle name="Millares 9 2 2 4 2 2 2" xfId="27246" xr:uid="{00000000-0005-0000-0000-00009F6A0000}"/>
    <cellStyle name="Millares 9 2 2 4 2 3" xfId="27247" xr:uid="{00000000-0005-0000-0000-0000A06A0000}"/>
    <cellStyle name="Millares 9 2 2 4 2 3 2" xfId="27248" xr:uid="{00000000-0005-0000-0000-0000A16A0000}"/>
    <cellStyle name="Millares 9 2 2 4 2 4" xfId="27249" xr:uid="{00000000-0005-0000-0000-0000A26A0000}"/>
    <cellStyle name="Millares 9 2 2 4 3" xfId="27250" xr:uid="{00000000-0005-0000-0000-0000A36A0000}"/>
    <cellStyle name="Millares 9 2 2 4 3 2" xfId="27251" xr:uid="{00000000-0005-0000-0000-0000A46A0000}"/>
    <cellStyle name="Millares 9 2 2 4 4" xfId="27252" xr:uid="{00000000-0005-0000-0000-0000A56A0000}"/>
    <cellStyle name="Millares 9 2 2 4 4 2" xfId="27253" xr:uid="{00000000-0005-0000-0000-0000A66A0000}"/>
    <cellStyle name="Millares 9 2 2 4 5" xfId="27254" xr:uid="{00000000-0005-0000-0000-0000A76A0000}"/>
    <cellStyle name="Millares 9 2 2 5" xfId="27255" xr:uid="{00000000-0005-0000-0000-0000A86A0000}"/>
    <cellStyle name="Millares 9 2 2 5 2" xfId="27256" xr:uid="{00000000-0005-0000-0000-0000A96A0000}"/>
    <cellStyle name="Millares 9 2 2 5 2 2" xfId="27257" xr:uid="{00000000-0005-0000-0000-0000AA6A0000}"/>
    <cellStyle name="Millares 9 2 2 5 3" xfId="27258" xr:uid="{00000000-0005-0000-0000-0000AB6A0000}"/>
    <cellStyle name="Millares 9 2 2 5 3 2" xfId="27259" xr:uid="{00000000-0005-0000-0000-0000AC6A0000}"/>
    <cellStyle name="Millares 9 2 2 5 4" xfId="27260" xr:uid="{00000000-0005-0000-0000-0000AD6A0000}"/>
    <cellStyle name="Millares 9 2 2 6" xfId="27261" xr:uid="{00000000-0005-0000-0000-0000AE6A0000}"/>
    <cellStyle name="Millares 9 2 2 6 2" xfId="27262" xr:uid="{00000000-0005-0000-0000-0000AF6A0000}"/>
    <cellStyle name="Millares 9 2 2 7" xfId="27263" xr:uid="{00000000-0005-0000-0000-0000B06A0000}"/>
    <cellStyle name="Millares 9 2 2 7 2" xfId="27264" xr:uid="{00000000-0005-0000-0000-0000B16A0000}"/>
    <cellStyle name="Millares 9 2 2 8" xfId="27265" xr:uid="{00000000-0005-0000-0000-0000B26A0000}"/>
    <cellStyle name="Millares 9 2 3" xfId="27266" xr:uid="{00000000-0005-0000-0000-0000B36A0000}"/>
    <cellStyle name="Millares 9 2 3 2" xfId="27267" xr:uid="{00000000-0005-0000-0000-0000B46A0000}"/>
    <cellStyle name="Millares 9 2 3 2 2" xfId="27268" xr:uid="{00000000-0005-0000-0000-0000B56A0000}"/>
    <cellStyle name="Millares 9 2 3 2 2 2" xfId="27269" xr:uid="{00000000-0005-0000-0000-0000B66A0000}"/>
    <cellStyle name="Millares 9 2 3 2 2 2 2" xfId="27270" xr:uid="{00000000-0005-0000-0000-0000B76A0000}"/>
    <cellStyle name="Millares 9 2 3 2 2 2 2 2" xfId="27271" xr:uid="{00000000-0005-0000-0000-0000B86A0000}"/>
    <cellStyle name="Millares 9 2 3 2 2 2 3" xfId="27272" xr:uid="{00000000-0005-0000-0000-0000B96A0000}"/>
    <cellStyle name="Millares 9 2 3 2 2 2 3 2" xfId="27273" xr:uid="{00000000-0005-0000-0000-0000BA6A0000}"/>
    <cellStyle name="Millares 9 2 3 2 2 2 4" xfId="27274" xr:uid="{00000000-0005-0000-0000-0000BB6A0000}"/>
    <cellStyle name="Millares 9 2 3 2 2 3" xfId="27275" xr:uid="{00000000-0005-0000-0000-0000BC6A0000}"/>
    <cellStyle name="Millares 9 2 3 2 2 3 2" xfId="27276" xr:uid="{00000000-0005-0000-0000-0000BD6A0000}"/>
    <cellStyle name="Millares 9 2 3 2 2 4" xfId="27277" xr:uid="{00000000-0005-0000-0000-0000BE6A0000}"/>
    <cellStyle name="Millares 9 2 3 2 2 4 2" xfId="27278" xr:uid="{00000000-0005-0000-0000-0000BF6A0000}"/>
    <cellStyle name="Millares 9 2 3 2 2 5" xfId="27279" xr:uid="{00000000-0005-0000-0000-0000C06A0000}"/>
    <cellStyle name="Millares 9 2 3 2 3" xfId="27280" xr:uid="{00000000-0005-0000-0000-0000C16A0000}"/>
    <cellStyle name="Millares 9 2 3 2 3 2" xfId="27281" xr:uid="{00000000-0005-0000-0000-0000C26A0000}"/>
    <cellStyle name="Millares 9 2 3 2 3 2 2" xfId="27282" xr:uid="{00000000-0005-0000-0000-0000C36A0000}"/>
    <cellStyle name="Millares 9 2 3 2 3 3" xfId="27283" xr:uid="{00000000-0005-0000-0000-0000C46A0000}"/>
    <cellStyle name="Millares 9 2 3 2 3 3 2" xfId="27284" xr:uid="{00000000-0005-0000-0000-0000C56A0000}"/>
    <cellStyle name="Millares 9 2 3 2 3 4" xfId="27285" xr:uid="{00000000-0005-0000-0000-0000C66A0000}"/>
    <cellStyle name="Millares 9 2 3 2 4" xfId="27286" xr:uid="{00000000-0005-0000-0000-0000C76A0000}"/>
    <cellStyle name="Millares 9 2 3 2 4 2" xfId="27287" xr:uid="{00000000-0005-0000-0000-0000C86A0000}"/>
    <cellStyle name="Millares 9 2 3 2 5" xfId="27288" xr:uid="{00000000-0005-0000-0000-0000C96A0000}"/>
    <cellStyle name="Millares 9 2 3 2 5 2" xfId="27289" xr:uid="{00000000-0005-0000-0000-0000CA6A0000}"/>
    <cellStyle name="Millares 9 2 3 2 6" xfId="27290" xr:uid="{00000000-0005-0000-0000-0000CB6A0000}"/>
    <cellStyle name="Millares 9 2 3 3" xfId="27291" xr:uid="{00000000-0005-0000-0000-0000CC6A0000}"/>
    <cellStyle name="Millares 9 2 3 3 2" xfId="27292" xr:uid="{00000000-0005-0000-0000-0000CD6A0000}"/>
    <cellStyle name="Millares 9 2 3 3 2 2" xfId="27293" xr:uid="{00000000-0005-0000-0000-0000CE6A0000}"/>
    <cellStyle name="Millares 9 2 3 3 2 2 2" xfId="27294" xr:uid="{00000000-0005-0000-0000-0000CF6A0000}"/>
    <cellStyle name="Millares 9 2 3 3 2 3" xfId="27295" xr:uid="{00000000-0005-0000-0000-0000D06A0000}"/>
    <cellStyle name="Millares 9 2 3 3 2 3 2" xfId="27296" xr:uid="{00000000-0005-0000-0000-0000D16A0000}"/>
    <cellStyle name="Millares 9 2 3 3 2 4" xfId="27297" xr:uid="{00000000-0005-0000-0000-0000D26A0000}"/>
    <cellStyle name="Millares 9 2 3 3 3" xfId="27298" xr:uid="{00000000-0005-0000-0000-0000D36A0000}"/>
    <cellStyle name="Millares 9 2 3 3 3 2" xfId="27299" xr:uid="{00000000-0005-0000-0000-0000D46A0000}"/>
    <cellStyle name="Millares 9 2 3 3 4" xfId="27300" xr:uid="{00000000-0005-0000-0000-0000D56A0000}"/>
    <cellStyle name="Millares 9 2 3 3 4 2" xfId="27301" xr:uid="{00000000-0005-0000-0000-0000D66A0000}"/>
    <cellStyle name="Millares 9 2 3 3 5" xfId="27302" xr:uid="{00000000-0005-0000-0000-0000D76A0000}"/>
    <cellStyle name="Millares 9 2 3 4" xfId="27303" xr:uid="{00000000-0005-0000-0000-0000D86A0000}"/>
    <cellStyle name="Millares 9 2 3 4 2" xfId="27304" xr:uid="{00000000-0005-0000-0000-0000D96A0000}"/>
    <cellStyle name="Millares 9 2 3 4 2 2" xfId="27305" xr:uid="{00000000-0005-0000-0000-0000DA6A0000}"/>
    <cellStyle name="Millares 9 2 3 4 3" xfId="27306" xr:uid="{00000000-0005-0000-0000-0000DB6A0000}"/>
    <cellStyle name="Millares 9 2 3 4 3 2" xfId="27307" xr:uid="{00000000-0005-0000-0000-0000DC6A0000}"/>
    <cellStyle name="Millares 9 2 3 4 4" xfId="27308" xr:uid="{00000000-0005-0000-0000-0000DD6A0000}"/>
    <cellStyle name="Millares 9 2 3 5" xfId="27309" xr:uid="{00000000-0005-0000-0000-0000DE6A0000}"/>
    <cellStyle name="Millares 9 2 3 5 2" xfId="27310" xr:uid="{00000000-0005-0000-0000-0000DF6A0000}"/>
    <cellStyle name="Millares 9 2 3 6" xfId="27311" xr:uid="{00000000-0005-0000-0000-0000E06A0000}"/>
    <cellStyle name="Millares 9 2 3 6 2" xfId="27312" xr:uid="{00000000-0005-0000-0000-0000E16A0000}"/>
    <cellStyle name="Millares 9 2 3 7" xfId="27313" xr:uid="{00000000-0005-0000-0000-0000E26A0000}"/>
    <cellStyle name="Millares 9 2 4" xfId="27314" xr:uid="{00000000-0005-0000-0000-0000E36A0000}"/>
    <cellStyle name="Millares 9 2 4 2" xfId="27315" xr:uid="{00000000-0005-0000-0000-0000E46A0000}"/>
    <cellStyle name="Millares 9 2 4 2 2" xfId="27316" xr:uid="{00000000-0005-0000-0000-0000E56A0000}"/>
    <cellStyle name="Millares 9 2 4 2 2 2" xfId="27317" xr:uid="{00000000-0005-0000-0000-0000E66A0000}"/>
    <cellStyle name="Millares 9 2 4 2 2 2 2" xfId="27318" xr:uid="{00000000-0005-0000-0000-0000E76A0000}"/>
    <cellStyle name="Millares 9 2 4 2 2 3" xfId="27319" xr:uid="{00000000-0005-0000-0000-0000E86A0000}"/>
    <cellStyle name="Millares 9 2 4 2 2 3 2" xfId="27320" xr:uid="{00000000-0005-0000-0000-0000E96A0000}"/>
    <cellStyle name="Millares 9 2 4 2 2 4" xfId="27321" xr:uid="{00000000-0005-0000-0000-0000EA6A0000}"/>
    <cellStyle name="Millares 9 2 4 2 3" xfId="27322" xr:uid="{00000000-0005-0000-0000-0000EB6A0000}"/>
    <cellStyle name="Millares 9 2 4 2 3 2" xfId="27323" xr:uid="{00000000-0005-0000-0000-0000EC6A0000}"/>
    <cellStyle name="Millares 9 2 4 2 4" xfId="27324" xr:uid="{00000000-0005-0000-0000-0000ED6A0000}"/>
    <cellStyle name="Millares 9 2 4 2 4 2" xfId="27325" xr:uid="{00000000-0005-0000-0000-0000EE6A0000}"/>
    <cellStyle name="Millares 9 2 4 2 5" xfId="27326" xr:uid="{00000000-0005-0000-0000-0000EF6A0000}"/>
    <cellStyle name="Millares 9 2 4 3" xfId="27327" xr:uid="{00000000-0005-0000-0000-0000F06A0000}"/>
    <cellStyle name="Millares 9 2 4 3 2" xfId="27328" xr:uid="{00000000-0005-0000-0000-0000F16A0000}"/>
    <cellStyle name="Millares 9 2 4 3 2 2" xfId="27329" xr:uid="{00000000-0005-0000-0000-0000F26A0000}"/>
    <cellStyle name="Millares 9 2 4 3 3" xfId="27330" xr:uid="{00000000-0005-0000-0000-0000F36A0000}"/>
    <cellStyle name="Millares 9 2 4 3 3 2" xfId="27331" xr:uid="{00000000-0005-0000-0000-0000F46A0000}"/>
    <cellStyle name="Millares 9 2 4 3 4" xfId="27332" xr:uid="{00000000-0005-0000-0000-0000F56A0000}"/>
    <cellStyle name="Millares 9 2 4 4" xfId="27333" xr:uid="{00000000-0005-0000-0000-0000F66A0000}"/>
    <cellStyle name="Millares 9 2 4 4 2" xfId="27334" xr:uid="{00000000-0005-0000-0000-0000F76A0000}"/>
    <cellStyle name="Millares 9 2 4 5" xfId="27335" xr:uid="{00000000-0005-0000-0000-0000F86A0000}"/>
    <cellStyle name="Millares 9 2 4 5 2" xfId="27336" xr:uid="{00000000-0005-0000-0000-0000F96A0000}"/>
    <cellStyle name="Millares 9 2 4 6" xfId="27337" xr:uid="{00000000-0005-0000-0000-0000FA6A0000}"/>
    <cellStyle name="Millares 9 2 5" xfId="27338" xr:uid="{00000000-0005-0000-0000-0000FB6A0000}"/>
    <cellStyle name="Millares 9 2 5 2" xfId="27339" xr:uid="{00000000-0005-0000-0000-0000FC6A0000}"/>
    <cellStyle name="Millares 9 2 5 2 2" xfId="27340" xr:uid="{00000000-0005-0000-0000-0000FD6A0000}"/>
    <cellStyle name="Millares 9 2 5 2 2 2" xfId="27341" xr:uid="{00000000-0005-0000-0000-0000FE6A0000}"/>
    <cellStyle name="Millares 9 2 5 2 3" xfId="27342" xr:uid="{00000000-0005-0000-0000-0000FF6A0000}"/>
    <cellStyle name="Millares 9 2 5 2 3 2" xfId="27343" xr:uid="{00000000-0005-0000-0000-0000006B0000}"/>
    <cellStyle name="Millares 9 2 5 2 4" xfId="27344" xr:uid="{00000000-0005-0000-0000-0000016B0000}"/>
    <cellStyle name="Millares 9 2 5 3" xfId="27345" xr:uid="{00000000-0005-0000-0000-0000026B0000}"/>
    <cellStyle name="Millares 9 2 5 3 2" xfId="27346" xr:uid="{00000000-0005-0000-0000-0000036B0000}"/>
    <cellStyle name="Millares 9 2 5 4" xfId="27347" xr:uid="{00000000-0005-0000-0000-0000046B0000}"/>
    <cellStyle name="Millares 9 2 5 4 2" xfId="27348" xr:uid="{00000000-0005-0000-0000-0000056B0000}"/>
    <cellStyle name="Millares 9 2 5 5" xfId="27349" xr:uid="{00000000-0005-0000-0000-0000066B0000}"/>
    <cellStyle name="Millares 9 2 6" xfId="27350" xr:uid="{00000000-0005-0000-0000-0000076B0000}"/>
    <cellStyle name="Millares 9 2 6 2" xfId="27351" xr:uid="{00000000-0005-0000-0000-0000086B0000}"/>
    <cellStyle name="Millares 9 2 6 2 2" xfId="27352" xr:uid="{00000000-0005-0000-0000-0000096B0000}"/>
    <cellStyle name="Millares 9 2 6 3" xfId="27353" xr:uid="{00000000-0005-0000-0000-00000A6B0000}"/>
    <cellStyle name="Millares 9 2 6 3 2" xfId="27354" xr:uid="{00000000-0005-0000-0000-00000B6B0000}"/>
    <cellStyle name="Millares 9 2 6 4" xfId="27355" xr:uid="{00000000-0005-0000-0000-00000C6B0000}"/>
    <cellStyle name="Millares 9 2 7" xfId="27356" xr:uid="{00000000-0005-0000-0000-00000D6B0000}"/>
    <cellStyle name="Millares 9 2 7 2" xfId="27357" xr:uid="{00000000-0005-0000-0000-00000E6B0000}"/>
    <cellStyle name="Millares 9 2 8" xfId="27358" xr:uid="{00000000-0005-0000-0000-00000F6B0000}"/>
    <cellStyle name="Millares 9 2 8 2" xfId="27359" xr:uid="{00000000-0005-0000-0000-0000106B0000}"/>
    <cellStyle name="Millares 9 2 9" xfId="27360" xr:uid="{00000000-0005-0000-0000-0000116B0000}"/>
    <cellStyle name="Millares 9 20" xfId="27361" xr:uid="{00000000-0005-0000-0000-0000126B0000}"/>
    <cellStyle name="Millares 9 21" xfId="27362" xr:uid="{00000000-0005-0000-0000-0000136B0000}"/>
    <cellStyle name="Millares 9 22" xfId="27363" xr:uid="{00000000-0005-0000-0000-0000146B0000}"/>
    <cellStyle name="Millares 9 23" xfId="27364" xr:uid="{00000000-0005-0000-0000-0000156B0000}"/>
    <cellStyle name="Millares 9 24" xfId="27365" xr:uid="{00000000-0005-0000-0000-0000166B0000}"/>
    <cellStyle name="Millares 9 25" xfId="27366" xr:uid="{00000000-0005-0000-0000-0000176B0000}"/>
    <cellStyle name="Millares 9 26" xfId="27367" xr:uid="{00000000-0005-0000-0000-0000186B0000}"/>
    <cellStyle name="Millares 9 27" xfId="27368" xr:uid="{00000000-0005-0000-0000-0000196B0000}"/>
    <cellStyle name="Millares 9 28" xfId="27369" xr:uid="{00000000-0005-0000-0000-00001A6B0000}"/>
    <cellStyle name="Millares 9 29" xfId="27370" xr:uid="{00000000-0005-0000-0000-00001B6B0000}"/>
    <cellStyle name="Millares 9 3" xfId="27371" xr:uid="{00000000-0005-0000-0000-00001C6B0000}"/>
    <cellStyle name="Millares 9 3 2" xfId="27372" xr:uid="{00000000-0005-0000-0000-00001D6B0000}"/>
    <cellStyle name="Millares 9 3 2 2" xfId="27373" xr:uid="{00000000-0005-0000-0000-00001E6B0000}"/>
    <cellStyle name="Millares 9 3 2 2 2" xfId="27374" xr:uid="{00000000-0005-0000-0000-00001F6B0000}"/>
    <cellStyle name="Millares 9 3 2 2 2 2" xfId="27375" xr:uid="{00000000-0005-0000-0000-0000206B0000}"/>
    <cellStyle name="Millares 9 3 2 2 2 2 2" xfId="27376" xr:uid="{00000000-0005-0000-0000-0000216B0000}"/>
    <cellStyle name="Millares 9 3 2 2 2 3" xfId="27377" xr:uid="{00000000-0005-0000-0000-0000226B0000}"/>
    <cellStyle name="Millares 9 3 2 2 2 3 2" xfId="27378" xr:uid="{00000000-0005-0000-0000-0000236B0000}"/>
    <cellStyle name="Millares 9 3 2 2 2 4" xfId="27379" xr:uid="{00000000-0005-0000-0000-0000246B0000}"/>
    <cellStyle name="Millares 9 3 2 2 3" xfId="27380" xr:uid="{00000000-0005-0000-0000-0000256B0000}"/>
    <cellStyle name="Millares 9 3 2 2 3 2" xfId="27381" xr:uid="{00000000-0005-0000-0000-0000266B0000}"/>
    <cellStyle name="Millares 9 3 2 2 4" xfId="27382" xr:uid="{00000000-0005-0000-0000-0000276B0000}"/>
    <cellStyle name="Millares 9 3 2 2 4 2" xfId="27383" xr:uid="{00000000-0005-0000-0000-0000286B0000}"/>
    <cellStyle name="Millares 9 3 2 2 5" xfId="27384" xr:uid="{00000000-0005-0000-0000-0000296B0000}"/>
    <cellStyle name="Millares 9 3 2 3" xfId="27385" xr:uid="{00000000-0005-0000-0000-00002A6B0000}"/>
    <cellStyle name="Millares 9 3 2 3 2" xfId="27386" xr:uid="{00000000-0005-0000-0000-00002B6B0000}"/>
    <cellStyle name="Millares 9 3 2 3 2 2" xfId="27387" xr:uid="{00000000-0005-0000-0000-00002C6B0000}"/>
    <cellStyle name="Millares 9 3 2 3 3" xfId="27388" xr:uid="{00000000-0005-0000-0000-00002D6B0000}"/>
    <cellStyle name="Millares 9 3 2 3 3 2" xfId="27389" xr:uid="{00000000-0005-0000-0000-00002E6B0000}"/>
    <cellStyle name="Millares 9 3 2 3 4" xfId="27390" xr:uid="{00000000-0005-0000-0000-00002F6B0000}"/>
    <cellStyle name="Millares 9 3 2 4" xfId="27391" xr:uid="{00000000-0005-0000-0000-0000306B0000}"/>
    <cellStyle name="Millares 9 3 2 4 2" xfId="27392" xr:uid="{00000000-0005-0000-0000-0000316B0000}"/>
    <cellStyle name="Millares 9 3 2 5" xfId="27393" xr:uid="{00000000-0005-0000-0000-0000326B0000}"/>
    <cellStyle name="Millares 9 3 2 5 2" xfId="27394" xr:uid="{00000000-0005-0000-0000-0000336B0000}"/>
    <cellStyle name="Millares 9 3 2 6" xfId="27395" xr:uid="{00000000-0005-0000-0000-0000346B0000}"/>
    <cellStyle name="Millares 9 3 3" xfId="27396" xr:uid="{00000000-0005-0000-0000-0000356B0000}"/>
    <cellStyle name="Millares 9 3 3 2" xfId="27397" xr:uid="{00000000-0005-0000-0000-0000366B0000}"/>
    <cellStyle name="Millares 9 3 3 2 2" xfId="27398" xr:uid="{00000000-0005-0000-0000-0000376B0000}"/>
    <cellStyle name="Millares 9 3 3 2 2 2" xfId="27399" xr:uid="{00000000-0005-0000-0000-0000386B0000}"/>
    <cellStyle name="Millares 9 3 3 2 3" xfId="27400" xr:uid="{00000000-0005-0000-0000-0000396B0000}"/>
    <cellStyle name="Millares 9 3 3 2 3 2" xfId="27401" xr:uid="{00000000-0005-0000-0000-00003A6B0000}"/>
    <cellStyle name="Millares 9 3 3 2 4" xfId="27402" xr:uid="{00000000-0005-0000-0000-00003B6B0000}"/>
    <cellStyle name="Millares 9 3 3 3" xfId="27403" xr:uid="{00000000-0005-0000-0000-00003C6B0000}"/>
    <cellStyle name="Millares 9 3 3 3 2" xfId="27404" xr:uid="{00000000-0005-0000-0000-00003D6B0000}"/>
    <cellStyle name="Millares 9 3 3 4" xfId="27405" xr:uid="{00000000-0005-0000-0000-00003E6B0000}"/>
    <cellStyle name="Millares 9 3 3 4 2" xfId="27406" xr:uid="{00000000-0005-0000-0000-00003F6B0000}"/>
    <cellStyle name="Millares 9 3 3 5" xfId="27407" xr:uid="{00000000-0005-0000-0000-0000406B0000}"/>
    <cellStyle name="Millares 9 3 4" xfId="27408" xr:uid="{00000000-0005-0000-0000-0000416B0000}"/>
    <cellStyle name="Millares 9 3 4 2" xfId="27409" xr:uid="{00000000-0005-0000-0000-0000426B0000}"/>
    <cellStyle name="Millares 9 3 4 2 2" xfId="27410" xr:uid="{00000000-0005-0000-0000-0000436B0000}"/>
    <cellStyle name="Millares 9 3 4 3" xfId="27411" xr:uid="{00000000-0005-0000-0000-0000446B0000}"/>
    <cellStyle name="Millares 9 3 4 3 2" xfId="27412" xr:uid="{00000000-0005-0000-0000-0000456B0000}"/>
    <cellStyle name="Millares 9 3 4 4" xfId="27413" xr:uid="{00000000-0005-0000-0000-0000466B0000}"/>
    <cellStyle name="Millares 9 3 5" xfId="27414" xr:uid="{00000000-0005-0000-0000-0000476B0000}"/>
    <cellStyle name="Millares 9 3 5 2" xfId="27415" xr:uid="{00000000-0005-0000-0000-0000486B0000}"/>
    <cellStyle name="Millares 9 3 6" xfId="27416" xr:uid="{00000000-0005-0000-0000-0000496B0000}"/>
    <cellStyle name="Millares 9 3 6 2" xfId="27417" xr:uid="{00000000-0005-0000-0000-00004A6B0000}"/>
    <cellStyle name="Millares 9 3 7" xfId="27418" xr:uid="{00000000-0005-0000-0000-00004B6B0000}"/>
    <cellStyle name="Millares 9 30" xfId="27419" xr:uid="{00000000-0005-0000-0000-00004C6B0000}"/>
    <cellStyle name="Millares 9 31" xfId="27420" xr:uid="{00000000-0005-0000-0000-00004D6B0000}"/>
    <cellStyle name="Millares 9 32" xfId="27421" xr:uid="{00000000-0005-0000-0000-00004E6B0000}"/>
    <cellStyle name="Millares 9 33" xfId="27422" xr:uid="{00000000-0005-0000-0000-00004F6B0000}"/>
    <cellStyle name="Millares 9 34" xfId="27423" xr:uid="{00000000-0005-0000-0000-0000506B0000}"/>
    <cellStyle name="Millares 9 35" xfId="27424" xr:uid="{00000000-0005-0000-0000-0000516B0000}"/>
    <cellStyle name="Millares 9 36" xfId="27425" xr:uid="{00000000-0005-0000-0000-0000526B0000}"/>
    <cellStyle name="Millares 9 37" xfId="27426" xr:uid="{00000000-0005-0000-0000-0000536B0000}"/>
    <cellStyle name="Millares 9 38" xfId="27427" xr:uid="{00000000-0005-0000-0000-0000546B0000}"/>
    <cellStyle name="Millares 9 39" xfId="27428" xr:uid="{00000000-0005-0000-0000-0000556B0000}"/>
    <cellStyle name="Millares 9 4" xfId="27429" xr:uid="{00000000-0005-0000-0000-0000566B0000}"/>
    <cellStyle name="Millares 9 4 2" xfId="27430" xr:uid="{00000000-0005-0000-0000-0000576B0000}"/>
    <cellStyle name="Millares 9 4 2 2" xfId="27431" xr:uid="{00000000-0005-0000-0000-0000586B0000}"/>
    <cellStyle name="Millares 9 4 2 2 2" xfId="27432" xr:uid="{00000000-0005-0000-0000-0000596B0000}"/>
    <cellStyle name="Millares 9 4 2 2 2 2" xfId="27433" xr:uid="{00000000-0005-0000-0000-00005A6B0000}"/>
    <cellStyle name="Millares 9 4 2 2 3" xfId="27434" xr:uid="{00000000-0005-0000-0000-00005B6B0000}"/>
    <cellStyle name="Millares 9 4 2 2 3 2" xfId="27435" xr:uid="{00000000-0005-0000-0000-00005C6B0000}"/>
    <cellStyle name="Millares 9 4 2 2 4" xfId="27436" xr:uid="{00000000-0005-0000-0000-00005D6B0000}"/>
    <cellStyle name="Millares 9 4 2 3" xfId="27437" xr:uid="{00000000-0005-0000-0000-00005E6B0000}"/>
    <cellStyle name="Millares 9 4 2 3 2" xfId="27438" xr:uid="{00000000-0005-0000-0000-00005F6B0000}"/>
    <cellStyle name="Millares 9 4 2 4" xfId="27439" xr:uid="{00000000-0005-0000-0000-0000606B0000}"/>
    <cellStyle name="Millares 9 4 2 4 2" xfId="27440" xr:uid="{00000000-0005-0000-0000-0000616B0000}"/>
    <cellStyle name="Millares 9 4 2 5" xfId="27441" xr:uid="{00000000-0005-0000-0000-0000626B0000}"/>
    <cellStyle name="Millares 9 4 3" xfId="27442" xr:uid="{00000000-0005-0000-0000-0000636B0000}"/>
    <cellStyle name="Millares 9 4 3 2" xfId="27443" xr:uid="{00000000-0005-0000-0000-0000646B0000}"/>
    <cellStyle name="Millares 9 4 3 2 2" xfId="27444" xr:uid="{00000000-0005-0000-0000-0000656B0000}"/>
    <cellStyle name="Millares 9 4 3 3" xfId="27445" xr:uid="{00000000-0005-0000-0000-0000666B0000}"/>
    <cellStyle name="Millares 9 4 3 3 2" xfId="27446" xr:uid="{00000000-0005-0000-0000-0000676B0000}"/>
    <cellStyle name="Millares 9 4 3 4" xfId="27447" xr:uid="{00000000-0005-0000-0000-0000686B0000}"/>
    <cellStyle name="Millares 9 4 4" xfId="27448" xr:uid="{00000000-0005-0000-0000-0000696B0000}"/>
    <cellStyle name="Millares 9 4 4 2" xfId="27449" xr:uid="{00000000-0005-0000-0000-00006A6B0000}"/>
    <cellStyle name="Millares 9 4 5" xfId="27450" xr:uid="{00000000-0005-0000-0000-00006B6B0000}"/>
    <cellStyle name="Millares 9 4 5 2" xfId="27451" xr:uid="{00000000-0005-0000-0000-00006C6B0000}"/>
    <cellStyle name="Millares 9 4 6" xfId="27452" xr:uid="{00000000-0005-0000-0000-00006D6B0000}"/>
    <cellStyle name="Millares 9 40" xfId="27453" xr:uid="{00000000-0005-0000-0000-00006E6B0000}"/>
    <cellStyle name="Millares 9 41" xfId="27454" xr:uid="{00000000-0005-0000-0000-00006F6B0000}"/>
    <cellStyle name="Millares 9 42" xfId="27455" xr:uid="{00000000-0005-0000-0000-0000706B0000}"/>
    <cellStyle name="Millares 9 43" xfId="27456" xr:uid="{00000000-0005-0000-0000-0000716B0000}"/>
    <cellStyle name="Millares 9 44" xfId="27457" xr:uid="{00000000-0005-0000-0000-0000726B0000}"/>
    <cellStyle name="Millares 9 45" xfId="36338" xr:uid="{00000000-0005-0000-0000-0000736B0000}"/>
    <cellStyle name="Millares 9 5" xfId="27458" xr:uid="{00000000-0005-0000-0000-0000746B0000}"/>
    <cellStyle name="Millares 9 5 2" xfId="27459" xr:uid="{00000000-0005-0000-0000-0000756B0000}"/>
    <cellStyle name="Millares 9 5 2 2" xfId="27460" xr:uid="{00000000-0005-0000-0000-0000766B0000}"/>
    <cellStyle name="Millares 9 5 2 2 2" xfId="27461" xr:uid="{00000000-0005-0000-0000-0000776B0000}"/>
    <cellStyle name="Millares 9 5 2 3" xfId="27462" xr:uid="{00000000-0005-0000-0000-0000786B0000}"/>
    <cellStyle name="Millares 9 5 2 3 2" xfId="27463" xr:uid="{00000000-0005-0000-0000-0000796B0000}"/>
    <cellStyle name="Millares 9 5 2 4" xfId="27464" xr:uid="{00000000-0005-0000-0000-00007A6B0000}"/>
    <cellStyle name="Millares 9 5 3" xfId="27465" xr:uid="{00000000-0005-0000-0000-00007B6B0000}"/>
    <cellStyle name="Millares 9 5 3 2" xfId="27466" xr:uid="{00000000-0005-0000-0000-00007C6B0000}"/>
    <cellStyle name="Millares 9 5 4" xfId="27467" xr:uid="{00000000-0005-0000-0000-00007D6B0000}"/>
    <cellStyle name="Millares 9 5 4 2" xfId="27468" xr:uid="{00000000-0005-0000-0000-00007E6B0000}"/>
    <cellStyle name="Millares 9 5 5" xfId="27469" xr:uid="{00000000-0005-0000-0000-00007F6B0000}"/>
    <cellStyle name="Millares 9 6" xfId="27470" xr:uid="{00000000-0005-0000-0000-0000806B0000}"/>
    <cellStyle name="Millares 9 6 2" xfId="27471" xr:uid="{00000000-0005-0000-0000-0000816B0000}"/>
    <cellStyle name="Millares 9 6 2 2" xfId="27472" xr:uid="{00000000-0005-0000-0000-0000826B0000}"/>
    <cellStyle name="Millares 9 6 3" xfId="27473" xr:uid="{00000000-0005-0000-0000-0000836B0000}"/>
    <cellStyle name="Millares 9 6 3 2" xfId="27474" xr:uid="{00000000-0005-0000-0000-0000846B0000}"/>
    <cellStyle name="Millares 9 6 4" xfId="27475" xr:uid="{00000000-0005-0000-0000-0000856B0000}"/>
    <cellStyle name="Millares 9 7" xfId="27476" xr:uid="{00000000-0005-0000-0000-0000866B0000}"/>
    <cellStyle name="Millares 9 7 2" xfId="27477" xr:uid="{00000000-0005-0000-0000-0000876B0000}"/>
    <cellStyle name="Millares 9 8" xfId="27478" xr:uid="{00000000-0005-0000-0000-0000886B0000}"/>
    <cellStyle name="Millares 9 8 2" xfId="27479" xr:uid="{00000000-0005-0000-0000-0000896B0000}"/>
    <cellStyle name="Millares 9 9" xfId="27480" xr:uid="{00000000-0005-0000-0000-00008A6B0000}"/>
    <cellStyle name="Millares 94 3" xfId="36337" xr:uid="{00000000-0005-0000-0000-00008B6B0000}"/>
    <cellStyle name="Millares ś0]_balances" xfId="27481" xr:uid="{00000000-0005-0000-0000-00008C6B0000}"/>
    <cellStyle name="Millares(0)" xfId="27482" xr:uid="{00000000-0005-0000-0000-00008D6B0000}"/>
    <cellStyle name="Millares(0) 2" xfId="27483" xr:uid="{00000000-0005-0000-0000-00008E6B0000}"/>
    <cellStyle name="Millares(1)" xfId="27484" xr:uid="{00000000-0005-0000-0000-00008F6B0000}"/>
    <cellStyle name="Millares(1) 2" xfId="27485" xr:uid="{00000000-0005-0000-0000-0000906B0000}"/>
    <cellStyle name="Millares[1]" xfId="27486" xr:uid="{00000000-0005-0000-0000-0000916B0000}"/>
    <cellStyle name="Millares[1] 2" xfId="27487" xr:uid="{00000000-0005-0000-0000-0000926B0000}"/>
    <cellStyle name="Milliers [0]_!!!GO" xfId="27488" xr:uid="{00000000-0005-0000-0000-0000936B0000}"/>
    <cellStyle name="Milliers_!!!GO" xfId="27489" xr:uid="{00000000-0005-0000-0000-0000946B0000}"/>
    <cellStyle name="MilŬares [0]" xfId="27490" xr:uid="{00000000-0005-0000-0000-0000956B0000}"/>
    <cellStyle name="MilŬares [0] 2" xfId="27491" xr:uid="{00000000-0005-0000-0000-0000966B0000}"/>
    <cellStyle name="MilŬares [0] 2 10" xfId="27492" xr:uid="{00000000-0005-0000-0000-0000976B0000}"/>
    <cellStyle name="MilŬares [0] 2 11" xfId="27493" xr:uid="{00000000-0005-0000-0000-0000986B0000}"/>
    <cellStyle name="MilŬares [0] 2 12" xfId="27494" xr:uid="{00000000-0005-0000-0000-0000996B0000}"/>
    <cellStyle name="MilŬares [0] 2 13" xfId="27495" xr:uid="{00000000-0005-0000-0000-00009A6B0000}"/>
    <cellStyle name="MilŬares [0] 2 2" xfId="27496" xr:uid="{00000000-0005-0000-0000-00009B6B0000}"/>
    <cellStyle name="MilŬares [0] 2 3" xfId="27497" xr:uid="{00000000-0005-0000-0000-00009C6B0000}"/>
    <cellStyle name="MilŬares [0] 2 4" xfId="27498" xr:uid="{00000000-0005-0000-0000-00009D6B0000}"/>
    <cellStyle name="MilŬares [0] 2 5" xfId="27499" xr:uid="{00000000-0005-0000-0000-00009E6B0000}"/>
    <cellStyle name="MilŬares [0] 2 6" xfId="27500" xr:uid="{00000000-0005-0000-0000-00009F6B0000}"/>
    <cellStyle name="MilŬares [0] 2 7" xfId="27501" xr:uid="{00000000-0005-0000-0000-0000A06B0000}"/>
    <cellStyle name="MilŬares [0] 2 8" xfId="27502" xr:uid="{00000000-0005-0000-0000-0000A16B0000}"/>
    <cellStyle name="MilŬares [0] 2 9" xfId="27503" xr:uid="{00000000-0005-0000-0000-0000A26B0000}"/>
    <cellStyle name="MilŬares [0] 3" xfId="27504" xr:uid="{00000000-0005-0000-0000-0000A36B0000}"/>
    <cellStyle name="MilŬares [0] 3 10" xfId="27505" xr:uid="{00000000-0005-0000-0000-0000A46B0000}"/>
    <cellStyle name="MilŬares [0] 3 11" xfId="27506" xr:uid="{00000000-0005-0000-0000-0000A56B0000}"/>
    <cellStyle name="MilŬares [0] 3 12" xfId="27507" xr:uid="{00000000-0005-0000-0000-0000A66B0000}"/>
    <cellStyle name="MilŬares [0] 3 13" xfId="27508" xr:uid="{00000000-0005-0000-0000-0000A76B0000}"/>
    <cellStyle name="MilŬares [0] 3 2" xfId="27509" xr:uid="{00000000-0005-0000-0000-0000A86B0000}"/>
    <cellStyle name="MilŬares [0] 3 3" xfId="27510" xr:uid="{00000000-0005-0000-0000-0000A96B0000}"/>
    <cellStyle name="MilŬares [0] 3 4" xfId="27511" xr:uid="{00000000-0005-0000-0000-0000AA6B0000}"/>
    <cellStyle name="MilŬares [0] 3 5" xfId="27512" xr:uid="{00000000-0005-0000-0000-0000AB6B0000}"/>
    <cellStyle name="MilŬares [0] 3 6" xfId="27513" xr:uid="{00000000-0005-0000-0000-0000AC6B0000}"/>
    <cellStyle name="MilŬares [0] 3 7" xfId="27514" xr:uid="{00000000-0005-0000-0000-0000AD6B0000}"/>
    <cellStyle name="MilŬares [0] 3 8" xfId="27515" xr:uid="{00000000-0005-0000-0000-0000AE6B0000}"/>
    <cellStyle name="MilŬares [0] 3 9" xfId="27516" xr:uid="{00000000-0005-0000-0000-0000AF6B0000}"/>
    <cellStyle name="MilŬares [0] 4" xfId="27517" xr:uid="{00000000-0005-0000-0000-0000B06B0000}"/>
    <cellStyle name="MilŬares [0] 4 10" xfId="27518" xr:uid="{00000000-0005-0000-0000-0000B16B0000}"/>
    <cellStyle name="MilŬares [0] 4 11" xfId="27519" xr:uid="{00000000-0005-0000-0000-0000B26B0000}"/>
    <cellStyle name="MilŬares [0] 4 12" xfId="27520" xr:uid="{00000000-0005-0000-0000-0000B36B0000}"/>
    <cellStyle name="MilŬares [0] 4 13" xfId="27521" xr:uid="{00000000-0005-0000-0000-0000B46B0000}"/>
    <cellStyle name="MilŬares [0] 4 2" xfId="27522" xr:uid="{00000000-0005-0000-0000-0000B56B0000}"/>
    <cellStyle name="MilŬares [0] 4 3" xfId="27523" xr:uid="{00000000-0005-0000-0000-0000B66B0000}"/>
    <cellStyle name="MilŬares [0] 4 4" xfId="27524" xr:uid="{00000000-0005-0000-0000-0000B76B0000}"/>
    <cellStyle name="MilŬares [0] 4 5" xfId="27525" xr:uid="{00000000-0005-0000-0000-0000B86B0000}"/>
    <cellStyle name="MilŬares [0] 4 6" xfId="27526" xr:uid="{00000000-0005-0000-0000-0000B96B0000}"/>
    <cellStyle name="MilŬares [0] 4 7" xfId="27527" xr:uid="{00000000-0005-0000-0000-0000BA6B0000}"/>
    <cellStyle name="MilŬares [0] 4 8" xfId="27528" xr:uid="{00000000-0005-0000-0000-0000BB6B0000}"/>
    <cellStyle name="MilŬares [0] 4 9" xfId="27529" xr:uid="{00000000-0005-0000-0000-0000BC6B0000}"/>
    <cellStyle name="MilŬares [0] 5" xfId="27530" xr:uid="{00000000-0005-0000-0000-0000BD6B0000}"/>
    <cellStyle name="MilŬares [0] 5 10" xfId="27531" xr:uid="{00000000-0005-0000-0000-0000BE6B0000}"/>
    <cellStyle name="MilŬares [0] 5 11" xfId="27532" xr:uid="{00000000-0005-0000-0000-0000BF6B0000}"/>
    <cellStyle name="MilŬares [0] 5 12" xfId="27533" xr:uid="{00000000-0005-0000-0000-0000C06B0000}"/>
    <cellStyle name="MilŬares [0] 5 13" xfId="27534" xr:uid="{00000000-0005-0000-0000-0000C16B0000}"/>
    <cellStyle name="MilŬares [0] 5 2" xfId="27535" xr:uid="{00000000-0005-0000-0000-0000C26B0000}"/>
    <cellStyle name="MilŬares [0] 5 3" xfId="27536" xr:uid="{00000000-0005-0000-0000-0000C36B0000}"/>
    <cellStyle name="MilŬares [0] 5 4" xfId="27537" xr:uid="{00000000-0005-0000-0000-0000C46B0000}"/>
    <cellStyle name="MilŬares [0] 5 5" xfId="27538" xr:uid="{00000000-0005-0000-0000-0000C56B0000}"/>
    <cellStyle name="MilŬares [0] 5 6" xfId="27539" xr:uid="{00000000-0005-0000-0000-0000C66B0000}"/>
    <cellStyle name="MilŬares [0] 5 7" xfId="27540" xr:uid="{00000000-0005-0000-0000-0000C76B0000}"/>
    <cellStyle name="MilŬares [0] 5 8" xfId="27541" xr:uid="{00000000-0005-0000-0000-0000C86B0000}"/>
    <cellStyle name="MilŬares [0] 5 9" xfId="27542" xr:uid="{00000000-0005-0000-0000-0000C96B0000}"/>
    <cellStyle name="MilŬares [0] 6" xfId="27543" xr:uid="{00000000-0005-0000-0000-0000CA6B0000}"/>
    <cellStyle name="MilŬares [0] 6 10" xfId="27544" xr:uid="{00000000-0005-0000-0000-0000CB6B0000}"/>
    <cellStyle name="MilŬares [0] 6 11" xfId="27545" xr:uid="{00000000-0005-0000-0000-0000CC6B0000}"/>
    <cellStyle name="MilŬares [0] 6 12" xfId="27546" xr:uid="{00000000-0005-0000-0000-0000CD6B0000}"/>
    <cellStyle name="MilŬares [0] 6 13" xfId="27547" xr:uid="{00000000-0005-0000-0000-0000CE6B0000}"/>
    <cellStyle name="MilŬares [0] 6 2" xfId="27548" xr:uid="{00000000-0005-0000-0000-0000CF6B0000}"/>
    <cellStyle name="MilŬares [0] 6 3" xfId="27549" xr:uid="{00000000-0005-0000-0000-0000D06B0000}"/>
    <cellStyle name="MilŬares [0] 6 4" xfId="27550" xr:uid="{00000000-0005-0000-0000-0000D16B0000}"/>
    <cellStyle name="MilŬares [0] 6 5" xfId="27551" xr:uid="{00000000-0005-0000-0000-0000D26B0000}"/>
    <cellStyle name="MilŬares [0] 6 6" xfId="27552" xr:uid="{00000000-0005-0000-0000-0000D36B0000}"/>
    <cellStyle name="MilŬares [0] 6 7" xfId="27553" xr:uid="{00000000-0005-0000-0000-0000D46B0000}"/>
    <cellStyle name="MilŬares [0] 6 8" xfId="27554" xr:uid="{00000000-0005-0000-0000-0000D56B0000}"/>
    <cellStyle name="MilŬares [0] 6 9" xfId="27555" xr:uid="{00000000-0005-0000-0000-0000D66B0000}"/>
    <cellStyle name="MilŬares [0] 7" xfId="27556" xr:uid="{00000000-0005-0000-0000-0000D76B0000}"/>
    <cellStyle name="MilŬares [0] 7 10" xfId="27557" xr:uid="{00000000-0005-0000-0000-0000D86B0000}"/>
    <cellStyle name="MilŬares [0] 7 11" xfId="27558" xr:uid="{00000000-0005-0000-0000-0000D96B0000}"/>
    <cellStyle name="MilŬares [0] 7 12" xfId="27559" xr:uid="{00000000-0005-0000-0000-0000DA6B0000}"/>
    <cellStyle name="MilŬares [0] 7 13" xfId="27560" xr:uid="{00000000-0005-0000-0000-0000DB6B0000}"/>
    <cellStyle name="MilŬares [0] 7 2" xfId="27561" xr:uid="{00000000-0005-0000-0000-0000DC6B0000}"/>
    <cellStyle name="MilŬares [0] 7 3" xfId="27562" xr:uid="{00000000-0005-0000-0000-0000DD6B0000}"/>
    <cellStyle name="MilŬares [0] 7 4" xfId="27563" xr:uid="{00000000-0005-0000-0000-0000DE6B0000}"/>
    <cellStyle name="MilŬares [0] 7 5" xfId="27564" xr:uid="{00000000-0005-0000-0000-0000DF6B0000}"/>
    <cellStyle name="MilŬares [0] 7 6" xfId="27565" xr:uid="{00000000-0005-0000-0000-0000E06B0000}"/>
    <cellStyle name="MilŬares [0] 7 7" xfId="27566" xr:uid="{00000000-0005-0000-0000-0000E16B0000}"/>
    <cellStyle name="MilŬares [0] 7 8" xfId="27567" xr:uid="{00000000-0005-0000-0000-0000E26B0000}"/>
    <cellStyle name="MilŬares [0] 7 9" xfId="27568" xr:uid="{00000000-0005-0000-0000-0000E36B0000}"/>
    <cellStyle name="MilŬares [0] 8" xfId="27569" xr:uid="{00000000-0005-0000-0000-0000E46B0000}"/>
    <cellStyle name="MilŬares [0] 8 10" xfId="27570" xr:uid="{00000000-0005-0000-0000-0000E56B0000}"/>
    <cellStyle name="MilŬares [0] 8 11" xfId="27571" xr:uid="{00000000-0005-0000-0000-0000E66B0000}"/>
    <cellStyle name="MilŬares [0] 8 12" xfId="27572" xr:uid="{00000000-0005-0000-0000-0000E76B0000}"/>
    <cellStyle name="MilŬares [0] 8 13" xfId="27573" xr:uid="{00000000-0005-0000-0000-0000E86B0000}"/>
    <cellStyle name="MilŬares [0] 8 2" xfId="27574" xr:uid="{00000000-0005-0000-0000-0000E96B0000}"/>
    <cellStyle name="MilŬares [0] 8 3" xfId="27575" xr:uid="{00000000-0005-0000-0000-0000EA6B0000}"/>
    <cellStyle name="MilŬares [0] 8 4" xfId="27576" xr:uid="{00000000-0005-0000-0000-0000EB6B0000}"/>
    <cellStyle name="MilŬares [0] 8 5" xfId="27577" xr:uid="{00000000-0005-0000-0000-0000EC6B0000}"/>
    <cellStyle name="MilŬares [0] 8 6" xfId="27578" xr:uid="{00000000-0005-0000-0000-0000ED6B0000}"/>
    <cellStyle name="MilŬares [0] 8 7" xfId="27579" xr:uid="{00000000-0005-0000-0000-0000EE6B0000}"/>
    <cellStyle name="MilŬares [0] 8 8" xfId="27580" xr:uid="{00000000-0005-0000-0000-0000EF6B0000}"/>
    <cellStyle name="MilŬares [0] 8 9" xfId="27581" xr:uid="{00000000-0005-0000-0000-0000F06B0000}"/>
    <cellStyle name="Moeda [0]_2000 01 27 - Det Invest Finan" xfId="27582" xr:uid="{00000000-0005-0000-0000-0000F16B0000}"/>
    <cellStyle name="Moeda_2000 01 27 - Det Invest Finan" xfId="27583" xr:uid="{00000000-0005-0000-0000-0000F26B0000}"/>
    <cellStyle name="Moneda 2" xfId="46" xr:uid="{00000000-0005-0000-0000-0000F36B0000}"/>
    <cellStyle name="Moneda 2 2" xfId="27585" xr:uid="{00000000-0005-0000-0000-0000F46B0000}"/>
    <cellStyle name="Moneda 2 2 2" xfId="27586" xr:uid="{00000000-0005-0000-0000-0000F56B0000}"/>
    <cellStyle name="Moneda 2 2 3" xfId="36344" xr:uid="{00000000-0005-0000-0000-0000F66B0000}"/>
    <cellStyle name="Moneda 2 3" xfId="27587" xr:uid="{00000000-0005-0000-0000-0000F76B0000}"/>
    <cellStyle name="Moneda 2 4" xfId="27588" xr:uid="{00000000-0005-0000-0000-0000F86B0000}"/>
    <cellStyle name="Moneda 2 5" xfId="36179" xr:uid="{00000000-0005-0000-0000-0000F96B0000}"/>
    <cellStyle name="Moneda 2 6" xfId="27584" xr:uid="{00000000-0005-0000-0000-0000FA6B0000}"/>
    <cellStyle name="Moneda 3" xfId="61" xr:uid="{00000000-0005-0000-0000-0000FB6B0000}"/>
    <cellStyle name="Moneda 3 2" xfId="27590" xr:uid="{00000000-0005-0000-0000-0000FC6B0000}"/>
    <cellStyle name="Moneda 3 3" xfId="27591" xr:uid="{00000000-0005-0000-0000-0000FD6B0000}"/>
    <cellStyle name="Moneda 3 4" xfId="36347" xr:uid="{00000000-0005-0000-0000-0000FE6B0000}"/>
    <cellStyle name="Moneda 3 5" xfId="27589" xr:uid="{00000000-0005-0000-0000-0000FF6B0000}"/>
    <cellStyle name="Moneda 4" xfId="27592" xr:uid="{00000000-0005-0000-0000-0000006C0000}"/>
    <cellStyle name="Moneda 5" xfId="36356" xr:uid="{00000000-0005-0000-0000-0000016C0000}"/>
    <cellStyle name="Monétaire [0]_!!!GO" xfId="27593" xr:uid="{00000000-0005-0000-0000-0000026C0000}"/>
    <cellStyle name="Monétaire_!!!GO" xfId="27594" xr:uid="{00000000-0005-0000-0000-0000036C0000}"/>
    <cellStyle name="Monetario" xfId="27595" xr:uid="{00000000-0005-0000-0000-0000046C0000}"/>
    <cellStyle name="Monetario0" xfId="27596" xr:uid="{00000000-0005-0000-0000-0000056C0000}"/>
    <cellStyle name="movimentação" xfId="27597" xr:uid="{00000000-0005-0000-0000-0000066C0000}"/>
    <cellStyle name="Multiple" xfId="27598" xr:uid="{00000000-0005-0000-0000-0000076C0000}"/>
    <cellStyle name="Neutral" xfId="47" builtinId="28" customBuiltin="1"/>
    <cellStyle name="Neutral 10" xfId="27599" xr:uid="{00000000-0005-0000-0000-0000096C0000}"/>
    <cellStyle name="Neutral 11" xfId="27600" xr:uid="{00000000-0005-0000-0000-00000A6C0000}"/>
    <cellStyle name="Neutral 2" xfId="27601" xr:uid="{00000000-0005-0000-0000-00000B6C0000}"/>
    <cellStyle name="Neutral 2 10" xfId="27602" xr:uid="{00000000-0005-0000-0000-00000C6C0000}"/>
    <cellStyle name="Neutral 2 11" xfId="27603" xr:uid="{00000000-0005-0000-0000-00000D6C0000}"/>
    <cellStyle name="Neutral 2 12" xfId="27604" xr:uid="{00000000-0005-0000-0000-00000E6C0000}"/>
    <cellStyle name="Neutral 2 13" xfId="27605" xr:uid="{00000000-0005-0000-0000-00000F6C0000}"/>
    <cellStyle name="Neutral 2 14" xfId="27606" xr:uid="{00000000-0005-0000-0000-0000106C0000}"/>
    <cellStyle name="Neutral 2 15" xfId="27607" xr:uid="{00000000-0005-0000-0000-0000116C0000}"/>
    <cellStyle name="Neutral 2 16" xfId="27608" xr:uid="{00000000-0005-0000-0000-0000126C0000}"/>
    <cellStyle name="Neutral 2 17" xfId="27609" xr:uid="{00000000-0005-0000-0000-0000136C0000}"/>
    <cellStyle name="Neutral 2 18" xfId="27610" xr:uid="{00000000-0005-0000-0000-0000146C0000}"/>
    <cellStyle name="Neutral 2 19" xfId="27611" xr:uid="{00000000-0005-0000-0000-0000156C0000}"/>
    <cellStyle name="Neutral 2 2" xfId="27612" xr:uid="{00000000-0005-0000-0000-0000166C0000}"/>
    <cellStyle name="Neutral 2 20" xfId="27613" xr:uid="{00000000-0005-0000-0000-0000176C0000}"/>
    <cellStyle name="Neutral 2 21" xfId="27614" xr:uid="{00000000-0005-0000-0000-0000186C0000}"/>
    <cellStyle name="Neutral 2 22" xfId="27615" xr:uid="{00000000-0005-0000-0000-0000196C0000}"/>
    <cellStyle name="Neutral 2 23" xfId="27616" xr:uid="{00000000-0005-0000-0000-00001A6C0000}"/>
    <cellStyle name="Neutral 2 24" xfId="27617" xr:uid="{00000000-0005-0000-0000-00001B6C0000}"/>
    <cellStyle name="Neutral 2 25" xfId="27618" xr:uid="{00000000-0005-0000-0000-00001C6C0000}"/>
    <cellStyle name="Neutral 2 26" xfId="27619" xr:uid="{00000000-0005-0000-0000-00001D6C0000}"/>
    <cellStyle name="Neutral 2 27" xfId="27620" xr:uid="{00000000-0005-0000-0000-00001E6C0000}"/>
    <cellStyle name="Neutral 2 28" xfId="27621" xr:uid="{00000000-0005-0000-0000-00001F6C0000}"/>
    <cellStyle name="Neutral 2 29" xfId="27622" xr:uid="{00000000-0005-0000-0000-0000206C0000}"/>
    <cellStyle name="Neutral 2 3" xfId="27623" xr:uid="{00000000-0005-0000-0000-0000216C0000}"/>
    <cellStyle name="Neutral 2 30" xfId="27624" xr:uid="{00000000-0005-0000-0000-0000226C0000}"/>
    <cellStyle name="Neutral 2 31" xfId="27625" xr:uid="{00000000-0005-0000-0000-0000236C0000}"/>
    <cellStyle name="Neutral 2 32" xfId="27626" xr:uid="{00000000-0005-0000-0000-0000246C0000}"/>
    <cellStyle name="Neutral 2 33" xfId="27627" xr:uid="{00000000-0005-0000-0000-0000256C0000}"/>
    <cellStyle name="Neutral 2 34" xfId="27628" xr:uid="{00000000-0005-0000-0000-0000266C0000}"/>
    <cellStyle name="Neutral 2 35" xfId="27629" xr:uid="{00000000-0005-0000-0000-0000276C0000}"/>
    <cellStyle name="Neutral 2 36" xfId="27630" xr:uid="{00000000-0005-0000-0000-0000286C0000}"/>
    <cellStyle name="Neutral 2 37" xfId="27631" xr:uid="{00000000-0005-0000-0000-0000296C0000}"/>
    <cellStyle name="Neutral 2 38" xfId="27632" xr:uid="{00000000-0005-0000-0000-00002A6C0000}"/>
    <cellStyle name="Neutral 2 4" xfId="27633" xr:uid="{00000000-0005-0000-0000-00002B6C0000}"/>
    <cellStyle name="Neutral 2 5" xfId="27634" xr:uid="{00000000-0005-0000-0000-00002C6C0000}"/>
    <cellStyle name="Neutral 2 6" xfId="27635" xr:uid="{00000000-0005-0000-0000-00002D6C0000}"/>
    <cellStyle name="Neutral 2 7" xfId="27636" xr:uid="{00000000-0005-0000-0000-00002E6C0000}"/>
    <cellStyle name="Neutral 2 8" xfId="27637" xr:uid="{00000000-0005-0000-0000-00002F6C0000}"/>
    <cellStyle name="Neutral 2 9" xfId="27638" xr:uid="{00000000-0005-0000-0000-0000306C0000}"/>
    <cellStyle name="Neutral 3" xfId="27639" xr:uid="{00000000-0005-0000-0000-0000316C0000}"/>
    <cellStyle name="Neutral 3 10" xfId="27640" xr:uid="{00000000-0005-0000-0000-0000326C0000}"/>
    <cellStyle name="Neutral 3 11" xfId="27641" xr:uid="{00000000-0005-0000-0000-0000336C0000}"/>
    <cellStyle name="Neutral 3 12" xfId="27642" xr:uid="{00000000-0005-0000-0000-0000346C0000}"/>
    <cellStyle name="Neutral 3 13" xfId="27643" xr:uid="{00000000-0005-0000-0000-0000356C0000}"/>
    <cellStyle name="Neutral 3 14" xfId="27644" xr:uid="{00000000-0005-0000-0000-0000366C0000}"/>
    <cellStyle name="Neutral 3 15" xfId="27645" xr:uid="{00000000-0005-0000-0000-0000376C0000}"/>
    <cellStyle name="Neutral 3 16" xfId="27646" xr:uid="{00000000-0005-0000-0000-0000386C0000}"/>
    <cellStyle name="Neutral 3 17" xfId="27647" xr:uid="{00000000-0005-0000-0000-0000396C0000}"/>
    <cellStyle name="Neutral 3 18" xfId="27648" xr:uid="{00000000-0005-0000-0000-00003A6C0000}"/>
    <cellStyle name="Neutral 3 19" xfId="27649" xr:uid="{00000000-0005-0000-0000-00003B6C0000}"/>
    <cellStyle name="Neutral 3 2" xfId="27650" xr:uid="{00000000-0005-0000-0000-00003C6C0000}"/>
    <cellStyle name="Neutral 3 20" xfId="27651" xr:uid="{00000000-0005-0000-0000-00003D6C0000}"/>
    <cellStyle name="Neutral 3 21" xfId="27652" xr:uid="{00000000-0005-0000-0000-00003E6C0000}"/>
    <cellStyle name="Neutral 3 22" xfId="27653" xr:uid="{00000000-0005-0000-0000-00003F6C0000}"/>
    <cellStyle name="Neutral 3 23" xfId="27654" xr:uid="{00000000-0005-0000-0000-0000406C0000}"/>
    <cellStyle name="Neutral 3 24" xfId="27655" xr:uid="{00000000-0005-0000-0000-0000416C0000}"/>
    <cellStyle name="Neutral 3 25" xfId="27656" xr:uid="{00000000-0005-0000-0000-0000426C0000}"/>
    <cellStyle name="Neutral 3 26" xfId="27657" xr:uid="{00000000-0005-0000-0000-0000436C0000}"/>
    <cellStyle name="Neutral 3 27" xfId="27658" xr:uid="{00000000-0005-0000-0000-0000446C0000}"/>
    <cellStyle name="Neutral 3 28" xfId="27659" xr:uid="{00000000-0005-0000-0000-0000456C0000}"/>
    <cellStyle name="Neutral 3 29" xfId="27660" xr:uid="{00000000-0005-0000-0000-0000466C0000}"/>
    <cellStyle name="Neutral 3 3" xfId="27661" xr:uid="{00000000-0005-0000-0000-0000476C0000}"/>
    <cellStyle name="Neutral 3 30" xfId="27662" xr:uid="{00000000-0005-0000-0000-0000486C0000}"/>
    <cellStyle name="Neutral 3 31" xfId="27663" xr:uid="{00000000-0005-0000-0000-0000496C0000}"/>
    <cellStyle name="Neutral 3 32" xfId="27664" xr:uid="{00000000-0005-0000-0000-00004A6C0000}"/>
    <cellStyle name="Neutral 3 33" xfId="27665" xr:uid="{00000000-0005-0000-0000-00004B6C0000}"/>
    <cellStyle name="Neutral 3 34" xfId="27666" xr:uid="{00000000-0005-0000-0000-00004C6C0000}"/>
    <cellStyle name="Neutral 3 4" xfId="27667" xr:uid="{00000000-0005-0000-0000-00004D6C0000}"/>
    <cellStyle name="Neutral 3 5" xfId="27668" xr:uid="{00000000-0005-0000-0000-00004E6C0000}"/>
    <cellStyle name="Neutral 3 6" xfId="27669" xr:uid="{00000000-0005-0000-0000-00004F6C0000}"/>
    <cellStyle name="Neutral 3 7" xfId="27670" xr:uid="{00000000-0005-0000-0000-0000506C0000}"/>
    <cellStyle name="Neutral 3 8" xfId="27671" xr:uid="{00000000-0005-0000-0000-0000516C0000}"/>
    <cellStyle name="Neutral 3 9" xfId="27672" xr:uid="{00000000-0005-0000-0000-0000526C0000}"/>
    <cellStyle name="Neutral 4" xfId="27673" xr:uid="{00000000-0005-0000-0000-0000536C0000}"/>
    <cellStyle name="Neutral 4 2" xfId="27674" xr:uid="{00000000-0005-0000-0000-0000546C0000}"/>
    <cellStyle name="Neutral 4 3" xfId="27675" xr:uid="{00000000-0005-0000-0000-0000556C0000}"/>
    <cellStyle name="Neutral 4 4" xfId="27676" xr:uid="{00000000-0005-0000-0000-0000566C0000}"/>
    <cellStyle name="Neutral 5" xfId="27677" xr:uid="{00000000-0005-0000-0000-0000576C0000}"/>
    <cellStyle name="Neutral 5 2" xfId="27678" xr:uid="{00000000-0005-0000-0000-0000586C0000}"/>
    <cellStyle name="Neutral 5 3" xfId="27679" xr:uid="{00000000-0005-0000-0000-0000596C0000}"/>
    <cellStyle name="Neutral 5 4" xfId="27680" xr:uid="{00000000-0005-0000-0000-00005A6C0000}"/>
    <cellStyle name="Neutral 6" xfId="27681" xr:uid="{00000000-0005-0000-0000-00005B6C0000}"/>
    <cellStyle name="Neutral 6 2" xfId="27682" xr:uid="{00000000-0005-0000-0000-00005C6C0000}"/>
    <cellStyle name="Neutral 7" xfId="27683" xr:uid="{00000000-0005-0000-0000-00005D6C0000}"/>
    <cellStyle name="Neutral 7 2" xfId="27684" xr:uid="{00000000-0005-0000-0000-00005E6C0000}"/>
    <cellStyle name="Neutral 8" xfId="27685" xr:uid="{00000000-0005-0000-0000-00005F6C0000}"/>
    <cellStyle name="Neutral 9" xfId="27686" xr:uid="{00000000-0005-0000-0000-0000606C0000}"/>
    <cellStyle name="NewColumnHeaderNormal" xfId="27687" xr:uid="{00000000-0005-0000-0000-0000616C0000}"/>
    <cellStyle name="NewSectionHeaderNormal" xfId="27688" xr:uid="{00000000-0005-0000-0000-0000626C0000}"/>
    <cellStyle name="NewTitleNormal" xfId="27689" xr:uid="{00000000-0005-0000-0000-0000636C0000}"/>
    <cellStyle name="Next holiday" xfId="27690" xr:uid="{00000000-0005-0000-0000-0000646C0000}"/>
    <cellStyle name="no dec" xfId="27691" xr:uid="{00000000-0005-0000-0000-0000656C0000}"/>
    <cellStyle name="No-definido" xfId="27692" xr:uid="{00000000-0005-0000-0000-0000666C0000}"/>
    <cellStyle name="Non_definito" xfId="27693" xr:uid="{00000000-0005-0000-0000-0000676C0000}"/>
    <cellStyle name="Normal" xfId="0" builtinId="0"/>
    <cellStyle name="Normal - Style1" xfId="27694" xr:uid="{00000000-0005-0000-0000-0000696C0000}"/>
    <cellStyle name="Normal - Style1 19" xfId="36340" xr:uid="{00000000-0005-0000-0000-00006A6C0000}"/>
    <cellStyle name="Normal - Style1 2" xfId="27695" xr:uid="{00000000-0005-0000-0000-00006B6C0000}"/>
    <cellStyle name="Normal - Style1 3" xfId="36164" xr:uid="{00000000-0005-0000-0000-00006C6C0000}"/>
    <cellStyle name="Normal - Style1_Cuadros paraPresentación de Sindicado de Palmas del Espino (V 05 12 08)}" xfId="27696" xr:uid="{00000000-0005-0000-0000-00006D6C0000}"/>
    <cellStyle name="Normal (%)" xfId="27697" xr:uid="{00000000-0005-0000-0000-00006E6C0000}"/>
    <cellStyle name="Normal (%) 2" xfId="27698" xr:uid="{00000000-0005-0000-0000-00006F6C0000}"/>
    <cellStyle name="Normal (%)_Cuadros paraPresentación de Sindicado de Palmas del Espino (V 05 12 08)}" xfId="27699" xr:uid="{00000000-0005-0000-0000-0000706C0000}"/>
    <cellStyle name="Normal (£m)" xfId="27700" xr:uid="{00000000-0005-0000-0000-0000716C0000}"/>
    <cellStyle name="Normal (No)" xfId="27701" xr:uid="{00000000-0005-0000-0000-0000726C0000}"/>
    <cellStyle name="Normal (x)" xfId="27702" xr:uid="{00000000-0005-0000-0000-0000736C0000}"/>
    <cellStyle name="Normal (x) 2" xfId="27703" xr:uid="{00000000-0005-0000-0000-0000746C0000}"/>
    <cellStyle name="Normal (x)_Cuadros paraPresentación de Sindicado de Palmas del Espino (V 05 12 08)}" xfId="27704" xr:uid="{00000000-0005-0000-0000-0000756C0000}"/>
    <cellStyle name="Normal 10" xfId="27705" xr:uid="{00000000-0005-0000-0000-0000766C0000}"/>
    <cellStyle name="Normal 10 2 2" xfId="27706" xr:uid="{00000000-0005-0000-0000-0000776C0000}"/>
    <cellStyle name="Normal 100" xfId="27707" xr:uid="{00000000-0005-0000-0000-0000786C0000}"/>
    <cellStyle name="Normal 101" xfId="27708" xr:uid="{00000000-0005-0000-0000-0000796C0000}"/>
    <cellStyle name="Normal 102" xfId="27709" xr:uid="{00000000-0005-0000-0000-00007A6C0000}"/>
    <cellStyle name="Normal 103" xfId="27710" xr:uid="{00000000-0005-0000-0000-00007B6C0000}"/>
    <cellStyle name="Normal 104" xfId="27711" xr:uid="{00000000-0005-0000-0000-00007C6C0000}"/>
    <cellStyle name="Normal 105" xfId="27712" xr:uid="{00000000-0005-0000-0000-00007D6C0000}"/>
    <cellStyle name="Normal 106" xfId="27713" xr:uid="{00000000-0005-0000-0000-00007E6C0000}"/>
    <cellStyle name="Normal 107" xfId="27714" xr:uid="{00000000-0005-0000-0000-00007F6C0000}"/>
    <cellStyle name="Normal 108" xfId="27715" xr:uid="{00000000-0005-0000-0000-0000806C0000}"/>
    <cellStyle name="Normal 109" xfId="27716" xr:uid="{00000000-0005-0000-0000-0000816C0000}"/>
    <cellStyle name="Normal 11" xfId="27717" xr:uid="{00000000-0005-0000-0000-0000826C0000}"/>
    <cellStyle name="Normal 11 10" xfId="27718" xr:uid="{00000000-0005-0000-0000-0000836C0000}"/>
    <cellStyle name="Normal 11 11" xfId="27719" xr:uid="{00000000-0005-0000-0000-0000846C0000}"/>
    <cellStyle name="Normal 11 12" xfId="27720" xr:uid="{00000000-0005-0000-0000-0000856C0000}"/>
    <cellStyle name="Normal 11 13" xfId="27721" xr:uid="{00000000-0005-0000-0000-0000866C0000}"/>
    <cellStyle name="Normal 11 14" xfId="27722" xr:uid="{00000000-0005-0000-0000-0000876C0000}"/>
    <cellStyle name="Normal 11 15" xfId="27723" xr:uid="{00000000-0005-0000-0000-0000886C0000}"/>
    <cellStyle name="Normal 11 16" xfId="27724" xr:uid="{00000000-0005-0000-0000-0000896C0000}"/>
    <cellStyle name="Normal 11 17" xfId="27725" xr:uid="{00000000-0005-0000-0000-00008A6C0000}"/>
    <cellStyle name="Normal 11 18" xfId="27726" xr:uid="{00000000-0005-0000-0000-00008B6C0000}"/>
    <cellStyle name="Normal 11 19" xfId="27727" xr:uid="{00000000-0005-0000-0000-00008C6C0000}"/>
    <cellStyle name="Normal 11 2" xfId="27728" xr:uid="{00000000-0005-0000-0000-00008D6C0000}"/>
    <cellStyle name="Normal 11 2 2" xfId="27729" xr:uid="{00000000-0005-0000-0000-00008E6C0000}"/>
    <cellStyle name="Normal 11 2 2 2" xfId="27730" xr:uid="{00000000-0005-0000-0000-00008F6C0000}"/>
    <cellStyle name="Normal 11 2 2 2 2" xfId="27731" xr:uid="{00000000-0005-0000-0000-0000906C0000}"/>
    <cellStyle name="Normal 11 2 2 2 2 2" xfId="27732" xr:uid="{00000000-0005-0000-0000-0000916C0000}"/>
    <cellStyle name="Normal 11 2 2 2 2 2 2" xfId="27733" xr:uid="{00000000-0005-0000-0000-0000926C0000}"/>
    <cellStyle name="Normal 11 2 2 2 2 2 2 2" xfId="27734" xr:uid="{00000000-0005-0000-0000-0000936C0000}"/>
    <cellStyle name="Normal 11 2 2 2 2 2 2 2 2" xfId="27735" xr:uid="{00000000-0005-0000-0000-0000946C0000}"/>
    <cellStyle name="Normal 11 2 2 2 2 2 2 3" xfId="27736" xr:uid="{00000000-0005-0000-0000-0000956C0000}"/>
    <cellStyle name="Normal 11 2 2 2 2 2 2 3 2" xfId="27737" xr:uid="{00000000-0005-0000-0000-0000966C0000}"/>
    <cellStyle name="Normal 11 2 2 2 2 2 2 4" xfId="27738" xr:uid="{00000000-0005-0000-0000-0000976C0000}"/>
    <cellStyle name="Normal 11 2 2 2 2 2 3" xfId="27739" xr:uid="{00000000-0005-0000-0000-0000986C0000}"/>
    <cellStyle name="Normal 11 2 2 2 2 2 3 2" xfId="27740" xr:uid="{00000000-0005-0000-0000-0000996C0000}"/>
    <cellStyle name="Normal 11 2 2 2 2 2 4" xfId="27741" xr:uid="{00000000-0005-0000-0000-00009A6C0000}"/>
    <cellStyle name="Normal 11 2 2 2 2 2 4 2" xfId="27742" xr:uid="{00000000-0005-0000-0000-00009B6C0000}"/>
    <cellStyle name="Normal 11 2 2 2 2 2 5" xfId="27743" xr:uid="{00000000-0005-0000-0000-00009C6C0000}"/>
    <cellStyle name="Normal 11 2 2 2 2 3" xfId="27744" xr:uid="{00000000-0005-0000-0000-00009D6C0000}"/>
    <cellStyle name="Normal 11 2 2 2 2 3 2" xfId="27745" xr:uid="{00000000-0005-0000-0000-00009E6C0000}"/>
    <cellStyle name="Normal 11 2 2 2 2 3 2 2" xfId="27746" xr:uid="{00000000-0005-0000-0000-00009F6C0000}"/>
    <cellStyle name="Normal 11 2 2 2 2 3 3" xfId="27747" xr:uid="{00000000-0005-0000-0000-0000A06C0000}"/>
    <cellStyle name="Normal 11 2 2 2 2 3 3 2" xfId="27748" xr:uid="{00000000-0005-0000-0000-0000A16C0000}"/>
    <cellStyle name="Normal 11 2 2 2 2 3 4" xfId="27749" xr:uid="{00000000-0005-0000-0000-0000A26C0000}"/>
    <cellStyle name="Normal 11 2 2 2 2 4" xfId="27750" xr:uid="{00000000-0005-0000-0000-0000A36C0000}"/>
    <cellStyle name="Normal 11 2 2 2 2 4 2" xfId="27751" xr:uid="{00000000-0005-0000-0000-0000A46C0000}"/>
    <cellStyle name="Normal 11 2 2 2 2 5" xfId="27752" xr:uid="{00000000-0005-0000-0000-0000A56C0000}"/>
    <cellStyle name="Normal 11 2 2 2 2 5 2" xfId="27753" xr:uid="{00000000-0005-0000-0000-0000A66C0000}"/>
    <cellStyle name="Normal 11 2 2 2 2 6" xfId="27754" xr:uid="{00000000-0005-0000-0000-0000A76C0000}"/>
    <cellStyle name="Normal 11 2 2 2 3" xfId="27755" xr:uid="{00000000-0005-0000-0000-0000A86C0000}"/>
    <cellStyle name="Normal 11 2 2 2 3 2" xfId="27756" xr:uid="{00000000-0005-0000-0000-0000A96C0000}"/>
    <cellStyle name="Normal 11 2 2 2 3 2 2" xfId="27757" xr:uid="{00000000-0005-0000-0000-0000AA6C0000}"/>
    <cellStyle name="Normal 11 2 2 2 3 2 2 2" xfId="27758" xr:uid="{00000000-0005-0000-0000-0000AB6C0000}"/>
    <cellStyle name="Normal 11 2 2 2 3 2 3" xfId="27759" xr:uid="{00000000-0005-0000-0000-0000AC6C0000}"/>
    <cellStyle name="Normal 11 2 2 2 3 2 3 2" xfId="27760" xr:uid="{00000000-0005-0000-0000-0000AD6C0000}"/>
    <cellStyle name="Normal 11 2 2 2 3 2 4" xfId="27761" xr:uid="{00000000-0005-0000-0000-0000AE6C0000}"/>
    <cellStyle name="Normal 11 2 2 2 3 3" xfId="27762" xr:uid="{00000000-0005-0000-0000-0000AF6C0000}"/>
    <cellStyle name="Normal 11 2 2 2 3 3 2" xfId="27763" xr:uid="{00000000-0005-0000-0000-0000B06C0000}"/>
    <cellStyle name="Normal 11 2 2 2 3 4" xfId="27764" xr:uid="{00000000-0005-0000-0000-0000B16C0000}"/>
    <cellStyle name="Normal 11 2 2 2 3 4 2" xfId="27765" xr:uid="{00000000-0005-0000-0000-0000B26C0000}"/>
    <cellStyle name="Normal 11 2 2 2 3 5" xfId="27766" xr:uid="{00000000-0005-0000-0000-0000B36C0000}"/>
    <cellStyle name="Normal 11 2 2 2 4" xfId="27767" xr:uid="{00000000-0005-0000-0000-0000B46C0000}"/>
    <cellStyle name="Normal 11 2 2 2 4 2" xfId="27768" xr:uid="{00000000-0005-0000-0000-0000B56C0000}"/>
    <cellStyle name="Normal 11 2 2 2 4 2 2" xfId="27769" xr:uid="{00000000-0005-0000-0000-0000B66C0000}"/>
    <cellStyle name="Normal 11 2 2 2 4 3" xfId="27770" xr:uid="{00000000-0005-0000-0000-0000B76C0000}"/>
    <cellStyle name="Normal 11 2 2 2 4 3 2" xfId="27771" xr:uid="{00000000-0005-0000-0000-0000B86C0000}"/>
    <cellStyle name="Normal 11 2 2 2 4 4" xfId="27772" xr:uid="{00000000-0005-0000-0000-0000B96C0000}"/>
    <cellStyle name="Normal 11 2 2 2 5" xfId="27773" xr:uid="{00000000-0005-0000-0000-0000BA6C0000}"/>
    <cellStyle name="Normal 11 2 2 2 5 2" xfId="27774" xr:uid="{00000000-0005-0000-0000-0000BB6C0000}"/>
    <cellStyle name="Normal 11 2 2 2 6" xfId="27775" xr:uid="{00000000-0005-0000-0000-0000BC6C0000}"/>
    <cellStyle name="Normal 11 2 2 2 6 2" xfId="27776" xr:uid="{00000000-0005-0000-0000-0000BD6C0000}"/>
    <cellStyle name="Normal 11 2 2 2 7" xfId="27777" xr:uid="{00000000-0005-0000-0000-0000BE6C0000}"/>
    <cellStyle name="Normal 11 2 2 3" xfId="27778" xr:uid="{00000000-0005-0000-0000-0000BF6C0000}"/>
    <cellStyle name="Normal 11 2 2 3 2" xfId="27779" xr:uid="{00000000-0005-0000-0000-0000C06C0000}"/>
    <cellStyle name="Normal 11 2 2 3 2 2" xfId="27780" xr:uid="{00000000-0005-0000-0000-0000C16C0000}"/>
    <cellStyle name="Normal 11 2 2 3 2 2 2" xfId="27781" xr:uid="{00000000-0005-0000-0000-0000C26C0000}"/>
    <cellStyle name="Normal 11 2 2 3 2 2 2 2" xfId="27782" xr:uid="{00000000-0005-0000-0000-0000C36C0000}"/>
    <cellStyle name="Normal 11 2 2 3 2 2 3" xfId="27783" xr:uid="{00000000-0005-0000-0000-0000C46C0000}"/>
    <cellStyle name="Normal 11 2 2 3 2 2 3 2" xfId="27784" xr:uid="{00000000-0005-0000-0000-0000C56C0000}"/>
    <cellStyle name="Normal 11 2 2 3 2 2 4" xfId="27785" xr:uid="{00000000-0005-0000-0000-0000C66C0000}"/>
    <cellStyle name="Normal 11 2 2 3 2 3" xfId="27786" xr:uid="{00000000-0005-0000-0000-0000C76C0000}"/>
    <cellStyle name="Normal 11 2 2 3 2 3 2" xfId="27787" xr:uid="{00000000-0005-0000-0000-0000C86C0000}"/>
    <cellStyle name="Normal 11 2 2 3 2 4" xfId="27788" xr:uid="{00000000-0005-0000-0000-0000C96C0000}"/>
    <cellStyle name="Normal 11 2 2 3 2 4 2" xfId="27789" xr:uid="{00000000-0005-0000-0000-0000CA6C0000}"/>
    <cellStyle name="Normal 11 2 2 3 2 5" xfId="27790" xr:uid="{00000000-0005-0000-0000-0000CB6C0000}"/>
    <cellStyle name="Normal 11 2 2 3 3" xfId="27791" xr:uid="{00000000-0005-0000-0000-0000CC6C0000}"/>
    <cellStyle name="Normal 11 2 2 3 3 2" xfId="27792" xr:uid="{00000000-0005-0000-0000-0000CD6C0000}"/>
    <cellStyle name="Normal 11 2 2 3 3 2 2" xfId="27793" xr:uid="{00000000-0005-0000-0000-0000CE6C0000}"/>
    <cellStyle name="Normal 11 2 2 3 3 3" xfId="27794" xr:uid="{00000000-0005-0000-0000-0000CF6C0000}"/>
    <cellStyle name="Normal 11 2 2 3 3 3 2" xfId="27795" xr:uid="{00000000-0005-0000-0000-0000D06C0000}"/>
    <cellStyle name="Normal 11 2 2 3 3 4" xfId="27796" xr:uid="{00000000-0005-0000-0000-0000D16C0000}"/>
    <cellStyle name="Normal 11 2 2 3 4" xfId="27797" xr:uid="{00000000-0005-0000-0000-0000D26C0000}"/>
    <cellStyle name="Normal 11 2 2 3 4 2" xfId="27798" xr:uid="{00000000-0005-0000-0000-0000D36C0000}"/>
    <cellStyle name="Normal 11 2 2 3 5" xfId="27799" xr:uid="{00000000-0005-0000-0000-0000D46C0000}"/>
    <cellStyle name="Normal 11 2 2 3 5 2" xfId="27800" xr:uid="{00000000-0005-0000-0000-0000D56C0000}"/>
    <cellStyle name="Normal 11 2 2 3 6" xfId="27801" xr:uid="{00000000-0005-0000-0000-0000D66C0000}"/>
    <cellStyle name="Normal 11 2 2 4" xfId="27802" xr:uid="{00000000-0005-0000-0000-0000D76C0000}"/>
    <cellStyle name="Normal 11 2 2 4 2" xfId="27803" xr:uid="{00000000-0005-0000-0000-0000D86C0000}"/>
    <cellStyle name="Normal 11 2 2 4 2 2" xfId="27804" xr:uid="{00000000-0005-0000-0000-0000D96C0000}"/>
    <cellStyle name="Normal 11 2 2 4 2 2 2" xfId="27805" xr:uid="{00000000-0005-0000-0000-0000DA6C0000}"/>
    <cellStyle name="Normal 11 2 2 4 2 3" xfId="27806" xr:uid="{00000000-0005-0000-0000-0000DB6C0000}"/>
    <cellStyle name="Normal 11 2 2 4 2 3 2" xfId="27807" xr:uid="{00000000-0005-0000-0000-0000DC6C0000}"/>
    <cellStyle name="Normal 11 2 2 4 2 4" xfId="27808" xr:uid="{00000000-0005-0000-0000-0000DD6C0000}"/>
    <cellStyle name="Normal 11 2 2 4 3" xfId="27809" xr:uid="{00000000-0005-0000-0000-0000DE6C0000}"/>
    <cellStyle name="Normal 11 2 2 4 3 2" xfId="27810" xr:uid="{00000000-0005-0000-0000-0000DF6C0000}"/>
    <cellStyle name="Normal 11 2 2 4 4" xfId="27811" xr:uid="{00000000-0005-0000-0000-0000E06C0000}"/>
    <cellStyle name="Normal 11 2 2 4 4 2" xfId="27812" xr:uid="{00000000-0005-0000-0000-0000E16C0000}"/>
    <cellStyle name="Normal 11 2 2 4 5" xfId="27813" xr:uid="{00000000-0005-0000-0000-0000E26C0000}"/>
    <cellStyle name="Normal 11 2 2 5" xfId="27814" xr:uid="{00000000-0005-0000-0000-0000E36C0000}"/>
    <cellStyle name="Normal 11 2 2 5 2" xfId="27815" xr:uid="{00000000-0005-0000-0000-0000E46C0000}"/>
    <cellStyle name="Normal 11 2 2 5 2 2" xfId="27816" xr:uid="{00000000-0005-0000-0000-0000E56C0000}"/>
    <cellStyle name="Normal 11 2 2 5 3" xfId="27817" xr:uid="{00000000-0005-0000-0000-0000E66C0000}"/>
    <cellStyle name="Normal 11 2 2 5 3 2" xfId="27818" xr:uid="{00000000-0005-0000-0000-0000E76C0000}"/>
    <cellStyle name="Normal 11 2 2 5 4" xfId="27819" xr:uid="{00000000-0005-0000-0000-0000E86C0000}"/>
    <cellStyle name="Normal 11 2 2 6" xfId="27820" xr:uid="{00000000-0005-0000-0000-0000E96C0000}"/>
    <cellStyle name="Normal 11 2 2 6 2" xfId="27821" xr:uid="{00000000-0005-0000-0000-0000EA6C0000}"/>
    <cellStyle name="Normal 11 2 2 7" xfId="27822" xr:uid="{00000000-0005-0000-0000-0000EB6C0000}"/>
    <cellStyle name="Normal 11 2 2 7 2" xfId="27823" xr:uid="{00000000-0005-0000-0000-0000EC6C0000}"/>
    <cellStyle name="Normal 11 2 2 8" xfId="27824" xr:uid="{00000000-0005-0000-0000-0000ED6C0000}"/>
    <cellStyle name="Normal 11 2 3" xfId="27825" xr:uid="{00000000-0005-0000-0000-0000EE6C0000}"/>
    <cellStyle name="Normal 11 2 3 2" xfId="27826" xr:uid="{00000000-0005-0000-0000-0000EF6C0000}"/>
    <cellStyle name="Normal 11 2 3 2 2" xfId="27827" xr:uid="{00000000-0005-0000-0000-0000F06C0000}"/>
    <cellStyle name="Normal 11 2 3 2 2 2" xfId="27828" xr:uid="{00000000-0005-0000-0000-0000F16C0000}"/>
    <cellStyle name="Normal 11 2 3 2 2 2 2" xfId="27829" xr:uid="{00000000-0005-0000-0000-0000F26C0000}"/>
    <cellStyle name="Normal 11 2 3 2 2 3" xfId="27830" xr:uid="{00000000-0005-0000-0000-0000F36C0000}"/>
    <cellStyle name="Normal 11 2 3 2 2 3 2" xfId="27831" xr:uid="{00000000-0005-0000-0000-0000F46C0000}"/>
    <cellStyle name="Normal 11 2 3 2 2 4" xfId="27832" xr:uid="{00000000-0005-0000-0000-0000F56C0000}"/>
    <cellStyle name="Normal 11 2 3 2 3" xfId="27833" xr:uid="{00000000-0005-0000-0000-0000F66C0000}"/>
    <cellStyle name="Normal 11 2 3 2 3 2" xfId="27834" xr:uid="{00000000-0005-0000-0000-0000F76C0000}"/>
    <cellStyle name="Normal 11 2 3 2 4" xfId="27835" xr:uid="{00000000-0005-0000-0000-0000F86C0000}"/>
    <cellStyle name="Normal 11 2 3 2 4 2" xfId="27836" xr:uid="{00000000-0005-0000-0000-0000F96C0000}"/>
    <cellStyle name="Normal 11 2 3 2 5" xfId="27837" xr:uid="{00000000-0005-0000-0000-0000FA6C0000}"/>
    <cellStyle name="Normal 11 2 3 3" xfId="27838" xr:uid="{00000000-0005-0000-0000-0000FB6C0000}"/>
    <cellStyle name="Normal 11 2 3 3 2" xfId="27839" xr:uid="{00000000-0005-0000-0000-0000FC6C0000}"/>
    <cellStyle name="Normal 11 2 3 3 2 2" xfId="27840" xr:uid="{00000000-0005-0000-0000-0000FD6C0000}"/>
    <cellStyle name="Normal 11 2 3 3 3" xfId="27841" xr:uid="{00000000-0005-0000-0000-0000FE6C0000}"/>
    <cellStyle name="Normal 11 2 3 3 3 2" xfId="27842" xr:uid="{00000000-0005-0000-0000-0000FF6C0000}"/>
    <cellStyle name="Normal 11 2 3 3 4" xfId="27843" xr:uid="{00000000-0005-0000-0000-0000006D0000}"/>
    <cellStyle name="Normal 11 2 3 4" xfId="27844" xr:uid="{00000000-0005-0000-0000-0000016D0000}"/>
    <cellStyle name="Normal 11 2 3 4 2" xfId="27845" xr:uid="{00000000-0005-0000-0000-0000026D0000}"/>
    <cellStyle name="Normal 11 2 3 5" xfId="27846" xr:uid="{00000000-0005-0000-0000-0000036D0000}"/>
    <cellStyle name="Normal 11 2 3 5 2" xfId="27847" xr:uid="{00000000-0005-0000-0000-0000046D0000}"/>
    <cellStyle name="Normal 11 2 3 6" xfId="27848" xr:uid="{00000000-0005-0000-0000-0000056D0000}"/>
    <cellStyle name="Normal 11 2 4" xfId="27849" xr:uid="{00000000-0005-0000-0000-0000066D0000}"/>
    <cellStyle name="Normal 11 2 4 2" xfId="27850" xr:uid="{00000000-0005-0000-0000-0000076D0000}"/>
    <cellStyle name="Normal 11 2 4 2 2" xfId="27851" xr:uid="{00000000-0005-0000-0000-0000086D0000}"/>
    <cellStyle name="Normal 11 2 4 2 2 2" xfId="27852" xr:uid="{00000000-0005-0000-0000-0000096D0000}"/>
    <cellStyle name="Normal 11 2 4 2 3" xfId="27853" xr:uid="{00000000-0005-0000-0000-00000A6D0000}"/>
    <cellStyle name="Normal 11 2 4 2 3 2" xfId="27854" xr:uid="{00000000-0005-0000-0000-00000B6D0000}"/>
    <cellStyle name="Normal 11 2 4 2 4" xfId="27855" xr:uid="{00000000-0005-0000-0000-00000C6D0000}"/>
    <cellStyle name="Normal 11 2 4 3" xfId="27856" xr:uid="{00000000-0005-0000-0000-00000D6D0000}"/>
    <cellStyle name="Normal 11 2 4 3 2" xfId="27857" xr:uid="{00000000-0005-0000-0000-00000E6D0000}"/>
    <cellStyle name="Normal 11 2 4 4" xfId="27858" xr:uid="{00000000-0005-0000-0000-00000F6D0000}"/>
    <cellStyle name="Normal 11 2 4 4 2" xfId="27859" xr:uid="{00000000-0005-0000-0000-0000106D0000}"/>
    <cellStyle name="Normal 11 2 4 5" xfId="27860" xr:uid="{00000000-0005-0000-0000-0000116D0000}"/>
    <cellStyle name="Normal 11 2 5" xfId="27861" xr:uid="{00000000-0005-0000-0000-0000126D0000}"/>
    <cellStyle name="Normal 11 2 5 2" xfId="27862" xr:uid="{00000000-0005-0000-0000-0000136D0000}"/>
    <cellStyle name="Normal 11 2 5 2 2" xfId="27863" xr:uid="{00000000-0005-0000-0000-0000146D0000}"/>
    <cellStyle name="Normal 11 2 5 3" xfId="27864" xr:uid="{00000000-0005-0000-0000-0000156D0000}"/>
    <cellStyle name="Normal 11 2 5 3 2" xfId="27865" xr:uid="{00000000-0005-0000-0000-0000166D0000}"/>
    <cellStyle name="Normal 11 2 5 4" xfId="27866" xr:uid="{00000000-0005-0000-0000-0000176D0000}"/>
    <cellStyle name="Normal 11 2 6" xfId="27867" xr:uid="{00000000-0005-0000-0000-0000186D0000}"/>
    <cellStyle name="Normal 11 2 6 2" xfId="27868" xr:uid="{00000000-0005-0000-0000-0000196D0000}"/>
    <cellStyle name="Normal 11 2 7" xfId="27869" xr:uid="{00000000-0005-0000-0000-00001A6D0000}"/>
    <cellStyle name="Normal 11 2 7 2" xfId="27870" xr:uid="{00000000-0005-0000-0000-00001B6D0000}"/>
    <cellStyle name="Normal 11 2 8" xfId="27871" xr:uid="{00000000-0005-0000-0000-00001C6D0000}"/>
    <cellStyle name="Normal 11 20" xfId="27872" xr:uid="{00000000-0005-0000-0000-00001D6D0000}"/>
    <cellStyle name="Normal 11 21" xfId="27873" xr:uid="{00000000-0005-0000-0000-00001E6D0000}"/>
    <cellStyle name="Normal 11 22" xfId="27874" xr:uid="{00000000-0005-0000-0000-00001F6D0000}"/>
    <cellStyle name="Normal 11 23" xfId="27875" xr:uid="{00000000-0005-0000-0000-0000206D0000}"/>
    <cellStyle name="Normal 11 24" xfId="27876" xr:uid="{00000000-0005-0000-0000-0000216D0000}"/>
    <cellStyle name="Normal 11 25" xfId="27877" xr:uid="{00000000-0005-0000-0000-0000226D0000}"/>
    <cellStyle name="Normal 11 26" xfId="27878" xr:uid="{00000000-0005-0000-0000-0000236D0000}"/>
    <cellStyle name="Normal 11 27" xfId="27879" xr:uid="{00000000-0005-0000-0000-0000246D0000}"/>
    <cellStyle name="Normal 11 28" xfId="27880" xr:uid="{00000000-0005-0000-0000-0000256D0000}"/>
    <cellStyle name="Normal 11 29" xfId="27881" xr:uid="{00000000-0005-0000-0000-0000266D0000}"/>
    <cellStyle name="Normal 11 3" xfId="27882" xr:uid="{00000000-0005-0000-0000-0000276D0000}"/>
    <cellStyle name="Normal 11 3 2" xfId="27883" xr:uid="{00000000-0005-0000-0000-0000286D0000}"/>
    <cellStyle name="Normal 11 3 2 2" xfId="27884" xr:uid="{00000000-0005-0000-0000-0000296D0000}"/>
    <cellStyle name="Normal 11 3 2 2 2" xfId="27885" xr:uid="{00000000-0005-0000-0000-00002A6D0000}"/>
    <cellStyle name="Normal 11 3 2 2 2 2" xfId="27886" xr:uid="{00000000-0005-0000-0000-00002B6D0000}"/>
    <cellStyle name="Normal 11 3 2 2 3" xfId="27887" xr:uid="{00000000-0005-0000-0000-00002C6D0000}"/>
    <cellStyle name="Normal 11 3 2 2 3 2" xfId="27888" xr:uid="{00000000-0005-0000-0000-00002D6D0000}"/>
    <cellStyle name="Normal 11 3 2 2 4" xfId="27889" xr:uid="{00000000-0005-0000-0000-00002E6D0000}"/>
    <cellStyle name="Normal 11 3 2 3" xfId="27890" xr:uid="{00000000-0005-0000-0000-00002F6D0000}"/>
    <cellStyle name="Normal 11 3 2 3 2" xfId="27891" xr:uid="{00000000-0005-0000-0000-0000306D0000}"/>
    <cellStyle name="Normal 11 3 2 4" xfId="27892" xr:uid="{00000000-0005-0000-0000-0000316D0000}"/>
    <cellStyle name="Normal 11 3 2 4 2" xfId="27893" xr:uid="{00000000-0005-0000-0000-0000326D0000}"/>
    <cellStyle name="Normal 11 3 2 5" xfId="27894" xr:uid="{00000000-0005-0000-0000-0000336D0000}"/>
    <cellStyle name="Normal 11 3 3" xfId="27895" xr:uid="{00000000-0005-0000-0000-0000346D0000}"/>
    <cellStyle name="Normal 11 3 3 2" xfId="27896" xr:uid="{00000000-0005-0000-0000-0000356D0000}"/>
    <cellStyle name="Normal 11 3 3 2 2" xfId="27897" xr:uid="{00000000-0005-0000-0000-0000366D0000}"/>
    <cellStyle name="Normal 11 3 3 3" xfId="27898" xr:uid="{00000000-0005-0000-0000-0000376D0000}"/>
    <cellStyle name="Normal 11 3 3 3 2" xfId="27899" xr:uid="{00000000-0005-0000-0000-0000386D0000}"/>
    <cellStyle name="Normal 11 3 3 4" xfId="27900" xr:uid="{00000000-0005-0000-0000-0000396D0000}"/>
    <cellStyle name="Normal 11 3 4" xfId="27901" xr:uid="{00000000-0005-0000-0000-00003A6D0000}"/>
    <cellStyle name="Normal 11 3 4 2" xfId="27902" xr:uid="{00000000-0005-0000-0000-00003B6D0000}"/>
    <cellStyle name="Normal 11 3 5" xfId="27903" xr:uid="{00000000-0005-0000-0000-00003C6D0000}"/>
    <cellStyle name="Normal 11 3 5 2" xfId="27904" xr:uid="{00000000-0005-0000-0000-00003D6D0000}"/>
    <cellStyle name="Normal 11 3 6" xfId="27905" xr:uid="{00000000-0005-0000-0000-00003E6D0000}"/>
    <cellStyle name="Normal 11 30" xfId="27906" xr:uid="{00000000-0005-0000-0000-00003F6D0000}"/>
    <cellStyle name="Normal 11 31" xfId="27907" xr:uid="{00000000-0005-0000-0000-0000406D0000}"/>
    <cellStyle name="Normal 11 32" xfId="27908" xr:uid="{00000000-0005-0000-0000-0000416D0000}"/>
    <cellStyle name="Normal 11 33" xfId="27909" xr:uid="{00000000-0005-0000-0000-0000426D0000}"/>
    <cellStyle name="Normal 11 34" xfId="27910" xr:uid="{00000000-0005-0000-0000-0000436D0000}"/>
    <cellStyle name="Normal 11 35" xfId="27911" xr:uid="{00000000-0005-0000-0000-0000446D0000}"/>
    <cellStyle name="Normal 11 36" xfId="27912" xr:uid="{00000000-0005-0000-0000-0000456D0000}"/>
    <cellStyle name="Normal 11 37" xfId="27913" xr:uid="{00000000-0005-0000-0000-0000466D0000}"/>
    <cellStyle name="Normal 11 38" xfId="27914" xr:uid="{00000000-0005-0000-0000-0000476D0000}"/>
    <cellStyle name="Normal 11 39" xfId="27915" xr:uid="{00000000-0005-0000-0000-0000486D0000}"/>
    <cellStyle name="Normal 11 4" xfId="27916" xr:uid="{00000000-0005-0000-0000-0000496D0000}"/>
    <cellStyle name="Normal 11 4 2" xfId="27917" xr:uid="{00000000-0005-0000-0000-00004A6D0000}"/>
    <cellStyle name="Normal 11 4 2 2" xfId="27918" xr:uid="{00000000-0005-0000-0000-00004B6D0000}"/>
    <cellStyle name="Normal 11 4 2 2 2" xfId="27919" xr:uid="{00000000-0005-0000-0000-00004C6D0000}"/>
    <cellStyle name="Normal 11 4 2 3" xfId="27920" xr:uid="{00000000-0005-0000-0000-00004D6D0000}"/>
    <cellStyle name="Normal 11 4 2 3 2" xfId="27921" xr:uid="{00000000-0005-0000-0000-00004E6D0000}"/>
    <cellStyle name="Normal 11 4 2 4" xfId="27922" xr:uid="{00000000-0005-0000-0000-00004F6D0000}"/>
    <cellStyle name="Normal 11 4 3" xfId="27923" xr:uid="{00000000-0005-0000-0000-0000506D0000}"/>
    <cellStyle name="Normal 11 4 3 2" xfId="27924" xr:uid="{00000000-0005-0000-0000-0000516D0000}"/>
    <cellStyle name="Normal 11 4 4" xfId="27925" xr:uid="{00000000-0005-0000-0000-0000526D0000}"/>
    <cellStyle name="Normal 11 4 4 2" xfId="27926" xr:uid="{00000000-0005-0000-0000-0000536D0000}"/>
    <cellStyle name="Normal 11 4 5" xfId="27927" xr:uid="{00000000-0005-0000-0000-0000546D0000}"/>
    <cellStyle name="Normal 11 40" xfId="27928" xr:uid="{00000000-0005-0000-0000-0000556D0000}"/>
    <cellStyle name="Normal 11 41" xfId="27929" xr:uid="{00000000-0005-0000-0000-0000566D0000}"/>
    <cellStyle name="Normal 11 42" xfId="27930" xr:uid="{00000000-0005-0000-0000-0000576D0000}"/>
    <cellStyle name="Normal 11 43" xfId="27931" xr:uid="{00000000-0005-0000-0000-0000586D0000}"/>
    <cellStyle name="Normal 11 44" xfId="27932" xr:uid="{00000000-0005-0000-0000-0000596D0000}"/>
    <cellStyle name="Normal 11 5" xfId="27933" xr:uid="{00000000-0005-0000-0000-00005A6D0000}"/>
    <cellStyle name="Normal 11 5 2" xfId="27934" xr:uid="{00000000-0005-0000-0000-00005B6D0000}"/>
    <cellStyle name="Normal 11 5 2 2" xfId="27935" xr:uid="{00000000-0005-0000-0000-00005C6D0000}"/>
    <cellStyle name="Normal 11 5 3" xfId="27936" xr:uid="{00000000-0005-0000-0000-00005D6D0000}"/>
    <cellStyle name="Normal 11 5 3 2" xfId="27937" xr:uid="{00000000-0005-0000-0000-00005E6D0000}"/>
    <cellStyle name="Normal 11 5 4" xfId="27938" xr:uid="{00000000-0005-0000-0000-00005F6D0000}"/>
    <cellStyle name="Normal 11 6" xfId="27939" xr:uid="{00000000-0005-0000-0000-0000606D0000}"/>
    <cellStyle name="Normal 11 6 2" xfId="27940" xr:uid="{00000000-0005-0000-0000-0000616D0000}"/>
    <cellStyle name="Normal 11 7" xfId="27941" xr:uid="{00000000-0005-0000-0000-0000626D0000}"/>
    <cellStyle name="Normal 11 7 2" xfId="27942" xr:uid="{00000000-0005-0000-0000-0000636D0000}"/>
    <cellStyle name="Normal 11 8" xfId="27943" xr:uid="{00000000-0005-0000-0000-0000646D0000}"/>
    <cellStyle name="Normal 11 9" xfId="27944" xr:uid="{00000000-0005-0000-0000-0000656D0000}"/>
    <cellStyle name="Normal 110" xfId="27945" xr:uid="{00000000-0005-0000-0000-0000666D0000}"/>
    <cellStyle name="Normal 111" xfId="27946" xr:uid="{00000000-0005-0000-0000-0000676D0000}"/>
    <cellStyle name="Normal 112" xfId="27947" xr:uid="{00000000-0005-0000-0000-0000686D0000}"/>
    <cellStyle name="Normal 113" xfId="27948" xr:uid="{00000000-0005-0000-0000-0000696D0000}"/>
    <cellStyle name="Normal 114" xfId="27949" xr:uid="{00000000-0005-0000-0000-00006A6D0000}"/>
    <cellStyle name="Normal 115" xfId="27950" xr:uid="{00000000-0005-0000-0000-00006B6D0000}"/>
    <cellStyle name="Normal 116" xfId="27951" xr:uid="{00000000-0005-0000-0000-00006C6D0000}"/>
    <cellStyle name="Normal 117" xfId="27952" xr:uid="{00000000-0005-0000-0000-00006D6D0000}"/>
    <cellStyle name="Normal 118" xfId="27953" xr:uid="{00000000-0005-0000-0000-00006E6D0000}"/>
    <cellStyle name="Normal 119" xfId="27954" xr:uid="{00000000-0005-0000-0000-00006F6D0000}"/>
    <cellStyle name="Normal 12" xfId="27955" xr:uid="{00000000-0005-0000-0000-0000706D0000}"/>
    <cellStyle name="Normal 12 10" xfId="27956" xr:uid="{00000000-0005-0000-0000-0000716D0000}"/>
    <cellStyle name="Normal 12 11" xfId="27957" xr:uid="{00000000-0005-0000-0000-0000726D0000}"/>
    <cellStyle name="Normal 12 12" xfId="27958" xr:uid="{00000000-0005-0000-0000-0000736D0000}"/>
    <cellStyle name="Normal 12 13" xfId="27959" xr:uid="{00000000-0005-0000-0000-0000746D0000}"/>
    <cellStyle name="Normal 12 14" xfId="27960" xr:uid="{00000000-0005-0000-0000-0000756D0000}"/>
    <cellStyle name="Normal 12 15" xfId="27961" xr:uid="{00000000-0005-0000-0000-0000766D0000}"/>
    <cellStyle name="Normal 12 16" xfId="27962" xr:uid="{00000000-0005-0000-0000-0000776D0000}"/>
    <cellStyle name="Normal 12 17" xfId="27963" xr:uid="{00000000-0005-0000-0000-0000786D0000}"/>
    <cellStyle name="Normal 12 18" xfId="27964" xr:uid="{00000000-0005-0000-0000-0000796D0000}"/>
    <cellStyle name="Normal 12 19" xfId="27965" xr:uid="{00000000-0005-0000-0000-00007A6D0000}"/>
    <cellStyle name="Normal 12 2" xfId="27966" xr:uid="{00000000-0005-0000-0000-00007B6D0000}"/>
    <cellStyle name="Normal 12 2 2" xfId="27967" xr:uid="{00000000-0005-0000-0000-00007C6D0000}"/>
    <cellStyle name="Normal 12 2 2 2" xfId="27968" xr:uid="{00000000-0005-0000-0000-00007D6D0000}"/>
    <cellStyle name="Normal 12 2 2 2 2" xfId="27969" xr:uid="{00000000-0005-0000-0000-00007E6D0000}"/>
    <cellStyle name="Normal 12 2 2 2 2 2" xfId="27970" xr:uid="{00000000-0005-0000-0000-00007F6D0000}"/>
    <cellStyle name="Normal 12 2 2 2 2 2 2" xfId="27971" xr:uid="{00000000-0005-0000-0000-0000806D0000}"/>
    <cellStyle name="Normal 12 2 2 2 2 3" xfId="27972" xr:uid="{00000000-0005-0000-0000-0000816D0000}"/>
    <cellStyle name="Normal 12 2 2 2 2 3 2" xfId="27973" xr:uid="{00000000-0005-0000-0000-0000826D0000}"/>
    <cellStyle name="Normal 12 2 2 2 2 4" xfId="27974" xr:uid="{00000000-0005-0000-0000-0000836D0000}"/>
    <cellStyle name="Normal 12 2 2 2 3" xfId="27975" xr:uid="{00000000-0005-0000-0000-0000846D0000}"/>
    <cellStyle name="Normal 12 2 2 2 3 2" xfId="27976" xr:uid="{00000000-0005-0000-0000-0000856D0000}"/>
    <cellStyle name="Normal 12 2 2 2 4" xfId="27977" xr:uid="{00000000-0005-0000-0000-0000866D0000}"/>
    <cellStyle name="Normal 12 2 2 2 4 2" xfId="27978" xr:uid="{00000000-0005-0000-0000-0000876D0000}"/>
    <cellStyle name="Normal 12 2 2 2 5" xfId="27979" xr:uid="{00000000-0005-0000-0000-0000886D0000}"/>
    <cellStyle name="Normal 12 2 2 3" xfId="27980" xr:uid="{00000000-0005-0000-0000-0000896D0000}"/>
    <cellStyle name="Normal 12 2 2 3 2" xfId="27981" xr:uid="{00000000-0005-0000-0000-00008A6D0000}"/>
    <cellStyle name="Normal 12 2 2 3 2 2" xfId="27982" xr:uid="{00000000-0005-0000-0000-00008B6D0000}"/>
    <cellStyle name="Normal 12 2 2 3 3" xfId="27983" xr:uid="{00000000-0005-0000-0000-00008C6D0000}"/>
    <cellStyle name="Normal 12 2 2 3 3 2" xfId="27984" xr:uid="{00000000-0005-0000-0000-00008D6D0000}"/>
    <cellStyle name="Normal 12 2 2 3 4" xfId="27985" xr:uid="{00000000-0005-0000-0000-00008E6D0000}"/>
    <cellStyle name="Normal 12 2 2 4" xfId="27986" xr:uid="{00000000-0005-0000-0000-00008F6D0000}"/>
    <cellStyle name="Normal 12 2 2 4 2" xfId="27987" xr:uid="{00000000-0005-0000-0000-0000906D0000}"/>
    <cellStyle name="Normal 12 2 2 5" xfId="27988" xr:uid="{00000000-0005-0000-0000-0000916D0000}"/>
    <cellStyle name="Normal 12 2 2 5 2" xfId="27989" xr:uid="{00000000-0005-0000-0000-0000926D0000}"/>
    <cellStyle name="Normal 12 2 2 6" xfId="27990" xr:uid="{00000000-0005-0000-0000-0000936D0000}"/>
    <cellStyle name="Normal 12 2 3" xfId="27991" xr:uid="{00000000-0005-0000-0000-0000946D0000}"/>
    <cellStyle name="Normal 12 2 3 2" xfId="27992" xr:uid="{00000000-0005-0000-0000-0000956D0000}"/>
    <cellStyle name="Normal 12 2 3 2 2" xfId="27993" xr:uid="{00000000-0005-0000-0000-0000966D0000}"/>
    <cellStyle name="Normal 12 2 3 2 2 2" xfId="27994" xr:uid="{00000000-0005-0000-0000-0000976D0000}"/>
    <cellStyle name="Normal 12 2 3 2 3" xfId="27995" xr:uid="{00000000-0005-0000-0000-0000986D0000}"/>
    <cellStyle name="Normal 12 2 3 2 3 2" xfId="27996" xr:uid="{00000000-0005-0000-0000-0000996D0000}"/>
    <cellStyle name="Normal 12 2 3 2 4" xfId="27997" xr:uid="{00000000-0005-0000-0000-00009A6D0000}"/>
    <cellStyle name="Normal 12 2 3 3" xfId="27998" xr:uid="{00000000-0005-0000-0000-00009B6D0000}"/>
    <cellStyle name="Normal 12 2 3 3 2" xfId="27999" xr:uid="{00000000-0005-0000-0000-00009C6D0000}"/>
    <cellStyle name="Normal 12 2 3 4" xfId="28000" xr:uid="{00000000-0005-0000-0000-00009D6D0000}"/>
    <cellStyle name="Normal 12 2 3 4 2" xfId="28001" xr:uid="{00000000-0005-0000-0000-00009E6D0000}"/>
    <cellStyle name="Normal 12 2 3 5" xfId="28002" xr:uid="{00000000-0005-0000-0000-00009F6D0000}"/>
    <cellStyle name="Normal 12 2 4" xfId="28003" xr:uid="{00000000-0005-0000-0000-0000A06D0000}"/>
    <cellStyle name="Normal 12 2 4 2" xfId="28004" xr:uid="{00000000-0005-0000-0000-0000A16D0000}"/>
    <cellStyle name="Normal 12 2 4 2 2" xfId="28005" xr:uid="{00000000-0005-0000-0000-0000A26D0000}"/>
    <cellStyle name="Normal 12 2 4 3" xfId="28006" xr:uid="{00000000-0005-0000-0000-0000A36D0000}"/>
    <cellStyle name="Normal 12 2 4 3 2" xfId="28007" xr:uid="{00000000-0005-0000-0000-0000A46D0000}"/>
    <cellStyle name="Normal 12 2 4 4" xfId="28008" xr:uid="{00000000-0005-0000-0000-0000A56D0000}"/>
    <cellStyle name="Normal 12 2 5" xfId="28009" xr:uid="{00000000-0005-0000-0000-0000A66D0000}"/>
    <cellStyle name="Normal 12 2 5 2" xfId="28010" xr:uid="{00000000-0005-0000-0000-0000A76D0000}"/>
    <cellStyle name="Normal 12 2 6" xfId="28011" xr:uid="{00000000-0005-0000-0000-0000A86D0000}"/>
    <cellStyle name="Normal 12 2 6 2" xfId="28012" xr:uid="{00000000-0005-0000-0000-0000A96D0000}"/>
    <cellStyle name="Normal 12 2 7" xfId="28013" xr:uid="{00000000-0005-0000-0000-0000AA6D0000}"/>
    <cellStyle name="Normal 12 20" xfId="28014" xr:uid="{00000000-0005-0000-0000-0000AB6D0000}"/>
    <cellStyle name="Normal 12 21" xfId="28015" xr:uid="{00000000-0005-0000-0000-0000AC6D0000}"/>
    <cellStyle name="Normal 12 22" xfId="28016" xr:uid="{00000000-0005-0000-0000-0000AD6D0000}"/>
    <cellStyle name="Normal 12 23" xfId="28017" xr:uid="{00000000-0005-0000-0000-0000AE6D0000}"/>
    <cellStyle name="Normal 12 24" xfId="28018" xr:uid="{00000000-0005-0000-0000-0000AF6D0000}"/>
    <cellStyle name="Normal 12 25" xfId="28019" xr:uid="{00000000-0005-0000-0000-0000B06D0000}"/>
    <cellStyle name="Normal 12 26" xfId="28020" xr:uid="{00000000-0005-0000-0000-0000B16D0000}"/>
    <cellStyle name="Normal 12 27" xfId="28021" xr:uid="{00000000-0005-0000-0000-0000B26D0000}"/>
    <cellStyle name="Normal 12 28" xfId="28022" xr:uid="{00000000-0005-0000-0000-0000B36D0000}"/>
    <cellStyle name="Normal 12 29" xfId="28023" xr:uid="{00000000-0005-0000-0000-0000B46D0000}"/>
    <cellStyle name="Normal 12 3" xfId="28024" xr:uid="{00000000-0005-0000-0000-0000B56D0000}"/>
    <cellStyle name="Normal 12 3 2" xfId="28025" xr:uid="{00000000-0005-0000-0000-0000B66D0000}"/>
    <cellStyle name="Normal 12 3 2 2" xfId="28026" xr:uid="{00000000-0005-0000-0000-0000B76D0000}"/>
    <cellStyle name="Normal 12 3 2 2 2" xfId="28027" xr:uid="{00000000-0005-0000-0000-0000B86D0000}"/>
    <cellStyle name="Normal 12 3 2 2 2 2" xfId="28028" xr:uid="{00000000-0005-0000-0000-0000B96D0000}"/>
    <cellStyle name="Normal 12 3 2 2 3" xfId="28029" xr:uid="{00000000-0005-0000-0000-0000BA6D0000}"/>
    <cellStyle name="Normal 12 3 2 2 3 2" xfId="28030" xr:uid="{00000000-0005-0000-0000-0000BB6D0000}"/>
    <cellStyle name="Normal 12 3 2 2 4" xfId="28031" xr:uid="{00000000-0005-0000-0000-0000BC6D0000}"/>
    <cellStyle name="Normal 12 3 2 3" xfId="28032" xr:uid="{00000000-0005-0000-0000-0000BD6D0000}"/>
    <cellStyle name="Normal 12 3 2 3 2" xfId="28033" xr:uid="{00000000-0005-0000-0000-0000BE6D0000}"/>
    <cellStyle name="Normal 12 3 2 4" xfId="28034" xr:uid="{00000000-0005-0000-0000-0000BF6D0000}"/>
    <cellStyle name="Normal 12 3 2 4 2" xfId="28035" xr:uid="{00000000-0005-0000-0000-0000C06D0000}"/>
    <cellStyle name="Normal 12 3 2 5" xfId="28036" xr:uid="{00000000-0005-0000-0000-0000C16D0000}"/>
    <cellStyle name="Normal 12 3 3" xfId="28037" xr:uid="{00000000-0005-0000-0000-0000C26D0000}"/>
    <cellStyle name="Normal 12 3 3 2" xfId="28038" xr:uid="{00000000-0005-0000-0000-0000C36D0000}"/>
    <cellStyle name="Normal 12 3 3 2 2" xfId="28039" xr:uid="{00000000-0005-0000-0000-0000C46D0000}"/>
    <cellStyle name="Normal 12 3 3 3" xfId="28040" xr:uid="{00000000-0005-0000-0000-0000C56D0000}"/>
    <cellStyle name="Normal 12 3 3 3 2" xfId="28041" xr:uid="{00000000-0005-0000-0000-0000C66D0000}"/>
    <cellStyle name="Normal 12 3 3 4" xfId="28042" xr:uid="{00000000-0005-0000-0000-0000C76D0000}"/>
    <cellStyle name="Normal 12 3 4" xfId="28043" xr:uid="{00000000-0005-0000-0000-0000C86D0000}"/>
    <cellStyle name="Normal 12 3 4 2" xfId="28044" xr:uid="{00000000-0005-0000-0000-0000C96D0000}"/>
    <cellStyle name="Normal 12 3 5" xfId="28045" xr:uid="{00000000-0005-0000-0000-0000CA6D0000}"/>
    <cellStyle name="Normal 12 3 5 2" xfId="28046" xr:uid="{00000000-0005-0000-0000-0000CB6D0000}"/>
    <cellStyle name="Normal 12 3 6" xfId="28047" xr:uid="{00000000-0005-0000-0000-0000CC6D0000}"/>
    <cellStyle name="Normal 12 30" xfId="28048" xr:uid="{00000000-0005-0000-0000-0000CD6D0000}"/>
    <cellStyle name="Normal 12 31" xfId="28049" xr:uid="{00000000-0005-0000-0000-0000CE6D0000}"/>
    <cellStyle name="Normal 12 32" xfId="28050" xr:uid="{00000000-0005-0000-0000-0000CF6D0000}"/>
    <cellStyle name="Normal 12 33" xfId="28051" xr:uid="{00000000-0005-0000-0000-0000D06D0000}"/>
    <cellStyle name="Normal 12 34" xfId="28052" xr:uid="{00000000-0005-0000-0000-0000D16D0000}"/>
    <cellStyle name="Normal 12 35" xfId="28053" xr:uid="{00000000-0005-0000-0000-0000D26D0000}"/>
    <cellStyle name="Normal 12 36" xfId="28054" xr:uid="{00000000-0005-0000-0000-0000D36D0000}"/>
    <cellStyle name="Normal 12 37" xfId="28055" xr:uid="{00000000-0005-0000-0000-0000D46D0000}"/>
    <cellStyle name="Normal 12 38" xfId="28056" xr:uid="{00000000-0005-0000-0000-0000D56D0000}"/>
    <cellStyle name="Normal 12 39" xfId="28057" xr:uid="{00000000-0005-0000-0000-0000D66D0000}"/>
    <cellStyle name="Normal 12 4" xfId="28058" xr:uid="{00000000-0005-0000-0000-0000D76D0000}"/>
    <cellStyle name="Normal 12 4 2" xfId="28059" xr:uid="{00000000-0005-0000-0000-0000D86D0000}"/>
    <cellStyle name="Normal 12 4 2 2" xfId="28060" xr:uid="{00000000-0005-0000-0000-0000D96D0000}"/>
    <cellStyle name="Normal 12 4 2 2 2" xfId="28061" xr:uid="{00000000-0005-0000-0000-0000DA6D0000}"/>
    <cellStyle name="Normal 12 4 2 3" xfId="28062" xr:uid="{00000000-0005-0000-0000-0000DB6D0000}"/>
    <cellStyle name="Normal 12 4 2 3 2" xfId="28063" xr:uid="{00000000-0005-0000-0000-0000DC6D0000}"/>
    <cellStyle name="Normal 12 4 2 4" xfId="28064" xr:uid="{00000000-0005-0000-0000-0000DD6D0000}"/>
    <cellStyle name="Normal 12 4 3" xfId="28065" xr:uid="{00000000-0005-0000-0000-0000DE6D0000}"/>
    <cellStyle name="Normal 12 4 3 2" xfId="28066" xr:uid="{00000000-0005-0000-0000-0000DF6D0000}"/>
    <cellStyle name="Normal 12 4 4" xfId="28067" xr:uid="{00000000-0005-0000-0000-0000E06D0000}"/>
    <cellStyle name="Normal 12 4 4 2" xfId="28068" xr:uid="{00000000-0005-0000-0000-0000E16D0000}"/>
    <cellStyle name="Normal 12 4 5" xfId="28069" xr:uid="{00000000-0005-0000-0000-0000E26D0000}"/>
    <cellStyle name="Normal 12 40" xfId="28070" xr:uid="{00000000-0005-0000-0000-0000E36D0000}"/>
    <cellStyle name="Normal 12 41" xfId="28071" xr:uid="{00000000-0005-0000-0000-0000E46D0000}"/>
    <cellStyle name="Normal 12 42" xfId="28072" xr:uid="{00000000-0005-0000-0000-0000E56D0000}"/>
    <cellStyle name="Normal 12 43" xfId="28073" xr:uid="{00000000-0005-0000-0000-0000E66D0000}"/>
    <cellStyle name="Normal 12 44" xfId="28074" xr:uid="{00000000-0005-0000-0000-0000E76D0000}"/>
    <cellStyle name="Normal 12 5" xfId="28075" xr:uid="{00000000-0005-0000-0000-0000E86D0000}"/>
    <cellStyle name="Normal 12 5 2" xfId="28076" xr:uid="{00000000-0005-0000-0000-0000E96D0000}"/>
    <cellStyle name="Normal 12 5 2 2" xfId="28077" xr:uid="{00000000-0005-0000-0000-0000EA6D0000}"/>
    <cellStyle name="Normal 12 5 3" xfId="28078" xr:uid="{00000000-0005-0000-0000-0000EB6D0000}"/>
    <cellStyle name="Normal 12 5 3 2" xfId="28079" xr:uid="{00000000-0005-0000-0000-0000EC6D0000}"/>
    <cellStyle name="Normal 12 5 4" xfId="28080" xr:uid="{00000000-0005-0000-0000-0000ED6D0000}"/>
    <cellStyle name="Normal 12 6" xfId="28081" xr:uid="{00000000-0005-0000-0000-0000EE6D0000}"/>
    <cellStyle name="Normal 12 6 2" xfId="28082" xr:uid="{00000000-0005-0000-0000-0000EF6D0000}"/>
    <cellStyle name="Normal 12 7" xfId="28083" xr:uid="{00000000-0005-0000-0000-0000F06D0000}"/>
    <cellStyle name="Normal 12 7 2" xfId="28084" xr:uid="{00000000-0005-0000-0000-0000F16D0000}"/>
    <cellStyle name="Normal 12 8" xfId="28085" xr:uid="{00000000-0005-0000-0000-0000F26D0000}"/>
    <cellStyle name="Normal 12 9" xfId="28086" xr:uid="{00000000-0005-0000-0000-0000F36D0000}"/>
    <cellStyle name="Normal 120" xfId="28087" xr:uid="{00000000-0005-0000-0000-0000F46D0000}"/>
    <cellStyle name="Normal 121" xfId="28088" xr:uid="{00000000-0005-0000-0000-0000F56D0000}"/>
    <cellStyle name="Normal 122" xfId="28089" xr:uid="{00000000-0005-0000-0000-0000F66D0000}"/>
    <cellStyle name="Normal 123" xfId="28090" xr:uid="{00000000-0005-0000-0000-0000F76D0000}"/>
    <cellStyle name="Normal 124" xfId="28091" xr:uid="{00000000-0005-0000-0000-0000F86D0000}"/>
    <cellStyle name="Normal 125" xfId="28092" xr:uid="{00000000-0005-0000-0000-0000F96D0000}"/>
    <cellStyle name="Normal 125 3" xfId="36236" xr:uid="{00000000-0005-0000-0000-0000FA6D0000}"/>
    <cellStyle name="Normal 126" xfId="28093" xr:uid="{00000000-0005-0000-0000-0000FB6D0000}"/>
    <cellStyle name="Normal 127" xfId="28094" xr:uid="{00000000-0005-0000-0000-0000FC6D0000}"/>
    <cellStyle name="Normal 128" xfId="28095" xr:uid="{00000000-0005-0000-0000-0000FD6D0000}"/>
    <cellStyle name="Normal 129" xfId="28096" xr:uid="{00000000-0005-0000-0000-0000FE6D0000}"/>
    <cellStyle name="Normal 13" xfId="28097" xr:uid="{00000000-0005-0000-0000-0000FF6D0000}"/>
    <cellStyle name="Normal 13 2" xfId="28098" xr:uid="{00000000-0005-0000-0000-0000006E0000}"/>
    <cellStyle name="Normal 13 2 2" xfId="28099" xr:uid="{00000000-0005-0000-0000-0000016E0000}"/>
    <cellStyle name="Normal 13 2 2 2" xfId="28100" xr:uid="{00000000-0005-0000-0000-0000026E0000}"/>
    <cellStyle name="Normal 13 2 2 2 2" xfId="28101" xr:uid="{00000000-0005-0000-0000-0000036E0000}"/>
    <cellStyle name="Normal 13 2 2 2 2 2" xfId="28102" xr:uid="{00000000-0005-0000-0000-0000046E0000}"/>
    <cellStyle name="Normal 13 2 2 2 2 2 2" xfId="28103" xr:uid="{00000000-0005-0000-0000-0000056E0000}"/>
    <cellStyle name="Normal 13 2 2 2 2 2 2 2" xfId="28104" xr:uid="{00000000-0005-0000-0000-0000066E0000}"/>
    <cellStyle name="Normal 13 2 2 2 2 2 3" xfId="28105" xr:uid="{00000000-0005-0000-0000-0000076E0000}"/>
    <cellStyle name="Normal 13 2 2 2 2 2 3 2" xfId="28106" xr:uid="{00000000-0005-0000-0000-0000086E0000}"/>
    <cellStyle name="Normal 13 2 2 2 2 2 4" xfId="28107" xr:uid="{00000000-0005-0000-0000-0000096E0000}"/>
    <cellStyle name="Normal 13 2 2 2 2 3" xfId="28108" xr:uid="{00000000-0005-0000-0000-00000A6E0000}"/>
    <cellStyle name="Normal 13 2 2 2 2 3 2" xfId="28109" xr:uid="{00000000-0005-0000-0000-00000B6E0000}"/>
    <cellStyle name="Normal 13 2 2 2 2 4" xfId="28110" xr:uid="{00000000-0005-0000-0000-00000C6E0000}"/>
    <cellStyle name="Normal 13 2 2 2 2 4 2" xfId="28111" xr:uid="{00000000-0005-0000-0000-00000D6E0000}"/>
    <cellStyle name="Normal 13 2 2 2 2 5" xfId="28112" xr:uid="{00000000-0005-0000-0000-00000E6E0000}"/>
    <cellStyle name="Normal 13 2 2 2 3" xfId="28113" xr:uid="{00000000-0005-0000-0000-00000F6E0000}"/>
    <cellStyle name="Normal 13 2 2 2 3 2" xfId="28114" xr:uid="{00000000-0005-0000-0000-0000106E0000}"/>
    <cellStyle name="Normal 13 2 2 2 3 2 2" xfId="28115" xr:uid="{00000000-0005-0000-0000-0000116E0000}"/>
    <cellStyle name="Normal 13 2 2 2 3 3" xfId="28116" xr:uid="{00000000-0005-0000-0000-0000126E0000}"/>
    <cellStyle name="Normal 13 2 2 2 3 3 2" xfId="28117" xr:uid="{00000000-0005-0000-0000-0000136E0000}"/>
    <cellStyle name="Normal 13 2 2 2 3 4" xfId="28118" xr:uid="{00000000-0005-0000-0000-0000146E0000}"/>
    <cellStyle name="Normal 13 2 2 2 4" xfId="28119" xr:uid="{00000000-0005-0000-0000-0000156E0000}"/>
    <cellStyle name="Normal 13 2 2 2 4 2" xfId="28120" xr:uid="{00000000-0005-0000-0000-0000166E0000}"/>
    <cellStyle name="Normal 13 2 2 2 5" xfId="28121" xr:uid="{00000000-0005-0000-0000-0000176E0000}"/>
    <cellStyle name="Normal 13 2 2 2 5 2" xfId="28122" xr:uid="{00000000-0005-0000-0000-0000186E0000}"/>
    <cellStyle name="Normal 13 2 2 2 6" xfId="28123" xr:uid="{00000000-0005-0000-0000-0000196E0000}"/>
    <cellStyle name="Normal 13 2 2 3" xfId="28124" xr:uid="{00000000-0005-0000-0000-00001A6E0000}"/>
    <cellStyle name="Normal 13 2 2 3 2" xfId="28125" xr:uid="{00000000-0005-0000-0000-00001B6E0000}"/>
    <cellStyle name="Normal 13 2 2 3 2 2" xfId="28126" xr:uid="{00000000-0005-0000-0000-00001C6E0000}"/>
    <cellStyle name="Normal 13 2 2 3 2 2 2" xfId="28127" xr:uid="{00000000-0005-0000-0000-00001D6E0000}"/>
    <cellStyle name="Normal 13 2 2 3 2 3" xfId="28128" xr:uid="{00000000-0005-0000-0000-00001E6E0000}"/>
    <cellStyle name="Normal 13 2 2 3 2 3 2" xfId="28129" xr:uid="{00000000-0005-0000-0000-00001F6E0000}"/>
    <cellStyle name="Normal 13 2 2 3 2 4" xfId="28130" xr:uid="{00000000-0005-0000-0000-0000206E0000}"/>
    <cellStyle name="Normal 13 2 2 3 3" xfId="28131" xr:uid="{00000000-0005-0000-0000-0000216E0000}"/>
    <cellStyle name="Normal 13 2 2 3 3 2" xfId="28132" xr:uid="{00000000-0005-0000-0000-0000226E0000}"/>
    <cellStyle name="Normal 13 2 2 3 4" xfId="28133" xr:uid="{00000000-0005-0000-0000-0000236E0000}"/>
    <cellStyle name="Normal 13 2 2 3 4 2" xfId="28134" xr:uid="{00000000-0005-0000-0000-0000246E0000}"/>
    <cellStyle name="Normal 13 2 2 3 5" xfId="28135" xr:uid="{00000000-0005-0000-0000-0000256E0000}"/>
    <cellStyle name="Normal 13 2 2 4" xfId="28136" xr:uid="{00000000-0005-0000-0000-0000266E0000}"/>
    <cellStyle name="Normal 13 2 2 4 2" xfId="28137" xr:uid="{00000000-0005-0000-0000-0000276E0000}"/>
    <cellStyle name="Normal 13 2 2 4 2 2" xfId="28138" xr:uid="{00000000-0005-0000-0000-0000286E0000}"/>
    <cellStyle name="Normal 13 2 2 4 3" xfId="28139" xr:uid="{00000000-0005-0000-0000-0000296E0000}"/>
    <cellStyle name="Normal 13 2 2 4 3 2" xfId="28140" xr:uid="{00000000-0005-0000-0000-00002A6E0000}"/>
    <cellStyle name="Normal 13 2 2 4 4" xfId="28141" xr:uid="{00000000-0005-0000-0000-00002B6E0000}"/>
    <cellStyle name="Normal 13 2 2 5" xfId="28142" xr:uid="{00000000-0005-0000-0000-00002C6E0000}"/>
    <cellStyle name="Normal 13 2 2 5 2" xfId="28143" xr:uid="{00000000-0005-0000-0000-00002D6E0000}"/>
    <cellStyle name="Normal 13 2 2 5 2 2" xfId="28144" xr:uid="{00000000-0005-0000-0000-00002E6E0000}"/>
    <cellStyle name="Normal 13 2 2 5 3" xfId="28145" xr:uid="{00000000-0005-0000-0000-00002F6E0000}"/>
    <cellStyle name="Normal 13 2 2 5 3 2" xfId="28146" xr:uid="{00000000-0005-0000-0000-0000306E0000}"/>
    <cellStyle name="Normal 13 2 2 5 4" xfId="28147" xr:uid="{00000000-0005-0000-0000-0000316E0000}"/>
    <cellStyle name="Normal 13 2 2 6" xfId="28148" xr:uid="{00000000-0005-0000-0000-0000326E0000}"/>
    <cellStyle name="Normal 13 2 2 6 2" xfId="28149" xr:uid="{00000000-0005-0000-0000-0000336E0000}"/>
    <cellStyle name="Normal 13 2 2 7" xfId="28150" xr:uid="{00000000-0005-0000-0000-0000346E0000}"/>
    <cellStyle name="Normal 13 2 2 7 2" xfId="28151" xr:uid="{00000000-0005-0000-0000-0000356E0000}"/>
    <cellStyle name="Normal 13 2 2 8" xfId="28152" xr:uid="{00000000-0005-0000-0000-0000366E0000}"/>
    <cellStyle name="Normal 13 2 3" xfId="28153" xr:uid="{00000000-0005-0000-0000-0000376E0000}"/>
    <cellStyle name="Normal 13 2 3 2" xfId="28154" xr:uid="{00000000-0005-0000-0000-0000386E0000}"/>
    <cellStyle name="Normal 13 2 3 2 2" xfId="28155" xr:uid="{00000000-0005-0000-0000-0000396E0000}"/>
    <cellStyle name="Normal 13 2 3 2 2 2" xfId="28156" xr:uid="{00000000-0005-0000-0000-00003A6E0000}"/>
    <cellStyle name="Normal 13 2 3 2 2 2 2" xfId="28157" xr:uid="{00000000-0005-0000-0000-00003B6E0000}"/>
    <cellStyle name="Normal 13 2 3 2 2 3" xfId="28158" xr:uid="{00000000-0005-0000-0000-00003C6E0000}"/>
    <cellStyle name="Normal 13 2 3 2 2 3 2" xfId="28159" xr:uid="{00000000-0005-0000-0000-00003D6E0000}"/>
    <cellStyle name="Normal 13 2 3 2 2 4" xfId="28160" xr:uid="{00000000-0005-0000-0000-00003E6E0000}"/>
    <cellStyle name="Normal 13 2 3 2 3" xfId="28161" xr:uid="{00000000-0005-0000-0000-00003F6E0000}"/>
    <cellStyle name="Normal 13 2 3 2 3 2" xfId="28162" xr:uid="{00000000-0005-0000-0000-0000406E0000}"/>
    <cellStyle name="Normal 13 2 3 2 4" xfId="28163" xr:uid="{00000000-0005-0000-0000-0000416E0000}"/>
    <cellStyle name="Normal 13 2 3 2 4 2" xfId="28164" xr:uid="{00000000-0005-0000-0000-0000426E0000}"/>
    <cellStyle name="Normal 13 2 3 2 5" xfId="28165" xr:uid="{00000000-0005-0000-0000-0000436E0000}"/>
    <cellStyle name="Normal 13 2 3 3" xfId="28166" xr:uid="{00000000-0005-0000-0000-0000446E0000}"/>
    <cellStyle name="Normal 13 2 3 3 2" xfId="28167" xr:uid="{00000000-0005-0000-0000-0000456E0000}"/>
    <cellStyle name="Normal 13 2 3 3 2 2" xfId="28168" xr:uid="{00000000-0005-0000-0000-0000466E0000}"/>
    <cellStyle name="Normal 13 2 3 3 3" xfId="28169" xr:uid="{00000000-0005-0000-0000-0000476E0000}"/>
    <cellStyle name="Normal 13 2 3 3 3 2" xfId="28170" xr:uid="{00000000-0005-0000-0000-0000486E0000}"/>
    <cellStyle name="Normal 13 2 3 3 4" xfId="28171" xr:uid="{00000000-0005-0000-0000-0000496E0000}"/>
    <cellStyle name="Normal 13 2 3 4" xfId="28172" xr:uid="{00000000-0005-0000-0000-00004A6E0000}"/>
    <cellStyle name="Normal 13 2 3 4 2" xfId="28173" xr:uid="{00000000-0005-0000-0000-00004B6E0000}"/>
    <cellStyle name="Normal 13 2 3 5" xfId="28174" xr:uid="{00000000-0005-0000-0000-00004C6E0000}"/>
    <cellStyle name="Normal 13 2 3 5 2" xfId="28175" xr:uid="{00000000-0005-0000-0000-00004D6E0000}"/>
    <cellStyle name="Normal 13 2 3 6" xfId="28176" xr:uid="{00000000-0005-0000-0000-00004E6E0000}"/>
    <cellStyle name="Normal 13 2 4" xfId="28177" xr:uid="{00000000-0005-0000-0000-00004F6E0000}"/>
    <cellStyle name="Normal 13 2 4 2" xfId="28178" xr:uid="{00000000-0005-0000-0000-0000506E0000}"/>
    <cellStyle name="Normal 13 2 4 2 2" xfId="28179" xr:uid="{00000000-0005-0000-0000-0000516E0000}"/>
    <cellStyle name="Normal 13 2 4 2 2 2" xfId="28180" xr:uid="{00000000-0005-0000-0000-0000526E0000}"/>
    <cellStyle name="Normal 13 2 4 2 3" xfId="28181" xr:uid="{00000000-0005-0000-0000-0000536E0000}"/>
    <cellStyle name="Normal 13 2 4 2 3 2" xfId="28182" xr:uid="{00000000-0005-0000-0000-0000546E0000}"/>
    <cellStyle name="Normal 13 2 4 2 4" xfId="28183" xr:uid="{00000000-0005-0000-0000-0000556E0000}"/>
    <cellStyle name="Normal 13 2 4 3" xfId="28184" xr:uid="{00000000-0005-0000-0000-0000566E0000}"/>
    <cellStyle name="Normal 13 2 4 3 2" xfId="28185" xr:uid="{00000000-0005-0000-0000-0000576E0000}"/>
    <cellStyle name="Normal 13 2 4 4" xfId="28186" xr:uid="{00000000-0005-0000-0000-0000586E0000}"/>
    <cellStyle name="Normal 13 2 4 4 2" xfId="28187" xr:uid="{00000000-0005-0000-0000-0000596E0000}"/>
    <cellStyle name="Normal 13 2 4 5" xfId="28188" xr:uid="{00000000-0005-0000-0000-00005A6E0000}"/>
    <cellStyle name="Normal 13 2 5" xfId="28189" xr:uid="{00000000-0005-0000-0000-00005B6E0000}"/>
    <cellStyle name="Normal 13 2 5 2" xfId="28190" xr:uid="{00000000-0005-0000-0000-00005C6E0000}"/>
    <cellStyle name="Normal 13 2 5 2 2" xfId="28191" xr:uid="{00000000-0005-0000-0000-00005D6E0000}"/>
    <cellStyle name="Normal 13 2 5 3" xfId="28192" xr:uid="{00000000-0005-0000-0000-00005E6E0000}"/>
    <cellStyle name="Normal 13 2 5 3 2" xfId="28193" xr:uid="{00000000-0005-0000-0000-00005F6E0000}"/>
    <cellStyle name="Normal 13 2 5 4" xfId="28194" xr:uid="{00000000-0005-0000-0000-0000606E0000}"/>
    <cellStyle name="Normal 13 2 6" xfId="28195" xr:uid="{00000000-0005-0000-0000-0000616E0000}"/>
    <cellStyle name="Normal 13 2 6 2" xfId="28196" xr:uid="{00000000-0005-0000-0000-0000626E0000}"/>
    <cellStyle name="Normal 13 2 7" xfId="28197" xr:uid="{00000000-0005-0000-0000-0000636E0000}"/>
    <cellStyle name="Normal 13 2 7 2" xfId="28198" xr:uid="{00000000-0005-0000-0000-0000646E0000}"/>
    <cellStyle name="Normal 13 2 8" xfId="28199" xr:uid="{00000000-0005-0000-0000-0000656E0000}"/>
    <cellStyle name="Normal 13 3" xfId="28200" xr:uid="{00000000-0005-0000-0000-0000666E0000}"/>
    <cellStyle name="Normal 13 3 2" xfId="28201" xr:uid="{00000000-0005-0000-0000-0000676E0000}"/>
    <cellStyle name="Normal 13 3 2 2" xfId="28202" xr:uid="{00000000-0005-0000-0000-0000686E0000}"/>
    <cellStyle name="Normal 13 3 2 2 2" xfId="28203" xr:uid="{00000000-0005-0000-0000-0000696E0000}"/>
    <cellStyle name="Normal 13 3 2 2 2 2" xfId="28204" xr:uid="{00000000-0005-0000-0000-00006A6E0000}"/>
    <cellStyle name="Normal 13 3 2 2 3" xfId="28205" xr:uid="{00000000-0005-0000-0000-00006B6E0000}"/>
    <cellStyle name="Normal 13 3 2 2 3 2" xfId="28206" xr:uid="{00000000-0005-0000-0000-00006C6E0000}"/>
    <cellStyle name="Normal 13 3 2 2 4" xfId="28207" xr:uid="{00000000-0005-0000-0000-00006D6E0000}"/>
    <cellStyle name="Normal 13 3 2 3" xfId="28208" xr:uid="{00000000-0005-0000-0000-00006E6E0000}"/>
    <cellStyle name="Normal 13 3 2 3 2" xfId="28209" xr:uid="{00000000-0005-0000-0000-00006F6E0000}"/>
    <cellStyle name="Normal 13 3 2 4" xfId="28210" xr:uid="{00000000-0005-0000-0000-0000706E0000}"/>
    <cellStyle name="Normal 13 3 2 4 2" xfId="28211" xr:uid="{00000000-0005-0000-0000-0000716E0000}"/>
    <cellStyle name="Normal 13 3 2 5" xfId="28212" xr:uid="{00000000-0005-0000-0000-0000726E0000}"/>
    <cellStyle name="Normal 13 3 3" xfId="28213" xr:uid="{00000000-0005-0000-0000-0000736E0000}"/>
    <cellStyle name="Normal 13 3 3 2" xfId="28214" xr:uid="{00000000-0005-0000-0000-0000746E0000}"/>
    <cellStyle name="Normal 13 3 3 2 2" xfId="28215" xr:uid="{00000000-0005-0000-0000-0000756E0000}"/>
    <cellStyle name="Normal 13 3 3 3" xfId="28216" xr:uid="{00000000-0005-0000-0000-0000766E0000}"/>
    <cellStyle name="Normal 13 3 3 3 2" xfId="28217" xr:uid="{00000000-0005-0000-0000-0000776E0000}"/>
    <cellStyle name="Normal 13 3 3 4" xfId="28218" xr:uid="{00000000-0005-0000-0000-0000786E0000}"/>
    <cellStyle name="Normal 13 3 4" xfId="28219" xr:uid="{00000000-0005-0000-0000-0000796E0000}"/>
    <cellStyle name="Normal 13 3 4 2" xfId="28220" xr:uid="{00000000-0005-0000-0000-00007A6E0000}"/>
    <cellStyle name="Normal 13 3 5" xfId="28221" xr:uid="{00000000-0005-0000-0000-00007B6E0000}"/>
    <cellStyle name="Normal 13 3 5 2" xfId="28222" xr:uid="{00000000-0005-0000-0000-00007C6E0000}"/>
    <cellStyle name="Normal 13 3 6" xfId="28223" xr:uid="{00000000-0005-0000-0000-00007D6E0000}"/>
    <cellStyle name="Normal 13 4" xfId="28224" xr:uid="{00000000-0005-0000-0000-00007E6E0000}"/>
    <cellStyle name="Normal 13 4 2" xfId="28225" xr:uid="{00000000-0005-0000-0000-00007F6E0000}"/>
    <cellStyle name="Normal 13 4 2 2" xfId="28226" xr:uid="{00000000-0005-0000-0000-0000806E0000}"/>
    <cellStyle name="Normal 13 4 2 2 2" xfId="28227" xr:uid="{00000000-0005-0000-0000-0000816E0000}"/>
    <cellStyle name="Normal 13 4 2 3" xfId="28228" xr:uid="{00000000-0005-0000-0000-0000826E0000}"/>
    <cellStyle name="Normal 13 4 2 3 2" xfId="28229" xr:uid="{00000000-0005-0000-0000-0000836E0000}"/>
    <cellStyle name="Normal 13 4 2 4" xfId="28230" xr:uid="{00000000-0005-0000-0000-0000846E0000}"/>
    <cellStyle name="Normal 13 4 3" xfId="28231" xr:uid="{00000000-0005-0000-0000-0000856E0000}"/>
    <cellStyle name="Normal 13 4 3 2" xfId="28232" xr:uid="{00000000-0005-0000-0000-0000866E0000}"/>
    <cellStyle name="Normal 13 4 4" xfId="28233" xr:uid="{00000000-0005-0000-0000-0000876E0000}"/>
    <cellStyle name="Normal 13 4 4 2" xfId="28234" xr:uid="{00000000-0005-0000-0000-0000886E0000}"/>
    <cellStyle name="Normal 13 4 5" xfId="28235" xr:uid="{00000000-0005-0000-0000-0000896E0000}"/>
    <cellStyle name="Normal 13 5" xfId="28236" xr:uid="{00000000-0005-0000-0000-00008A6E0000}"/>
    <cellStyle name="Normal 13 5 2" xfId="28237" xr:uid="{00000000-0005-0000-0000-00008B6E0000}"/>
    <cellStyle name="Normal 13 5 2 2" xfId="28238" xr:uid="{00000000-0005-0000-0000-00008C6E0000}"/>
    <cellStyle name="Normal 13 5 3" xfId="28239" xr:uid="{00000000-0005-0000-0000-00008D6E0000}"/>
    <cellStyle name="Normal 13 5 3 2" xfId="28240" xr:uid="{00000000-0005-0000-0000-00008E6E0000}"/>
    <cellStyle name="Normal 13 5 4" xfId="28241" xr:uid="{00000000-0005-0000-0000-00008F6E0000}"/>
    <cellStyle name="Normal 13 6" xfId="28242" xr:uid="{00000000-0005-0000-0000-0000906E0000}"/>
    <cellStyle name="Normal 13 6 2" xfId="28243" xr:uid="{00000000-0005-0000-0000-0000916E0000}"/>
    <cellStyle name="Normal 13 7" xfId="28244" xr:uid="{00000000-0005-0000-0000-0000926E0000}"/>
    <cellStyle name="Normal 13 7 2" xfId="28245" xr:uid="{00000000-0005-0000-0000-0000936E0000}"/>
    <cellStyle name="Normal 13 8" xfId="28246" xr:uid="{00000000-0005-0000-0000-0000946E0000}"/>
    <cellStyle name="Normal 130" xfId="28247" xr:uid="{00000000-0005-0000-0000-0000956E0000}"/>
    <cellStyle name="Normal 131" xfId="28248" xr:uid="{00000000-0005-0000-0000-0000966E0000}"/>
    <cellStyle name="Normal 132" xfId="28249" xr:uid="{00000000-0005-0000-0000-0000976E0000}"/>
    <cellStyle name="Normal 133" xfId="28250" xr:uid="{00000000-0005-0000-0000-0000986E0000}"/>
    <cellStyle name="Normal 134" xfId="28251" xr:uid="{00000000-0005-0000-0000-0000996E0000}"/>
    <cellStyle name="Normal 135" xfId="28252" xr:uid="{00000000-0005-0000-0000-00009A6E0000}"/>
    <cellStyle name="Normal 136" xfId="28253" xr:uid="{00000000-0005-0000-0000-00009B6E0000}"/>
    <cellStyle name="Normal 137" xfId="28254" xr:uid="{00000000-0005-0000-0000-00009C6E0000}"/>
    <cellStyle name="Normal 138" xfId="28255" xr:uid="{00000000-0005-0000-0000-00009D6E0000}"/>
    <cellStyle name="Normal 139" xfId="28256" xr:uid="{00000000-0005-0000-0000-00009E6E0000}"/>
    <cellStyle name="Normal 14" xfId="28257" xr:uid="{00000000-0005-0000-0000-00009F6E0000}"/>
    <cellStyle name="Normal 14 10" xfId="28258" xr:uid="{00000000-0005-0000-0000-0000A06E0000}"/>
    <cellStyle name="Normal 14 11" xfId="28259" xr:uid="{00000000-0005-0000-0000-0000A16E0000}"/>
    <cellStyle name="Normal 14 12" xfId="28260" xr:uid="{00000000-0005-0000-0000-0000A26E0000}"/>
    <cellStyle name="Normal 14 13" xfId="28261" xr:uid="{00000000-0005-0000-0000-0000A36E0000}"/>
    <cellStyle name="Normal 14 14" xfId="28262" xr:uid="{00000000-0005-0000-0000-0000A46E0000}"/>
    <cellStyle name="Normal 14 15" xfId="28263" xr:uid="{00000000-0005-0000-0000-0000A56E0000}"/>
    <cellStyle name="Normal 14 16" xfId="28264" xr:uid="{00000000-0005-0000-0000-0000A66E0000}"/>
    <cellStyle name="Normal 14 17" xfId="28265" xr:uid="{00000000-0005-0000-0000-0000A76E0000}"/>
    <cellStyle name="Normal 14 18" xfId="28266" xr:uid="{00000000-0005-0000-0000-0000A86E0000}"/>
    <cellStyle name="Normal 14 19" xfId="28267" xr:uid="{00000000-0005-0000-0000-0000A96E0000}"/>
    <cellStyle name="Normal 14 2" xfId="28268" xr:uid="{00000000-0005-0000-0000-0000AA6E0000}"/>
    <cellStyle name="Normal 14 20" xfId="28269" xr:uid="{00000000-0005-0000-0000-0000AB6E0000}"/>
    <cellStyle name="Normal 14 21" xfId="28270" xr:uid="{00000000-0005-0000-0000-0000AC6E0000}"/>
    <cellStyle name="Normal 14 22" xfId="28271" xr:uid="{00000000-0005-0000-0000-0000AD6E0000}"/>
    <cellStyle name="Normal 14 23" xfId="28272" xr:uid="{00000000-0005-0000-0000-0000AE6E0000}"/>
    <cellStyle name="Normal 14 24" xfId="28273" xr:uid="{00000000-0005-0000-0000-0000AF6E0000}"/>
    <cellStyle name="Normal 14 25" xfId="28274" xr:uid="{00000000-0005-0000-0000-0000B06E0000}"/>
    <cellStyle name="Normal 14 26" xfId="28275" xr:uid="{00000000-0005-0000-0000-0000B16E0000}"/>
    <cellStyle name="Normal 14 27" xfId="28276" xr:uid="{00000000-0005-0000-0000-0000B26E0000}"/>
    <cellStyle name="Normal 14 28" xfId="28277" xr:uid="{00000000-0005-0000-0000-0000B36E0000}"/>
    <cellStyle name="Normal 14 29" xfId="28278" xr:uid="{00000000-0005-0000-0000-0000B46E0000}"/>
    <cellStyle name="Normal 14 3" xfId="28279" xr:uid="{00000000-0005-0000-0000-0000B56E0000}"/>
    <cellStyle name="Normal 14 30" xfId="28280" xr:uid="{00000000-0005-0000-0000-0000B66E0000}"/>
    <cellStyle name="Normal 14 31" xfId="28281" xr:uid="{00000000-0005-0000-0000-0000B76E0000}"/>
    <cellStyle name="Normal 14 32" xfId="28282" xr:uid="{00000000-0005-0000-0000-0000B86E0000}"/>
    <cellStyle name="Normal 14 33" xfId="28283" xr:uid="{00000000-0005-0000-0000-0000B96E0000}"/>
    <cellStyle name="Normal 14 34" xfId="28284" xr:uid="{00000000-0005-0000-0000-0000BA6E0000}"/>
    <cellStyle name="Normal 14 35" xfId="28285" xr:uid="{00000000-0005-0000-0000-0000BB6E0000}"/>
    <cellStyle name="Normal 14 36" xfId="28286" xr:uid="{00000000-0005-0000-0000-0000BC6E0000}"/>
    <cellStyle name="Normal 14 37" xfId="28287" xr:uid="{00000000-0005-0000-0000-0000BD6E0000}"/>
    <cellStyle name="Normal 14 38" xfId="28288" xr:uid="{00000000-0005-0000-0000-0000BE6E0000}"/>
    <cellStyle name="Normal 14 39" xfId="28289" xr:uid="{00000000-0005-0000-0000-0000BF6E0000}"/>
    <cellStyle name="Normal 14 4" xfId="28290" xr:uid="{00000000-0005-0000-0000-0000C06E0000}"/>
    <cellStyle name="Normal 14 40" xfId="28291" xr:uid="{00000000-0005-0000-0000-0000C16E0000}"/>
    <cellStyle name="Normal 14 41" xfId="28292" xr:uid="{00000000-0005-0000-0000-0000C26E0000}"/>
    <cellStyle name="Normal 14 42" xfId="28293" xr:uid="{00000000-0005-0000-0000-0000C36E0000}"/>
    <cellStyle name="Normal 14 43" xfId="28294" xr:uid="{00000000-0005-0000-0000-0000C46E0000}"/>
    <cellStyle name="Normal 14 44" xfId="28295" xr:uid="{00000000-0005-0000-0000-0000C56E0000}"/>
    <cellStyle name="Normal 14 5" xfId="28296" xr:uid="{00000000-0005-0000-0000-0000C66E0000}"/>
    <cellStyle name="Normal 14 6" xfId="28297" xr:uid="{00000000-0005-0000-0000-0000C76E0000}"/>
    <cellStyle name="Normal 14 7" xfId="28298" xr:uid="{00000000-0005-0000-0000-0000C86E0000}"/>
    <cellStyle name="Normal 14 8" xfId="28299" xr:uid="{00000000-0005-0000-0000-0000C96E0000}"/>
    <cellStyle name="Normal 14 9" xfId="28300" xr:uid="{00000000-0005-0000-0000-0000CA6E0000}"/>
    <cellStyle name="Normal 140" xfId="28301" xr:uid="{00000000-0005-0000-0000-0000CB6E0000}"/>
    <cellStyle name="Normal 141" xfId="28302" xr:uid="{00000000-0005-0000-0000-0000CC6E0000}"/>
    <cellStyle name="Normal 142" xfId="28303" xr:uid="{00000000-0005-0000-0000-0000CD6E0000}"/>
    <cellStyle name="Normal 143" xfId="28304" xr:uid="{00000000-0005-0000-0000-0000CE6E0000}"/>
    <cellStyle name="Normal 144" xfId="28305" xr:uid="{00000000-0005-0000-0000-0000CF6E0000}"/>
    <cellStyle name="Normal 145" xfId="28306" xr:uid="{00000000-0005-0000-0000-0000D06E0000}"/>
    <cellStyle name="Normal 146" xfId="28307" xr:uid="{00000000-0005-0000-0000-0000D16E0000}"/>
    <cellStyle name="Normal 147" xfId="28308" xr:uid="{00000000-0005-0000-0000-0000D26E0000}"/>
    <cellStyle name="Normal 148" xfId="28309" xr:uid="{00000000-0005-0000-0000-0000D36E0000}"/>
    <cellStyle name="Normal 149" xfId="28310" xr:uid="{00000000-0005-0000-0000-0000D46E0000}"/>
    <cellStyle name="Normal 15" xfId="28311" xr:uid="{00000000-0005-0000-0000-0000D56E0000}"/>
    <cellStyle name="Normal 15 10" xfId="28312" xr:uid="{00000000-0005-0000-0000-0000D66E0000}"/>
    <cellStyle name="Normal 15 11" xfId="28313" xr:uid="{00000000-0005-0000-0000-0000D76E0000}"/>
    <cellStyle name="Normal 15 12" xfId="28314" xr:uid="{00000000-0005-0000-0000-0000D86E0000}"/>
    <cellStyle name="Normal 15 13" xfId="28315" xr:uid="{00000000-0005-0000-0000-0000D96E0000}"/>
    <cellStyle name="Normal 15 14" xfId="28316" xr:uid="{00000000-0005-0000-0000-0000DA6E0000}"/>
    <cellStyle name="Normal 15 15" xfId="28317" xr:uid="{00000000-0005-0000-0000-0000DB6E0000}"/>
    <cellStyle name="Normal 15 16" xfId="28318" xr:uid="{00000000-0005-0000-0000-0000DC6E0000}"/>
    <cellStyle name="Normal 15 17" xfId="28319" xr:uid="{00000000-0005-0000-0000-0000DD6E0000}"/>
    <cellStyle name="Normal 15 18" xfId="28320" xr:uid="{00000000-0005-0000-0000-0000DE6E0000}"/>
    <cellStyle name="Normal 15 19" xfId="28321" xr:uid="{00000000-0005-0000-0000-0000DF6E0000}"/>
    <cellStyle name="Normal 15 2" xfId="28322" xr:uid="{00000000-0005-0000-0000-0000E06E0000}"/>
    <cellStyle name="Normal 15 20" xfId="28323" xr:uid="{00000000-0005-0000-0000-0000E16E0000}"/>
    <cellStyle name="Normal 15 21" xfId="28324" xr:uid="{00000000-0005-0000-0000-0000E26E0000}"/>
    <cellStyle name="Normal 15 22" xfId="28325" xr:uid="{00000000-0005-0000-0000-0000E36E0000}"/>
    <cellStyle name="Normal 15 23" xfId="28326" xr:uid="{00000000-0005-0000-0000-0000E46E0000}"/>
    <cellStyle name="Normal 15 24" xfId="28327" xr:uid="{00000000-0005-0000-0000-0000E56E0000}"/>
    <cellStyle name="Normal 15 25" xfId="28328" xr:uid="{00000000-0005-0000-0000-0000E66E0000}"/>
    <cellStyle name="Normal 15 26" xfId="28329" xr:uid="{00000000-0005-0000-0000-0000E76E0000}"/>
    <cellStyle name="Normal 15 27" xfId="28330" xr:uid="{00000000-0005-0000-0000-0000E86E0000}"/>
    <cellStyle name="Normal 15 28" xfId="28331" xr:uid="{00000000-0005-0000-0000-0000E96E0000}"/>
    <cellStyle name="Normal 15 29" xfId="28332" xr:uid="{00000000-0005-0000-0000-0000EA6E0000}"/>
    <cellStyle name="Normal 15 3" xfId="28333" xr:uid="{00000000-0005-0000-0000-0000EB6E0000}"/>
    <cellStyle name="Normal 15 30" xfId="28334" xr:uid="{00000000-0005-0000-0000-0000EC6E0000}"/>
    <cellStyle name="Normal 15 31" xfId="28335" xr:uid="{00000000-0005-0000-0000-0000ED6E0000}"/>
    <cellStyle name="Normal 15 32" xfId="28336" xr:uid="{00000000-0005-0000-0000-0000EE6E0000}"/>
    <cellStyle name="Normal 15 33" xfId="28337" xr:uid="{00000000-0005-0000-0000-0000EF6E0000}"/>
    <cellStyle name="Normal 15 34" xfId="28338" xr:uid="{00000000-0005-0000-0000-0000F06E0000}"/>
    <cellStyle name="Normal 15 35" xfId="28339" xr:uid="{00000000-0005-0000-0000-0000F16E0000}"/>
    <cellStyle name="Normal 15 36" xfId="28340" xr:uid="{00000000-0005-0000-0000-0000F26E0000}"/>
    <cellStyle name="Normal 15 37" xfId="28341" xr:uid="{00000000-0005-0000-0000-0000F36E0000}"/>
    <cellStyle name="Normal 15 38" xfId="28342" xr:uid="{00000000-0005-0000-0000-0000F46E0000}"/>
    <cellStyle name="Normal 15 39" xfId="28343" xr:uid="{00000000-0005-0000-0000-0000F56E0000}"/>
    <cellStyle name="Normal 15 4" xfId="28344" xr:uid="{00000000-0005-0000-0000-0000F66E0000}"/>
    <cellStyle name="Normal 15 40" xfId="28345" xr:uid="{00000000-0005-0000-0000-0000F76E0000}"/>
    <cellStyle name="Normal 15 41" xfId="28346" xr:uid="{00000000-0005-0000-0000-0000F86E0000}"/>
    <cellStyle name="Normal 15 42" xfId="28347" xr:uid="{00000000-0005-0000-0000-0000F96E0000}"/>
    <cellStyle name="Normal 15 43" xfId="28348" xr:uid="{00000000-0005-0000-0000-0000FA6E0000}"/>
    <cellStyle name="Normal 15 44" xfId="28349" xr:uid="{00000000-0005-0000-0000-0000FB6E0000}"/>
    <cellStyle name="Normal 15 5" xfId="28350" xr:uid="{00000000-0005-0000-0000-0000FC6E0000}"/>
    <cellStyle name="Normal 15 6" xfId="28351" xr:uid="{00000000-0005-0000-0000-0000FD6E0000}"/>
    <cellStyle name="Normal 15 7" xfId="28352" xr:uid="{00000000-0005-0000-0000-0000FE6E0000}"/>
    <cellStyle name="Normal 15 8" xfId="28353" xr:uid="{00000000-0005-0000-0000-0000FF6E0000}"/>
    <cellStyle name="Normal 15 9" xfId="28354" xr:uid="{00000000-0005-0000-0000-0000006F0000}"/>
    <cellStyle name="Normal 150" xfId="28355" xr:uid="{00000000-0005-0000-0000-0000016F0000}"/>
    <cellStyle name="Normal 151" xfId="28356" xr:uid="{00000000-0005-0000-0000-0000026F0000}"/>
    <cellStyle name="Normal 151 2" xfId="28357" xr:uid="{00000000-0005-0000-0000-0000036F0000}"/>
    <cellStyle name="Normal 152" xfId="28358" xr:uid="{00000000-0005-0000-0000-0000046F0000}"/>
    <cellStyle name="Normal 153" xfId="28359" xr:uid="{00000000-0005-0000-0000-0000056F0000}"/>
    <cellStyle name="Normal 154" xfId="28360" xr:uid="{00000000-0005-0000-0000-0000066F0000}"/>
    <cellStyle name="Normal 155" xfId="28361" xr:uid="{00000000-0005-0000-0000-0000076F0000}"/>
    <cellStyle name="Normal 156" xfId="28362" xr:uid="{00000000-0005-0000-0000-0000086F0000}"/>
    <cellStyle name="Normal 157" xfId="28363" xr:uid="{00000000-0005-0000-0000-0000096F0000}"/>
    <cellStyle name="Normal 158" xfId="28364" xr:uid="{00000000-0005-0000-0000-00000A6F0000}"/>
    <cellStyle name="Normal 159" xfId="28365" xr:uid="{00000000-0005-0000-0000-00000B6F0000}"/>
    <cellStyle name="Normal 16" xfId="28366" xr:uid="{00000000-0005-0000-0000-00000C6F0000}"/>
    <cellStyle name="Normal 16 10" xfId="28367" xr:uid="{00000000-0005-0000-0000-00000D6F0000}"/>
    <cellStyle name="Normal 16 11" xfId="28368" xr:uid="{00000000-0005-0000-0000-00000E6F0000}"/>
    <cellStyle name="Normal 16 12" xfId="28369" xr:uid="{00000000-0005-0000-0000-00000F6F0000}"/>
    <cellStyle name="Normal 16 13" xfId="28370" xr:uid="{00000000-0005-0000-0000-0000106F0000}"/>
    <cellStyle name="Normal 16 14" xfId="28371" xr:uid="{00000000-0005-0000-0000-0000116F0000}"/>
    <cellStyle name="Normal 16 15" xfId="28372" xr:uid="{00000000-0005-0000-0000-0000126F0000}"/>
    <cellStyle name="Normal 16 16" xfId="28373" xr:uid="{00000000-0005-0000-0000-0000136F0000}"/>
    <cellStyle name="Normal 16 17" xfId="28374" xr:uid="{00000000-0005-0000-0000-0000146F0000}"/>
    <cellStyle name="Normal 16 18" xfId="28375" xr:uid="{00000000-0005-0000-0000-0000156F0000}"/>
    <cellStyle name="Normal 16 19" xfId="28376" xr:uid="{00000000-0005-0000-0000-0000166F0000}"/>
    <cellStyle name="Normal 16 2" xfId="28377" xr:uid="{00000000-0005-0000-0000-0000176F0000}"/>
    <cellStyle name="Normal 16 20" xfId="28378" xr:uid="{00000000-0005-0000-0000-0000186F0000}"/>
    <cellStyle name="Normal 16 21" xfId="28379" xr:uid="{00000000-0005-0000-0000-0000196F0000}"/>
    <cellStyle name="Normal 16 22" xfId="28380" xr:uid="{00000000-0005-0000-0000-00001A6F0000}"/>
    <cellStyle name="Normal 16 3" xfId="28381" xr:uid="{00000000-0005-0000-0000-00001B6F0000}"/>
    <cellStyle name="Normal 16 3 10" xfId="28382" xr:uid="{00000000-0005-0000-0000-00001C6F0000}"/>
    <cellStyle name="Normal 16 3 11" xfId="28383" xr:uid="{00000000-0005-0000-0000-00001D6F0000}"/>
    <cellStyle name="Normal 16 3 12" xfId="28384" xr:uid="{00000000-0005-0000-0000-00001E6F0000}"/>
    <cellStyle name="Normal 16 3 13" xfId="28385" xr:uid="{00000000-0005-0000-0000-00001F6F0000}"/>
    <cellStyle name="Normal 16 3 2" xfId="28386" xr:uid="{00000000-0005-0000-0000-0000206F0000}"/>
    <cellStyle name="Normal 16 3 3" xfId="28387" xr:uid="{00000000-0005-0000-0000-0000216F0000}"/>
    <cellStyle name="Normal 16 3 4" xfId="28388" xr:uid="{00000000-0005-0000-0000-0000226F0000}"/>
    <cellStyle name="Normal 16 3 5" xfId="28389" xr:uid="{00000000-0005-0000-0000-0000236F0000}"/>
    <cellStyle name="Normal 16 3 6" xfId="28390" xr:uid="{00000000-0005-0000-0000-0000246F0000}"/>
    <cellStyle name="Normal 16 3 7" xfId="28391" xr:uid="{00000000-0005-0000-0000-0000256F0000}"/>
    <cellStyle name="Normal 16 3 8" xfId="28392" xr:uid="{00000000-0005-0000-0000-0000266F0000}"/>
    <cellStyle name="Normal 16 3 9" xfId="28393" xr:uid="{00000000-0005-0000-0000-0000276F0000}"/>
    <cellStyle name="Normal 16 4" xfId="28394" xr:uid="{00000000-0005-0000-0000-0000286F0000}"/>
    <cellStyle name="Normal 16 4 10" xfId="28395" xr:uid="{00000000-0005-0000-0000-0000296F0000}"/>
    <cellStyle name="Normal 16 4 11" xfId="28396" xr:uid="{00000000-0005-0000-0000-00002A6F0000}"/>
    <cellStyle name="Normal 16 4 12" xfId="28397" xr:uid="{00000000-0005-0000-0000-00002B6F0000}"/>
    <cellStyle name="Normal 16 4 13" xfId="28398" xr:uid="{00000000-0005-0000-0000-00002C6F0000}"/>
    <cellStyle name="Normal 16 4 2" xfId="28399" xr:uid="{00000000-0005-0000-0000-00002D6F0000}"/>
    <cellStyle name="Normal 16 4 3" xfId="28400" xr:uid="{00000000-0005-0000-0000-00002E6F0000}"/>
    <cellStyle name="Normal 16 4 4" xfId="28401" xr:uid="{00000000-0005-0000-0000-00002F6F0000}"/>
    <cellStyle name="Normal 16 4 5" xfId="28402" xr:uid="{00000000-0005-0000-0000-0000306F0000}"/>
    <cellStyle name="Normal 16 4 6" xfId="28403" xr:uid="{00000000-0005-0000-0000-0000316F0000}"/>
    <cellStyle name="Normal 16 4 7" xfId="28404" xr:uid="{00000000-0005-0000-0000-0000326F0000}"/>
    <cellStyle name="Normal 16 4 8" xfId="28405" xr:uid="{00000000-0005-0000-0000-0000336F0000}"/>
    <cellStyle name="Normal 16 4 9" xfId="28406" xr:uid="{00000000-0005-0000-0000-0000346F0000}"/>
    <cellStyle name="Normal 16 5" xfId="28407" xr:uid="{00000000-0005-0000-0000-0000356F0000}"/>
    <cellStyle name="Normal 16 6" xfId="28408" xr:uid="{00000000-0005-0000-0000-0000366F0000}"/>
    <cellStyle name="Normal 16 7" xfId="28409" xr:uid="{00000000-0005-0000-0000-0000376F0000}"/>
    <cellStyle name="Normal 16 8" xfId="28410" xr:uid="{00000000-0005-0000-0000-0000386F0000}"/>
    <cellStyle name="Normal 16 9" xfId="28411" xr:uid="{00000000-0005-0000-0000-0000396F0000}"/>
    <cellStyle name="Normal 160" xfId="28412" xr:uid="{00000000-0005-0000-0000-00003A6F0000}"/>
    <cellStyle name="Normal 161" xfId="28413" xr:uid="{00000000-0005-0000-0000-00003B6F0000}"/>
    <cellStyle name="Normal 162" xfId="28414" xr:uid="{00000000-0005-0000-0000-00003C6F0000}"/>
    <cellStyle name="Normal 163" xfId="28415" xr:uid="{00000000-0005-0000-0000-00003D6F0000}"/>
    <cellStyle name="Normal 164" xfId="28416" xr:uid="{00000000-0005-0000-0000-00003E6F0000}"/>
    <cellStyle name="Normal 165" xfId="28417" xr:uid="{00000000-0005-0000-0000-00003F6F0000}"/>
    <cellStyle name="Normal 166" xfId="28418" xr:uid="{00000000-0005-0000-0000-0000406F0000}"/>
    <cellStyle name="Normal 167" xfId="28419" xr:uid="{00000000-0005-0000-0000-0000416F0000}"/>
    <cellStyle name="Normal 168" xfId="28420" xr:uid="{00000000-0005-0000-0000-0000426F0000}"/>
    <cellStyle name="Normal 169" xfId="28421" xr:uid="{00000000-0005-0000-0000-0000436F0000}"/>
    <cellStyle name="Normal 17" xfId="28422" xr:uid="{00000000-0005-0000-0000-0000446F0000}"/>
    <cellStyle name="Normal 17 10" xfId="28423" xr:uid="{00000000-0005-0000-0000-0000456F0000}"/>
    <cellStyle name="Normal 17 11" xfId="28424" xr:uid="{00000000-0005-0000-0000-0000466F0000}"/>
    <cellStyle name="Normal 17 12" xfId="28425" xr:uid="{00000000-0005-0000-0000-0000476F0000}"/>
    <cellStyle name="Normal 17 13" xfId="28426" xr:uid="{00000000-0005-0000-0000-0000486F0000}"/>
    <cellStyle name="Normal 17 14" xfId="28427" xr:uid="{00000000-0005-0000-0000-0000496F0000}"/>
    <cellStyle name="Normal 17 15" xfId="28428" xr:uid="{00000000-0005-0000-0000-00004A6F0000}"/>
    <cellStyle name="Normal 17 16" xfId="28429" xr:uid="{00000000-0005-0000-0000-00004B6F0000}"/>
    <cellStyle name="Normal 17 17" xfId="28430" xr:uid="{00000000-0005-0000-0000-00004C6F0000}"/>
    <cellStyle name="Normal 17 18" xfId="28431" xr:uid="{00000000-0005-0000-0000-00004D6F0000}"/>
    <cellStyle name="Normal 17 2" xfId="28432" xr:uid="{00000000-0005-0000-0000-00004E6F0000}"/>
    <cellStyle name="Normal 17 2 2" xfId="28433" xr:uid="{00000000-0005-0000-0000-00004F6F0000}"/>
    <cellStyle name="Normal 17 2 2 2" xfId="28434" xr:uid="{00000000-0005-0000-0000-0000506F0000}"/>
    <cellStyle name="Normal 17 2 2 2 2" xfId="28435" xr:uid="{00000000-0005-0000-0000-0000516F0000}"/>
    <cellStyle name="Normal 17 2 2 2 2 2" xfId="28436" xr:uid="{00000000-0005-0000-0000-0000526F0000}"/>
    <cellStyle name="Normal 17 2 2 2 3" xfId="28437" xr:uid="{00000000-0005-0000-0000-0000536F0000}"/>
    <cellStyle name="Normal 17 2 2 2 3 2" xfId="28438" xr:uid="{00000000-0005-0000-0000-0000546F0000}"/>
    <cellStyle name="Normal 17 2 2 2 4" xfId="28439" xr:uid="{00000000-0005-0000-0000-0000556F0000}"/>
    <cellStyle name="Normal 17 2 2 3" xfId="28440" xr:uid="{00000000-0005-0000-0000-0000566F0000}"/>
    <cellStyle name="Normal 17 2 2 3 2" xfId="28441" xr:uid="{00000000-0005-0000-0000-0000576F0000}"/>
    <cellStyle name="Normal 17 2 2 4" xfId="28442" xr:uid="{00000000-0005-0000-0000-0000586F0000}"/>
    <cellStyle name="Normal 17 2 2 4 2" xfId="28443" xr:uid="{00000000-0005-0000-0000-0000596F0000}"/>
    <cellStyle name="Normal 17 2 2 5" xfId="28444" xr:uid="{00000000-0005-0000-0000-00005A6F0000}"/>
    <cellStyle name="Normal 17 2 3" xfId="28445" xr:uid="{00000000-0005-0000-0000-00005B6F0000}"/>
    <cellStyle name="Normal 17 2 3 2" xfId="28446" xr:uid="{00000000-0005-0000-0000-00005C6F0000}"/>
    <cellStyle name="Normal 17 2 3 2 2" xfId="28447" xr:uid="{00000000-0005-0000-0000-00005D6F0000}"/>
    <cellStyle name="Normal 17 2 3 3" xfId="28448" xr:uid="{00000000-0005-0000-0000-00005E6F0000}"/>
    <cellStyle name="Normal 17 2 3 3 2" xfId="28449" xr:uid="{00000000-0005-0000-0000-00005F6F0000}"/>
    <cellStyle name="Normal 17 2 3 4" xfId="28450" xr:uid="{00000000-0005-0000-0000-0000606F0000}"/>
    <cellStyle name="Normal 17 2 4" xfId="28451" xr:uid="{00000000-0005-0000-0000-0000616F0000}"/>
    <cellStyle name="Normal 17 2 4 2" xfId="28452" xr:uid="{00000000-0005-0000-0000-0000626F0000}"/>
    <cellStyle name="Normal 17 2 5" xfId="28453" xr:uid="{00000000-0005-0000-0000-0000636F0000}"/>
    <cellStyle name="Normal 17 2 5 2" xfId="28454" xr:uid="{00000000-0005-0000-0000-0000646F0000}"/>
    <cellStyle name="Normal 17 2 6" xfId="28455" xr:uid="{00000000-0005-0000-0000-0000656F0000}"/>
    <cellStyle name="Normal 17 3" xfId="28456" xr:uid="{00000000-0005-0000-0000-0000666F0000}"/>
    <cellStyle name="Normal 17 3 2" xfId="28457" xr:uid="{00000000-0005-0000-0000-0000676F0000}"/>
    <cellStyle name="Normal 17 3 2 2" xfId="28458" xr:uid="{00000000-0005-0000-0000-0000686F0000}"/>
    <cellStyle name="Normal 17 3 2 2 2" xfId="28459" xr:uid="{00000000-0005-0000-0000-0000696F0000}"/>
    <cellStyle name="Normal 17 3 2 3" xfId="28460" xr:uid="{00000000-0005-0000-0000-00006A6F0000}"/>
    <cellStyle name="Normal 17 3 2 3 2" xfId="28461" xr:uid="{00000000-0005-0000-0000-00006B6F0000}"/>
    <cellStyle name="Normal 17 3 2 4" xfId="28462" xr:uid="{00000000-0005-0000-0000-00006C6F0000}"/>
    <cellStyle name="Normal 17 3 3" xfId="28463" xr:uid="{00000000-0005-0000-0000-00006D6F0000}"/>
    <cellStyle name="Normal 17 3 3 2" xfId="28464" xr:uid="{00000000-0005-0000-0000-00006E6F0000}"/>
    <cellStyle name="Normal 17 3 4" xfId="28465" xr:uid="{00000000-0005-0000-0000-00006F6F0000}"/>
    <cellStyle name="Normal 17 3 4 2" xfId="28466" xr:uid="{00000000-0005-0000-0000-0000706F0000}"/>
    <cellStyle name="Normal 17 3 5" xfId="28467" xr:uid="{00000000-0005-0000-0000-0000716F0000}"/>
    <cellStyle name="Normal 17 4" xfId="28468" xr:uid="{00000000-0005-0000-0000-0000726F0000}"/>
    <cellStyle name="Normal 17 4 2" xfId="28469" xr:uid="{00000000-0005-0000-0000-0000736F0000}"/>
    <cellStyle name="Normal 17 4 2 2" xfId="28470" xr:uid="{00000000-0005-0000-0000-0000746F0000}"/>
    <cellStyle name="Normal 17 4 3" xfId="28471" xr:uid="{00000000-0005-0000-0000-0000756F0000}"/>
    <cellStyle name="Normal 17 4 3 2" xfId="28472" xr:uid="{00000000-0005-0000-0000-0000766F0000}"/>
    <cellStyle name="Normal 17 4 4" xfId="28473" xr:uid="{00000000-0005-0000-0000-0000776F0000}"/>
    <cellStyle name="Normal 17 5" xfId="28474" xr:uid="{00000000-0005-0000-0000-0000786F0000}"/>
    <cellStyle name="Normal 17 5 2" xfId="28475" xr:uid="{00000000-0005-0000-0000-0000796F0000}"/>
    <cellStyle name="Normal 17 6" xfId="28476" xr:uid="{00000000-0005-0000-0000-00007A6F0000}"/>
    <cellStyle name="Normal 17 6 2" xfId="28477" xr:uid="{00000000-0005-0000-0000-00007B6F0000}"/>
    <cellStyle name="Normal 17 7" xfId="28478" xr:uid="{00000000-0005-0000-0000-00007C6F0000}"/>
    <cellStyle name="Normal 17 8" xfId="28479" xr:uid="{00000000-0005-0000-0000-00007D6F0000}"/>
    <cellStyle name="Normal 17 9" xfId="28480" xr:uid="{00000000-0005-0000-0000-00007E6F0000}"/>
    <cellStyle name="Normal 170" xfId="28481" xr:uid="{00000000-0005-0000-0000-00007F6F0000}"/>
    <cellStyle name="Normal 171" xfId="28482" xr:uid="{00000000-0005-0000-0000-0000806F0000}"/>
    <cellStyle name="Normal 172" xfId="28483" xr:uid="{00000000-0005-0000-0000-0000816F0000}"/>
    <cellStyle name="Normal 173" xfId="28484" xr:uid="{00000000-0005-0000-0000-0000826F0000}"/>
    <cellStyle name="Normal 174" xfId="28485" xr:uid="{00000000-0005-0000-0000-0000836F0000}"/>
    <cellStyle name="Normal 175" xfId="28486" xr:uid="{00000000-0005-0000-0000-0000846F0000}"/>
    <cellStyle name="Normal 175 2" xfId="28487" xr:uid="{00000000-0005-0000-0000-0000856F0000}"/>
    <cellStyle name="Normal 176" xfId="28488" xr:uid="{00000000-0005-0000-0000-0000866F0000}"/>
    <cellStyle name="Normal 177" xfId="28489" xr:uid="{00000000-0005-0000-0000-0000876F0000}"/>
    <cellStyle name="Normal 178" xfId="28490" xr:uid="{00000000-0005-0000-0000-0000886F0000}"/>
    <cellStyle name="Normal 179" xfId="28491" xr:uid="{00000000-0005-0000-0000-0000896F0000}"/>
    <cellStyle name="Normal 179 2" xfId="28492" xr:uid="{00000000-0005-0000-0000-00008A6F0000}"/>
    <cellStyle name="Normal 18" xfId="28493" xr:uid="{00000000-0005-0000-0000-00008B6F0000}"/>
    <cellStyle name="Normal 18 2" xfId="28494" xr:uid="{00000000-0005-0000-0000-00008C6F0000}"/>
    <cellStyle name="Normal 18 2 2" xfId="28495" xr:uid="{00000000-0005-0000-0000-00008D6F0000}"/>
    <cellStyle name="Normal 18 2 2 2" xfId="28496" xr:uid="{00000000-0005-0000-0000-00008E6F0000}"/>
    <cellStyle name="Normal 18 2 2 2 2" xfId="28497" xr:uid="{00000000-0005-0000-0000-00008F6F0000}"/>
    <cellStyle name="Normal 18 2 2 2 2 2" xfId="28498" xr:uid="{00000000-0005-0000-0000-0000906F0000}"/>
    <cellStyle name="Normal 18 2 2 2 2 2 2" xfId="28499" xr:uid="{00000000-0005-0000-0000-0000916F0000}"/>
    <cellStyle name="Normal 18 2 2 2 2 2 2 2" xfId="28500" xr:uid="{00000000-0005-0000-0000-0000926F0000}"/>
    <cellStyle name="Normal 18 2 2 2 2 2 2 2 2" xfId="28501" xr:uid="{00000000-0005-0000-0000-0000936F0000}"/>
    <cellStyle name="Normal 18 2 2 2 2 2 2 3" xfId="28502" xr:uid="{00000000-0005-0000-0000-0000946F0000}"/>
    <cellStyle name="Normal 18 2 2 2 2 2 2 3 2" xfId="28503" xr:uid="{00000000-0005-0000-0000-0000956F0000}"/>
    <cellStyle name="Normal 18 2 2 2 2 2 2 4" xfId="28504" xr:uid="{00000000-0005-0000-0000-0000966F0000}"/>
    <cellStyle name="Normal 18 2 2 2 2 2 3" xfId="28505" xr:uid="{00000000-0005-0000-0000-0000976F0000}"/>
    <cellStyle name="Normal 18 2 2 2 2 2 3 2" xfId="28506" xr:uid="{00000000-0005-0000-0000-0000986F0000}"/>
    <cellStyle name="Normal 18 2 2 2 2 2 4" xfId="28507" xr:uid="{00000000-0005-0000-0000-0000996F0000}"/>
    <cellStyle name="Normal 18 2 2 2 2 2 4 2" xfId="28508" xr:uid="{00000000-0005-0000-0000-00009A6F0000}"/>
    <cellStyle name="Normal 18 2 2 2 2 2 5" xfId="28509" xr:uid="{00000000-0005-0000-0000-00009B6F0000}"/>
    <cellStyle name="Normal 18 2 2 2 2 3" xfId="28510" xr:uid="{00000000-0005-0000-0000-00009C6F0000}"/>
    <cellStyle name="Normal 18 2 2 2 2 3 2" xfId="28511" xr:uid="{00000000-0005-0000-0000-00009D6F0000}"/>
    <cellStyle name="Normal 18 2 2 2 2 3 2 2" xfId="28512" xr:uid="{00000000-0005-0000-0000-00009E6F0000}"/>
    <cellStyle name="Normal 18 2 2 2 2 3 3" xfId="28513" xr:uid="{00000000-0005-0000-0000-00009F6F0000}"/>
    <cellStyle name="Normal 18 2 2 2 2 3 3 2" xfId="28514" xr:uid="{00000000-0005-0000-0000-0000A06F0000}"/>
    <cellStyle name="Normal 18 2 2 2 2 3 4" xfId="28515" xr:uid="{00000000-0005-0000-0000-0000A16F0000}"/>
    <cellStyle name="Normal 18 2 2 2 2 4" xfId="28516" xr:uid="{00000000-0005-0000-0000-0000A26F0000}"/>
    <cellStyle name="Normal 18 2 2 2 2 4 2" xfId="28517" xr:uid="{00000000-0005-0000-0000-0000A36F0000}"/>
    <cellStyle name="Normal 18 2 2 2 2 5" xfId="28518" xr:uid="{00000000-0005-0000-0000-0000A46F0000}"/>
    <cellStyle name="Normal 18 2 2 2 2 5 2" xfId="28519" xr:uid="{00000000-0005-0000-0000-0000A56F0000}"/>
    <cellStyle name="Normal 18 2 2 2 2 6" xfId="28520" xr:uid="{00000000-0005-0000-0000-0000A66F0000}"/>
    <cellStyle name="Normal 18 2 2 2 3" xfId="28521" xr:uid="{00000000-0005-0000-0000-0000A76F0000}"/>
    <cellStyle name="Normal 18 2 2 2 3 2" xfId="28522" xr:uid="{00000000-0005-0000-0000-0000A86F0000}"/>
    <cellStyle name="Normal 18 2 2 2 3 2 2" xfId="28523" xr:uid="{00000000-0005-0000-0000-0000A96F0000}"/>
    <cellStyle name="Normal 18 2 2 2 3 2 2 2" xfId="28524" xr:uid="{00000000-0005-0000-0000-0000AA6F0000}"/>
    <cellStyle name="Normal 18 2 2 2 3 2 3" xfId="28525" xr:uid="{00000000-0005-0000-0000-0000AB6F0000}"/>
    <cellStyle name="Normal 18 2 2 2 3 2 3 2" xfId="28526" xr:uid="{00000000-0005-0000-0000-0000AC6F0000}"/>
    <cellStyle name="Normal 18 2 2 2 3 2 4" xfId="28527" xr:uid="{00000000-0005-0000-0000-0000AD6F0000}"/>
    <cellStyle name="Normal 18 2 2 2 3 3" xfId="28528" xr:uid="{00000000-0005-0000-0000-0000AE6F0000}"/>
    <cellStyle name="Normal 18 2 2 2 3 3 2" xfId="28529" xr:uid="{00000000-0005-0000-0000-0000AF6F0000}"/>
    <cellStyle name="Normal 18 2 2 2 3 4" xfId="28530" xr:uid="{00000000-0005-0000-0000-0000B06F0000}"/>
    <cellStyle name="Normal 18 2 2 2 3 4 2" xfId="28531" xr:uid="{00000000-0005-0000-0000-0000B16F0000}"/>
    <cellStyle name="Normal 18 2 2 2 3 5" xfId="28532" xr:uid="{00000000-0005-0000-0000-0000B26F0000}"/>
    <cellStyle name="Normal 18 2 2 2 4" xfId="28533" xr:uid="{00000000-0005-0000-0000-0000B36F0000}"/>
    <cellStyle name="Normal 18 2 2 2 4 2" xfId="28534" xr:uid="{00000000-0005-0000-0000-0000B46F0000}"/>
    <cellStyle name="Normal 18 2 2 2 4 2 2" xfId="28535" xr:uid="{00000000-0005-0000-0000-0000B56F0000}"/>
    <cellStyle name="Normal 18 2 2 2 4 3" xfId="28536" xr:uid="{00000000-0005-0000-0000-0000B66F0000}"/>
    <cellStyle name="Normal 18 2 2 2 4 3 2" xfId="28537" xr:uid="{00000000-0005-0000-0000-0000B76F0000}"/>
    <cellStyle name="Normal 18 2 2 2 4 4" xfId="28538" xr:uid="{00000000-0005-0000-0000-0000B86F0000}"/>
    <cellStyle name="Normal 18 2 2 2 5" xfId="28539" xr:uid="{00000000-0005-0000-0000-0000B96F0000}"/>
    <cellStyle name="Normal 18 2 2 2 5 2" xfId="28540" xr:uid="{00000000-0005-0000-0000-0000BA6F0000}"/>
    <cellStyle name="Normal 18 2 2 2 6" xfId="28541" xr:uid="{00000000-0005-0000-0000-0000BB6F0000}"/>
    <cellStyle name="Normal 18 2 2 2 6 2" xfId="28542" xr:uid="{00000000-0005-0000-0000-0000BC6F0000}"/>
    <cellStyle name="Normal 18 2 2 2 7" xfId="28543" xr:uid="{00000000-0005-0000-0000-0000BD6F0000}"/>
    <cellStyle name="Normal 18 2 2 3" xfId="28544" xr:uid="{00000000-0005-0000-0000-0000BE6F0000}"/>
    <cellStyle name="Normal 18 2 2 3 2" xfId="28545" xr:uid="{00000000-0005-0000-0000-0000BF6F0000}"/>
    <cellStyle name="Normal 18 2 2 3 2 2" xfId="28546" xr:uid="{00000000-0005-0000-0000-0000C06F0000}"/>
    <cellStyle name="Normal 18 2 2 3 2 2 2" xfId="28547" xr:uid="{00000000-0005-0000-0000-0000C16F0000}"/>
    <cellStyle name="Normal 18 2 2 3 2 2 2 2" xfId="28548" xr:uid="{00000000-0005-0000-0000-0000C26F0000}"/>
    <cellStyle name="Normal 18 2 2 3 2 2 3" xfId="28549" xr:uid="{00000000-0005-0000-0000-0000C36F0000}"/>
    <cellStyle name="Normal 18 2 2 3 2 2 3 2" xfId="28550" xr:uid="{00000000-0005-0000-0000-0000C46F0000}"/>
    <cellStyle name="Normal 18 2 2 3 2 2 4" xfId="28551" xr:uid="{00000000-0005-0000-0000-0000C56F0000}"/>
    <cellStyle name="Normal 18 2 2 3 2 3" xfId="28552" xr:uid="{00000000-0005-0000-0000-0000C66F0000}"/>
    <cellStyle name="Normal 18 2 2 3 2 3 2" xfId="28553" xr:uid="{00000000-0005-0000-0000-0000C76F0000}"/>
    <cellStyle name="Normal 18 2 2 3 2 4" xfId="28554" xr:uid="{00000000-0005-0000-0000-0000C86F0000}"/>
    <cellStyle name="Normal 18 2 2 3 2 4 2" xfId="28555" xr:uid="{00000000-0005-0000-0000-0000C96F0000}"/>
    <cellStyle name="Normal 18 2 2 3 2 5" xfId="28556" xr:uid="{00000000-0005-0000-0000-0000CA6F0000}"/>
    <cellStyle name="Normal 18 2 2 3 3" xfId="28557" xr:uid="{00000000-0005-0000-0000-0000CB6F0000}"/>
    <cellStyle name="Normal 18 2 2 3 3 2" xfId="28558" xr:uid="{00000000-0005-0000-0000-0000CC6F0000}"/>
    <cellStyle name="Normal 18 2 2 3 3 2 2" xfId="28559" xr:uid="{00000000-0005-0000-0000-0000CD6F0000}"/>
    <cellStyle name="Normal 18 2 2 3 3 3" xfId="28560" xr:uid="{00000000-0005-0000-0000-0000CE6F0000}"/>
    <cellStyle name="Normal 18 2 2 3 3 3 2" xfId="28561" xr:uid="{00000000-0005-0000-0000-0000CF6F0000}"/>
    <cellStyle name="Normal 18 2 2 3 3 4" xfId="28562" xr:uid="{00000000-0005-0000-0000-0000D06F0000}"/>
    <cellStyle name="Normal 18 2 2 3 4" xfId="28563" xr:uid="{00000000-0005-0000-0000-0000D16F0000}"/>
    <cellStyle name="Normal 18 2 2 3 4 2" xfId="28564" xr:uid="{00000000-0005-0000-0000-0000D26F0000}"/>
    <cellStyle name="Normal 18 2 2 3 5" xfId="28565" xr:uid="{00000000-0005-0000-0000-0000D36F0000}"/>
    <cellStyle name="Normal 18 2 2 3 5 2" xfId="28566" xr:uid="{00000000-0005-0000-0000-0000D46F0000}"/>
    <cellStyle name="Normal 18 2 2 3 6" xfId="28567" xr:uid="{00000000-0005-0000-0000-0000D56F0000}"/>
    <cellStyle name="Normal 18 2 2 4" xfId="28568" xr:uid="{00000000-0005-0000-0000-0000D66F0000}"/>
    <cellStyle name="Normal 18 2 2 4 2" xfId="28569" xr:uid="{00000000-0005-0000-0000-0000D76F0000}"/>
    <cellStyle name="Normal 18 2 2 4 2 2" xfId="28570" xr:uid="{00000000-0005-0000-0000-0000D86F0000}"/>
    <cellStyle name="Normal 18 2 2 4 2 2 2" xfId="28571" xr:uid="{00000000-0005-0000-0000-0000D96F0000}"/>
    <cellStyle name="Normal 18 2 2 4 2 3" xfId="28572" xr:uid="{00000000-0005-0000-0000-0000DA6F0000}"/>
    <cellStyle name="Normal 18 2 2 4 2 3 2" xfId="28573" xr:uid="{00000000-0005-0000-0000-0000DB6F0000}"/>
    <cellStyle name="Normal 18 2 2 4 2 4" xfId="28574" xr:uid="{00000000-0005-0000-0000-0000DC6F0000}"/>
    <cellStyle name="Normal 18 2 2 4 3" xfId="28575" xr:uid="{00000000-0005-0000-0000-0000DD6F0000}"/>
    <cellStyle name="Normal 18 2 2 4 3 2" xfId="28576" xr:uid="{00000000-0005-0000-0000-0000DE6F0000}"/>
    <cellStyle name="Normal 18 2 2 4 4" xfId="28577" xr:uid="{00000000-0005-0000-0000-0000DF6F0000}"/>
    <cellStyle name="Normal 18 2 2 4 4 2" xfId="28578" xr:uid="{00000000-0005-0000-0000-0000E06F0000}"/>
    <cellStyle name="Normal 18 2 2 4 5" xfId="28579" xr:uid="{00000000-0005-0000-0000-0000E16F0000}"/>
    <cellStyle name="Normal 18 2 2 5" xfId="28580" xr:uid="{00000000-0005-0000-0000-0000E26F0000}"/>
    <cellStyle name="Normal 18 2 2 5 2" xfId="28581" xr:uid="{00000000-0005-0000-0000-0000E36F0000}"/>
    <cellStyle name="Normal 18 2 2 5 2 2" xfId="28582" xr:uid="{00000000-0005-0000-0000-0000E46F0000}"/>
    <cellStyle name="Normal 18 2 2 5 3" xfId="28583" xr:uid="{00000000-0005-0000-0000-0000E56F0000}"/>
    <cellStyle name="Normal 18 2 2 5 3 2" xfId="28584" xr:uid="{00000000-0005-0000-0000-0000E66F0000}"/>
    <cellStyle name="Normal 18 2 2 5 4" xfId="28585" xr:uid="{00000000-0005-0000-0000-0000E76F0000}"/>
    <cellStyle name="Normal 18 2 2 6" xfId="28586" xr:uid="{00000000-0005-0000-0000-0000E86F0000}"/>
    <cellStyle name="Normal 18 2 2 6 2" xfId="28587" xr:uid="{00000000-0005-0000-0000-0000E96F0000}"/>
    <cellStyle name="Normal 18 2 2 7" xfId="28588" xr:uid="{00000000-0005-0000-0000-0000EA6F0000}"/>
    <cellStyle name="Normal 18 2 2 7 2" xfId="28589" xr:uid="{00000000-0005-0000-0000-0000EB6F0000}"/>
    <cellStyle name="Normal 18 2 2 8" xfId="28590" xr:uid="{00000000-0005-0000-0000-0000EC6F0000}"/>
    <cellStyle name="Normal 18 2 3" xfId="28591" xr:uid="{00000000-0005-0000-0000-0000ED6F0000}"/>
    <cellStyle name="Normal 18 2 3 2" xfId="28592" xr:uid="{00000000-0005-0000-0000-0000EE6F0000}"/>
    <cellStyle name="Normal 18 2 3 2 2" xfId="28593" xr:uid="{00000000-0005-0000-0000-0000EF6F0000}"/>
    <cellStyle name="Normal 18 2 3 2 2 2" xfId="28594" xr:uid="{00000000-0005-0000-0000-0000F06F0000}"/>
    <cellStyle name="Normal 18 2 3 2 2 2 2" xfId="28595" xr:uid="{00000000-0005-0000-0000-0000F16F0000}"/>
    <cellStyle name="Normal 18 2 3 2 2 3" xfId="28596" xr:uid="{00000000-0005-0000-0000-0000F26F0000}"/>
    <cellStyle name="Normal 18 2 3 2 2 3 2" xfId="28597" xr:uid="{00000000-0005-0000-0000-0000F36F0000}"/>
    <cellStyle name="Normal 18 2 3 2 2 4" xfId="28598" xr:uid="{00000000-0005-0000-0000-0000F46F0000}"/>
    <cellStyle name="Normal 18 2 3 2 3" xfId="28599" xr:uid="{00000000-0005-0000-0000-0000F56F0000}"/>
    <cellStyle name="Normal 18 2 3 2 3 2" xfId="28600" xr:uid="{00000000-0005-0000-0000-0000F66F0000}"/>
    <cellStyle name="Normal 18 2 3 2 4" xfId="28601" xr:uid="{00000000-0005-0000-0000-0000F76F0000}"/>
    <cellStyle name="Normal 18 2 3 2 4 2" xfId="28602" xr:uid="{00000000-0005-0000-0000-0000F86F0000}"/>
    <cellStyle name="Normal 18 2 3 2 5" xfId="28603" xr:uid="{00000000-0005-0000-0000-0000F96F0000}"/>
    <cellStyle name="Normal 18 2 3 3" xfId="28604" xr:uid="{00000000-0005-0000-0000-0000FA6F0000}"/>
    <cellStyle name="Normal 18 2 3 3 2" xfId="28605" xr:uid="{00000000-0005-0000-0000-0000FB6F0000}"/>
    <cellStyle name="Normal 18 2 3 3 2 2" xfId="28606" xr:uid="{00000000-0005-0000-0000-0000FC6F0000}"/>
    <cellStyle name="Normal 18 2 3 3 3" xfId="28607" xr:uid="{00000000-0005-0000-0000-0000FD6F0000}"/>
    <cellStyle name="Normal 18 2 3 3 3 2" xfId="28608" xr:uid="{00000000-0005-0000-0000-0000FE6F0000}"/>
    <cellStyle name="Normal 18 2 3 3 4" xfId="28609" xr:uid="{00000000-0005-0000-0000-0000FF6F0000}"/>
    <cellStyle name="Normal 18 2 3 4" xfId="28610" xr:uid="{00000000-0005-0000-0000-000000700000}"/>
    <cellStyle name="Normal 18 2 3 4 2" xfId="28611" xr:uid="{00000000-0005-0000-0000-000001700000}"/>
    <cellStyle name="Normal 18 2 3 5" xfId="28612" xr:uid="{00000000-0005-0000-0000-000002700000}"/>
    <cellStyle name="Normal 18 2 3 5 2" xfId="28613" xr:uid="{00000000-0005-0000-0000-000003700000}"/>
    <cellStyle name="Normal 18 2 3 6" xfId="28614" xr:uid="{00000000-0005-0000-0000-000004700000}"/>
    <cellStyle name="Normal 18 2 4" xfId="28615" xr:uid="{00000000-0005-0000-0000-000005700000}"/>
    <cellStyle name="Normal 18 2 4 2" xfId="28616" xr:uid="{00000000-0005-0000-0000-000006700000}"/>
    <cellStyle name="Normal 18 2 4 2 2" xfId="28617" xr:uid="{00000000-0005-0000-0000-000007700000}"/>
    <cellStyle name="Normal 18 2 4 2 2 2" xfId="28618" xr:uid="{00000000-0005-0000-0000-000008700000}"/>
    <cellStyle name="Normal 18 2 4 2 3" xfId="28619" xr:uid="{00000000-0005-0000-0000-000009700000}"/>
    <cellStyle name="Normal 18 2 4 2 3 2" xfId="28620" xr:uid="{00000000-0005-0000-0000-00000A700000}"/>
    <cellStyle name="Normal 18 2 4 2 4" xfId="28621" xr:uid="{00000000-0005-0000-0000-00000B700000}"/>
    <cellStyle name="Normal 18 2 4 3" xfId="28622" xr:uid="{00000000-0005-0000-0000-00000C700000}"/>
    <cellStyle name="Normal 18 2 4 3 2" xfId="28623" xr:uid="{00000000-0005-0000-0000-00000D700000}"/>
    <cellStyle name="Normal 18 2 4 4" xfId="28624" xr:uid="{00000000-0005-0000-0000-00000E700000}"/>
    <cellStyle name="Normal 18 2 4 4 2" xfId="28625" xr:uid="{00000000-0005-0000-0000-00000F700000}"/>
    <cellStyle name="Normal 18 2 4 5" xfId="28626" xr:uid="{00000000-0005-0000-0000-000010700000}"/>
    <cellStyle name="Normal 18 2 5" xfId="28627" xr:uid="{00000000-0005-0000-0000-000011700000}"/>
    <cellStyle name="Normal 18 2 5 2" xfId="28628" xr:uid="{00000000-0005-0000-0000-000012700000}"/>
    <cellStyle name="Normal 18 2 5 2 2" xfId="28629" xr:uid="{00000000-0005-0000-0000-000013700000}"/>
    <cellStyle name="Normal 18 2 5 3" xfId="28630" xr:uid="{00000000-0005-0000-0000-000014700000}"/>
    <cellStyle name="Normal 18 2 5 3 2" xfId="28631" xr:uid="{00000000-0005-0000-0000-000015700000}"/>
    <cellStyle name="Normal 18 2 5 4" xfId="28632" xr:uid="{00000000-0005-0000-0000-000016700000}"/>
    <cellStyle name="Normal 18 2 6" xfId="28633" xr:uid="{00000000-0005-0000-0000-000017700000}"/>
    <cellStyle name="Normal 18 2 6 2" xfId="28634" xr:uid="{00000000-0005-0000-0000-000018700000}"/>
    <cellStyle name="Normal 18 2 7" xfId="28635" xr:uid="{00000000-0005-0000-0000-000019700000}"/>
    <cellStyle name="Normal 18 2 7 2" xfId="28636" xr:uid="{00000000-0005-0000-0000-00001A700000}"/>
    <cellStyle name="Normal 18 2 8" xfId="28637" xr:uid="{00000000-0005-0000-0000-00001B700000}"/>
    <cellStyle name="Normal 18 2 9" xfId="28638" xr:uid="{00000000-0005-0000-0000-00001C700000}"/>
    <cellStyle name="Normal 18 3" xfId="28639" xr:uid="{00000000-0005-0000-0000-00001D700000}"/>
    <cellStyle name="Normal 18 3 2" xfId="28640" xr:uid="{00000000-0005-0000-0000-00001E700000}"/>
    <cellStyle name="Normal 18 3 2 2" xfId="28641" xr:uid="{00000000-0005-0000-0000-00001F700000}"/>
    <cellStyle name="Normal 18 3 2 2 2" xfId="28642" xr:uid="{00000000-0005-0000-0000-000020700000}"/>
    <cellStyle name="Normal 18 3 2 2 2 2" xfId="28643" xr:uid="{00000000-0005-0000-0000-000021700000}"/>
    <cellStyle name="Normal 18 3 2 2 3" xfId="28644" xr:uid="{00000000-0005-0000-0000-000022700000}"/>
    <cellStyle name="Normal 18 3 2 2 3 2" xfId="28645" xr:uid="{00000000-0005-0000-0000-000023700000}"/>
    <cellStyle name="Normal 18 3 2 2 4" xfId="28646" xr:uid="{00000000-0005-0000-0000-000024700000}"/>
    <cellStyle name="Normal 18 3 2 3" xfId="28647" xr:uid="{00000000-0005-0000-0000-000025700000}"/>
    <cellStyle name="Normal 18 3 2 3 2" xfId="28648" xr:uid="{00000000-0005-0000-0000-000026700000}"/>
    <cellStyle name="Normal 18 3 2 4" xfId="28649" xr:uid="{00000000-0005-0000-0000-000027700000}"/>
    <cellStyle name="Normal 18 3 2 4 2" xfId="28650" xr:uid="{00000000-0005-0000-0000-000028700000}"/>
    <cellStyle name="Normal 18 3 2 5" xfId="28651" xr:uid="{00000000-0005-0000-0000-000029700000}"/>
    <cellStyle name="Normal 18 3 3" xfId="28652" xr:uid="{00000000-0005-0000-0000-00002A700000}"/>
    <cellStyle name="Normal 18 3 3 2" xfId="28653" xr:uid="{00000000-0005-0000-0000-00002B700000}"/>
    <cellStyle name="Normal 18 3 3 2 2" xfId="28654" xr:uid="{00000000-0005-0000-0000-00002C700000}"/>
    <cellStyle name="Normal 18 3 3 3" xfId="28655" xr:uid="{00000000-0005-0000-0000-00002D700000}"/>
    <cellStyle name="Normal 18 3 3 3 2" xfId="28656" xr:uid="{00000000-0005-0000-0000-00002E700000}"/>
    <cellStyle name="Normal 18 3 3 4" xfId="28657" xr:uid="{00000000-0005-0000-0000-00002F700000}"/>
    <cellStyle name="Normal 18 3 4" xfId="28658" xr:uid="{00000000-0005-0000-0000-000030700000}"/>
    <cellStyle name="Normal 18 3 4 2" xfId="28659" xr:uid="{00000000-0005-0000-0000-000031700000}"/>
    <cellStyle name="Normal 18 3 5" xfId="28660" xr:uid="{00000000-0005-0000-0000-000032700000}"/>
    <cellStyle name="Normal 18 3 5 2" xfId="28661" xr:uid="{00000000-0005-0000-0000-000033700000}"/>
    <cellStyle name="Normal 18 3 6" xfId="28662" xr:uid="{00000000-0005-0000-0000-000034700000}"/>
    <cellStyle name="Normal 18 4" xfId="28663" xr:uid="{00000000-0005-0000-0000-000035700000}"/>
    <cellStyle name="Normal 18 4 2" xfId="28664" xr:uid="{00000000-0005-0000-0000-000036700000}"/>
    <cellStyle name="Normal 18 4 2 2" xfId="28665" xr:uid="{00000000-0005-0000-0000-000037700000}"/>
    <cellStyle name="Normal 18 4 2 2 2" xfId="28666" xr:uid="{00000000-0005-0000-0000-000038700000}"/>
    <cellStyle name="Normal 18 4 2 3" xfId="28667" xr:uid="{00000000-0005-0000-0000-000039700000}"/>
    <cellStyle name="Normal 18 4 2 3 2" xfId="28668" xr:uid="{00000000-0005-0000-0000-00003A700000}"/>
    <cellStyle name="Normal 18 4 2 4" xfId="28669" xr:uid="{00000000-0005-0000-0000-00003B700000}"/>
    <cellStyle name="Normal 18 4 3" xfId="28670" xr:uid="{00000000-0005-0000-0000-00003C700000}"/>
    <cellStyle name="Normal 18 4 3 2" xfId="28671" xr:uid="{00000000-0005-0000-0000-00003D700000}"/>
    <cellStyle name="Normal 18 4 4" xfId="28672" xr:uid="{00000000-0005-0000-0000-00003E700000}"/>
    <cellStyle name="Normal 18 4 4 2" xfId="28673" xr:uid="{00000000-0005-0000-0000-00003F700000}"/>
    <cellStyle name="Normal 18 4 5" xfId="28674" xr:uid="{00000000-0005-0000-0000-000040700000}"/>
    <cellStyle name="Normal 18 5" xfId="28675" xr:uid="{00000000-0005-0000-0000-000041700000}"/>
    <cellStyle name="Normal 18 5 2" xfId="28676" xr:uid="{00000000-0005-0000-0000-000042700000}"/>
    <cellStyle name="Normal 18 5 2 2" xfId="28677" xr:uid="{00000000-0005-0000-0000-000043700000}"/>
    <cellStyle name="Normal 18 5 3" xfId="28678" xr:uid="{00000000-0005-0000-0000-000044700000}"/>
    <cellStyle name="Normal 18 5 3 2" xfId="28679" xr:uid="{00000000-0005-0000-0000-000045700000}"/>
    <cellStyle name="Normal 18 5 4" xfId="28680" xr:uid="{00000000-0005-0000-0000-000046700000}"/>
    <cellStyle name="Normal 18 6" xfId="28681" xr:uid="{00000000-0005-0000-0000-000047700000}"/>
    <cellStyle name="Normal 18 6 2" xfId="28682" xr:uid="{00000000-0005-0000-0000-000048700000}"/>
    <cellStyle name="Normal 18 7" xfId="28683" xr:uid="{00000000-0005-0000-0000-000049700000}"/>
    <cellStyle name="Normal 18 7 2" xfId="28684" xr:uid="{00000000-0005-0000-0000-00004A700000}"/>
    <cellStyle name="Normal 18 8" xfId="28685" xr:uid="{00000000-0005-0000-0000-00004B700000}"/>
    <cellStyle name="Normal 180" xfId="28686" xr:uid="{00000000-0005-0000-0000-00004C700000}"/>
    <cellStyle name="Normal 180 2" xfId="28687" xr:uid="{00000000-0005-0000-0000-00004D700000}"/>
    <cellStyle name="Normal 181" xfId="28688" xr:uid="{00000000-0005-0000-0000-00004E700000}"/>
    <cellStyle name="Normal 182" xfId="28689" xr:uid="{00000000-0005-0000-0000-00004F700000}"/>
    <cellStyle name="Normal 183" xfId="28690" xr:uid="{00000000-0005-0000-0000-000050700000}"/>
    <cellStyle name="Normal 184" xfId="28691" xr:uid="{00000000-0005-0000-0000-000051700000}"/>
    <cellStyle name="Normal 185" xfId="28692" xr:uid="{00000000-0005-0000-0000-000052700000}"/>
    <cellStyle name="Normal 186" xfId="28693" xr:uid="{00000000-0005-0000-0000-000053700000}"/>
    <cellStyle name="Normal 187" xfId="28694" xr:uid="{00000000-0005-0000-0000-000054700000}"/>
    <cellStyle name="Normal 188" xfId="28695" xr:uid="{00000000-0005-0000-0000-000055700000}"/>
    <cellStyle name="Normal 189" xfId="28696" xr:uid="{00000000-0005-0000-0000-000056700000}"/>
    <cellStyle name="Normal 19" xfId="28697" xr:uid="{00000000-0005-0000-0000-000057700000}"/>
    <cellStyle name="Normal 19 2" xfId="28698" xr:uid="{00000000-0005-0000-0000-000058700000}"/>
    <cellStyle name="Normal 19 2 2" xfId="28699" xr:uid="{00000000-0005-0000-0000-000059700000}"/>
    <cellStyle name="Normal 19 2 2 2" xfId="28700" xr:uid="{00000000-0005-0000-0000-00005A700000}"/>
    <cellStyle name="Normal 19 2 2 2 2" xfId="28701" xr:uid="{00000000-0005-0000-0000-00005B700000}"/>
    <cellStyle name="Normal 19 2 2 2 2 2" xfId="28702" xr:uid="{00000000-0005-0000-0000-00005C700000}"/>
    <cellStyle name="Normal 19 2 2 2 3" xfId="28703" xr:uid="{00000000-0005-0000-0000-00005D700000}"/>
    <cellStyle name="Normal 19 2 2 2 3 2" xfId="28704" xr:uid="{00000000-0005-0000-0000-00005E700000}"/>
    <cellStyle name="Normal 19 2 2 2 4" xfId="28705" xr:uid="{00000000-0005-0000-0000-00005F700000}"/>
    <cellStyle name="Normal 19 2 2 3" xfId="28706" xr:uid="{00000000-0005-0000-0000-000060700000}"/>
    <cellStyle name="Normal 19 2 2 3 2" xfId="28707" xr:uid="{00000000-0005-0000-0000-000061700000}"/>
    <cellStyle name="Normal 19 2 2 4" xfId="28708" xr:uid="{00000000-0005-0000-0000-000062700000}"/>
    <cellStyle name="Normal 19 2 2 4 2" xfId="28709" xr:uid="{00000000-0005-0000-0000-000063700000}"/>
    <cellStyle name="Normal 19 2 2 5" xfId="28710" xr:uid="{00000000-0005-0000-0000-000064700000}"/>
    <cellStyle name="Normal 19 2 3" xfId="28711" xr:uid="{00000000-0005-0000-0000-000065700000}"/>
    <cellStyle name="Normal 19 2 3 2" xfId="28712" xr:uid="{00000000-0005-0000-0000-000066700000}"/>
    <cellStyle name="Normal 19 2 3 2 2" xfId="28713" xr:uid="{00000000-0005-0000-0000-000067700000}"/>
    <cellStyle name="Normal 19 2 3 3" xfId="28714" xr:uid="{00000000-0005-0000-0000-000068700000}"/>
    <cellStyle name="Normal 19 2 3 3 2" xfId="28715" xr:uid="{00000000-0005-0000-0000-000069700000}"/>
    <cellStyle name="Normal 19 2 3 4" xfId="28716" xr:uid="{00000000-0005-0000-0000-00006A700000}"/>
    <cellStyle name="Normal 19 2 4" xfId="28717" xr:uid="{00000000-0005-0000-0000-00006B700000}"/>
    <cellStyle name="Normal 19 2 4 2" xfId="28718" xr:uid="{00000000-0005-0000-0000-00006C700000}"/>
    <cellStyle name="Normal 19 2 5" xfId="28719" xr:uid="{00000000-0005-0000-0000-00006D700000}"/>
    <cellStyle name="Normal 19 2 5 2" xfId="28720" xr:uid="{00000000-0005-0000-0000-00006E700000}"/>
    <cellStyle name="Normal 19 2 6" xfId="28721" xr:uid="{00000000-0005-0000-0000-00006F700000}"/>
    <cellStyle name="Normal 19 3" xfId="28722" xr:uid="{00000000-0005-0000-0000-000070700000}"/>
    <cellStyle name="Normal 19 3 2" xfId="28723" xr:uid="{00000000-0005-0000-0000-000071700000}"/>
    <cellStyle name="Normal 19 3 2 2" xfId="28724" xr:uid="{00000000-0005-0000-0000-000072700000}"/>
    <cellStyle name="Normal 19 3 2 2 2" xfId="28725" xr:uid="{00000000-0005-0000-0000-000073700000}"/>
    <cellStyle name="Normal 19 3 2 3" xfId="28726" xr:uid="{00000000-0005-0000-0000-000074700000}"/>
    <cellStyle name="Normal 19 3 2 3 2" xfId="28727" xr:uid="{00000000-0005-0000-0000-000075700000}"/>
    <cellStyle name="Normal 19 3 2 4" xfId="28728" xr:uid="{00000000-0005-0000-0000-000076700000}"/>
    <cellStyle name="Normal 19 3 3" xfId="28729" xr:uid="{00000000-0005-0000-0000-000077700000}"/>
    <cellStyle name="Normal 19 3 3 2" xfId="28730" xr:uid="{00000000-0005-0000-0000-000078700000}"/>
    <cellStyle name="Normal 19 3 4" xfId="28731" xr:uid="{00000000-0005-0000-0000-000079700000}"/>
    <cellStyle name="Normal 19 3 4 2" xfId="28732" xr:uid="{00000000-0005-0000-0000-00007A700000}"/>
    <cellStyle name="Normal 19 3 5" xfId="28733" xr:uid="{00000000-0005-0000-0000-00007B700000}"/>
    <cellStyle name="Normal 19 4" xfId="28734" xr:uid="{00000000-0005-0000-0000-00007C700000}"/>
    <cellStyle name="Normal 19 4 2" xfId="28735" xr:uid="{00000000-0005-0000-0000-00007D700000}"/>
    <cellStyle name="Normal 19 4 2 2" xfId="28736" xr:uid="{00000000-0005-0000-0000-00007E700000}"/>
    <cellStyle name="Normal 19 4 3" xfId="28737" xr:uid="{00000000-0005-0000-0000-00007F700000}"/>
    <cellStyle name="Normal 19 4 3 2" xfId="28738" xr:uid="{00000000-0005-0000-0000-000080700000}"/>
    <cellStyle name="Normal 19 4 4" xfId="28739" xr:uid="{00000000-0005-0000-0000-000081700000}"/>
    <cellStyle name="Normal 19 5" xfId="28740" xr:uid="{00000000-0005-0000-0000-000082700000}"/>
    <cellStyle name="Normal 19 5 2" xfId="28741" xr:uid="{00000000-0005-0000-0000-000083700000}"/>
    <cellStyle name="Normal 19 6" xfId="28742" xr:uid="{00000000-0005-0000-0000-000084700000}"/>
    <cellStyle name="Normal 19 6 2" xfId="28743" xr:uid="{00000000-0005-0000-0000-000085700000}"/>
    <cellStyle name="Normal 19 7" xfId="28744" xr:uid="{00000000-0005-0000-0000-000086700000}"/>
    <cellStyle name="Normal 190" xfId="28745" xr:uid="{00000000-0005-0000-0000-000087700000}"/>
    <cellStyle name="Normal 191" xfId="28746" xr:uid="{00000000-0005-0000-0000-000088700000}"/>
    <cellStyle name="Normal 192" xfId="28747" xr:uid="{00000000-0005-0000-0000-000089700000}"/>
    <cellStyle name="Normal 193" xfId="28748" xr:uid="{00000000-0005-0000-0000-00008A700000}"/>
    <cellStyle name="Normal 194" xfId="28749" xr:uid="{00000000-0005-0000-0000-00008B700000}"/>
    <cellStyle name="Normal 195" xfId="28750" xr:uid="{00000000-0005-0000-0000-00008C700000}"/>
    <cellStyle name="Normal 196" xfId="28751" xr:uid="{00000000-0005-0000-0000-00008D700000}"/>
    <cellStyle name="Normal 197" xfId="28752" xr:uid="{00000000-0005-0000-0000-00008E700000}"/>
    <cellStyle name="Normal 198" xfId="28753" xr:uid="{00000000-0005-0000-0000-00008F700000}"/>
    <cellStyle name="Normal 199" xfId="28754" xr:uid="{00000000-0005-0000-0000-000090700000}"/>
    <cellStyle name="Normal 2" xfId="48" xr:uid="{00000000-0005-0000-0000-000091700000}"/>
    <cellStyle name="Normal 2 10" xfId="28756" xr:uid="{00000000-0005-0000-0000-000092700000}"/>
    <cellStyle name="Normal 2 10 2" xfId="28757" xr:uid="{00000000-0005-0000-0000-000093700000}"/>
    <cellStyle name="Normal 2 11" xfId="28758" xr:uid="{00000000-0005-0000-0000-000094700000}"/>
    <cellStyle name="Normal 2 11 2" xfId="28759" xr:uid="{00000000-0005-0000-0000-000095700000}"/>
    <cellStyle name="Normal 2 12" xfId="28760" xr:uid="{00000000-0005-0000-0000-000096700000}"/>
    <cellStyle name="Normal 2 13" xfId="28761" xr:uid="{00000000-0005-0000-0000-000097700000}"/>
    <cellStyle name="Normal 2 14" xfId="28762" xr:uid="{00000000-0005-0000-0000-000098700000}"/>
    <cellStyle name="Normal 2 15" xfId="28763" xr:uid="{00000000-0005-0000-0000-000099700000}"/>
    <cellStyle name="Normal 2 16" xfId="28764" xr:uid="{00000000-0005-0000-0000-00009A700000}"/>
    <cellStyle name="Normal 2 17" xfId="28765" xr:uid="{00000000-0005-0000-0000-00009B700000}"/>
    <cellStyle name="Normal 2 18" xfId="28766" xr:uid="{00000000-0005-0000-0000-00009C700000}"/>
    <cellStyle name="Normal 2 19" xfId="28755" xr:uid="{00000000-0005-0000-0000-00009D700000}"/>
    <cellStyle name="Normal 2 2" xfId="28767" xr:uid="{00000000-0005-0000-0000-00009E700000}"/>
    <cellStyle name="Normal 2 2 10" xfId="28768" xr:uid="{00000000-0005-0000-0000-00009F700000}"/>
    <cellStyle name="Normal 2 2 11" xfId="28769" xr:uid="{00000000-0005-0000-0000-0000A0700000}"/>
    <cellStyle name="Normal 2 2 12" xfId="28770" xr:uid="{00000000-0005-0000-0000-0000A1700000}"/>
    <cellStyle name="Normal 2 2 13" xfId="28771" xr:uid="{00000000-0005-0000-0000-0000A2700000}"/>
    <cellStyle name="Normal 2 2 14" xfId="28772" xr:uid="{00000000-0005-0000-0000-0000A3700000}"/>
    <cellStyle name="Normal 2 2 15" xfId="28773" xr:uid="{00000000-0005-0000-0000-0000A4700000}"/>
    <cellStyle name="Normal 2 2 16" xfId="28774" xr:uid="{00000000-0005-0000-0000-0000A5700000}"/>
    <cellStyle name="Normal 2 2 17" xfId="28775" xr:uid="{00000000-0005-0000-0000-0000A6700000}"/>
    <cellStyle name="Normal 2 2 18" xfId="28776" xr:uid="{00000000-0005-0000-0000-0000A7700000}"/>
    <cellStyle name="Normal 2 2 19" xfId="28777" xr:uid="{00000000-0005-0000-0000-0000A8700000}"/>
    <cellStyle name="Normal 2 2 2" xfId="28778" xr:uid="{00000000-0005-0000-0000-0000A9700000}"/>
    <cellStyle name="Normal 2 2 2 10" xfId="28779" xr:uid="{00000000-0005-0000-0000-0000AA700000}"/>
    <cellStyle name="Normal 2 2 2 11" xfId="28780" xr:uid="{00000000-0005-0000-0000-0000AB700000}"/>
    <cellStyle name="Normal 2 2 2 12" xfId="28781" xr:uid="{00000000-0005-0000-0000-0000AC700000}"/>
    <cellStyle name="Normal 2 2 2 13" xfId="28782" xr:uid="{00000000-0005-0000-0000-0000AD700000}"/>
    <cellStyle name="Normal 2 2 2 14" xfId="28783" xr:uid="{00000000-0005-0000-0000-0000AE700000}"/>
    <cellStyle name="Normal 2 2 2 2" xfId="28784" xr:uid="{00000000-0005-0000-0000-0000AF700000}"/>
    <cellStyle name="Normal 2 2 2 2 10" xfId="28785" xr:uid="{00000000-0005-0000-0000-0000B0700000}"/>
    <cellStyle name="Normal 2 2 2 2 11" xfId="28786" xr:uid="{00000000-0005-0000-0000-0000B1700000}"/>
    <cellStyle name="Normal 2 2 2 2 12" xfId="28787" xr:uid="{00000000-0005-0000-0000-0000B2700000}"/>
    <cellStyle name="Normal 2 2 2 2 13" xfId="28788" xr:uid="{00000000-0005-0000-0000-0000B3700000}"/>
    <cellStyle name="Normal 2 2 2 2 2" xfId="28789" xr:uid="{00000000-0005-0000-0000-0000B4700000}"/>
    <cellStyle name="Normal 2 2 2 2 2 10" xfId="28790" xr:uid="{00000000-0005-0000-0000-0000B5700000}"/>
    <cellStyle name="Normal 2 2 2 2 2 2" xfId="28791" xr:uid="{00000000-0005-0000-0000-0000B6700000}"/>
    <cellStyle name="Normal 2 2 2 2 2 2 2" xfId="28792" xr:uid="{00000000-0005-0000-0000-0000B7700000}"/>
    <cellStyle name="Normal 2 2 2 2 2 2 2 2" xfId="28793" xr:uid="{00000000-0005-0000-0000-0000B8700000}"/>
    <cellStyle name="Normal 2 2 2 2 2 2 2 2 2" xfId="28794" xr:uid="{00000000-0005-0000-0000-0000B9700000}"/>
    <cellStyle name="Normal 2 2 2 2 2 2 2 2 2 2" xfId="28795" xr:uid="{00000000-0005-0000-0000-0000BA700000}"/>
    <cellStyle name="Normal 2 2 2 2 2 2 2 2 2 2 2" xfId="28796" xr:uid="{00000000-0005-0000-0000-0000BB700000}"/>
    <cellStyle name="Normal 2 2 2 2 2 2 2 2 2 2 2 2" xfId="28797" xr:uid="{00000000-0005-0000-0000-0000BC700000}"/>
    <cellStyle name="Normal 2 2 2 2 2 2 2 2 2 2 2 2 2" xfId="28798" xr:uid="{00000000-0005-0000-0000-0000BD700000}"/>
    <cellStyle name="Normal 2 2 2 2 2 2 2 2 2 2 2 3" xfId="28799" xr:uid="{00000000-0005-0000-0000-0000BE700000}"/>
    <cellStyle name="Normal 2 2 2 2 2 2 2 2 2 2 2 3 2" xfId="28800" xr:uid="{00000000-0005-0000-0000-0000BF700000}"/>
    <cellStyle name="Normal 2 2 2 2 2 2 2 2 2 2 2 4" xfId="28801" xr:uid="{00000000-0005-0000-0000-0000C0700000}"/>
    <cellStyle name="Normal 2 2 2 2 2 2 2 2 2 2 3" xfId="28802" xr:uid="{00000000-0005-0000-0000-0000C1700000}"/>
    <cellStyle name="Normal 2 2 2 2 2 2 2 2 2 2 3 2" xfId="28803" xr:uid="{00000000-0005-0000-0000-0000C2700000}"/>
    <cellStyle name="Normal 2 2 2 2 2 2 2 2 2 2 4" xfId="28804" xr:uid="{00000000-0005-0000-0000-0000C3700000}"/>
    <cellStyle name="Normal 2 2 2 2 2 2 2 2 2 2 4 2" xfId="28805" xr:uid="{00000000-0005-0000-0000-0000C4700000}"/>
    <cellStyle name="Normal 2 2 2 2 2 2 2 2 2 2 5" xfId="28806" xr:uid="{00000000-0005-0000-0000-0000C5700000}"/>
    <cellStyle name="Normal 2 2 2 2 2 2 2 2 2 3" xfId="28807" xr:uid="{00000000-0005-0000-0000-0000C6700000}"/>
    <cellStyle name="Normal 2 2 2 2 2 2 2 2 2 3 2" xfId="28808" xr:uid="{00000000-0005-0000-0000-0000C7700000}"/>
    <cellStyle name="Normal 2 2 2 2 2 2 2 2 2 3 2 2" xfId="28809" xr:uid="{00000000-0005-0000-0000-0000C8700000}"/>
    <cellStyle name="Normal 2 2 2 2 2 2 2 2 2 3 3" xfId="28810" xr:uid="{00000000-0005-0000-0000-0000C9700000}"/>
    <cellStyle name="Normal 2 2 2 2 2 2 2 2 2 3 3 2" xfId="28811" xr:uid="{00000000-0005-0000-0000-0000CA700000}"/>
    <cellStyle name="Normal 2 2 2 2 2 2 2 2 2 3 4" xfId="28812" xr:uid="{00000000-0005-0000-0000-0000CB700000}"/>
    <cellStyle name="Normal 2 2 2 2 2 2 2 2 2 4" xfId="28813" xr:uid="{00000000-0005-0000-0000-0000CC700000}"/>
    <cellStyle name="Normal 2 2 2 2 2 2 2 2 2 4 2" xfId="28814" xr:uid="{00000000-0005-0000-0000-0000CD700000}"/>
    <cellStyle name="Normal 2 2 2 2 2 2 2 2 2 5" xfId="28815" xr:uid="{00000000-0005-0000-0000-0000CE700000}"/>
    <cellStyle name="Normal 2 2 2 2 2 2 2 2 2 5 2" xfId="28816" xr:uid="{00000000-0005-0000-0000-0000CF700000}"/>
    <cellStyle name="Normal 2 2 2 2 2 2 2 2 2 6" xfId="28817" xr:uid="{00000000-0005-0000-0000-0000D0700000}"/>
    <cellStyle name="Normal 2 2 2 2 2 2 2 2 3" xfId="28818" xr:uid="{00000000-0005-0000-0000-0000D1700000}"/>
    <cellStyle name="Normal 2 2 2 2 2 2 2 2 3 2" xfId="28819" xr:uid="{00000000-0005-0000-0000-0000D2700000}"/>
    <cellStyle name="Normal 2 2 2 2 2 2 2 2 3 2 2" xfId="28820" xr:uid="{00000000-0005-0000-0000-0000D3700000}"/>
    <cellStyle name="Normal 2 2 2 2 2 2 2 2 3 2 2 2" xfId="28821" xr:uid="{00000000-0005-0000-0000-0000D4700000}"/>
    <cellStyle name="Normal 2 2 2 2 2 2 2 2 3 2 3" xfId="28822" xr:uid="{00000000-0005-0000-0000-0000D5700000}"/>
    <cellStyle name="Normal 2 2 2 2 2 2 2 2 3 2 3 2" xfId="28823" xr:uid="{00000000-0005-0000-0000-0000D6700000}"/>
    <cellStyle name="Normal 2 2 2 2 2 2 2 2 3 2 4" xfId="28824" xr:uid="{00000000-0005-0000-0000-0000D7700000}"/>
    <cellStyle name="Normal 2 2 2 2 2 2 2 2 3 3" xfId="28825" xr:uid="{00000000-0005-0000-0000-0000D8700000}"/>
    <cellStyle name="Normal 2 2 2 2 2 2 2 2 3 3 2" xfId="28826" xr:uid="{00000000-0005-0000-0000-0000D9700000}"/>
    <cellStyle name="Normal 2 2 2 2 2 2 2 2 3 4" xfId="28827" xr:uid="{00000000-0005-0000-0000-0000DA700000}"/>
    <cellStyle name="Normal 2 2 2 2 2 2 2 2 3 4 2" xfId="28828" xr:uid="{00000000-0005-0000-0000-0000DB700000}"/>
    <cellStyle name="Normal 2 2 2 2 2 2 2 2 3 5" xfId="28829" xr:uid="{00000000-0005-0000-0000-0000DC700000}"/>
    <cellStyle name="Normal 2 2 2 2 2 2 2 2 4" xfId="28830" xr:uid="{00000000-0005-0000-0000-0000DD700000}"/>
    <cellStyle name="Normal 2 2 2 2 2 2 2 2 4 2" xfId="28831" xr:uid="{00000000-0005-0000-0000-0000DE700000}"/>
    <cellStyle name="Normal 2 2 2 2 2 2 2 2 4 2 2" xfId="28832" xr:uid="{00000000-0005-0000-0000-0000DF700000}"/>
    <cellStyle name="Normal 2 2 2 2 2 2 2 2 4 3" xfId="28833" xr:uid="{00000000-0005-0000-0000-0000E0700000}"/>
    <cellStyle name="Normal 2 2 2 2 2 2 2 2 4 3 2" xfId="28834" xr:uid="{00000000-0005-0000-0000-0000E1700000}"/>
    <cellStyle name="Normal 2 2 2 2 2 2 2 2 4 4" xfId="28835" xr:uid="{00000000-0005-0000-0000-0000E2700000}"/>
    <cellStyle name="Normal 2 2 2 2 2 2 2 2 5" xfId="28836" xr:uid="{00000000-0005-0000-0000-0000E3700000}"/>
    <cellStyle name="Normal 2 2 2 2 2 2 2 2 5 2" xfId="28837" xr:uid="{00000000-0005-0000-0000-0000E4700000}"/>
    <cellStyle name="Normal 2 2 2 2 2 2 2 2 6" xfId="28838" xr:uid="{00000000-0005-0000-0000-0000E5700000}"/>
    <cellStyle name="Normal 2 2 2 2 2 2 2 2 6 2" xfId="28839" xr:uid="{00000000-0005-0000-0000-0000E6700000}"/>
    <cellStyle name="Normal 2 2 2 2 2 2 2 2 7" xfId="28840" xr:uid="{00000000-0005-0000-0000-0000E7700000}"/>
    <cellStyle name="Normal 2 2 2 2 2 2 2 3" xfId="28841" xr:uid="{00000000-0005-0000-0000-0000E8700000}"/>
    <cellStyle name="Normal 2 2 2 2 2 2 2 3 2" xfId="28842" xr:uid="{00000000-0005-0000-0000-0000E9700000}"/>
    <cellStyle name="Normal 2 2 2 2 2 2 2 3 2 2" xfId="28843" xr:uid="{00000000-0005-0000-0000-0000EA700000}"/>
    <cellStyle name="Normal 2 2 2 2 2 2 2 3 2 2 2" xfId="28844" xr:uid="{00000000-0005-0000-0000-0000EB700000}"/>
    <cellStyle name="Normal 2 2 2 2 2 2 2 3 2 2 2 2" xfId="28845" xr:uid="{00000000-0005-0000-0000-0000EC700000}"/>
    <cellStyle name="Normal 2 2 2 2 2 2 2 3 2 2 3" xfId="28846" xr:uid="{00000000-0005-0000-0000-0000ED700000}"/>
    <cellStyle name="Normal 2 2 2 2 2 2 2 3 2 2 3 2" xfId="28847" xr:uid="{00000000-0005-0000-0000-0000EE700000}"/>
    <cellStyle name="Normal 2 2 2 2 2 2 2 3 2 2 4" xfId="28848" xr:uid="{00000000-0005-0000-0000-0000EF700000}"/>
    <cellStyle name="Normal 2 2 2 2 2 2 2 3 2 3" xfId="28849" xr:uid="{00000000-0005-0000-0000-0000F0700000}"/>
    <cellStyle name="Normal 2 2 2 2 2 2 2 3 2 3 2" xfId="28850" xr:uid="{00000000-0005-0000-0000-0000F1700000}"/>
    <cellStyle name="Normal 2 2 2 2 2 2 2 3 2 4" xfId="28851" xr:uid="{00000000-0005-0000-0000-0000F2700000}"/>
    <cellStyle name="Normal 2 2 2 2 2 2 2 3 2 4 2" xfId="28852" xr:uid="{00000000-0005-0000-0000-0000F3700000}"/>
    <cellStyle name="Normal 2 2 2 2 2 2 2 3 2 5" xfId="28853" xr:uid="{00000000-0005-0000-0000-0000F4700000}"/>
    <cellStyle name="Normal 2 2 2 2 2 2 2 3 3" xfId="28854" xr:uid="{00000000-0005-0000-0000-0000F5700000}"/>
    <cellStyle name="Normal 2 2 2 2 2 2 2 3 3 2" xfId="28855" xr:uid="{00000000-0005-0000-0000-0000F6700000}"/>
    <cellStyle name="Normal 2 2 2 2 2 2 2 3 3 2 2" xfId="28856" xr:uid="{00000000-0005-0000-0000-0000F7700000}"/>
    <cellStyle name="Normal 2 2 2 2 2 2 2 3 3 3" xfId="28857" xr:uid="{00000000-0005-0000-0000-0000F8700000}"/>
    <cellStyle name="Normal 2 2 2 2 2 2 2 3 3 3 2" xfId="28858" xr:uid="{00000000-0005-0000-0000-0000F9700000}"/>
    <cellStyle name="Normal 2 2 2 2 2 2 2 3 3 4" xfId="28859" xr:uid="{00000000-0005-0000-0000-0000FA700000}"/>
    <cellStyle name="Normal 2 2 2 2 2 2 2 3 4" xfId="28860" xr:uid="{00000000-0005-0000-0000-0000FB700000}"/>
    <cellStyle name="Normal 2 2 2 2 2 2 2 3 4 2" xfId="28861" xr:uid="{00000000-0005-0000-0000-0000FC700000}"/>
    <cellStyle name="Normal 2 2 2 2 2 2 2 3 5" xfId="28862" xr:uid="{00000000-0005-0000-0000-0000FD700000}"/>
    <cellStyle name="Normal 2 2 2 2 2 2 2 3 5 2" xfId="28863" xr:uid="{00000000-0005-0000-0000-0000FE700000}"/>
    <cellStyle name="Normal 2 2 2 2 2 2 2 3 6" xfId="28864" xr:uid="{00000000-0005-0000-0000-0000FF700000}"/>
    <cellStyle name="Normal 2 2 2 2 2 2 2 4" xfId="28865" xr:uid="{00000000-0005-0000-0000-000000710000}"/>
    <cellStyle name="Normal 2 2 2 2 2 2 2 4 2" xfId="28866" xr:uid="{00000000-0005-0000-0000-000001710000}"/>
    <cellStyle name="Normal 2 2 2 2 2 2 2 4 2 2" xfId="28867" xr:uid="{00000000-0005-0000-0000-000002710000}"/>
    <cellStyle name="Normal 2 2 2 2 2 2 2 4 2 2 2" xfId="28868" xr:uid="{00000000-0005-0000-0000-000003710000}"/>
    <cellStyle name="Normal 2 2 2 2 2 2 2 4 2 3" xfId="28869" xr:uid="{00000000-0005-0000-0000-000004710000}"/>
    <cellStyle name="Normal 2 2 2 2 2 2 2 4 2 3 2" xfId="28870" xr:uid="{00000000-0005-0000-0000-000005710000}"/>
    <cellStyle name="Normal 2 2 2 2 2 2 2 4 2 4" xfId="28871" xr:uid="{00000000-0005-0000-0000-000006710000}"/>
    <cellStyle name="Normal 2 2 2 2 2 2 2 4 3" xfId="28872" xr:uid="{00000000-0005-0000-0000-000007710000}"/>
    <cellStyle name="Normal 2 2 2 2 2 2 2 4 3 2" xfId="28873" xr:uid="{00000000-0005-0000-0000-000008710000}"/>
    <cellStyle name="Normal 2 2 2 2 2 2 2 4 4" xfId="28874" xr:uid="{00000000-0005-0000-0000-000009710000}"/>
    <cellStyle name="Normal 2 2 2 2 2 2 2 4 4 2" xfId="28875" xr:uid="{00000000-0005-0000-0000-00000A710000}"/>
    <cellStyle name="Normal 2 2 2 2 2 2 2 4 5" xfId="28876" xr:uid="{00000000-0005-0000-0000-00000B710000}"/>
    <cellStyle name="Normal 2 2 2 2 2 2 2 5" xfId="28877" xr:uid="{00000000-0005-0000-0000-00000C710000}"/>
    <cellStyle name="Normal 2 2 2 2 2 2 2 5 2" xfId="28878" xr:uid="{00000000-0005-0000-0000-00000D710000}"/>
    <cellStyle name="Normal 2 2 2 2 2 2 2 5 2 2" xfId="28879" xr:uid="{00000000-0005-0000-0000-00000E710000}"/>
    <cellStyle name="Normal 2 2 2 2 2 2 2 5 3" xfId="28880" xr:uid="{00000000-0005-0000-0000-00000F710000}"/>
    <cellStyle name="Normal 2 2 2 2 2 2 2 5 3 2" xfId="28881" xr:uid="{00000000-0005-0000-0000-000010710000}"/>
    <cellStyle name="Normal 2 2 2 2 2 2 2 5 4" xfId="28882" xr:uid="{00000000-0005-0000-0000-000011710000}"/>
    <cellStyle name="Normal 2 2 2 2 2 2 2 6" xfId="28883" xr:uid="{00000000-0005-0000-0000-000012710000}"/>
    <cellStyle name="Normal 2 2 2 2 2 2 2 6 2" xfId="28884" xr:uid="{00000000-0005-0000-0000-000013710000}"/>
    <cellStyle name="Normal 2 2 2 2 2 2 2 7" xfId="28885" xr:uid="{00000000-0005-0000-0000-000014710000}"/>
    <cellStyle name="Normal 2 2 2 2 2 2 2 7 2" xfId="28886" xr:uid="{00000000-0005-0000-0000-000015710000}"/>
    <cellStyle name="Normal 2 2 2 2 2 2 2 8" xfId="28887" xr:uid="{00000000-0005-0000-0000-000016710000}"/>
    <cellStyle name="Normal 2 2 2 2 2 2 3" xfId="28888" xr:uid="{00000000-0005-0000-0000-000017710000}"/>
    <cellStyle name="Normal 2 2 2 2 2 2 3 2" xfId="28889" xr:uid="{00000000-0005-0000-0000-000018710000}"/>
    <cellStyle name="Normal 2 2 2 2 2 2 3 2 2" xfId="28890" xr:uid="{00000000-0005-0000-0000-000019710000}"/>
    <cellStyle name="Normal 2 2 2 2 2 2 3 2 2 2" xfId="28891" xr:uid="{00000000-0005-0000-0000-00001A710000}"/>
    <cellStyle name="Normal 2 2 2 2 2 2 3 2 2 2 2" xfId="28892" xr:uid="{00000000-0005-0000-0000-00001B710000}"/>
    <cellStyle name="Normal 2 2 2 2 2 2 3 2 2 2 2 2" xfId="28893" xr:uid="{00000000-0005-0000-0000-00001C710000}"/>
    <cellStyle name="Normal 2 2 2 2 2 2 3 2 2 2 3" xfId="28894" xr:uid="{00000000-0005-0000-0000-00001D710000}"/>
    <cellStyle name="Normal 2 2 2 2 2 2 3 2 2 2 3 2" xfId="28895" xr:uid="{00000000-0005-0000-0000-00001E710000}"/>
    <cellStyle name="Normal 2 2 2 2 2 2 3 2 2 2 4" xfId="28896" xr:uid="{00000000-0005-0000-0000-00001F710000}"/>
    <cellStyle name="Normal 2 2 2 2 2 2 3 2 2 3" xfId="28897" xr:uid="{00000000-0005-0000-0000-000020710000}"/>
    <cellStyle name="Normal 2 2 2 2 2 2 3 2 2 3 2" xfId="28898" xr:uid="{00000000-0005-0000-0000-000021710000}"/>
    <cellStyle name="Normal 2 2 2 2 2 2 3 2 2 4" xfId="28899" xr:uid="{00000000-0005-0000-0000-000022710000}"/>
    <cellStyle name="Normal 2 2 2 2 2 2 3 2 2 4 2" xfId="28900" xr:uid="{00000000-0005-0000-0000-000023710000}"/>
    <cellStyle name="Normal 2 2 2 2 2 2 3 2 2 5" xfId="28901" xr:uid="{00000000-0005-0000-0000-000024710000}"/>
    <cellStyle name="Normal 2 2 2 2 2 2 3 2 3" xfId="28902" xr:uid="{00000000-0005-0000-0000-000025710000}"/>
    <cellStyle name="Normal 2 2 2 2 2 2 3 2 3 2" xfId="28903" xr:uid="{00000000-0005-0000-0000-000026710000}"/>
    <cellStyle name="Normal 2 2 2 2 2 2 3 2 3 2 2" xfId="28904" xr:uid="{00000000-0005-0000-0000-000027710000}"/>
    <cellStyle name="Normal 2 2 2 2 2 2 3 2 3 3" xfId="28905" xr:uid="{00000000-0005-0000-0000-000028710000}"/>
    <cellStyle name="Normal 2 2 2 2 2 2 3 2 3 3 2" xfId="28906" xr:uid="{00000000-0005-0000-0000-000029710000}"/>
    <cellStyle name="Normal 2 2 2 2 2 2 3 2 3 4" xfId="28907" xr:uid="{00000000-0005-0000-0000-00002A710000}"/>
    <cellStyle name="Normal 2 2 2 2 2 2 3 2 4" xfId="28908" xr:uid="{00000000-0005-0000-0000-00002B710000}"/>
    <cellStyle name="Normal 2 2 2 2 2 2 3 2 4 2" xfId="28909" xr:uid="{00000000-0005-0000-0000-00002C710000}"/>
    <cellStyle name="Normal 2 2 2 2 2 2 3 2 5" xfId="28910" xr:uid="{00000000-0005-0000-0000-00002D710000}"/>
    <cellStyle name="Normal 2 2 2 2 2 2 3 2 5 2" xfId="28911" xr:uid="{00000000-0005-0000-0000-00002E710000}"/>
    <cellStyle name="Normal 2 2 2 2 2 2 3 2 6" xfId="28912" xr:uid="{00000000-0005-0000-0000-00002F710000}"/>
    <cellStyle name="Normal 2 2 2 2 2 2 3 3" xfId="28913" xr:uid="{00000000-0005-0000-0000-000030710000}"/>
    <cellStyle name="Normal 2 2 2 2 2 2 3 3 2" xfId="28914" xr:uid="{00000000-0005-0000-0000-000031710000}"/>
    <cellStyle name="Normal 2 2 2 2 2 2 3 3 2 2" xfId="28915" xr:uid="{00000000-0005-0000-0000-000032710000}"/>
    <cellStyle name="Normal 2 2 2 2 2 2 3 3 2 2 2" xfId="28916" xr:uid="{00000000-0005-0000-0000-000033710000}"/>
    <cellStyle name="Normal 2 2 2 2 2 2 3 3 2 3" xfId="28917" xr:uid="{00000000-0005-0000-0000-000034710000}"/>
    <cellStyle name="Normal 2 2 2 2 2 2 3 3 2 3 2" xfId="28918" xr:uid="{00000000-0005-0000-0000-000035710000}"/>
    <cellStyle name="Normal 2 2 2 2 2 2 3 3 2 4" xfId="28919" xr:uid="{00000000-0005-0000-0000-000036710000}"/>
    <cellStyle name="Normal 2 2 2 2 2 2 3 3 3" xfId="28920" xr:uid="{00000000-0005-0000-0000-000037710000}"/>
    <cellStyle name="Normal 2 2 2 2 2 2 3 3 3 2" xfId="28921" xr:uid="{00000000-0005-0000-0000-000038710000}"/>
    <cellStyle name="Normal 2 2 2 2 2 2 3 3 4" xfId="28922" xr:uid="{00000000-0005-0000-0000-000039710000}"/>
    <cellStyle name="Normal 2 2 2 2 2 2 3 3 4 2" xfId="28923" xr:uid="{00000000-0005-0000-0000-00003A710000}"/>
    <cellStyle name="Normal 2 2 2 2 2 2 3 3 5" xfId="28924" xr:uid="{00000000-0005-0000-0000-00003B710000}"/>
    <cellStyle name="Normal 2 2 2 2 2 2 3 4" xfId="28925" xr:uid="{00000000-0005-0000-0000-00003C710000}"/>
    <cellStyle name="Normal 2 2 2 2 2 2 3 4 2" xfId="28926" xr:uid="{00000000-0005-0000-0000-00003D710000}"/>
    <cellStyle name="Normal 2 2 2 2 2 2 3 4 2 2" xfId="28927" xr:uid="{00000000-0005-0000-0000-00003E710000}"/>
    <cellStyle name="Normal 2 2 2 2 2 2 3 4 3" xfId="28928" xr:uid="{00000000-0005-0000-0000-00003F710000}"/>
    <cellStyle name="Normal 2 2 2 2 2 2 3 4 3 2" xfId="28929" xr:uid="{00000000-0005-0000-0000-000040710000}"/>
    <cellStyle name="Normal 2 2 2 2 2 2 3 4 4" xfId="28930" xr:uid="{00000000-0005-0000-0000-000041710000}"/>
    <cellStyle name="Normal 2 2 2 2 2 2 3 5" xfId="28931" xr:uid="{00000000-0005-0000-0000-000042710000}"/>
    <cellStyle name="Normal 2 2 2 2 2 2 3 5 2" xfId="28932" xr:uid="{00000000-0005-0000-0000-000043710000}"/>
    <cellStyle name="Normal 2 2 2 2 2 2 3 6" xfId="28933" xr:uid="{00000000-0005-0000-0000-000044710000}"/>
    <cellStyle name="Normal 2 2 2 2 2 2 3 6 2" xfId="28934" xr:uid="{00000000-0005-0000-0000-000045710000}"/>
    <cellStyle name="Normal 2 2 2 2 2 2 3 7" xfId="28935" xr:uid="{00000000-0005-0000-0000-000046710000}"/>
    <cellStyle name="Normal 2 2 2 2 2 2 4" xfId="28936" xr:uid="{00000000-0005-0000-0000-000047710000}"/>
    <cellStyle name="Normal 2 2 2 2 2 2 4 2" xfId="28937" xr:uid="{00000000-0005-0000-0000-000048710000}"/>
    <cellStyle name="Normal 2 2 2 2 2 2 4 2 2" xfId="28938" xr:uid="{00000000-0005-0000-0000-000049710000}"/>
    <cellStyle name="Normal 2 2 2 2 2 2 4 2 2 2" xfId="28939" xr:uid="{00000000-0005-0000-0000-00004A710000}"/>
    <cellStyle name="Normal 2 2 2 2 2 2 4 2 2 2 2" xfId="28940" xr:uid="{00000000-0005-0000-0000-00004B710000}"/>
    <cellStyle name="Normal 2 2 2 2 2 2 4 2 2 3" xfId="28941" xr:uid="{00000000-0005-0000-0000-00004C710000}"/>
    <cellStyle name="Normal 2 2 2 2 2 2 4 2 2 3 2" xfId="28942" xr:uid="{00000000-0005-0000-0000-00004D710000}"/>
    <cellStyle name="Normal 2 2 2 2 2 2 4 2 2 4" xfId="28943" xr:uid="{00000000-0005-0000-0000-00004E710000}"/>
    <cellStyle name="Normal 2 2 2 2 2 2 4 2 3" xfId="28944" xr:uid="{00000000-0005-0000-0000-00004F710000}"/>
    <cellStyle name="Normal 2 2 2 2 2 2 4 2 3 2" xfId="28945" xr:uid="{00000000-0005-0000-0000-000050710000}"/>
    <cellStyle name="Normal 2 2 2 2 2 2 4 2 4" xfId="28946" xr:uid="{00000000-0005-0000-0000-000051710000}"/>
    <cellStyle name="Normal 2 2 2 2 2 2 4 2 4 2" xfId="28947" xr:uid="{00000000-0005-0000-0000-000052710000}"/>
    <cellStyle name="Normal 2 2 2 2 2 2 4 2 5" xfId="28948" xr:uid="{00000000-0005-0000-0000-000053710000}"/>
    <cellStyle name="Normal 2 2 2 2 2 2 4 3" xfId="28949" xr:uid="{00000000-0005-0000-0000-000054710000}"/>
    <cellStyle name="Normal 2 2 2 2 2 2 4 3 2" xfId="28950" xr:uid="{00000000-0005-0000-0000-000055710000}"/>
    <cellStyle name="Normal 2 2 2 2 2 2 4 3 2 2" xfId="28951" xr:uid="{00000000-0005-0000-0000-000056710000}"/>
    <cellStyle name="Normal 2 2 2 2 2 2 4 3 3" xfId="28952" xr:uid="{00000000-0005-0000-0000-000057710000}"/>
    <cellStyle name="Normal 2 2 2 2 2 2 4 3 3 2" xfId="28953" xr:uid="{00000000-0005-0000-0000-000058710000}"/>
    <cellStyle name="Normal 2 2 2 2 2 2 4 3 4" xfId="28954" xr:uid="{00000000-0005-0000-0000-000059710000}"/>
    <cellStyle name="Normal 2 2 2 2 2 2 4 4" xfId="28955" xr:uid="{00000000-0005-0000-0000-00005A710000}"/>
    <cellStyle name="Normal 2 2 2 2 2 2 4 4 2" xfId="28956" xr:uid="{00000000-0005-0000-0000-00005B710000}"/>
    <cellStyle name="Normal 2 2 2 2 2 2 4 5" xfId="28957" xr:uid="{00000000-0005-0000-0000-00005C710000}"/>
    <cellStyle name="Normal 2 2 2 2 2 2 4 5 2" xfId="28958" xr:uid="{00000000-0005-0000-0000-00005D710000}"/>
    <cellStyle name="Normal 2 2 2 2 2 2 4 6" xfId="28959" xr:uid="{00000000-0005-0000-0000-00005E710000}"/>
    <cellStyle name="Normal 2 2 2 2 2 2 5" xfId="28960" xr:uid="{00000000-0005-0000-0000-00005F710000}"/>
    <cellStyle name="Normal 2 2 2 2 2 2 5 2" xfId="28961" xr:uid="{00000000-0005-0000-0000-000060710000}"/>
    <cellStyle name="Normal 2 2 2 2 2 2 5 2 2" xfId="28962" xr:uid="{00000000-0005-0000-0000-000061710000}"/>
    <cellStyle name="Normal 2 2 2 2 2 2 5 2 2 2" xfId="28963" xr:uid="{00000000-0005-0000-0000-000062710000}"/>
    <cellStyle name="Normal 2 2 2 2 2 2 5 2 3" xfId="28964" xr:uid="{00000000-0005-0000-0000-000063710000}"/>
    <cellStyle name="Normal 2 2 2 2 2 2 5 2 3 2" xfId="28965" xr:uid="{00000000-0005-0000-0000-000064710000}"/>
    <cellStyle name="Normal 2 2 2 2 2 2 5 2 4" xfId="28966" xr:uid="{00000000-0005-0000-0000-000065710000}"/>
    <cellStyle name="Normal 2 2 2 2 2 2 5 3" xfId="28967" xr:uid="{00000000-0005-0000-0000-000066710000}"/>
    <cellStyle name="Normal 2 2 2 2 2 2 5 3 2" xfId="28968" xr:uid="{00000000-0005-0000-0000-000067710000}"/>
    <cellStyle name="Normal 2 2 2 2 2 2 5 4" xfId="28969" xr:uid="{00000000-0005-0000-0000-000068710000}"/>
    <cellStyle name="Normal 2 2 2 2 2 2 5 4 2" xfId="28970" xr:uid="{00000000-0005-0000-0000-000069710000}"/>
    <cellStyle name="Normal 2 2 2 2 2 2 5 5" xfId="28971" xr:uid="{00000000-0005-0000-0000-00006A710000}"/>
    <cellStyle name="Normal 2 2 2 2 2 2 6" xfId="28972" xr:uid="{00000000-0005-0000-0000-00006B710000}"/>
    <cellStyle name="Normal 2 2 2 2 2 2 6 2" xfId="28973" xr:uid="{00000000-0005-0000-0000-00006C710000}"/>
    <cellStyle name="Normal 2 2 2 2 2 2 6 2 2" xfId="28974" xr:uid="{00000000-0005-0000-0000-00006D710000}"/>
    <cellStyle name="Normal 2 2 2 2 2 2 6 3" xfId="28975" xr:uid="{00000000-0005-0000-0000-00006E710000}"/>
    <cellStyle name="Normal 2 2 2 2 2 2 6 3 2" xfId="28976" xr:uid="{00000000-0005-0000-0000-00006F710000}"/>
    <cellStyle name="Normal 2 2 2 2 2 2 6 4" xfId="28977" xr:uid="{00000000-0005-0000-0000-000070710000}"/>
    <cellStyle name="Normal 2 2 2 2 2 2 7" xfId="28978" xr:uid="{00000000-0005-0000-0000-000071710000}"/>
    <cellStyle name="Normal 2 2 2 2 2 2 7 2" xfId="28979" xr:uid="{00000000-0005-0000-0000-000072710000}"/>
    <cellStyle name="Normal 2 2 2 2 2 2 8" xfId="28980" xr:uid="{00000000-0005-0000-0000-000073710000}"/>
    <cellStyle name="Normal 2 2 2 2 2 2 8 2" xfId="28981" xr:uid="{00000000-0005-0000-0000-000074710000}"/>
    <cellStyle name="Normal 2 2 2 2 2 2 9" xfId="28982" xr:uid="{00000000-0005-0000-0000-000075710000}"/>
    <cellStyle name="Normal 2 2 2 2 2 3" xfId="28983" xr:uid="{00000000-0005-0000-0000-000076710000}"/>
    <cellStyle name="Normal 2 2 2 2 2 3 2" xfId="28984" xr:uid="{00000000-0005-0000-0000-000077710000}"/>
    <cellStyle name="Normal 2 2 2 2 2 3 2 2" xfId="28985" xr:uid="{00000000-0005-0000-0000-000078710000}"/>
    <cellStyle name="Normal 2 2 2 2 2 3 2 2 2" xfId="28986" xr:uid="{00000000-0005-0000-0000-000079710000}"/>
    <cellStyle name="Normal 2 2 2 2 2 3 2 2 2 2" xfId="28987" xr:uid="{00000000-0005-0000-0000-00007A710000}"/>
    <cellStyle name="Normal 2 2 2 2 2 3 2 2 2 2 2" xfId="28988" xr:uid="{00000000-0005-0000-0000-00007B710000}"/>
    <cellStyle name="Normal 2 2 2 2 2 3 2 2 2 2 2 2" xfId="28989" xr:uid="{00000000-0005-0000-0000-00007C710000}"/>
    <cellStyle name="Normal 2 2 2 2 2 3 2 2 2 2 2 2 2" xfId="28990" xr:uid="{00000000-0005-0000-0000-00007D710000}"/>
    <cellStyle name="Normal 2 2 2 2 2 3 2 2 2 2 2 2 2 2" xfId="28991" xr:uid="{00000000-0005-0000-0000-00007E710000}"/>
    <cellStyle name="Normal 2 2 2 2 2 3 2 2 2 2 2 2 3" xfId="28992" xr:uid="{00000000-0005-0000-0000-00007F710000}"/>
    <cellStyle name="Normal 2 2 2 2 2 3 2 2 2 2 2 2 3 2" xfId="28993" xr:uid="{00000000-0005-0000-0000-000080710000}"/>
    <cellStyle name="Normal 2 2 2 2 2 3 2 2 2 2 2 2 4" xfId="28994" xr:uid="{00000000-0005-0000-0000-000081710000}"/>
    <cellStyle name="Normal 2 2 2 2 2 3 2 2 2 2 2 3" xfId="28995" xr:uid="{00000000-0005-0000-0000-000082710000}"/>
    <cellStyle name="Normal 2 2 2 2 2 3 2 2 2 2 2 3 2" xfId="28996" xr:uid="{00000000-0005-0000-0000-000083710000}"/>
    <cellStyle name="Normal 2 2 2 2 2 3 2 2 2 2 2 4" xfId="28997" xr:uid="{00000000-0005-0000-0000-000084710000}"/>
    <cellStyle name="Normal 2 2 2 2 2 3 2 2 2 2 2 4 2" xfId="28998" xr:uid="{00000000-0005-0000-0000-000085710000}"/>
    <cellStyle name="Normal 2 2 2 2 2 3 2 2 2 2 2 5" xfId="28999" xr:uid="{00000000-0005-0000-0000-000086710000}"/>
    <cellStyle name="Normal 2 2 2 2 2 3 2 2 2 2 3" xfId="29000" xr:uid="{00000000-0005-0000-0000-000087710000}"/>
    <cellStyle name="Normal 2 2 2 2 2 3 2 2 2 2 3 2" xfId="29001" xr:uid="{00000000-0005-0000-0000-000088710000}"/>
    <cellStyle name="Normal 2 2 2 2 2 3 2 2 2 2 3 2 2" xfId="29002" xr:uid="{00000000-0005-0000-0000-000089710000}"/>
    <cellStyle name="Normal 2 2 2 2 2 3 2 2 2 2 3 3" xfId="29003" xr:uid="{00000000-0005-0000-0000-00008A710000}"/>
    <cellStyle name="Normal 2 2 2 2 2 3 2 2 2 2 3 3 2" xfId="29004" xr:uid="{00000000-0005-0000-0000-00008B710000}"/>
    <cellStyle name="Normal 2 2 2 2 2 3 2 2 2 2 3 4" xfId="29005" xr:uid="{00000000-0005-0000-0000-00008C710000}"/>
    <cellStyle name="Normal 2 2 2 2 2 3 2 2 2 2 4" xfId="29006" xr:uid="{00000000-0005-0000-0000-00008D710000}"/>
    <cellStyle name="Normal 2 2 2 2 2 3 2 2 2 2 4 2" xfId="29007" xr:uid="{00000000-0005-0000-0000-00008E710000}"/>
    <cellStyle name="Normal 2 2 2 2 2 3 2 2 2 2 5" xfId="29008" xr:uid="{00000000-0005-0000-0000-00008F710000}"/>
    <cellStyle name="Normal 2 2 2 2 2 3 2 2 2 2 5 2" xfId="29009" xr:uid="{00000000-0005-0000-0000-000090710000}"/>
    <cellStyle name="Normal 2 2 2 2 2 3 2 2 2 2 6" xfId="29010" xr:uid="{00000000-0005-0000-0000-000091710000}"/>
    <cellStyle name="Normal 2 2 2 2 2 3 2 2 2 3" xfId="29011" xr:uid="{00000000-0005-0000-0000-000092710000}"/>
    <cellStyle name="Normal 2 2 2 2 2 3 2 2 2 3 2" xfId="29012" xr:uid="{00000000-0005-0000-0000-000093710000}"/>
    <cellStyle name="Normal 2 2 2 2 2 3 2 2 2 3 2 2" xfId="29013" xr:uid="{00000000-0005-0000-0000-000094710000}"/>
    <cellStyle name="Normal 2 2 2 2 2 3 2 2 2 3 2 2 2" xfId="29014" xr:uid="{00000000-0005-0000-0000-000095710000}"/>
    <cellStyle name="Normal 2 2 2 2 2 3 2 2 2 3 2 3" xfId="29015" xr:uid="{00000000-0005-0000-0000-000096710000}"/>
    <cellStyle name="Normal 2 2 2 2 2 3 2 2 2 3 2 3 2" xfId="29016" xr:uid="{00000000-0005-0000-0000-000097710000}"/>
    <cellStyle name="Normal 2 2 2 2 2 3 2 2 2 3 2 4" xfId="29017" xr:uid="{00000000-0005-0000-0000-000098710000}"/>
    <cellStyle name="Normal 2 2 2 2 2 3 2 2 2 3 3" xfId="29018" xr:uid="{00000000-0005-0000-0000-000099710000}"/>
    <cellStyle name="Normal 2 2 2 2 2 3 2 2 2 3 3 2" xfId="29019" xr:uid="{00000000-0005-0000-0000-00009A710000}"/>
    <cellStyle name="Normal 2 2 2 2 2 3 2 2 2 3 4" xfId="29020" xr:uid="{00000000-0005-0000-0000-00009B710000}"/>
    <cellStyle name="Normal 2 2 2 2 2 3 2 2 2 3 4 2" xfId="29021" xr:uid="{00000000-0005-0000-0000-00009C710000}"/>
    <cellStyle name="Normal 2 2 2 2 2 3 2 2 2 3 5" xfId="29022" xr:uid="{00000000-0005-0000-0000-00009D710000}"/>
    <cellStyle name="Normal 2 2 2 2 2 3 2 2 2 4" xfId="29023" xr:uid="{00000000-0005-0000-0000-00009E710000}"/>
    <cellStyle name="Normal 2 2 2 2 2 3 2 2 2 4 2" xfId="29024" xr:uid="{00000000-0005-0000-0000-00009F710000}"/>
    <cellStyle name="Normal 2 2 2 2 2 3 2 2 2 4 2 2" xfId="29025" xr:uid="{00000000-0005-0000-0000-0000A0710000}"/>
    <cellStyle name="Normal 2 2 2 2 2 3 2 2 2 4 3" xfId="29026" xr:uid="{00000000-0005-0000-0000-0000A1710000}"/>
    <cellStyle name="Normal 2 2 2 2 2 3 2 2 2 4 3 2" xfId="29027" xr:uid="{00000000-0005-0000-0000-0000A2710000}"/>
    <cellStyle name="Normal 2 2 2 2 2 3 2 2 2 4 4" xfId="29028" xr:uid="{00000000-0005-0000-0000-0000A3710000}"/>
    <cellStyle name="Normal 2 2 2 2 2 3 2 2 2 5" xfId="29029" xr:uid="{00000000-0005-0000-0000-0000A4710000}"/>
    <cellStyle name="Normal 2 2 2 2 2 3 2 2 2 5 2" xfId="29030" xr:uid="{00000000-0005-0000-0000-0000A5710000}"/>
    <cellStyle name="Normal 2 2 2 2 2 3 2 2 2 6" xfId="29031" xr:uid="{00000000-0005-0000-0000-0000A6710000}"/>
    <cellStyle name="Normal 2 2 2 2 2 3 2 2 2 6 2" xfId="29032" xr:uid="{00000000-0005-0000-0000-0000A7710000}"/>
    <cellStyle name="Normal 2 2 2 2 2 3 2 2 2 7" xfId="29033" xr:uid="{00000000-0005-0000-0000-0000A8710000}"/>
    <cellStyle name="Normal 2 2 2 2 2 3 2 2 3" xfId="29034" xr:uid="{00000000-0005-0000-0000-0000A9710000}"/>
    <cellStyle name="Normal 2 2 2 2 2 3 2 2 3 2" xfId="29035" xr:uid="{00000000-0005-0000-0000-0000AA710000}"/>
    <cellStyle name="Normal 2 2 2 2 2 3 2 2 3 2 2" xfId="29036" xr:uid="{00000000-0005-0000-0000-0000AB710000}"/>
    <cellStyle name="Normal 2 2 2 2 2 3 2 2 3 2 2 2" xfId="29037" xr:uid="{00000000-0005-0000-0000-0000AC710000}"/>
    <cellStyle name="Normal 2 2 2 2 2 3 2 2 3 2 2 2 2" xfId="29038" xr:uid="{00000000-0005-0000-0000-0000AD710000}"/>
    <cellStyle name="Normal 2 2 2 2 2 3 2 2 3 2 2 3" xfId="29039" xr:uid="{00000000-0005-0000-0000-0000AE710000}"/>
    <cellStyle name="Normal 2 2 2 2 2 3 2 2 3 2 2 3 2" xfId="29040" xr:uid="{00000000-0005-0000-0000-0000AF710000}"/>
    <cellStyle name="Normal 2 2 2 2 2 3 2 2 3 2 2 4" xfId="29041" xr:uid="{00000000-0005-0000-0000-0000B0710000}"/>
    <cellStyle name="Normal 2 2 2 2 2 3 2 2 3 2 3" xfId="29042" xr:uid="{00000000-0005-0000-0000-0000B1710000}"/>
    <cellStyle name="Normal 2 2 2 2 2 3 2 2 3 2 3 2" xfId="29043" xr:uid="{00000000-0005-0000-0000-0000B2710000}"/>
    <cellStyle name="Normal 2 2 2 2 2 3 2 2 3 2 4" xfId="29044" xr:uid="{00000000-0005-0000-0000-0000B3710000}"/>
    <cellStyle name="Normal 2 2 2 2 2 3 2 2 3 2 4 2" xfId="29045" xr:uid="{00000000-0005-0000-0000-0000B4710000}"/>
    <cellStyle name="Normal 2 2 2 2 2 3 2 2 3 2 5" xfId="29046" xr:uid="{00000000-0005-0000-0000-0000B5710000}"/>
    <cellStyle name="Normal 2 2 2 2 2 3 2 2 3 3" xfId="29047" xr:uid="{00000000-0005-0000-0000-0000B6710000}"/>
    <cellStyle name="Normal 2 2 2 2 2 3 2 2 3 3 2" xfId="29048" xr:uid="{00000000-0005-0000-0000-0000B7710000}"/>
    <cellStyle name="Normal 2 2 2 2 2 3 2 2 3 3 2 2" xfId="29049" xr:uid="{00000000-0005-0000-0000-0000B8710000}"/>
    <cellStyle name="Normal 2 2 2 2 2 3 2 2 3 3 3" xfId="29050" xr:uid="{00000000-0005-0000-0000-0000B9710000}"/>
    <cellStyle name="Normal 2 2 2 2 2 3 2 2 3 3 3 2" xfId="29051" xr:uid="{00000000-0005-0000-0000-0000BA710000}"/>
    <cellStyle name="Normal 2 2 2 2 2 3 2 2 3 3 4" xfId="29052" xr:uid="{00000000-0005-0000-0000-0000BB710000}"/>
    <cellStyle name="Normal 2 2 2 2 2 3 2 2 3 4" xfId="29053" xr:uid="{00000000-0005-0000-0000-0000BC710000}"/>
    <cellStyle name="Normal 2 2 2 2 2 3 2 2 3 4 2" xfId="29054" xr:uid="{00000000-0005-0000-0000-0000BD710000}"/>
    <cellStyle name="Normal 2 2 2 2 2 3 2 2 3 5" xfId="29055" xr:uid="{00000000-0005-0000-0000-0000BE710000}"/>
    <cellStyle name="Normal 2 2 2 2 2 3 2 2 3 5 2" xfId="29056" xr:uid="{00000000-0005-0000-0000-0000BF710000}"/>
    <cellStyle name="Normal 2 2 2 2 2 3 2 2 3 6" xfId="29057" xr:uid="{00000000-0005-0000-0000-0000C0710000}"/>
    <cellStyle name="Normal 2 2 2 2 2 3 2 2 4" xfId="29058" xr:uid="{00000000-0005-0000-0000-0000C1710000}"/>
    <cellStyle name="Normal 2 2 2 2 2 3 2 2 4 2" xfId="29059" xr:uid="{00000000-0005-0000-0000-0000C2710000}"/>
    <cellStyle name="Normal 2 2 2 2 2 3 2 2 4 2 2" xfId="29060" xr:uid="{00000000-0005-0000-0000-0000C3710000}"/>
    <cellStyle name="Normal 2 2 2 2 2 3 2 2 4 2 2 2" xfId="29061" xr:uid="{00000000-0005-0000-0000-0000C4710000}"/>
    <cellStyle name="Normal 2 2 2 2 2 3 2 2 4 2 3" xfId="29062" xr:uid="{00000000-0005-0000-0000-0000C5710000}"/>
    <cellStyle name="Normal 2 2 2 2 2 3 2 2 4 2 3 2" xfId="29063" xr:uid="{00000000-0005-0000-0000-0000C6710000}"/>
    <cellStyle name="Normal 2 2 2 2 2 3 2 2 4 2 4" xfId="29064" xr:uid="{00000000-0005-0000-0000-0000C7710000}"/>
    <cellStyle name="Normal 2 2 2 2 2 3 2 2 4 3" xfId="29065" xr:uid="{00000000-0005-0000-0000-0000C8710000}"/>
    <cellStyle name="Normal 2 2 2 2 2 3 2 2 4 3 2" xfId="29066" xr:uid="{00000000-0005-0000-0000-0000C9710000}"/>
    <cellStyle name="Normal 2 2 2 2 2 3 2 2 4 4" xfId="29067" xr:uid="{00000000-0005-0000-0000-0000CA710000}"/>
    <cellStyle name="Normal 2 2 2 2 2 3 2 2 4 4 2" xfId="29068" xr:uid="{00000000-0005-0000-0000-0000CB710000}"/>
    <cellStyle name="Normal 2 2 2 2 2 3 2 2 4 5" xfId="29069" xr:uid="{00000000-0005-0000-0000-0000CC710000}"/>
    <cellStyle name="Normal 2 2 2 2 2 3 2 2 5" xfId="29070" xr:uid="{00000000-0005-0000-0000-0000CD710000}"/>
    <cellStyle name="Normal 2 2 2 2 2 3 2 2 5 2" xfId="29071" xr:uid="{00000000-0005-0000-0000-0000CE710000}"/>
    <cellStyle name="Normal 2 2 2 2 2 3 2 2 5 2 2" xfId="29072" xr:uid="{00000000-0005-0000-0000-0000CF710000}"/>
    <cellStyle name="Normal 2 2 2 2 2 3 2 2 5 3" xfId="29073" xr:uid="{00000000-0005-0000-0000-0000D0710000}"/>
    <cellStyle name="Normal 2 2 2 2 2 3 2 2 5 3 2" xfId="29074" xr:uid="{00000000-0005-0000-0000-0000D1710000}"/>
    <cellStyle name="Normal 2 2 2 2 2 3 2 2 5 4" xfId="29075" xr:uid="{00000000-0005-0000-0000-0000D2710000}"/>
    <cellStyle name="Normal 2 2 2 2 2 3 2 2 6" xfId="29076" xr:uid="{00000000-0005-0000-0000-0000D3710000}"/>
    <cellStyle name="Normal 2 2 2 2 2 3 2 2 6 2" xfId="29077" xr:uid="{00000000-0005-0000-0000-0000D4710000}"/>
    <cellStyle name="Normal 2 2 2 2 2 3 2 2 7" xfId="29078" xr:uid="{00000000-0005-0000-0000-0000D5710000}"/>
    <cellStyle name="Normal 2 2 2 2 2 3 2 2 7 2" xfId="29079" xr:uid="{00000000-0005-0000-0000-0000D6710000}"/>
    <cellStyle name="Normal 2 2 2 2 2 3 2 2 8" xfId="29080" xr:uid="{00000000-0005-0000-0000-0000D7710000}"/>
    <cellStyle name="Normal 2 2 2 2 2 3 2 3" xfId="29081" xr:uid="{00000000-0005-0000-0000-0000D8710000}"/>
    <cellStyle name="Normal 2 2 2 2 2 3 2 3 2" xfId="29082" xr:uid="{00000000-0005-0000-0000-0000D9710000}"/>
    <cellStyle name="Normal 2 2 2 2 2 3 2 3 2 2" xfId="29083" xr:uid="{00000000-0005-0000-0000-0000DA710000}"/>
    <cellStyle name="Normal 2 2 2 2 2 3 2 3 2 2 2" xfId="29084" xr:uid="{00000000-0005-0000-0000-0000DB710000}"/>
    <cellStyle name="Normal 2 2 2 2 2 3 2 3 2 2 2 2" xfId="29085" xr:uid="{00000000-0005-0000-0000-0000DC710000}"/>
    <cellStyle name="Normal 2 2 2 2 2 3 2 3 2 2 3" xfId="29086" xr:uid="{00000000-0005-0000-0000-0000DD710000}"/>
    <cellStyle name="Normal 2 2 2 2 2 3 2 3 2 2 3 2" xfId="29087" xr:uid="{00000000-0005-0000-0000-0000DE710000}"/>
    <cellStyle name="Normal 2 2 2 2 2 3 2 3 2 2 4" xfId="29088" xr:uid="{00000000-0005-0000-0000-0000DF710000}"/>
    <cellStyle name="Normal 2 2 2 2 2 3 2 3 2 3" xfId="29089" xr:uid="{00000000-0005-0000-0000-0000E0710000}"/>
    <cellStyle name="Normal 2 2 2 2 2 3 2 3 2 3 2" xfId="29090" xr:uid="{00000000-0005-0000-0000-0000E1710000}"/>
    <cellStyle name="Normal 2 2 2 2 2 3 2 3 2 4" xfId="29091" xr:uid="{00000000-0005-0000-0000-0000E2710000}"/>
    <cellStyle name="Normal 2 2 2 2 2 3 2 3 2 4 2" xfId="29092" xr:uid="{00000000-0005-0000-0000-0000E3710000}"/>
    <cellStyle name="Normal 2 2 2 2 2 3 2 3 2 5" xfId="29093" xr:uid="{00000000-0005-0000-0000-0000E4710000}"/>
    <cellStyle name="Normal 2 2 2 2 2 3 2 3 3" xfId="29094" xr:uid="{00000000-0005-0000-0000-0000E5710000}"/>
    <cellStyle name="Normal 2 2 2 2 2 3 2 3 3 2" xfId="29095" xr:uid="{00000000-0005-0000-0000-0000E6710000}"/>
    <cellStyle name="Normal 2 2 2 2 2 3 2 3 3 2 2" xfId="29096" xr:uid="{00000000-0005-0000-0000-0000E7710000}"/>
    <cellStyle name="Normal 2 2 2 2 2 3 2 3 3 3" xfId="29097" xr:uid="{00000000-0005-0000-0000-0000E8710000}"/>
    <cellStyle name="Normal 2 2 2 2 2 3 2 3 3 3 2" xfId="29098" xr:uid="{00000000-0005-0000-0000-0000E9710000}"/>
    <cellStyle name="Normal 2 2 2 2 2 3 2 3 3 4" xfId="29099" xr:uid="{00000000-0005-0000-0000-0000EA710000}"/>
    <cellStyle name="Normal 2 2 2 2 2 3 2 3 4" xfId="29100" xr:uid="{00000000-0005-0000-0000-0000EB710000}"/>
    <cellStyle name="Normal 2 2 2 2 2 3 2 3 4 2" xfId="29101" xr:uid="{00000000-0005-0000-0000-0000EC710000}"/>
    <cellStyle name="Normal 2 2 2 2 2 3 2 3 5" xfId="29102" xr:uid="{00000000-0005-0000-0000-0000ED710000}"/>
    <cellStyle name="Normal 2 2 2 2 2 3 2 3 5 2" xfId="29103" xr:uid="{00000000-0005-0000-0000-0000EE710000}"/>
    <cellStyle name="Normal 2 2 2 2 2 3 2 3 6" xfId="29104" xr:uid="{00000000-0005-0000-0000-0000EF710000}"/>
    <cellStyle name="Normal 2 2 2 2 2 3 2 4" xfId="29105" xr:uid="{00000000-0005-0000-0000-0000F0710000}"/>
    <cellStyle name="Normal 2 2 2 2 2 3 2 4 2" xfId="29106" xr:uid="{00000000-0005-0000-0000-0000F1710000}"/>
    <cellStyle name="Normal 2 2 2 2 2 3 2 4 2 2" xfId="29107" xr:uid="{00000000-0005-0000-0000-0000F2710000}"/>
    <cellStyle name="Normal 2 2 2 2 2 3 2 4 2 2 2" xfId="29108" xr:uid="{00000000-0005-0000-0000-0000F3710000}"/>
    <cellStyle name="Normal 2 2 2 2 2 3 2 4 2 3" xfId="29109" xr:uid="{00000000-0005-0000-0000-0000F4710000}"/>
    <cellStyle name="Normal 2 2 2 2 2 3 2 4 2 3 2" xfId="29110" xr:uid="{00000000-0005-0000-0000-0000F5710000}"/>
    <cellStyle name="Normal 2 2 2 2 2 3 2 4 2 4" xfId="29111" xr:uid="{00000000-0005-0000-0000-0000F6710000}"/>
    <cellStyle name="Normal 2 2 2 2 2 3 2 4 3" xfId="29112" xr:uid="{00000000-0005-0000-0000-0000F7710000}"/>
    <cellStyle name="Normal 2 2 2 2 2 3 2 4 3 2" xfId="29113" xr:uid="{00000000-0005-0000-0000-0000F8710000}"/>
    <cellStyle name="Normal 2 2 2 2 2 3 2 4 4" xfId="29114" xr:uid="{00000000-0005-0000-0000-0000F9710000}"/>
    <cellStyle name="Normal 2 2 2 2 2 3 2 4 4 2" xfId="29115" xr:uid="{00000000-0005-0000-0000-0000FA710000}"/>
    <cellStyle name="Normal 2 2 2 2 2 3 2 4 5" xfId="29116" xr:uid="{00000000-0005-0000-0000-0000FB710000}"/>
    <cellStyle name="Normal 2 2 2 2 2 3 2 5" xfId="29117" xr:uid="{00000000-0005-0000-0000-0000FC710000}"/>
    <cellStyle name="Normal 2 2 2 2 2 3 2 5 2" xfId="29118" xr:uid="{00000000-0005-0000-0000-0000FD710000}"/>
    <cellStyle name="Normal 2 2 2 2 2 3 2 5 2 2" xfId="29119" xr:uid="{00000000-0005-0000-0000-0000FE710000}"/>
    <cellStyle name="Normal 2 2 2 2 2 3 2 5 3" xfId="29120" xr:uid="{00000000-0005-0000-0000-0000FF710000}"/>
    <cellStyle name="Normal 2 2 2 2 2 3 2 5 3 2" xfId="29121" xr:uid="{00000000-0005-0000-0000-000000720000}"/>
    <cellStyle name="Normal 2 2 2 2 2 3 2 5 4" xfId="29122" xr:uid="{00000000-0005-0000-0000-000001720000}"/>
    <cellStyle name="Normal 2 2 2 2 2 3 2 6" xfId="29123" xr:uid="{00000000-0005-0000-0000-000002720000}"/>
    <cellStyle name="Normal 2 2 2 2 2 3 2 6 2" xfId="29124" xr:uid="{00000000-0005-0000-0000-000003720000}"/>
    <cellStyle name="Normal 2 2 2 2 2 3 2 7" xfId="29125" xr:uid="{00000000-0005-0000-0000-000004720000}"/>
    <cellStyle name="Normal 2 2 2 2 2 3 2 7 2" xfId="29126" xr:uid="{00000000-0005-0000-0000-000005720000}"/>
    <cellStyle name="Normal 2 2 2 2 2 3 2 8" xfId="29127" xr:uid="{00000000-0005-0000-0000-000006720000}"/>
    <cellStyle name="Normal 2 2 2 2 2 3 3" xfId="29128" xr:uid="{00000000-0005-0000-0000-000007720000}"/>
    <cellStyle name="Normal 2 2 2 2 2 3 3 2" xfId="29129" xr:uid="{00000000-0005-0000-0000-000008720000}"/>
    <cellStyle name="Normal 2 2 2 2 2 3 3 2 2" xfId="29130" xr:uid="{00000000-0005-0000-0000-000009720000}"/>
    <cellStyle name="Normal 2 2 2 2 2 3 3 2 2 2" xfId="29131" xr:uid="{00000000-0005-0000-0000-00000A720000}"/>
    <cellStyle name="Normal 2 2 2 2 2 3 3 2 2 2 2" xfId="29132" xr:uid="{00000000-0005-0000-0000-00000B720000}"/>
    <cellStyle name="Normal 2 2 2 2 2 3 3 2 2 3" xfId="29133" xr:uid="{00000000-0005-0000-0000-00000C720000}"/>
    <cellStyle name="Normal 2 2 2 2 2 3 3 2 2 3 2" xfId="29134" xr:uid="{00000000-0005-0000-0000-00000D720000}"/>
    <cellStyle name="Normal 2 2 2 2 2 3 3 2 2 4" xfId="29135" xr:uid="{00000000-0005-0000-0000-00000E720000}"/>
    <cellStyle name="Normal 2 2 2 2 2 3 3 2 3" xfId="29136" xr:uid="{00000000-0005-0000-0000-00000F720000}"/>
    <cellStyle name="Normal 2 2 2 2 2 3 3 2 3 2" xfId="29137" xr:uid="{00000000-0005-0000-0000-000010720000}"/>
    <cellStyle name="Normal 2 2 2 2 2 3 3 2 4" xfId="29138" xr:uid="{00000000-0005-0000-0000-000011720000}"/>
    <cellStyle name="Normal 2 2 2 2 2 3 3 2 4 2" xfId="29139" xr:uid="{00000000-0005-0000-0000-000012720000}"/>
    <cellStyle name="Normal 2 2 2 2 2 3 3 2 5" xfId="29140" xr:uid="{00000000-0005-0000-0000-000013720000}"/>
    <cellStyle name="Normal 2 2 2 2 2 3 3 3" xfId="29141" xr:uid="{00000000-0005-0000-0000-000014720000}"/>
    <cellStyle name="Normal 2 2 2 2 2 3 3 3 2" xfId="29142" xr:uid="{00000000-0005-0000-0000-000015720000}"/>
    <cellStyle name="Normal 2 2 2 2 2 3 3 3 2 2" xfId="29143" xr:uid="{00000000-0005-0000-0000-000016720000}"/>
    <cellStyle name="Normal 2 2 2 2 2 3 3 3 3" xfId="29144" xr:uid="{00000000-0005-0000-0000-000017720000}"/>
    <cellStyle name="Normal 2 2 2 2 2 3 3 3 3 2" xfId="29145" xr:uid="{00000000-0005-0000-0000-000018720000}"/>
    <cellStyle name="Normal 2 2 2 2 2 3 3 3 4" xfId="29146" xr:uid="{00000000-0005-0000-0000-000019720000}"/>
    <cellStyle name="Normal 2 2 2 2 2 3 3 4" xfId="29147" xr:uid="{00000000-0005-0000-0000-00001A720000}"/>
    <cellStyle name="Normal 2 2 2 2 2 3 3 4 2" xfId="29148" xr:uid="{00000000-0005-0000-0000-00001B720000}"/>
    <cellStyle name="Normal 2 2 2 2 2 3 3 5" xfId="29149" xr:uid="{00000000-0005-0000-0000-00001C720000}"/>
    <cellStyle name="Normal 2 2 2 2 2 3 3 5 2" xfId="29150" xr:uid="{00000000-0005-0000-0000-00001D720000}"/>
    <cellStyle name="Normal 2 2 2 2 2 3 3 6" xfId="29151" xr:uid="{00000000-0005-0000-0000-00001E720000}"/>
    <cellStyle name="Normal 2 2 2 2 2 3 4" xfId="29152" xr:uid="{00000000-0005-0000-0000-00001F720000}"/>
    <cellStyle name="Normal 2 2 2 2 2 3 4 2" xfId="29153" xr:uid="{00000000-0005-0000-0000-000020720000}"/>
    <cellStyle name="Normal 2 2 2 2 2 3 4 2 2" xfId="29154" xr:uid="{00000000-0005-0000-0000-000021720000}"/>
    <cellStyle name="Normal 2 2 2 2 2 3 4 2 2 2" xfId="29155" xr:uid="{00000000-0005-0000-0000-000022720000}"/>
    <cellStyle name="Normal 2 2 2 2 2 3 4 2 3" xfId="29156" xr:uid="{00000000-0005-0000-0000-000023720000}"/>
    <cellStyle name="Normal 2 2 2 2 2 3 4 2 3 2" xfId="29157" xr:uid="{00000000-0005-0000-0000-000024720000}"/>
    <cellStyle name="Normal 2 2 2 2 2 3 4 2 4" xfId="29158" xr:uid="{00000000-0005-0000-0000-000025720000}"/>
    <cellStyle name="Normal 2 2 2 2 2 3 4 3" xfId="29159" xr:uid="{00000000-0005-0000-0000-000026720000}"/>
    <cellStyle name="Normal 2 2 2 2 2 3 4 3 2" xfId="29160" xr:uid="{00000000-0005-0000-0000-000027720000}"/>
    <cellStyle name="Normal 2 2 2 2 2 3 4 4" xfId="29161" xr:uid="{00000000-0005-0000-0000-000028720000}"/>
    <cellStyle name="Normal 2 2 2 2 2 3 4 4 2" xfId="29162" xr:uid="{00000000-0005-0000-0000-000029720000}"/>
    <cellStyle name="Normal 2 2 2 2 2 3 4 5" xfId="29163" xr:uid="{00000000-0005-0000-0000-00002A720000}"/>
    <cellStyle name="Normal 2 2 2 2 2 3 5" xfId="29164" xr:uid="{00000000-0005-0000-0000-00002B720000}"/>
    <cellStyle name="Normal 2 2 2 2 2 3 5 2" xfId="29165" xr:uid="{00000000-0005-0000-0000-00002C720000}"/>
    <cellStyle name="Normal 2 2 2 2 2 3 5 2 2" xfId="29166" xr:uid="{00000000-0005-0000-0000-00002D720000}"/>
    <cellStyle name="Normal 2 2 2 2 2 3 5 3" xfId="29167" xr:uid="{00000000-0005-0000-0000-00002E720000}"/>
    <cellStyle name="Normal 2 2 2 2 2 3 5 3 2" xfId="29168" xr:uid="{00000000-0005-0000-0000-00002F720000}"/>
    <cellStyle name="Normal 2 2 2 2 2 3 5 4" xfId="29169" xr:uid="{00000000-0005-0000-0000-000030720000}"/>
    <cellStyle name="Normal 2 2 2 2 2 3 6" xfId="29170" xr:uid="{00000000-0005-0000-0000-000031720000}"/>
    <cellStyle name="Normal 2 2 2 2 2 3 6 2" xfId="29171" xr:uid="{00000000-0005-0000-0000-000032720000}"/>
    <cellStyle name="Normal 2 2 2 2 2 3 7" xfId="29172" xr:uid="{00000000-0005-0000-0000-000033720000}"/>
    <cellStyle name="Normal 2 2 2 2 2 3 7 2" xfId="29173" xr:uid="{00000000-0005-0000-0000-000034720000}"/>
    <cellStyle name="Normal 2 2 2 2 2 3 8" xfId="29174" xr:uid="{00000000-0005-0000-0000-000035720000}"/>
    <cellStyle name="Normal 2 2 2 2 2 4" xfId="29175" xr:uid="{00000000-0005-0000-0000-000036720000}"/>
    <cellStyle name="Normal 2 2 2 2 2 4 2" xfId="29176" xr:uid="{00000000-0005-0000-0000-000037720000}"/>
    <cellStyle name="Normal 2 2 2 2 2 4 2 2" xfId="29177" xr:uid="{00000000-0005-0000-0000-000038720000}"/>
    <cellStyle name="Normal 2 2 2 2 2 4 2 2 2" xfId="29178" xr:uid="{00000000-0005-0000-0000-000039720000}"/>
    <cellStyle name="Normal 2 2 2 2 2 4 2 2 2 2" xfId="29179" xr:uid="{00000000-0005-0000-0000-00003A720000}"/>
    <cellStyle name="Normal 2 2 2 2 2 4 2 2 2 2 2" xfId="29180" xr:uid="{00000000-0005-0000-0000-00003B720000}"/>
    <cellStyle name="Normal 2 2 2 2 2 4 2 2 2 3" xfId="29181" xr:uid="{00000000-0005-0000-0000-00003C720000}"/>
    <cellStyle name="Normal 2 2 2 2 2 4 2 2 2 3 2" xfId="29182" xr:uid="{00000000-0005-0000-0000-00003D720000}"/>
    <cellStyle name="Normal 2 2 2 2 2 4 2 2 2 4" xfId="29183" xr:uid="{00000000-0005-0000-0000-00003E720000}"/>
    <cellStyle name="Normal 2 2 2 2 2 4 2 2 3" xfId="29184" xr:uid="{00000000-0005-0000-0000-00003F720000}"/>
    <cellStyle name="Normal 2 2 2 2 2 4 2 2 3 2" xfId="29185" xr:uid="{00000000-0005-0000-0000-000040720000}"/>
    <cellStyle name="Normal 2 2 2 2 2 4 2 2 4" xfId="29186" xr:uid="{00000000-0005-0000-0000-000041720000}"/>
    <cellStyle name="Normal 2 2 2 2 2 4 2 2 4 2" xfId="29187" xr:uid="{00000000-0005-0000-0000-000042720000}"/>
    <cellStyle name="Normal 2 2 2 2 2 4 2 2 5" xfId="29188" xr:uid="{00000000-0005-0000-0000-000043720000}"/>
    <cellStyle name="Normal 2 2 2 2 2 4 2 3" xfId="29189" xr:uid="{00000000-0005-0000-0000-000044720000}"/>
    <cellStyle name="Normal 2 2 2 2 2 4 2 3 2" xfId="29190" xr:uid="{00000000-0005-0000-0000-000045720000}"/>
    <cellStyle name="Normal 2 2 2 2 2 4 2 3 2 2" xfId="29191" xr:uid="{00000000-0005-0000-0000-000046720000}"/>
    <cellStyle name="Normal 2 2 2 2 2 4 2 3 3" xfId="29192" xr:uid="{00000000-0005-0000-0000-000047720000}"/>
    <cellStyle name="Normal 2 2 2 2 2 4 2 3 3 2" xfId="29193" xr:uid="{00000000-0005-0000-0000-000048720000}"/>
    <cellStyle name="Normal 2 2 2 2 2 4 2 3 4" xfId="29194" xr:uid="{00000000-0005-0000-0000-000049720000}"/>
    <cellStyle name="Normal 2 2 2 2 2 4 2 4" xfId="29195" xr:uid="{00000000-0005-0000-0000-00004A720000}"/>
    <cellStyle name="Normal 2 2 2 2 2 4 2 4 2" xfId="29196" xr:uid="{00000000-0005-0000-0000-00004B720000}"/>
    <cellStyle name="Normal 2 2 2 2 2 4 2 5" xfId="29197" xr:uid="{00000000-0005-0000-0000-00004C720000}"/>
    <cellStyle name="Normal 2 2 2 2 2 4 2 5 2" xfId="29198" xr:uid="{00000000-0005-0000-0000-00004D720000}"/>
    <cellStyle name="Normal 2 2 2 2 2 4 2 6" xfId="29199" xr:uid="{00000000-0005-0000-0000-00004E720000}"/>
    <cellStyle name="Normal 2 2 2 2 2 4 3" xfId="29200" xr:uid="{00000000-0005-0000-0000-00004F720000}"/>
    <cellStyle name="Normal 2 2 2 2 2 4 3 2" xfId="29201" xr:uid="{00000000-0005-0000-0000-000050720000}"/>
    <cellStyle name="Normal 2 2 2 2 2 4 3 2 2" xfId="29202" xr:uid="{00000000-0005-0000-0000-000051720000}"/>
    <cellStyle name="Normal 2 2 2 2 2 4 3 2 2 2" xfId="29203" xr:uid="{00000000-0005-0000-0000-000052720000}"/>
    <cellStyle name="Normal 2 2 2 2 2 4 3 2 3" xfId="29204" xr:uid="{00000000-0005-0000-0000-000053720000}"/>
    <cellStyle name="Normal 2 2 2 2 2 4 3 2 3 2" xfId="29205" xr:uid="{00000000-0005-0000-0000-000054720000}"/>
    <cellStyle name="Normal 2 2 2 2 2 4 3 2 4" xfId="29206" xr:uid="{00000000-0005-0000-0000-000055720000}"/>
    <cellStyle name="Normal 2 2 2 2 2 4 3 3" xfId="29207" xr:uid="{00000000-0005-0000-0000-000056720000}"/>
    <cellStyle name="Normal 2 2 2 2 2 4 3 3 2" xfId="29208" xr:uid="{00000000-0005-0000-0000-000057720000}"/>
    <cellStyle name="Normal 2 2 2 2 2 4 3 4" xfId="29209" xr:uid="{00000000-0005-0000-0000-000058720000}"/>
    <cellStyle name="Normal 2 2 2 2 2 4 3 4 2" xfId="29210" xr:uid="{00000000-0005-0000-0000-000059720000}"/>
    <cellStyle name="Normal 2 2 2 2 2 4 3 5" xfId="29211" xr:uid="{00000000-0005-0000-0000-00005A720000}"/>
    <cellStyle name="Normal 2 2 2 2 2 4 4" xfId="29212" xr:uid="{00000000-0005-0000-0000-00005B720000}"/>
    <cellStyle name="Normal 2 2 2 2 2 4 4 2" xfId="29213" xr:uid="{00000000-0005-0000-0000-00005C720000}"/>
    <cellStyle name="Normal 2 2 2 2 2 4 4 2 2" xfId="29214" xr:uid="{00000000-0005-0000-0000-00005D720000}"/>
    <cellStyle name="Normal 2 2 2 2 2 4 4 3" xfId="29215" xr:uid="{00000000-0005-0000-0000-00005E720000}"/>
    <cellStyle name="Normal 2 2 2 2 2 4 4 3 2" xfId="29216" xr:uid="{00000000-0005-0000-0000-00005F720000}"/>
    <cellStyle name="Normal 2 2 2 2 2 4 4 4" xfId="29217" xr:uid="{00000000-0005-0000-0000-000060720000}"/>
    <cellStyle name="Normal 2 2 2 2 2 4 5" xfId="29218" xr:uid="{00000000-0005-0000-0000-000061720000}"/>
    <cellStyle name="Normal 2 2 2 2 2 4 5 2" xfId="29219" xr:uid="{00000000-0005-0000-0000-000062720000}"/>
    <cellStyle name="Normal 2 2 2 2 2 4 6" xfId="29220" xr:uid="{00000000-0005-0000-0000-000063720000}"/>
    <cellStyle name="Normal 2 2 2 2 2 4 6 2" xfId="29221" xr:uid="{00000000-0005-0000-0000-000064720000}"/>
    <cellStyle name="Normal 2 2 2 2 2 4 7" xfId="29222" xr:uid="{00000000-0005-0000-0000-000065720000}"/>
    <cellStyle name="Normal 2 2 2 2 2 5" xfId="29223" xr:uid="{00000000-0005-0000-0000-000066720000}"/>
    <cellStyle name="Normal 2 2 2 2 2 5 2" xfId="29224" xr:uid="{00000000-0005-0000-0000-000067720000}"/>
    <cellStyle name="Normal 2 2 2 2 2 5 2 2" xfId="29225" xr:uid="{00000000-0005-0000-0000-000068720000}"/>
    <cellStyle name="Normal 2 2 2 2 2 5 2 2 2" xfId="29226" xr:uid="{00000000-0005-0000-0000-000069720000}"/>
    <cellStyle name="Normal 2 2 2 2 2 5 2 2 2 2" xfId="29227" xr:uid="{00000000-0005-0000-0000-00006A720000}"/>
    <cellStyle name="Normal 2 2 2 2 2 5 2 2 3" xfId="29228" xr:uid="{00000000-0005-0000-0000-00006B720000}"/>
    <cellStyle name="Normal 2 2 2 2 2 5 2 2 3 2" xfId="29229" xr:uid="{00000000-0005-0000-0000-00006C720000}"/>
    <cellStyle name="Normal 2 2 2 2 2 5 2 2 4" xfId="29230" xr:uid="{00000000-0005-0000-0000-00006D720000}"/>
    <cellStyle name="Normal 2 2 2 2 2 5 2 3" xfId="29231" xr:uid="{00000000-0005-0000-0000-00006E720000}"/>
    <cellStyle name="Normal 2 2 2 2 2 5 2 3 2" xfId="29232" xr:uid="{00000000-0005-0000-0000-00006F720000}"/>
    <cellStyle name="Normal 2 2 2 2 2 5 2 4" xfId="29233" xr:uid="{00000000-0005-0000-0000-000070720000}"/>
    <cellStyle name="Normal 2 2 2 2 2 5 2 4 2" xfId="29234" xr:uid="{00000000-0005-0000-0000-000071720000}"/>
    <cellStyle name="Normal 2 2 2 2 2 5 2 5" xfId="29235" xr:uid="{00000000-0005-0000-0000-000072720000}"/>
    <cellStyle name="Normal 2 2 2 2 2 5 3" xfId="29236" xr:uid="{00000000-0005-0000-0000-000073720000}"/>
    <cellStyle name="Normal 2 2 2 2 2 5 3 2" xfId="29237" xr:uid="{00000000-0005-0000-0000-000074720000}"/>
    <cellStyle name="Normal 2 2 2 2 2 5 3 2 2" xfId="29238" xr:uid="{00000000-0005-0000-0000-000075720000}"/>
    <cellStyle name="Normal 2 2 2 2 2 5 3 3" xfId="29239" xr:uid="{00000000-0005-0000-0000-000076720000}"/>
    <cellStyle name="Normal 2 2 2 2 2 5 3 3 2" xfId="29240" xr:uid="{00000000-0005-0000-0000-000077720000}"/>
    <cellStyle name="Normal 2 2 2 2 2 5 3 4" xfId="29241" xr:uid="{00000000-0005-0000-0000-000078720000}"/>
    <cellStyle name="Normal 2 2 2 2 2 5 4" xfId="29242" xr:uid="{00000000-0005-0000-0000-000079720000}"/>
    <cellStyle name="Normal 2 2 2 2 2 5 4 2" xfId="29243" xr:uid="{00000000-0005-0000-0000-00007A720000}"/>
    <cellStyle name="Normal 2 2 2 2 2 5 5" xfId="29244" xr:uid="{00000000-0005-0000-0000-00007B720000}"/>
    <cellStyle name="Normal 2 2 2 2 2 5 5 2" xfId="29245" xr:uid="{00000000-0005-0000-0000-00007C720000}"/>
    <cellStyle name="Normal 2 2 2 2 2 5 6" xfId="29246" xr:uid="{00000000-0005-0000-0000-00007D720000}"/>
    <cellStyle name="Normal 2 2 2 2 2 6" xfId="29247" xr:uid="{00000000-0005-0000-0000-00007E720000}"/>
    <cellStyle name="Normal 2 2 2 2 2 6 2" xfId="29248" xr:uid="{00000000-0005-0000-0000-00007F720000}"/>
    <cellStyle name="Normal 2 2 2 2 2 6 2 2" xfId="29249" xr:uid="{00000000-0005-0000-0000-000080720000}"/>
    <cellStyle name="Normal 2 2 2 2 2 6 2 2 2" xfId="29250" xr:uid="{00000000-0005-0000-0000-000081720000}"/>
    <cellStyle name="Normal 2 2 2 2 2 6 2 3" xfId="29251" xr:uid="{00000000-0005-0000-0000-000082720000}"/>
    <cellStyle name="Normal 2 2 2 2 2 6 2 3 2" xfId="29252" xr:uid="{00000000-0005-0000-0000-000083720000}"/>
    <cellStyle name="Normal 2 2 2 2 2 6 2 4" xfId="29253" xr:uid="{00000000-0005-0000-0000-000084720000}"/>
    <cellStyle name="Normal 2 2 2 2 2 6 3" xfId="29254" xr:uid="{00000000-0005-0000-0000-000085720000}"/>
    <cellStyle name="Normal 2 2 2 2 2 6 3 2" xfId="29255" xr:uid="{00000000-0005-0000-0000-000086720000}"/>
    <cellStyle name="Normal 2 2 2 2 2 6 4" xfId="29256" xr:uid="{00000000-0005-0000-0000-000087720000}"/>
    <cellStyle name="Normal 2 2 2 2 2 6 4 2" xfId="29257" xr:uid="{00000000-0005-0000-0000-000088720000}"/>
    <cellStyle name="Normal 2 2 2 2 2 6 5" xfId="29258" xr:uid="{00000000-0005-0000-0000-000089720000}"/>
    <cellStyle name="Normal 2 2 2 2 2 7" xfId="29259" xr:uid="{00000000-0005-0000-0000-00008A720000}"/>
    <cellStyle name="Normal 2 2 2 2 2 7 2" xfId="29260" xr:uid="{00000000-0005-0000-0000-00008B720000}"/>
    <cellStyle name="Normal 2 2 2 2 2 7 2 2" xfId="29261" xr:uid="{00000000-0005-0000-0000-00008C720000}"/>
    <cellStyle name="Normal 2 2 2 2 2 7 3" xfId="29262" xr:uid="{00000000-0005-0000-0000-00008D720000}"/>
    <cellStyle name="Normal 2 2 2 2 2 7 3 2" xfId="29263" xr:uid="{00000000-0005-0000-0000-00008E720000}"/>
    <cellStyle name="Normal 2 2 2 2 2 7 4" xfId="29264" xr:uid="{00000000-0005-0000-0000-00008F720000}"/>
    <cellStyle name="Normal 2 2 2 2 2 8" xfId="29265" xr:uid="{00000000-0005-0000-0000-000090720000}"/>
    <cellStyle name="Normal 2 2 2 2 2 8 2" xfId="29266" xr:uid="{00000000-0005-0000-0000-000091720000}"/>
    <cellStyle name="Normal 2 2 2 2 2 9" xfId="29267" xr:uid="{00000000-0005-0000-0000-000092720000}"/>
    <cellStyle name="Normal 2 2 2 2 2 9 2" xfId="29268" xr:uid="{00000000-0005-0000-0000-000093720000}"/>
    <cellStyle name="Normal 2 2 2 2 3" xfId="29269" xr:uid="{00000000-0005-0000-0000-000094720000}"/>
    <cellStyle name="Normal 2 2 2 2 3 2" xfId="29270" xr:uid="{00000000-0005-0000-0000-000095720000}"/>
    <cellStyle name="Normal 2 2 2 2 3 2 2" xfId="29271" xr:uid="{00000000-0005-0000-0000-000096720000}"/>
    <cellStyle name="Normal 2 2 2 2 3 2 2 2" xfId="29272" xr:uid="{00000000-0005-0000-0000-000097720000}"/>
    <cellStyle name="Normal 2 2 2 2 3 2 2 2 2" xfId="29273" xr:uid="{00000000-0005-0000-0000-000098720000}"/>
    <cellStyle name="Normal 2 2 2 2 3 2 2 2 2 2" xfId="29274" xr:uid="{00000000-0005-0000-0000-000099720000}"/>
    <cellStyle name="Normal 2 2 2 2 3 2 2 2 3" xfId="29275" xr:uid="{00000000-0005-0000-0000-00009A720000}"/>
    <cellStyle name="Normal 2 2 2 2 3 2 2 2 3 2" xfId="29276" xr:uid="{00000000-0005-0000-0000-00009B720000}"/>
    <cellStyle name="Normal 2 2 2 2 3 2 2 2 4" xfId="29277" xr:uid="{00000000-0005-0000-0000-00009C720000}"/>
    <cellStyle name="Normal 2 2 2 2 3 2 2 3" xfId="29278" xr:uid="{00000000-0005-0000-0000-00009D720000}"/>
    <cellStyle name="Normal 2 2 2 2 3 2 2 3 2" xfId="29279" xr:uid="{00000000-0005-0000-0000-00009E720000}"/>
    <cellStyle name="Normal 2 2 2 2 3 2 2 4" xfId="29280" xr:uid="{00000000-0005-0000-0000-00009F720000}"/>
    <cellStyle name="Normal 2 2 2 2 3 2 2 4 2" xfId="29281" xr:uid="{00000000-0005-0000-0000-0000A0720000}"/>
    <cellStyle name="Normal 2 2 2 2 3 2 2 5" xfId="29282" xr:uid="{00000000-0005-0000-0000-0000A1720000}"/>
    <cellStyle name="Normal 2 2 2 2 3 2 3" xfId="29283" xr:uid="{00000000-0005-0000-0000-0000A2720000}"/>
    <cellStyle name="Normal 2 2 2 2 3 2 3 2" xfId="29284" xr:uid="{00000000-0005-0000-0000-0000A3720000}"/>
    <cellStyle name="Normal 2 2 2 2 3 2 3 2 2" xfId="29285" xr:uid="{00000000-0005-0000-0000-0000A4720000}"/>
    <cellStyle name="Normal 2 2 2 2 3 2 3 3" xfId="29286" xr:uid="{00000000-0005-0000-0000-0000A5720000}"/>
    <cellStyle name="Normal 2 2 2 2 3 2 3 3 2" xfId="29287" xr:uid="{00000000-0005-0000-0000-0000A6720000}"/>
    <cellStyle name="Normal 2 2 2 2 3 2 3 4" xfId="29288" xr:uid="{00000000-0005-0000-0000-0000A7720000}"/>
    <cellStyle name="Normal 2 2 2 2 3 2 4" xfId="29289" xr:uid="{00000000-0005-0000-0000-0000A8720000}"/>
    <cellStyle name="Normal 2 2 2 2 3 2 4 2" xfId="29290" xr:uid="{00000000-0005-0000-0000-0000A9720000}"/>
    <cellStyle name="Normal 2 2 2 2 3 2 5" xfId="29291" xr:uid="{00000000-0005-0000-0000-0000AA720000}"/>
    <cellStyle name="Normal 2 2 2 2 3 2 5 2" xfId="29292" xr:uid="{00000000-0005-0000-0000-0000AB720000}"/>
    <cellStyle name="Normal 2 2 2 2 3 2 6" xfId="29293" xr:uid="{00000000-0005-0000-0000-0000AC720000}"/>
    <cellStyle name="Normal 2 2 2 2 3 3" xfId="29294" xr:uid="{00000000-0005-0000-0000-0000AD720000}"/>
    <cellStyle name="Normal 2 2 2 2 3 3 2" xfId="29295" xr:uid="{00000000-0005-0000-0000-0000AE720000}"/>
    <cellStyle name="Normal 2 2 2 2 3 3 2 2" xfId="29296" xr:uid="{00000000-0005-0000-0000-0000AF720000}"/>
    <cellStyle name="Normal 2 2 2 2 3 3 2 2 2" xfId="29297" xr:uid="{00000000-0005-0000-0000-0000B0720000}"/>
    <cellStyle name="Normal 2 2 2 2 3 3 2 3" xfId="29298" xr:uid="{00000000-0005-0000-0000-0000B1720000}"/>
    <cellStyle name="Normal 2 2 2 2 3 3 2 3 2" xfId="29299" xr:uid="{00000000-0005-0000-0000-0000B2720000}"/>
    <cellStyle name="Normal 2 2 2 2 3 3 2 4" xfId="29300" xr:uid="{00000000-0005-0000-0000-0000B3720000}"/>
    <cellStyle name="Normal 2 2 2 2 3 3 3" xfId="29301" xr:uid="{00000000-0005-0000-0000-0000B4720000}"/>
    <cellStyle name="Normal 2 2 2 2 3 3 3 2" xfId="29302" xr:uid="{00000000-0005-0000-0000-0000B5720000}"/>
    <cellStyle name="Normal 2 2 2 2 3 3 4" xfId="29303" xr:uid="{00000000-0005-0000-0000-0000B6720000}"/>
    <cellStyle name="Normal 2 2 2 2 3 3 4 2" xfId="29304" xr:uid="{00000000-0005-0000-0000-0000B7720000}"/>
    <cellStyle name="Normal 2 2 2 2 3 3 5" xfId="29305" xr:uid="{00000000-0005-0000-0000-0000B8720000}"/>
    <cellStyle name="Normal 2 2 2 2 3 4" xfId="29306" xr:uid="{00000000-0005-0000-0000-0000B9720000}"/>
    <cellStyle name="Normal 2 2 2 2 3 4 2" xfId="29307" xr:uid="{00000000-0005-0000-0000-0000BA720000}"/>
    <cellStyle name="Normal 2 2 2 2 3 4 2 2" xfId="29308" xr:uid="{00000000-0005-0000-0000-0000BB720000}"/>
    <cellStyle name="Normal 2 2 2 2 3 4 3" xfId="29309" xr:uid="{00000000-0005-0000-0000-0000BC720000}"/>
    <cellStyle name="Normal 2 2 2 2 3 4 3 2" xfId="29310" xr:uid="{00000000-0005-0000-0000-0000BD720000}"/>
    <cellStyle name="Normal 2 2 2 2 3 4 4" xfId="29311" xr:uid="{00000000-0005-0000-0000-0000BE720000}"/>
    <cellStyle name="Normal 2 2 2 2 3 5" xfId="29312" xr:uid="{00000000-0005-0000-0000-0000BF720000}"/>
    <cellStyle name="Normal 2 2 2 2 3 5 2" xfId="29313" xr:uid="{00000000-0005-0000-0000-0000C0720000}"/>
    <cellStyle name="Normal 2 2 2 2 3 6" xfId="29314" xr:uid="{00000000-0005-0000-0000-0000C1720000}"/>
    <cellStyle name="Normal 2 2 2 2 3 6 2" xfId="29315" xr:uid="{00000000-0005-0000-0000-0000C2720000}"/>
    <cellStyle name="Normal 2 2 2 2 3 7" xfId="29316" xr:uid="{00000000-0005-0000-0000-0000C3720000}"/>
    <cellStyle name="Normal 2 2 2 2 4" xfId="29317" xr:uid="{00000000-0005-0000-0000-0000C4720000}"/>
    <cellStyle name="Normal 2 2 2 2 4 2" xfId="29318" xr:uid="{00000000-0005-0000-0000-0000C5720000}"/>
    <cellStyle name="Normal 2 2 2 2 4 2 2" xfId="29319" xr:uid="{00000000-0005-0000-0000-0000C6720000}"/>
    <cellStyle name="Normal 2 2 2 2 4 2 2 2" xfId="29320" xr:uid="{00000000-0005-0000-0000-0000C7720000}"/>
    <cellStyle name="Normal 2 2 2 2 4 2 2 2 2" xfId="29321" xr:uid="{00000000-0005-0000-0000-0000C8720000}"/>
    <cellStyle name="Normal 2 2 2 2 4 2 2 3" xfId="29322" xr:uid="{00000000-0005-0000-0000-0000C9720000}"/>
    <cellStyle name="Normal 2 2 2 2 4 2 2 3 2" xfId="29323" xr:uid="{00000000-0005-0000-0000-0000CA720000}"/>
    <cellStyle name="Normal 2 2 2 2 4 2 2 4" xfId="29324" xr:uid="{00000000-0005-0000-0000-0000CB720000}"/>
    <cellStyle name="Normal 2 2 2 2 4 2 3" xfId="29325" xr:uid="{00000000-0005-0000-0000-0000CC720000}"/>
    <cellStyle name="Normal 2 2 2 2 4 2 3 2" xfId="29326" xr:uid="{00000000-0005-0000-0000-0000CD720000}"/>
    <cellStyle name="Normal 2 2 2 2 4 2 4" xfId="29327" xr:uid="{00000000-0005-0000-0000-0000CE720000}"/>
    <cellStyle name="Normal 2 2 2 2 4 2 4 2" xfId="29328" xr:uid="{00000000-0005-0000-0000-0000CF720000}"/>
    <cellStyle name="Normal 2 2 2 2 4 2 5" xfId="29329" xr:uid="{00000000-0005-0000-0000-0000D0720000}"/>
    <cellStyle name="Normal 2 2 2 2 4 3" xfId="29330" xr:uid="{00000000-0005-0000-0000-0000D1720000}"/>
    <cellStyle name="Normal 2 2 2 2 4 3 2" xfId="29331" xr:uid="{00000000-0005-0000-0000-0000D2720000}"/>
    <cellStyle name="Normal 2 2 2 2 4 3 2 2" xfId="29332" xr:uid="{00000000-0005-0000-0000-0000D3720000}"/>
    <cellStyle name="Normal 2 2 2 2 4 3 3" xfId="29333" xr:uid="{00000000-0005-0000-0000-0000D4720000}"/>
    <cellStyle name="Normal 2 2 2 2 4 3 3 2" xfId="29334" xr:uid="{00000000-0005-0000-0000-0000D5720000}"/>
    <cellStyle name="Normal 2 2 2 2 4 3 4" xfId="29335" xr:uid="{00000000-0005-0000-0000-0000D6720000}"/>
    <cellStyle name="Normal 2 2 2 2 4 4" xfId="29336" xr:uid="{00000000-0005-0000-0000-0000D7720000}"/>
    <cellStyle name="Normal 2 2 2 2 4 4 2" xfId="29337" xr:uid="{00000000-0005-0000-0000-0000D8720000}"/>
    <cellStyle name="Normal 2 2 2 2 4 5" xfId="29338" xr:uid="{00000000-0005-0000-0000-0000D9720000}"/>
    <cellStyle name="Normal 2 2 2 2 4 5 2" xfId="29339" xr:uid="{00000000-0005-0000-0000-0000DA720000}"/>
    <cellStyle name="Normal 2 2 2 2 4 6" xfId="29340" xr:uid="{00000000-0005-0000-0000-0000DB720000}"/>
    <cellStyle name="Normal 2 2 2 2 5" xfId="29341" xr:uid="{00000000-0005-0000-0000-0000DC720000}"/>
    <cellStyle name="Normal 2 2 2 2 5 2" xfId="29342" xr:uid="{00000000-0005-0000-0000-0000DD720000}"/>
    <cellStyle name="Normal 2 2 2 2 5 2 2" xfId="29343" xr:uid="{00000000-0005-0000-0000-0000DE720000}"/>
    <cellStyle name="Normal 2 2 2 2 5 2 2 2" xfId="29344" xr:uid="{00000000-0005-0000-0000-0000DF720000}"/>
    <cellStyle name="Normal 2 2 2 2 5 2 3" xfId="29345" xr:uid="{00000000-0005-0000-0000-0000E0720000}"/>
    <cellStyle name="Normal 2 2 2 2 5 2 3 2" xfId="29346" xr:uid="{00000000-0005-0000-0000-0000E1720000}"/>
    <cellStyle name="Normal 2 2 2 2 5 2 4" xfId="29347" xr:uid="{00000000-0005-0000-0000-0000E2720000}"/>
    <cellStyle name="Normal 2 2 2 2 5 3" xfId="29348" xr:uid="{00000000-0005-0000-0000-0000E3720000}"/>
    <cellStyle name="Normal 2 2 2 2 5 3 2" xfId="29349" xr:uid="{00000000-0005-0000-0000-0000E4720000}"/>
    <cellStyle name="Normal 2 2 2 2 5 4" xfId="29350" xr:uid="{00000000-0005-0000-0000-0000E5720000}"/>
    <cellStyle name="Normal 2 2 2 2 5 4 2" xfId="29351" xr:uid="{00000000-0005-0000-0000-0000E6720000}"/>
    <cellStyle name="Normal 2 2 2 2 5 5" xfId="29352" xr:uid="{00000000-0005-0000-0000-0000E7720000}"/>
    <cellStyle name="Normal 2 2 2 2 6" xfId="29353" xr:uid="{00000000-0005-0000-0000-0000E8720000}"/>
    <cellStyle name="Normal 2 2 2 2 6 2" xfId="29354" xr:uid="{00000000-0005-0000-0000-0000E9720000}"/>
    <cellStyle name="Normal 2 2 2 2 6 2 2" xfId="29355" xr:uid="{00000000-0005-0000-0000-0000EA720000}"/>
    <cellStyle name="Normal 2 2 2 2 6 3" xfId="29356" xr:uid="{00000000-0005-0000-0000-0000EB720000}"/>
    <cellStyle name="Normal 2 2 2 2 6 3 2" xfId="29357" xr:uid="{00000000-0005-0000-0000-0000EC720000}"/>
    <cellStyle name="Normal 2 2 2 2 6 4" xfId="29358" xr:uid="{00000000-0005-0000-0000-0000ED720000}"/>
    <cellStyle name="Normal 2 2 2 2 7" xfId="29359" xr:uid="{00000000-0005-0000-0000-0000EE720000}"/>
    <cellStyle name="Normal 2 2 2 2 7 2" xfId="29360" xr:uid="{00000000-0005-0000-0000-0000EF720000}"/>
    <cellStyle name="Normal 2 2 2 2 8" xfId="29361" xr:uid="{00000000-0005-0000-0000-0000F0720000}"/>
    <cellStyle name="Normal 2 2 2 2 8 2" xfId="29362" xr:uid="{00000000-0005-0000-0000-0000F1720000}"/>
    <cellStyle name="Normal 2 2 2 2 9" xfId="29363" xr:uid="{00000000-0005-0000-0000-0000F2720000}"/>
    <cellStyle name="Normal 2 2 2 3" xfId="29364" xr:uid="{00000000-0005-0000-0000-0000F3720000}"/>
    <cellStyle name="Normal 2 2 2 3 2" xfId="29365" xr:uid="{00000000-0005-0000-0000-0000F4720000}"/>
    <cellStyle name="Normal 2 2 2 3 2 2" xfId="29366" xr:uid="{00000000-0005-0000-0000-0000F5720000}"/>
    <cellStyle name="Normal 2 2 2 3 2 2 2" xfId="29367" xr:uid="{00000000-0005-0000-0000-0000F6720000}"/>
    <cellStyle name="Normal 2 2 2 3 2 2 2 2" xfId="29368" xr:uid="{00000000-0005-0000-0000-0000F7720000}"/>
    <cellStyle name="Normal 2 2 2 3 2 2 2 2 2" xfId="29369" xr:uid="{00000000-0005-0000-0000-0000F8720000}"/>
    <cellStyle name="Normal 2 2 2 3 2 2 2 3" xfId="29370" xr:uid="{00000000-0005-0000-0000-0000F9720000}"/>
    <cellStyle name="Normal 2 2 2 3 2 2 2 3 2" xfId="29371" xr:uid="{00000000-0005-0000-0000-0000FA720000}"/>
    <cellStyle name="Normal 2 2 2 3 2 2 2 4" xfId="29372" xr:uid="{00000000-0005-0000-0000-0000FB720000}"/>
    <cellStyle name="Normal 2 2 2 3 2 2 3" xfId="29373" xr:uid="{00000000-0005-0000-0000-0000FC720000}"/>
    <cellStyle name="Normal 2 2 2 3 2 2 3 2" xfId="29374" xr:uid="{00000000-0005-0000-0000-0000FD720000}"/>
    <cellStyle name="Normal 2 2 2 3 2 2 4" xfId="29375" xr:uid="{00000000-0005-0000-0000-0000FE720000}"/>
    <cellStyle name="Normal 2 2 2 3 2 2 4 2" xfId="29376" xr:uid="{00000000-0005-0000-0000-0000FF720000}"/>
    <cellStyle name="Normal 2 2 2 3 2 2 5" xfId="29377" xr:uid="{00000000-0005-0000-0000-000000730000}"/>
    <cellStyle name="Normal 2 2 2 3 2 3" xfId="29378" xr:uid="{00000000-0005-0000-0000-000001730000}"/>
    <cellStyle name="Normal 2 2 2 3 2 3 2" xfId="29379" xr:uid="{00000000-0005-0000-0000-000002730000}"/>
    <cellStyle name="Normal 2 2 2 3 2 3 2 2" xfId="29380" xr:uid="{00000000-0005-0000-0000-000003730000}"/>
    <cellStyle name="Normal 2 2 2 3 2 3 3" xfId="29381" xr:uid="{00000000-0005-0000-0000-000004730000}"/>
    <cellStyle name="Normal 2 2 2 3 2 3 3 2" xfId="29382" xr:uid="{00000000-0005-0000-0000-000005730000}"/>
    <cellStyle name="Normal 2 2 2 3 2 3 4" xfId="29383" xr:uid="{00000000-0005-0000-0000-000006730000}"/>
    <cellStyle name="Normal 2 2 2 3 2 4" xfId="29384" xr:uid="{00000000-0005-0000-0000-000007730000}"/>
    <cellStyle name="Normal 2 2 2 3 2 4 2" xfId="29385" xr:uid="{00000000-0005-0000-0000-000008730000}"/>
    <cellStyle name="Normal 2 2 2 3 2 5" xfId="29386" xr:uid="{00000000-0005-0000-0000-000009730000}"/>
    <cellStyle name="Normal 2 2 2 3 2 5 2" xfId="29387" xr:uid="{00000000-0005-0000-0000-00000A730000}"/>
    <cellStyle name="Normal 2 2 2 3 2 6" xfId="29388" xr:uid="{00000000-0005-0000-0000-00000B730000}"/>
    <cellStyle name="Normal 2 2 2 3 3" xfId="29389" xr:uid="{00000000-0005-0000-0000-00000C730000}"/>
    <cellStyle name="Normal 2 2 2 3 3 2" xfId="29390" xr:uid="{00000000-0005-0000-0000-00000D730000}"/>
    <cellStyle name="Normal 2 2 2 3 3 2 2" xfId="29391" xr:uid="{00000000-0005-0000-0000-00000E730000}"/>
    <cellStyle name="Normal 2 2 2 3 3 2 2 2" xfId="29392" xr:uid="{00000000-0005-0000-0000-00000F730000}"/>
    <cellStyle name="Normal 2 2 2 3 3 2 3" xfId="29393" xr:uid="{00000000-0005-0000-0000-000010730000}"/>
    <cellStyle name="Normal 2 2 2 3 3 2 3 2" xfId="29394" xr:uid="{00000000-0005-0000-0000-000011730000}"/>
    <cellStyle name="Normal 2 2 2 3 3 2 4" xfId="29395" xr:uid="{00000000-0005-0000-0000-000012730000}"/>
    <cellStyle name="Normal 2 2 2 3 3 3" xfId="29396" xr:uid="{00000000-0005-0000-0000-000013730000}"/>
    <cellStyle name="Normal 2 2 2 3 3 3 2" xfId="29397" xr:uid="{00000000-0005-0000-0000-000014730000}"/>
    <cellStyle name="Normal 2 2 2 3 3 4" xfId="29398" xr:uid="{00000000-0005-0000-0000-000015730000}"/>
    <cellStyle name="Normal 2 2 2 3 3 4 2" xfId="29399" xr:uid="{00000000-0005-0000-0000-000016730000}"/>
    <cellStyle name="Normal 2 2 2 3 3 5" xfId="29400" xr:uid="{00000000-0005-0000-0000-000017730000}"/>
    <cellStyle name="Normal 2 2 2 3 4" xfId="29401" xr:uid="{00000000-0005-0000-0000-000018730000}"/>
    <cellStyle name="Normal 2 2 2 3 4 2" xfId="29402" xr:uid="{00000000-0005-0000-0000-000019730000}"/>
    <cellStyle name="Normal 2 2 2 3 4 2 2" xfId="29403" xr:uid="{00000000-0005-0000-0000-00001A730000}"/>
    <cellStyle name="Normal 2 2 2 3 4 3" xfId="29404" xr:uid="{00000000-0005-0000-0000-00001B730000}"/>
    <cellStyle name="Normal 2 2 2 3 4 3 2" xfId="29405" xr:uid="{00000000-0005-0000-0000-00001C730000}"/>
    <cellStyle name="Normal 2 2 2 3 4 4" xfId="29406" xr:uid="{00000000-0005-0000-0000-00001D730000}"/>
    <cellStyle name="Normal 2 2 2 3 5" xfId="29407" xr:uid="{00000000-0005-0000-0000-00001E730000}"/>
    <cellStyle name="Normal 2 2 2 3 5 2" xfId="29408" xr:uid="{00000000-0005-0000-0000-00001F730000}"/>
    <cellStyle name="Normal 2 2 2 3 6" xfId="29409" xr:uid="{00000000-0005-0000-0000-000020730000}"/>
    <cellStyle name="Normal 2 2 2 3 6 2" xfId="29410" xr:uid="{00000000-0005-0000-0000-000021730000}"/>
    <cellStyle name="Normal 2 2 2 3 7" xfId="29411" xr:uid="{00000000-0005-0000-0000-000022730000}"/>
    <cellStyle name="Normal 2 2 2 4" xfId="29412" xr:uid="{00000000-0005-0000-0000-000023730000}"/>
    <cellStyle name="Normal 2 2 2 4 2" xfId="29413" xr:uid="{00000000-0005-0000-0000-000024730000}"/>
    <cellStyle name="Normal 2 2 2 4 2 2" xfId="29414" xr:uid="{00000000-0005-0000-0000-000025730000}"/>
    <cellStyle name="Normal 2 2 2 4 2 2 2" xfId="29415" xr:uid="{00000000-0005-0000-0000-000026730000}"/>
    <cellStyle name="Normal 2 2 2 4 2 2 2 2" xfId="29416" xr:uid="{00000000-0005-0000-0000-000027730000}"/>
    <cellStyle name="Normal 2 2 2 4 2 2 3" xfId="29417" xr:uid="{00000000-0005-0000-0000-000028730000}"/>
    <cellStyle name="Normal 2 2 2 4 2 2 3 2" xfId="29418" xr:uid="{00000000-0005-0000-0000-000029730000}"/>
    <cellStyle name="Normal 2 2 2 4 2 2 4" xfId="29419" xr:uid="{00000000-0005-0000-0000-00002A730000}"/>
    <cellStyle name="Normal 2 2 2 4 2 3" xfId="29420" xr:uid="{00000000-0005-0000-0000-00002B730000}"/>
    <cellStyle name="Normal 2 2 2 4 2 3 2" xfId="29421" xr:uid="{00000000-0005-0000-0000-00002C730000}"/>
    <cellStyle name="Normal 2 2 2 4 2 4" xfId="29422" xr:uid="{00000000-0005-0000-0000-00002D730000}"/>
    <cellStyle name="Normal 2 2 2 4 2 4 2" xfId="29423" xr:uid="{00000000-0005-0000-0000-00002E730000}"/>
    <cellStyle name="Normal 2 2 2 4 2 5" xfId="29424" xr:uid="{00000000-0005-0000-0000-00002F730000}"/>
    <cellStyle name="Normal 2 2 2 4 3" xfId="29425" xr:uid="{00000000-0005-0000-0000-000030730000}"/>
    <cellStyle name="Normal 2 2 2 4 3 2" xfId="29426" xr:uid="{00000000-0005-0000-0000-000031730000}"/>
    <cellStyle name="Normal 2 2 2 4 3 2 2" xfId="29427" xr:uid="{00000000-0005-0000-0000-000032730000}"/>
    <cellStyle name="Normal 2 2 2 4 3 3" xfId="29428" xr:uid="{00000000-0005-0000-0000-000033730000}"/>
    <cellStyle name="Normal 2 2 2 4 3 3 2" xfId="29429" xr:uid="{00000000-0005-0000-0000-000034730000}"/>
    <cellStyle name="Normal 2 2 2 4 3 4" xfId="29430" xr:uid="{00000000-0005-0000-0000-000035730000}"/>
    <cellStyle name="Normal 2 2 2 4 4" xfId="29431" xr:uid="{00000000-0005-0000-0000-000036730000}"/>
    <cellStyle name="Normal 2 2 2 4 4 2" xfId="29432" xr:uid="{00000000-0005-0000-0000-000037730000}"/>
    <cellStyle name="Normal 2 2 2 4 5" xfId="29433" xr:uid="{00000000-0005-0000-0000-000038730000}"/>
    <cellStyle name="Normal 2 2 2 4 5 2" xfId="29434" xr:uid="{00000000-0005-0000-0000-000039730000}"/>
    <cellStyle name="Normal 2 2 2 4 6" xfId="29435" xr:uid="{00000000-0005-0000-0000-00003A730000}"/>
    <cellStyle name="Normal 2 2 2 5" xfId="29436" xr:uid="{00000000-0005-0000-0000-00003B730000}"/>
    <cellStyle name="Normal 2 2 2 5 2" xfId="29437" xr:uid="{00000000-0005-0000-0000-00003C730000}"/>
    <cellStyle name="Normal 2 2 2 5 2 2" xfId="29438" xr:uid="{00000000-0005-0000-0000-00003D730000}"/>
    <cellStyle name="Normal 2 2 2 5 2 2 2" xfId="29439" xr:uid="{00000000-0005-0000-0000-00003E730000}"/>
    <cellStyle name="Normal 2 2 2 5 2 3" xfId="29440" xr:uid="{00000000-0005-0000-0000-00003F730000}"/>
    <cellStyle name="Normal 2 2 2 5 2 3 2" xfId="29441" xr:uid="{00000000-0005-0000-0000-000040730000}"/>
    <cellStyle name="Normal 2 2 2 5 2 4" xfId="29442" xr:uid="{00000000-0005-0000-0000-000041730000}"/>
    <cellStyle name="Normal 2 2 2 5 3" xfId="29443" xr:uid="{00000000-0005-0000-0000-000042730000}"/>
    <cellStyle name="Normal 2 2 2 5 3 2" xfId="29444" xr:uid="{00000000-0005-0000-0000-000043730000}"/>
    <cellStyle name="Normal 2 2 2 5 4" xfId="29445" xr:uid="{00000000-0005-0000-0000-000044730000}"/>
    <cellStyle name="Normal 2 2 2 5 4 2" xfId="29446" xr:uid="{00000000-0005-0000-0000-000045730000}"/>
    <cellStyle name="Normal 2 2 2 5 5" xfId="29447" xr:uid="{00000000-0005-0000-0000-000046730000}"/>
    <cellStyle name="Normal 2 2 2 6" xfId="29448" xr:uid="{00000000-0005-0000-0000-000047730000}"/>
    <cellStyle name="Normal 2 2 2 6 2" xfId="29449" xr:uid="{00000000-0005-0000-0000-000048730000}"/>
    <cellStyle name="Normal 2 2 2 6 2 2" xfId="29450" xr:uid="{00000000-0005-0000-0000-000049730000}"/>
    <cellStyle name="Normal 2 2 2 6 3" xfId="29451" xr:uid="{00000000-0005-0000-0000-00004A730000}"/>
    <cellStyle name="Normal 2 2 2 6 3 2" xfId="29452" xr:uid="{00000000-0005-0000-0000-00004B730000}"/>
    <cellStyle name="Normal 2 2 2 6 4" xfId="29453" xr:uid="{00000000-0005-0000-0000-00004C730000}"/>
    <cellStyle name="Normal 2 2 2 7" xfId="29454" xr:uid="{00000000-0005-0000-0000-00004D730000}"/>
    <cellStyle name="Normal 2 2 2 7 2" xfId="29455" xr:uid="{00000000-0005-0000-0000-00004E730000}"/>
    <cellStyle name="Normal 2 2 2 8" xfId="29456" xr:uid="{00000000-0005-0000-0000-00004F730000}"/>
    <cellStyle name="Normal 2 2 2 8 2" xfId="29457" xr:uid="{00000000-0005-0000-0000-000050730000}"/>
    <cellStyle name="Normal 2 2 2 9" xfId="29458" xr:uid="{00000000-0005-0000-0000-000051730000}"/>
    <cellStyle name="Normal 2 2 20" xfId="29459" xr:uid="{00000000-0005-0000-0000-000052730000}"/>
    <cellStyle name="Normal 2 2 21" xfId="29460" xr:uid="{00000000-0005-0000-0000-000053730000}"/>
    <cellStyle name="Normal 2 2 22" xfId="29461" xr:uid="{00000000-0005-0000-0000-000054730000}"/>
    <cellStyle name="Normal 2 2 23" xfId="29462" xr:uid="{00000000-0005-0000-0000-000055730000}"/>
    <cellStyle name="Normal 2 2 24" xfId="29463" xr:uid="{00000000-0005-0000-0000-000056730000}"/>
    <cellStyle name="Normal 2 2 25" xfId="29464" xr:uid="{00000000-0005-0000-0000-000057730000}"/>
    <cellStyle name="Normal 2 2 26" xfId="29465" xr:uid="{00000000-0005-0000-0000-000058730000}"/>
    <cellStyle name="Normal 2 2 27" xfId="29466" xr:uid="{00000000-0005-0000-0000-000059730000}"/>
    <cellStyle name="Normal 2 2 28" xfId="29467" xr:uid="{00000000-0005-0000-0000-00005A730000}"/>
    <cellStyle name="Normal 2 2 29" xfId="29468" xr:uid="{00000000-0005-0000-0000-00005B730000}"/>
    <cellStyle name="Normal 2 2 3" xfId="29469" xr:uid="{00000000-0005-0000-0000-00005C730000}"/>
    <cellStyle name="Normal 2 2 3 2" xfId="29470" xr:uid="{00000000-0005-0000-0000-00005D730000}"/>
    <cellStyle name="Normal 2 2 3 2 2" xfId="29471" xr:uid="{00000000-0005-0000-0000-00005E730000}"/>
    <cellStyle name="Normal 2 2 3 2 2 2" xfId="29472" xr:uid="{00000000-0005-0000-0000-00005F730000}"/>
    <cellStyle name="Normal 2 2 3 2 2 2 2" xfId="29473" xr:uid="{00000000-0005-0000-0000-000060730000}"/>
    <cellStyle name="Normal 2 2 3 2 2 2 2 2" xfId="29474" xr:uid="{00000000-0005-0000-0000-000061730000}"/>
    <cellStyle name="Normal 2 2 3 2 2 2 3" xfId="29475" xr:uid="{00000000-0005-0000-0000-000062730000}"/>
    <cellStyle name="Normal 2 2 3 2 2 2 3 2" xfId="29476" xr:uid="{00000000-0005-0000-0000-000063730000}"/>
    <cellStyle name="Normal 2 2 3 2 2 2 4" xfId="29477" xr:uid="{00000000-0005-0000-0000-000064730000}"/>
    <cellStyle name="Normal 2 2 3 2 2 3" xfId="29478" xr:uid="{00000000-0005-0000-0000-000065730000}"/>
    <cellStyle name="Normal 2 2 3 2 2 3 2" xfId="29479" xr:uid="{00000000-0005-0000-0000-000066730000}"/>
    <cellStyle name="Normal 2 2 3 2 2 4" xfId="29480" xr:uid="{00000000-0005-0000-0000-000067730000}"/>
    <cellStyle name="Normal 2 2 3 2 2 4 2" xfId="29481" xr:uid="{00000000-0005-0000-0000-000068730000}"/>
    <cellStyle name="Normal 2 2 3 2 2 5" xfId="29482" xr:uid="{00000000-0005-0000-0000-000069730000}"/>
    <cellStyle name="Normal 2 2 3 2 3" xfId="29483" xr:uid="{00000000-0005-0000-0000-00006A730000}"/>
    <cellStyle name="Normal 2 2 3 2 3 2" xfId="29484" xr:uid="{00000000-0005-0000-0000-00006B730000}"/>
    <cellStyle name="Normal 2 2 3 2 3 2 2" xfId="29485" xr:uid="{00000000-0005-0000-0000-00006C730000}"/>
    <cellStyle name="Normal 2 2 3 2 3 3" xfId="29486" xr:uid="{00000000-0005-0000-0000-00006D730000}"/>
    <cellStyle name="Normal 2 2 3 2 3 3 2" xfId="29487" xr:uid="{00000000-0005-0000-0000-00006E730000}"/>
    <cellStyle name="Normal 2 2 3 2 3 4" xfId="29488" xr:uid="{00000000-0005-0000-0000-00006F730000}"/>
    <cellStyle name="Normal 2 2 3 2 4" xfId="29489" xr:uid="{00000000-0005-0000-0000-000070730000}"/>
    <cellStyle name="Normal 2 2 3 2 4 2" xfId="29490" xr:uid="{00000000-0005-0000-0000-000071730000}"/>
    <cellStyle name="Normal 2 2 3 2 5" xfId="29491" xr:uid="{00000000-0005-0000-0000-000072730000}"/>
    <cellStyle name="Normal 2 2 3 2 5 2" xfId="29492" xr:uid="{00000000-0005-0000-0000-000073730000}"/>
    <cellStyle name="Normal 2 2 3 2 6" xfId="29493" xr:uid="{00000000-0005-0000-0000-000074730000}"/>
    <cellStyle name="Normal 2 2 3 3" xfId="29494" xr:uid="{00000000-0005-0000-0000-000075730000}"/>
    <cellStyle name="Normal 2 2 3 3 2" xfId="29495" xr:uid="{00000000-0005-0000-0000-000076730000}"/>
    <cellStyle name="Normal 2 2 3 3 2 2" xfId="29496" xr:uid="{00000000-0005-0000-0000-000077730000}"/>
    <cellStyle name="Normal 2 2 3 3 2 2 2" xfId="29497" xr:uid="{00000000-0005-0000-0000-000078730000}"/>
    <cellStyle name="Normal 2 2 3 3 2 3" xfId="29498" xr:uid="{00000000-0005-0000-0000-000079730000}"/>
    <cellStyle name="Normal 2 2 3 3 2 3 2" xfId="29499" xr:uid="{00000000-0005-0000-0000-00007A730000}"/>
    <cellStyle name="Normal 2 2 3 3 2 4" xfId="29500" xr:uid="{00000000-0005-0000-0000-00007B730000}"/>
    <cellStyle name="Normal 2 2 3 3 3" xfId="29501" xr:uid="{00000000-0005-0000-0000-00007C730000}"/>
    <cellStyle name="Normal 2 2 3 3 3 2" xfId="29502" xr:uid="{00000000-0005-0000-0000-00007D730000}"/>
    <cellStyle name="Normal 2 2 3 3 4" xfId="29503" xr:uid="{00000000-0005-0000-0000-00007E730000}"/>
    <cellStyle name="Normal 2 2 3 3 4 2" xfId="29504" xr:uid="{00000000-0005-0000-0000-00007F730000}"/>
    <cellStyle name="Normal 2 2 3 3 5" xfId="29505" xr:uid="{00000000-0005-0000-0000-000080730000}"/>
    <cellStyle name="Normal 2 2 3 4" xfId="29506" xr:uid="{00000000-0005-0000-0000-000081730000}"/>
    <cellStyle name="Normal 2 2 3 4 2" xfId="29507" xr:uid="{00000000-0005-0000-0000-000082730000}"/>
    <cellStyle name="Normal 2 2 3 4 2 2" xfId="29508" xr:uid="{00000000-0005-0000-0000-000083730000}"/>
    <cellStyle name="Normal 2 2 3 4 3" xfId="29509" xr:uid="{00000000-0005-0000-0000-000084730000}"/>
    <cellStyle name="Normal 2 2 3 4 3 2" xfId="29510" xr:uid="{00000000-0005-0000-0000-000085730000}"/>
    <cellStyle name="Normal 2 2 3 4 4" xfId="29511" xr:uid="{00000000-0005-0000-0000-000086730000}"/>
    <cellStyle name="Normal 2 2 3 5" xfId="29512" xr:uid="{00000000-0005-0000-0000-000087730000}"/>
    <cellStyle name="Normal 2 2 3 5 2" xfId="29513" xr:uid="{00000000-0005-0000-0000-000088730000}"/>
    <cellStyle name="Normal 2 2 3 6" xfId="29514" xr:uid="{00000000-0005-0000-0000-000089730000}"/>
    <cellStyle name="Normal 2 2 3 6 2" xfId="29515" xr:uid="{00000000-0005-0000-0000-00008A730000}"/>
    <cellStyle name="Normal 2 2 3 7" xfId="29516" xr:uid="{00000000-0005-0000-0000-00008B730000}"/>
    <cellStyle name="Normal 2 2 30" xfId="29517" xr:uid="{00000000-0005-0000-0000-00008C730000}"/>
    <cellStyle name="Normal 2 2 31" xfId="29518" xr:uid="{00000000-0005-0000-0000-00008D730000}"/>
    <cellStyle name="Normal 2 2 32" xfId="29519" xr:uid="{00000000-0005-0000-0000-00008E730000}"/>
    <cellStyle name="Normal 2 2 33" xfId="29520" xr:uid="{00000000-0005-0000-0000-00008F730000}"/>
    <cellStyle name="Normal 2 2 34" xfId="29521" xr:uid="{00000000-0005-0000-0000-000090730000}"/>
    <cellStyle name="Normal 2 2 35" xfId="29522" xr:uid="{00000000-0005-0000-0000-000091730000}"/>
    <cellStyle name="Normal 2 2 36" xfId="29523" xr:uid="{00000000-0005-0000-0000-000092730000}"/>
    <cellStyle name="Normal 2 2 37" xfId="29524" xr:uid="{00000000-0005-0000-0000-000093730000}"/>
    <cellStyle name="Normal 2 2 38" xfId="29525" xr:uid="{00000000-0005-0000-0000-000094730000}"/>
    <cellStyle name="Normal 2 2 39" xfId="29526" xr:uid="{00000000-0005-0000-0000-000095730000}"/>
    <cellStyle name="Normal 2 2 4" xfId="29527" xr:uid="{00000000-0005-0000-0000-000096730000}"/>
    <cellStyle name="Normal 2 2 4 2" xfId="29528" xr:uid="{00000000-0005-0000-0000-000097730000}"/>
    <cellStyle name="Normal 2 2 40" xfId="29529" xr:uid="{00000000-0005-0000-0000-000098730000}"/>
    <cellStyle name="Normal 2 2 41" xfId="29530" xr:uid="{00000000-0005-0000-0000-000099730000}"/>
    <cellStyle name="Normal 2 2 42" xfId="29531" xr:uid="{00000000-0005-0000-0000-00009A730000}"/>
    <cellStyle name="Normal 2 2 43" xfId="29532" xr:uid="{00000000-0005-0000-0000-00009B730000}"/>
    <cellStyle name="Normal 2 2 44" xfId="29533" xr:uid="{00000000-0005-0000-0000-00009C730000}"/>
    <cellStyle name="Normal 2 2 45" xfId="29534" xr:uid="{00000000-0005-0000-0000-00009D730000}"/>
    <cellStyle name="Normal 2 2 46" xfId="29535" xr:uid="{00000000-0005-0000-0000-00009E730000}"/>
    <cellStyle name="Normal 2 2 5" xfId="29536" xr:uid="{00000000-0005-0000-0000-00009F730000}"/>
    <cellStyle name="Normal 2 2 5 2" xfId="29537" xr:uid="{00000000-0005-0000-0000-0000A0730000}"/>
    <cellStyle name="Normal 2 2 5 2 2" xfId="29538" xr:uid="{00000000-0005-0000-0000-0000A1730000}"/>
    <cellStyle name="Normal 2 2 5 2 2 2" xfId="29539" xr:uid="{00000000-0005-0000-0000-0000A2730000}"/>
    <cellStyle name="Normal 2 2 5 2 2 2 2" xfId="29540" xr:uid="{00000000-0005-0000-0000-0000A3730000}"/>
    <cellStyle name="Normal 2 2 5 2 2 3" xfId="29541" xr:uid="{00000000-0005-0000-0000-0000A4730000}"/>
    <cellStyle name="Normal 2 2 5 2 2 3 2" xfId="29542" xr:uid="{00000000-0005-0000-0000-0000A5730000}"/>
    <cellStyle name="Normal 2 2 5 2 2 4" xfId="29543" xr:uid="{00000000-0005-0000-0000-0000A6730000}"/>
    <cellStyle name="Normal 2 2 5 2 3" xfId="29544" xr:uid="{00000000-0005-0000-0000-0000A7730000}"/>
    <cellStyle name="Normal 2 2 5 2 3 2" xfId="29545" xr:uid="{00000000-0005-0000-0000-0000A8730000}"/>
    <cellStyle name="Normal 2 2 5 2 4" xfId="29546" xr:uid="{00000000-0005-0000-0000-0000A9730000}"/>
    <cellStyle name="Normal 2 2 5 2 4 2" xfId="29547" xr:uid="{00000000-0005-0000-0000-0000AA730000}"/>
    <cellStyle name="Normal 2 2 5 2 5" xfId="29548" xr:uid="{00000000-0005-0000-0000-0000AB730000}"/>
    <cellStyle name="Normal 2 2 5 3" xfId="29549" xr:uid="{00000000-0005-0000-0000-0000AC730000}"/>
    <cellStyle name="Normal 2 2 5 3 2" xfId="29550" xr:uid="{00000000-0005-0000-0000-0000AD730000}"/>
    <cellStyle name="Normal 2 2 5 3 2 2" xfId="29551" xr:uid="{00000000-0005-0000-0000-0000AE730000}"/>
    <cellStyle name="Normal 2 2 5 3 3" xfId="29552" xr:uid="{00000000-0005-0000-0000-0000AF730000}"/>
    <cellStyle name="Normal 2 2 5 3 3 2" xfId="29553" xr:uid="{00000000-0005-0000-0000-0000B0730000}"/>
    <cellStyle name="Normal 2 2 5 3 4" xfId="29554" xr:uid="{00000000-0005-0000-0000-0000B1730000}"/>
    <cellStyle name="Normal 2 2 5 4" xfId="29555" xr:uid="{00000000-0005-0000-0000-0000B2730000}"/>
    <cellStyle name="Normal 2 2 5 4 2" xfId="29556" xr:uid="{00000000-0005-0000-0000-0000B3730000}"/>
    <cellStyle name="Normal 2 2 5 5" xfId="29557" xr:uid="{00000000-0005-0000-0000-0000B4730000}"/>
    <cellStyle name="Normal 2 2 5 5 2" xfId="29558" xr:uid="{00000000-0005-0000-0000-0000B5730000}"/>
    <cellStyle name="Normal 2 2 5 6" xfId="29559" xr:uid="{00000000-0005-0000-0000-0000B6730000}"/>
    <cellStyle name="Normal 2 2 6" xfId="29560" xr:uid="{00000000-0005-0000-0000-0000B7730000}"/>
    <cellStyle name="Normal 2 2 6 2" xfId="29561" xr:uid="{00000000-0005-0000-0000-0000B8730000}"/>
    <cellStyle name="Normal 2 2 6 2 2" xfId="29562" xr:uid="{00000000-0005-0000-0000-0000B9730000}"/>
    <cellStyle name="Normal 2 2 6 2 2 2" xfId="29563" xr:uid="{00000000-0005-0000-0000-0000BA730000}"/>
    <cellStyle name="Normal 2 2 6 2 3" xfId="29564" xr:uid="{00000000-0005-0000-0000-0000BB730000}"/>
    <cellStyle name="Normal 2 2 6 2 3 2" xfId="29565" xr:uid="{00000000-0005-0000-0000-0000BC730000}"/>
    <cellStyle name="Normal 2 2 6 2 4" xfId="29566" xr:uid="{00000000-0005-0000-0000-0000BD730000}"/>
    <cellStyle name="Normal 2 2 6 3" xfId="29567" xr:uid="{00000000-0005-0000-0000-0000BE730000}"/>
    <cellStyle name="Normal 2 2 6 3 2" xfId="29568" xr:uid="{00000000-0005-0000-0000-0000BF730000}"/>
    <cellStyle name="Normal 2 2 6 4" xfId="29569" xr:uid="{00000000-0005-0000-0000-0000C0730000}"/>
    <cellStyle name="Normal 2 2 6 4 2" xfId="29570" xr:uid="{00000000-0005-0000-0000-0000C1730000}"/>
    <cellStyle name="Normal 2 2 6 5" xfId="29571" xr:uid="{00000000-0005-0000-0000-0000C2730000}"/>
    <cellStyle name="Normal 2 2 7" xfId="29572" xr:uid="{00000000-0005-0000-0000-0000C3730000}"/>
    <cellStyle name="Normal 2 2 7 2" xfId="29573" xr:uid="{00000000-0005-0000-0000-0000C4730000}"/>
    <cellStyle name="Normal 2 2 7 2 2" xfId="29574" xr:uid="{00000000-0005-0000-0000-0000C5730000}"/>
    <cellStyle name="Normal 2 2 7 3" xfId="29575" xr:uid="{00000000-0005-0000-0000-0000C6730000}"/>
    <cellStyle name="Normal 2 2 7 3 2" xfId="29576" xr:uid="{00000000-0005-0000-0000-0000C7730000}"/>
    <cellStyle name="Normal 2 2 7 4" xfId="29577" xr:uid="{00000000-0005-0000-0000-0000C8730000}"/>
    <cellStyle name="Normal 2 2 8" xfId="29578" xr:uid="{00000000-0005-0000-0000-0000C9730000}"/>
    <cellStyle name="Normal 2 2 8 2" xfId="29579" xr:uid="{00000000-0005-0000-0000-0000CA730000}"/>
    <cellStyle name="Normal 2 2 9" xfId="29580" xr:uid="{00000000-0005-0000-0000-0000CB730000}"/>
    <cellStyle name="Normal 2 2 9 2" xfId="29581" xr:uid="{00000000-0005-0000-0000-0000CC730000}"/>
    <cellStyle name="Normal 2 3" xfId="29582" xr:uid="{00000000-0005-0000-0000-0000CD730000}"/>
    <cellStyle name="Normal 2 3 2" xfId="29583" xr:uid="{00000000-0005-0000-0000-0000CE730000}"/>
    <cellStyle name="Normal 2 3 2 2" xfId="29584" xr:uid="{00000000-0005-0000-0000-0000CF730000}"/>
    <cellStyle name="Normal 2 3 2 2 2" xfId="29585" xr:uid="{00000000-0005-0000-0000-0000D0730000}"/>
    <cellStyle name="Normal 2 3 2 2 2 2" xfId="29586" xr:uid="{00000000-0005-0000-0000-0000D1730000}"/>
    <cellStyle name="Normal 2 3 2 2 2 2 2" xfId="29587" xr:uid="{00000000-0005-0000-0000-0000D2730000}"/>
    <cellStyle name="Normal 2 3 2 2 2 2 2 2" xfId="29588" xr:uid="{00000000-0005-0000-0000-0000D3730000}"/>
    <cellStyle name="Normal 2 3 2 2 2 2 2 2 2" xfId="29589" xr:uid="{00000000-0005-0000-0000-0000D4730000}"/>
    <cellStyle name="Normal 2 3 2 2 2 2 2 2 2 2" xfId="29590" xr:uid="{00000000-0005-0000-0000-0000D5730000}"/>
    <cellStyle name="Normal 2 3 2 2 2 2 2 2 2 2 2" xfId="29591" xr:uid="{00000000-0005-0000-0000-0000D6730000}"/>
    <cellStyle name="Normal 2 3 2 2 2 2 2 2 2 2 2 2" xfId="29592" xr:uid="{00000000-0005-0000-0000-0000D7730000}"/>
    <cellStyle name="Normal 2 3 2 2 2 2 2 2 2 2 2 2 2" xfId="29593" xr:uid="{00000000-0005-0000-0000-0000D8730000}"/>
    <cellStyle name="Normal 2 3 2 2 2 2 2 2 2 2 2 3" xfId="29594" xr:uid="{00000000-0005-0000-0000-0000D9730000}"/>
    <cellStyle name="Normal 2 3 2 2 2 2 2 2 2 2 2 3 2" xfId="29595" xr:uid="{00000000-0005-0000-0000-0000DA730000}"/>
    <cellStyle name="Normal 2 3 2 2 2 2 2 2 2 2 2 4" xfId="29596" xr:uid="{00000000-0005-0000-0000-0000DB730000}"/>
    <cellStyle name="Normal 2 3 2 2 2 2 2 2 2 2 3" xfId="29597" xr:uid="{00000000-0005-0000-0000-0000DC730000}"/>
    <cellStyle name="Normal 2 3 2 2 2 2 2 2 2 2 3 2" xfId="29598" xr:uid="{00000000-0005-0000-0000-0000DD730000}"/>
    <cellStyle name="Normal 2 3 2 2 2 2 2 2 2 2 4" xfId="29599" xr:uid="{00000000-0005-0000-0000-0000DE730000}"/>
    <cellStyle name="Normal 2 3 2 2 2 2 2 2 2 2 4 2" xfId="29600" xr:uid="{00000000-0005-0000-0000-0000DF730000}"/>
    <cellStyle name="Normal 2 3 2 2 2 2 2 2 2 2 5" xfId="29601" xr:uid="{00000000-0005-0000-0000-0000E0730000}"/>
    <cellStyle name="Normal 2 3 2 2 2 2 2 2 2 3" xfId="29602" xr:uid="{00000000-0005-0000-0000-0000E1730000}"/>
    <cellStyle name="Normal 2 3 2 2 2 2 2 2 2 3 2" xfId="29603" xr:uid="{00000000-0005-0000-0000-0000E2730000}"/>
    <cellStyle name="Normal 2 3 2 2 2 2 2 2 2 3 2 2" xfId="29604" xr:uid="{00000000-0005-0000-0000-0000E3730000}"/>
    <cellStyle name="Normal 2 3 2 2 2 2 2 2 2 3 3" xfId="29605" xr:uid="{00000000-0005-0000-0000-0000E4730000}"/>
    <cellStyle name="Normal 2 3 2 2 2 2 2 2 2 3 3 2" xfId="29606" xr:uid="{00000000-0005-0000-0000-0000E5730000}"/>
    <cellStyle name="Normal 2 3 2 2 2 2 2 2 2 3 4" xfId="29607" xr:uid="{00000000-0005-0000-0000-0000E6730000}"/>
    <cellStyle name="Normal 2 3 2 2 2 2 2 2 2 4" xfId="29608" xr:uid="{00000000-0005-0000-0000-0000E7730000}"/>
    <cellStyle name="Normal 2 3 2 2 2 2 2 2 2 4 2" xfId="29609" xr:uid="{00000000-0005-0000-0000-0000E8730000}"/>
    <cellStyle name="Normal 2 3 2 2 2 2 2 2 2 5" xfId="29610" xr:uid="{00000000-0005-0000-0000-0000E9730000}"/>
    <cellStyle name="Normal 2 3 2 2 2 2 2 2 2 5 2" xfId="29611" xr:uid="{00000000-0005-0000-0000-0000EA730000}"/>
    <cellStyle name="Normal 2 3 2 2 2 2 2 2 2 6" xfId="29612" xr:uid="{00000000-0005-0000-0000-0000EB730000}"/>
    <cellStyle name="Normal 2 3 2 2 2 2 2 2 3" xfId="29613" xr:uid="{00000000-0005-0000-0000-0000EC730000}"/>
    <cellStyle name="Normal 2 3 2 2 2 2 2 2 3 2" xfId="29614" xr:uid="{00000000-0005-0000-0000-0000ED730000}"/>
    <cellStyle name="Normal 2 3 2 2 2 2 2 2 3 2 2" xfId="29615" xr:uid="{00000000-0005-0000-0000-0000EE730000}"/>
    <cellStyle name="Normal 2 3 2 2 2 2 2 2 3 2 2 2" xfId="29616" xr:uid="{00000000-0005-0000-0000-0000EF730000}"/>
    <cellStyle name="Normal 2 3 2 2 2 2 2 2 3 2 3" xfId="29617" xr:uid="{00000000-0005-0000-0000-0000F0730000}"/>
    <cellStyle name="Normal 2 3 2 2 2 2 2 2 3 2 3 2" xfId="29618" xr:uid="{00000000-0005-0000-0000-0000F1730000}"/>
    <cellStyle name="Normal 2 3 2 2 2 2 2 2 3 2 4" xfId="29619" xr:uid="{00000000-0005-0000-0000-0000F2730000}"/>
    <cellStyle name="Normal 2 3 2 2 2 2 2 2 3 3" xfId="29620" xr:uid="{00000000-0005-0000-0000-0000F3730000}"/>
    <cellStyle name="Normal 2 3 2 2 2 2 2 2 3 3 2" xfId="29621" xr:uid="{00000000-0005-0000-0000-0000F4730000}"/>
    <cellStyle name="Normal 2 3 2 2 2 2 2 2 3 4" xfId="29622" xr:uid="{00000000-0005-0000-0000-0000F5730000}"/>
    <cellStyle name="Normal 2 3 2 2 2 2 2 2 3 4 2" xfId="29623" xr:uid="{00000000-0005-0000-0000-0000F6730000}"/>
    <cellStyle name="Normal 2 3 2 2 2 2 2 2 3 5" xfId="29624" xr:uid="{00000000-0005-0000-0000-0000F7730000}"/>
    <cellStyle name="Normal 2 3 2 2 2 2 2 2 4" xfId="29625" xr:uid="{00000000-0005-0000-0000-0000F8730000}"/>
    <cellStyle name="Normal 2 3 2 2 2 2 2 2 4 2" xfId="29626" xr:uid="{00000000-0005-0000-0000-0000F9730000}"/>
    <cellStyle name="Normal 2 3 2 2 2 2 2 2 4 2 2" xfId="29627" xr:uid="{00000000-0005-0000-0000-0000FA730000}"/>
    <cellStyle name="Normal 2 3 2 2 2 2 2 2 4 3" xfId="29628" xr:uid="{00000000-0005-0000-0000-0000FB730000}"/>
    <cellStyle name="Normal 2 3 2 2 2 2 2 2 4 3 2" xfId="29629" xr:uid="{00000000-0005-0000-0000-0000FC730000}"/>
    <cellStyle name="Normal 2 3 2 2 2 2 2 2 4 4" xfId="29630" xr:uid="{00000000-0005-0000-0000-0000FD730000}"/>
    <cellStyle name="Normal 2 3 2 2 2 2 2 2 5" xfId="29631" xr:uid="{00000000-0005-0000-0000-0000FE730000}"/>
    <cellStyle name="Normal 2 3 2 2 2 2 2 2 5 2" xfId="29632" xr:uid="{00000000-0005-0000-0000-0000FF730000}"/>
    <cellStyle name="Normal 2 3 2 2 2 2 2 2 6" xfId="29633" xr:uid="{00000000-0005-0000-0000-000000740000}"/>
    <cellStyle name="Normal 2 3 2 2 2 2 2 2 6 2" xfId="29634" xr:uid="{00000000-0005-0000-0000-000001740000}"/>
    <cellStyle name="Normal 2 3 2 2 2 2 2 2 7" xfId="29635" xr:uid="{00000000-0005-0000-0000-000002740000}"/>
    <cellStyle name="Normal 2 3 2 2 2 2 2 3" xfId="29636" xr:uid="{00000000-0005-0000-0000-000003740000}"/>
    <cellStyle name="Normal 2 3 2 2 2 2 2 3 2" xfId="29637" xr:uid="{00000000-0005-0000-0000-000004740000}"/>
    <cellStyle name="Normal 2 3 2 2 2 2 2 3 2 2" xfId="29638" xr:uid="{00000000-0005-0000-0000-000005740000}"/>
    <cellStyle name="Normal 2 3 2 2 2 2 2 3 2 2 2" xfId="29639" xr:uid="{00000000-0005-0000-0000-000006740000}"/>
    <cellStyle name="Normal 2 3 2 2 2 2 2 3 2 2 2 2" xfId="29640" xr:uid="{00000000-0005-0000-0000-000007740000}"/>
    <cellStyle name="Normal 2 3 2 2 2 2 2 3 2 2 3" xfId="29641" xr:uid="{00000000-0005-0000-0000-000008740000}"/>
    <cellStyle name="Normal 2 3 2 2 2 2 2 3 2 2 3 2" xfId="29642" xr:uid="{00000000-0005-0000-0000-000009740000}"/>
    <cellStyle name="Normal 2 3 2 2 2 2 2 3 2 2 4" xfId="29643" xr:uid="{00000000-0005-0000-0000-00000A740000}"/>
    <cellStyle name="Normal 2 3 2 2 2 2 2 3 2 3" xfId="29644" xr:uid="{00000000-0005-0000-0000-00000B740000}"/>
    <cellStyle name="Normal 2 3 2 2 2 2 2 3 2 3 2" xfId="29645" xr:uid="{00000000-0005-0000-0000-00000C740000}"/>
    <cellStyle name="Normal 2 3 2 2 2 2 2 3 2 4" xfId="29646" xr:uid="{00000000-0005-0000-0000-00000D740000}"/>
    <cellStyle name="Normal 2 3 2 2 2 2 2 3 2 4 2" xfId="29647" xr:uid="{00000000-0005-0000-0000-00000E740000}"/>
    <cellStyle name="Normal 2 3 2 2 2 2 2 3 2 5" xfId="29648" xr:uid="{00000000-0005-0000-0000-00000F740000}"/>
    <cellStyle name="Normal 2 3 2 2 2 2 2 3 3" xfId="29649" xr:uid="{00000000-0005-0000-0000-000010740000}"/>
    <cellStyle name="Normal 2 3 2 2 2 2 2 3 3 2" xfId="29650" xr:uid="{00000000-0005-0000-0000-000011740000}"/>
    <cellStyle name="Normal 2 3 2 2 2 2 2 3 3 2 2" xfId="29651" xr:uid="{00000000-0005-0000-0000-000012740000}"/>
    <cellStyle name="Normal 2 3 2 2 2 2 2 3 3 3" xfId="29652" xr:uid="{00000000-0005-0000-0000-000013740000}"/>
    <cellStyle name="Normal 2 3 2 2 2 2 2 3 3 3 2" xfId="29653" xr:uid="{00000000-0005-0000-0000-000014740000}"/>
    <cellStyle name="Normal 2 3 2 2 2 2 2 3 3 4" xfId="29654" xr:uid="{00000000-0005-0000-0000-000015740000}"/>
    <cellStyle name="Normal 2 3 2 2 2 2 2 3 4" xfId="29655" xr:uid="{00000000-0005-0000-0000-000016740000}"/>
    <cellStyle name="Normal 2 3 2 2 2 2 2 3 4 2" xfId="29656" xr:uid="{00000000-0005-0000-0000-000017740000}"/>
    <cellStyle name="Normal 2 3 2 2 2 2 2 3 5" xfId="29657" xr:uid="{00000000-0005-0000-0000-000018740000}"/>
    <cellStyle name="Normal 2 3 2 2 2 2 2 3 5 2" xfId="29658" xr:uid="{00000000-0005-0000-0000-000019740000}"/>
    <cellStyle name="Normal 2 3 2 2 2 2 2 3 6" xfId="29659" xr:uid="{00000000-0005-0000-0000-00001A740000}"/>
    <cellStyle name="Normal 2 3 2 2 2 2 2 4" xfId="29660" xr:uid="{00000000-0005-0000-0000-00001B740000}"/>
    <cellStyle name="Normal 2 3 2 2 2 2 2 4 2" xfId="29661" xr:uid="{00000000-0005-0000-0000-00001C740000}"/>
    <cellStyle name="Normal 2 3 2 2 2 2 2 4 2 2" xfId="29662" xr:uid="{00000000-0005-0000-0000-00001D740000}"/>
    <cellStyle name="Normal 2 3 2 2 2 2 2 4 2 2 2" xfId="29663" xr:uid="{00000000-0005-0000-0000-00001E740000}"/>
    <cellStyle name="Normal 2 3 2 2 2 2 2 4 2 3" xfId="29664" xr:uid="{00000000-0005-0000-0000-00001F740000}"/>
    <cellStyle name="Normal 2 3 2 2 2 2 2 4 2 3 2" xfId="29665" xr:uid="{00000000-0005-0000-0000-000020740000}"/>
    <cellStyle name="Normal 2 3 2 2 2 2 2 4 2 4" xfId="29666" xr:uid="{00000000-0005-0000-0000-000021740000}"/>
    <cellStyle name="Normal 2 3 2 2 2 2 2 4 3" xfId="29667" xr:uid="{00000000-0005-0000-0000-000022740000}"/>
    <cellStyle name="Normal 2 3 2 2 2 2 2 4 3 2" xfId="29668" xr:uid="{00000000-0005-0000-0000-000023740000}"/>
    <cellStyle name="Normal 2 3 2 2 2 2 2 4 4" xfId="29669" xr:uid="{00000000-0005-0000-0000-000024740000}"/>
    <cellStyle name="Normal 2 3 2 2 2 2 2 4 4 2" xfId="29670" xr:uid="{00000000-0005-0000-0000-000025740000}"/>
    <cellStyle name="Normal 2 3 2 2 2 2 2 4 5" xfId="29671" xr:uid="{00000000-0005-0000-0000-000026740000}"/>
    <cellStyle name="Normal 2 3 2 2 2 2 2 5" xfId="29672" xr:uid="{00000000-0005-0000-0000-000027740000}"/>
    <cellStyle name="Normal 2 3 2 2 2 2 2 5 2" xfId="29673" xr:uid="{00000000-0005-0000-0000-000028740000}"/>
    <cellStyle name="Normal 2 3 2 2 2 2 2 5 2 2" xfId="29674" xr:uid="{00000000-0005-0000-0000-000029740000}"/>
    <cellStyle name="Normal 2 3 2 2 2 2 2 5 3" xfId="29675" xr:uid="{00000000-0005-0000-0000-00002A740000}"/>
    <cellStyle name="Normal 2 3 2 2 2 2 2 5 3 2" xfId="29676" xr:uid="{00000000-0005-0000-0000-00002B740000}"/>
    <cellStyle name="Normal 2 3 2 2 2 2 2 5 4" xfId="29677" xr:uid="{00000000-0005-0000-0000-00002C740000}"/>
    <cellStyle name="Normal 2 3 2 2 2 2 2 6" xfId="29678" xr:uid="{00000000-0005-0000-0000-00002D740000}"/>
    <cellStyle name="Normal 2 3 2 2 2 2 2 6 2" xfId="29679" xr:uid="{00000000-0005-0000-0000-00002E740000}"/>
    <cellStyle name="Normal 2 3 2 2 2 2 2 7" xfId="29680" xr:uid="{00000000-0005-0000-0000-00002F740000}"/>
    <cellStyle name="Normal 2 3 2 2 2 2 2 7 2" xfId="29681" xr:uid="{00000000-0005-0000-0000-000030740000}"/>
    <cellStyle name="Normal 2 3 2 2 2 2 2 8" xfId="29682" xr:uid="{00000000-0005-0000-0000-000031740000}"/>
    <cellStyle name="Normal 2 3 2 2 2 2 3" xfId="29683" xr:uid="{00000000-0005-0000-0000-000032740000}"/>
    <cellStyle name="Normal 2 3 2 2 2 2 3 2" xfId="29684" xr:uid="{00000000-0005-0000-0000-000033740000}"/>
    <cellStyle name="Normal 2 3 2 2 2 2 3 2 2" xfId="29685" xr:uid="{00000000-0005-0000-0000-000034740000}"/>
    <cellStyle name="Normal 2 3 2 2 2 2 3 2 2 2" xfId="29686" xr:uid="{00000000-0005-0000-0000-000035740000}"/>
    <cellStyle name="Normal 2 3 2 2 2 2 3 2 2 2 2" xfId="29687" xr:uid="{00000000-0005-0000-0000-000036740000}"/>
    <cellStyle name="Normal 2 3 2 2 2 2 3 2 2 2 2 2" xfId="29688" xr:uid="{00000000-0005-0000-0000-000037740000}"/>
    <cellStyle name="Normal 2 3 2 2 2 2 3 2 2 2 3" xfId="29689" xr:uid="{00000000-0005-0000-0000-000038740000}"/>
    <cellStyle name="Normal 2 3 2 2 2 2 3 2 2 2 3 2" xfId="29690" xr:uid="{00000000-0005-0000-0000-000039740000}"/>
    <cellStyle name="Normal 2 3 2 2 2 2 3 2 2 2 4" xfId="29691" xr:uid="{00000000-0005-0000-0000-00003A740000}"/>
    <cellStyle name="Normal 2 3 2 2 2 2 3 2 2 3" xfId="29692" xr:uid="{00000000-0005-0000-0000-00003B740000}"/>
    <cellStyle name="Normal 2 3 2 2 2 2 3 2 2 3 2" xfId="29693" xr:uid="{00000000-0005-0000-0000-00003C740000}"/>
    <cellStyle name="Normal 2 3 2 2 2 2 3 2 2 4" xfId="29694" xr:uid="{00000000-0005-0000-0000-00003D740000}"/>
    <cellStyle name="Normal 2 3 2 2 2 2 3 2 2 4 2" xfId="29695" xr:uid="{00000000-0005-0000-0000-00003E740000}"/>
    <cellStyle name="Normal 2 3 2 2 2 2 3 2 2 5" xfId="29696" xr:uid="{00000000-0005-0000-0000-00003F740000}"/>
    <cellStyle name="Normal 2 3 2 2 2 2 3 2 3" xfId="29697" xr:uid="{00000000-0005-0000-0000-000040740000}"/>
    <cellStyle name="Normal 2 3 2 2 2 2 3 2 3 2" xfId="29698" xr:uid="{00000000-0005-0000-0000-000041740000}"/>
    <cellStyle name="Normal 2 3 2 2 2 2 3 2 3 2 2" xfId="29699" xr:uid="{00000000-0005-0000-0000-000042740000}"/>
    <cellStyle name="Normal 2 3 2 2 2 2 3 2 3 3" xfId="29700" xr:uid="{00000000-0005-0000-0000-000043740000}"/>
    <cellStyle name="Normal 2 3 2 2 2 2 3 2 3 3 2" xfId="29701" xr:uid="{00000000-0005-0000-0000-000044740000}"/>
    <cellStyle name="Normal 2 3 2 2 2 2 3 2 3 4" xfId="29702" xr:uid="{00000000-0005-0000-0000-000045740000}"/>
    <cellStyle name="Normal 2 3 2 2 2 2 3 2 4" xfId="29703" xr:uid="{00000000-0005-0000-0000-000046740000}"/>
    <cellStyle name="Normal 2 3 2 2 2 2 3 2 4 2" xfId="29704" xr:uid="{00000000-0005-0000-0000-000047740000}"/>
    <cellStyle name="Normal 2 3 2 2 2 2 3 2 5" xfId="29705" xr:uid="{00000000-0005-0000-0000-000048740000}"/>
    <cellStyle name="Normal 2 3 2 2 2 2 3 2 5 2" xfId="29706" xr:uid="{00000000-0005-0000-0000-000049740000}"/>
    <cellStyle name="Normal 2 3 2 2 2 2 3 2 6" xfId="29707" xr:uid="{00000000-0005-0000-0000-00004A740000}"/>
    <cellStyle name="Normal 2 3 2 2 2 2 3 3" xfId="29708" xr:uid="{00000000-0005-0000-0000-00004B740000}"/>
    <cellStyle name="Normal 2 3 2 2 2 2 3 3 2" xfId="29709" xr:uid="{00000000-0005-0000-0000-00004C740000}"/>
    <cellStyle name="Normal 2 3 2 2 2 2 3 3 2 2" xfId="29710" xr:uid="{00000000-0005-0000-0000-00004D740000}"/>
    <cellStyle name="Normal 2 3 2 2 2 2 3 3 2 2 2" xfId="29711" xr:uid="{00000000-0005-0000-0000-00004E740000}"/>
    <cellStyle name="Normal 2 3 2 2 2 2 3 3 2 3" xfId="29712" xr:uid="{00000000-0005-0000-0000-00004F740000}"/>
    <cellStyle name="Normal 2 3 2 2 2 2 3 3 2 3 2" xfId="29713" xr:uid="{00000000-0005-0000-0000-000050740000}"/>
    <cellStyle name="Normal 2 3 2 2 2 2 3 3 2 4" xfId="29714" xr:uid="{00000000-0005-0000-0000-000051740000}"/>
    <cellStyle name="Normal 2 3 2 2 2 2 3 3 3" xfId="29715" xr:uid="{00000000-0005-0000-0000-000052740000}"/>
    <cellStyle name="Normal 2 3 2 2 2 2 3 3 3 2" xfId="29716" xr:uid="{00000000-0005-0000-0000-000053740000}"/>
    <cellStyle name="Normal 2 3 2 2 2 2 3 3 4" xfId="29717" xr:uid="{00000000-0005-0000-0000-000054740000}"/>
    <cellStyle name="Normal 2 3 2 2 2 2 3 3 4 2" xfId="29718" xr:uid="{00000000-0005-0000-0000-000055740000}"/>
    <cellStyle name="Normal 2 3 2 2 2 2 3 3 5" xfId="29719" xr:uid="{00000000-0005-0000-0000-000056740000}"/>
    <cellStyle name="Normal 2 3 2 2 2 2 3 4" xfId="29720" xr:uid="{00000000-0005-0000-0000-000057740000}"/>
    <cellStyle name="Normal 2 3 2 2 2 2 3 4 2" xfId="29721" xr:uid="{00000000-0005-0000-0000-000058740000}"/>
    <cellStyle name="Normal 2 3 2 2 2 2 3 4 2 2" xfId="29722" xr:uid="{00000000-0005-0000-0000-000059740000}"/>
    <cellStyle name="Normal 2 3 2 2 2 2 3 4 3" xfId="29723" xr:uid="{00000000-0005-0000-0000-00005A740000}"/>
    <cellStyle name="Normal 2 3 2 2 2 2 3 4 3 2" xfId="29724" xr:uid="{00000000-0005-0000-0000-00005B740000}"/>
    <cellStyle name="Normal 2 3 2 2 2 2 3 4 4" xfId="29725" xr:uid="{00000000-0005-0000-0000-00005C740000}"/>
    <cellStyle name="Normal 2 3 2 2 2 2 3 5" xfId="29726" xr:uid="{00000000-0005-0000-0000-00005D740000}"/>
    <cellStyle name="Normal 2 3 2 2 2 2 3 5 2" xfId="29727" xr:uid="{00000000-0005-0000-0000-00005E740000}"/>
    <cellStyle name="Normal 2 3 2 2 2 2 3 6" xfId="29728" xr:uid="{00000000-0005-0000-0000-00005F740000}"/>
    <cellStyle name="Normal 2 3 2 2 2 2 3 6 2" xfId="29729" xr:uid="{00000000-0005-0000-0000-000060740000}"/>
    <cellStyle name="Normal 2 3 2 2 2 2 3 7" xfId="29730" xr:uid="{00000000-0005-0000-0000-000061740000}"/>
    <cellStyle name="Normal 2 3 2 2 2 2 4" xfId="29731" xr:uid="{00000000-0005-0000-0000-000062740000}"/>
    <cellStyle name="Normal 2 3 2 2 2 2 4 2" xfId="29732" xr:uid="{00000000-0005-0000-0000-000063740000}"/>
    <cellStyle name="Normal 2 3 2 2 2 2 4 2 2" xfId="29733" xr:uid="{00000000-0005-0000-0000-000064740000}"/>
    <cellStyle name="Normal 2 3 2 2 2 2 4 2 2 2" xfId="29734" xr:uid="{00000000-0005-0000-0000-000065740000}"/>
    <cellStyle name="Normal 2 3 2 2 2 2 4 2 2 2 2" xfId="29735" xr:uid="{00000000-0005-0000-0000-000066740000}"/>
    <cellStyle name="Normal 2 3 2 2 2 2 4 2 2 3" xfId="29736" xr:uid="{00000000-0005-0000-0000-000067740000}"/>
    <cellStyle name="Normal 2 3 2 2 2 2 4 2 2 3 2" xfId="29737" xr:uid="{00000000-0005-0000-0000-000068740000}"/>
    <cellStyle name="Normal 2 3 2 2 2 2 4 2 2 4" xfId="29738" xr:uid="{00000000-0005-0000-0000-000069740000}"/>
    <cellStyle name="Normal 2 3 2 2 2 2 4 2 3" xfId="29739" xr:uid="{00000000-0005-0000-0000-00006A740000}"/>
    <cellStyle name="Normal 2 3 2 2 2 2 4 2 3 2" xfId="29740" xr:uid="{00000000-0005-0000-0000-00006B740000}"/>
    <cellStyle name="Normal 2 3 2 2 2 2 4 2 4" xfId="29741" xr:uid="{00000000-0005-0000-0000-00006C740000}"/>
    <cellStyle name="Normal 2 3 2 2 2 2 4 2 4 2" xfId="29742" xr:uid="{00000000-0005-0000-0000-00006D740000}"/>
    <cellStyle name="Normal 2 3 2 2 2 2 4 2 5" xfId="29743" xr:uid="{00000000-0005-0000-0000-00006E740000}"/>
    <cellStyle name="Normal 2 3 2 2 2 2 4 3" xfId="29744" xr:uid="{00000000-0005-0000-0000-00006F740000}"/>
    <cellStyle name="Normal 2 3 2 2 2 2 4 3 2" xfId="29745" xr:uid="{00000000-0005-0000-0000-000070740000}"/>
    <cellStyle name="Normal 2 3 2 2 2 2 4 3 2 2" xfId="29746" xr:uid="{00000000-0005-0000-0000-000071740000}"/>
    <cellStyle name="Normal 2 3 2 2 2 2 4 3 3" xfId="29747" xr:uid="{00000000-0005-0000-0000-000072740000}"/>
    <cellStyle name="Normal 2 3 2 2 2 2 4 3 3 2" xfId="29748" xr:uid="{00000000-0005-0000-0000-000073740000}"/>
    <cellStyle name="Normal 2 3 2 2 2 2 4 3 4" xfId="29749" xr:uid="{00000000-0005-0000-0000-000074740000}"/>
    <cellStyle name="Normal 2 3 2 2 2 2 4 4" xfId="29750" xr:uid="{00000000-0005-0000-0000-000075740000}"/>
    <cellStyle name="Normal 2 3 2 2 2 2 4 4 2" xfId="29751" xr:uid="{00000000-0005-0000-0000-000076740000}"/>
    <cellStyle name="Normal 2 3 2 2 2 2 4 5" xfId="29752" xr:uid="{00000000-0005-0000-0000-000077740000}"/>
    <cellStyle name="Normal 2 3 2 2 2 2 4 5 2" xfId="29753" xr:uid="{00000000-0005-0000-0000-000078740000}"/>
    <cellStyle name="Normal 2 3 2 2 2 2 4 6" xfId="29754" xr:uid="{00000000-0005-0000-0000-000079740000}"/>
    <cellStyle name="Normal 2 3 2 2 2 2 5" xfId="29755" xr:uid="{00000000-0005-0000-0000-00007A740000}"/>
    <cellStyle name="Normal 2 3 2 2 2 2 5 2" xfId="29756" xr:uid="{00000000-0005-0000-0000-00007B740000}"/>
    <cellStyle name="Normal 2 3 2 2 2 2 5 2 2" xfId="29757" xr:uid="{00000000-0005-0000-0000-00007C740000}"/>
    <cellStyle name="Normal 2 3 2 2 2 2 5 2 2 2" xfId="29758" xr:uid="{00000000-0005-0000-0000-00007D740000}"/>
    <cellStyle name="Normal 2 3 2 2 2 2 5 2 3" xfId="29759" xr:uid="{00000000-0005-0000-0000-00007E740000}"/>
    <cellStyle name="Normal 2 3 2 2 2 2 5 2 3 2" xfId="29760" xr:uid="{00000000-0005-0000-0000-00007F740000}"/>
    <cellStyle name="Normal 2 3 2 2 2 2 5 2 4" xfId="29761" xr:uid="{00000000-0005-0000-0000-000080740000}"/>
    <cellStyle name="Normal 2 3 2 2 2 2 5 3" xfId="29762" xr:uid="{00000000-0005-0000-0000-000081740000}"/>
    <cellStyle name="Normal 2 3 2 2 2 2 5 3 2" xfId="29763" xr:uid="{00000000-0005-0000-0000-000082740000}"/>
    <cellStyle name="Normal 2 3 2 2 2 2 5 4" xfId="29764" xr:uid="{00000000-0005-0000-0000-000083740000}"/>
    <cellStyle name="Normal 2 3 2 2 2 2 5 4 2" xfId="29765" xr:uid="{00000000-0005-0000-0000-000084740000}"/>
    <cellStyle name="Normal 2 3 2 2 2 2 5 5" xfId="29766" xr:uid="{00000000-0005-0000-0000-000085740000}"/>
    <cellStyle name="Normal 2 3 2 2 2 2 6" xfId="29767" xr:uid="{00000000-0005-0000-0000-000086740000}"/>
    <cellStyle name="Normal 2 3 2 2 2 2 6 2" xfId="29768" xr:uid="{00000000-0005-0000-0000-000087740000}"/>
    <cellStyle name="Normal 2 3 2 2 2 2 6 2 2" xfId="29769" xr:uid="{00000000-0005-0000-0000-000088740000}"/>
    <cellStyle name="Normal 2 3 2 2 2 2 6 3" xfId="29770" xr:uid="{00000000-0005-0000-0000-000089740000}"/>
    <cellStyle name="Normal 2 3 2 2 2 2 6 3 2" xfId="29771" xr:uid="{00000000-0005-0000-0000-00008A740000}"/>
    <cellStyle name="Normal 2 3 2 2 2 2 6 4" xfId="29772" xr:uid="{00000000-0005-0000-0000-00008B740000}"/>
    <cellStyle name="Normal 2 3 2 2 2 2 7" xfId="29773" xr:uid="{00000000-0005-0000-0000-00008C740000}"/>
    <cellStyle name="Normal 2 3 2 2 2 2 7 2" xfId="29774" xr:uid="{00000000-0005-0000-0000-00008D740000}"/>
    <cellStyle name="Normal 2 3 2 2 2 2 8" xfId="29775" xr:uid="{00000000-0005-0000-0000-00008E740000}"/>
    <cellStyle name="Normal 2 3 2 2 2 2 8 2" xfId="29776" xr:uid="{00000000-0005-0000-0000-00008F740000}"/>
    <cellStyle name="Normal 2 3 2 2 2 2 9" xfId="29777" xr:uid="{00000000-0005-0000-0000-000090740000}"/>
    <cellStyle name="Normal 2 3 2 2 2 3" xfId="29778" xr:uid="{00000000-0005-0000-0000-000091740000}"/>
    <cellStyle name="Normal 2 3 2 2 2 3 2" xfId="29779" xr:uid="{00000000-0005-0000-0000-000092740000}"/>
    <cellStyle name="Normal 2 3 2 2 2 3 2 2" xfId="29780" xr:uid="{00000000-0005-0000-0000-000093740000}"/>
    <cellStyle name="Normal 2 3 2 2 2 3 2 2 2" xfId="29781" xr:uid="{00000000-0005-0000-0000-000094740000}"/>
    <cellStyle name="Normal 2 3 2 2 2 3 2 2 2 2" xfId="29782" xr:uid="{00000000-0005-0000-0000-000095740000}"/>
    <cellStyle name="Normal 2 3 2 2 2 3 2 2 2 2 2" xfId="29783" xr:uid="{00000000-0005-0000-0000-000096740000}"/>
    <cellStyle name="Normal 2 3 2 2 2 3 2 2 2 3" xfId="29784" xr:uid="{00000000-0005-0000-0000-000097740000}"/>
    <cellStyle name="Normal 2 3 2 2 2 3 2 2 2 3 2" xfId="29785" xr:uid="{00000000-0005-0000-0000-000098740000}"/>
    <cellStyle name="Normal 2 3 2 2 2 3 2 2 2 4" xfId="29786" xr:uid="{00000000-0005-0000-0000-000099740000}"/>
    <cellStyle name="Normal 2 3 2 2 2 3 2 2 3" xfId="29787" xr:uid="{00000000-0005-0000-0000-00009A740000}"/>
    <cellStyle name="Normal 2 3 2 2 2 3 2 2 3 2" xfId="29788" xr:uid="{00000000-0005-0000-0000-00009B740000}"/>
    <cellStyle name="Normal 2 3 2 2 2 3 2 2 4" xfId="29789" xr:uid="{00000000-0005-0000-0000-00009C740000}"/>
    <cellStyle name="Normal 2 3 2 2 2 3 2 2 4 2" xfId="29790" xr:uid="{00000000-0005-0000-0000-00009D740000}"/>
    <cellStyle name="Normal 2 3 2 2 2 3 2 2 5" xfId="29791" xr:uid="{00000000-0005-0000-0000-00009E740000}"/>
    <cellStyle name="Normal 2 3 2 2 2 3 2 3" xfId="29792" xr:uid="{00000000-0005-0000-0000-00009F740000}"/>
    <cellStyle name="Normal 2 3 2 2 2 3 2 3 2" xfId="29793" xr:uid="{00000000-0005-0000-0000-0000A0740000}"/>
    <cellStyle name="Normal 2 3 2 2 2 3 2 3 2 2" xfId="29794" xr:uid="{00000000-0005-0000-0000-0000A1740000}"/>
    <cellStyle name="Normal 2 3 2 2 2 3 2 3 3" xfId="29795" xr:uid="{00000000-0005-0000-0000-0000A2740000}"/>
    <cellStyle name="Normal 2 3 2 2 2 3 2 3 3 2" xfId="29796" xr:uid="{00000000-0005-0000-0000-0000A3740000}"/>
    <cellStyle name="Normal 2 3 2 2 2 3 2 3 4" xfId="29797" xr:uid="{00000000-0005-0000-0000-0000A4740000}"/>
    <cellStyle name="Normal 2 3 2 2 2 3 2 4" xfId="29798" xr:uid="{00000000-0005-0000-0000-0000A5740000}"/>
    <cellStyle name="Normal 2 3 2 2 2 3 2 4 2" xfId="29799" xr:uid="{00000000-0005-0000-0000-0000A6740000}"/>
    <cellStyle name="Normal 2 3 2 2 2 3 2 5" xfId="29800" xr:uid="{00000000-0005-0000-0000-0000A7740000}"/>
    <cellStyle name="Normal 2 3 2 2 2 3 2 5 2" xfId="29801" xr:uid="{00000000-0005-0000-0000-0000A8740000}"/>
    <cellStyle name="Normal 2 3 2 2 2 3 2 6" xfId="29802" xr:uid="{00000000-0005-0000-0000-0000A9740000}"/>
    <cellStyle name="Normal 2 3 2 2 2 3 3" xfId="29803" xr:uid="{00000000-0005-0000-0000-0000AA740000}"/>
    <cellStyle name="Normal 2 3 2 2 2 3 3 2" xfId="29804" xr:uid="{00000000-0005-0000-0000-0000AB740000}"/>
    <cellStyle name="Normal 2 3 2 2 2 3 3 2 2" xfId="29805" xr:uid="{00000000-0005-0000-0000-0000AC740000}"/>
    <cellStyle name="Normal 2 3 2 2 2 3 3 2 2 2" xfId="29806" xr:uid="{00000000-0005-0000-0000-0000AD740000}"/>
    <cellStyle name="Normal 2 3 2 2 2 3 3 2 3" xfId="29807" xr:uid="{00000000-0005-0000-0000-0000AE740000}"/>
    <cellStyle name="Normal 2 3 2 2 2 3 3 2 3 2" xfId="29808" xr:uid="{00000000-0005-0000-0000-0000AF740000}"/>
    <cellStyle name="Normal 2 3 2 2 2 3 3 2 4" xfId="29809" xr:uid="{00000000-0005-0000-0000-0000B0740000}"/>
    <cellStyle name="Normal 2 3 2 2 2 3 3 3" xfId="29810" xr:uid="{00000000-0005-0000-0000-0000B1740000}"/>
    <cellStyle name="Normal 2 3 2 2 2 3 3 3 2" xfId="29811" xr:uid="{00000000-0005-0000-0000-0000B2740000}"/>
    <cellStyle name="Normal 2 3 2 2 2 3 3 4" xfId="29812" xr:uid="{00000000-0005-0000-0000-0000B3740000}"/>
    <cellStyle name="Normal 2 3 2 2 2 3 3 4 2" xfId="29813" xr:uid="{00000000-0005-0000-0000-0000B4740000}"/>
    <cellStyle name="Normal 2 3 2 2 2 3 3 5" xfId="29814" xr:uid="{00000000-0005-0000-0000-0000B5740000}"/>
    <cellStyle name="Normal 2 3 2 2 2 3 4" xfId="29815" xr:uid="{00000000-0005-0000-0000-0000B6740000}"/>
    <cellStyle name="Normal 2 3 2 2 2 3 4 2" xfId="29816" xr:uid="{00000000-0005-0000-0000-0000B7740000}"/>
    <cellStyle name="Normal 2 3 2 2 2 3 4 2 2" xfId="29817" xr:uid="{00000000-0005-0000-0000-0000B8740000}"/>
    <cellStyle name="Normal 2 3 2 2 2 3 4 3" xfId="29818" xr:uid="{00000000-0005-0000-0000-0000B9740000}"/>
    <cellStyle name="Normal 2 3 2 2 2 3 4 3 2" xfId="29819" xr:uid="{00000000-0005-0000-0000-0000BA740000}"/>
    <cellStyle name="Normal 2 3 2 2 2 3 4 4" xfId="29820" xr:uid="{00000000-0005-0000-0000-0000BB740000}"/>
    <cellStyle name="Normal 2 3 2 2 2 3 5" xfId="29821" xr:uid="{00000000-0005-0000-0000-0000BC740000}"/>
    <cellStyle name="Normal 2 3 2 2 2 3 5 2" xfId="29822" xr:uid="{00000000-0005-0000-0000-0000BD740000}"/>
    <cellStyle name="Normal 2 3 2 2 2 3 6" xfId="29823" xr:uid="{00000000-0005-0000-0000-0000BE740000}"/>
    <cellStyle name="Normal 2 3 2 2 2 3 6 2" xfId="29824" xr:uid="{00000000-0005-0000-0000-0000BF740000}"/>
    <cellStyle name="Normal 2 3 2 2 2 3 7" xfId="29825" xr:uid="{00000000-0005-0000-0000-0000C0740000}"/>
    <cellStyle name="Normal 2 3 2 2 2 4" xfId="29826" xr:uid="{00000000-0005-0000-0000-0000C1740000}"/>
    <cellStyle name="Normal 2 3 2 2 2 4 2" xfId="29827" xr:uid="{00000000-0005-0000-0000-0000C2740000}"/>
    <cellStyle name="Normal 2 3 2 2 2 4 2 2" xfId="29828" xr:uid="{00000000-0005-0000-0000-0000C3740000}"/>
    <cellStyle name="Normal 2 3 2 2 2 4 2 2 2" xfId="29829" xr:uid="{00000000-0005-0000-0000-0000C4740000}"/>
    <cellStyle name="Normal 2 3 2 2 2 4 2 2 2 2" xfId="29830" xr:uid="{00000000-0005-0000-0000-0000C5740000}"/>
    <cellStyle name="Normal 2 3 2 2 2 4 2 2 3" xfId="29831" xr:uid="{00000000-0005-0000-0000-0000C6740000}"/>
    <cellStyle name="Normal 2 3 2 2 2 4 2 2 3 2" xfId="29832" xr:uid="{00000000-0005-0000-0000-0000C7740000}"/>
    <cellStyle name="Normal 2 3 2 2 2 4 2 2 4" xfId="29833" xr:uid="{00000000-0005-0000-0000-0000C8740000}"/>
    <cellStyle name="Normal 2 3 2 2 2 4 2 3" xfId="29834" xr:uid="{00000000-0005-0000-0000-0000C9740000}"/>
    <cellStyle name="Normal 2 3 2 2 2 4 2 3 2" xfId="29835" xr:uid="{00000000-0005-0000-0000-0000CA740000}"/>
    <cellStyle name="Normal 2 3 2 2 2 4 2 4" xfId="29836" xr:uid="{00000000-0005-0000-0000-0000CB740000}"/>
    <cellStyle name="Normal 2 3 2 2 2 4 2 4 2" xfId="29837" xr:uid="{00000000-0005-0000-0000-0000CC740000}"/>
    <cellStyle name="Normal 2 3 2 2 2 4 2 5" xfId="29838" xr:uid="{00000000-0005-0000-0000-0000CD740000}"/>
    <cellStyle name="Normal 2 3 2 2 2 4 3" xfId="29839" xr:uid="{00000000-0005-0000-0000-0000CE740000}"/>
    <cellStyle name="Normal 2 3 2 2 2 4 3 2" xfId="29840" xr:uid="{00000000-0005-0000-0000-0000CF740000}"/>
    <cellStyle name="Normal 2 3 2 2 2 4 3 2 2" xfId="29841" xr:uid="{00000000-0005-0000-0000-0000D0740000}"/>
    <cellStyle name="Normal 2 3 2 2 2 4 3 3" xfId="29842" xr:uid="{00000000-0005-0000-0000-0000D1740000}"/>
    <cellStyle name="Normal 2 3 2 2 2 4 3 3 2" xfId="29843" xr:uid="{00000000-0005-0000-0000-0000D2740000}"/>
    <cellStyle name="Normal 2 3 2 2 2 4 3 4" xfId="29844" xr:uid="{00000000-0005-0000-0000-0000D3740000}"/>
    <cellStyle name="Normal 2 3 2 2 2 4 4" xfId="29845" xr:uid="{00000000-0005-0000-0000-0000D4740000}"/>
    <cellStyle name="Normal 2 3 2 2 2 4 4 2" xfId="29846" xr:uid="{00000000-0005-0000-0000-0000D5740000}"/>
    <cellStyle name="Normal 2 3 2 2 2 4 5" xfId="29847" xr:uid="{00000000-0005-0000-0000-0000D6740000}"/>
    <cellStyle name="Normal 2 3 2 2 2 4 5 2" xfId="29848" xr:uid="{00000000-0005-0000-0000-0000D7740000}"/>
    <cellStyle name="Normal 2 3 2 2 2 4 6" xfId="29849" xr:uid="{00000000-0005-0000-0000-0000D8740000}"/>
    <cellStyle name="Normal 2 3 2 2 2 5" xfId="29850" xr:uid="{00000000-0005-0000-0000-0000D9740000}"/>
    <cellStyle name="Normal 2 3 2 2 2 5 2" xfId="29851" xr:uid="{00000000-0005-0000-0000-0000DA740000}"/>
    <cellStyle name="Normal 2 3 2 2 2 5 2 2" xfId="29852" xr:uid="{00000000-0005-0000-0000-0000DB740000}"/>
    <cellStyle name="Normal 2 3 2 2 2 5 2 2 2" xfId="29853" xr:uid="{00000000-0005-0000-0000-0000DC740000}"/>
    <cellStyle name="Normal 2 3 2 2 2 5 2 3" xfId="29854" xr:uid="{00000000-0005-0000-0000-0000DD740000}"/>
    <cellStyle name="Normal 2 3 2 2 2 5 2 3 2" xfId="29855" xr:uid="{00000000-0005-0000-0000-0000DE740000}"/>
    <cellStyle name="Normal 2 3 2 2 2 5 2 4" xfId="29856" xr:uid="{00000000-0005-0000-0000-0000DF740000}"/>
    <cellStyle name="Normal 2 3 2 2 2 5 3" xfId="29857" xr:uid="{00000000-0005-0000-0000-0000E0740000}"/>
    <cellStyle name="Normal 2 3 2 2 2 5 3 2" xfId="29858" xr:uid="{00000000-0005-0000-0000-0000E1740000}"/>
    <cellStyle name="Normal 2 3 2 2 2 5 4" xfId="29859" xr:uid="{00000000-0005-0000-0000-0000E2740000}"/>
    <cellStyle name="Normal 2 3 2 2 2 5 4 2" xfId="29860" xr:uid="{00000000-0005-0000-0000-0000E3740000}"/>
    <cellStyle name="Normal 2 3 2 2 2 5 5" xfId="29861" xr:uid="{00000000-0005-0000-0000-0000E4740000}"/>
    <cellStyle name="Normal 2 3 2 2 2 6" xfId="29862" xr:uid="{00000000-0005-0000-0000-0000E5740000}"/>
    <cellStyle name="Normal 2 3 2 2 2 6 2" xfId="29863" xr:uid="{00000000-0005-0000-0000-0000E6740000}"/>
    <cellStyle name="Normal 2 3 2 2 2 6 2 2" xfId="29864" xr:uid="{00000000-0005-0000-0000-0000E7740000}"/>
    <cellStyle name="Normal 2 3 2 2 2 6 3" xfId="29865" xr:uid="{00000000-0005-0000-0000-0000E8740000}"/>
    <cellStyle name="Normal 2 3 2 2 2 6 3 2" xfId="29866" xr:uid="{00000000-0005-0000-0000-0000E9740000}"/>
    <cellStyle name="Normal 2 3 2 2 2 6 4" xfId="29867" xr:uid="{00000000-0005-0000-0000-0000EA740000}"/>
    <cellStyle name="Normal 2 3 2 2 2 7" xfId="29868" xr:uid="{00000000-0005-0000-0000-0000EB740000}"/>
    <cellStyle name="Normal 2 3 2 2 2 7 2" xfId="29869" xr:uid="{00000000-0005-0000-0000-0000EC740000}"/>
    <cellStyle name="Normal 2 3 2 2 2 8" xfId="29870" xr:uid="{00000000-0005-0000-0000-0000ED740000}"/>
    <cellStyle name="Normal 2 3 2 2 2 8 2" xfId="29871" xr:uid="{00000000-0005-0000-0000-0000EE740000}"/>
    <cellStyle name="Normal 2 3 2 2 2 9" xfId="29872" xr:uid="{00000000-0005-0000-0000-0000EF740000}"/>
    <cellStyle name="Normal 2 3 2 2 3" xfId="29873" xr:uid="{00000000-0005-0000-0000-0000F0740000}"/>
    <cellStyle name="Normal 2 3 2 2 3 2" xfId="29874" xr:uid="{00000000-0005-0000-0000-0000F1740000}"/>
    <cellStyle name="Normal 2 3 2 2 3 2 2" xfId="29875" xr:uid="{00000000-0005-0000-0000-0000F2740000}"/>
    <cellStyle name="Normal 2 3 2 2 3 2 2 2" xfId="29876" xr:uid="{00000000-0005-0000-0000-0000F3740000}"/>
    <cellStyle name="Normal 2 3 2 2 3 2 2 2 2" xfId="29877" xr:uid="{00000000-0005-0000-0000-0000F4740000}"/>
    <cellStyle name="Normal 2 3 2 2 3 2 2 2 2 2" xfId="29878" xr:uid="{00000000-0005-0000-0000-0000F5740000}"/>
    <cellStyle name="Normal 2 3 2 2 3 2 2 2 3" xfId="29879" xr:uid="{00000000-0005-0000-0000-0000F6740000}"/>
    <cellStyle name="Normal 2 3 2 2 3 2 2 2 3 2" xfId="29880" xr:uid="{00000000-0005-0000-0000-0000F7740000}"/>
    <cellStyle name="Normal 2 3 2 2 3 2 2 2 4" xfId="29881" xr:uid="{00000000-0005-0000-0000-0000F8740000}"/>
    <cellStyle name="Normal 2 3 2 2 3 2 2 3" xfId="29882" xr:uid="{00000000-0005-0000-0000-0000F9740000}"/>
    <cellStyle name="Normal 2 3 2 2 3 2 2 3 2" xfId="29883" xr:uid="{00000000-0005-0000-0000-0000FA740000}"/>
    <cellStyle name="Normal 2 3 2 2 3 2 2 4" xfId="29884" xr:uid="{00000000-0005-0000-0000-0000FB740000}"/>
    <cellStyle name="Normal 2 3 2 2 3 2 2 4 2" xfId="29885" xr:uid="{00000000-0005-0000-0000-0000FC740000}"/>
    <cellStyle name="Normal 2 3 2 2 3 2 2 5" xfId="29886" xr:uid="{00000000-0005-0000-0000-0000FD740000}"/>
    <cellStyle name="Normal 2 3 2 2 3 2 3" xfId="29887" xr:uid="{00000000-0005-0000-0000-0000FE740000}"/>
    <cellStyle name="Normal 2 3 2 2 3 2 3 2" xfId="29888" xr:uid="{00000000-0005-0000-0000-0000FF740000}"/>
    <cellStyle name="Normal 2 3 2 2 3 2 3 2 2" xfId="29889" xr:uid="{00000000-0005-0000-0000-000000750000}"/>
    <cellStyle name="Normal 2 3 2 2 3 2 3 3" xfId="29890" xr:uid="{00000000-0005-0000-0000-000001750000}"/>
    <cellStyle name="Normal 2 3 2 2 3 2 3 3 2" xfId="29891" xr:uid="{00000000-0005-0000-0000-000002750000}"/>
    <cellStyle name="Normal 2 3 2 2 3 2 3 4" xfId="29892" xr:uid="{00000000-0005-0000-0000-000003750000}"/>
    <cellStyle name="Normal 2 3 2 2 3 2 4" xfId="29893" xr:uid="{00000000-0005-0000-0000-000004750000}"/>
    <cellStyle name="Normal 2 3 2 2 3 2 4 2" xfId="29894" xr:uid="{00000000-0005-0000-0000-000005750000}"/>
    <cellStyle name="Normal 2 3 2 2 3 2 5" xfId="29895" xr:uid="{00000000-0005-0000-0000-000006750000}"/>
    <cellStyle name="Normal 2 3 2 2 3 2 5 2" xfId="29896" xr:uid="{00000000-0005-0000-0000-000007750000}"/>
    <cellStyle name="Normal 2 3 2 2 3 2 6" xfId="29897" xr:uid="{00000000-0005-0000-0000-000008750000}"/>
    <cellStyle name="Normal 2 3 2 2 3 3" xfId="29898" xr:uid="{00000000-0005-0000-0000-000009750000}"/>
    <cellStyle name="Normal 2 3 2 2 3 3 2" xfId="29899" xr:uid="{00000000-0005-0000-0000-00000A750000}"/>
    <cellStyle name="Normal 2 3 2 2 3 3 2 2" xfId="29900" xr:uid="{00000000-0005-0000-0000-00000B750000}"/>
    <cellStyle name="Normal 2 3 2 2 3 3 2 2 2" xfId="29901" xr:uid="{00000000-0005-0000-0000-00000C750000}"/>
    <cellStyle name="Normal 2 3 2 2 3 3 2 3" xfId="29902" xr:uid="{00000000-0005-0000-0000-00000D750000}"/>
    <cellStyle name="Normal 2 3 2 2 3 3 2 3 2" xfId="29903" xr:uid="{00000000-0005-0000-0000-00000E750000}"/>
    <cellStyle name="Normal 2 3 2 2 3 3 2 4" xfId="29904" xr:uid="{00000000-0005-0000-0000-00000F750000}"/>
    <cellStyle name="Normal 2 3 2 2 3 3 3" xfId="29905" xr:uid="{00000000-0005-0000-0000-000010750000}"/>
    <cellStyle name="Normal 2 3 2 2 3 3 3 2" xfId="29906" xr:uid="{00000000-0005-0000-0000-000011750000}"/>
    <cellStyle name="Normal 2 3 2 2 3 3 4" xfId="29907" xr:uid="{00000000-0005-0000-0000-000012750000}"/>
    <cellStyle name="Normal 2 3 2 2 3 3 4 2" xfId="29908" xr:uid="{00000000-0005-0000-0000-000013750000}"/>
    <cellStyle name="Normal 2 3 2 2 3 3 5" xfId="29909" xr:uid="{00000000-0005-0000-0000-000014750000}"/>
    <cellStyle name="Normal 2 3 2 2 3 4" xfId="29910" xr:uid="{00000000-0005-0000-0000-000015750000}"/>
    <cellStyle name="Normal 2 3 2 2 3 4 2" xfId="29911" xr:uid="{00000000-0005-0000-0000-000016750000}"/>
    <cellStyle name="Normal 2 3 2 2 3 4 2 2" xfId="29912" xr:uid="{00000000-0005-0000-0000-000017750000}"/>
    <cellStyle name="Normal 2 3 2 2 3 4 3" xfId="29913" xr:uid="{00000000-0005-0000-0000-000018750000}"/>
    <cellStyle name="Normal 2 3 2 2 3 4 3 2" xfId="29914" xr:uid="{00000000-0005-0000-0000-000019750000}"/>
    <cellStyle name="Normal 2 3 2 2 3 4 4" xfId="29915" xr:uid="{00000000-0005-0000-0000-00001A750000}"/>
    <cellStyle name="Normal 2 3 2 2 3 5" xfId="29916" xr:uid="{00000000-0005-0000-0000-00001B750000}"/>
    <cellStyle name="Normal 2 3 2 2 3 5 2" xfId="29917" xr:uid="{00000000-0005-0000-0000-00001C750000}"/>
    <cellStyle name="Normal 2 3 2 2 3 6" xfId="29918" xr:uid="{00000000-0005-0000-0000-00001D750000}"/>
    <cellStyle name="Normal 2 3 2 2 3 6 2" xfId="29919" xr:uid="{00000000-0005-0000-0000-00001E750000}"/>
    <cellStyle name="Normal 2 3 2 2 3 7" xfId="29920" xr:uid="{00000000-0005-0000-0000-00001F750000}"/>
    <cellStyle name="Normal 2 3 2 2 4" xfId="29921" xr:uid="{00000000-0005-0000-0000-000020750000}"/>
    <cellStyle name="Normal 2 3 2 2 4 2" xfId="29922" xr:uid="{00000000-0005-0000-0000-000021750000}"/>
    <cellStyle name="Normal 2 3 2 2 4 2 2" xfId="29923" xr:uid="{00000000-0005-0000-0000-000022750000}"/>
    <cellStyle name="Normal 2 3 2 2 4 2 2 2" xfId="29924" xr:uid="{00000000-0005-0000-0000-000023750000}"/>
    <cellStyle name="Normal 2 3 2 2 4 2 2 2 2" xfId="29925" xr:uid="{00000000-0005-0000-0000-000024750000}"/>
    <cellStyle name="Normal 2 3 2 2 4 2 2 3" xfId="29926" xr:uid="{00000000-0005-0000-0000-000025750000}"/>
    <cellStyle name="Normal 2 3 2 2 4 2 2 3 2" xfId="29927" xr:uid="{00000000-0005-0000-0000-000026750000}"/>
    <cellStyle name="Normal 2 3 2 2 4 2 2 4" xfId="29928" xr:uid="{00000000-0005-0000-0000-000027750000}"/>
    <cellStyle name="Normal 2 3 2 2 4 2 3" xfId="29929" xr:uid="{00000000-0005-0000-0000-000028750000}"/>
    <cellStyle name="Normal 2 3 2 2 4 2 3 2" xfId="29930" xr:uid="{00000000-0005-0000-0000-000029750000}"/>
    <cellStyle name="Normal 2 3 2 2 4 2 4" xfId="29931" xr:uid="{00000000-0005-0000-0000-00002A750000}"/>
    <cellStyle name="Normal 2 3 2 2 4 2 4 2" xfId="29932" xr:uid="{00000000-0005-0000-0000-00002B750000}"/>
    <cellStyle name="Normal 2 3 2 2 4 2 5" xfId="29933" xr:uid="{00000000-0005-0000-0000-00002C750000}"/>
    <cellStyle name="Normal 2 3 2 2 4 3" xfId="29934" xr:uid="{00000000-0005-0000-0000-00002D750000}"/>
    <cellStyle name="Normal 2 3 2 2 4 3 2" xfId="29935" xr:uid="{00000000-0005-0000-0000-00002E750000}"/>
    <cellStyle name="Normal 2 3 2 2 4 3 2 2" xfId="29936" xr:uid="{00000000-0005-0000-0000-00002F750000}"/>
    <cellStyle name="Normal 2 3 2 2 4 3 3" xfId="29937" xr:uid="{00000000-0005-0000-0000-000030750000}"/>
    <cellStyle name="Normal 2 3 2 2 4 3 3 2" xfId="29938" xr:uid="{00000000-0005-0000-0000-000031750000}"/>
    <cellStyle name="Normal 2 3 2 2 4 3 4" xfId="29939" xr:uid="{00000000-0005-0000-0000-000032750000}"/>
    <cellStyle name="Normal 2 3 2 2 4 4" xfId="29940" xr:uid="{00000000-0005-0000-0000-000033750000}"/>
    <cellStyle name="Normal 2 3 2 2 4 4 2" xfId="29941" xr:uid="{00000000-0005-0000-0000-000034750000}"/>
    <cellStyle name="Normal 2 3 2 2 4 5" xfId="29942" xr:uid="{00000000-0005-0000-0000-000035750000}"/>
    <cellStyle name="Normal 2 3 2 2 4 5 2" xfId="29943" xr:uid="{00000000-0005-0000-0000-000036750000}"/>
    <cellStyle name="Normal 2 3 2 2 4 6" xfId="29944" xr:uid="{00000000-0005-0000-0000-000037750000}"/>
    <cellStyle name="Normal 2 3 2 2 5" xfId="29945" xr:uid="{00000000-0005-0000-0000-000038750000}"/>
    <cellStyle name="Normal 2 3 2 2 5 2" xfId="29946" xr:uid="{00000000-0005-0000-0000-000039750000}"/>
    <cellStyle name="Normal 2 3 2 2 5 2 2" xfId="29947" xr:uid="{00000000-0005-0000-0000-00003A750000}"/>
    <cellStyle name="Normal 2 3 2 2 5 2 2 2" xfId="29948" xr:uid="{00000000-0005-0000-0000-00003B750000}"/>
    <cellStyle name="Normal 2 3 2 2 5 2 3" xfId="29949" xr:uid="{00000000-0005-0000-0000-00003C750000}"/>
    <cellStyle name="Normal 2 3 2 2 5 2 3 2" xfId="29950" xr:uid="{00000000-0005-0000-0000-00003D750000}"/>
    <cellStyle name="Normal 2 3 2 2 5 2 4" xfId="29951" xr:uid="{00000000-0005-0000-0000-00003E750000}"/>
    <cellStyle name="Normal 2 3 2 2 5 3" xfId="29952" xr:uid="{00000000-0005-0000-0000-00003F750000}"/>
    <cellStyle name="Normal 2 3 2 2 5 3 2" xfId="29953" xr:uid="{00000000-0005-0000-0000-000040750000}"/>
    <cellStyle name="Normal 2 3 2 2 5 4" xfId="29954" xr:uid="{00000000-0005-0000-0000-000041750000}"/>
    <cellStyle name="Normal 2 3 2 2 5 4 2" xfId="29955" xr:uid="{00000000-0005-0000-0000-000042750000}"/>
    <cellStyle name="Normal 2 3 2 2 5 5" xfId="29956" xr:uid="{00000000-0005-0000-0000-000043750000}"/>
    <cellStyle name="Normal 2 3 2 2 6" xfId="29957" xr:uid="{00000000-0005-0000-0000-000044750000}"/>
    <cellStyle name="Normal 2 3 2 2 6 2" xfId="29958" xr:uid="{00000000-0005-0000-0000-000045750000}"/>
    <cellStyle name="Normal 2 3 2 2 6 2 2" xfId="29959" xr:uid="{00000000-0005-0000-0000-000046750000}"/>
    <cellStyle name="Normal 2 3 2 2 6 3" xfId="29960" xr:uid="{00000000-0005-0000-0000-000047750000}"/>
    <cellStyle name="Normal 2 3 2 2 6 3 2" xfId="29961" xr:uid="{00000000-0005-0000-0000-000048750000}"/>
    <cellStyle name="Normal 2 3 2 2 6 4" xfId="29962" xr:uid="{00000000-0005-0000-0000-000049750000}"/>
    <cellStyle name="Normal 2 3 2 2 7" xfId="29963" xr:uid="{00000000-0005-0000-0000-00004A750000}"/>
    <cellStyle name="Normal 2 3 2 2 7 2" xfId="29964" xr:uid="{00000000-0005-0000-0000-00004B750000}"/>
    <cellStyle name="Normal 2 3 2 2 8" xfId="29965" xr:uid="{00000000-0005-0000-0000-00004C750000}"/>
    <cellStyle name="Normal 2 3 2 2 8 2" xfId="29966" xr:uid="{00000000-0005-0000-0000-00004D750000}"/>
    <cellStyle name="Normal 2 3 2 2 9" xfId="29967" xr:uid="{00000000-0005-0000-0000-00004E750000}"/>
    <cellStyle name="Normal 2 3 2 3" xfId="29968" xr:uid="{00000000-0005-0000-0000-00004F750000}"/>
    <cellStyle name="Normal 2 3 2 3 2" xfId="29969" xr:uid="{00000000-0005-0000-0000-000050750000}"/>
    <cellStyle name="Normal 2 3 2 3 2 2" xfId="29970" xr:uid="{00000000-0005-0000-0000-000051750000}"/>
    <cellStyle name="Normal 2 3 2 3 2 2 2" xfId="29971" xr:uid="{00000000-0005-0000-0000-000052750000}"/>
    <cellStyle name="Normal 2 3 2 3 2 2 2 2" xfId="29972" xr:uid="{00000000-0005-0000-0000-000053750000}"/>
    <cellStyle name="Normal 2 3 2 3 2 2 2 2 2" xfId="29973" xr:uid="{00000000-0005-0000-0000-000054750000}"/>
    <cellStyle name="Normal 2 3 2 3 2 2 2 3" xfId="29974" xr:uid="{00000000-0005-0000-0000-000055750000}"/>
    <cellStyle name="Normal 2 3 2 3 2 2 2 3 2" xfId="29975" xr:uid="{00000000-0005-0000-0000-000056750000}"/>
    <cellStyle name="Normal 2 3 2 3 2 2 2 4" xfId="29976" xr:uid="{00000000-0005-0000-0000-000057750000}"/>
    <cellStyle name="Normal 2 3 2 3 2 2 3" xfId="29977" xr:uid="{00000000-0005-0000-0000-000058750000}"/>
    <cellStyle name="Normal 2 3 2 3 2 2 3 2" xfId="29978" xr:uid="{00000000-0005-0000-0000-000059750000}"/>
    <cellStyle name="Normal 2 3 2 3 2 2 4" xfId="29979" xr:uid="{00000000-0005-0000-0000-00005A750000}"/>
    <cellStyle name="Normal 2 3 2 3 2 2 4 2" xfId="29980" xr:uid="{00000000-0005-0000-0000-00005B750000}"/>
    <cellStyle name="Normal 2 3 2 3 2 2 5" xfId="29981" xr:uid="{00000000-0005-0000-0000-00005C750000}"/>
    <cellStyle name="Normal 2 3 2 3 2 3" xfId="29982" xr:uid="{00000000-0005-0000-0000-00005D750000}"/>
    <cellStyle name="Normal 2 3 2 3 2 3 2" xfId="29983" xr:uid="{00000000-0005-0000-0000-00005E750000}"/>
    <cellStyle name="Normal 2 3 2 3 2 3 2 2" xfId="29984" xr:uid="{00000000-0005-0000-0000-00005F750000}"/>
    <cellStyle name="Normal 2 3 2 3 2 3 3" xfId="29985" xr:uid="{00000000-0005-0000-0000-000060750000}"/>
    <cellStyle name="Normal 2 3 2 3 2 3 3 2" xfId="29986" xr:uid="{00000000-0005-0000-0000-000061750000}"/>
    <cellStyle name="Normal 2 3 2 3 2 3 4" xfId="29987" xr:uid="{00000000-0005-0000-0000-000062750000}"/>
    <cellStyle name="Normal 2 3 2 3 2 4" xfId="29988" xr:uid="{00000000-0005-0000-0000-000063750000}"/>
    <cellStyle name="Normal 2 3 2 3 2 4 2" xfId="29989" xr:uid="{00000000-0005-0000-0000-000064750000}"/>
    <cellStyle name="Normal 2 3 2 3 2 5" xfId="29990" xr:uid="{00000000-0005-0000-0000-000065750000}"/>
    <cellStyle name="Normal 2 3 2 3 2 5 2" xfId="29991" xr:uid="{00000000-0005-0000-0000-000066750000}"/>
    <cellStyle name="Normal 2 3 2 3 2 6" xfId="29992" xr:uid="{00000000-0005-0000-0000-000067750000}"/>
    <cellStyle name="Normal 2 3 2 3 3" xfId="29993" xr:uid="{00000000-0005-0000-0000-000068750000}"/>
    <cellStyle name="Normal 2 3 2 3 3 2" xfId="29994" xr:uid="{00000000-0005-0000-0000-000069750000}"/>
    <cellStyle name="Normal 2 3 2 3 3 2 2" xfId="29995" xr:uid="{00000000-0005-0000-0000-00006A750000}"/>
    <cellStyle name="Normal 2 3 2 3 3 2 2 2" xfId="29996" xr:uid="{00000000-0005-0000-0000-00006B750000}"/>
    <cellStyle name="Normal 2 3 2 3 3 2 3" xfId="29997" xr:uid="{00000000-0005-0000-0000-00006C750000}"/>
    <cellStyle name="Normal 2 3 2 3 3 2 3 2" xfId="29998" xr:uid="{00000000-0005-0000-0000-00006D750000}"/>
    <cellStyle name="Normal 2 3 2 3 3 2 4" xfId="29999" xr:uid="{00000000-0005-0000-0000-00006E750000}"/>
    <cellStyle name="Normal 2 3 2 3 3 3" xfId="30000" xr:uid="{00000000-0005-0000-0000-00006F750000}"/>
    <cellStyle name="Normal 2 3 2 3 3 3 2" xfId="30001" xr:uid="{00000000-0005-0000-0000-000070750000}"/>
    <cellStyle name="Normal 2 3 2 3 3 4" xfId="30002" xr:uid="{00000000-0005-0000-0000-000071750000}"/>
    <cellStyle name="Normal 2 3 2 3 3 4 2" xfId="30003" xr:uid="{00000000-0005-0000-0000-000072750000}"/>
    <cellStyle name="Normal 2 3 2 3 3 5" xfId="30004" xr:uid="{00000000-0005-0000-0000-000073750000}"/>
    <cellStyle name="Normal 2 3 2 3 4" xfId="30005" xr:uid="{00000000-0005-0000-0000-000074750000}"/>
    <cellStyle name="Normal 2 3 2 3 4 2" xfId="30006" xr:uid="{00000000-0005-0000-0000-000075750000}"/>
    <cellStyle name="Normal 2 3 2 3 4 2 2" xfId="30007" xr:uid="{00000000-0005-0000-0000-000076750000}"/>
    <cellStyle name="Normal 2 3 2 3 4 3" xfId="30008" xr:uid="{00000000-0005-0000-0000-000077750000}"/>
    <cellStyle name="Normal 2 3 2 3 4 3 2" xfId="30009" xr:uid="{00000000-0005-0000-0000-000078750000}"/>
    <cellStyle name="Normal 2 3 2 3 4 4" xfId="30010" xr:uid="{00000000-0005-0000-0000-000079750000}"/>
    <cellStyle name="Normal 2 3 2 3 5" xfId="30011" xr:uid="{00000000-0005-0000-0000-00007A750000}"/>
    <cellStyle name="Normal 2 3 2 3 5 2" xfId="30012" xr:uid="{00000000-0005-0000-0000-00007B750000}"/>
    <cellStyle name="Normal 2 3 2 3 6" xfId="30013" xr:uid="{00000000-0005-0000-0000-00007C750000}"/>
    <cellStyle name="Normal 2 3 2 3 6 2" xfId="30014" xr:uid="{00000000-0005-0000-0000-00007D750000}"/>
    <cellStyle name="Normal 2 3 2 3 7" xfId="30015" xr:uid="{00000000-0005-0000-0000-00007E750000}"/>
    <cellStyle name="Normal 2 3 2 4" xfId="30016" xr:uid="{00000000-0005-0000-0000-00007F750000}"/>
    <cellStyle name="Normal 2 3 2 4 2" xfId="30017" xr:uid="{00000000-0005-0000-0000-000080750000}"/>
    <cellStyle name="Normal 2 3 2 4 2 2" xfId="30018" xr:uid="{00000000-0005-0000-0000-000081750000}"/>
    <cellStyle name="Normal 2 3 2 4 2 2 2" xfId="30019" xr:uid="{00000000-0005-0000-0000-000082750000}"/>
    <cellStyle name="Normal 2 3 2 4 2 2 2 2" xfId="30020" xr:uid="{00000000-0005-0000-0000-000083750000}"/>
    <cellStyle name="Normal 2 3 2 4 2 2 3" xfId="30021" xr:uid="{00000000-0005-0000-0000-000084750000}"/>
    <cellStyle name="Normal 2 3 2 4 2 2 3 2" xfId="30022" xr:uid="{00000000-0005-0000-0000-000085750000}"/>
    <cellStyle name="Normal 2 3 2 4 2 2 4" xfId="30023" xr:uid="{00000000-0005-0000-0000-000086750000}"/>
    <cellStyle name="Normal 2 3 2 4 2 3" xfId="30024" xr:uid="{00000000-0005-0000-0000-000087750000}"/>
    <cellStyle name="Normal 2 3 2 4 2 3 2" xfId="30025" xr:uid="{00000000-0005-0000-0000-000088750000}"/>
    <cellStyle name="Normal 2 3 2 4 2 4" xfId="30026" xr:uid="{00000000-0005-0000-0000-000089750000}"/>
    <cellStyle name="Normal 2 3 2 4 2 4 2" xfId="30027" xr:uid="{00000000-0005-0000-0000-00008A750000}"/>
    <cellStyle name="Normal 2 3 2 4 2 5" xfId="30028" xr:uid="{00000000-0005-0000-0000-00008B750000}"/>
    <cellStyle name="Normal 2 3 2 4 3" xfId="30029" xr:uid="{00000000-0005-0000-0000-00008C750000}"/>
    <cellStyle name="Normal 2 3 2 4 3 2" xfId="30030" xr:uid="{00000000-0005-0000-0000-00008D750000}"/>
    <cellStyle name="Normal 2 3 2 4 3 2 2" xfId="30031" xr:uid="{00000000-0005-0000-0000-00008E750000}"/>
    <cellStyle name="Normal 2 3 2 4 3 3" xfId="30032" xr:uid="{00000000-0005-0000-0000-00008F750000}"/>
    <cellStyle name="Normal 2 3 2 4 3 3 2" xfId="30033" xr:uid="{00000000-0005-0000-0000-000090750000}"/>
    <cellStyle name="Normal 2 3 2 4 3 4" xfId="30034" xr:uid="{00000000-0005-0000-0000-000091750000}"/>
    <cellStyle name="Normal 2 3 2 4 4" xfId="30035" xr:uid="{00000000-0005-0000-0000-000092750000}"/>
    <cellStyle name="Normal 2 3 2 4 4 2" xfId="30036" xr:uid="{00000000-0005-0000-0000-000093750000}"/>
    <cellStyle name="Normal 2 3 2 4 5" xfId="30037" xr:uid="{00000000-0005-0000-0000-000094750000}"/>
    <cellStyle name="Normal 2 3 2 4 5 2" xfId="30038" xr:uid="{00000000-0005-0000-0000-000095750000}"/>
    <cellStyle name="Normal 2 3 2 4 6" xfId="30039" xr:uid="{00000000-0005-0000-0000-000096750000}"/>
    <cellStyle name="Normal 2 3 2 5" xfId="30040" xr:uid="{00000000-0005-0000-0000-000097750000}"/>
    <cellStyle name="Normal 2 3 2 5 2" xfId="30041" xr:uid="{00000000-0005-0000-0000-000098750000}"/>
    <cellStyle name="Normal 2 3 2 5 2 2" xfId="30042" xr:uid="{00000000-0005-0000-0000-000099750000}"/>
    <cellStyle name="Normal 2 3 2 5 2 2 2" xfId="30043" xr:uid="{00000000-0005-0000-0000-00009A750000}"/>
    <cellStyle name="Normal 2 3 2 5 2 3" xfId="30044" xr:uid="{00000000-0005-0000-0000-00009B750000}"/>
    <cellStyle name="Normal 2 3 2 5 2 3 2" xfId="30045" xr:uid="{00000000-0005-0000-0000-00009C750000}"/>
    <cellStyle name="Normal 2 3 2 5 2 4" xfId="30046" xr:uid="{00000000-0005-0000-0000-00009D750000}"/>
    <cellStyle name="Normal 2 3 2 5 3" xfId="30047" xr:uid="{00000000-0005-0000-0000-00009E750000}"/>
    <cellStyle name="Normal 2 3 2 5 3 2" xfId="30048" xr:uid="{00000000-0005-0000-0000-00009F750000}"/>
    <cellStyle name="Normal 2 3 2 5 4" xfId="30049" xr:uid="{00000000-0005-0000-0000-0000A0750000}"/>
    <cellStyle name="Normal 2 3 2 5 4 2" xfId="30050" xr:uid="{00000000-0005-0000-0000-0000A1750000}"/>
    <cellStyle name="Normal 2 3 2 5 5" xfId="30051" xr:uid="{00000000-0005-0000-0000-0000A2750000}"/>
    <cellStyle name="Normal 2 3 2 6" xfId="30052" xr:uid="{00000000-0005-0000-0000-0000A3750000}"/>
    <cellStyle name="Normal 2 3 2 6 2" xfId="30053" xr:uid="{00000000-0005-0000-0000-0000A4750000}"/>
    <cellStyle name="Normal 2 3 2 6 2 2" xfId="30054" xr:uid="{00000000-0005-0000-0000-0000A5750000}"/>
    <cellStyle name="Normal 2 3 2 6 3" xfId="30055" xr:uid="{00000000-0005-0000-0000-0000A6750000}"/>
    <cellStyle name="Normal 2 3 2 6 3 2" xfId="30056" xr:uid="{00000000-0005-0000-0000-0000A7750000}"/>
    <cellStyle name="Normal 2 3 2 6 4" xfId="30057" xr:uid="{00000000-0005-0000-0000-0000A8750000}"/>
    <cellStyle name="Normal 2 3 2 7" xfId="30058" xr:uid="{00000000-0005-0000-0000-0000A9750000}"/>
    <cellStyle name="Normal 2 3 2 7 2" xfId="30059" xr:uid="{00000000-0005-0000-0000-0000AA750000}"/>
    <cellStyle name="Normal 2 3 2 8" xfId="30060" xr:uid="{00000000-0005-0000-0000-0000AB750000}"/>
    <cellStyle name="Normal 2 3 2 8 2" xfId="30061" xr:uid="{00000000-0005-0000-0000-0000AC750000}"/>
    <cellStyle name="Normal 2 3 2 9" xfId="30062" xr:uid="{00000000-0005-0000-0000-0000AD750000}"/>
    <cellStyle name="Normal 2 3 3" xfId="30063" xr:uid="{00000000-0005-0000-0000-0000AE750000}"/>
    <cellStyle name="Normal 2 3 3 2" xfId="30064" xr:uid="{00000000-0005-0000-0000-0000AF750000}"/>
    <cellStyle name="Normal 2 3 3 2 2" xfId="30065" xr:uid="{00000000-0005-0000-0000-0000B0750000}"/>
    <cellStyle name="Normal 2 3 3 2 2 2" xfId="30066" xr:uid="{00000000-0005-0000-0000-0000B1750000}"/>
    <cellStyle name="Normal 2 3 3 2 2 2 2" xfId="30067" xr:uid="{00000000-0005-0000-0000-0000B2750000}"/>
    <cellStyle name="Normal 2 3 3 2 2 2 2 2" xfId="30068" xr:uid="{00000000-0005-0000-0000-0000B3750000}"/>
    <cellStyle name="Normal 2 3 3 2 2 2 3" xfId="30069" xr:uid="{00000000-0005-0000-0000-0000B4750000}"/>
    <cellStyle name="Normal 2 3 3 2 2 2 3 2" xfId="30070" xr:uid="{00000000-0005-0000-0000-0000B5750000}"/>
    <cellStyle name="Normal 2 3 3 2 2 2 4" xfId="30071" xr:uid="{00000000-0005-0000-0000-0000B6750000}"/>
    <cellStyle name="Normal 2 3 3 2 2 3" xfId="30072" xr:uid="{00000000-0005-0000-0000-0000B7750000}"/>
    <cellStyle name="Normal 2 3 3 2 2 3 2" xfId="30073" xr:uid="{00000000-0005-0000-0000-0000B8750000}"/>
    <cellStyle name="Normal 2 3 3 2 2 4" xfId="30074" xr:uid="{00000000-0005-0000-0000-0000B9750000}"/>
    <cellStyle name="Normal 2 3 3 2 2 4 2" xfId="30075" xr:uid="{00000000-0005-0000-0000-0000BA750000}"/>
    <cellStyle name="Normal 2 3 3 2 2 5" xfId="30076" xr:uid="{00000000-0005-0000-0000-0000BB750000}"/>
    <cellStyle name="Normal 2 3 3 2 3" xfId="30077" xr:uid="{00000000-0005-0000-0000-0000BC750000}"/>
    <cellStyle name="Normal 2 3 3 2 3 2" xfId="30078" xr:uid="{00000000-0005-0000-0000-0000BD750000}"/>
    <cellStyle name="Normal 2 3 3 2 3 2 2" xfId="30079" xr:uid="{00000000-0005-0000-0000-0000BE750000}"/>
    <cellStyle name="Normal 2 3 3 2 3 3" xfId="30080" xr:uid="{00000000-0005-0000-0000-0000BF750000}"/>
    <cellStyle name="Normal 2 3 3 2 3 3 2" xfId="30081" xr:uid="{00000000-0005-0000-0000-0000C0750000}"/>
    <cellStyle name="Normal 2 3 3 2 3 4" xfId="30082" xr:uid="{00000000-0005-0000-0000-0000C1750000}"/>
    <cellStyle name="Normal 2 3 3 2 4" xfId="30083" xr:uid="{00000000-0005-0000-0000-0000C2750000}"/>
    <cellStyle name="Normal 2 3 3 2 4 2" xfId="30084" xr:uid="{00000000-0005-0000-0000-0000C3750000}"/>
    <cellStyle name="Normal 2 3 3 2 5" xfId="30085" xr:uid="{00000000-0005-0000-0000-0000C4750000}"/>
    <cellStyle name="Normal 2 3 3 2 5 2" xfId="30086" xr:uid="{00000000-0005-0000-0000-0000C5750000}"/>
    <cellStyle name="Normal 2 3 3 2 6" xfId="30087" xr:uid="{00000000-0005-0000-0000-0000C6750000}"/>
    <cellStyle name="Normal 2 3 3 3" xfId="30088" xr:uid="{00000000-0005-0000-0000-0000C7750000}"/>
    <cellStyle name="Normal 2 3 3 3 2" xfId="30089" xr:uid="{00000000-0005-0000-0000-0000C8750000}"/>
    <cellStyle name="Normal 2 3 3 3 2 2" xfId="30090" xr:uid="{00000000-0005-0000-0000-0000C9750000}"/>
    <cellStyle name="Normal 2 3 3 3 2 2 2" xfId="30091" xr:uid="{00000000-0005-0000-0000-0000CA750000}"/>
    <cellStyle name="Normal 2 3 3 3 2 3" xfId="30092" xr:uid="{00000000-0005-0000-0000-0000CB750000}"/>
    <cellStyle name="Normal 2 3 3 3 2 3 2" xfId="30093" xr:uid="{00000000-0005-0000-0000-0000CC750000}"/>
    <cellStyle name="Normal 2 3 3 3 2 4" xfId="30094" xr:uid="{00000000-0005-0000-0000-0000CD750000}"/>
    <cellStyle name="Normal 2 3 3 3 3" xfId="30095" xr:uid="{00000000-0005-0000-0000-0000CE750000}"/>
    <cellStyle name="Normal 2 3 3 3 3 2" xfId="30096" xr:uid="{00000000-0005-0000-0000-0000CF750000}"/>
    <cellStyle name="Normal 2 3 3 3 4" xfId="30097" xr:uid="{00000000-0005-0000-0000-0000D0750000}"/>
    <cellStyle name="Normal 2 3 3 3 4 2" xfId="30098" xr:uid="{00000000-0005-0000-0000-0000D1750000}"/>
    <cellStyle name="Normal 2 3 3 3 5" xfId="30099" xr:uid="{00000000-0005-0000-0000-0000D2750000}"/>
    <cellStyle name="Normal 2 3 3 4" xfId="30100" xr:uid="{00000000-0005-0000-0000-0000D3750000}"/>
    <cellStyle name="Normal 2 3 3 4 2" xfId="30101" xr:uid="{00000000-0005-0000-0000-0000D4750000}"/>
    <cellStyle name="Normal 2 3 3 4 2 2" xfId="30102" xr:uid="{00000000-0005-0000-0000-0000D5750000}"/>
    <cellStyle name="Normal 2 3 3 4 3" xfId="30103" xr:uid="{00000000-0005-0000-0000-0000D6750000}"/>
    <cellStyle name="Normal 2 3 3 4 3 2" xfId="30104" xr:uid="{00000000-0005-0000-0000-0000D7750000}"/>
    <cellStyle name="Normal 2 3 3 4 4" xfId="30105" xr:uid="{00000000-0005-0000-0000-0000D8750000}"/>
    <cellStyle name="Normal 2 3 3 5" xfId="30106" xr:uid="{00000000-0005-0000-0000-0000D9750000}"/>
    <cellStyle name="Normal 2 3 3 5 2" xfId="30107" xr:uid="{00000000-0005-0000-0000-0000DA750000}"/>
    <cellStyle name="Normal 2 3 3 6" xfId="30108" xr:uid="{00000000-0005-0000-0000-0000DB750000}"/>
    <cellStyle name="Normal 2 3 3 6 2" xfId="30109" xr:uid="{00000000-0005-0000-0000-0000DC750000}"/>
    <cellStyle name="Normal 2 3 3 7" xfId="30110" xr:uid="{00000000-0005-0000-0000-0000DD750000}"/>
    <cellStyle name="Normal 2 3 4" xfId="30111" xr:uid="{00000000-0005-0000-0000-0000DE750000}"/>
    <cellStyle name="Normal 2 3 4 2" xfId="30112" xr:uid="{00000000-0005-0000-0000-0000DF750000}"/>
    <cellStyle name="Normal 2 3 4 2 2" xfId="30113" xr:uid="{00000000-0005-0000-0000-0000E0750000}"/>
    <cellStyle name="Normal 2 3 4 2 2 2" xfId="30114" xr:uid="{00000000-0005-0000-0000-0000E1750000}"/>
    <cellStyle name="Normal 2 3 4 2 2 2 2" xfId="30115" xr:uid="{00000000-0005-0000-0000-0000E2750000}"/>
    <cellStyle name="Normal 2 3 4 2 2 3" xfId="30116" xr:uid="{00000000-0005-0000-0000-0000E3750000}"/>
    <cellStyle name="Normal 2 3 4 2 2 3 2" xfId="30117" xr:uid="{00000000-0005-0000-0000-0000E4750000}"/>
    <cellStyle name="Normal 2 3 4 2 2 4" xfId="30118" xr:uid="{00000000-0005-0000-0000-0000E5750000}"/>
    <cellStyle name="Normal 2 3 4 2 3" xfId="30119" xr:uid="{00000000-0005-0000-0000-0000E6750000}"/>
    <cellStyle name="Normal 2 3 4 2 3 2" xfId="30120" xr:uid="{00000000-0005-0000-0000-0000E7750000}"/>
    <cellStyle name="Normal 2 3 4 2 4" xfId="30121" xr:uid="{00000000-0005-0000-0000-0000E8750000}"/>
    <cellStyle name="Normal 2 3 4 2 4 2" xfId="30122" xr:uid="{00000000-0005-0000-0000-0000E9750000}"/>
    <cellStyle name="Normal 2 3 4 2 5" xfId="30123" xr:uid="{00000000-0005-0000-0000-0000EA750000}"/>
    <cellStyle name="Normal 2 3 4 3" xfId="30124" xr:uid="{00000000-0005-0000-0000-0000EB750000}"/>
    <cellStyle name="Normal 2 3 4 3 2" xfId="30125" xr:uid="{00000000-0005-0000-0000-0000EC750000}"/>
    <cellStyle name="Normal 2 3 4 3 2 2" xfId="30126" xr:uid="{00000000-0005-0000-0000-0000ED750000}"/>
    <cellStyle name="Normal 2 3 4 3 3" xfId="30127" xr:uid="{00000000-0005-0000-0000-0000EE750000}"/>
    <cellStyle name="Normal 2 3 4 3 3 2" xfId="30128" xr:uid="{00000000-0005-0000-0000-0000EF750000}"/>
    <cellStyle name="Normal 2 3 4 3 4" xfId="30129" xr:uid="{00000000-0005-0000-0000-0000F0750000}"/>
    <cellStyle name="Normal 2 3 4 4" xfId="30130" xr:uid="{00000000-0005-0000-0000-0000F1750000}"/>
    <cellStyle name="Normal 2 3 4 4 2" xfId="30131" xr:uid="{00000000-0005-0000-0000-0000F2750000}"/>
    <cellStyle name="Normal 2 3 4 5" xfId="30132" xr:uid="{00000000-0005-0000-0000-0000F3750000}"/>
    <cellStyle name="Normal 2 3 4 5 2" xfId="30133" xr:uid="{00000000-0005-0000-0000-0000F4750000}"/>
    <cellStyle name="Normal 2 3 4 6" xfId="30134" xr:uid="{00000000-0005-0000-0000-0000F5750000}"/>
    <cellStyle name="Normal 2 3 5" xfId="30135" xr:uid="{00000000-0005-0000-0000-0000F6750000}"/>
    <cellStyle name="Normal 2 3 5 2" xfId="30136" xr:uid="{00000000-0005-0000-0000-0000F7750000}"/>
    <cellStyle name="Normal 2 3 5 2 2" xfId="30137" xr:uid="{00000000-0005-0000-0000-0000F8750000}"/>
    <cellStyle name="Normal 2 3 5 2 2 2" xfId="30138" xr:uid="{00000000-0005-0000-0000-0000F9750000}"/>
    <cellStyle name="Normal 2 3 5 2 3" xfId="30139" xr:uid="{00000000-0005-0000-0000-0000FA750000}"/>
    <cellStyle name="Normal 2 3 5 2 3 2" xfId="30140" xr:uid="{00000000-0005-0000-0000-0000FB750000}"/>
    <cellStyle name="Normal 2 3 5 2 4" xfId="30141" xr:uid="{00000000-0005-0000-0000-0000FC750000}"/>
    <cellStyle name="Normal 2 3 5 3" xfId="30142" xr:uid="{00000000-0005-0000-0000-0000FD750000}"/>
    <cellStyle name="Normal 2 3 5 3 2" xfId="30143" xr:uid="{00000000-0005-0000-0000-0000FE750000}"/>
    <cellStyle name="Normal 2 3 5 4" xfId="30144" xr:uid="{00000000-0005-0000-0000-0000FF750000}"/>
    <cellStyle name="Normal 2 3 5 4 2" xfId="30145" xr:uid="{00000000-0005-0000-0000-000000760000}"/>
    <cellStyle name="Normal 2 3 5 5" xfId="30146" xr:uid="{00000000-0005-0000-0000-000001760000}"/>
    <cellStyle name="Normal 2 3 6" xfId="30147" xr:uid="{00000000-0005-0000-0000-000002760000}"/>
    <cellStyle name="Normal 2 3 6 2" xfId="30148" xr:uid="{00000000-0005-0000-0000-000003760000}"/>
    <cellStyle name="Normal 2 3 6 2 2" xfId="30149" xr:uid="{00000000-0005-0000-0000-000004760000}"/>
    <cellStyle name="Normal 2 3 6 3" xfId="30150" xr:uid="{00000000-0005-0000-0000-000005760000}"/>
    <cellStyle name="Normal 2 3 6 3 2" xfId="30151" xr:uid="{00000000-0005-0000-0000-000006760000}"/>
    <cellStyle name="Normal 2 3 6 4" xfId="30152" xr:uid="{00000000-0005-0000-0000-000007760000}"/>
    <cellStyle name="Normal 2 3 7" xfId="30153" xr:uid="{00000000-0005-0000-0000-000008760000}"/>
    <cellStyle name="Normal 2 3 7 2" xfId="30154" xr:uid="{00000000-0005-0000-0000-000009760000}"/>
    <cellStyle name="Normal 2 3 8" xfId="30155" xr:uid="{00000000-0005-0000-0000-00000A760000}"/>
    <cellStyle name="Normal 2 3 8 2" xfId="30156" xr:uid="{00000000-0005-0000-0000-00000B760000}"/>
    <cellStyle name="Normal 2 3 9" xfId="30157" xr:uid="{00000000-0005-0000-0000-00000C760000}"/>
    <cellStyle name="Normal 2 4" xfId="30158" xr:uid="{00000000-0005-0000-0000-00000D760000}"/>
    <cellStyle name="Normal 2 4 10" xfId="30159" xr:uid="{00000000-0005-0000-0000-00000E760000}"/>
    <cellStyle name="Normal 2 4 11" xfId="30160" xr:uid="{00000000-0005-0000-0000-00000F760000}"/>
    <cellStyle name="Normal 2 4 12" xfId="30161" xr:uid="{00000000-0005-0000-0000-000010760000}"/>
    <cellStyle name="Normal 2 4 13" xfId="30162" xr:uid="{00000000-0005-0000-0000-000011760000}"/>
    <cellStyle name="Normal 2 4 14" xfId="30163" xr:uid="{00000000-0005-0000-0000-000012760000}"/>
    <cellStyle name="Normal 2 4 15" xfId="30164" xr:uid="{00000000-0005-0000-0000-000013760000}"/>
    <cellStyle name="Normal 2 4 16" xfId="30165" xr:uid="{00000000-0005-0000-0000-000014760000}"/>
    <cellStyle name="Normal 2 4 17" xfId="30166" xr:uid="{00000000-0005-0000-0000-000015760000}"/>
    <cellStyle name="Normal 2 4 18" xfId="30167" xr:uid="{00000000-0005-0000-0000-000016760000}"/>
    <cellStyle name="Normal 2 4 19" xfId="30168" xr:uid="{00000000-0005-0000-0000-000017760000}"/>
    <cellStyle name="Normal 2 4 2" xfId="30169" xr:uid="{00000000-0005-0000-0000-000018760000}"/>
    <cellStyle name="Normal 2 4 2 2" xfId="30170" xr:uid="{00000000-0005-0000-0000-000019760000}"/>
    <cellStyle name="Normal 2 4 2 2 2" xfId="30171" xr:uid="{00000000-0005-0000-0000-00001A760000}"/>
    <cellStyle name="Normal 2 4 2 2 2 2" xfId="30172" xr:uid="{00000000-0005-0000-0000-00001B760000}"/>
    <cellStyle name="Normal 2 4 2 2 2 2 2" xfId="30173" xr:uid="{00000000-0005-0000-0000-00001C760000}"/>
    <cellStyle name="Normal 2 4 2 2 2 2 2 2" xfId="30174" xr:uid="{00000000-0005-0000-0000-00001D760000}"/>
    <cellStyle name="Normal 2 4 2 2 2 2 3" xfId="30175" xr:uid="{00000000-0005-0000-0000-00001E760000}"/>
    <cellStyle name="Normal 2 4 2 2 2 2 3 2" xfId="30176" xr:uid="{00000000-0005-0000-0000-00001F760000}"/>
    <cellStyle name="Normal 2 4 2 2 2 2 4" xfId="30177" xr:uid="{00000000-0005-0000-0000-000020760000}"/>
    <cellStyle name="Normal 2 4 2 2 2 3" xfId="30178" xr:uid="{00000000-0005-0000-0000-000021760000}"/>
    <cellStyle name="Normal 2 4 2 2 2 3 2" xfId="30179" xr:uid="{00000000-0005-0000-0000-000022760000}"/>
    <cellStyle name="Normal 2 4 2 2 2 4" xfId="30180" xr:uid="{00000000-0005-0000-0000-000023760000}"/>
    <cellStyle name="Normal 2 4 2 2 2 4 2" xfId="30181" xr:uid="{00000000-0005-0000-0000-000024760000}"/>
    <cellStyle name="Normal 2 4 2 2 2 5" xfId="30182" xr:uid="{00000000-0005-0000-0000-000025760000}"/>
    <cellStyle name="Normal 2 4 2 2 3" xfId="30183" xr:uid="{00000000-0005-0000-0000-000026760000}"/>
    <cellStyle name="Normal 2 4 2 2 3 2" xfId="30184" xr:uid="{00000000-0005-0000-0000-000027760000}"/>
    <cellStyle name="Normal 2 4 2 2 3 2 2" xfId="30185" xr:uid="{00000000-0005-0000-0000-000028760000}"/>
    <cellStyle name="Normal 2 4 2 2 3 3" xfId="30186" xr:uid="{00000000-0005-0000-0000-000029760000}"/>
    <cellStyle name="Normal 2 4 2 2 3 3 2" xfId="30187" xr:uid="{00000000-0005-0000-0000-00002A760000}"/>
    <cellStyle name="Normal 2 4 2 2 3 4" xfId="30188" xr:uid="{00000000-0005-0000-0000-00002B760000}"/>
    <cellStyle name="Normal 2 4 2 2 4" xfId="30189" xr:uid="{00000000-0005-0000-0000-00002C760000}"/>
    <cellStyle name="Normal 2 4 2 2 4 2" xfId="30190" xr:uid="{00000000-0005-0000-0000-00002D760000}"/>
    <cellStyle name="Normal 2 4 2 2 5" xfId="30191" xr:uid="{00000000-0005-0000-0000-00002E760000}"/>
    <cellStyle name="Normal 2 4 2 2 5 2" xfId="30192" xr:uid="{00000000-0005-0000-0000-00002F760000}"/>
    <cellStyle name="Normal 2 4 2 2 6" xfId="30193" xr:uid="{00000000-0005-0000-0000-000030760000}"/>
    <cellStyle name="Normal 2 4 2 3" xfId="30194" xr:uid="{00000000-0005-0000-0000-000031760000}"/>
    <cellStyle name="Normal 2 4 2 3 2" xfId="30195" xr:uid="{00000000-0005-0000-0000-000032760000}"/>
    <cellStyle name="Normal 2 4 2 3 2 2" xfId="30196" xr:uid="{00000000-0005-0000-0000-000033760000}"/>
    <cellStyle name="Normal 2 4 2 3 2 2 2" xfId="30197" xr:uid="{00000000-0005-0000-0000-000034760000}"/>
    <cellStyle name="Normal 2 4 2 3 2 3" xfId="30198" xr:uid="{00000000-0005-0000-0000-000035760000}"/>
    <cellStyle name="Normal 2 4 2 3 2 3 2" xfId="30199" xr:uid="{00000000-0005-0000-0000-000036760000}"/>
    <cellStyle name="Normal 2 4 2 3 2 4" xfId="30200" xr:uid="{00000000-0005-0000-0000-000037760000}"/>
    <cellStyle name="Normal 2 4 2 3 3" xfId="30201" xr:uid="{00000000-0005-0000-0000-000038760000}"/>
    <cellStyle name="Normal 2 4 2 3 3 2" xfId="30202" xr:uid="{00000000-0005-0000-0000-000039760000}"/>
    <cellStyle name="Normal 2 4 2 3 4" xfId="30203" xr:uid="{00000000-0005-0000-0000-00003A760000}"/>
    <cellStyle name="Normal 2 4 2 3 4 2" xfId="30204" xr:uid="{00000000-0005-0000-0000-00003B760000}"/>
    <cellStyle name="Normal 2 4 2 3 5" xfId="30205" xr:uid="{00000000-0005-0000-0000-00003C760000}"/>
    <cellStyle name="Normal 2 4 2 4" xfId="30206" xr:uid="{00000000-0005-0000-0000-00003D760000}"/>
    <cellStyle name="Normal 2 4 2 4 2" xfId="30207" xr:uid="{00000000-0005-0000-0000-00003E760000}"/>
    <cellStyle name="Normal 2 4 2 4 2 2" xfId="30208" xr:uid="{00000000-0005-0000-0000-00003F760000}"/>
    <cellStyle name="Normal 2 4 2 4 3" xfId="30209" xr:uid="{00000000-0005-0000-0000-000040760000}"/>
    <cellStyle name="Normal 2 4 2 4 3 2" xfId="30210" xr:uid="{00000000-0005-0000-0000-000041760000}"/>
    <cellStyle name="Normal 2 4 2 4 4" xfId="30211" xr:uid="{00000000-0005-0000-0000-000042760000}"/>
    <cellStyle name="Normal 2 4 2 5" xfId="30212" xr:uid="{00000000-0005-0000-0000-000043760000}"/>
    <cellStyle name="Normal 2 4 2 5 2" xfId="30213" xr:uid="{00000000-0005-0000-0000-000044760000}"/>
    <cellStyle name="Normal 2 4 2 6" xfId="30214" xr:uid="{00000000-0005-0000-0000-000045760000}"/>
    <cellStyle name="Normal 2 4 2 6 2" xfId="30215" xr:uid="{00000000-0005-0000-0000-000046760000}"/>
    <cellStyle name="Normal 2 4 2 7" xfId="30216" xr:uid="{00000000-0005-0000-0000-000047760000}"/>
    <cellStyle name="Normal 2 4 2 8" xfId="30217" xr:uid="{00000000-0005-0000-0000-000048760000}"/>
    <cellStyle name="Normal 2 4 20" xfId="30218" xr:uid="{00000000-0005-0000-0000-000049760000}"/>
    <cellStyle name="Normal 2 4 21" xfId="30219" xr:uid="{00000000-0005-0000-0000-00004A760000}"/>
    <cellStyle name="Normal 2 4 22" xfId="30220" xr:uid="{00000000-0005-0000-0000-00004B760000}"/>
    <cellStyle name="Normal 2 4 23" xfId="30221" xr:uid="{00000000-0005-0000-0000-00004C760000}"/>
    <cellStyle name="Normal 2 4 24" xfId="30222" xr:uid="{00000000-0005-0000-0000-00004D760000}"/>
    <cellStyle name="Normal 2 4 25" xfId="30223" xr:uid="{00000000-0005-0000-0000-00004E760000}"/>
    <cellStyle name="Normal 2 4 26" xfId="30224" xr:uid="{00000000-0005-0000-0000-00004F760000}"/>
    <cellStyle name="Normal 2 4 27" xfId="30225" xr:uid="{00000000-0005-0000-0000-000050760000}"/>
    <cellStyle name="Normal 2 4 28" xfId="30226" xr:uid="{00000000-0005-0000-0000-000051760000}"/>
    <cellStyle name="Normal 2 4 29" xfId="30227" xr:uid="{00000000-0005-0000-0000-000052760000}"/>
    <cellStyle name="Normal 2 4 3" xfId="30228" xr:uid="{00000000-0005-0000-0000-000053760000}"/>
    <cellStyle name="Normal 2 4 3 2" xfId="30229" xr:uid="{00000000-0005-0000-0000-000054760000}"/>
    <cellStyle name="Normal 2 4 3 2 2" xfId="30230" xr:uid="{00000000-0005-0000-0000-000055760000}"/>
    <cellStyle name="Normal 2 4 3 2 2 2" xfId="30231" xr:uid="{00000000-0005-0000-0000-000056760000}"/>
    <cellStyle name="Normal 2 4 3 2 2 2 2" xfId="30232" xr:uid="{00000000-0005-0000-0000-000057760000}"/>
    <cellStyle name="Normal 2 4 3 2 2 3" xfId="30233" xr:uid="{00000000-0005-0000-0000-000058760000}"/>
    <cellStyle name="Normal 2 4 3 2 2 3 2" xfId="30234" xr:uid="{00000000-0005-0000-0000-000059760000}"/>
    <cellStyle name="Normal 2 4 3 2 2 4" xfId="30235" xr:uid="{00000000-0005-0000-0000-00005A760000}"/>
    <cellStyle name="Normal 2 4 3 2 3" xfId="30236" xr:uid="{00000000-0005-0000-0000-00005B760000}"/>
    <cellStyle name="Normal 2 4 3 2 3 2" xfId="30237" xr:uid="{00000000-0005-0000-0000-00005C760000}"/>
    <cellStyle name="Normal 2 4 3 2 4" xfId="30238" xr:uid="{00000000-0005-0000-0000-00005D760000}"/>
    <cellStyle name="Normal 2 4 3 2 4 2" xfId="30239" xr:uid="{00000000-0005-0000-0000-00005E760000}"/>
    <cellStyle name="Normal 2 4 3 2 5" xfId="30240" xr:uid="{00000000-0005-0000-0000-00005F760000}"/>
    <cellStyle name="Normal 2 4 3 3" xfId="30241" xr:uid="{00000000-0005-0000-0000-000060760000}"/>
    <cellStyle name="Normal 2 4 3 3 2" xfId="30242" xr:uid="{00000000-0005-0000-0000-000061760000}"/>
    <cellStyle name="Normal 2 4 3 3 2 2" xfId="30243" xr:uid="{00000000-0005-0000-0000-000062760000}"/>
    <cellStyle name="Normal 2 4 3 3 3" xfId="30244" xr:uid="{00000000-0005-0000-0000-000063760000}"/>
    <cellStyle name="Normal 2 4 3 3 3 2" xfId="30245" xr:uid="{00000000-0005-0000-0000-000064760000}"/>
    <cellStyle name="Normal 2 4 3 3 4" xfId="30246" xr:uid="{00000000-0005-0000-0000-000065760000}"/>
    <cellStyle name="Normal 2 4 3 4" xfId="30247" xr:uid="{00000000-0005-0000-0000-000066760000}"/>
    <cellStyle name="Normal 2 4 3 4 2" xfId="30248" xr:uid="{00000000-0005-0000-0000-000067760000}"/>
    <cellStyle name="Normal 2 4 3 5" xfId="30249" xr:uid="{00000000-0005-0000-0000-000068760000}"/>
    <cellStyle name="Normal 2 4 3 5 2" xfId="30250" xr:uid="{00000000-0005-0000-0000-000069760000}"/>
    <cellStyle name="Normal 2 4 3 6" xfId="30251" xr:uid="{00000000-0005-0000-0000-00006A760000}"/>
    <cellStyle name="Normal 2 4 30" xfId="30252" xr:uid="{00000000-0005-0000-0000-00006B760000}"/>
    <cellStyle name="Normal 2 4 31" xfId="30253" xr:uid="{00000000-0005-0000-0000-00006C760000}"/>
    <cellStyle name="Normal 2 4 32" xfId="30254" xr:uid="{00000000-0005-0000-0000-00006D760000}"/>
    <cellStyle name="Normal 2 4 33" xfId="30255" xr:uid="{00000000-0005-0000-0000-00006E760000}"/>
    <cellStyle name="Normal 2 4 34" xfId="30256" xr:uid="{00000000-0005-0000-0000-00006F760000}"/>
    <cellStyle name="Normal 2 4 4" xfId="30257" xr:uid="{00000000-0005-0000-0000-000070760000}"/>
    <cellStyle name="Normal 2 4 4 2" xfId="30258" xr:uid="{00000000-0005-0000-0000-000071760000}"/>
    <cellStyle name="Normal 2 4 4 2 2" xfId="30259" xr:uid="{00000000-0005-0000-0000-000072760000}"/>
    <cellStyle name="Normal 2 4 4 2 2 2" xfId="30260" xr:uid="{00000000-0005-0000-0000-000073760000}"/>
    <cellStyle name="Normal 2 4 4 2 3" xfId="30261" xr:uid="{00000000-0005-0000-0000-000074760000}"/>
    <cellStyle name="Normal 2 4 4 2 3 2" xfId="30262" xr:uid="{00000000-0005-0000-0000-000075760000}"/>
    <cellStyle name="Normal 2 4 4 2 4" xfId="30263" xr:uid="{00000000-0005-0000-0000-000076760000}"/>
    <cellStyle name="Normal 2 4 4 3" xfId="30264" xr:uid="{00000000-0005-0000-0000-000077760000}"/>
    <cellStyle name="Normal 2 4 4 3 2" xfId="30265" xr:uid="{00000000-0005-0000-0000-000078760000}"/>
    <cellStyle name="Normal 2 4 4 4" xfId="30266" xr:uid="{00000000-0005-0000-0000-000079760000}"/>
    <cellStyle name="Normal 2 4 4 4 2" xfId="30267" xr:uid="{00000000-0005-0000-0000-00007A760000}"/>
    <cellStyle name="Normal 2 4 4 5" xfId="30268" xr:uid="{00000000-0005-0000-0000-00007B760000}"/>
    <cellStyle name="Normal 2 4 5" xfId="30269" xr:uid="{00000000-0005-0000-0000-00007C760000}"/>
    <cellStyle name="Normal 2 4 5 2" xfId="30270" xr:uid="{00000000-0005-0000-0000-00007D760000}"/>
    <cellStyle name="Normal 2 4 5 2 2" xfId="30271" xr:uid="{00000000-0005-0000-0000-00007E760000}"/>
    <cellStyle name="Normal 2 4 5 3" xfId="30272" xr:uid="{00000000-0005-0000-0000-00007F760000}"/>
    <cellStyle name="Normal 2 4 5 3 2" xfId="30273" xr:uid="{00000000-0005-0000-0000-000080760000}"/>
    <cellStyle name="Normal 2 4 5 4" xfId="30274" xr:uid="{00000000-0005-0000-0000-000081760000}"/>
    <cellStyle name="Normal 2 4 6" xfId="30275" xr:uid="{00000000-0005-0000-0000-000082760000}"/>
    <cellStyle name="Normal 2 4 6 2" xfId="30276" xr:uid="{00000000-0005-0000-0000-000083760000}"/>
    <cellStyle name="Normal 2 4 7" xfId="30277" xr:uid="{00000000-0005-0000-0000-000084760000}"/>
    <cellStyle name="Normal 2 4 7 2" xfId="30278" xr:uid="{00000000-0005-0000-0000-000085760000}"/>
    <cellStyle name="Normal 2 4 8" xfId="30279" xr:uid="{00000000-0005-0000-0000-000086760000}"/>
    <cellStyle name="Normal 2 4 9" xfId="30280" xr:uid="{00000000-0005-0000-0000-000087760000}"/>
    <cellStyle name="Normal 2 5" xfId="30281" xr:uid="{00000000-0005-0000-0000-000088760000}"/>
    <cellStyle name="Normal 2 5 10" xfId="30282" xr:uid="{00000000-0005-0000-0000-000089760000}"/>
    <cellStyle name="Normal 2 5 11" xfId="30283" xr:uid="{00000000-0005-0000-0000-00008A760000}"/>
    <cellStyle name="Normal 2 5 12" xfId="30284" xr:uid="{00000000-0005-0000-0000-00008B760000}"/>
    <cellStyle name="Normal 2 5 13" xfId="30285" xr:uid="{00000000-0005-0000-0000-00008C760000}"/>
    <cellStyle name="Normal 2 5 14" xfId="30286" xr:uid="{00000000-0005-0000-0000-00008D760000}"/>
    <cellStyle name="Normal 2 5 15" xfId="30287" xr:uid="{00000000-0005-0000-0000-00008E760000}"/>
    <cellStyle name="Normal 2 5 16" xfId="30288" xr:uid="{00000000-0005-0000-0000-00008F760000}"/>
    <cellStyle name="Normal 2 5 17" xfId="30289" xr:uid="{00000000-0005-0000-0000-000090760000}"/>
    <cellStyle name="Normal 2 5 18" xfId="30290" xr:uid="{00000000-0005-0000-0000-000091760000}"/>
    <cellStyle name="Normal 2 5 19" xfId="30291" xr:uid="{00000000-0005-0000-0000-000092760000}"/>
    <cellStyle name="Normal 2 5 2" xfId="30292" xr:uid="{00000000-0005-0000-0000-000093760000}"/>
    <cellStyle name="Normal 2 5 20" xfId="30293" xr:uid="{00000000-0005-0000-0000-000094760000}"/>
    <cellStyle name="Normal 2 5 21" xfId="30294" xr:uid="{00000000-0005-0000-0000-000095760000}"/>
    <cellStyle name="Normal 2 5 22" xfId="30295" xr:uid="{00000000-0005-0000-0000-000096760000}"/>
    <cellStyle name="Normal 2 5 23" xfId="30296" xr:uid="{00000000-0005-0000-0000-000097760000}"/>
    <cellStyle name="Normal 2 5 24" xfId="30297" xr:uid="{00000000-0005-0000-0000-000098760000}"/>
    <cellStyle name="Normal 2 5 25" xfId="30298" xr:uid="{00000000-0005-0000-0000-000099760000}"/>
    <cellStyle name="Normal 2 5 26" xfId="30299" xr:uid="{00000000-0005-0000-0000-00009A760000}"/>
    <cellStyle name="Normal 2 5 27" xfId="30300" xr:uid="{00000000-0005-0000-0000-00009B760000}"/>
    <cellStyle name="Normal 2 5 28" xfId="30301" xr:uid="{00000000-0005-0000-0000-00009C760000}"/>
    <cellStyle name="Normal 2 5 29" xfId="30302" xr:uid="{00000000-0005-0000-0000-00009D760000}"/>
    <cellStyle name="Normal 2 5 3" xfId="30303" xr:uid="{00000000-0005-0000-0000-00009E760000}"/>
    <cellStyle name="Normal 2 5 30" xfId="30304" xr:uid="{00000000-0005-0000-0000-00009F760000}"/>
    <cellStyle name="Normal 2 5 31" xfId="30305" xr:uid="{00000000-0005-0000-0000-0000A0760000}"/>
    <cellStyle name="Normal 2 5 32" xfId="30306" xr:uid="{00000000-0005-0000-0000-0000A1760000}"/>
    <cellStyle name="Normal 2 5 33" xfId="30307" xr:uid="{00000000-0005-0000-0000-0000A2760000}"/>
    <cellStyle name="Normal 2 5 34" xfId="30308" xr:uid="{00000000-0005-0000-0000-0000A3760000}"/>
    <cellStyle name="Normal 2 5 35" xfId="30309" xr:uid="{00000000-0005-0000-0000-0000A4760000}"/>
    <cellStyle name="Normal 2 5 4" xfId="30310" xr:uid="{00000000-0005-0000-0000-0000A5760000}"/>
    <cellStyle name="Normal 2 5 5" xfId="30311" xr:uid="{00000000-0005-0000-0000-0000A6760000}"/>
    <cellStyle name="Normal 2 5 6" xfId="30312" xr:uid="{00000000-0005-0000-0000-0000A7760000}"/>
    <cellStyle name="Normal 2 5 7" xfId="30313" xr:uid="{00000000-0005-0000-0000-0000A8760000}"/>
    <cellStyle name="Normal 2 5 8" xfId="30314" xr:uid="{00000000-0005-0000-0000-0000A9760000}"/>
    <cellStyle name="Normal 2 5 9" xfId="30315" xr:uid="{00000000-0005-0000-0000-0000AA760000}"/>
    <cellStyle name="Normal 2 6" xfId="30316" xr:uid="{00000000-0005-0000-0000-0000AB760000}"/>
    <cellStyle name="Normal 2 6 10" xfId="30317" xr:uid="{00000000-0005-0000-0000-0000AC760000}"/>
    <cellStyle name="Normal 2 6 11" xfId="30318" xr:uid="{00000000-0005-0000-0000-0000AD760000}"/>
    <cellStyle name="Normal 2 6 12" xfId="30319" xr:uid="{00000000-0005-0000-0000-0000AE760000}"/>
    <cellStyle name="Normal 2 6 13" xfId="30320" xr:uid="{00000000-0005-0000-0000-0000AF760000}"/>
    <cellStyle name="Normal 2 6 14" xfId="30321" xr:uid="{00000000-0005-0000-0000-0000B0760000}"/>
    <cellStyle name="Normal 2 6 15" xfId="30322" xr:uid="{00000000-0005-0000-0000-0000B1760000}"/>
    <cellStyle name="Normal 2 6 16" xfId="30323" xr:uid="{00000000-0005-0000-0000-0000B2760000}"/>
    <cellStyle name="Normal 2 6 17" xfId="30324" xr:uid="{00000000-0005-0000-0000-0000B3760000}"/>
    <cellStyle name="Normal 2 6 18" xfId="30325" xr:uid="{00000000-0005-0000-0000-0000B4760000}"/>
    <cellStyle name="Normal 2 6 19" xfId="30326" xr:uid="{00000000-0005-0000-0000-0000B5760000}"/>
    <cellStyle name="Normal 2 6 2" xfId="30327" xr:uid="{00000000-0005-0000-0000-0000B6760000}"/>
    <cellStyle name="Normal 2 6 2 2" xfId="30328" xr:uid="{00000000-0005-0000-0000-0000B7760000}"/>
    <cellStyle name="Normal 2 6 2 2 2" xfId="30329" xr:uid="{00000000-0005-0000-0000-0000B8760000}"/>
    <cellStyle name="Normal 2 6 2 2 2 2" xfId="30330" xr:uid="{00000000-0005-0000-0000-0000B9760000}"/>
    <cellStyle name="Normal 2 6 2 2 2 2 2" xfId="30331" xr:uid="{00000000-0005-0000-0000-0000BA760000}"/>
    <cellStyle name="Normal 2 6 2 2 2 3" xfId="30332" xr:uid="{00000000-0005-0000-0000-0000BB760000}"/>
    <cellStyle name="Normal 2 6 2 2 2 3 2" xfId="30333" xr:uid="{00000000-0005-0000-0000-0000BC760000}"/>
    <cellStyle name="Normal 2 6 2 2 2 4" xfId="30334" xr:uid="{00000000-0005-0000-0000-0000BD760000}"/>
    <cellStyle name="Normal 2 6 2 2 3" xfId="30335" xr:uid="{00000000-0005-0000-0000-0000BE760000}"/>
    <cellStyle name="Normal 2 6 2 2 3 2" xfId="30336" xr:uid="{00000000-0005-0000-0000-0000BF760000}"/>
    <cellStyle name="Normal 2 6 2 2 4" xfId="30337" xr:uid="{00000000-0005-0000-0000-0000C0760000}"/>
    <cellStyle name="Normal 2 6 2 2 4 2" xfId="30338" xr:uid="{00000000-0005-0000-0000-0000C1760000}"/>
    <cellStyle name="Normal 2 6 2 2 5" xfId="30339" xr:uid="{00000000-0005-0000-0000-0000C2760000}"/>
    <cellStyle name="Normal 2 6 2 3" xfId="30340" xr:uid="{00000000-0005-0000-0000-0000C3760000}"/>
    <cellStyle name="Normal 2 6 2 3 2" xfId="30341" xr:uid="{00000000-0005-0000-0000-0000C4760000}"/>
    <cellStyle name="Normal 2 6 2 3 2 2" xfId="30342" xr:uid="{00000000-0005-0000-0000-0000C5760000}"/>
    <cellStyle name="Normal 2 6 2 3 3" xfId="30343" xr:uid="{00000000-0005-0000-0000-0000C6760000}"/>
    <cellStyle name="Normal 2 6 2 3 3 2" xfId="30344" xr:uid="{00000000-0005-0000-0000-0000C7760000}"/>
    <cellStyle name="Normal 2 6 2 3 4" xfId="30345" xr:uid="{00000000-0005-0000-0000-0000C8760000}"/>
    <cellStyle name="Normal 2 6 2 4" xfId="30346" xr:uid="{00000000-0005-0000-0000-0000C9760000}"/>
    <cellStyle name="Normal 2 6 2 4 2" xfId="30347" xr:uid="{00000000-0005-0000-0000-0000CA760000}"/>
    <cellStyle name="Normal 2 6 2 5" xfId="30348" xr:uid="{00000000-0005-0000-0000-0000CB760000}"/>
    <cellStyle name="Normal 2 6 2 5 2" xfId="30349" xr:uid="{00000000-0005-0000-0000-0000CC760000}"/>
    <cellStyle name="Normal 2 6 2 6" xfId="30350" xr:uid="{00000000-0005-0000-0000-0000CD760000}"/>
    <cellStyle name="Normal 2 6 20" xfId="30351" xr:uid="{00000000-0005-0000-0000-0000CE760000}"/>
    <cellStyle name="Normal 2 6 21" xfId="30352" xr:uid="{00000000-0005-0000-0000-0000CF760000}"/>
    <cellStyle name="Normal 2 6 22" xfId="30353" xr:uid="{00000000-0005-0000-0000-0000D0760000}"/>
    <cellStyle name="Normal 2 6 23" xfId="30354" xr:uid="{00000000-0005-0000-0000-0000D1760000}"/>
    <cellStyle name="Normal 2 6 24" xfId="30355" xr:uid="{00000000-0005-0000-0000-0000D2760000}"/>
    <cellStyle name="Normal 2 6 25" xfId="30356" xr:uid="{00000000-0005-0000-0000-0000D3760000}"/>
    <cellStyle name="Normal 2 6 26" xfId="30357" xr:uid="{00000000-0005-0000-0000-0000D4760000}"/>
    <cellStyle name="Normal 2 6 27" xfId="30358" xr:uid="{00000000-0005-0000-0000-0000D5760000}"/>
    <cellStyle name="Normal 2 6 28" xfId="30359" xr:uid="{00000000-0005-0000-0000-0000D6760000}"/>
    <cellStyle name="Normal 2 6 29" xfId="30360" xr:uid="{00000000-0005-0000-0000-0000D7760000}"/>
    <cellStyle name="Normal 2 6 3" xfId="30361" xr:uid="{00000000-0005-0000-0000-0000D8760000}"/>
    <cellStyle name="Normal 2 6 3 2" xfId="30362" xr:uid="{00000000-0005-0000-0000-0000D9760000}"/>
    <cellStyle name="Normal 2 6 3 2 2" xfId="30363" xr:uid="{00000000-0005-0000-0000-0000DA760000}"/>
    <cellStyle name="Normal 2 6 3 2 2 2" xfId="30364" xr:uid="{00000000-0005-0000-0000-0000DB760000}"/>
    <cellStyle name="Normal 2 6 3 2 3" xfId="30365" xr:uid="{00000000-0005-0000-0000-0000DC760000}"/>
    <cellStyle name="Normal 2 6 3 2 3 2" xfId="30366" xr:uid="{00000000-0005-0000-0000-0000DD760000}"/>
    <cellStyle name="Normal 2 6 3 2 4" xfId="30367" xr:uid="{00000000-0005-0000-0000-0000DE760000}"/>
    <cellStyle name="Normal 2 6 3 3" xfId="30368" xr:uid="{00000000-0005-0000-0000-0000DF760000}"/>
    <cellStyle name="Normal 2 6 3 3 2" xfId="30369" xr:uid="{00000000-0005-0000-0000-0000E0760000}"/>
    <cellStyle name="Normal 2 6 3 4" xfId="30370" xr:uid="{00000000-0005-0000-0000-0000E1760000}"/>
    <cellStyle name="Normal 2 6 3 4 2" xfId="30371" xr:uid="{00000000-0005-0000-0000-0000E2760000}"/>
    <cellStyle name="Normal 2 6 3 5" xfId="30372" xr:uid="{00000000-0005-0000-0000-0000E3760000}"/>
    <cellStyle name="Normal 2 6 30" xfId="30373" xr:uid="{00000000-0005-0000-0000-0000E4760000}"/>
    <cellStyle name="Normal 2 6 31" xfId="30374" xr:uid="{00000000-0005-0000-0000-0000E5760000}"/>
    <cellStyle name="Normal 2 6 32" xfId="30375" xr:uid="{00000000-0005-0000-0000-0000E6760000}"/>
    <cellStyle name="Normal 2 6 33" xfId="30376" xr:uid="{00000000-0005-0000-0000-0000E7760000}"/>
    <cellStyle name="Normal 2 6 34" xfId="30377" xr:uid="{00000000-0005-0000-0000-0000E8760000}"/>
    <cellStyle name="Normal 2 6 4" xfId="30378" xr:uid="{00000000-0005-0000-0000-0000E9760000}"/>
    <cellStyle name="Normal 2 6 4 2" xfId="30379" xr:uid="{00000000-0005-0000-0000-0000EA760000}"/>
    <cellStyle name="Normal 2 6 4 2 2" xfId="30380" xr:uid="{00000000-0005-0000-0000-0000EB760000}"/>
    <cellStyle name="Normal 2 6 4 3" xfId="30381" xr:uid="{00000000-0005-0000-0000-0000EC760000}"/>
    <cellStyle name="Normal 2 6 4 3 2" xfId="30382" xr:uid="{00000000-0005-0000-0000-0000ED760000}"/>
    <cellStyle name="Normal 2 6 4 4" xfId="30383" xr:uid="{00000000-0005-0000-0000-0000EE760000}"/>
    <cellStyle name="Normal 2 6 5" xfId="30384" xr:uid="{00000000-0005-0000-0000-0000EF760000}"/>
    <cellStyle name="Normal 2 6 5 2" xfId="30385" xr:uid="{00000000-0005-0000-0000-0000F0760000}"/>
    <cellStyle name="Normal 2 6 6" xfId="30386" xr:uid="{00000000-0005-0000-0000-0000F1760000}"/>
    <cellStyle name="Normal 2 6 6 2" xfId="30387" xr:uid="{00000000-0005-0000-0000-0000F2760000}"/>
    <cellStyle name="Normal 2 6 7" xfId="30388" xr:uid="{00000000-0005-0000-0000-0000F3760000}"/>
    <cellStyle name="Normal 2 6 8" xfId="30389" xr:uid="{00000000-0005-0000-0000-0000F4760000}"/>
    <cellStyle name="Normal 2 6 9" xfId="30390" xr:uid="{00000000-0005-0000-0000-0000F5760000}"/>
    <cellStyle name="Normal 2 7" xfId="30391" xr:uid="{00000000-0005-0000-0000-0000F6760000}"/>
    <cellStyle name="Normal 2 7 2" xfId="30392" xr:uid="{00000000-0005-0000-0000-0000F7760000}"/>
    <cellStyle name="Normal 2 7 2 2" xfId="30393" xr:uid="{00000000-0005-0000-0000-0000F8760000}"/>
    <cellStyle name="Normal 2 7 2 2 2" xfId="30394" xr:uid="{00000000-0005-0000-0000-0000F9760000}"/>
    <cellStyle name="Normal 2 7 2 2 2 2" xfId="30395" xr:uid="{00000000-0005-0000-0000-0000FA760000}"/>
    <cellStyle name="Normal 2 7 2 2 3" xfId="30396" xr:uid="{00000000-0005-0000-0000-0000FB760000}"/>
    <cellStyle name="Normal 2 7 2 2 3 2" xfId="30397" xr:uid="{00000000-0005-0000-0000-0000FC760000}"/>
    <cellStyle name="Normal 2 7 2 2 4" xfId="30398" xr:uid="{00000000-0005-0000-0000-0000FD760000}"/>
    <cellStyle name="Normal 2 7 2 3" xfId="30399" xr:uid="{00000000-0005-0000-0000-0000FE760000}"/>
    <cellStyle name="Normal 2 7 2 3 2" xfId="30400" xr:uid="{00000000-0005-0000-0000-0000FF760000}"/>
    <cellStyle name="Normal 2 7 2 4" xfId="30401" xr:uid="{00000000-0005-0000-0000-000000770000}"/>
    <cellStyle name="Normal 2 7 2 4 2" xfId="30402" xr:uid="{00000000-0005-0000-0000-000001770000}"/>
    <cellStyle name="Normal 2 7 2 5" xfId="30403" xr:uid="{00000000-0005-0000-0000-000002770000}"/>
    <cellStyle name="Normal 2 7 3" xfId="30404" xr:uid="{00000000-0005-0000-0000-000003770000}"/>
    <cellStyle name="Normal 2 7 3 2" xfId="30405" xr:uid="{00000000-0005-0000-0000-000004770000}"/>
    <cellStyle name="Normal 2 7 3 2 2" xfId="30406" xr:uid="{00000000-0005-0000-0000-000005770000}"/>
    <cellStyle name="Normal 2 7 3 3" xfId="30407" xr:uid="{00000000-0005-0000-0000-000006770000}"/>
    <cellStyle name="Normal 2 7 3 3 2" xfId="30408" xr:uid="{00000000-0005-0000-0000-000007770000}"/>
    <cellStyle name="Normal 2 7 3 4" xfId="30409" xr:uid="{00000000-0005-0000-0000-000008770000}"/>
    <cellStyle name="Normal 2 7 4" xfId="30410" xr:uid="{00000000-0005-0000-0000-000009770000}"/>
    <cellStyle name="Normal 2 7 4 2" xfId="30411" xr:uid="{00000000-0005-0000-0000-00000A770000}"/>
    <cellStyle name="Normal 2 7 5" xfId="30412" xr:uid="{00000000-0005-0000-0000-00000B770000}"/>
    <cellStyle name="Normal 2 7 5 2" xfId="30413" xr:uid="{00000000-0005-0000-0000-00000C770000}"/>
    <cellStyle name="Normal 2 7 6" xfId="30414" xr:uid="{00000000-0005-0000-0000-00000D770000}"/>
    <cellStyle name="Normal 2 8" xfId="30415" xr:uid="{00000000-0005-0000-0000-00000E770000}"/>
    <cellStyle name="Normal 2 8 2" xfId="30416" xr:uid="{00000000-0005-0000-0000-00000F770000}"/>
    <cellStyle name="Normal 2 8 2 2" xfId="30417" xr:uid="{00000000-0005-0000-0000-000010770000}"/>
    <cellStyle name="Normal 2 8 2 2 2" xfId="30418" xr:uid="{00000000-0005-0000-0000-000011770000}"/>
    <cellStyle name="Normal 2 8 2 3" xfId="30419" xr:uid="{00000000-0005-0000-0000-000012770000}"/>
    <cellStyle name="Normal 2 8 2 3 2" xfId="30420" xr:uid="{00000000-0005-0000-0000-000013770000}"/>
    <cellStyle name="Normal 2 8 2 4" xfId="30421" xr:uid="{00000000-0005-0000-0000-000014770000}"/>
    <cellStyle name="Normal 2 8 3" xfId="30422" xr:uid="{00000000-0005-0000-0000-000015770000}"/>
    <cellStyle name="Normal 2 8 3 2" xfId="30423" xr:uid="{00000000-0005-0000-0000-000016770000}"/>
    <cellStyle name="Normal 2 8 4" xfId="30424" xr:uid="{00000000-0005-0000-0000-000017770000}"/>
    <cellStyle name="Normal 2 8 4 2" xfId="30425" xr:uid="{00000000-0005-0000-0000-000018770000}"/>
    <cellStyle name="Normal 2 8 5" xfId="30426" xr:uid="{00000000-0005-0000-0000-000019770000}"/>
    <cellStyle name="Normal 2 9" xfId="30427" xr:uid="{00000000-0005-0000-0000-00001A770000}"/>
    <cellStyle name="Normal 2 9 2" xfId="30428" xr:uid="{00000000-0005-0000-0000-00001B770000}"/>
    <cellStyle name="Normal 2 9 2 2" xfId="30429" xr:uid="{00000000-0005-0000-0000-00001C770000}"/>
    <cellStyle name="Normal 2 9 3" xfId="30430" xr:uid="{00000000-0005-0000-0000-00001D770000}"/>
    <cellStyle name="Normal 2 9 3 2" xfId="30431" xr:uid="{00000000-0005-0000-0000-00001E770000}"/>
    <cellStyle name="Normal 2 9 4" xfId="30432" xr:uid="{00000000-0005-0000-0000-00001F770000}"/>
    <cellStyle name="Normal 2_~3373479" xfId="30433" xr:uid="{00000000-0005-0000-0000-000020770000}"/>
    <cellStyle name="Normal 20" xfId="30434" xr:uid="{00000000-0005-0000-0000-000021770000}"/>
    <cellStyle name="Normal 20 2" xfId="30435" xr:uid="{00000000-0005-0000-0000-000022770000}"/>
    <cellStyle name="Normal 20 2 2" xfId="30436" xr:uid="{00000000-0005-0000-0000-000023770000}"/>
    <cellStyle name="Normal 20 2 2 2" xfId="30437" xr:uid="{00000000-0005-0000-0000-000024770000}"/>
    <cellStyle name="Normal 20 2 2 2 2" xfId="30438" xr:uid="{00000000-0005-0000-0000-000025770000}"/>
    <cellStyle name="Normal 20 2 2 2 2 2" xfId="30439" xr:uid="{00000000-0005-0000-0000-000026770000}"/>
    <cellStyle name="Normal 20 2 2 2 3" xfId="30440" xr:uid="{00000000-0005-0000-0000-000027770000}"/>
    <cellStyle name="Normal 20 2 2 2 3 2" xfId="30441" xr:uid="{00000000-0005-0000-0000-000028770000}"/>
    <cellStyle name="Normal 20 2 2 2 4" xfId="30442" xr:uid="{00000000-0005-0000-0000-000029770000}"/>
    <cellStyle name="Normal 20 2 2 3" xfId="30443" xr:uid="{00000000-0005-0000-0000-00002A770000}"/>
    <cellStyle name="Normal 20 2 2 3 2" xfId="30444" xr:uid="{00000000-0005-0000-0000-00002B770000}"/>
    <cellStyle name="Normal 20 2 2 4" xfId="30445" xr:uid="{00000000-0005-0000-0000-00002C770000}"/>
    <cellStyle name="Normal 20 2 2 4 2" xfId="30446" xr:uid="{00000000-0005-0000-0000-00002D770000}"/>
    <cellStyle name="Normal 20 2 2 5" xfId="30447" xr:uid="{00000000-0005-0000-0000-00002E770000}"/>
    <cellStyle name="Normal 20 2 3" xfId="30448" xr:uid="{00000000-0005-0000-0000-00002F770000}"/>
    <cellStyle name="Normal 20 2 3 2" xfId="30449" xr:uid="{00000000-0005-0000-0000-000030770000}"/>
    <cellStyle name="Normal 20 2 3 2 2" xfId="30450" xr:uid="{00000000-0005-0000-0000-000031770000}"/>
    <cellStyle name="Normal 20 2 3 3" xfId="30451" xr:uid="{00000000-0005-0000-0000-000032770000}"/>
    <cellStyle name="Normal 20 2 3 3 2" xfId="30452" xr:uid="{00000000-0005-0000-0000-000033770000}"/>
    <cellStyle name="Normal 20 2 3 4" xfId="30453" xr:uid="{00000000-0005-0000-0000-000034770000}"/>
    <cellStyle name="Normal 20 2 4" xfId="30454" xr:uid="{00000000-0005-0000-0000-000035770000}"/>
    <cellStyle name="Normal 20 2 4 2" xfId="30455" xr:uid="{00000000-0005-0000-0000-000036770000}"/>
    <cellStyle name="Normal 20 2 5" xfId="30456" xr:uid="{00000000-0005-0000-0000-000037770000}"/>
    <cellStyle name="Normal 20 2 5 2" xfId="30457" xr:uid="{00000000-0005-0000-0000-000038770000}"/>
    <cellStyle name="Normal 20 2 6" xfId="30458" xr:uid="{00000000-0005-0000-0000-000039770000}"/>
    <cellStyle name="Normal 20 3" xfId="30459" xr:uid="{00000000-0005-0000-0000-00003A770000}"/>
    <cellStyle name="Normal 20 3 2" xfId="30460" xr:uid="{00000000-0005-0000-0000-00003B770000}"/>
    <cellStyle name="Normal 20 3 2 2" xfId="30461" xr:uid="{00000000-0005-0000-0000-00003C770000}"/>
    <cellStyle name="Normal 20 3 2 2 2" xfId="30462" xr:uid="{00000000-0005-0000-0000-00003D770000}"/>
    <cellStyle name="Normal 20 3 2 3" xfId="30463" xr:uid="{00000000-0005-0000-0000-00003E770000}"/>
    <cellStyle name="Normal 20 3 2 3 2" xfId="30464" xr:uid="{00000000-0005-0000-0000-00003F770000}"/>
    <cellStyle name="Normal 20 3 2 4" xfId="30465" xr:uid="{00000000-0005-0000-0000-000040770000}"/>
    <cellStyle name="Normal 20 3 3" xfId="30466" xr:uid="{00000000-0005-0000-0000-000041770000}"/>
    <cellStyle name="Normal 20 3 3 2" xfId="30467" xr:uid="{00000000-0005-0000-0000-000042770000}"/>
    <cellStyle name="Normal 20 3 4" xfId="30468" xr:uid="{00000000-0005-0000-0000-000043770000}"/>
    <cellStyle name="Normal 20 3 4 2" xfId="30469" xr:uid="{00000000-0005-0000-0000-000044770000}"/>
    <cellStyle name="Normal 20 3 5" xfId="30470" xr:uid="{00000000-0005-0000-0000-000045770000}"/>
    <cellStyle name="Normal 20 4" xfId="30471" xr:uid="{00000000-0005-0000-0000-000046770000}"/>
    <cellStyle name="Normal 20 4 2" xfId="30472" xr:uid="{00000000-0005-0000-0000-000047770000}"/>
    <cellStyle name="Normal 20 4 2 2" xfId="30473" xr:uid="{00000000-0005-0000-0000-000048770000}"/>
    <cellStyle name="Normal 20 4 3" xfId="30474" xr:uid="{00000000-0005-0000-0000-000049770000}"/>
    <cellStyle name="Normal 20 4 3 2" xfId="30475" xr:uid="{00000000-0005-0000-0000-00004A770000}"/>
    <cellStyle name="Normal 20 4 4" xfId="30476" xr:uid="{00000000-0005-0000-0000-00004B770000}"/>
    <cellStyle name="Normal 20 5" xfId="30477" xr:uid="{00000000-0005-0000-0000-00004C770000}"/>
    <cellStyle name="Normal 20 5 2" xfId="30478" xr:uid="{00000000-0005-0000-0000-00004D770000}"/>
    <cellStyle name="Normal 20 6" xfId="30479" xr:uid="{00000000-0005-0000-0000-00004E770000}"/>
    <cellStyle name="Normal 20 6 2" xfId="30480" xr:uid="{00000000-0005-0000-0000-00004F770000}"/>
    <cellStyle name="Normal 20 7" xfId="30481" xr:uid="{00000000-0005-0000-0000-000050770000}"/>
    <cellStyle name="Normal 20 8" xfId="30482" xr:uid="{00000000-0005-0000-0000-000051770000}"/>
    <cellStyle name="Normal 200" xfId="30483" xr:uid="{00000000-0005-0000-0000-000052770000}"/>
    <cellStyle name="Normal 201" xfId="30484" xr:uid="{00000000-0005-0000-0000-000053770000}"/>
    <cellStyle name="Normal 202" xfId="30485" xr:uid="{00000000-0005-0000-0000-000054770000}"/>
    <cellStyle name="Normal 203" xfId="30486" xr:uid="{00000000-0005-0000-0000-000055770000}"/>
    <cellStyle name="Normal 204" xfId="30487" xr:uid="{00000000-0005-0000-0000-000056770000}"/>
    <cellStyle name="Normal 205" xfId="30488" xr:uid="{00000000-0005-0000-0000-000057770000}"/>
    <cellStyle name="Normal 206" xfId="30489" xr:uid="{00000000-0005-0000-0000-000058770000}"/>
    <cellStyle name="Normal 207" xfId="30490" xr:uid="{00000000-0005-0000-0000-000059770000}"/>
    <cellStyle name="Normal 208" xfId="30491" xr:uid="{00000000-0005-0000-0000-00005A770000}"/>
    <cellStyle name="Normal 209" xfId="30492" xr:uid="{00000000-0005-0000-0000-00005B770000}"/>
    <cellStyle name="Normal 21" xfId="30493" xr:uid="{00000000-0005-0000-0000-00005C770000}"/>
    <cellStyle name="Normal 21 10" xfId="30494" xr:uid="{00000000-0005-0000-0000-00005D770000}"/>
    <cellStyle name="Normal 21 11" xfId="30495" xr:uid="{00000000-0005-0000-0000-00005E770000}"/>
    <cellStyle name="Normal 21 12" xfId="30496" xr:uid="{00000000-0005-0000-0000-00005F770000}"/>
    <cellStyle name="Normal 21 13" xfId="30497" xr:uid="{00000000-0005-0000-0000-000060770000}"/>
    <cellStyle name="Normal 21 14" xfId="30498" xr:uid="{00000000-0005-0000-0000-000061770000}"/>
    <cellStyle name="Normal 21 15" xfId="30499" xr:uid="{00000000-0005-0000-0000-000062770000}"/>
    <cellStyle name="Normal 21 16" xfId="30500" xr:uid="{00000000-0005-0000-0000-000063770000}"/>
    <cellStyle name="Normal 21 17" xfId="30501" xr:uid="{00000000-0005-0000-0000-000064770000}"/>
    <cellStyle name="Normal 21 18" xfId="30502" xr:uid="{00000000-0005-0000-0000-000065770000}"/>
    <cellStyle name="Normal 21 19" xfId="30503" xr:uid="{00000000-0005-0000-0000-000066770000}"/>
    <cellStyle name="Normal 21 2" xfId="30504" xr:uid="{00000000-0005-0000-0000-000067770000}"/>
    <cellStyle name="Normal 21 2 2" xfId="30505" xr:uid="{00000000-0005-0000-0000-000068770000}"/>
    <cellStyle name="Normal 21 2 2 2" xfId="30506" xr:uid="{00000000-0005-0000-0000-000069770000}"/>
    <cellStyle name="Normal 21 2 2 2 2" xfId="30507" xr:uid="{00000000-0005-0000-0000-00006A770000}"/>
    <cellStyle name="Normal 21 2 2 2 2 2" xfId="30508" xr:uid="{00000000-0005-0000-0000-00006B770000}"/>
    <cellStyle name="Normal 21 2 2 2 2 2 2" xfId="30509" xr:uid="{00000000-0005-0000-0000-00006C770000}"/>
    <cellStyle name="Normal 21 2 2 2 2 3" xfId="30510" xr:uid="{00000000-0005-0000-0000-00006D770000}"/>
    <cellStyle name="Normal 21 2 2 2 2 3 2" xfId="30511" xr:uid="{00000000-0005-0000-0000-00006E770000}"/>
    <cellStyle name="Normal 21 2 2 2 2 4" xfId="30512" xr:uid="{00000000-0005-0000-0000-00006F770000}"/>
    <cellStyle name="Normal 21 2 2 2 3" xfId="30513" xr:uid="{00000000-0005-0000-0000-000070770000}"/>
    <cellStyle name="Normal 21 2 2 2 3 2" xfId="30514" xr:uid="{00000000-0005-0000-0000-000071770000}"/>
    <cellStyle name="Normal 21 2 2 2 4" xfId="30515" xr:uid="{00000000-0005-0000-0000-000072770000}"/>
    <cellStyle name="Normal 21 2 2 2 4 2" xfId="30516" xr:uid="{00000000-0005-0000-0000-000073770000}"/>
    <cellStyle name="Normal 21 2 2 2 5" xfId="30517" xr:uid="{00000000-0005-0000-0000-000074770000}"/>
    <cellStyle name="Normal 21 2 2 3" xfId="30518" xr:uid="{00000000-0005-0000-0000-000075770000}"/>
    <cellStyle name="Normal 21 2 2 3 2" xfId="30519" xr:uid="{00000000-0005-0000-0000-000076770000}"/>
    <cellStyle name="Normal 21 2 2 3 2 2" xfId="30520" xr:uid="{00000000-0005-0000-0000-000077770000}"/>
    <cellStyle name="Normal 21 2 2 3 3" xfId="30521" xr:uid="{00000000-0005-0000-0000-000078770000}"/>
    <cellStyle name="Normal 21 2 2 3 3 2" xfId="30522" xr:uid="{00000000-0005-0000-0000-000079770000}"/>
    <cellStyle name="Normal 21 2 2 3 4" xfId="30523" xr:uid="{00000000-0005-0000-0000-00007A770000}"/>
    <cellStyle name="Normal 21 2 2 4" xfId="30524" xr:uid="{00000000-0005-0000-0000-00007B770000}"/>
    <cellStyle name="Normal 21 2 2 4 2" xfId="30525" xr:uid="{00000000-0005-0000-0000-00007C770000}"/>
    <cellStyle name="Normal 21 2 2 5" xfId="30526" xr:uid="{00000000-0005-0000-0000-00007D770000}"/>
    <cellStyle name="Normal 21 2 2 5 2" xfId="30527" xr:uid="{00000000-0005-0000-0000-00007E770000}"/>
    <cellStyle name="Normal 21 2 2 6" xfId="30528" xr:uid="{00000000-0005-0000-0000-00007F770000}"/>
    <cellStyle name="Normal 21 2 3" xfId="30529" xr:uid="{00000000-0005-0000-0000-000080770000}"/>
    <cellStyle name="Normal 21 2 3 2" xfId="30530" xr:uid="{00000000-0005-0000-0000-000081770000}"/>
    <cellStyle name="Normal 21 2 3 2 2" xfId="30531" xr:uid="{00000000-0005-0000-0000-000082770000}"/>
    <cellStyle name="Normal 21 2 3 2 2 2" xfId="30532" xr:uid="{00000000-0005-0000-0000-000083770000}"/>
    <cellStyle name="Normal 21 2 3 2 3" xfId="30533" xr:uid="{00000000-0005-0000-0000-000084770000}"/>
    <cellStyle name="Normal 21 2 3 2 3 2" xfId="30534" xr:uid="{00000000-0005-0000-0000-000085770000}"/>
    <cellStyle name="Normal 21 2 3 2 4" xfId="30535" xr:uid="{00000000-0005-0000-0000-000086770000}"/>
    <cellStyle name="Normal 21 2 3 3" xfId="30536" xr:uid="{00000000-0005-0000-0000-000087770000}"/>
    <cellStyle name="Normal 21 2 3 3 2" xfId="30537" xr:uid="{00000000-0005-0000-0000-000088770000}"/>
    <cellStyle name="Normal 21 2 3 4" xfId="30538" xr:uid="{00000000-0005-0000-0000-000089770000}"/>
    <cellStyle name="Normal 21 2 3 4 2" xfId="30539" xr:uid="{00000000-0005-0000-0000-00008A770000}"/>
    <cellStyle name="Normal 21 2 3 5" xfId="30540" xr:uid="{00000000-0005-0000-0000-00008B770000}"/>
    <cellStyle name="Normal 21 2 4" xfId="30541" xr:uid="{00000000-0005-0000-0000-00008C770000}"/>
    <cellStyle name="Normal 21 2 4 2" xfId="30542" xr:uid="{00000000-0005-0000-0000-00008D770000}"/>
    <cellStyle name="Normal 21 2 4 2 2" xfId="30543" xr:uid="{00000000-0005-0000-0000-00008E770000}"/>
    <cellStyle name="Normal 21 2 4 3" xfId="30544" xr:uid="{00000000-0005-0000-0000-00008F770000}"/>
    <cellStyle name="Normal 21 2 4 3 2" xfId="30545" xr:uid="{00000000-0005-0000-0000-000090770000}"/>
    <cellStyle name="Normal 21 2 4 4" xfId="30546" xr:uid="{00000000-0005-0000-0000-000091770000}"/>
    <cellStyle name="Normal 21 2 5" xfId="30547" xr:uid="{00000000-0005-0000-0000-000092770000}"/>
    <cellStyle name="Normal 21 2 5 2" xfId="30548" xr:uid="{00000000-0005-0000-0000-000093770000}"/>
    <cellStyle name="Normal 21 2 5 2 2" xfId="30549" xr:uid="{00000000-0005-0000-0000-000094770000}"/>
    <cellStyle name="Normal 21 2 5 3" xfId="30550" xr:uid="{00000000-0005-0000-0000-000095770000}"/>
    <cellStyle name="Normal 21 2 5 3 2" xfId="30551" xr:uid="{00000000-0005-0000-0000-000096770000}"/>
    <cellStyle name="Normal 21 2 5 4" xfId="30552" xr:uid="{00000000-0005-0000-0000-000097770000}"/>
    <cellStyle name="Normal 21 2 6" xfId="30553" xr:uid="{00000000-0005-0000-0000-000098770000}"/>
    <cellStyle name="Normal 21 2 6 2" xfId="30554" xr:uid="{00000000-0005-0000-0000-000099770000}"/>
    <cellStyle name="Normal 21 2 7" xfId="30555" xr:uid="{00000000-0005-0000-0000-00009A770000}"/>
    <cellStyle name="Normal 21 2 7 2" xfId="30556" xr:uid="{00000000-0005-0000-0000-00009B770000}"/>
    <cellStyle name="Normal 21 2 8" xfId="30557" xr:uid="{00000000-0005-0000-0000-00009C770000}"/>
    <cellStyle name="Normal 21 20" xfId="30558" xr:uid="{00000000-0005-0000-0000-00009D770000}"/>
    <cellStyle name="Normal 21 21" xfId="30559" xr:uid="{00000000-0005-0000-0000-00009E770000}"/>
    <cellStyle name="Normal 21 22" xfId="30560" xr:uid="{00000000-0005-0000-0000-00009F770000}"/>
    <cellStyle name="Normal 21 23" xfId="30561" xr:uid="{00000000-0005-0000-0000-0000A0770000}"/>
    <cellStyle name="Normal 21 24" xfId="30562" xr:uid="{00000000-0005-0000-0000-0000A1770000}"/>
    <cellStyle name="Normal 21 25" xfId="30563" xr:uid="{00000000-0005-0000-0000-0000A2770000}"/>
    <cellStyle name="Normal 21 26" xfId="30564" xr:uid="{00000000-0005-0000-0000-0000A3770000}"/>
    <cellStyle name="Normal 21 27" xfId="30565" xr:uid="{00000000-0005-0000-0000-0000A4770000}"/>
    <cellStyle name="Normal 21 28" xfId="30566" xr:uid="{00000000-0005-0000-0000-0000A5770000}"/>
    <cellStyle name="Normal 21 3" xfId="30567" xr:uid="{00000000-0005-0000-0000-0000A6770000}"/>
    <cellStyle name="Normal 21 3 2" xfId="30568" xr:uid="{00000000-0005-0000-0000-0000A7770000}"/>
    <cellStyle name="Normal 21 3 2 2" xfId="30569" xr:uid="{00000000-0005-0000-0000-0000A8770000}"/>
    <cellStyle name="Normal 21 3 2 2 2" xfId="30570" xr:uid="{00000000-0005-0000-0000-0000A9770000}"/>
    <cellStyle name="Normal 21 3 2 2 2 2" xfId="30571" xr:uid="{00000000-0005-0000-0000-0000AA770000}"/>
    <cellStyle name="Normal 21 3 2 2 3" xfId="30572" xr:uid="{00000000-0005-0000-0000-0000AB770000}"/>
    <cellStyle name="Normal 21 3 2 2 3 2" xfId="30573" xr:uid="{00000000-0005-0000-0000-0000AC770000}"/>
    <cellStyle name="Normal 21 3 2 2 4" xfId="30574" xr:uid="{00000000-0005-0000-0000-0000AD770000}"/>
    <cellStyle name="Normal 21 3 2 3" xfId="30575" xr:uid="{00000000-0005-0000-0000-0000AE770000}"/>
    <cellStyle name="Normal 21 3 2 3 2" xfId="30576" xr:uid="{00000000-0005-0000-0000-0000AF770000}"/>
    <cellStyle name="Normal 21 3 2 4" xfId="30577" xr:uid="{00000000-0005-0000-0000-0000B0770000}"/>
    <cellStyle name="Normal 21 3 2 4 2" xfId="30578" xr:uid="{00000000-0005-0000-0000-0000B1770000}"/>
    <cellStyle name="Normal 21 3 2 5" xfId="30579" xr:uid="{00000000-0005-0000-0000-0000B2770000}"/>
    <cellStyle name="Normal 21 3 3" xfId="30580" xr:uid="{00000000-0005-0000-0000-0000B3770000}"/>
    <cellStyle name="Normal 21 3 3 2" xfId="30581" xr:uid="{00000000-0005-0000-0000-0000B4770000}"/>
    <cellStyle name="Normal 21 3 3 2 2" xfId="30582" xr:uid="{00000000-0005-0000-0000-0000B5770000}"/>
    <cellStyle name="Normal 21 3 3 3" xfId="30583" xr:uid="{00000000-0005-0000-0000-0000B6770000}"/>
    <cellStyle name="Normal 21 3 3 3 2" xfId="30584" xr:uid="{00000000-0005-0000-0000-0000B7770000}"/>
    <cellStyle name="Normal 21 3 3 4" xfId="30585" xr:uid="{00000000-0005-0000-0000-0000B8770000}"/>
    <cellStyle name="Normal 21 3 4" xfId="30586" xr:uid="{00000000-0005-0000-0000-0000B9770000}"/>
    <cellStyle name="Normal 21 3 4 2" xfId="30587" xr:uid="{00000000-0005-0000-0000-0000BA770000}"/>
    <cellStyle name="Normal 21 3 5" xfId="30588" xr:uid="{00000000-0005-0000-0000-0000BB770000}"/>
    <cellStyle name="Normal 21 3 5 2" xfId="30589" xr:uid="{00000000-0005-0000-0000-0000BC770000}"/>
    <cellStyle name="Normal 21 3 6" xfId="30590" xr:uid="{00000000-0005-0000-0000-0000BD770000}"/>
    <cellStyle name="Normal 21 4" xfId="30591" xr:uid="{00000000-0005-0000-0000-0000BE770000}"/>
    <cellStyle name="Normal 21 4 2" xfId="30592" xr:uid="{00000000-0005-0000-0000-0000BF770000}"/>
    <cellStyle name="Normal 21 4 2 2" xfId="30593" xr:uid="{00000000-0005-0000-0000-0000C0770000}"/>
    <cellStyle name="Normal 21 4 2 2 2" xfId="30594" xr:uid="{00000000-0005-0000-0000-0000C1770000}"/>
    <cellStyle name="Normal 21 4 2 3" xfId="30595" xr:uid="{00000000-0005-0000-0000-0000C2770000}"/>
    <cellStyle name="Normal 21 4 2 3 2" xfId="30596" xr:uid="{00000000-0005-0000-0000-0000C3770000}"/>
    <cellStyle name="Normal 21 4 2 4" xfId="30597" xr:uid="{00000000-0005-0000-0000-0000C4770000}"/>
    <cellStyle name="Normal 21 4 3" xfId="30598" xr:uid="{00000000-0005-0000-0000-0000C5770000}"/>
    <cellStyle name="Normal 21 4 3 2" xfId="30599" xr:uid="{00000000-0005-0000-0000-0000C6770000}"/>
    <cellStyle name="Normal 21 4 4" xfId="30600" xr:uid="{00000000-0005-0000-0000-0000C7770000}"/>
    <cellStyle name="Normal 21 4 4 2" xfId="30601" xr:uid="{00000000-0005-0000-0000-0000C8770000}"/>
    <cellStyle name="Normal 21 4 5" xfId="30602" xr:uid="{00000000-0005-0000-0000-0000C9770000}"/>
    <cellStyle name="Normal 21 5" xfId="30603" xr:uid="{00000000-0005-0000-0000-0000CA770000}"/>
    <cellStyle name="Normal 21 5 2" xfId="30604" xr:uid="{00000000-0005-0000-0000-0000CB770000}"/>
    <cellStyle name="Normal 21 5 2 2" xfId="30605" xr:uid="{00000000-0005-0000-0000-0000CC770000}"/>
    <cellStyle name="Normal 21 5 3" xfId="30606" xr:uid="{00000000-0005-0000-0000-0000CD770000}"/>
    <cellStyle name="Normal 21 5 3 2" xfId="30607" xr:uid="{00000000-0005-0000-0000-0000CE770000}"/>
    <cellStyle name="Normal 21 5 4" xfId="30608" xr:uid="{00000000-0005-0000-0000-0000CF770000}"/>
    <cellStyle name="Normal 21 6" xfId="30609" xr:uid="{00000000-0005-0000-0000-0000D0770000}"/>
    <cellStyle name="Normal 21 6 2" xfId="30610" xr:uid="{00000000-0005-0000-0000-0000D1770000}"/>
    <cellStyle name="Normal 21 7" xfId="30611" xr:uid="{00000000-0005-0000-0000-0000D2770000}"/>
    <cellStyle name="Normal 21 7 2" xfId="30612" xr:uid="{00000000-0005-0000-0000-0000D3770000}"/>
    <cellStyle name="Normal 21 8" xfId="30613" xr:uid="{00000000-0005-0000-0000-0000D4770000}"/>
    <cellStyle name="Normal 21 9" xfId="30614" xr:uid="{00000000-0005-0000-0000-0000D5770000}"/>
    <cellStyle name="Normal 210" xfId="30615" xr:uid="{00000000-0005-0000-0000-0000D6770000}"/>
    <cellStyle name="Normal 210 2" xfId="30616" xr:uid="{00000000-0005-0000-0000-0000D7770000}"/>
    <cellStyle name="Normal 211" xfId="30617" xr:uid="{00000000-0005-0000-0000-0000D8770000}"/>
    <cellStyle name="Normal 211 2" xfId="30618" xr:uid="{00000000-0005-0000-0000-0000D9770000}"/>
    <cellStyle name="Normal 212" xfId="30619" xr:uid="{00000000-0005-0000-0000-0000DA770000}"/>
    <cellStyle name="Normal 212 2" xfId="30620" xr:uid="{00000000-0005-0000-0000-0000DB770000}"/>
    <cellStyle name="Normal 213" xfId="30621" xr:uid="{00000000-0005-0000-0000-0000DC770000}"/>
    <cellStyle name="Normal 213 2" xfId="30622" xr:uid="{00000000-0005-0000-0000-0000DD770000}"/>
    <cellStyle name="Normal 214" xfId="30623" xr:uid="{00000000-0005-0000-0000-0000DE770000}"/>
    <cellStyle name="Normal 214 2" xfId="30624" xr:uid="{00000000-0005-0000-0000-0000DF770000}"/>
    <cellStyle name="Normal 215" xfId="30625" xr:uid="{00000000-0005-0000-0000-0000E0770000}"/>
    <cellStyle name="Normal 215 2" xfId="30626" xr:uid="{00000000-0005-0000-0000-0000E1770000}"/>
    <cellStyle name="Normal 216" xfId="30627" xr:uid="{00000000-0005-0000-0000-0000E2770000}"/>
    <cellStyle name="Normal 216 2" xfId="30628" xr:uid="{00000000-0005-0000-0000-0000E3770000}"/>
    <cellStyle name="Normal 217" xfId="30629" xr:uid="{00000000-0005-0000-0000-0000E4770000}"/>
    <cellStyle name="Normal 217 2" xfId="30630" xr:uid="{00000000-0005-0000-0000-0000E5770000}"/>
    <cellStyle name="Normal 218" xfId="30631" xr:uid="{00000000-0005-0000-0000-0000E6770000}"/>
    <cellStyle name="Normal 218 2" xfId="30632" xr:uid="{00000000-0005-0000-0000-0000E7770000}"/>
    <cellStyle name="Normal 219" xfId="30633" xr:uid="{00000000-0005-0000-0000-0000E8770000}"/>
    <cellStyle name="Normal 219 2" xfId="30634" xr:uid="{00000000-0005-0000-0000-0000E9770000}"/>
    <cellStyle name="Normal 22" xfId="30635" xr:uid="{00000000-0005-0000-0000-0000EA770000}"/>
    <cellStyle name="Normal 22 2" xfId="30636" xr:uid="{00000000-0005-0000-0000-0000EB770000}"/>
    <cellStyle name="Normal 22 2 2" xfId="30637" xr:uid="{00000000-0005-0000-0000-0000EC770000}"/>
    <cellStyle name="Normal 22 2 2 2" xfId="30638" xr:uid="{00000000-0005-0000-0000-0000ED770000}"/>
    <cellStyle name="Normal 22 2 2 2 2" xfId="30639" xr:uid="{00000000-0005-0000-0000-0000EE770000}"/>
    <cellStyle name="Normal 22 2 2 2 2 2" xfId="30640" xr:uid="{00000000-0005-0000-0000-0000EF770000}"/>
    <cellStyle name="Normal 22 2 2 2 3" xfId="30641" xr:uid="{00000000-0005-0000-0000-0000F0770000}"/>
    <cellStyle name="Normal 22 2 2 2 3 2" xfId="30642" xr:uid="{00000000-0005-0000-0000-0000F1770000}"/>
    <cellStyle name="Normal 22 2 2 2 4" xfId="30643" xr:uid="{00000000-0005-0000-0000-0000F2770000}"/>
    <cellStyle name="Normal 22 2 2 3" xfId="30644" xr:uid="{00000000-0005-0000-0000-0000F3770000}"/>
    <cellStyle name="Normal 22 2 2 3 2" xfId="30645" xr:uid="{00000000-0005-0000-0000-0000F4770000}"/>
    <cellStyle name="Normal 22 2 2 4" xfId="30646" xr:uid="{00000000-0005-0000-0000-0000F5770000}"/>
    <cellStyle name="Normal 22 2 2 4 2" xfId="30647" xr:uid="{00000000-0005-0000-0000-0000F6770000}"/>
    <cellStyle name="Normal 22 2 2 5" xfId="30648" xr:uid="{00000000-0005-0000-0000-0000F7770000}"/>
    <cellStyle name="Normal 22 2 3" xfId="30649" xr:uid="{00000000-0005-0000-0000-0000F8770000}"/>
    <cellStyle name="Normal 22 2 3 2" xfId="30650" xr:uid="{00000000-0005-0000-0000-0000F9770000}"/>
    <cellStyle name="Normal 22 2 3 2 2" xfId="30651" xr:uid="{00000000-0005-0000-0000-0000FA770000}"/>
    <cellStyle name="Normal 22 2 3 3" xfId="30652" xr:uid="{00000000-0005-0000-0000-0000FB770000}"/>
    <cellStyle name="Normal 22 2 3 3 2" xfId="30653" xr:uid="{00000000-0005-0000-0000-0000FC770000}"/>
    <cellStyle name="Normal 22 2 3 4" xfId="30654" xr:uid="{00000000-0005-0000-0000-0000FD770000}"/>
    <cellStyle name="Normal 22 2 4" xfId="30655" xr:uid="{00000000-0005-0000-0000-0000FE770000}"/>
    <cellStyle name="Normal 22 2 4 2" xfId="30656" xr:uid="{00000000-0005-0000-0000-0000FF770000}"/>
    <cellStyle name="Normal 22 2 5" xfId="30657" xr:uid="{00000000-0005-0000-0000-000000780000}"/>
    <cellStyle name="Normal 22 2 5 2" xfId="30658" xr:uid="{00000000-0005-0000-0000-000001780000}"/>
    <cellStyle name="Normal 22 2 6" xfId="30659" xr:uid="{00000000-0005-0000-0000-000002780000}"/>
    <cellStyle name="Normal 22 3" xfId="30660" xr:uid="{00000000-0005-0000-0000-000003780000}"/>
    <cellStyle name="Normal 22 3 2" xfId="30661" xr:uid="{00000000-0005-0000-0000-000004780000}"/>
    <cellStyle name="Normal 22 3 2 2" xfId="30662" xr:uid="{00000000-0005-0000-0000-000005780000}"/>
    <cellStyle name="Normal 22 3 2 2 2" xfId="30663" xr:uid="{00000000-0005-0000-0000-000006780000}"/>
    <cellStyle name="Normal 22 3 2 3" xfId="30664" xr:uid="{00000000-0005-0000-0000-000007780000}"/>
    <cellStyle name="Normal 22 3 2 3 2" xfId="30665" xr:uid="{00000000-0005-0000-0000-000008780000}"/>
    <cellStyle name="Normal 22 3 2 4" xfId="30666" xr:uid="{00000000-0005-0000-0000-000009780000}"/>
    <cellStyle name="Normal 22 3 3" xfId="30667" xr:uid="{00000000-0005-0000-0000-00000A780000}"/>
    <cellStyle name="Normal 22 3 3 2" xfId="30668" xr:uid="{00000000-0005-0000-0000-00000B780000}"/>
    <cellStyle name="Normal 22 3 4" xfId="30669" xr:uid="{00000000-0005-0000-0000-00000C780000}"/>
    <cellStyle name="Normal 22 3 4 2" xfId="30670" xr:uid="{00000000-0005-0000-0000-00000D780000}"/>
    <cellStyle name="Normal 22 3 5" xfId="30671" xr:uid="{00000000-0005-0000-0000-00000E780000}"/>
    <cellStyle name="Normal 22 4" xfId="30672" xr:uid="{00000000-0005-0000-0000-00000F780000}"/>
    <cellStyle name="Normal 22 4 2" xfId="30673" xr:uid="{00000000-0005-0000-0000-000010780000}"/>
    <cellStyle name="Normal 22 4 2 2" xfId="30674" xr:uid="{00000000-0005-0000-0000-000011780000}"/>
    <cellStyle name="Normal 22 4 3" xfId="30675" xr:uid="{00000000-0005-0000-0000-000012780000}"/>
    <cellStyle name="Normal 22 4 3 2" xfId="30676" xr:uid="{00000000-0005-0000-0000-000013780000}"/>
    <cellStyle name="Normal 22 4 4" xfId="30677" xr:uid="{00000000-0005-0000-0000-000014780000}"/>
    <cellStyle name="Normal 22 5" xfId="30678" xr:uid="{00000000-0005-0000-0000-000015780000}"/>
    <cellStyle name="Normal 22 5 2" xfId="30679" xr:uid="{00000000-0005-0000-0000-000016780000}"/>
    <cellStyle name="Normal 22 6" xfId="30680" xr:uid="{00000000-0005-0000-0000-000017780000}"/>
    <cellStyle name="Normal 22 6 2" xfId="30681" xr:uid="{00000000-0005-0000-0000-000018780000}"/>
    <cellStyle name="Normal 22 7" xfId="30682" xr:uid="{00000000-0005-0000-0000-000019780000}"/>
    <cellStyle name="Normal 220" xfId="30683" xr:uid="{00000000-0005-0000-0000-00001A780000}"/>
    <cellStyle name="Normal 221" xfId="30684" xr:uid="{00000000-0005-0000-0000-00001B780000}"/>
    <cellStyle name="Normal 222" xfId="30685" xr:uid="{00000000-0005-0000-0000-00001C780000}"/>
    <cellStyle name="Normal 223" xfId="30686" xr:uid="{00000000-0005-0000-0000-00001D780000}"/>
    <cellStyle name="Normal 224" xfId="30687" xr:uid="{00000000-0005-0000-0000-00001E780000}"/>
    <cellStyle name="Normal 225" xfId="30688" xr:uid="{00000000-0005-0000-0000-00001F780000}"/>
    <cellStyle name="Normal 226" xfId="30689" xr:uid="{00000000-0005-0000-0000-000020780000}"/>
    <cellStyle name="Normal 227" xfId="30690" xr:uid="{00000000-0005-0000-0000-000021780000}"/>
    <cellStyle name="Normal 228" xfId="30691" xr:uid="{00000000-0005-0000-0000-000022780000}"/>
    <cellStyle name="Normal 229" xfId="30692" xr:uid="{00000000-0005-0000-0000-000023780000}"/>
    <cellStyle name="Normal 23" xfId="30693" xr:uid="{00000000-0005-0000-0000-000024780000}"/>
    <cellStyle name="Normal 23 10" xfId="30694" xr:uid="{00000000-0005-0000-0000-000025780000}"/>
    <cellStyle name="Normal 23 11" xfId="30695" xr:uid="{00000000-0005-0000-0000-000026780000}"/>
    <cellStyle name="Normal 23 12" xfId="30696" xr:uid="{00000000-0005-0000-0000-000027780000}"/>
    <cellStyle name="Normal 23 13" xfId="30697" xr:uid="{00000000-0005-0000-0000-000028780000}"/>
    <cellStyle name="Normal 23 2" xfId="30698" xr:uid="{00000000-0005-0000-0000-000029780000}"/>
    <cellStyle name="Normal 23 2 2" xfId="30699" xr:uid="{00000000-0005-0000-0000-00002A780000}"/>
    <cellStyle name="Normal 23 2 2 2" xfId="30700" xr:uid="{00000000-0005-0000-0000-00002B780000}"/>
    <cellStyle name="Normal 23 2 2 2 2" xfId="30701" xr:uid="{00000000-0005-0000-0000-00002C780000}"/>
    <cellStyle name="Normal 23 2 2 2 2 2" xfId="30702" xr:uid="{00000000-0005-0000-0000-00002D780000}"/>
    <cellStyle name="Normal 23 2 2 2 3" xfId="30703" xr:uid="{00000000-0005-0000-0000-00002E780000}"/>
    <cellStyle name="Normal 23 2 2 2 3 2" xfId="30704" xr:uid="{00000000-0005-0000-0000-00002F780000}"/>
    <cellStyle name="Normal 23 2 2 2 4" xfId="30705" xr:uid="{00000000-0005-0000-0000-000030780000}"/>
    <cellStyle name="Normal 23 2 2 3" xfId="30706" xr:uid="{00000000-0005-0000-0000-000031780000}"/>
    <cellStyle name="Normal 23 2 2 3 2" xfId="30707" xr:uid="{00000000-0005-0000-0000-000032780000}"/>
    <cellStyle name="Normal 23 2 2 4" xfId="30708" xr:uid="{00000000-0005-0000-0000-000033780000}"/>
    <cellStyle name="Normal 23 2 2 4 2" xfId="30709" xr:uid="{00000000-0005-0000-0000-000034780000}"/>
    <cellStyle name="Normal 23 2 2 5" xfId="30710" xr:uid="{00000000-0005-0000-0000-000035780000}"/>
    <cellStyle name="Normal 23 2 3" xfId="30711" xr:uid="{00000000-0005-0000-0000-000036780000}"/>
    <cellStyle name="Normal 23 2 3 2" xfId="30712" xr:uid="{00000000-0005-0000-0000-000037780000}"/>
    <cellStyle name="Normal 23 2 3 2 2" xfId="30713" xr:uid="{00000000-0005-0000-0000-000038780000}"/>
    <cellStyle name="Normal 23 2 3 3" xfId="30714" xr:uid="{00000000-0005-0000-0000-000039780000}"/>
    <cellStyle name="Normal 23 2 3 3 2" xfId="30715" xr:uid="{00000000-0005-0000-0000-00003A780000}"/>
    <cellStyle name="Normal 23 2 3 4" xfId="30716" xr:uid="{00000000-0005-0000-0000-00003B780000}"/>
    <cellStyle name="Normal 23 2 4" xfId="30717" xr:uid="{00000000-0005-0000-0000-00003C780000}"/>
    <cellStyle name="Normal 23 2 4 2" xfId="30718" xr:uid="{00000000-0005-0000-0000-00003D780000}"/>
    <cellStyle name="Normal 23 2 5" xfId="30719" xr:uid="{00000000-0005-0000-0000-00003E780000}"/>
    <cellStyle name="Normal 23 2 5 2" xfId="30720" xr:uid="{00000000-0005-0000-0000-00003F780000}"/>
    <cellStyle name="Normal 23 2 6" xfId="30721" xr:uid="{00000000-0005-0000-0000-000040780000}"/>
    <cellStyle name="Normal 23 3" xfId="30722" xr:uid="{00000000-0005-0000-0000-000041780000}"/>
    <cellStyle name="Normal 23 3 2" xfId="30723" xr:uid="{00000000-0005-0000-0000-000042780000}"/>
    <cellStyle name="Normal 23 3 2 2" xfId="30724" xr:uid="{00000000-0005-0000-0000-000043780000}"/>
    <cellStyle name="Normal 23 3 2 2 2" xfId="30725" xr:uid="{00000000-0005-0000-0000-000044780000}"/>
    <cellStyle name="Normal 23 3 2 3" xfId="30726" xr:uid="{00000000-0005-0000-0000-000045780000}"/>
    <cellStyle name="Normal 23 3 2 3 2" xfId="30727" xr:uid="{00000000-0005-0000-0000-000046780000}"/>
    <cellStyle name="Normal 23 3 2 4" xfId="30728" xr:uid="{00000000-0005-0000-0000-000047780000}"/>
    <cellStyle name="Normal 23 3 3" xfId="30729" xr:uid="{00000000-0005-0000-0000-000048780000}"/>
    <cellStyle name="Normal 23 3 3 2" xfId="30730" xr:uid="{00000000-0005-0000-0000-000049780000}"/>
    <cellStyle name="Normal 23 3 4" xfId="30731" xr:uid="{00000000-0005-0000-0000-00004A780000}"/>
    <cellStyle name="Normal 23 3 4 2" xfId="30732" xr:uid="{00000000-0005-0000-0000-00004B780000}"/>
    <cellStyle name="Normal 23 3 5" xfId="30733" xr:uid="{00000000-0005-0000-0000-00004C780000}"/>
    <cellStyle name="Normal 23 4" xfId="30734" xr:uid="{00000000-0005-0000-0000-00004D780000}"/>
    <cellStyle name="Normal 23 4 2" xfId="30735" xr:uid="{00000000-0005-0000-0000-00004E780000}"/>
    <cellStyle name="Normal 23 4 2 2" xfId="30736" xr:uid="{00000000-0005-0000-0000-00004F780000}"/>
    <cellStyle name="Normal 23 4 3" xfId="30737" xr:uid="{00000000-0005-0000-0000-000050780000}"/>
    <cellStyle name="Normal 23 4 3 2" xfId="30738" xr:uid="{00000000-0005-0000-0000-000051780000}"/>
    <cellStyle name="Normal 23 4 4" xfId="30739" xr:uid="{00000000-0005-0000-0000-000052780000}"/>
    <cellStyle name="Normal 23 5" xfId="30740" xr:uid="{00000000-0005-0000-0000-000053780000}"/>
    <cellStyle name="Normal 23 5 2" xfId="30741" xr:uid="{00000000-0005-0000-0000-000054780000}"/>
    <cellStyle name="Normal 23 6" xfId="30742" xr:uid="{00000000-0005-0000-0000-000055780000}"/>
    <cellStyle name="Normal 23 6 2" xfId="30743" xr:uid="{00000000-0005-0000-0000-000056780000}"/>
    <cellStyle name="Normal 23 7" xfId="30744" xr:uid="{00000000-0005-0000-0000-000057780000}"/>
    <cellStyle name="Normal 23 8" xfId="30745" xr:uid="{00000000-0005-0000-0000-000058780000}"/>
    <cellStyle name="Normal 23 9" xfId="30746" xr:uid="{00000000-0005-0000-0000-000059780000}"/>
    <cellStyle name="Normal 230" xfId="30747" xr:uid="{00000000-0005-0000-0000-00005A780000}"/>
    <cellStyle name="Normal 231" xfId="30748" xr:uid="{00000000-0005-0000-0000-00005B780000}"/>
    <cellStyle name="Normal 232" xfId="30749" xr:uid="{00000000-0005-0000-0000-00005C780000}"/>
    <cellStyle name="Normal 232 2" xfId="36342" xr:uid="{00000000-0005-0000-0000-00005D780000}"/>
    <cellStyle name="Normal 233" xfId="30750" xr:uid="{00000000-0005-0000-0000-00005E780000}"/>
    <cellStyle name="Normal 233 3" xfId="36234" xr:uid="{00000000-0005-0000-0000-00005F780000}"/>
    <cellStyle name="Normal 234" xfId="30751" xr:uid="{00000000-0005-0000-0000-000060780000}"/>
    <cellStyle name="Normal 235" xfId="30752" xr:uid="{00000000-0005-0000-0000-000061780000}"/>
    <cellStyle name="Normal 236" xfId="30753" xr:uid="{00000000-0005-0000-0000-000062780000}"/>
    <cellStyle name="Normal 237" xfId="30754" xr:uid="{00000000-0005-0000-0000-000063780000}"/>
    <cellStyle name="Normal 238" xfId="30755" xr:uid="{00000000-0005-0000-0000-000064780000}"/>
    <cellStyle name="Normal 239" xfId="30756" xr:uid="{00000000-0005-0000-0000-000065780000}"/>
    <cellStyle name="Normal 24" xfId="30757" xr:uid="{00000000-0005-0000-0000-000066780000}"/>
    <cellStyle name="Normal 24 2" xfId="30758" xr:uid="{00000000-0005-0000-0000-000067780000}"/>
    <cellStyle name="Normal 24 2 2" xfId="30759" xr:uid="{00000000-0005-0000-0000-000068780000}"/>
    <cellStyle name="Normal 24 2 2 2" xfId="30760" xr:uid="{00000000-0005-0000-0000-000069780000}"/>
    <cellStyle name="Normal 24 2 2 2 2" xfId="30761" xr:uid="{00000000-0005-0000-0000-00006A780000}"/>
    <cellStyle name="Normal 24 2 2 2 2 2" xfId="30762" xr:uid="{00000000-0005-0000-0000-00006B780000}"/>
    <cellStyle name="Normal 24 2 2 2 3" xfId="30763" xr:uid="{00000000-0005-0000-0000-00006C780000}"/>
    <cellStyle name="Normal 24 2 2 2 3 2" xfId="30764" xr:uid="{00000000-0005-0000-0000-00006D780000}"/>
    <cellStyle name="Normal 24 2 2 2 4" xfId="30765" xr:uid="{00000000-0005-0000-0000-00006E780000}"/>
    <cellStyle name="Normal 24 2 2 3" xfId="30766" xr:uid="{00000000-0005-0000-0000-00006F780000}"/>
    <cellStyle name="Normal 24 2 2 3 2" xfId="30767" xr:uid="{00000000-0005-0000-0000-000070780000}"/>
    <cellStyle name="Normal 24 2 2 4" xfId="30768" xr:uid="{00000000-0005-0000-0000-000071780000}"/>
    <cellStyle name="Normal 24 2 2 4 2" xfId="30769" xr:uid="{00000000-0005-0000-0000-000072780000}"/>
    <cellStyle name="Normal 24 2 2 5" xfId="30770" xr:uid="{00000000-0005-0000-0000-000073780000}"/>
    <cellStyle name="Normal 24 2 3" xfId="30771" xr:uid="{00000000-0005-0000-0000-000074780000}"/>
    <cellStyle name="Normal 24 2 3 2" xfId="30772" xr:uid="{00000000-0005-0000-0000-000075780000}"/>
    <cellStyle name="Normal 24 2 3 2 2" xfId="30773" xr:uid="{00000000-0005-0000-0000-000076780000}"/>
    <cellStyle name="Normal 24 2 3 3" xfId="30774" xr:uid="{00000000-0005-0000-0000-000077780000}"/>
    <cellStyle name="Normal 24 2 3 3 2" xfId="30775" xr:uid="{00000000-0005-0000-0000-000078780000}"/>
    <cellStyle name="Normal 24 2 3 4" xfId="30776" xr:uid="{00000000-0005-0000-0000-000079780000}"/>
    <cellStyle name="Normal 24 2 4" xfId="30777" xr:uid="{00000000-0005-0000-0000-00007A780000}"/>
    <cellStyle name="Normal 24 2 4 2" xfId="30778" xr:uid="{00000000-0005-0000-0000-00007B780000}"/>
    <cellStyle name="Normal 24 2 5" xfId="30779" xr:uid="{00000000-0005-0000-0000-00007C780000}"/>
    <cellStyle name="Normal 24 2 5 2" xfId="30780" xr:uid="{00000000-0005-0000-0000-00007D780000}"/>
    <cellStyle name="Normal 24 2 6" xfId="30781" xr:uid="{00000000-0005-0000-0000-00007E780000}"/>
    <cellStyle name="Normal 24 3" xfId="30782" xr:uid="{00000000-0005-0000-0000-00007F780000}"/>
    <cellStyle name="Normal 24 3 2" xfId="30783" xr:uid="{00000000-0005-0000-0000-000080780000}"/>
    <cellStyle name="Normal 24 3 2 2" xfId="30784" xr:uid="{00000000-0005-0000-0000-000081780000}"/>
    <cellStyle name="Normal 24 3 2 2 2" xfId="30785" xr:uid="{00000000-0005-0000-0000-000082780000}"/>
    <cellStyle name="Normal 24 3 2 3" xfId="30786" xr:uid="{00000000-0005-0000-0000-000083780000}"/>
    <cellStyle name="Normal 24 3 2 3 2" xfId="30787" xr:uid="{00000000-0005-0000-0000-000084780000}"/>
    <cellStyle name="Normal 24 3 2 4" xfId="30788" xr:uid="{00000000-0005-0000-0000-000085780000}"/>
    <cellStyle name="Normal 24 3 3" xfId="30789" xr:uid="{00000000-0005-0000-0000-000086780000}"/>
    <cellStyle name="Normal 24 3 3 2" xfId="30790" xr:uid="{00000000-0005-0000-0000-000087780000}"/>
    <cellStyle name="Normal 24 3 4" xfId="30791" xr:uid="{00000000-0005-0000-0000-000088780000}"/>
    <cellStyle name="Normal 24 3 4 2" xfId="30792" xr:uid="{00000000-0005-0000-0000-000089780000}"/>
    <cellStyle name="Normal 24 3 5" xfId="30793" xr:uid="{00000000-0005-0000-0000-00008A780000}"/>
    <cellStyle name="Normal 24 4" xfId="30794" xr:uid="{00000000-0005-0000-0000-00008B780000}"/>
    <cellStyle name="Normal 24 4 2" xfId="30795" xr:uid="{00000000-0005-0000-0000-00008C780000}"/>
    <cellStyle name="Normal 24 4 2 2" xfId="30796" xr:uid="{00000000-0005-0000-0000-00008D780000}"/>
    <cellStyle name="Normal 24 4 3" xfId="30797" xr:uid="{00000000-0005-0000-0000-00008E780000}"/>
    <cellStyle name="Normal 24 4 3 2" xfId="30798" xr:uid="{00000000-0005-0000-0000-00008F780000}"/>
    <cellStyle name="Normal 24 4 4" xfId="30799" xr:uid="{00000000-0005-0000-0000-000090780000}"/>
    <cellStyle name="Normal 24 5" xfId="30800" xr:uid="{00000000-0005-0000-0000-000091780000}"/>
    <cellStyle name="Normal 24 5 2" xfId="30801" xr:uid="{00000000-0005-0000-0000-000092780000}"/>
    <cellStyle name="Normal 24 5 2 2" xfId="30802" xr:uid="{00000000-0005-0000-0000-000093780000}"/>
    <cellStyle name="Normal 24 5 3" xfId="30803" xr:uid="{00000000-0005-0000-0000-000094780000}"/>
    <cellStyle name="Normal 24 5 3 2" xfId="30804" xr:uid="{00000000-0005-0000-0000-000095780000}"/>
    <cellStyle name="Normal 24 5 4" xfId="30805" xr:uid="{00000000-0005-0000-0000-000096780000}"/>
    <cellStyle name="Normal 24 6" xfId="30806" xr:uid="{00000000-0005-0000-0000-000097780000}"/>
    <cellStyle name="Normal 24 6 2" xfId="30807" xr:uid="{00000000-0005-0000-0000-000098780000}"/>
    <cellStyle name="Normal 24 7" xfId="30808" xr:uid="{00000000-0005-0000-0000-000099780000}"/>
    <cellStyle name="Normal 24 7 2" xfId="30809" xr:uid="{00000000-0005-0000-0000-00009A780000}"/>
    <cellStyle name="Normal 24 8" xfId="30810" xr:uid="{00000000-0005-0000-0000-00009B780000}"/>
    <cellStyle name="Normal 24 9" xfId="30811" xr:uid="{00000000-0005-0000-0000-00009C780000}"/>
    <cellStyle name="Normal 240" xfId="30812" xr:uid="{00000000-0005-0000-0000-00009D780000}"/>
    <cellStyle name="Normal 241" xfId="30813" xr:uid="{00000000-0005-0000-0000-00009E780000}"/>
    <cellStyle name="Normal 242" xfId="30814" xr:uid="{00000000-0005-0000-0000-00009F780000}"/>
    <cellStyle name="Normal 243" xfId="30815" xr:uid="{00000000-0005-0000-0000-0000A0780000}"/>
    <cellStyle name="Normal 244" xfId="30816" xr:uid="{00000000-0005-0000-0000-0000A1780000}"/>
    <cellStyle name="Normal 245" xfId="30817" xr:uid="{00000000-0005-0000-0000-0000A2780000}"/>
    <cellStyle name="Normal 246" xfId="30818" xr:uid="{00000000-0005-0000-0000-0000A3780000}"/>
    <cellStyle name="Normal 247" xfId="30819" xr:uid="{00000000-0005-0000-0000-0000A4780000}"/>
    <cellStyle name="Normal 248" xfId="30820" xr:uid="{00000000-0005-0000-0000-0000A5780000}"/>
    <cellStyle name="Normal 249" xfId="30821" xr:uid="{00000000-0005-0000-0000-0000A6780000}"/>
    <cellStyle name="Normal 25" xfId="30822" xr:uid="{00000000-0005-0000-0000-0000A7780000}"/>
    <cellStyle name="Normal 25 2" xfId="30823" xr:uid="{00000000-0005-0000-0000-0000A8780000}"/>
    <cellStyle name="Normal 25 2 2" xfId="30824" xr:uid="{00000000-0005-0000-0000-0000A9780000}"/>
    <cellStyle name="Normal 25 2 2 2" xfId="30825" xr:uid="{00000000-0005-0000-0000-0000AA780000}"/>
    <cellStyle name="Normal 25 2 2 2 2" xfId="30826" xr:uid="{00000000-0005-0000-0000-0000AB780000}"/>
    <cellStyle name="Normal 25 2 2 2 2 2" xfId="30827" xr:uid="{00000000-0005-0000-0000-0000AC780000}"/>
    <cellStyle name="Normal 25 2 2 2 3" xfId="30828" xr:uid="{00000000-0005-0000-0000-0000AD780000}"/>
    <cellStyle name="Normal 25 2 2 2 3 2" xfId="30829" xr:uid="{00000000-0005-0000-0000-0000AE780000}"/>
    <cellStyle name="Normal 25 2 2 2 4" xfId="30830" xr:uid="{00000000-0005-0000-0000-0000AF780000}"/>
    <cellStyle name="Normal 25 2 2 3" xfId="30831" xr:uid="{00000000-0005-0000-0000-0000B0780000}"/>
    <cellStyle name="Normal 25 2 2 3 2" xfId="30832" xr:uid="{00000000-0005-0000-0000-0000B1780000}"/>
    <cellStyle name="Normal 25 2 2 4" xfId="30833" xr:uid="{00000000-0005-0000-0000-0000B2780000}"/>
    <cellStyle name="Normal 25 2 2 4 2" xfId="30834" xr:uid="{00000000-0005-0000-0000-0000B3780000}"/>
    <cellStyle name="Normal 25 2 2 5" xfId="30835" xr:uid="{00000000-0005-0000-0000-0000B4780000}"/>
    <cellStyle name="Normal 25 2 3" xfId="30836" xr:uid="{00000000-0005-0000-0000-0000B5780000}"/>
    <cellStyle name="Normal 25 2 3 2" xfId="30837" xr:uid="{00000000-0005-0000-0000-0000B6780000}"/>
    <cellStyle name="Normal 25 2 3 2 2" xfId="30838" xr:uid="{00000000-0005-0000-0000-0000B7780000}"/>
    <cellStyle name="Normal 25 2 3 3" xfId="30839" xr:uid="{00000000-0005-0000-0000-0000B8780000}"/>
    <cellStyle name="Normal 25 2 3 3 2" xfId="30840" xr:uid="{00000000-0005-0000-0000-0000B9780000}"/>
    <cellStyle name="Normal 25 2 3 4" xfId="30841" xr:uid="{00000000-0005-0000-0000-0000BA780000}"/>
    <cellStyle name="Normal 25 2 4" xfId="30842" xr:uid="{00000000-0005-0000-0000-0000BB780000}"/>
    <cellStyle name="Normal 25 2 4 2" xfId="30843" xr:uid="{00000000-0005-0000-0000-0000BC780000}"/>
    <cellStyle name="Normal 25 2 5" xfId="30844" xr:uid="{00000000-0005-0000-0000-0000BD780000}"/>
    <cellStyle name="Normal 25 2 5 2" xfId="30845" xr:uid="{00000000-0005-0000-0000-0000BE780000}"/>
    <cellStyle name="Normal 25 2 6" xfId="30846" xr:uid="{00000000-0005-0000-0000-0000BF780000}"/>
    <cellStyle name="Normal 25 3" xfId="30847" xr:uid="{00000000-0005-0000-0000-0000C0780000}"/>
    <cellStyle name="Normal 25 3 2" xfId="30848" xr:uid="{00000000-0005-0000-0000-0000C1780000}"/>
    <cellStyle name="Normal 25 3 2 2" xfId="30849" xr:uid="{00000000-0005-0000-0000-0000C2780000}"/>
    <cellStyle name="Normal 25 3 2 2 2" xfId="30850" xr:uid="{00000000-0005-0000-0000-0000C3780000}"/>
    <cellStyle name="Normal 25 3 2 3" xfId="30851" xr:uid="{00000000-0005-0000-0000-0000C4780000}"/>
    <cellStyle name="Normal 25 3 2 3 2" xfId="30852" xr:uid="{00000000-0005-0000-0000-0000C5780000}"/>
    <cellStyle name="Normal 25 3 2 4" xfId="30853" xr:uid="{00000000-0005-0000-0000-0000C6780000}"/>
    <cellStyle name="Normal 25 3 3" xfId="30854" xr:uid="{00000000-0005-0000-0000-0000C7780000}"/>
    <cellStyle name="Normal 25 3 3 2" xfId="30855" xr:uid="{00000000-0005-0000-0000-0000C8780000}"/>
    <cellStyle name="Normal 25 3 4" xfId="30856" xr:uid="{00000000-0005-0000-0000-0000C9780000}"/>
    <cellStyle name="Normal 25 3 4 2" xfId="30857" xr:uid="{00000000-0005-0000-0000-0000CA780000}"/>
    <cellStyle name="Normal 25 3 5" xfId="30858" xr:uid="{00000000-0005-0000-0000-0000CB780000}"/>
    <cellStyle name="Normal 25 4" xfId="30859" xr:uid="{00000000-0005-0000-0000-0000CC780000}"/>
    <cellStyle name="Normal 25 4 2" xfId="30860" xr:uid="{00000000-0005-0000-0000-0000CD780000}"/>
    <cellStyle name="Normal 25 4 2 2" xfId="30861" xr:uid="{00000000-0005-0000-0000-0000CE780000}"/>
    <cellStyle name="Normal 25 4 3" xfId="30862" xr:uid="{00000000-0005-0000-0000-0000CF780000}"/>
    <cellStyle name="Normal 25 4 3 2" xfId="30863" xr:uid="{00000000-0005-0000-0000-0000D0780000}"/>
    <cellStyle name="Normal 25 4 4" xfId="30864" xr:uid="{00000000-0005-0000-0000-0000D1780000}"/>
    <cellStyle name="Normal 25 5" xfId="30865" xr:uid="{00000000-0005-0000-0000-0000D2780000}"/>
    <cellStyle name="Normal 25 5 2" xfId="30866" xr:uid="{00000000-0005-0000-0000-0000D3780000}"/>
    <cellStyle name="Normal 25 6" xfId="30867" xr:uid="{00000000-0005-0000-0000-0000D4780000}"/>
    <cellStyle name="Normal 25 6 2" xfId="30868" xr:uid="{00000000-0005-0000-0000-0000D5780000}"/>
    <cellStyle name="Normal 25 7" xfId="30869" xr:uid="{00000000-0005-0000-0000-0000D6780000}"/>
    <cellStyle name="Normal 25 8" xfId="30870" xr:uid="{00000000-0005-0000-0000-0000D7780000}"/>
    <cellStyle name="Normal 250" xfId="30871" xr:uid="{00000000-0005-0000-0000-0000D8780000}"/>
    <cellStyle name="Normal 251" xfId="30872" xr:uid="{00000000-0005-0000-0000-0000D9780000}"/>
    <cellStyle name="Normal 252" xfId="30873" xr:uid="{00000000-0005-0000-0000-0000DA780000}"/>
    <cellStyle name="Normal 253" xfId="30874" xr:uid="{00000000-0005-0000-0000-0000DB780000}"/>
    <cellStyle name="Normal 254" xfId="30875" xr:uid="{00000000-0005-0000-0000-0000DC780000}"/>
    <cellStyle name="Normal 255" xfId="30876" xr:uid="{00000000-0005-0000-0000-0000DD780000}"/>
    <cellStyle name="Normal 256" xfId="30877" xr:uid="{00000000-0005-0000-0000-0000DE780000}"/>
    <cellStyle name="Normal 257" xfId="30878" xr:uid="{00000000-0005-0000-0000-0000DF780000}"/>
    <cellStyle name="Normal 258" xfId="30879" xr:uid="{00000000-0005-0000-0000-0000E0780000}"/>
    <cellStyle name="Normal 259" xfId="30880" xr:uid="{00000000-0005-0000-0000-0000E1780000}"/>
    <cellStyle name="Normal 26" xfId="30881" xr:uid="{00000000-0005-0000-0000-0000E2780000}"/>
    <cellStyle name="Normal 26 10" xfId="30882" xr:uid="{00000000-0005-0000-0000-0000E3780000}"/>
    <cellStyle name="Normal 26 11" xfId="30883" xr:uid="{00000000-0005-0000-0000-0000E4780000}"/>
    <cellStyle name="Normal 26 12" xfId="30884" xr:uid="{00000000-0005-0000-0000-0000E5780000}"/>
    <cellStyle name="Normal 26 13" xfId="30885" xr:uid="{00000000-0005-0000-0000-0000E6780000}"/>
    <cellStyle name="Normal 26 14" xfId="30886" xr:uid="{00000000-0005-0000-0000-0000E7780000}"/>
    <cellStyle name="Normal 26 15" xfId="30887" xr:uid="{00000000-0005-0000-0000-0000E8780000}"/>
    <cellStyle name="Normal 26 16" xfId="30888" xr:uid="{00000000-0005-0000-0000-0000E9780000}"/>
    <cellStyle name="Normal 26 17" xfId="30889" xr:uid="{00000000-0005-0000-0000-0000EA780000}"/>
    <cellStyle name="Normal 26 18" xfId="30890" xr:uid="{00000000-0005-0000-0000-0000EB780000}"/>
    <cellStyle name="Normal 26 19" xfId="30891" xr:uid="{00000000-0005-0000-0000-0000EC780000}"/>
    <cellStyle name="Normal 26 2" xfId="30892" xr:uid="{00000000-0005-0000-0000-0000ED780000}"/>
    <cellStyle name="Normal 26 2 2" xfId="30893" xr:uid="{00000000-0005-0000-0000-0000EE780000}"/>
    <cellStyle name="Normal 26 2 2 2" xfId="30894" xr:uid="{00000000-0005-0000-0000-0000EF780000}"/>
    <cellStyle name="Normal 26 2 2 2 2" xfId="30895" xr:uid="{00000000-0005-0000-0000-0000F0780000}"/>
    <cellStyle name="Normal 26 2 2 3" xfId="30896" xr:uid="{00000000-0005-0000-0000-0000F1780000}"/>
    <cellStyle name="Normal 26 2 2 3 2" xfId="30897" xr:uid="{00000000-0005-0000-0000-0000F2780000}"/>
    <cellStyle name="Normal 26 2 2 4" xfId="30898" xr:uid="{00000000-0005-0000-0000-0000F3780000}"/>
    <cellStyle name="Normal 26 2 3" xfId="30899" xr:uid="{00000000-0005-0000-0000-0000F4780000}"/>
    <cellStyle name="Normal 26 2 3 2" xfId="30900" xr:uid="{00000000-0005-0000-0000-0000F5780000}"/>
    <cellStyle name="Normal 26 2 4" xfId="30901" xr:uid="{00000000-0005-0000-0000-0000F6780000}"/>
    <cellStyle name="Normal 26 2 4 2" xfId="30902" xr:uid="{00000000-0005-0000-0000-0000F7780000}"/>
    <cellStyle name="Normal 26 2 5" xfId="30903" xr:uid="{00000000-0005-0000-0000-0000F8780000}"/>
    <cellStyle name="Normal 26 20" xfId="30904" xr:uid="{00000000-0005-0000-0000-0000F9780000}"/>
    <cellStyle name="Normal 26 21" xfId="30905" xr:uid="{00000000-0005-0000-0000-0000FA780000}"/>
    <cellStyle name="Normal 26 22" xfId="30906" xr:uid="{00000000-0005-0000-0000-0000FB780000}"/>
    <cellStyle name="Normal 26 23" xfId="30907" xr:uid="{00000000-0005-0000-0000-0000FC780000}"/>
    <cellStyle name="Normal 26 24" xfId="30908" xr:uid="{00000000-0005-0000-0000-0000FD780000}"/>
    <cellStyle name="Normal 26 25" xfId="30909" xr:uid="{00000000-0005-0000-0000-0000FE780000}"/>
    <cellStyle name="Normal 26 26" xfId="30910" xr:uid="{00000000-0005-0000-0000-0000FF780000}"/>
    <cellStyle name="Normal 26 27" xfId="30911" xr:uid="{00000000-0005-0000-0000-000000790000}"/>
    <cellStyle name="Normal 26 28" xfId="30912" xr:uid="{00000000-0005-0000-0000-000001790000}"/>
    <cellStyle name="Normal 26 3" xfId="30913" xr:uid="{00000000-0005-0000-0000-000002790000}"/>
    <cellStyle name="Normal 26 3 2" xfId="30914" xr:uid="{00000000-0005-0000-0000-000003790000}"/>
    <cellStyle name="Normal 26 3 2 2" xfId="30915" xr:uid="{00000000-0005-0000-0000-000004790000}"/>
    <cellStyle name="Normal 26 3 3" xfId="30916" xr:uid="{00000000-0005-0000-0000-000005790000}"/>
    <cellStyle name="Normal 26 3 3 2" xfId="30917" xr:uid="{00000000-0005-0000-0000-000006790000}"/>
    <cellStyle name="Normal 26 3 4" xfId="30918" xr:uid="{00000000-0005-0000-0000-000007790000}"/>
    <cellStyle name="Normal 26 4" xfId="30919" xr:uid="{00000000-0005-0000-0000-000008790000}"/>
    <cellStyle name="Normal 26 4 2" xfId="30920" xr:uid="{00000000-0005-0000-0000-000009790000}"/>
    <cellStyle name="Normal 26 5" xfId="30921" xr:uid="{00000000-0005-0000-0000-00000A790000}"/>
    <cellStyle name="Normal 26 5 2" xfId="30922" xr:uid="{00000000-0005-0000-0000-00000B790000}"/>
    <cellStyle name="Normal 26 6" xfId="30923" xr:uid="{00000000-0005-0000-0000-00000C790000}"/>
    <cellStyle name="Normal 26 7" xfId="30924" xr:uid="{00000000-0005-0000-0000-00000D790000}"/>
    <cellStyle name="Normal 26 8" xfId="30925" xr:uid="{00000000-0005-0000-0000-00000E790000}"/>
    <cellStyle name="Normal 26 9" xfId="30926" xr:uid="{00000000-0005-0000-0000-00000F790000}"/>
    <cellStyle name="Normal 260" xfId="30927" xr:uid="{00000000-0005-0000-0000-000010790000}"/>
    <cellStyle name="Normal 261" xfId="30928" xr:uid="{00000000-0005-0000-0000-000011790000}"/>
    <cellStyle name="Normal 262" xfId="30929" xr:uid="{00000000-0005-0000-0000-000012790000}"/>
    <cellStyle name="Normal 263" xfId="30930" xr:uid="{00000000-0005-0000-0000-000013790000}"/>
    <cellStyle name="Normal 264" xfId="30931" xr:uid="{00000000-0005-0000-0000-000014790000}"/>
    <cellStyle name="Normal 265" xfId="30932" xr:uid="{00000000-0005-0000-0000-000015790000}"/>
    <cellStyle name="Normal 265 2" xfId="36232" xr:uid="{00000000-0005-0000-0000-000016790000}"/>
    <cellStyle name="Normal 266" xfId="30933" xr:uid="{00000000-0005-0000-0000-000017790000}"/>
    <cellStyle name="Normal 267" xfId="30934" xr:uid="{00000000-0005-0000-0000-000018790000}"/>
    <cellStyle name="Normal 27" xfId="30935" xr:uid="{00000000-0005-0000-0000-000019790000}"/>
    <cellStyle name="Normal 27 10" xfId="30936" xr:uid="{00000000-0005-0000-0000-00001A790000}"/>
    <cellStyle name="Normal 27 11" xfId="30937" xr:uid="{00000000-0005-0000-0000-00001B790000}"/>
    <cellStyle name="Normal 27 12" xfId="30938" xr:uid="{00000000-0005-0000-0000-00001C790000}"/>
    <cellStyle name="Normal 27 13" xfId="30939" xr:uid="{00000000-0005-0000-0000-00001D790000}"/>
    <cellStyle name="Normal 27 14" xfId="30940" xr:uid="{00000000-0005-0000-0000-00001E790000}"/>
    <cellStyle name="Normal 27 15" xfId="30941" xr:uid="{00000000-0005-0000-0000-00001F790000}"/>
    <cellStyle name="Normal 27 16" xfId="30942" xr:uid="{00000000-0005-0000-0000-000020790000}"/>
    <cellStyle name="Normal 27 17" xfId="30943" xr:uid="{00000000-0005-0000-0000-000021790000}"/>
    <cellStyle name="Normal 27 18" xfId="30944" xr:uid="{00000000-0005-0000-0000-000022790000}"/>
    <cellStyle name="Normal 27 19" xfId="30945" xr:uid="{00000000-0005-0000-0000-000023790000}"/>
    <cellStyle name="Normal 27 2" xfId="30946" xr:uid="{00000000-0005-0000-0000-000024790000}"/>
    <cellStyle name="Normal 27 2 2" xfId="30947" xr:uid="{00000000-0005-0000-0000-000025790000}"/>
    <cellStyle name="Normal 27 20" xfId="30948" xr:uid="{00000000-0005-0000-0000-000026790000}"/>
    <cellStyle name="Normal 27 21" xfId="30949" xr:uid="{00000000-0005-0000-0000-000027790000}"/>
    <cellStyle name="Normal 27 22" xfId="30950" xr:uid="{00000000-0005-0000-0000-000028790000}"/>
    <cellStyle name="Normal 27 23" xfId="30951" xr:uid="{00000000-0005-0000-0000-000029790000}"/>
    <cellStyle name="Normal 27 24" xfId="30952" xr:uid="{00000000-0005-0000-0000-00002A790000}"/>
    <cellStyle name="Normal 27 25" xfId="30953" xr:uid="{00000000-0005-0000-0000-00002B790000}"/>
    <cellStyle name="Normal 27 26" xfId="30954" xr:uid="{00000000-0005-0000-0000-00002C790000}"/>
    <cellStyle name="Normal 27 27" xfId="30955" xr:uid="{00000000-0005-0000-0000-00002D790000}"/>
    <cellStyle name="Normal 27 28" xfId="30956" xr:uid="{00000000-0005-0000-0000-00002E790000}"/>
    <cellStyle name="Normal 27 3" xfId="30957" xr:uid="{00000000-0005-0000-0000-00002F790000}"/>
    <cellStyle name="Normal 27 3 2" xfId="30958" xr:uid="{00000000-0005-0000-0000-000030790000}"/>
    <cellStyle name="Normal 27 4" xfId="30959" xr:uid="{00000000-0005-0000-0000-000031790000}"/>
    <cellStyle name="Normal 27 5" xfId="30960" xr:uid="{00000000-0005-0000-0000-000032790000}"/>
    <cellStyle name="Normal 27 6" xfId="30961" xr:uid="{00000000-0005-0000-0000-000033790000}"/>
    <cellStyle name="Normal 27 7" xfId="30962" xr:uid="{00000000-0005-0000-0000-000034790000}"/>
    <cellStyle name="Normal 27 8" xfId="30963" xr:uid="{00000000-0005-0000-0000-000035790000}"/>
    <cellStyle name="Normal 27 9" xfId="30964" xr:uid="{00000000-0005-0000-0000-000036790000}"/>
    <cellStyle name="Normal 28" xfId="30965" xr:uid="{00000000-0005-0000-0000-000037790000}"/>
    <cellStyle name="Normal 28 2" xfId="30966" xr:uid="{00000000-0005-0000-0000-000038790000}"/>
    <cellStyle name="Normal 29" xfId="30967" xr:uid="{00000000-0005-0000-0000-000039790000}"/>
    <cellStyle name="Normal 29 2" xfId="30968" xr:uid="{00000000-0005-0000-0000-00003A790000}"/>
    <cellStyle name="Normal 291" xfId="36156" xr:uid="{00000000-0005-0000-0000-00003B790000}"/>
    <cellStyle name="Normal 293" xfId="36157" xr:uid="{00000000-0005-0000-0000-00003C790000}"/>
    <cellStyle name="Normal 297" xfId="36158" xr:uid="{00000000-0005-0000-0000-00003D790000}"/>
    <cellStyle name="Normal 3" xfId="49" xr:uid="{00000000-0005-0000-0000-00003E790000}"/>
    <cellStyle name="Normal 3 10" xfId="30970" xr:uid="{00000000-0005-0000-0000-00003F790000}"/>
    <cellStyle name="Normal 3 11" xfId="30971" xr:uid="{00000000-0005-0000-0000-000040790000}"/>
    <cellStyle name="Normal 3 12" xfId="30972" xr:uid="{00000000-0005-0000-0000-000041790000}"/>
    <cellStyle name="Normal 3 13" xfId="30973" xr:uid="{00000000-0005-0000-0000-000042790000}"/>
    <cellStyle name="Normal 3 14" xfId="30974" xr:uid="{00000000-0005-0000-0000-000043790000}"/>
    <cellStyle name="Normal 3 15" xfId="30975" xr:uid="{00000000-0005-0000-0000-000044790000}"/>
    <cellStyle name="Normal 3 16" xfId="30976" xr:uid="{00000000-0005-0000-0000-000045790000}"/>
    <cellStyle name="Normal 3 17" xfId="30977" xr:uid="{00000000-0005-0000-0000-000046790000}"/>
    <cellStyle name="Normal 3 18" xfId="30978" xr:uid="{00000000-0005-0000-0000-000047790000}"/>
    <cellStyle name="Normal 3 19" xfId="30979" xr:uid="{00000000-0005-0000-0000-000048790000}"/>
    <cellStyle name="Normal 3 2" xfId="30980" xr:uid="{00000000-0005-0000-0000-000049790000}"/>
    <cellStyle name="Normal 3 2 10" xfId="30981" xr:uid="{00000000-0005-0000-0000-00004A790000}"/>
    <cellStyle name="Normal 3 2 11" xfId="30982" xr:uid="{00000000-0005-0000-0000-00004B790000}"/>
    <cellStyle name="Normal 3 2 12" xfId="30983" xr:uid="{00000000-0005-0000-0000-00004C790000}"/>
    <cellStyle name="Normal 3 2 13" xfId="30984" xr:uid="{00000000-0005-0000-0000-00004D790000}"/>
    <cellStyle name="Normal 3 2 14" xfId="30985" xr:uid="{00000000-0005-0000-0000-00004E790000}"/>
    <cellStyle name="Normal 3 2 15" xfId="30986" xr:uid="{00000000-0005-0000-0000-00004F790000}"/>
    <cellStyle name="Normal 3 2 16" xfId="30987" xr:uid="{00000000-0005-0000-0000-000050790000}"/>
    <cellStyle name="Normal 3 2 17" xfId="30988" xr:uid="{00000000-0005-0000-0000-000051790000}"/>
    <cellStyle name="Normal 3 2 18" xfId="30989" xr:uid="{00000000-0005-0000-0000-000052790000}"/>
    <cellStyle name="Normal 3 2 19" xfId="30990" xr:uid="{00000000-0005-0000-0000-000053790000}"/>
    <cellStyle name="Normal 3 2 2" xfId="30991" xr:uid="{00000000-0005-0000-0000-000054790000}"/>
    <cellStyle name="Normal 3 2 2 10" xfId="30992" xr:uid="{00000000-0005-0000-0000-000055790000}"/>
    <cellStyle name="Normal 3 2 2 11" xfId="30993" xr:uid="{00000000-0005-0000-0000-000056790000}"/>
    <cellStyle name="Normal 3 2 2 12" xfId="30994" xr:uid="{00000000-0005-0000-0000-000057790000}"/>
    <cellStyle name="Normal 3 2 2 13" xfId="30995" xr:uid="{00000000-0005-0000-0000-000058790000}"/>
    <cellStyle name="Normal 3 2 2 14" xfId="30996" xr:uid="{00000000-0005-0000-0000-000059790000}"/>
    <cellStyle name="Normal 3 2 2 15" xfId="30997" xr:uid="{00000000-0005-0000-0000-00005A790000}"/>
    <cellStyle name="Normal 3 2 2 16" xfId="30998" xr:uid="{00000000-0005-0000-0000-00005B790000}"/>
    <cellStyle name="Normal 3 2 2 17" xfId="30999" xr:uid="{00000000-0005-0000-0000-00005C790000}"/>
    <cellStyle name="Normal 3 2 2 18" xfId="31000" xr:uid="{00000000-0005-0000-0000-00005D790000}"/>
    <cellStyle name="Normal 3 2 2 19" xfId="31001" xr:uid="{00000000-0005-0000-0000-00005E790000}"/>
    <cellStyle name="Normal 3 2 2 2" xfId="31002" xr:uid="{00000000-0005-0000-0000-00005F790000}"/>
    <cellStyle name="Normal 3 2 2 2 10" xfId="31003" xr:uid="{00000000-0005-0000-0000-000060790000}"/>
    <cellStyle name="Normal 3 2 2 2 11" xfId="31004" xr:uid="{00000000-0005-0000-0000-000061790000}"/>
    <cellStyle name="Normal 3 2 2 2 12" xfId="31005" xr:uid="{00000000-0005-0000-0000-000062790000}"/>
    <cellStyle name="Normal 3 2 2 2 13" xfId="31006" xr:uid="{00000000-0005-0000-0000-000063790000}"/>
    <cellStyle name="Normal 3 2 2 2 14" xfId="31007" xr:uid="{00000000-0005-0000-0000-000064790000}"/>
    <cellStyle name="Normal 3 2 2 2 15" xfId="31008" xr:uid="{00000000-0005-0000-0000-000065790000}"/>
    <cellStyle name="Normal 3 2 2 2 16" xfId="31009" xr:uid="{00000000-0005-0000-0000-000066790000}"/>
    <cellStyle name="Normal 3 2 2 2 17" xfId="31010" xr:uid="{00000000-0005-0000-0000-000067790000}"/>
    <cellStyle name="Normal 3 2 2 2 18" xfId="31011" xr:uid="{00000000-0005-0000-0000-000068790000}"/>
    <cellStyle name="Normal 3 2 2 2 19" xfId="31012" xr:uid="{00000000-0005-0000-0000-000069790000}"/>
    <cellStyle name="Normal 3 2 2 2 2" xfId="31013" xr:uid="{00000000-0005-0000-0000-00006A790000}"/>
    <cellStyle name="Normal 3 2 2 2 2 10" xfId="31014" xr:uid="{00000000-0005-0000-0000-00006B790000}"/>
    <cellStyle name="Normal 3 2 2 2 2 11" xfId="31015" xr:uid="{00000000-0005-0000-0000-00006C790000}"/>
    <cellStyle name="Normal 3 2 2 2 2 12" xfId="31016" xr:uid="{00000000-0005-0000-0000-00006D790000}"/>
    <cellStyle name="Normal 3 2 2 2 2 13" xfId="31017" xr:uid="{00000000-0005-0000-0000-00006E790000}"/>
    <cellStyle name="Normal 3 2 2 2 2 14" xfId="31018" xr:uid="{00000000-0005-0000-0000-00006F790000}"/>
    <cellStyle name="Normal 3 2 2 2 2 15" xfId="31019" xr:uid="{00000000-0005-0000-0000-000070790000}"/>
    <cellStyle name="Normal 3 2 2 2 2 16" xfId="31020" xr:uid="{00000000-0005-0000-0000-000071790000}"/>
    <cellStyle name="Normal 3 2 2 2 2 17" xfId="31021" xr:uid="{00000000-0005-0000-0000-000072790000}"/>
    <cellStyle name="Normal 3 2 2 2 2 18" xfId="31022" xr:uid="{00000000-0005-0000-0000-000073790000}"/>
    <cellStyle name="Normal 3 2 2 2 2 19" xfId="31023" xr:uid="{00000000-0005-0000-0000-000074790000}"/>
    <cellStyle name="Normal 3 2 2 2 2 2" xfId="31024" xr:uid="{00000000-0005-0000-0000-000075790000}"/>
    <cellStyle name="Normal 3 2 2 2 2 2 10" xfId="31025" xr:uid="{00000000-0005-0000-0000-000076790000}"/>
    <cellStyle name="Normal 3 2 2 2 2 2 11" xfId="31026" xr:uid="{00000000-0005-0000-0000-000077790000}"/>
    <cellStyle name="Normal 3 2 2 2 2 2 12" xfId="31027" xr:uid="{00000000-0005-0000-0000-000078790000}"/>
    <cellStyle name="Normal 3 2 2 2 2 2 13" xfId="31028" xr:uid="{00000000-0005-0000-0000-000079790000}"/>
    <cellStyle name="Normal 3 2 2 2 2 2 14" xfId="31029" xr:uid="{00000000-0005-0000-0000-00007A790000}"/>
    <cellStyle name="Normal 3 2 2 2 2 2 15" xfId="31030" xr:uid="{00000000-0005-0000-0000-00007B790000}"/>
    <cellStyle name="Normal 3 2 2 2 2 2 16" xfId="31031" xr:uid="{00000000-0005-0000-0000-00007C790000}"/>
    <cellStyle name="Normal 3 2 2 2 2 2 17" xfId="31032" xr:uid="{00000000-0005-0000-0000-00007D790000}"/>
    <cellStyle name="Normal 3 2 2 2 2 2 18" xfId="31033" xr:uid="{00000000-0005-0000-0000-00007E790000}"/>
    <cellStyle name="Normal 3 2 2 2 2 2 19" xfId="31034" xr:uid="{00000000-0005-0000-0000-00007F790000}"/>
    <cellStyle name="Normal 3 2 2 2 2 2 2" xfId="31035" xr:uid="{00000000-0005-0000-0000-000080790000}"/>
    <cellStyle name="Normal 3 2 2 2 2 2 2 10" xfId="31036" xr:uid="{00000000-0005-0000-0000-000081790000}"/>
    <cellStyle name="Normal 3 2 2 2 2 2 2 11" xfId="31037" xr:uid="{00000000-0005-0000-0000-000082790000}"/>
    <cellStyle name="Normal 3 2 2 2 2 2 2 12" xfId="31038" xr:uid="{00000000-0005-0000-0000-000083790000}"/>
    <cellStyle name="Normal 3 2 2 2 2 2 2 13" xfId="31039" xr:uid="{00000000-0005-0000-0000-000084790000}"/>
    <cellStyle name="Normal 3 2 2 2 2 2 2 14" xfId="31040" xr:uid="{00000000-0005-0000-0000-000085790000}"/>
    <cellStyle name="Normal 3 2 2 2 2 2 2 15" xfId="31041" xr:uid="{00000000-0005-0000-0000-000086790000}"/>
    <cellStyle name="Normal 3 2 2 2 2 2 2 16" xfId="31042" xr:uid="{00000000-0005-0000-0000-000087790000}"/>
    <cellStyle name="Normal 3 2 2 2 2 2 2 17" xfId="31043" xr:uid="{00000000-0005-0000-0000-000088790000}"/>
    <cellStyle name="Normal 3 2 2 2 2 2 2 18" xfId="31044" xr:uid="{00000000-0005-0000-0000-000089790000}"/>
    <cellStyle name="Normal 3 2 2 2 2 2 2 19" xfId="31045" xr:uid="{00000000-0005-0000-0000-00008A790000}"/>
    <cellStyle name="Normal 3 2 2 2 2 2 2 2" xfId="31046" xr:uid="{00000000-0005-0000-0000-00008B790000}"/>
    <cellStyle name="Normal 3 2 2 2 2 2 2 2 10" xfId="31047" xr:uid="{00000000-0005-0000-0000-00008C790000}"/>
    <cellStyle name="Normal 3 2 2 2 2 2 2 2 11" xfId="31048" xr:uid="{00000000-0005-0000-0000-00008D790000}"/>
    <cellStyle name="Normal 3 2 2 2 2 2 2 2 12" xfId="31049" xr:uid="{00000000-0005-0000-0000-00008E790000}"/>
    <cellStyle name="Normal 3 2 2 2 2 2 2 2 13" xfId="31050" xr:uid="{00000000-0005-0000-0000-00008F790000}"/>
    <cellStyle name="Normal 3 2 2 2 2 2 2 2 2" xfId="31051" xr:uid="{00000000-0005-0000-0000-000090790000}"/>
    <cellStyle name="Normal 3 2 2 2 2 2 2 2 2 10" xfId="31052" xr:uid="{00000000-0005-0000-0000-000091790000}"/>
    <cellStyle name="Normal 3 2 2 2 2 2 2 2 2 11" xfId="31053" xr:uid="{00000000-0005-0000-0000-000092790000}"/>
    <cellStyle name="Normal 3 2 2 2 2 2 2 2 2 12" xfId="31054" xr:uid="{00000000-0005-0000-0000-000093790000}"/>
    <cellStyle name="Normal 3 2 2 2 2 2 2 2 2 13" xfId="31055" xr:uid="{00000000-0005-0000-0000-000094790000}"/>
    <cellStyle name="Normal 3 2 2 2 2 2 2 2 2 2" xfId="31056" xr:uid="{00000000-0005-0000-0000-000095790000}"/>
    <cellStyle name="Normal 3 2 2 2 2 2 2 2 2 3" xfId="31057" xr:uid="{00000000-0005-0000-0000-000096790000}"/>
    <cellStyle name="Normal 3 2 2 2 2 2 2 2 2 4" xfId="31058" xr:uid="{00000000-0005-0000-0000-000097790000}"/>
    <cellStyle name="Normal 3 2 2 2 2 2 2 2 2 5" xfId="31059" xr:uid="{00000000-0005-0000-0000-000098790000}"/>
    <cellStyle name="Normal 3 2 2 2 2 2 2 2 2 6" xfId="31060" xr:uid="{00000000-0005-0000-0000-000099790000}"/>
    <cellStyle name="Normal 3 2 2 2 2 2 2 2 2 7" xfId="31061" xr:uid="{00000000-0005-0000-0000-00009A790000}"/>
    <cellStyle name="Normal 3 2 2 2 2 2 2 2 2 8" xfId="31062" xr:uid="{00000000-0005-0000-0000-00009B790000}"/>
    <cellStyle name="Normal 3 2 2 2 2 2 2 2 2 9" xfId="31063" xr:uid="{00000000-0005-0000-0000-00009C790000}"/>
    <cellStyle name="Normal 3 2 2 2 2 2 2 2 3" xfId="31064" xr:uid="{00000000-0005-0000-0000-00009D790000}"/>
    <cellStyle name="Normal 3 2 2 2 2 2 2 2 4" xfId="31065" xr:uid="{00000000-0005-0000-0000-00009E790000}"/>
    <cellStyle name="Normal 3 2 2 2 2 2 2 2 5" xfId="31066" xr:uid="{00000000-0005-0000-0000-00009F790000}"/>
    <cellStyle name="Normal 3 2 2 2 2 2 2 2 6" xfId="31067" xr:uid="{00000000-0005-0000-0000-0000A0790000}"/>
    <cellStyle name="Normal 3 2 2 2 2 2 2 2 7" xfId="31068" xr:uid="{00000000-0005-0000-0000-0000A1790000}"/>
    <cellStyle name="Normal 3 2 2 2 2 2 2 2 8" xfId="31069" xr:uid="{00000000-0005-0000-0000-0000A2790000}"/>
    <cellStyle name="Normal 3 2 2 2 2 2 2 2 9" xfId="31070" xr:uid="{00000000-0005-0000-0000-0000A3790000}"/>
    <cellStyle name="Normal 3 2 2 2 2 2 2 20" xfId="31071" xr:uid="{00000000-0005-0000-0000-0000A4790000}"/>
    <cellStyle name="Normal 3 2 2 2 2 2 2 21" xfId="31072" xr:uid="{00000000-0005-0000-0000-0000A5790000}"/>
    <cellStyle name="Normal 3 2 2 2 2 2 2 22" xfId="31073" xr:uid="{00000000-0005-0000-0000-0000A6790000}"/>
    <cellStyle name="Normal 3 2 2 2 2 2 2 23" xfId="31074" xr:uid="{00000000-0005-0000-0000-0000A7790000}"/>
    <cellStyle name="Normal 3 2 2 2 2 2 2 24" xfId="31075" xr:uid="{00000000-0005-0000-0000-0000A8790000}"/>
    <cellStyle name="Normal 3 2 2 2 2 2 2 25" xfId="31076" xr:uid="{00000000-0005-0000-0000-0000A9790000}"/>
    <cellStyle name="Normal 3 2 2 2 2 2 2 26" xfId="31077" xr:uid="{00000000-0005-0000-0000-0000AA790000}"/>
    <cellStyle name="Normal 3 2 2 2 2 2 2 27" xfId="31078" xr:uid="{00000000-0005-0000-0000-0000AB790000}"/>
    <cellStyle name="Normal 3 2 2 2 2 2 2 28" xfId="31079" xr:uid="{00000000-0005-0000-0000-0000AC790000}"/>
    <cellStyle name="Normal 3 2 2 2 2 2 2 29" xfId="31080" xr:uid="{00000000-0005-0000-0000-0000AD790000}"/>
    <cellStyle name="Normal 3 2 2 2 2 2 2 3" xfId="31081" xr:uid="{00000000-0005-0000-0000-0000AE790000}"/>
    <cellStyle name="Normal 3 2 2 2 2 2 2 30" xfId="31082" xr:uid="{00000000-0005-0000-0000-0000AF790000}"/>
    <cellStyle name="Normal 3 2 2 2 2 2 2 31" xfId="31083" xr:uid="{00000000-0005-0000-0000-0000B0790000}"/>
    <cellStyle name="Normal 3 2 2 2 2 2 2 32" xfId="31084" xr:uid="{00000000-0005-0000-0000-0000B1790000}"/>
    <cellStyle name="Normal 3 2 2 2 2 2 2 33" xfId="31085" xr:uid="{00000000-0005-0000-0000-0000B2790000}"/>
    <cellStyle name="Normal 3 2 2 2 2 2 2 34" xfId="31086" xr:uid="{00000000-0005-0000-0000-0000B3790000}"/>
    <cellStyle name="Normal 3 2 2 2 2 2 2 35" xfId="31087" xr:uid="{00000000-0005-0000-0000-0000B4790000}"/>
    <cellStyle name="Normal 3 2 2 2 2 2 2 36" xfId="31088" xr:uid="{00000000-0005-0000-0000-0000B5790000}"/>
    <cellStyle name="Normal 3 2 2 2 2 2 2 37" xfId="31089" xr:uid="{00000000-0005-0000-0000-0000B6790000}"/>
    <cellStyle name="Normal 3 2 2 2 2 2 2 38" xfId="31090" xr:uid="{00000000-0005-0000-0000-0000B7790000}"/>
    <cellStyle name="Normal 3 2 2 2 2 2 2 39" xfId="31091" xr:uid="{00000000-0005-0000-0000-0000B8790000}"/>
    <cellStyle name="Normal 3 2 2 2 2 2 2 4" xfId="31092" xr:uid="{00000000-0005-0000-0000-0000B9790000}"/>
    <cellStyle name="Normal 3 2 2 2 2 2 2 40" xfId="31093" xr:uid="{00000000-0005-0000-0000-0000BA790000}"/>
    <cellStyle name="Normal 3 2 2 2 2 2 2 5" xfId="31094" xr:uid="{00000000-0005-0000-0000-0000BB790000}"/>
    <cellStyle name="Normal 3 2 2 2 2 2 2 6" xfId="31095" xr:uid="{00000000-0005-0000-0000-0000BC790000}"/>
    <cellStyle name="Normal 3 2 2 2 2 2 2 7" xfId="31096" xr:uid="{00000000-0005-0000-0000-0000BD790000}"/>
    <cellStyle name="Normal 3 2 2 2 2 2 2 8" xfId="31097" xr:uid="{00000000-0005-0000-0000-0000BE790000}"/>
    <cellStyle name="Normal 3 2 2 2 2 2 2 9" xfId="31098" xr:uid="{00000000-0005-0000-0000-0000BF790000}"/>
    <cellStyle name="Normal 3 2 2 2 2 2 20" xfId="31099" xr:uid="{00000000-0005-0000-0000-0000C0790000}"/>
    <cellStyle name="Normal 3 2 2 2 2 2 21" xfId="31100" xr:uid="{00000000-0005-0000-0000-0000C1790000}"/>
    <cellStyle name="Normal 3 2 2 2 2 2 22" xfId="31101" xr:uid="{00000000-0005-0000-0000-0000C2790000}"/>
    <cellStyle name="Normal 3 2 2 2 2 2 23" xfId="31102" xr:uid="{00000000-0005-0000-0000-0000C3790000}"/>
    <cellStyle name="Normal 3 2 2 2 2 2 24" xfId="31103" xr:uid="{00000000-0005-0000-0000-0000C4790000}"/>
    <cellStyle name="Normal 3 2 2 2 2 2 25" xfId="31104" xr:uid="{00000000-0005-0000-0000-0000C5790000}"/>
    <cellStyle name="Normal 3 2 2 2 2 2 26" xfId="31105" xr:uid="{00000000-0005-0000-0000-0000C6790000}"/>
    <cellStyle name="Normal 3 2 2 2 2 2 27" xfId="31106" xr:uid="{00000000-0005-0000-0000-0000C7790000}"/>
    <cellStyle name="Normal 3 2 2 2 2 2 28" xfId="31107" xr:uid="{00000000-0005-0000-0000-0000C8790000}"/>
    <cellStyle name="Normal 3 2 2 2 2 2 29" xfId="31108" xr:uid="{00000000-0005-0000-0000-0000C9790000}"/>
    <cellStyle name="Normal 3 2 2 2 2 2 3" xfId="31109" xr:uid="{00000000-0005-0000-0000-0000CA790000}"/>
    <cellStyle name="Normal 3 2 2 2 2 2 30" xfId="31110" xr:uid="{00000000-0005-0000-0000-0000CB790000}"/>
    <cellStyle name="Normal 3 2 2 2 2 2 31" xfId="31111" xr:uid="{00000000-0005-0000-0000-0000CC790000}"/>
    <cellStyle name="Normal 3 2 2 2 2 2 32" xfId="31112" xr:uid="{00000000-0005-0000-0000-0000CD790000}"/>
    <cellStyle name="Normal 3 2 2 2 2 2 33" xfId="31113" xr:uid="{00000000-0005-0000-0000-0000CE790000}"/>
    <cellStyle name="Normal 3 2 2 2 2 2 34" xfId="31114" xr:uid="{00000000-0005-0000-0000-0000CF790000}"/>
    <cellStyle name="Normal 3 2 2 2 2 2 35" xfId="31115" xr:uid="{00000000-0005-0000-0000-0000D0790000}"/>
    <cellStyle name="Normal 3 2 2 2 2 2 36" xfId="31116" xr:uid="{00000000-0005-0000-0000-0000D1790000}"/>
    <cellStyle name="Normal 3 2 2 2 2 2 37" xfId="31117" xr:uid="{00000000-0005-0000-0000-0000D2790000}"/>
    <cellStyle name="Normal 3 2 2 2 2 2 38" xfId="31118" xr:uid="{00000000-0005-0000-0000-0000D3790000}"/>
    <cellStyle name="Normal 3 2 2 2 2 2 39" xfId="31119" xr:uid="{00000000-0005-0000-0000-0000D4790000}"/>
    <cellStyle name="Normal 3 2 2 2 2 2 4" xfId="31120" xr:uid="{00000000-0005-0000-0000-0000D5790000}"/>
    <cellStyle name="Normal 3 2 2 2 2 2 40" xfId="31121" xr:uid="{00000000-0005-0000-0000-0000D6790000}"/>
    <cellStyle name="Normal 3 2 2 2 2 2 5" xfId="31122" xr:uid="{00000000-0005-0000-0000-0000D7790000}"/>
    <cellStyle name="Normal 3 2 2 2 2 2 6" xfId="31123" xr:uid="{00000000-0005-0000-0000-0000D8790000}"/>
    <cellStyle name="Normal 3 2 2 2 2 2 7" xfId="31124" xr:uid="{00000000-0005-0000-0000-0000D9790000}"/>
    <cellStyle name="Normal 3 2 2 2 2 2 8" xfId="31125" xr:uid="{00000000-0005-0000-0000-0000DA790000}"/>
    <cellStyle name="Normal 3 2 2 2 2 2 9" xfId="31126" xr:uid="{00000000-0005-0000-0000-0000DB790000}"/>
    <cellStyle name="Normal 3 2 2 2 2 20" xfId="31127" xr:uid="{00000000-0005-0000-0000-0000DC790000}"/>
    <cellStyle name="Normal 3 2 2 2 2 21" xfId="31128" xr:uid="{00000000-0005-0000-0000-0000DD790000}"/>
    <cellStyle name="Normal 3 2 2 2 2 22" xfId="31129" xr:uid="{00000000-0005-0000-0000-0000DE790000}"/>
    <cellStyle name="Normal 3 2 2 2 2 23" xfId="31130" xr:uid="{00000000-0005-0000-0000-0000DF790000}"/>
    <cellStyle name="Normal 3 2 2 2 2 24" xfId="31131" xr:uid="{00000000-0005-0000-0000-0000E0790000}"/>
    <cellStyle name="Normal 3 2 2 2 2 25" xfId="31132" xr:uid="{00000000-0005-0000-0000-0000E1790000}"/>
    <cellStyle name="Normal 3 2 2 2 2 26" xfId="31133" xr:uid="{00000000-0005-0000-0000-0000E2790000}"/>
    <cellStyle name="Normal 3 2 2 2 2 27" xfId="31134" xr:uid="{00000000-0005-0000-0000-0000E3790000}"/>
    <cellStyle name="Normal 3 2 2 2 2 28" xfId="31135" xr:uid="{00000000-0005-0000-0000-0000E4790000}"/>
    <cellStyle name="Normal 3 2 2 2 2 29" xfId="31136" xr:uid="{00000000-0005-0000-0000-0000E5790000}"/>
    <cellStyle name="Normal 3 2 2 2 2 3" xfId="31137" xr:uid="{00000000-0005-0000-0000-0000E6790000}"/>
    <cellStyle name="Normal 3 2 2 2 2 30" xfId="31138" xr:uid="{00000000-0005-0000-0000-0000E7790000}"/>
    <cellStyle name="Normal 3 2 2 2 2 31" xfId="31139" xr:uid="{00000000-0005-0000-0000-0000E8790000}"/>
    <cellStyle name="Normal 3 2 2 2 2 32" xfId="31140" xr:uid="{00000000-0005-0000-0000-0000E9790000}"/>
    <cellStyle name="Normal 3 2 2 2 2 33" xfId="31141" xr:uid="{00000000-0005-0000-0000-0000EA790000}"/>
    <cellStyle name="Normal 3 2 2 2 2 34" xfId="31142" xr:uid="{00000000-0005-0000-0000-0000EB790000}"/>
    <cellStyle name="Normal 3 2 2 2 2 35" xfId="31143" xr:uid="{00000000-0005-0000-0000-0000EC790000}"/>
    <cellStyle name="Normal 3 2 2 2 2 36" xfId="31144" xr:uid="{00000000-0005-0000-0000-0000ED790000}"/>
    <cellStyle name="Normal 3 2 2 2 2 37" xfId="31145" xr:uid="{00000000-0005-0000-0000-0000EE790000}"/>
    <cellStyle name="Normal 3 2 2 2 2 38" xfId="31146" xr:uid="{00000000-0005-0000-0000-0000EF790000}"/>
    <cellStyle name="Normal 3 2 2 2 2 39" xfId="31147" xr:uid="{00000000-0005-0000-0000-0000F0790000}"/>
    <cellStyle name="Normal 3 2 2 2 2 4" xfId="31148" xr:uid="{00000000-0005-0000-0000-0000F1790000}"/>
    <cellStyle name="Normal 3 2 2 2 2 40" xfId="31149" xr:uid="{00000000-0005-0000-0000-0000F2790000}"/>
    <cellStyle name="Normal 3 2 2 2 2 5" xfId="31150" xr:uid="{00000000-0005-0000-0000-0000F3790000}"/>
    <cellStyle name="Normal 3 2 2 2 2 6" xfId="31151" xr:uid="{00000000-0005-0000-0000-0000F4790000}"/>
    <cellStyle name="Normal 3 2 2 2 2 7" xfId="31152" xr:uid="{00000000-0005-0000-0000-0000F5790000}"/>
    <cellStyle name="Normal 3 2 2 2 2 8" xfId="31153" xr:uid="{00000000-0005-0000-0000-0000F6790000}"/>
    <cellStyle name="Normal 3 2 2 2 2 9" xfId="31154" xr:uid="{00000000-0005-0000-0000-0000F7790000}"/>
    <cellStyle name="Normal 3 2 2 2 20" xfId="31155" xr:uid="{00000000-0005-0000-0000-0000F8790000}"/>
    <cellStyle name="Normal 3 2 2 2 21" xfId="31156" xr:uid="{00000000-0005-0000-0000-0000F9790000}"/>
    <cellStyle name="Normal 3 2 2 2 22" xfId="31157" xr:uid="{00000000-0005-0000-0000-0000FA790000}"/>
    <cellStyle name="Normal 3 2 2 2 23" xfId="31158" xr:uid="{00000000-0005-0000-0000-0000FB790000}"/>
    <cellStyle name="Normal 3 2 2 2 24" xfId="31159" xr:uid="{00000000-0005-0000-0000-0000FC790000}"/>
    <cellStyle name="Normal 3 2 2 2 25" xfId="31160" xr:uid="{00000000-0005-0000-0000-0000FD790000}"/>
    <cellStyle name="Normal 3 2 2 2 26" xfId="31161" xr:uid="{00000000-0005-0000-0000-0000FE790000}"/>
    <cellStyle name="Normal 3 2 2 2 27" xfId="31162" xr:uid="{00000000-0005-0000-0000-0000FF790000}"/>
    <cellStyle name="Normal 3 2 2 2 28" xfId="31163" xr:uid="{00000000-0005-0000-0000-0000007A0000}"/>
    <cellStyle name="Normal 3 2 2 2 29" xfId="31164" xr:uid="{00000000-0005-0000-0000-0000017A0000}"/>
    <cellStyle name="Normal 3 2 2 2 3" xfId="31165" xr:uid="{00000000-0005-0000-0000-0000027A0000}"/>
    <cellStyle name="Normal 3 2 2 2 30" xfId="31166" xr:uid="{00000000-0005-0000-0000-0000037A0000}"/>
    <cellStyle name="Normal 3 2 2 2 31" xfId="31167" xr:uid="{00000000-0005-0000-0000-0000047A0000}"/>
    <cellStyle name="Normal 3 2 2 2 32" xfId="31168" xr:uid="{00000000-0005-0000-0000-0000057A0000}"/>
    <cellStyle name="Normal 3 2 2 2 33" xfId="31169" xr:uid="{00000000-0005-0000-0000-0000067A0000}"/>
    <cellStyle name="Normal 3 2 2 2 34" xfId="31170" xr:uid="{00000000-0005-0000-0000-0000077A0000}"/>
    <cellStyle name="Normal 3 2 2 2 35" xfId="31171" xr:uid="{00000000-0005-0000-0000-0000087A0000}"/>
    <cellStyle name="Normal 3 2 2 2 36" xfId="31172" xr:uid="{00000000-0005-0000-0000-0000097A0000}"/>
    <cellStyle name="Normal 3 2 2 2 37" xfId="31173" xr:uid="{00000000-0005-0000-0000-00000A7A0000}"/>
    <cellStyle name="Normal 3 2 2 2 38" xfId="31174" xr:uid="{00000000-0005-0000-0000-00000B7A0000}"/>
    <cellStyle name="Normal 3 2 2 2 39" xfId="31175" xr:uid="{00000000-0005-0000-0000-00000C7A0000}"/>
    <cellStyle name="Normal 3 2 2 2 4" xfId="31176" xr:uid="{00000000-0005-0000-0000-00000D7A0000}"/>
    <cellStyle name="Normal 3 2 2 2 40" xfId="31177" xr:uid="{00000000-0005-0000-0000-00000E7A0000}"/>
    <cellStyle name="Normal 3 2 2 2 41" xfId="31178" xr:uid="{00000000-0005-0000-0000-00000F7A0000}"/>
    <cellStyle name="Normal 3 2 2 2 5" xfId="31179" xr:uid="{00000000-0005-0000-0000-0000107A0000}"/>
    <cellStyle name="Normal 3 2 2 2 6" xfId="31180" xr:uid="{00000000-0005-0000-0000-0000117A0000}"/>
    <cellStyle name="Normal 3 2 2 2 7" xfId="31181" xr:uid="{00000000-0005-0000-0000-0000127A0000}"/>
    <cellStyle name="Normal 3 2 2 2 8" xfId="31182" xr:uid="{00000000-0005-0000-0000-0000137A0000}"/>
    <cellStyle name="Normal 3 2 2 2 9" xfId="31183" xr:uid="{00000000-0005-0000-0000-0000147A0000}"/>
    <cellStyle name="Normal 3 2 2 20" xfId="31184" xr:uid="{00000000-0005-0000-0000-0000157A0000}"/>
    <cellStyle name="Normal 3 2 2 21" xfId="31185" xr:uid="{00000000-0005-0000-0000-0000167A0000}"/>
    <cellStyle name="Normal 3 2 2 22" xfId="31186" xr:uid="{00000000-0005-0000-0000-0000177A0000}"/>
    <cellStyle name="Normal 3 2 2 23" xfId="31187" xr:uid="{00000000-0005-0000-0000-0000187A0000}"/>
    <cellStyle name="Normal 3 2 2 24" xfId="31188" xr:uid="{00000000-0005-0000-0000-0000197A0000}"/>
    <cellStyle name="Normal 3 2 2 25" xfId="31189" xr:uid="{00000000-0005-0000-0000-00001A7A0000}"/>
    <cellStyle name="Normal 3 2 2 26" xfId="31190" xr:uid="{00000000-0005-0000-0000-00001B7A0000}"/>
    <cellStyle name="Normal 3 2 2 27" xfId="31191" xr:uid="{00000000-0005-0000-0000-00001C7A0000}"/>
    <cellStyle name="Normal 3 2 2 28" xfId="31192" xr:uid="{00000000-0005-0000-0000-00001D7A0000}"/>
    <cellStyle name="Normal 3 2 2 29" xfId="31193" xr:uid="{00000000-0005-0000-0000-00001E7A0000}"/>
    <cellStyle name="Normal 3 2 2 3" xfId="31194" xr:uid="{00000000-0005-0000-0000-00001F7A0000}"/>
    <cellStyle name="Normal 3 2 2 3 2" xfId="31195" xr:uid="{00000000-0005-0000-0000-0000207A0000}"/>
    <cellStyle name="Normal 3 2 2 30" xfId="31196" xr:uid="{00000000-0005-0000-0000-0000217A0000}"/>
    <cellStyle name="Normal 3 2 2 31" xfId="31197" xr:uid="{00000000-0005-0000-0000-0000227A0000}"/>
    <cellStyle name="Normal 3 2 2 32" xfId="31198" xr:uid="{00000000-0005-0000-0000-0000237A0000}"/>
    <cellStyle name="Normal 3 2 2 33" xfId="31199" xr:uid="{00000000-0005-0000-0000-0000247A0000}"/>
    <cellStyle name="Normal 3 2 2 34" xfId="31200" xr:uid="{00000000-0005-0000-0000-0000257A0000}"/>
    <cellStyle name="Normal 3 2 2 35" xfId="31201" xr:uid="{00000000-0005-0000-0000-0000267A0000}"/>
    <cellStyle name="Normal 3 2 2 36" xfId="31202" xr:uid="{00000000-0005-0000-0000-0000277A0000}"/>
    <cellStyle name="Normal 3 2 2 37" xfId="31203" xr:uid="{00000000-0005-0000-0000-0000287A0000}"/>
    <cellStyle name="Normal 3 2 2 38" xfId="31204" xr:uid="{00000000-0005-0000-0000-0000297A0000}"/>
    <cellStyle name="Normal 3 2 2 39" xfId="31205" xr:uid="{00000000-0005-0000-0000-00002A7A0000}"/>
    <cellStyle name="Normal 3 2 2 4" xfId="31206" xr:uid="{00000000-0005-0000-0000-00002B7A0000}"/>
    <cellStyle name="Normal 3 2 2 40" xfId="31207" xr:uid="{00000000-0005-0000-0000-00002C7A0000}"/>
    <cellStyle name="Normal 3 2 2 41" xfId="31208" xr:uid="{00000000-0005-0000-0000-00002D7A0000}"/>
    <cellStyle name="Normal 3 2 2 42" xfId="36343" xr:uid="{00000000-0005-0000-0000-00002E7A0000}"/>
    <cellStyle name="Normal 3 2 2 5" xfId="31209" xr:uid="{00000000-0005-0000-0000-00002F7A0000}"/>
    <cellStyle name="Normal 3 2 2 6" xfId="31210" xr:uid="{00000000-0005-0000-0000-0000307A0000}"/>
    <cellStyle name="Normal 3 2 2 7" xfId="31211" xr:uid="{00000000-0005-0000-0000-0000317A0000}"/>
    <cellStyle name="Normal 3 2 2 8" xfId="31212" xr:uid="{00000000-0005-0000-0000-0000327A0000}"/>
    <cellStyle name="Normal 3 2 2 9" xfId="31213" xr:uid="{00000000-0005-0000-0000-0000337A0000}"/>
    <cellStyle name="Normal 3 2 20" xfId="31214" xr:uid="{00000000-0005-0000-0000-0000347A0000}"/>
    <cellStyle name="Normal 3 2 21" xfId="31215" xr:uid="{00000000-0005-0000-0000-0000357A0000}"/>
    <cellStyle name="Normal 3 2 22" xfId="31216" xr:uid="{00000000-0005-0000-0000-0000367A0000}"/>
    <cellStyle name="Normal 3 2 23" xfId="31217" xr:uid="{00000000-0005-0000-0000-0000377A0000}"/>
    <cellStyle name="Normal 3 2 24" xfId="31218" xr:uid="{00000000-0005-0000-0000-0000387A0000}"/>
    <cellStyle name="Normal 3 2 25" xfId="31219" xr:uid="{00000000-0005-0000-0000-0000397A0000}"/>
    <cellStyle name="Normal 3 2 26" xfId="31220" xr:uid="{00000000-0005-0000-0000-00003A7A0000}"/>
    <cellStyle name="Normal 3 2 27" xfId="31221" xr:uid="{00000000-0005-0000-0000-00003B7A0000}"/>
    <cellStyle name="Normal 3 2 28" xfId="31222" xr:uid="{00000000-0005-0000-0000-00003C7A0000}"/>
    <cellStyle name="Normal 3 2 29" xfId="31223" xr:uid="{00000000-0005-0000-0000-00003D7A0000}"/>
    <cellStyle name="Normal 3 2 3" xfId="31224" xr:uid="{00000000-0005-0000-0000-00003E7A0000}"/>
    <cellStyle name="Normal 3 2 3 10" xfId="31225" xr:uid="{00000000-0005-0000-0000-00003F7A0000}"/>
    <cellStyle name="Normal 3 2 3 11" xfId="31226" xr:uid="{00000000-0005-0000-0000-0000407A0000}"/>
    <cellStyle name="Normal 3 2 3 12" xfId="31227" xr:uid="{00000000-0005-0000-0000-0000417A0000}"/>
    <cellStyle name="Normal 3 2 3 13" xfId="31228" xr:uid="{00000000-0005-0000-0000-0000427A0000}"/>
    <cellStyle name="Normal 3 2 3 14" xfId="31229" xr:uid="{00000000-0005-0000-0000-0000437A0000}"/>
    <cellStyle name="Normal 3 2 3 15" xfId="31230" xr:uid="{00000000-0005-0000-0000-0000447A0000}"/>
    <cellStyle name="Normal 3 2 3 16" xfId="31231" xr:uid="{00000000-0005-0000-0000-0000457A0000}"/>
    <cellStyle name="Normal 3 2 3 17" xfId="31232" xr:uid="{00000000-0005-0000-0000-0000467A0000}"/>
    <cellStyle name="Normal 3 2 3 18" xfId="31233" xr:uid="{00000000-0005-0000-0000-0000477A0000}"/>
    <cellStyle name="Normal 3 2 3 19" xfId="31234" xr:uid="{00000000-0005-0000-0000-0000487A0000}"/>
    <cellStyle name="Normal 3 2 3 2" xfId="31235" xr:uid="{00000000-0005-0000-0000-0000497A0000}"/>
    <cellStyle name="Normal 3 2 3 2 10" xfId="31236" xr:uid="{00000000-0005-0000-0000-00004A7A0000}"/>
    <cellStyle name="Normal 3 2 3 2 11" xfId="31237" xr:uid="{00000000-0005-0000-0000-00004B7A0000}"/>
    <cellStyle name="Normal 3 2 3 2 12" xfId="31238" xr:uid="{00000000-0005-0000-0000-00004C7A0000}"/>
    <cellStyle name="Normal 3 2 3 2 13" xfId="31239" xr:uid="{00000000-0005-0000-0000-00004D7A0000}"/>
    <cellStyle name="Normal 3 2 3 2 14" xfId="31240" xr:uid="{00000000-0005-0000-0000-00004E7A0000}"/>
    <cellStyle name="Normal 3 2 3 2 15" xfId="31241" xr:uid="{00000000-0005-0000-0000-00004F7A0000}"/>
    <cellStyle name="Normal 3 2 3 2 16" xfId="31242" xr:uid="{00000000-0005-0000-0000-0000507A0000}"/>
    <cellStyle name="Normal 3 2 3 2 17" xfId="31243" xr:uid="{00000000-0005-0000-0000-0000517A0000}"/>
    <cellStyle name="Normal 3 2 3 2 18" xfId="31244" xr:uid="{00000000-0005-0000-0000-0000527A0000}"/>
    <cellStyle name="Normal 3 2 3 2 19" xfId="31245" xr:uid="{00000000-0005-0000-0000-0000537A0000}"/>
    <cellStyle name="Normal 3 2 3 2 2" xfId="31246" xr:uid="{00000000-0005-0000-0000-0000547A0000}"/>
    <cellStyle name="Normal 3 2 3 2 2 10" xfId="31247" xr:uid="{00000000-0005-0000-0000-0000557A0000}"/>
    <cellStyle name="Normal 3 2 3 2 2 11" xfId="31248" xr:uid="{00000000-0005-0000-0000-0000567A0000}"/>
    <cellStyle name="Normal 3 2 3 2 2 12" xfId="31249" xr:uid="{00000000-0005-0000-0000-0000577A0000}"/>
    <cellStyle name="Normal 3 2 3 2 2 13" xfId="31250" xr:uid="{00000000-0005-0000-0000-0000587A0000}"/>
    <cellStyle name="Normal 3 2 3 2 2 14" xfId="31251" xr:uid="{00000000-0005-0000-0000-0000597A0000}"/>
    <cellStyle name="Normal 3 2 3 2 2 15" xfId="31252" xr:uid="{00000000-0005-0000-0000-00005A7A0000}"/>
    <cellStyle name="Normal 3 2 3 2 2 16" xfId="31253" xr:uid="{00000000-0005-0000-0000-00005B7A0000}"/>
    <cellStyle name="Normal 3 2 3 2 2 17" xfId="31254" xr:uid="{00000000-0005-0000-0000-00005C7A0000}"/>
    <cellStyle name="Normal 3 2 3 2 2 18" xfId="31255" xr:uid="{00000000-0005-0000-0000-00005D7A0000}"/>
    <cellStyle name="Normal 3 2 3 2 2 19" xfId="31256" xr:uid="{00000000-0005-0000-0000-00005E7A0000}"/>
    <cellStyle name="Normal 3 2 3 2 2 2" xfId="31257" xr:uid="{00000000-0005-0000-0000-00005F7A0000}"/>
    <cellStyle name="Normal 3 2 3 2 2 20" xfId="31258" xr:uid="{00000000-0005-0000-0000-0000607A0000}"/>
    <cellStyle name="Normal 3 2 3 2 2 21" xfId="31259" xr:uid="{00000000-0005-0000-0000-0000617A0000}"/>
    <cellStyle name="Normal 3 2 3 2 2 22" xfId="31260" xr:uid="{00000000-0005-0000-0000-0000627A0000}"/>
    <cellStyle name="Normal 3 2 3 2 2 23" xfId="31261" xr:uid="{00000000-0005-0000-0000-0000637A0000}"/>
    <cellStyle name="Normal 3 2 3 2 2 24" xfId="31262" xr:uid="{00000000-0005-0000-0000-0000647A0000}"/>
    <cellStyle name="Normal 3 2 3 2 2 25" xfId="31263" xr:uid="{00000000-0005-0000-0000-0000657A0000}"/>
    <cellStyle name="Normal 3 2 3 2 2 26" xfId="31264" xr:uid="{00000000-0005-0000-0000-0000667A0000}"/>
    <cellStyle name="Normal 3 2 3 2 2 27" xfId="31265" xr:uid="{00000000-0005-0000-0000-0000677A0000}"/>
    <cellStyle name="Normal 3 2 3 2 2 28" xfId="31266" xr:uid="{00000000-0005-0000-0000-0000687A0000}"/>
    <cellStyle name="Normal 3 2 3 2 2 3" xfId="31267" xr:uid="{00000000-0005-0000-0000-0000697A0000}"/>
    <cellStyle name="Normal 3 2 3 2 2 4" xfId="31268" xr:uid="{00000000-0005-0000-0000-00006A7A0000}"/>
    <cellStyle name="Normal 3 2 3 2 2 5" xfId="31269" xr:uid="{00000000-0005-0000-0000-00006B7A0000}"/>
    <cellStyle name="Normal 3 2 3 2 2 6" xfId="31270" xr:uid="{00000000-0005-0000-0000-00006C7A0000}"/>
    <cellStyle name="Normal 3 2 3 2 2 7" xfId="31271" xr:uid="{00000000-0005-0000-0000-00006D7A0000}"/>
    <cellStyle name="Normal 3 2 3 2 2 8" xfId="31272" xr:uid="{00000000-0005-0000-0000-00006E7A0000}"/>
    <cellStyle name="Normal 3 2 3 2 2 9" xfId="31273" xr:uid="{00000000-0005-0000-0000-00006F7A0000}"/>
    <cellStyle name="Normal 3 2 3 2 20" xfId="31274" xr:uid="{00000000-0005-0000-0000-0000707A0000}"/>
    <cellStyle name="Normal 3 2 3 2 21" xfId="31275" xr:uid="{00000000-0005-0000-0000-0000717A0000}"/>
    <cellStyle name="Normal 3 2 3 2 22" xfId="31276" xr:uid="{00000000-0005-0000-0000-0000727A0000}"/>
    <cellStyle name="Normal 3 2 3 2 23" xfId="31277" xr:uid="{00000000-0005-0000-0000-0000737A0000}"/>
    <cellStyle name="Normal 3 2 3 2 24" xfId="31278" xr:uid="{00000000-0005-0000-0000-0000747A0000}"/>
    <cellStyle name="Normal 3 2 3 2 25" xfId="31279" xr:uid="{00000000-0005-0000-0000-0000757A0000}"/>
    <cellStyle name="Normal 3 2 3 2 26" xfId="31280" xr:uid="{00000000-0005-0000-0000-0000767A0000}"/>
    <cellStyle name="Normal 3 2 3 2 27" xfId="31281" xr:uid="{00000000-0005-0000-0000-0000777A0000}"/>
    <cellStyle name="Normal 3 2 3 2 28" xfId="31282" xr:uid="{00000000-0005-0000-0000-0000787A0000}"/>
    <cellStyle name="Normal 3 2 3 2 3" xfId="31283" xr:uid="{00000000-0005-0000-0000-0000797A0000}"/>
    <cellStyle name="Normal 3 2 3 2 4" xfId="31284" xr:uid="{00000000-0005-0000-0000-00007A7A0000}"/>
    <cellStyle name="Normal 3 2 3 2 5" xfId="31285" xr:uid="{00000000-0005-0000-0000-00007B7A0000}"/>
    <cellStyle name="Normal 3 2 3 2 6" xfId="31286" xr:uid="{00000000-0005-0000-0000-00007C7A0000}"/>
    <cellStyle name="Normal 3 2 3 2 7" xfId="31287" xr:uid="{00000000-0005-0000-0000-00007D7A0000}"/>
    <cellStyle name="Normal 3 2 3 2 8" xfId="31288" xr:uid="{00000000-0005-0000-0000-00007E7A0000}"/>
    <cellStyle name="Normal 3 2 3 2 9" xfId="31289" xr:uid="{00000000-0005-0000-0000-00007F7A0000}"/>
    <cellStyle name="Normal 3 2 3 20" xfId="31290" xr:uid="{00000000-0005-0000-0000-0000807A0000}"/>
    <cellStyle name="Normal 3 2 3 21" xfId="31291" xr:uid="{00000000-0005-0000-0000-0000817A0000}"/>
    <cellStyle name="Normal 3 2 3 22" xfId="31292" xr:uid="{00000000-0005-0000-0000-0000827A0000}"/>
    <cellStyle name="Normal 3 2 3 23" xfId="31293" xr:uid="{00000000-0005-0000-0000-0000837A0000}"/>
    <cellStyle name="Normal 3 2 3 24" xfId="31294" xr:uid="{00000000-0005-0000-0000-0000847A0000}"/>
    <cellStyle name="Normal 3 2 3 25" xfId="31295" xr:uid="{00000000-0005-0000-0000-0000857A0000}"/>
    <cellStyle name="Normal 3 2 3 26" xfId="31296" xr:uid="{00000000-0005-0000-0000-0000867A0000}"/>
    <cellStyle name="Normal 3 2 3 27" xfId="31297" xr:uid="{00000000-0005-0000-0000-0000877A0000}"/>
    <cellStyle name="Normal 3 2 3 28" xfId="31298" xr:uid="{00000000-0005-0000-0000-0000887A0000}"/>
    <cellStyle name="Normal 3 2 3 3" xfId="31299" xr:uid="{00000000-0005-0000-0000-0000897A0000}"/>
    <cellStyle name="Normal 3 2 3 4" xfId="31300" xr:uid="{00000000-0005-0000-0000-00008A7A0000}"/>
    <cellStyle name="Normal 3 2 3 5" xfId="31301" xr:uid="{00000000-0005-0000-0000-00008B7A0000}"/>
    <cellStyle name="Normal 3 2 3 6" xfId="31302" xr:uid="{00000000-0005-0000-0000-00008C7A0000}"/>
    <cellStyle name="Normal 3 2 3 7" xfId="31303" xr:uid="{00000000-0005-0000-0000-00008D7A0000}"/>
    <cellStyle name="Normal 3 2 3 8" xfId="31304" xr:uid="{00000000-0005-0000-0000-00008E7A0000}"/>
    <cellStyle name="Normal 3 2 3 9" xfId="31305" xr:uid="{00000000-0005-0000-0000-00008F7A0000}"/>
    <cellStyle name="Normal 3 2 30" xfId="31306" xr:uid="{00000000-0005-0000-0000-0000907A0000}"/>
    <cellStyle name="Normal 3 2 31" xfId="31307" xr:uid="{00000000-0005-0000-0000-0000917A0000}"/>
    <cellStyle name="Normal 3 2 32" xfId="31308" xr:uid="{00000000-0005-0000-0000-0000927A0000}"/>
    <cellStyle name="Normal 3 2 33" xfId="31309" xr:uid="{00000000-0005-0000-0000-0000937A0000}"/>
    <cellStyle name="Normal 3 2 34" xfId="31310" xr:uid="{00000000-0005-0000-0000-0000947A0000}"/>
    <cellStyle name="Normal 3 2 35" xfId="31311" xr:uid="{00000000-0005-0000-0000-0000957A0000}"/>
    <cellStyle name="Normal 3 2 36" xfId="31312" xr:uid="{00000000-0005-0000-0000-0000967A0000}"/>
    <cellStyle name="Normal 3 2 37" xfId="31313" xr:uid="{00000000-0005-0000-0000-0000977A0000}"/>
    <cellStyle name="Normal 3 2 38" xfId="31314" xr:uid="{00000000-0005-0000-0000-0000987A0000}"/>
    <cellStyle name="Normal 3 2 39" xfId="31315" xr:uid="{00000000-0005-0000-0000-0000997A0000}"/>
    <cellStyle name="Normal 3 2 4" xfId="31316" xr:uid="{00000000-0005-0000-0000-00009A7A0000}"/>
    <cellStyle name="Normal 3 2 4 10" xfId="31317" xr:uid="{00000000-0005-0000-0000-00009B7A0000}"/>
    <cellStyle name="Normal 3 2 4 11" xfId="31318" xr:uid="{00000000-0005-0000-0000-00009C7A0000}"/>
    <cellStyle name="Normal 3 2 4 12" xfId="31319" xr:uid="{00000000-0005-0000-0000-00009D7A0000}"/>
    <cellStyle name="Normal 3 2 4 13" xfId="31320" xr:uid="{00000000-0005-0000-0000-00009E7A0000}"/>
    <cellStyle name="Normal 3 2 4 14" xfId="31321" xr:uid="{00000000-0005-0000-0000-00009F7A0000}"/>
    <cellStyle name="Normal 3 2 4 15" xfId="31322" xr:uid="{00000000-0005-0000-0000-0000A07A0000}"/>
    <cellStyle name="Normal 3 2 4 16" xfId="31323" xr:uid="{00000000-0005-0000-0000-0000A17A0000}"/>
    <cellStyle name="Normal 3 2 4 17" xfId="31324" xr:uid="{00000000-0005-0000-0000-0000A27A0000}"/>
    <cellStyle name="Normal 3 2 4 18" xfId="31325" xr:uid="{00000000-0005-0000-0000-0000A37A0000}"/>
    <cellStyle name="Normal 3 2 4 19" xfId="31326" xr:uid="{00000000-0005-0000-0000-0000A47A0000}"/>
    <cellStyle name="Normal 3 2 4 2" xfId="31327" xr:uid="{00000000-0005-0000-0000-0000A57A0000}"/>
    <cellStyle name="Normal 3 2 4 20" xfId="31328" xr:uid="{00000000-0005-0000-0000-0000A67A0000}"/>
    <cellStyle name="Normal 3 2 4 21" xfId="31329" xr:uid="{00000000-0005-0000-0000-0000A77A0000}"/>
    <cellStyle name="Normal 3 2 4 22" xfId="31330" xr:uid="{00000000-0005-0000-0000-0000A87A0000}"/>
    <cellStyle name="Normal 3 2 4 23" xfId="31331" xr:uid="{00000000-0005-0000-0000-0000A97A0000}"/>
    <cellStyle name="Normal 3 2 4 24" xfId="31332" xr:uid="{00000000-0005-0000-0000-0000AA7A0000}"/>
    <cellStyle name="Normal 3 2 4 25" xfId="31333" xr:uid="{00000000-0005-0000-0000-0000AB7A0000}"/>
    <cellStyle name="Normal 3 2 4 26" xfId="31334" xr:uid="{00000000-0005-0000-0000-0000AC7A0000}"/>
    <cellStyle name="Normal 3 2 4 27" xfId="31335" xr:uid="{00000000-0005-0000-0000-0000AD7A0000}"/>
    <cellStyle name="Normal 3 2 4 28" xfId="31336" xr:uid="{00000000-0005-0000-0000-0000AE7A0000}"/>
    <cellStyle name="Normal 3 2 4 3" xfId="31337" xr:uid="{00000000-0005-0000-0000-0000AF7A0000}"/>
    <cellStyle name="Normal 3 2 4 4" xfId="31338" xr:uid="{00000000-0005-0000-0000-0000B07A0000}"/>
    <cellStyle name="Normal 3 2 4 5" xfId="31339" xr:uid="{00000000-0005-0000-0000-0000B17A0000}"/>
    <cellStyle name="Normal 3 2 4 6" xfId="31340" xr:uid="{00000000-0005-0000-0000-0000B27A0000}"/>
    <cellStyle name="Normal 3 2 4 7" xfId="31341" xr:uid="{00000000-0005-0000-0000-0000B37A0000}"/>
    <cellStyle name="Normal 3 2 4 8" xfId="31342" xr:uid="{00000000-0005-0000-0000-0000B47A0000}"/>
    <cellStyle name="Normal 3 2 4 9" xfId="31343" xr:uid="{00000000-0005-0000-0000-0000B57A0000}"/>
    <cellStyle name="Normal 3 2 40" xfId="31344" xr:uid="{00000000-0005-0000-0000-0000B67A0000}"/>
    <cellStyle name="Normal 3 2 41" xfId="31345" xr:uid="{00000000-0005-0000-0000-0000B77A0000}"/>
    <cellStyle name="Normal 3 2 42" xfId="31346" xr:uid="{00000000-0005-0000-0000-0000B87A0000}"/>
    <cellStyle name="Normal 3 2 43" xfId="31347" xr:uid="{00000000-0005-0000-0000-0000B97A0000}"/>
    <cellStyle name="Normal 3 2 44" xfId="31348" xr:uid="{00000000-0005-0000-0000-0000BA7A0000}"/>
    <cellStyle name="Normal 3 2 45" xfId="31349" xr:uid="{00000000-0005-0000-0000-0000BB7A0000}"/>
    <cellStyle name="Normal 3 2 46" xfId="31350" xr:uid="{00000000-0005-0000-0000-0000BC7A0000}"/>
    <cellStyle name="Normal 3 2 5" xfId="31351" xr:uid="{00000000-0005-0000-0000-0000BD7A0000}"/>
    <cellStyle name="Normal 3 2 6" xfId="31352" xr:uid="{00000000-0005-0000-0000-0000BE7A0000}"/>
    <cellStyle name="Normal 3 2 7" xfId="31353" xr:uid="{00000000-0005-0000-0000-0000BF7A0000}"/>
    <cellStyle name="Normal 3 2 8" xfId="31354" xr:uid="{00000000-0005-0000-0000-0000C07A0000}"/>
    <cellStyle name="Normal 3 2 9" xfId="31355" xr:uid="{00000000-0005-0000-0000-0000C17A0000}"/>
    <cellStyle name="Normal 3 2_PB. 2011 - Versión Final 30 Dic al Comité de Grencia" xfId="31356" xr:uid="{00000000-0005-0000-0000-0000C27A0000}"/>
    <cellStyle name="Normal 3 20" xfId="31357" xr:uid="{00000000-0005-0000-0000-0000C37A0000}"/>
    <cellStyle name="Normal 3 21" xfId="31358" xr:uid="{00000000-0005-0000-0000-0000C47A0000}"/>
    <cellStyle name="Normal 3 22" xfId="31359" xr:uid="{00000000-0005-0000-0000-0000C57A0000}"/>
    <cellStyle name="Normal 3 23" xfId="31360" xr:uid="{00000000-0005-0000-0000-0000C67A0000}"/>
    <cellStyle name="Normal 3 24" xfId="31361" xr:uid="{00000000-0005-0000-0000-0000C77A0000}"/>
    <cellStyle name="Normal 3 25" xfId="31362" xr:uid="{00000000-0005-0000-0000-0000C87A0000}"/>
    <cellStyle name="Normal 3 26" xfId="31363" xr:uid="{00000000-0005-0000-0000-0000C97A0000}"/>
    <cellStyle name="Normal 3 27" xfId="36165" xr:uid="{00000000-0005-0000-0000-0000CA7A0000}"/>
    <cellStyle name="Normal 3 28" xfId="30969" xr:uid="{00000000-0005-0000-0000-0000CB7A0000}"/>
    <cellStyle name="Normal 3 3" xfId="31364" xr:uid="{00000000-0005-0000-0000-0000CC7A0000}"/>
    <cellStyle name="Normal 3 3 10" xfId="31365" xr:uid="{00000000-0005-0000-0000-0000CD7A0000}"/>
    <cellStyle name="Normal 3 3 11" xfId="31366" xr:uid="{00000000-0005-0000-0000-0000CE7A0000}"/>
    <cellStyle name="Normal 3 3 12" xfId="31367" xr:uid="{00000000-0005-0000-0000-0000CF7A0000}"/>
    <cellStyle name="Normal 3 3 13" xfId="31368" xr:uid="{00000000-0005-0000-0000-0000D07A0000}"/>
    <cellStyle name="Normal 3 3 14" xfId="31369" xr:uid="{00000000-0005-0000-0000-0000D17A0000}"/>
    <cellStyle name="Normal 3 3 15" xfId="31370" xr:uid="{00000000-0005-0000-0000-0000D27A0000}"/>
    <cellStyle name="Normal 3 3 16" xfId="31371" xr:uid="{00000000-0005-0000-0000-0000D37A0000}"/>
    <cellStyle name="Normal 3 3 17" xfId="31372" xr:uid="{00000000-0005-0000-0000-0000D47A0000}"/>
    <cellStyle name="Normal 3 3 18" xfId="31373" xr:uid="{00000000-0005-0000-0000-0000D57A0000}"/>
    <cellStyle name="Normal 3 3 19" xfId="31374" xr:uid="{00000000-0005-0000-0000-0000D67A0000}"/>
    <cellStyle name="Normal 3 3 2" xfId="31375" xr:uid="{00000000-0005-0000-0000-0000D77A0000}"/>
    <cellStyle name="Normal 3 3 2 10" xfId="31376" xr:uid="{00000000-0005-0000-0000-0000D87A0000}"/>
    <cellStyle name="Normal 3 3 2 11" xfId="31377" xr:uid="{00000000-0005-0000-0000-0000D97A0000}"/>
    <cellStyle name="Normal 3 3 2 12" xfId="31378" xr:uid="{00000000-0005-0000-0000-0000DA7A0000}"/>
    <cellStyle name="Normal 3 3 2 13" xfId="31379" xr:uid="{00000000-0005-0000-0000-0000DB7A0000}"/>
    <cellStyle name="Normal 3 3 2 14" xfId="31380" xr:uid="{00000000-0005-0000-0000-0000DC7A0000}"/>
    <cellStyle name="Normal 3 3 2 15" xfId="31381" xr:uid="{00000000-0005-0000-0000-0000DD7A0000}"/>
    <cellStyle name="Normal 3 3 2 16" xfId="31382" xr:uid="{00000000-0005-0000-0000-0000DE7A0000}"/>
    <cellStyle name="Normal 3 3 2 17" xfId="31383" xr:uid="{00000000-0005-0000-0000-0000DF7A0000}"/>
    <cellStyle name="Normal 3 3 2 18" xfId="31384" xr:uid="{00000000-0005-0000-0000-0000E07A0000}"/>
    <cellStyle name="Normal 3 3 2 19" xfId="31385" xr:uid="{00000000-0005-0000-0000-0000E17A0000}"/>
    <cellStyle name="Normal 3 3 2 2" xfId="31386" xr:uid="{00000000-0005-0000-0000-0000E27A0000}"/>
    <cellStyle name="Normal 3 3 2 2 10" xfId="31387" xr:uid="{00000000-0005-0000-0000-0000E37A0000}"/>
    <cellStyle name="Normal 3 3 2 2 11" xfId="31388" xr:uid="{00000000-0005-0000-0000-0000E47A0000}"/>
    <cellStyle name="Normal 3 3 2 2 12" xfId="31389" xr:uid="{00000000-0005-0000-0000-0000E57A0000}"/>
    <cellStyle name="Normal 3 3 2 2 13" xfId="31390" xr:uid="{00000000-0005-0000-0000-0000E67A0000}"/>
    <cellStyle name="Normal 3 3 2 2 14" xfId="31391" xr:uid="{00000000-0005-0000-0000-0000E77A0000}"/>
    <cellStyle name="Normal 3 3 2 2 15" xfId="31392" xr:uid="{00000000-0005-0000-0000-0000E87A0000}"/>
    <cellStyle name="Normal 3 3 2 2 16" xfId="31393" xr:uid="{00000000-0005-0000-0000-0000E97A0000}"/>
    <cellStyle name="Normal 3 3 2 2 17" xfId="31394" xr:uid="{00000000-0005-0000-0000-0000EA7A0000}"/>
    <cellStyle name="Normal 3 3 2 2 18" xfId="31395" xr:uid="{00000000-0005-0000-0000-0000EB7A0000}"/>
    <cellStyle name="Normal 3 3 2 2 19" xfId="31396" xr:uid="{00000000-0005-0000-0000-0000EC7A0000}"/>
    <cellStyle name="Normal 3 3 2 2 2" xfId="31397" xr:uid="{00000000-0005-0000-0000-0000ED7A0000}"/>
    <cellStyle name="Normal 3 3 2 2 2 10" xfId="31398" xr:uid="{00000000-0005-0000-0000-0000EE7A0000}"/>
    <cellStyle name="Normal 3 3 2 2 2 11" xfId="31399" xr:uid="{00000000-0005-0000-0000-0000EF7A0000}"/>
    <cellStyle name="Normal 3 3 2 2 2 12" xfId="31400" xr:uid="{00000000-0005-0000-0000-0000F07A0000}"/>
    <cellStyle name="Normal 3 3 2 2 2 13" xfId="31401" xr:uid="{00000000-0005-0000-0000-0000F17A0000}"/>
    <cellStyle name="Normal 3 3 2 2 2 14" xfId="31402" xr:uid="{00000000-0005-0000-0000-0000F27A0000}"/>
    <cellStyle name="Normal 3 3 2 2 2 15" xfId="31403" xr:uid="{00000000-0005-0000-0000-0000F37A0000}"/>
    <cellStyle name="Normal 3 3 2 2 2 16" xfId="31404" xr:uid="{00000000-0005-0000-0000-0000F47A0000}"/>
    <cellStyle name="Normal 3 3 2 2 2 17" xfId="31405" xr:uid="{00000000-0005-0000-0000-0000F57A0000}"/>
    <cellStyle name="Normal 3 3 2 2 2 18" xfId="31406" xr:uid="{00000000-0005-0000-0000-0000F67A0000}"/>
    <cellStyle name="Normal 3 3 2 2 2 19" xfId="31407" xr:uid="{00000000-0005-0000-0000-0000F77A0000}"/>
    <cellStyle name="Normal 3 3 2 2 2 2" xfId="31408" xr:uid="{00000000-0005-0000-0000-0000F87A0000}"/>
    <cellStyle name="Normal 3 3 2 2 2 20" xfId="31409" xr:uid="{00000000-0005-0000-0000-0000F97A0000}"/>
    <cellStyle name="Normal 3 3 2 2 2 21" xfId="31410" xr:uid="{00000000-0005-0000-0000-0000FA7A0000}"/>
    <cellStyle name="Normal 3 3 2 2 2 22" xfId="31411" xr:uid="{00000000-0005-0000-0000-0000FB7A0000}"/>
    <cellStyle name="Normal 3 3 2 2 2 23" xfId="31412" xr:uid="{00000000-0005-0000-0000-0000FC7A0000}"/>
    <cellStyle name="Normal 3 3 2 2 2 24" xfId="31413" xr:uid="{00000000-0005-0000-0000-0000FD7A0000}"/>
    <cellStyle name="Normal 3 3 2 2 2 25" xfId="31414" xr:uid="{00000000-0005-0000-0000-0000FE7A0000}"/>
    <cellStyle name="Normal 3 3 2 2 2 26" xfId="31415" xr:uid="{00000000-0005-0000-0000-0000FF7A0000}"/>
    <cellStyle name="Normal 3 3 2 2 2 27" xfId="31416" xr:uid="{00000000-0005-0000-0000-0000007B0000}"/>
    <cellStyle name="Normal 3 3 2 2 2 28" xfId="31417" xr:uid="{00000000-0005-0000-0000-0000017B0000}"/>
    <cellStyle name="Normal 3 3 2 2 2 3" xfId="31418" xr:uid="{00000000-0005-0000-0000-0000027B0000}"/>
    <cellStyle name="Normal 3 3 2 2 2 4" xfId="31419" xr:uid="{00000000-0005-0000-0000-0000037B0000}"/>
    <cellStyle name="Normal 3 3 2 2 2 5" xfId="31420" xr:uid="{00000000-0005-0000-0000-0000047B0000}"/>
    <cellStyle name="Normal 3 3 2 2 2 6" xfId="31421" xr:uid="{00000000-0005-0000-0000-0000057B0000}"/>
    <cellStyle name="Normal 3 3 2 2 2 7" xfId="31422" xr:uid="{00000000-0005-0000-0000-0000067B0000}"/>
    <cellStyle name="Normal 3 3 2 2 2 8" xfId="31423" xr:uid="{00000000-0005-0000-0000-0000077B0000}"/>
    <cellStyle name="Normal 3 3 2 2 2 9" xfId="31424" xr:uid="{00000000-0005-0000-0000-0000087B0000}"/>
    <cellStyle name="Normal 3 3 2 2 20" xfId="31425" xr:uid="{00000000-0005-0000-0000-0000097B0000}"/>
    <cellStyle name="Normal 3 3 2 2 21" xfId="31426" xr:uid="{00000000-0005-0000-0000-00000A7B0000}"/>
    <cellStyle name="Normal 3 3 2 2 22" xfId="31427" xr:uid="{00000000-0005-0000-0000-00000B7B0000}"/>
    <cellStyle name="Normal 3 3 2 2 23" xfId="31428" xr:uid="{00000000-0005-0000-0000-00000C7B0000}"/>
    <cellStyle name="Normal 3 3 2 2 24" xfId="31429" xr:uid="{00000000-0005-0000-0000-00000D7B0000}"/>
    <cellStyle name="Normal 3 3 2 2 25" xfId="31430" xr:uid="{00000000-0005-0000-0000-00000E7B0000}"/>
    <cellStyle name="Normal 3 3 2 2 26" xfId="31431" xr:uid="{00000000-0005-0000-0000-00000F7B0000}"/>
    <cellStyle name="Normal 3 3 2 2 27" xfId="31432" xr:uid="{00000000-0005-0000-0000-0000107B0000}"/>
    <cellStyle name="Normal 3 3 2 2 28" xfId="31433" xr:uid="{00000000-0005-0000-0000-0000117B0000}"/>
    <cellStyle name="Normal 3 3 2 2 3" xfId="31434" xr:uid="{00000000-0005-0000-0000-0000127B0000}"/>
    <cellStyle name="Normal 3 3 2 2 4" xfId="31435" xr:uid="{00000000-0005-0000-0000-0000137B0000}"/>
    <cellStyle name="Normal 3 3 2 2 5" xfId="31436" xr:uid="{00000000-0005-0000-0000-0000147B0000}"/>
    <cellStyle name="Normal 3 3 2 2 6" xfId="31437" xr:uid="{00000000-0005-0000-0000-0000157B0000}"/>
    <cellStyle name="Normal 3 3 2 2 7" xfId="31438" xr:uid="{00000000-0005-0000-0000-0000167B0000}"/>
    <cellStyle name="Normal 3 3 2 2 8" xfId="31439" xr:uid="{00000000-0005-0000-0000-0000177B0000}"/>
    <cellStyle name="Normal 3 3 2 2 9" xfId="31440" xr:uid="{00000000-0005-0000-0000-0000187B0000}"/>
    <cellStyle name="Normal 3 3 2 20" xfId="31441" xr:uid="{00000000-0005-0000-0000-0000197B0000}"/>
    <cellStyle name="Normal 3 3 2 21" xfId="31442" xr:uid="{00000000-0005-0000-0000-00001A7B0000}"/>
    <cellStyle name="Normal 3 3 2 22" xfId="31443" xr:uid="{00000000-0005-0000-0000-00001B7B0000}"/>
    <cellStyle name="Normal 3 3 2 23" xfId="31444" xr:uid="{00000000-0005-0000-0000-00001C7B0000}"/>
    <cellStyle name="Normal 3 3 2 24" xfId="31445" xr:uid="{00000000-0005-0000-0000-00001D7B0000}"/>
    <cellStyle name="Normal 3 3 2 25" xfId="31446" xr:uid="{00000000-0005-0000-0000-00001E7B0000}"/>
    <cellStyle name="Normal 3 3 2 26" xfId="31447" xr:uid="{00000000-0005-0000-0000-00001F7B0000}"/>
    <cellStyle name="Normal 3 3 2 27" xfId="31448" xr:uid="{00000000-0005-0000-0000-0000207B0000}"/>
    <cellStyle name="Normal 3 3 2 28" xfId="31449" xr:uid="{00000000-0005-0000-0000-0000217B0000}"/>
    <cellStyle name="Normal 3 3 2 3" xfId="31450" xr:uid="{00000000-0005-0000-0000-0000227B0000}"/>
    <cellStyle name="Normal 3 3 2 4" xfId="31451" xr:uid="{00000000-0005-0000-0000-0000237B0000}"/>
    <cellStyle name="Normal 3 3 2 5" xfId="31452" xr:uid="{00000000-0005-0000-0000-0000247B0000}"/>
    <cellStyle name="Normal 3 3 2 6" xfId="31453" xr:uid="{00000000-0005-0000-0000-0000257B0000}"/>
    <cellStyle name="Normal 3 3 2 7" xfId="31454" xr:uid="{00000000-0005-0000-0000-0000267B0000}"/>
    <cellStyle name="Normal 3 3 2 8" xfId="31455" xr:uid="{00000000-0005-0000-0000-0000277B0000}"/>
    <cellStyle name="Normal 3 3 2 9" xfId="31456" xr:uid="{00000000-0005-0000-0000-0000287B0000}"/>
    <cellStyle name="Normal 3 3 20" xfId="31457" xr:uid="{00000000-0005-0000-0000-0000297B0000}"/>
    <cellStyle name="Normal 3 3 21" xfId="31458" xr:uid="{00000000-0005-0000-0000-00002A7B0000}"/>
    <cellStyle name="Normal 3 3 22" xfId="31459" xr:uid="{00000000-0005-0000-0000-00002B7B0000}"/>
    <cellStyle name="Normal 3 3 23" xfId="31460" xr:uid="{00000000-0005-0000-0000-00002C7B0000}"/>
    <cellStyle name="Normal 3 3 24" xfId="31461" xr:uid="{00000000-0005-0000-0000-00002D7B0000}"/>
    <cellStyle name="Normal 3 3 25" xfId="31462" xr:uid="{00000000-0005-0000-0000-00002E7B0000}"/>
    <cellStyle name="Normal 3 3 26" xfId="31463" xr:uid="{00000000-0005-0000-0000-00002F7B0000}"/>
    <cellStyle name="Normal 3 3 27" xfId="31464" xr:uid="{00000000-0005-0000-0000-0000307B0000}"/>
    <cellStyle name="Normal 3 3 28" xfId="31465" xr:uid="{00000000-0005-0000-0000-0000317B0000}"/>
    <cellStyle name="Normal 3 3 29" xfId="31466" xr:uid="{00000000-0005-0000-0000-0000327B0000}"/>
    <cellStyle name="Normal 3 3 3" xfId="31467" xr:uid="{00000000-0005-0000-0000-0000337B0000}"/>
    <cellStyle name="Normal 3 3 3 10" xfId="31468" xr:uid="{00000000-0005-0000-0000-0000347B0000}"/>
    <cellStyle name="Normal 3 3 3 11" xfId="31469" xr:uid="{00000000-0005-0000-0000-0000357B0000}"/>
    <cellStyle name="Normal 3 3 3 12" xfId="31470" xr:uid="{00000000-0005-0000-0000-0000367B0000}"/>
    <cellStyle name="Normal 3 3 3 13" xfId="31471" xr:uid="{00000000-0005-0000-0000-0000377B0000}"/>
    <cellStyle name="Normal 3 3 3 14" xfId="31472" xr:uid="{00000000-0005-0000-0000-0000387B0000}"/>
    <cellStyle name="Normal 3 3 3 15" xfId="31473" xr:uid="{00000000-0005-0000-0000-0000397B0000}"/>
    <cellStyle name="Normal 3 3 3 16" xfId="31474" xr:uid="{00000000-0005-0000-0000-00003A7B0000}"/>
    <cellStyle name="Normal 3 3 3 17" xfId="31475" xr:uid="{00000000-0005-0000-0000-00003B7B0000}"/>
    <cellStyle name="Normal 3 3 3 18" xfId="31476" xr:uid="{00000000-0005-0000-0000-00003C7B0000}"/>
    <cellStyle name="Normal 3 3 3 19" xfId="31477" xr:uid="{00000000-0005-0000-0000-00003D7B0000}"/>
    <cellStyle name="Normal 3 3 3 2" xfId="31478" xr:uid="{00000000-0005-0000-0000-00003E7B0000}"/>
    <cellStyle name="Normal 3 3 3 20" xfId="31479" xr:uid="{00000000-0005-0000-0000-00003F7B0000}"/>
    <cellStyle name="Normal 3 3 3 21" xfId="31480" xr:uid="{00000000-0005-0000-0000-0000407B0000}"/>
    <cellStyle name="Normal 3 3 3 22" xfId="31481" xr:uid="{00000000-0005-0000-0000-0000417B0000}"/>
    <cellStyle name="Normal 3 3 3 23" xfId="31482" xr:uid="{00000000-0005-0000-0000-0000427B0000}"/>
    <cellStyle name="Normal 3 3 3 24" xfId="31483" xr:uid="{00000000-0005-0000-0000-0000437B0000}"/>
    <cellStyle name="Normal 3 3 3 25" xfId="31484" xr:uid="{00000000-0005-0000-0000-0000447B0000}"/>
    <cellStyle name="Normal 3 3 3 26" xfId="31485" xr:uid="{00000000-0005-0000-0000-0000457B0000}"/>
    <cellStyle name="Normal 3 3 3 27" xfId="31486" xr:uid="{00000000-0005-0000-0000-0000467B0000}"/>
    <cellStyle name="Normal 3 3 3 28" xfId="31487" xr:uid="{00000000-0005-0000-0000-0000477B0000}"/>
    <cellStyle name="Normal 3 3 3 3" xfId="31488" xr:uid="{00000000-0005-0000-0000-0000487B0000}"/>
    <cellStyle name="Normal 3 3 3 4" xfId="31489" xr:uid="{00000000-0005-0000-0000-0000497B0000}"/>
    <cellStyle name="Normal 3 3 3 5" xfId="31490" xr:uid="{00000000-0005-0000-0000-00004A7B0000}"/>
    <cellStyle name="Normal 3 3 3 6" xfId="31491" xr:uid="{00000000-0005-0000-0000-00004B7B0000}"/>
    <cellStyle name="Normal 3 3 3 7" xfId="31492" xr:uid="{00000000-0005-0000-0000-00004C7B0000}"/>
    <cellStyle name="Normal 3 3 3 8" xfId="31493" xr:uid="{00000000-0005-0000-0000-00004D7B0000}"/>
    <cellStyle name="Normal 3 3 3 9" xfId="31494" xr:uid="{00000000-0005-0000-0000-00004E7B0000}"/>
    <cellStyle name="Normal 3 3 30" xfId="31495" xr:uid="{00000000-0005-0000-0000-00004F7B0000}"/>
    <cellStyle name="Normal 3 3 31" xfId="31496" xr:uid="{00000000-0005-0000-0000-0000507B0000}"/>
    <cellStyle name="Normal 3 3 32" xfId="31497" xr:uid="{00000000-0005-0000-0000-0000517B0000}"/>
    <cellStyle name="Normal 3 3 33" xfId="31498" xr:uid="{00000000-0005-0000-0000-0000527B0000}"/>
    <cellStyle name="Normal 3 3 34" xfId="31499" xr:uid="{00000000-0005-0000-0000-0000537B0000}"/>
    <cellStyle name="Normal 3 3 35" xfId="36240" xr:uid="{00000000-0005-0000-0000-0000547B0000}"/>
    <cellStyle name="Normal 3 3 4" xfId="31500" xr:uid="{00000000-0005-0000-0000-0000557B0000}"/>
    <cellStyle name="Normal 3 3 5" xfId="31501" xr:uid="{00000000-0005-0000-0000-0000567B0000}"/>
    <cellStyle name="Normal 3 3 6" xfId="31502" xr:uid="{00000000-0005-0000-0000-0000577B0000}"/>
    <cellStyle name="Normal 3 3 7" xfId="31503" xr:uid="{00000000-0005-0000-0000-0000587B0000}"/>
    <cellStyle name="Normal 3 3 8" xfId="31504" xr:uid="{00000000-0005-0000-0000-0000597B0000}"/>
    <cellStyle name="Normal 3 3 9" xfId="31505" xr:uid="{00000000-0005-0000-0000-00005A7B0000}"/>
    <cellStyle name="Normal 3 4" xfId="31506" xr:uid="{00000000-0005-0000-0000-00005B7B0000}"/>
    <cellStyle name="Normal 3 4 10" xfId="31507" xr:uid="{00000000-0005-0000-0000-00005C7B0000}"/>
    <cellStyle name="Normal 3 4 11" xfId="31508" xr:uid="{00000000-0005-0000-0000-00005D7B0000}"/>
    <cellStyle name="Normal 3 4 12" xfId="31509" xr:uid="{00000000-0005-0000-0000-00005E7B0000}"/>
    <cellStyle name="Normal 3 4 13" xfId="31510" xr:uid="{00000000-0005-0000-0000-00005F7B0000}"/>
    <cellStyle name="Normal 3 4 14" xfId="31511" xr:uid="{00000000-0005-0000-0000-0000607B0000}"/>
    <cellStyle name="Normal 3 4 15" xfId="31512" xr:uid="{00000000-0005-0000-0000-0000617B0000}"/>
    <cellStyle name="Normal 3 4 16" xfId="31513" xr:uid="{00000000-0005-0000-0000-0000627B0000}"/>
    <cellStyle name="Normal 3 4 17" xfId="31514" xr:uid="{00000000-0005-0000-0000-0000637B0000}"/>
    <cellStyle name="Normal 3 4 18" xfId="31515" xr:uid="{00000000-0005-0000-0000-0000647B0000}"/>
    <cellStyle name="Normal 3 4 19" xfId="31516" xr:uid="{00000000-0005-0000-0000-0000657B0000}"/>
    <cellStyle name="Normal 3 4 2" xfId="31517" xr:uid="{00000000-0005-0000-0000-0000667B0000}"/>
    <cellStyle name="Normal 3 4 2 10" xfId="31518" xr:uid="{00000000-0005-0000-0000-0000677B0000}"/>
    <cellStyle name="Normal 3 4 2 11" xfId="31519" xr:uid="{00000000-0005-0000-0000-0000687B0000}"/>
    <cellStyle name="Normal 3 4 2 12" xfId="31520" xr:uid="{00000000-0005-0000-0000-0000697B0000}"/>
    <cellStyle name="Normal 3 4 2 13" xfId="31521" xr:uid="{00000000-0005-0000-0000-00006A7B0000}"/>
    <cellStyle name="Normal 3 4 2 14" xfId="31522" xr:uid="{00000000-0005-0000-0000-00006B7B0000}"/>
    <cellStyle name="Normal 3 4 2 15" xfId="31523" xr:uid="{00000000-0005-0000-0000-00006C7B0000}"/>
    <cellStyle name="Normal 3 4 2 16" xfId="31524" xr:uid="{00000000-0005-0000-0000-00006D7B0000}"/>
    <cellStyle name="Normal 3 4 2 17" xfId="31525" xr:uid="{00000000-0005-0000-0000-00006E7B0000}"/>
    <cellStyle name="Normal 3 4 2 18" xfId="31526" xr:uid="{00000000-0005-0000-0000-00006F7B0000}"/>
    <cellStyle name="Normal 3 4 2 19" xfId="31527" xr:uid="{00000000-0005-0000-0000-0000707B0000}"/>
    <cellStyle name="Normal 3 4 2 2" xfId="31528" xr:uid="{00000000-0005-0000-0000-0000717B0000}"/>
    <cellStyle name="Normal 3 4 2 20" xfId="31529" xr:uid="{00000000-0005-0000-0000-0000727B0000}"/>
    <cellStyle name="Normal 3 4 2 21" xfId="31530" xr:uid="{00000000-0005-0000-0000-0000737B0000}"/>
    <cellStyle name="Normal 3 4 2 22" xfId="31531" xr:uid="{00000000-0005-0000-0000-0000747B0000}"/>
    <cellStyle name="Normal 3 4 2 23" xfId="31532" xr:uid="{00000000-0005-0000-0000-0000757B0000}"/>
    <cellStyle name="Normal 3 4 2 24" xfId="31533" xr:uid="{00000000-0005-0000-0000-0000767B0000}"/>
    <cellStyle name="Normal 3 4 2 25" xfId="31534" xr:uid="{00000000-0005-0000-0000-0000777B0000}"/>
    <cellStyle name="Normal 3 4 2 26" xfId="31535" xr:uid="{00000000-0005-0000-0000-0000787B0000}"/>
    <cellStyle name="Normal 3 4 2 27" xfId="31536" xr:uid="{00000000-0005-0000-0000-0000797B0000}"/>
    <cellStyle name="Normal 3 4 2 28" xfId="31537" xr:uid="{00000000-0005-0000-0000-00007A7B0000}"/>
    <cellStyle name="Normal 3 4 2 3" xfId="31538" xr:uid="{00000000-0005-0000-0000-00007B7B0000}"/>
    <cellStyle name="Normal 3 4 2 4" xfId="31539" xr:uid="{00000000-0005-0000-0000-00007C7B0000}"/>
    <cellStyle name="Normal 3 4 2 5" xfId="31540" xr:uid="{00000000-0005-0000-0000-00007D7B0000}"/>
    <cellStyle name="Normal 3 4 2 6" xfId="31541" xr:uid="{00000000-0005-0000-0000-00007E7B0000}"/>
    <cellStyle name="Normal 3 4 2 7" xfId="31542" xr:uid="{00000000-0005-0000-0000-00007F7B0000}"/>
    <cellStyle name="Normal 3 4 2 8" xfId="31543" xr:uid="{00000000-0005-0000-0000-0000807B0000}"/>
    <cellStyle name="Normal 3 4 2 9" xfId="31544" xr:uid="{00000000-0005-0000-0000-0000817B0000}"/>
    <cellStyle name="Normal 3 4 20" xfId="31545" xr:uid="{00000000-0005-0000-0000-0000827B0000}"/>
    <cellStyle name="Normal 3 4 21" xfId="31546" xr:uid="{00000000-0005-0000-0000-0000837B0000}"/>
    <cellStyle name="Normal 3 4 22" xfId="31547" xr:uid="{00000000-0005-0000-0000-0000847B0000}"/>
    <cellStyle name="Normal 3 4 23" xfId="31548" xr:uid="{00000000-0005-0000-0000-0000857B0000}"/>
    <cellStyle name="Normal 3 4 24" xfId="31549" xr:uid="{00000000-0005-0000-0000-0000867B0000}"/>
    <cellStyle name="Normal 3 4 25" xfId="31550" xr:uid="{00000000-0005-0000-0000-0000877B0000}"/>
    <cellStyle name="Normal 3 4 26" xfId="31551" xr:uid="{00000000-0005-0000-0000-0000887B0000}"/>
    <cellStyle name="Normal 3 4 27" xfId="31552" xr:uid="{00000000-0005-0000-0000-0000897B0000}"/>
    <cellStyle name="Normal 3 4 28" xfId="31553" xr:uid="{00000000-0005-0000-0000-00008A7B0000}"/>
    <cellStyle name="Normal 3 4 29" xfId="31554" xr:uid="{00000000-0005-0000-0000-00008B7B0000}"/>
    <cellStyle name="Normal 3 4 3" xfId="31555" xr:uid="{00000000-0005-0000-0000-00008C7B0000}"/>
    <cellStyle name="Normal 3 4 30" xfId="31556" xr:uid="{00000000-0005-0000-0000-00008D7B0000}"/>
    <cellStyle name="Normal 3 4 31" xfId="31557" xr:uid="{00000000-0005-0000-0000-00008E7B0000}"/>
    <cellStyle name="Normal 3 4 32" xfId="31558" xr:uid="{00000000-0005-0000-0000-00008F7B0000}"/>
    <cellStyle name="Normal 3 4 33" xfId="31559" xr:uid="{00000000-0005-0000-0000-0000907B0000}"/>
    <cellStyle name="Normal 3 4 34" xfId="31560" xr:uid="{00000000-0005-0000-0000-0000917B0000}"/>
    <cellStyle name="Normal 3 4 4" xfId="31561" xr:uid="{00000000-0005-0000-0000-0000927B0000}"/>
    <cellStyle name="Normal 3 4 5" xfId="31562" xr:uid="{00000000-0005-0000-0000-0000937B0000}"/>
    <cellStyle name="Normal 3 4 6" xfId="31563" xr:uid="{00000000-0005-0000-0000-0000947B0000}"/>
    <cellStyle name="Normal 3 4 7" xfId="31564" xr:uid="{00000000-0005-0000-0000-0000957B0000}"/>
    <cellStyle name="Normal 3 4 8" xfId="31565" xr:uid="{00000000-0005-0000-0000-0000967B0000}"/>
    <cellStyle name="Normal 3 4 9" xfId="31566" xr:uid="{00000000-0005-0000-0000-0000977B0000}"/>
    <cellStyle name="Normal 3 5" xfId="31567" xr:uid="{00000000-0005-0000-0000-0000987B0000}"/>
    <cellStyle name="Normal 3 5 2" xfId="31568" xr:uid="{00000000-0005-0000-0000-0000997B0000}"/>
    <cellStyle name="Normal 3 6" xfId="31569" xr:uid="{00000000-0005-0000-0000-00009A7B0000}"/>
    <cellStyle name="Normal 3 7" xfId="31570" xr:uid="{00000000-0005-0000-0000-00009B7B0000}"/>
    <cellStyle name="Normal 3 8" xfId="31571" xr:uid="{00000000-0005-0000-0000-00009C7B0000}"/>
    <cellStyle name="Normal 3 9" xfId="31572" xr:uid="{00000000-0005-0000-0000-00009D7B0000}"/>
    <cellStyle name="Normal 3_~1502101" xfId="31573" xr:uid="{00000000-0005-0000-0000-00009E7B0000}"/>
    <cellStyle name="Normal 30" xfId="31574" xr:uid="{00000000-0005-0000-0000-00009F7B0000}"/>
    <cellStyle name="Normal 31" xfId="31575" xr:uid="{00000000-0005-0000-0000-0000A07B0000}"/>
    <cellStyle name="Normal 315" xfId="36154" xr:uid="{00000000-0005-0000-0000-0000A17B0000}"/>
    <cellStyle name="Normal 32" xfId="31576" xr:uid="{00000000-0005-0000-0000-0000A27B0000}"/>
    <cellStyle name="Normal 32 2" xfId="31577" xr:uid="{00000000-0005-0000-0000-0000A37B0000}"/>
    <cellStyle name="Normal 33" xfId="31578" xr:uid="{00000000-0005-0000-0000-0000A47B0000}"/>
    <cellStyle name="Normal 333" xfId="36159" xr:uid="{00000000-0005-0000-0000-0000A57B0000}"/>
    <cellStyle name="Normal 34" xfId="31579" xr:uid="{00000000-0005-0000-0000-0000A67B0000}"/>
    <cellStyle name="Normal 34 2" xfId="31580" xr:uid="{00000000-0005-0000-0000-0000A77B0000}"/>
    <cellStyle name="Normal 344" xfId="36155" xr:uid="{00000000-0005-0000-0000-0000A87B0000}"/>
    <cellStyle name="Normal 345" xfId="36160" xr:uid="{00000000-0005-0000-0000-0000A97B0000}"/>
    <cellStyle name="Normal 35" xfId="31581" xr:uid="{00000000-0005-0000-0000-0000AA7B0000}"/>
    <cellStyle name="Normal 35 2" xfId="31582" xr:uid="{00000000-0005-0000-0000-0000AB7B0000}"/>
    <cellStyle name="Normal 36" xfId="31583" xr:uid="{00000000-0005-0000-0000-0000AC7B0000}"/>
    <cellStyle name="Normal 36 2" xfId="31584" xr:uid="{00000000-0005-0000-0000-0000AD7B0000}"/>
    <cellStyle name="Normal 37" xfId="31585" xr:uid="{00000000-0005-0000-0000-0000AE7B0000}"/>
    <cellStyle name="Normal 37 2" xfId="31586" xr:uid="{00000000-0005-0000-0000-0000AF7B0000}"/>
    <cellStyle name="Normal 373" xfId="36163" xr:uid="{00000000-0005-0000-0000-0000B07B0000}"/>
    <cellStyle name="Normal 377" xfId="36162" xr:uid="{00000000-0005-0000-0000-0000B17B0000}"/>
    <cellStyle name="Normal 378" xfId="36161" xr:uid="{00000000-0005-0000-0000-0000B27B0000}"/>
    <cellStyle name="Normal 38" xfId="31587" xr:uid="{00000000-0005-0000-0000-0000B37B0000}"/>
    <cellStyle name="Normal 38 2" xfId="31588" xr:uid="{00000000-0005-0000-0000-0000B47B0000}"/>
    <cellStyle name="Normal 39" xfId="31589" xr:uid="{00000000-0005-0000-0000-0000B57B0000}"/>
    <cellStyle name="Normal 39 2" xfId="31590" xr:uid="{00000000-0005-0000-0000-0000B67B0000}"/>
    <cellStyle name="Normal 4" xfId="31591" xr:uid="{00000000-0005-0000-0000-0000B77B0000}"/>
    <cellStyle name="Normal 4 10" xfId="31592" xr:uid="{00000000-0005-0000-0000-0000B87B0000}"/>
    <cellStyle name="Normal 4 11" xfId="31593" xr:uid="{00000000-0005-0000-0000-0000B97B0000}"/>
    <cellStyle name="Normal 4 12" xfId="31594" xr:uid="{00000000-0005-0000-0000-0000BA7B0000}"/>
    <cellStyle name="Normal 4 13" xfId="31595" xr:uid="{00000000-0005-0000-0000-0000BB7B0000}"/>
    <cellStyle name="Normal 4 14" xfId="31596" xr:uid="{00000000-0005-0000-0000-0000BC7B0000}"/>
    <cellStyle name="Normal 4 15" xfId="31597" xr:uid="{00000000-0005-0000-0000-0000BD7B0000}"/>
    <cellStyle name="Normal 4 16" xfId="31598" xr:uid="{00000000-0005-0000-0000-0000BE7B0000}"/>
    <cellStyle name="Normal 4 17" xfId="31599" xr:uid="{00000000-0005-0000-0000-0000BF7B0000}"/>
    <cellStyle name="Normal 4 18" xfId="31600" xr:uid="{00000000-0005-0000-0000-0000C07B0000}"/>
    <cellStyle name="Normal 4 19" xfId="31601" xr:uid="{00000000-0005-0000-0000-0000C17B0000}"/>
    <cellStyle name="Normal 4 2" xfId="31602" xr:uid="{00000000-0005-0000-0000-0000C27B0000}"/>
    <cellStyle name="Normal 4 2 10" xfId="31603" xr:uid="{00000000-0005-0000-0000-0000C37B0000}"/>
    <cellStyle name="Normal 4 2 11" xfId="31604" xr:uid="{00000000-0005-0000-0000-0000C47B0000}"/>
    <cellStyle name="Normal 4 2 12" xfId="31605" xr:uid="{00000000-0005-0000-0000-0000C57B0000}"/>
    <cellStyle name="Normal 4 2 13" xfId="31606" xr:uid="{00000000-0005-0000-0000-0000C67B0000}"/>
    <cellStyle name="Normal 4 2 14" xfId="31607" xr:uid="{00000000-0005-0000-0000-0000C77B0000}"/>
    <cellStyle name="Normal 4 2 15" xfId="31608" xr:uid="{00000000-0005-0000-0000-0000C87B0000}"/>
    <cellStyle name="Normal 4 2 2" xfId="31609" xr:uid="{00000000-0005-0000-0000-0000C97B0000}"/>
    <cellStyle name="Normal 4 2 2 10" xfId="31610" xr:uid="{00000000-0005-0000-0000-0000CA7B0000}"/>
    <cellStyle name="Normal 4 2 2 11" xfId="31611" xr:uid="{00000000-0005-0000-0000-0000CB7B0000}"/>
    <cellStyle name="Normal 4 2 2 12" xfId="31612" xr:uid="{00000000-0005-0000-0000-0000CC7B0000}"/>
    <cellStyle name="Normal 4 2 2 13" xfId="31613" xr:uid="{00000000-0005-0000-0000-0000CD7B0000}"/>
    <cellStyle name="Normal 4 2 2 14" xfId="31614" xr:uid="{00000000-0005-0000-0000-0000CE7B0000}"/>
    <cellStyle name="Normal 4 2 2 2" xfId="31615" xr:uid="{00000000-0005-0000-0000-0000CF7B0000}"/>
    <cellStyle name="Normal 4 2 2 2 10" xfId="31616" xr:uid="{00000000-0005-0000-0000-0000D07B0000}"/>
    <cellStyle name="Normal 4 2 2 2 11" xfId="31617" xr:uid="{00000000-0005-0000-0000-0000D17B0000}"/>
    <cellStyle name="Normal 4 2 2 2 12" xfId="31618" xr:uid="{00000000-0005-0000-0000-0000D27B0000}"/>
    <cellStyle name="Normal 4 2 2 2 13" xfId="31619" xr:uid="{00000000-0005-0000-0000-0000D37B0000}"/>
    <cellStyle name="Normal 4 2 2 2 14" xfId="31620" xr:uid="{00000000-0005-0000-0000-0000D47B0000}"/>
    <cellStyle name="Normal 4 2 2 2 2" xfId="31621" xr:uid="{00000000-0005-0000-0000-0000D57B0000}"/>
    <cellStyle name="Normal 4 2 2 2 2 10" xfId="31622" xr:uid="{00000000-0005-0000-0000-0000D67B0000}"/>
    <cellStyle name="Normal 4 2 2 2 2 11" xfId="31623" xr:uid="{00000000-0005-0000-0000-0000D77B0000}"/>
    <cellStyle name="Normal 4 2 2 2 2 12" xfId="31624" xr:uid="{00000000-0005-0000-0000-0000D87B0000}"/>
    <cellStyle name="Normal 4 2 2 2 2 13" xfId="31625" xr:uid="{00000000-0005-0000-0000-0000D97B0000}"/>
    <cellStyle name="Normal 4 2 2 2 2 2" xfId="31626" xr:uid="{00000000-0005-0000-0000-0000DA7B0000}"/>
    <cellStyle name="Normal 4 2 2 2 2 2 10" xfId="31627" xr:uid="{00000000-0005-0000-0000-0000DB7B0000}"/>
    <cellStyle name="Normal 4 2 2 2 2 2 11" xfId="31628" xr:uid="{00000000-0005-0000-0000-0000DC7B0000}"/>
    <cellStyle name="Normal 4 2 2 2 2 2 12" xfId="31629" xr:uid="{00000000-0005-0000-0000-0000DD7B0000}"/>
    <cellStyle name="Normal 4 2 2 2 2 2 13" xfId="31630" xr:uid="{00000000-0005-0000-0000-0000DE7B0000}"/>
    <cellStyle name="Normal 4 2 2 2 2 2 2" xfId="31631" xr:uid="{00000000-0005-0000-0000-0000DF7B0000}"/>
    <cellStyle name="Normal 4 2 2 2 2 2 2 2" xfId="31632" xr:uid="{00000000-0005-0000-0000-0000E07B0000}"/>
    <cellStyle name="Normal 4 2 2 2 2 2 3" xfId="31633" xr:uid="{00000000-0005-0000-0000-0000E17B0000}"/>
    <cellStyle name="Normal 4 2 2 2 2 2 3 2" xfId="31634" xr:uid="{00000000-0005-0000-0000-0000E27B0000}"/>
    <cellStyle name="Normal 4 2 2 2 2 2 4" xfId="31635" xr:uid="{00000000-0005-0000-0000-0000E37B0000}"/>
    <cellStyle name="Normal 4 2 2 2 2 2 5" xfId="31636" xr:uid="{00000000-0005-0000-0000-0000E47B0000}"/>
    <cellStyle name="Normal 4 2 2 2 2 2 6" xfId="31637" xr:uid="{00000000-0005-0000-0000-0000E57B0000}"/>
    <cellStyle name="Normal 4 2 2 2 2 2 7" xfId="31638" xr:uid="{00000000-0005-0000-0000-0000E67B0000}"/>
    <cellStyle name="Normal 4 2 2 2 2 2 8" xfId="31639" xr:uid="{00000000-0005-0000-0000-0000E77B0000}"/>
    <cellStyle name="Normal 4 2 2 2 2 2 9" xfId="31640" xr:uid="{00000000-0005-0000-0000-0000E87B0000}"/>
    <cellStyle name="Normal 4 2 2 2 2 3" xfId="31641" xr:uid="{00000000-0005-0000-0000-0000E97B0000}"/>
    <cellStyle name="Normal 4 2 2 2 2 3 2" xfId="31642" xr:uid="{00000000-0005-0000-0000-0000EA7B0000}"/>
    <cellStyle name="Normal 4 2 2 2 2 4" xfId="31643" xr:uid="{00000000-0005-0000-0000-0000EB7B0000}"/>
    <cellStyle name="Normal 4 2 2 2 2 4 2" xfId="31644" xr:uid="{00000000-0005-0000-0000-0000EC7B0000}"/>
    <cellStyle name="Normal 4 2 2 2 2 5" xfId="31645" xr:uid="{00000000-0005-0000-0000-0000ED7B0000}"/>
    <cellStyle name="Normal 4 2 2 2 2 6" xfId="31646" xr:uid="{00000000-0005-0000-0000-0000EE7B0000}"/>
    <cellStyle name="Normal 4 2 2 2 2 7" xfId="31647" xr:uid="{00000000-0005-0000-0000-0000EF7B0000}"/>
    <cellStyle name="Normal 4 2 2 2 2 8" xfId="31648" xr:uid="{00000000-0005-0000-0000-0000F07B0000}"/>
    <cellStyle name="Normal 4 2 2 2 2 9" xfId="31649" xr:uid="{00000000-0005-0000-0000-0000F17B0000}"/>
    <cellStyle name="Normal 4 2 2 2 3" xfId="31650" xr:uid="{00000000-0005-0000-0000-0000F27B0000}"/>
    <cellStyle name="Normal 4 2 2 2 3 2" xfId="31651" xr:uid="{00000000-0005-0000-0000-0000F37B0000}"/>
    <cellStyle name="Normal 4 2 2 2 3 2 2" xfId="31652" xr:uid="{00000000-0005-0000-0000-0000F47B0000}"/>
    <cellStyle name="Normal 4 2 2 2 3 3" xfId="31653" xr:uid="{00000000-0005-0000-0000-0000F57B0000}"/>
    <cellStyle name="Normal 4 2 2 2 3 3 2" xfId="31654" xr:uid="{00000000-0005-0000-0000-0000F67B0000}"/>
    <cellStyle name="Normal 4 2 2 2 3 4" xfId="31655" xr:uid="{00000000-0005-0000-0000-0000F77B0000}"/>
    <cellStyle name="Normal 4 2 2 2 4" xfId="31656" xr:uid="{00000000-0005-0000-0000-0000F87B0000}"/>
    <cellStyle name="Normal 4 2 2 2 4 2" xfId="31657" xr:uid="{00000000-0005-0000-0000-0000F97B0000}"/>
    <cellStyle name="Normal 4 2 2 2 5" xfId="31658" xr:uid="{00000000-0005-0000-0000-0000FA7B0000}"/>
    <cellStyle name="Normal 4 2 2 2 5 2" xfId="31659" xr:uid="{00000000-0005-0000-0000-0000FB7B0000}"/>
    <cellStyle name="Normal 4 2 2 2 6" xfId="31660" xr:uid="{00000000-0005-0000-0000-0000FC7B0000}"/>
    <cellStyle name="Normal 4 2 2 2 7" xfId="31661" xr:uid="{00000000-0005-0000-0000-0000FD7B0000}"/>
    <cellStyle name="Normal 4 2 2 2 8" xfId="31662" xr:uid="{00000000-0005-0000-0000-0000FE7B0000}"/>
    <cellStyle name="Normal 4 2 2 2 9" xfId="31663" xr:uid="{00000000-0005-0000-0000-0000FF7B0000}"/>
    <cellStyle name="Normal 4 2 2 3" xfId="31664" xr:uid="{00000000-0005-0000-0000-0000007C0000}"/>
    <cellStyle name="Normal 4 2 2 3 2" xfId="31665" xr:uid="{00000000-0005-0000-0000-0000017C0000}"/>
    <cellStyle name="Normal 4 2 2 3 2 2" xfId="31666" xr:uid="{00000000-0005-0000-0000-0000027C0000}"/>
    <cellStyle name="Normal 4 2 2 3 2 2 2" xfId="31667" xr:uid="{00000000-0005-0000-0000-0000037C0000}"/>
    <cellStyle name="Normal 4 2 2 3 2 3" xfId="31668" xr:uid="{00000000-0005-0000-0000-0000047C0000}"/>
    <cellStyle name="Normal 4 2 2 3 2 3 2" xfId="31669" xr:uid="{00000000-0005-0000-0000-0000057C0000}"/>
    <cellStyle name="Normal 4 2 2 3 2 4" xfId="31670" xr:uid="{00000000-0005-0000-0000-0000067C0000}"/>
    <cellStyle name="Normal 4 2 2 3 3" xfId="31671" xr:uid="{00000000-0005-0000-0000-0000077C0000}"/>
    <cellStyle name="Normal 4 2 2 3 3 2" xfId="31672" xr:uid="{00000000-0005-0000-0000-0000087C0000}"/>
    <cellStyle name="Normal 4 2 2 3 4" xfId="31673" xr:uid="{00000000-0005-0000-0000-0000097C0000}"/>
    <cellStyle name="Normal 4 2 2 3 4 2" xfId="31674" xr:uid="{00000000-0005-0000-0000-00000A7C0000}"/>
    <cellStyle name="Normal 4 2 2 3 5" xfId="31675" xr:uid="{00000000-0005-0000-0000-00000B7C0000}"/>
    <cellStyle name="Normal 4 2 2 4" xfId="31676" xr:uid="{00000000-0005-0000-0000-00000C7C0000}"/>
    <cellStyle name="Normal 4 2 2 4 2" xfId="31677" xr:uid="{00000000-0005-0000-0000-00000D7C0000}"/>
    <cellStyle name="Normal 4 2 2 4 2 2" xfId="31678" xr:uid="{00000000-0005-0000-0000-00000E7C0000}"/>
    <cellStyle name="Normal 4 2 2 4 3" xfId="31679" xr:uid="{00000000-0005-0000-0000-00000F7C0000}"/>
    <cellStyle name="Normal 4 2 2 4 3 2" xfId="31680" xr:uid="{00000000-0005-0000-0000-0000107C0000}"/>
    <cellStyle name="Normal 4 2 2 4 4" xfId="31681" xr:uid="{00000000-0005-0000-0000-0000117C0000}"/>
    <cellStyle name="Normal 4 2 2 5" xfId="31682" xr:uid="{00000000-0005-0000-0000-0000127C0000}"/>
    <cellStyle name="Normal 4 2 2 5 2" xfId="31683" xr:uid="{00000000-0005-0000-0000-0000137C0000}"/>
    <cellStyle name="Normal 4 2 2 6" xfId="31684" xr:uid="{00000000-0005-0000-0000-0000147C0000}"/>
    <cellStyle name="Normal 4 2 2 6 2" xfId="31685" xr:uid="{00000000-0005-0000-0000-0000157C0000}"/>
    <cellStyle name="Normal 4 2 2 7" xfId="31686" xr:uid="{00000000-0005-0000-0000-0000167C0000}"/>
    <cellStyle name="Normal 4 2 2 8" xfId="31687" xr:uid="{00000000-0005-0000-0000-0000177C0000}"/>
    <cellStyle name="Normal 4 2 2 9" xfId="31688" xr:uid="{00000000-0005-0000-0000-0000187C0000}"/>
    <cellStyle name="Normal 4 2 3" xfId="31689" xr:uid="{00000000-0005-0000-0000-0000197C0000}"/>
    <cellStyle name="Normal 4 2 3 2" xfId="31690" xr:uid="{00000000-0005-0000-0000-00001A7C0000}"/>
    <cellStyle name="Normal 4 2 3 2 2" xfId="31691" xr:uid="{00000000-0005-0000-0000-00001B7C0000}"/>
    <cellStyle name="Normal 4 2 3 2 2 2" xfId="31692" xr:uid="{00000000-0005-0000-0000-00001C7C0000}"/>
    <cellStyle name="Normal 4 2 3 2 2 2 2" xfId="31693" xr:uid="{00000000-0005-0000-0000-00001D7C0000}"/>
    <cellStyle name="Normal 4 2 3 2 2 3" xfId="31694" xr:uid="{00000000-0005-0000-0000-00001E7C0000}"/>
    <cellStyle name="Normal 4 2 3 2 2 3 2" xfId="31695" xr:uid="{00000000-0005-0000-0000-00001F7C0000}"/>
    <cellStyle name="Normal 4 2 3 2 2 4" xfId="31696" xr:uid="{00000000-0005-0000-0000-0000207C0000}"/>
    <cellStyle name="Normal 4 2 3 2 3" xfId="31697" xr:uid="{00000000-0005-0000-0000-0000217C0000}"/>
    <cellStyle name="Normal 4 2 3 2 3 2" xfId="31698" xr:uid="{00000000-0005-0000-0000-0000227C0000}"/>
    <cellStyle name="Normal 4 2 3 2 4" xfId="31699" xr:uid="{00000000-0005-0000-0000-0000237C0000}"/>
    <cellStyle name="Normal 4 2 3 2 4 2" xfId="31700" xr:uid="{00000000-0005-0000-0000-0000247C0000}"/>
    <cellStyle name="Normal 4 2 3 2 5" xfId="31701" xr:uid="{00000000-0005-0000-0000-0000257C0000}"/>
    <cellStyle name="Normal 4 2 3 3" xfId="31702" xr:uid="{00000000-0005-0000-0000-0000267C0000}"/>
    <cellStyle name="Normal 4 2 3 3 2" xfId="31703" xr:uid="{00000000-0005-0000-0000-0000277C0000}"/>
    <cellStyle name="Normal 4 2 3 3 2 2" xfId="31704" xr:uid="{00000000-0005-0000-0000-0000287C0000}"/>
    <cellStyle name="Normal 4 2 3 3 3" xfId="31705" xr:uid="{00000000-0005-0000-0000-0000297C0000}"/>
    <cellStyle name="Normal 4 2 3 3 3 2" xfId="31706" xr:uid="{00000000-0005-0000-0000-00002A7C0000}"/>
    <cellStyle name="Normal 4 2 3 3 4" xfId="31707" xr:uid="{00000000-0005-0000-0000-00002B7C0000}"/>
    <cellStyle name="Normal 4 2 3 4" xfId="31708" xr:uid="{00000000-0005-0000-0000-00002C7C0000}"/>
    <cellStyle name="Normal 4 2 3 4 2" xfId="31709" xr:uid="{00000000-0005-0000-0000-00002D7C0000}"/>
    <cellStyle name="Normal 4 2 3 5" xfId="31710" xr:uid="{00000000-0005-0000-0000-00002E7C0000}"/>
    <cellStyle name="Normal 4 2 3 5 2" xfId="31711" xr:uid="{00000000-0005-0000-0000-00002F7C0000}"/>
    <cellStyle name="Normal 4 2 3 6" xfId="31712" xr:uid="{00000000-0005-0000-0000-0000307C0000}"/>
    <cellStyle name="Normal 4 2 4" xfId="31713" xr:uid="{00000000-0005-0000-0000-0000317C0000}"/>
    <cellStyle name="Normal 4 2 4 2" xfId="31714" xr:uid="{00000000-0005-0000-0000-0000327C0000}"/>
    <cellStyle name="Normal 4 2 4 2 2" xfId="31715" xr:uid="{00000000-0005-0000-0000-0000337C0000}"/>
    <cellStyle name="Normal 4 2 4 2 2 2" xfId="31716" xr:uid="{00000000-0005-0000-0000-0000347C0000}"/>
    <cellStyle name="Normal 4 2 4 2 3" xfId="31717" xr:uid="{00000000-0005-0000-0000-0000357C0000}"/>
    <cellStyle name="Normal 4 2 4 2 3 2" xfId="31718" xr:uid="{00000000-0005-0000-0000-0000367C0000}"/>
    <cellStyle name="Normal 4 2 4 2 4" xfId="31719" xr:uid="{00000000-0005-0000-0000-0000377C0000}"/>
    <cellStyle name="Normal 4 2 4 3" xfId="31720" xr:uid="{00000000-0005-0000-0000-0000387C0000}"/>
    <cellStyle name="Normal 4 2 4 3 2" xfId="31721" xr:uid="{00000000-0005-0000-0000-0000397C0000}"/>
    <cellStyle name="Normal 4 2 4 4" xfId="31722" xr:uid="{00000000-0005-0000-0000-00003A7C0000}"/>
    <cellStyle name="Normal 4 2 4 4 2" xfId="31723" xr:uid="{00000000-0005-0000-0000-00003B7C0000}"/>
    <cellStyle name="Normal 4 2 4 5" xfId="31724" xr:uid="{00000000-0005-0000-0000-00003C7C0000}"/>
    <cellStyle name="Normal 4 2 5" xfId="31725" xr:uid="{00000000-0005-0000-0000-00003D7C0000}"/>
    <cellStyle name="Normal 4 2 5 2" xfId="31726" xr:uid="{00000000-0005-0000-0000-00003E7C0000}"/>
    <cellStyle name="Normal 4 2 5 2 2" xfId="31727" xr:uid="{00000000-0005-0000-0000-00003F7C0000}"/>
    <cellStyle name="Normal 4 2 5 3" xfId="31728" xr:uid="{00000000-0005-0000-0000-0000407C0000}"/>
    <cellStyle name="Normal 4 2 5 3 2" xfId="31729" xr:uid="{00000000-0005-0000-0000-0000417C0000}"/>
    <cellStyle name="Normal 4 2 5 4" xfId="31730" xr:uid="{00000000-0005-0000-0000-0000427C0000}"/>
    <cellStyle name="Normal 4 2 6" xfId="31731" xr:uid="{00000000-0005-0000-0000-0000437C0000}"/>
    <cellStyle name="Normal 4 2 6 2" xfId="31732" xr:uid="{00000000-0005-0000-0000-0000447C0000}"/>
    <cellStyle name="Normal 4 2 7" xfId="31733" xr:uid="{00000000-0005-0000-0000-0000457C0000}"/>
    <cellStyle name="Normal 4 2 7 2" xfId="31734" xr:uid="{00000000-0005-0000-0000-0000467C0000}"/>
    <cellStyle name="Normal 4 2 8" xfId="31735" xr:uid="{00000000-0005-0000-0000-0000477C0000}"/>
    <cellStyle name="Normal 4 2 9" xfId="31736" xr:uid="{00000000-0005-0000-0000-0000487C0000}"/>
    <cellStyle name="Normal 4 20" xfId="31737" xr:uid="{00000000-0005-0000-0000-0000497C0000}"/>
    <cellStyle name="Normal 4 21" xfId="31738" xr:uid="{00000000-0005-0000-0000-00004A7C0000}"/>
    <cellStyle name="Normal 4 22" xfId="31739" xr:uid="{00000000-0005-0000-0000-00004B7C0000}"/>
    <cellStyle name="Normal 4 23" xfId="31740" xr:uid="{00000000-0005-0000-0000-00004C7C0000}"/>
    <cellStyle name="Normal 4 24" xfId="31741" xr:uid="{00000000-0005-0000-0000-00004D7C0000}"/>
    <cellStyle name="Normal 4 25" xfId="31742" xr:uid="{00000000-0005-0000-0000-00004E7C0000}"/>
    <cellStyle name="Normal 4 26" xfId="31743" xr:uid="{00000000-0005-0000-0000-00004F7C0000}"/>
    <cellStyle name="Normal 4 27" xfId="31744" xr:uid="{00000000-0005-0000-0000-0000507C0000}"/>
    <cellStyle name="Normal 4 28" xfId="31745" xr:uid="{00000000-0005-0000-0000-0000517C0000}"/>
    <cellStyle name="Normal 4 29" xfId="31746" xr:uid="{00000000-0005-0000-0000-0000527C0000}"/>
    <cellStyle name="Normal 4 3" xfId="31747" xr:uid="{00000000-0005-0000-0000-0000537C0000}"/>
    <cellStyle name="Normal 4 3 2" xfId="31748" xr:uid="{00000000-0005-0000-0000-0000547C0000}"/>
    <cellStyle name="Normal 4 3 2 2" xfId="31749" xr:uid="{00000000-0005-0000-0000-0000557C0000}"/>
    <cellStyle name="Normal 4 3 2 2 2" xfId="31750" xr:uid="{00000000-0005-0000-0000-0000567C0000}"/>
    <cellStyle name="Normal 4 3 2 2 2 2" xfId="31751" xr:uid="{00000000-0005-0000-0000-0000577C0000}"/>
    <cellStyle name="Normal 4 3 2 2 2 2 2" xfId="31752" xr:uid="{00000000-0005-0000-0000-0000587C0000}"/>
    <cellStyle name="Normal 4 3 2 2 2 2 2 2" xfId="31753" xr:uid="{00000000-0005-0000-0000-0000597C0000}"/>
    <cellStyle name="Normal 4 3 2 2 2 2 2 2 2" xfId="31754" xr:uid="{00000000-0005-0000-0000-00005A7C0000}"/>
    <cellStyle name="Normal 4 3 2 2 2 2 2 3" xfId="31755" xr:uid="{00000000-0005-0000-0000-00005B7C0000}"/>
    <cellStyle name="Normal 4 3 2 2 2 2 2 3 2" xfId="31756" xr:uid="{00000000-0005-0000-0000-00005C7C0000}"/>
    <cellStyle name="Normal 4 3 2 2 2 2 2 4" xfId="31757" xr:uid="{00000000-0005-0000-0000-00005D7C0000}"/>
    <cellStyle name="Normal 4 3 2 2 2 2 3" xfId="31758" xr:uid="{00000000-0005-0000-0000-00005E7C0000}"/>
    <cellStyle name="Normal 4 3 2 2 2 2 3 2" xfId="31759" xr:uid="{00000000-0005-0000-0000-00005F7C0000}"/>
    <cellStyle name="Normal 4 3 2 2 2 2 4" xfId="31760" xr:uid="{00000000-0005-0000-0000-0000607C0000}"/>
    <cellStyle name="Normal 4 3 2 2 2 2 4 2" xfId="31761" xr:uid="{00000000-0005-0000-0000-0000617C0000}"/>
    <cellStyle name="Normal 4 3 2 2 2 2 5" xfId="31762" xr:uid="{00000000-0005-0000-0000-0000627C0000}"/>
    <cellStyle name="Normal 4 3 2 2 2 3" xfId="31763" xr:uid="{00000000-0005-0000-0000-0000637C0000}"/>
    <cellStyle name="Normal 4 3 2 2 2 3 2" xfId="31764" xr:uid="{00000000-0005-0000-0000-0000647C0000}"/>
    <cellStyle name="Normal 4 3 2 2 2 3 2 2" xfId="31765" xr:uid="{00000000-0005-0000-0000-0000657C0000}"/>
    <cellStyle name="Normal 4 3 2 2 2 3 3" xfId="31766" xr:uid="{00000000-0005-0000-0000-0000667C0000}"/>
    <cellStyle name="Normal 4 3 2 2 2 3 3 2" xfId="31767" xr:uid="{00000000-0005-0000-0000-0000677C0000}"/>
    <cellStyle name="Normal 4 3 2 2 2 3 4" xfId="31768" xr:uid="{00000000-0005-0000-0000-0000687C0000}"/>
    <cellStyle name="Normal 4 3 2 2 2 4" xfId="31769" xr:uid="{00000000-0005-0000-0000-0000697C0000}"/>
    <cellStyle name="Normal 4 3 2 2 2 4 2" xfId="31770" xr:uid="{00000000-0005-0000-0000-00006A7C0000}"/>
    <cellStyle name="Normal 4 3 2 2 2 5" xfId="31771" xr:uid="{00000000-0005-0000-0000-00006B7C0000}"/>
    <cellStyle name="Normal 4 3 2 2 2 5 2" xfId="31772" xr:uid="{00000000-0005-0000-0000-00006C7C0000}"/>
    <cellStyle name="Normal 4 3 2 2 2 6" xfId="31773" xr:uid="{00000000-0005-0000-0000-00006D7C0000}"/>
    <cellStyle name="Normal 4 3 2 2 3" xfId="31774" xr:uid="{00000000-0005-0000-0000-00006E7C0000}"/>
    <cellStyle name="Normal 4 3 2 2 3 2" xfId="31775" xr:uid="{00000000-0005-0000-0000-00006F7C0000}"/>
    <cellStyle name="Normal 4 3 2 2 3 2 2" xfId="31776" xr:uid="{00000000-0005-0000-0000-0000707C0000}"/>
    <cellStyle name="Normal 4 3 2 2 3 2 2 2" xfId="31777" xr:uid="{00000000-0005-0000-0000-0000717C0000}"/>
    <cellStyle name="Normal 4 3 2 2 3 2 3" xfId="31778" xr:uid="{00000000-0005-0000-0000-0000727C0000}"/>
    <cellStyle name="Normal 4 3 2 2 3 2 3 2" xfId="31779" xr:uid="{00000000-0005-0000-0000-0000737C0000}"/>
    <cellStyle name="Normal 4 3 2 2 3 2 4" xfId="31780" xr:uid="{00000000-0005-0000-0000-0000747C0000}"/>
    <cellStyle name="Normal 4 3 2 2 3 3" xfId="31781" xr:uid="{00000000-0005-0000-0000-0000757C0000}"/>
    <cellStyle name="Normal 4 3 2 2 3 3 2" xfId="31782" xr:uid="{00000000-0005-0000-0000-0000767C0000}"/>
    <cellStyle name="Normal 4 3 2 2 3 4" xfId="31783" xr:uid="{00000000-0005-0000-0000-0000777C0000}"/>
    <cellStyle name="Normal 4 3 2 2 3 4 2" xfId="31784" xr:uid="{00000000-0005-0000-0000-0000787C0000}"/>
    <cellStyle name="Normal 4 3 2 2 3 5" xfId="31785" xr:uid="{00000000-0005-0000-0000-0000797C0000}"/>
    <cellStyle name="Normal 4 3 2 2 4" xfId="31786" xr:uid="{00000000-0005-0000-0000-00007A7C0000}"/>
    <cellStyle name="Normal 4 3 2 2 4 2" xfId="31787" xr:uid="{00000000-0005-0000-0000-00007B7C0000}"/>
    <cellStyle name="Normal 4 3 2 2 4 2 2" xfId="31788" xr:uid="{00000000-0005-0000-0000-00007C7C0000}"/>
    <cellStyle name="Normal 4 3 2 2 4 3" xfId="31789" xr:uid="{00000000-0005-0000-0000-00007D7C0000}"/>
    <cellStyle name="Normal 4 3 2 2 4 3 2" xfId="31790" xr:uid="{00000000-0005-0000-0000-00007E7C0000}"/>
    <cellStyle name="Normal 4 3 2 2 4 4" xfId="31791" xr:uid="{00000000-0005-0000-0000-00007F7C0000}"/>
    <cellStyle name="Normal 4 3 2 2 5" xfId="31792" xr:uid="{00000000-0005-0000-0000-0000807C0000}"/>
    <cellStyle name="Normal 4 3 2 2 5 2" xfId="31793" xr:uid="{00000000-0005-0000-0000-0000817C0000}"/>
    <cellStyle name="Normal 4 3 2 2 6" xfId="31794" xr:uid="{00000000-0005-0000-0000-0000827C0000}"/>
    <cellStyle name="Normal 4 3 2 2 6 2" xfId="31795" xr:uid="{00000000-0005-0000-0000-0000837C0000}"/>
    <cellStyle name="Normal 4 3 2 2 7" xfId="31796" xr:uid="{00000000-0005-0000-0000-0000847C0000}"/>
    <cellStyle name="Normal 4 3 2 3" xfId="31797" xr:uid="{00000000-0005-0000-0000-0000857C0000}"/>
    <cellStyle name="Normal 4 3 2 3 2" xfId="31798" xr:uid="{00000000-0005-0000-0000-0000867C0000}"/>
    <cellStyle name="Normal 4 3 2 3 2 2" xfId="31799" xr:uid="{00000000-0005-0000-0000-0000877C0000}"/>
    <cellStyle name="Normal 4 3 2 3 2 2 2" xfId="31800" xr:uid="{00000000-0005-0000-0000-0000887C0000}"/>
    <cellStyle name="Normal 4 3 2 3 2 2 2 2" xfId="31801" xr:uid="{00000000-0005-0000-0000-0000897C0000}"/>
    <cellStyle name="Normal 4 3 2 3 2 2 2 2 2" xfId="31802" xr:uid="{00000000-0005-0000-0000-00008A7C0000}"/>
    <cellStyle name="Normal 4 3 2 3 2 2 2 2 2 2" xfId="31803" xr:uid="{00000000-0005-0000-0000-00008B7C0000}"/>
    <cellStyle name="Normal 4 3 2 3 2 2 2 2 2 2 2" xfId="31804" xr:uid="{00000000-0005-0000-0000-00008C7C0000}"/>
    <cellStyle name="Normal 4 3 2 3 2 2 2 2 2 2 2 2" xfId="31805" xr:uid="{00000000-0005-0000-0000-00008D7C0000}"/>
    <cellStyle name="Normal 4 3 2 3 2 2 2 2 2 2 3" xfId="31806" xr:uid="{00000000-0005-0000-0000-00008E7C0000}"/>
    <cellStyle name="Normal 4 3 2 3 2 2 2 2 2 2 3 2" xfId="31807" xr:uid="{00000000-0005-0000-0000-00008F7C0000}"/>
    <cellStyle name="Normal 4 3 2 3 2 2 2 2 2 2 4" xfId="31808" xr:uid="{00000000-0005-0000-0000-0000907C0000}"/>
    <cellStyle name="Normal 4 3 2 3 2 2 2 2 2 3" xfId="31809" xr:uid="{00000000-0005-0000-0000-0000917C0000}"/>
    <cellStyle name="Normal 4 3 2 3 2 2 2 2 2 3 2" xfId="31810" xr:uid="{00000000-0005-0000-0000-0000927C0000}"/>
    <cellStyle name="Normal 4 3 2 3 2 2 2 2 2 4" xfId="31811" xr:uid="{00000000-0005-0000-0000-0000937C0000}"/>
    <cellStyle name="Normal 4 3 2 3 2 2 2 2 2 4 2" xfId="31812" xr:uid="{00000000-0005-0000-0000-0000947C0000}"/>
    <cellStyle name="Normal 4 3 2 3 2 2 2 2 2 5" xfId="31813" xr:uid="{00000000-0005-0000-0000-0000957C0000}"/>
    <cellStyle name="Normal 4 3 2 3 2 2 2 2 3" xfId="31814" xr:uid="{00000000-0005-0000-0000-0000967C0000}"/>
    <cellStyle name="Normal 4 3 2 3 2 2 2 2 3 2" xfId="31815" xr:uid="{00000000-0005-0000-0000-0000977C0000}"/>
    <cellStyle name="Normal 4 3 2 3 2 2 2 2 3 2 2" xfId="31816" xr:uid="{00000000-0005-0000-0000-0000987C0000}"/>
    <cellStyle name="Normal 4 3 2 3 2 2 2 2 3 3" xfId="31817" xr:uid="{00000000-0005-0000-0000-0000997C0000}"/>
    <cellStyle name="Normal 4 3 2 3 2 2 2 2 3 3 2" xfId="31818" xr:uid="{00000000-0005-0000-0000-00009A7C0000}"/>
    <cellStyle name="Normal 4 3 2 3 2 2 2 2 3 4" xfId="31819" xr:uid="{00000000-0005-0000-0000-00009B7C0000}"/>
    <cellStyle name="Normal 4 3 2 3 2 2 2 2 4" xfId="31820" xr:uid="{00000000-0005-0000-0000-00009C7C0000}"/>
    <cellStyle name="Normal 4 3 2 3 2 2 2 2 4 2" xfId="31821" xr:uid="{00000000-0005-0000-0000-00009D7C0000}"/>
    <cellStyle name="Normal 4 3 2 3 2 2 2 2 5" xfId="31822" xr:uid="{00000000-0005-0000-0000-00009E7C0000}"/>
    <cellStyle name="Normal 4 3 2 3 2 2 2 2 5 2" xfId="31823" xr:uid="{00000000-0005-0000-0000-00009F7C0000}"/>
    <cellStyle name="Normal 4 3 2 3 2 2 2 2 6" xfId="31824" xr:uid="{00000000-0005-0000-0000-0000A07C0000}"/>
    <cellStyle name="Normal 4 3 2 3 2 2 2 3" xfId="31825" xr:uid="{00000000-0005-0000-0000-0000A17C0000}"/>
    <cellStyle name="Normal 4 3 2 3 2 2 2 3 2" xfId="31826" xr:uid="{00000000-0005-0000-0000-0000A27C0000}"/>
    <cellStyle name="Normal 4 3 2 3 2 2 2 3 2 2" xfId="31827" xr:uid="{00000000-0005-0000-0000-0000A37C0000}"/>
    <cellStyle name="Normal 4 3 2 3 2 2 2 3 2 2 2" xfId="31828" xr:uid="{00000000-0005-0000-0000-0000A47C0000}"/>
    <cellStyle name="Normal 4 3 2 3 2 2 2 3 2 3" xfId="31829" xr:uid="{00000000-0005-0000-0000-0000A57C0000}"/>
    <cellStyle name="Normal 4 3 2 3 2 2 2 3 2 3 2" xfId="31830" xr:uid="{00000000-0005-0000-0000-0000A67C0000}"/>
    <cellStyle name="Normal 4 3 2 3 2 2 2 3 2 4" xfId="31831" xr:uid="{00000000-0005-0000-0000-0000A77C0000}"/>
    <cellStyle name="Normal 4 3 2 3 2 2 2 3 3" xfId="31832" xr:uid="{00000000-0005-0000-0000-0000A87C0000}"/>
    <cellStyle name="Normal 4 3 2 3 2 2 2 3 3 2" xfId="31833" xr:uid="{00000000-0005-0000-0000-0000A97C0000}"/>
    <cellStyle name="Normal 4 3 2 3 2 2 2 3 4" xfId="31834" xr:uid="{00000000-0005-0000-0000-0000AA7C0000}"/>
    <cellStyle name="Normal 4 3 2 3 2 2 2 3 4 2" xfId="31835" xr:uid="{00000000-0005-0000-0000-0000AB7C0000}"/>
    <cellStyle name="Normal 4 3 2 3 2 2 2 3 5" xfId="31836" xr:uid="{00000000-0005-0000-0000-0000AC7C0000}"/>
    <cellStyle name="Normal 4 3 2 3 2 2 2 4" xfId="31837" xr:uid="{00000000-0005-0000-0000-0000AD7C0000}"/>
    <cellStyle name="Normal 4 3 2 3 2 2 2 4 2" xfId="31838" xr:uid="{00000000-0005-0000-0000-0000AE7C0000}"/>
    <cellStyle name="Normal 4 3 2 3 2 2 2 4 2 2" xfId="31839" xr:uid="{00000000-0005-0000-0000-0000AF7C0000}"/>
    <cellStyle name="Normal 4 3 2 3 2 2 2 4 3" xfId="31840" xr:uid="{00000000-0005-0000-0000-0000B07C0000}"/>
    <cellStyle name="Normal 4 3 2 3 2 2 2 4 3 2" xfId="31841" xr:uid="{00000000-0005-0000-0000-0000B17C0000}"/>
    <cellStyle name="Normal 4 3 2 3 2 2 2 4 4" xfId="31842" xr:uid="{00000000-0005-0000-0000-0000B27C0000}"/>
    <cellStyle name="Normal 4 3 2 3 2 2 2 5" xfId="31843" xr:uid="{00000000-0005-0000-0000-0000B37C0000}"/>
    <cellStyle name="Normal 4 3 2 3 2 2 2 5 2" xfId="31844" xr:uid="{00000000-0005-0000-0000-0000B47C0000}"/>
    <cellStyle name="Normal 4 3 2 3 2 2 2 6" xfId="31845" xr:uid="{00000000-0005-0000-0000-0000B57C0000}"/>
    <cellStyle name="Normal 4 3 2 3 2 2 2 6 2" xfId="31846" xr:uid="{00000000-0005-0000-0000-0000B67C0000}"/>
    <cellStyle name="Normal 4 3 2 3 2 2 2 7" xfId="31847" xr:uid="{00000000-0005-0000-0000-0000B77C0000}"/>
    <cellStyle name="Normal 4 3 2 3 2 2 3" xfId="31848" xr:uid="{00000000-0005-0000-0000-0000B87C0000}"/>
    <cellStyle name="Normal 4 3 2 3 2 2 3 2" xfId="31849" xr:uid="{00000000-0005-0000-0000-0000B97C0000}"/>
    <cellStyle name="Normal 4 3 2 3 2 2 3 2 2" xfId="31850" xr:uid="{00000000-0005-0000-0000-0000BA7C0000}"/>
    <cellStyle name="Normal 4 3 2 3 2 2 3 2 2 2" xfId="31851" xr:uid="{00000000-0005-0000-0000-0000BB7C0000}"/>
    <cellStyle name="Normal 4 3 2 3 2 2 3 2 2 2 2" xfId="31852" xr:uid="{00000000-0005-0000-0000-0000BC7C0000}"/>
    <cellStyle name="Normal 4 3 2 3 2 2 3 2 2 3" xfId="31853" xr:uid="{00000000-0005-0000-0000-0000BD7C0000}"/>
    <cellStyle name="Normal 4 3 2 3 2 2 3 2 2 3 2" xfId="31854" xr:uid="{00000000-0005-0000-0000-0000BE7C0000}"/>
    <cellStyle name="Normal 4 3 2 3 2 2 3 2 2 4" xfId="31855" xr:uid="{00000000-0005-0000-0000-0000BF7C0000}"/>
    <cellStyle name="Normal 4 3 2 3 2 2 3 2 3" xfId="31856" xr:uid="{00000000-0005-0000-0000-0000C07C0000}"/>
    <cellStyle name="Normal 4 3 2 3 2 2 3 2 3 2" xfId="31857" xr:uid="{00000000-0005-0000-0000-0000C17C0000}"/>
    <cellStyle name="Normal 4 3 2 3 2 2 3 2 4" xfId="31858" xr:uid="{00000000-0005-0000-0000-0000C27C0000}"/>
    <cellStyle name="Normal 4 3 2 3 2 2 3 2 4 2" xfId="31859" xr:uid="{00000000-0005-0000-0000-0000C37C0000}"/>
    <cellStyle name="Normal 4 3 2 3 2 2 3 2 5" xfId="31860" xr:uid="{00000000-0005-0000-0000-0000C47C0000}"/>
    <cellStyle name="Normal 4 3 2 3 2 2 3 3" xfId="31861" xr:uid="{00000000-0005-0000-0000-0000C57C0000}"/>
    <cellStyle name="Normal 4 3 2 3 2 2 3 3 2" xfId="31862" xr:uid="{00000000-0005-0000-0000-0000C67C0000}"/>
    <cellStyle name="Normal 4 3 2 3 2 2 3 3 2 2" xfId="31863" xr:uid="{00000000-0005-0000-0000-0000C77C0000}"/>
    <cellStyle name="Normal 4 3 2 3 2 2 3 3 3" xfId="31864" xr:uid="{00000000-0005-0000-0000-0000C87C0000}"/>
    <cellStyle name="Normal 4 3 2 3 2 2 3 3 3 2" xfId="31865" xr:uid="{00000000-0005-0000-0000-0000C97C0000}"/>
    <cellStyle name="Normal 4 3 2 3 2 2 3 3 4" xfId="31866" xr:uid="{00000000-0005-0000-0000-0000CA7C0000}"/>
    <cellStyle name="Normal 4 3 2 3 2 2 3 4" xfId="31867" xr:uid="{00000000-0005-0000-0000-0000CB7C0000}"/>
    <cellStyle name="Normal 4 3 2 3 2 2 3 4 2" xfId="31868" xr:uid="{00000000-0005-0000-0000-0000CC7C0000}"/>
    <cellStyle name="Normal 4 3 2 3 2 2 3 5" xfId="31869" xr:uid="{00000000-0005-0000-0000-0000CD7C0000}"/>
    <cellStyle name="Normal 4 3 2 3 2 2 3 5 2" xfId="31870" xr:uid="{00000000-0005-0000-0000-0000CE7C0000}"/>
    <cellStyle name="Normal 4 3 2 3 2 2 3 6" xfId="31871" xr:uid="{00000000-0005-0000-0000-0000CF7C0000}"/>
    <cellStyle name="Normal 4 3 2 3 2 2 4" xfId="31872" xr:uid="{00000000-0005-0000-0000-0000D07C0000}"/>
    <cellStyle name="Normal 4 3 2 3 2 2 4 2" xfId="31873" xr:uid="{00000000-0005-0000-0000-0000D17C0000}"/>
    <cellStyle name="Normal 4 3 2 3 2 2 4 2 2" xfId="31874" xr:uid="{00000000-0005-0000-0000-0000D27C0000}"/>
    <cellStyle name="Normal 4 3 2 3 2 2 4 2 2 2" xfId="31875" xr:uid="{00000000-0005-0000-0000-0000D37C0000}"/>
    <cellStyle name="Normal 4 3 2 3 2 2 4 2 3" xfId="31876" xr:uid="{00000000-0005-0000-0000-0000D47C0000}"/>
    <cellStyle name="Normal 4 3 2 3 2 2 4 2 3 2" xfId="31877" xr:uid="{00000000-0005-0000-0000-0000D57C0000}"/>
    <cellStyle name="Normal 4 3 2 3 2 2 4 2 4" xfId="31878" xr:uid="{00000000-0005-0000-0000-0000D67C0000}"/>
    <cellStyle name="Normal 4 3 2 3 2 2 4 3" xfId="31879" xr:uid="{00000000-0005-0000-0000-0000D77C0000}"/>
    <cellStyle name="Normal 4 3 2 3 2 2 4 3 2" xfId="31880" xr:uid="{00000000-0005-0000-0000-0000D87C0000}"/>
    <cellStyle name="Normal 4 3 2 3 2 2 4 4" xfId="31881" xr:uid="{00000000-0005-0000-0000-0000D97C0000}"/>
    <cellStyle name="Normal 4 3 2 3 2 2 4 4 2" xfId="31882" xr:uid="{00000000-0005-0000-0000-0000DA7C0000}"/>
    <cellStyle name="Normal 4 3 2 3 2 2 4 5" xfId="31883" xr:uid="{00000000-0005-0000-0000-0000DB7C0000}"/>
    <cellStyle name="Normal 4 3 2 3 2 2 5" xfId="31884" xr:uid="{00000000-0005-0000-0000-0000DC7C0000}"/>
    <cellStyle name="Normal 4 3 2 3 2 2 5 2" xfId="31885" xr:uid="{00000000-0005-0000-0000-0000DD7C0000}"/>
    <cellStyle name="Normal 4 3 2 3 2 2 5 2 2" xfId="31886" xr:uid="{00000000-0005-0000-0000-0000DE7C0000}"/>
    <cellStyle name="Normal 4 3 2 3 2 2 5 3" xfId="31887" xr:uid="{00000000-0005-0000-0000-0000DF7C0000}"/>
    <cellStyle name="Normal 4 3 2 3 2 2 5 3 2" xfId="31888" xr:uid="{00000000-0005-0000-0000-0000E07C0000}"/>
    <cellStyle name="Normal 4 3 2 3 2 2 5 4" xfId="31889" xr:uid="{00000000-0005-0000-0000-0000E17C0000}"/>
    <cellStyle name="Normal 4 3 2 3 2 2 6" xfId="31890" xr:uid="{00000000-0005-0000-0000-0000E27C0000}"/>
    <cellStyle name="Normal 4 3 2 3 2 2 6 2" xfId="31891" xr:uid="{00000000-0005-0000-0000-0000E37C0000}"/>
    <cellStyle name="Normal 4 3 2 3 2 2 7" xfId="31892" xr:uid="{00000000-0005-0000-0000-0000E47C0000}"/>
    <cellStyle name="Normal 4 3 2 3 2 2 7 2" xfId="31893" xr:uid="{00000000-0005-0000-0000-0000E57C0000}"/>
    <cellStyle name="Normal 4 3 2 3 2 2 8" xfId="31894" xr:uid="{00000000-0005-0000-0000-0000E67C0000}"/>
    <cellStyle name="Normal 4 3 2 3 2 3" xfId="31895" xr:uid="{00000000-0005-0000-0000-0000E77C0000}"/>
    <cellStyle name="Normal 4 3 2 3 2 3 2" xfId="31896" xr:uid="{00000000-0005-0000-0000-0000E87C0000}"/>
    <cellStyle name="Normal 4 3 2 3 2 3 2 2" xfId="31897" xr:uid="{00000000-0005-0000-0000-0000E97C0000}"/>
    <cellStyle name="Normal 4 3 2 3 2 3 2 2 2" xfId="31898" xr:uid="{00000000-0005-0000-0000-0000EA7C0000}"/>
    <cellStyle name="Normal 4 3 2 3 2 3 2 2 2 2" xfId="31899" xr:uid="{00000000-0005-0000-0000-0000EB7C0000}"/>
    <cellStyle name="Normal 4 3 2 3 2 3 2 2 2 2 2" xfId="31900" xr:uid="{00000000-0005-0000-0000-0000EC7C0000}"/>
    <cellStyle name="Normal 4 3 2 3 2 3 2 2 2 2 2 2" xfId="31901" xr:uid="{00000000-0005-0000-0000-0000ED7C0000}"/>
    <cellStyle name="Normal 4 3 2 3 2 3 2 2 2 2 3" xfId="31902" xr:uid="{00000000-0005-0000-0000-0000EE7C0000}"/>
    <cellStyle name="Normal 4 3 2 3 2 3 2 2 2 2 3 2" xfId="31903" xr:uid="{00000000-0005-0000-0000-0000EF7C0000}"/>
    <cellStyle name="Normal 4 3 2 3 2 3 2 2 2 2 4" xfId="31904" xr:uid="{00000000-0005-0000-0000-0000F07C0000}"/>
    <cellStyle name="Normal 4 3 2 3 2 3 2 2 2 3" xfId="31905" xr:uid="{00000000-0005-0000-0000-0000F17C0000}"/>
    <cellStyle name="Normal 4 3 2 3 2 3 2 2 2 3 2" xfId="31906" xr:uid="{00000000-0005-0000-0000-0000F27C0000}"/>
    <cellStyle name="Normal 4 3 2 3 2 3 2 2 2 4" xfId="31907" xr:uid="{00000000-0005-0000-0000-0000F37C0000}"/>
    <cellStyle name="Normal 4 3 2 3 2 3 2 2 2 4 2" xfId="31908" xr:uid="{00000000-0005-0000-0000-0000F47C0000}"/>
    <cellStyle name="Normal 4 3 2 3 2 3 2 2 2 5" xfId="31909" xr:uid="{00000000-0005-0000-0000-0000F57C0000}"/>
    <cellStyle name="Normal 4 3 2 3 2 3 2 2 3" xfId="31910" xr:uid="{00000000-0005-0000-0000-0000F67C0000}"/>
    <cellStyle name="Normal 4 3 2 3 2 3 2 2 3 2" xfId="31911" xr:uid="{00000000-0005-0000-0000-0000F77C0000}"/>
    <cellStyle name="Normal 4 3 2 3 2 3 2 2 3 2 2" xfId="31912" xr:uid="{00000000-0005-0000-0000-0000F87C0000}"/>
    <cellStyle name="Normal 4 3 2 3 2 3 2 2 3 3" xfId="31913" xr:uid="{00000000-0005-0000-0000-0000F97C0000}"/>
    <cellStyle name="Normal 4 3 2 3 2 3 2 2 3 3 2" xfId="31914" xr:uid="{00000000-0005-0000-0000-0000FA7C0000}"/>
    <cellStyle name="Normal 4 3 2 3 2 3 2 2 3 4" xfId="31915" xr:uid="{00000000-0005-0000-0000-0000FB7C0000}"/>
    <cellStyle name="Normal 4 3 2 3 2 3 2 2 4" xfId="31916" xr:uid="{00000000-0005-0000-0000-0000FC7C0000}"/>
    <cellStyle name="Normal 4 3 2 3 2 3 2 2 4 2" xfId="31917" xr:uid="{00000000-0005-0000-0000-0000FD7C0000}"/>
    <cellStyle name="Normal 4 3 2 3 2 3 2 2 5" xfId="31918" xr:uid="{00000000-0005-0000-0000-0000FE7C0000}"/>
    <cellStyle name="Normal 4 3 2 3 2 3 2 2 5 2" xfId="31919" xr:uid="{00000000-0005-0000-0000-0000FF7C0000}"/>
    <cellStyle name="Normal 4 3 2 3 2 3 2 2 6" xfId="31920" xr:uid="{00000000-0005-0000-0000-0000007D0000}"/>
    <cellStyle name="Normal 4 3 2 3 2 3 2 3" xfId="31921" xr:uid="{00000000-0005-0000-0000-0000017D0000}"/>
    <cellStyle name="Normal 4 3 2 3 2 3 2 3 2" xfId="31922" xr:uid="{00000000-0005-0000-0000-0000027D0000}"/>
    <cellStyle name="Normal 4 3 2 3 2 3 2 3 2 2" xfId="31923" xr:uid="{00000000-0005-0000-0000-0000037D0000}"/>
    <cellStyle name="Normal 4 3 2 3 2 3 2 3 2 2 2" xfId="31924" xr:uid="{00000000-0005-0000-0000-0000047D0000}"/>
    <cellStyle name="Normal 4 3 2 3 2 3 2 3 2 3" xfId="31925" xr:uid="{00000000-0005-0000-0000-0000057D0000}"/>
    <cellStyle name="Normal 4 3 2 3 2 3 2 3 2 3 2" xfId="31926" xr:uid="{00000000-0005-0000-0000-0000067D0000}"/>
    <cellStyle name="Normal 4 3 2 3 2 3 2 3 2 4" xfId="31927" xr:uid="{00000000-0005-0000-0000-0000077D0000}"/>
    <cellStyle name="Normal 4 3 2 3 2 3 2 3 3" xfId="31928" xr:uid="{00000000-0005-0000-0000-0000087D0000}"/>
    <cellStyle name="Normal 4 3 2 3 2 3 2 3 3 2" xfId="31929" xr:uid="{00000000-0005-0000-0000-0000097D0000}"/>
    <cellStyle name="Normal 4 3 2 3 2 3 2 3 4" xfId="31930" xr:uid="{00000000-0005-0000-0000-00000A7D0000}"/>
    <cellStyle name="Normal 4 3 2 3 2 3 2 3 4 2" xfId="31931" xr:uid="{00000000-0005-0000-0000-00000B7D0000}"/>
    <cellStyle name="Normal 4 3 2 3 2 3 2 3 5" xfId="31932" xr:uid="{00000000-0005-0000-0000-00000C7D0000}"/>
    <cellStyle name="Normal 4 3 2 3 2 3 2 4" xfId="31933" xr:uid="{00000000-0005-0000-0000-00000D7D0000}"/>
    <cellStyle name="Normal 4 3 2 3 2 3 2 4 2" xfId="31934" xr:uid="{00000000-0005-0000-0000-00000E7D0000}"/>
    <cellStyle name="Normal 4 3 2 3 2 3 2 4 2 2" xfId="31935" xr:uid="{00000000-0005-0000-0000-00000F7D0000}"/>
    <cellStyle name="Normal 4 3 2 3 2 3 2 4 3" xfId="31936" xr:uid="{00000000-0005-0000-0000-0000107D0000}"/>
    <cellStyle name="Normal 4 3 2 3 2 3 2 4 3 2" xfId="31937" xr:uid="{00000000-0005-0000-0000-0000117D0000}"/>
    <cellStyle name="Normal 4 3 2 3 2 3 2 4 4" xfId="31938" xr:uid="{00000000-0005-0000-0000-0000127D0000}"/>
    <cellStyle name="Normal 4 3 2 3 2 3 2 5" xfId="31939" xr:uid="{00000000-0005-0000-0000-0000137D0000}"/>
    <cellStyle name="Normal 4 3 2 3 2 3 2 5 2" xfId="31940" xr:uid="{00000000-0005-0000-0000-0000147D0000}"/>
    <cellStyle name="Normal 4 3 2 3 2 3 2 6" xfId="31941" xr:uid="{00000000-0005-0000-0000-0000157D0000}"/>
    <cellStyle name="Normal 4 3 2 3 2 3 2 6 2" xfId="31942" xr:uid="{00000000-0005-0000-0000-0000167D0000}"/>
    <cellStyle name="Normal 4 3 2 3 2 3 2 7" xfId="31943" xr:uid="{00000000-0005-0000-0000-0000177D0000}"/>
    <cellStyle name="Normal 4 3 2 3 2 3 3" xfId="31944" xr:uid="{00000000-0005-0000-0000-0000187D0000}"/>
    <cellStyle name="Normal 4 3 2 3 2 3 3 2" xfId="31945" xr:uid="{00000000-0005-0000-0000-0000197D0000}"/>
    <cellStyle name="Normal 4 3 2 3 2 3 3 2 2" xfId="31946" xr:uid="{00000000-0005-0000-0000-00001A7D0000}"/>
    <cellStyle name="Normal 4 3 2 3 2 3 3 2 2 2" xfId="31947" xr:uid="{00000000-0005-0000-0000-00001B7D0000}"/>
    <cellStyle name="Normal 4 3 2 3 2 3 3 2 2 2 2" xfId="31948" xr:uid="{00000000-0005-0000-0000-00001C7D0000}"/>
    <cellStyle name="Normal 4 3 2 3 2 3 3 2 2 3" xfId="31949" xr:uid="{00000000-0005-0000-0000-00001D7D0000}"/>
    <cellStyle name="Normal 4 3 2 3 2 3 3 2 2 3 2" xfId="31950" xr:uid="{00000000-0005-0000-0000-00001E7D0000}"/>
    <cellStyle name="Normal 4 3 2 3 2 3 3 2 2 4" xfId="31951" xr:uid="{00000000-0005-0000-0000-00001F7D0000}"/>
    <cellStyle name="Normal 4 3 2 3 2 3 3 2 3" xfId="31952" xr:uid="{00000000-0005-0000-0000-0000207D0000}"/>
    <cellStyle name="Normal 4 3 2 3 2 3 3 2 3 2" xfId="31953" xr:uid="{00000000-0005-0000-0000-0000217D0000}"/>
    <cellStyle name="Normal 4 3 2 3 2 3 3 2 4" xfId="31954" xr:uid="{00000000-0005-0000-0000-0000227D0000}"/>
    <cellStyle name="Normal 4 3 2 3 2 3 3 2 4 2" xfId="31955" xr:uid="{00000000-0005-0000-0000-0000237D0000}"/>
    <cellStyle name="Normal 4 3 2 3 2 3 3 2 5" xfId="31956" xr:uid="{00000000-0005-0000-0000-0000247D0000}"/>
    <cellStyle name="Normal 4 3 2 3 2 3 3 3" xfId="31957" xr:uid="{00000000-0005-0000-0000-0000257D0000}"/>
    <cellStyle name="Normal 4 3 2 3 2 3 3 3 2" xfId="31958" xr:uid="{00000000-0005-0000-0000-0000267D0000}"/>
    <cellStyle name="Normal 4 3 2 3 2 3 3 3 2 2" xfId="31959" xr:uid="{00000000-0005-0000-0000-0000277D0000}"/>
    <cellStyle name="Normal 4 3 2 3 2 3 3 3 3" xfId="31960" xr:uid="{00000000-0005-0000-0000-0000287D0000}"/>
    <cellStyle name="Normal 4 3 2 3 2 3 3 3 3 2" xfId="31961" xr:uid="{00000000-0005-0000-0000-0000297D0000}"/>
    <cellStyle name="Normal 4 3 2 3 2 3 3 3 4" xfId="31962" xr:uid="{00000000-0005-0000-0000-00002A7D0000}"/>
    <cellStyle name="Normal 4 3 2 3 2 3 3 4" xfId="31963" xr:uid="{00000000-0005-0000-0000-00002B7D0000}"/>
    <cellStyle name="Normal 4 3 2 3 2 3 3 4 2" xfId="31964" xr:uid="{00000000-0005-0000-0000-00002C7D0000}"/>
    <cellStyle name="Normal 4 3 2 3 2 3 3 5" xfId="31965" xr:uid="{00000000-0005-0000-0000-00002D7D0000}"/>
    <cellStyle name="Normal 4 3 2 3 2 3 3 5 2" xfId="31966" xr:uid="{00000000-0005-0000-0000-00002E7D0000}"/>
    <cellStyle name="Normal 4 3 2 3 2 3 3 6" xfId="31967" xr:uid="{00000000-0005-0000-0000-00002F7D0000}"/>
    <cellStyle name="Normal 4 3 2 3 2 3 4" xfId="31968" xr:uid="{00000000-0005-0000-0000-0000307D0000}"/>
    <cellStyle name="Normal 4 3 2 3 2 3 4 2" xfId="31969" xr:uid="{00000000-0005-0000-0000-0000317D0000}"/>
    <cellStyle name="Normal 4 3 2 3 2 3 4 2 2" xfId="31970" xr:uid="{00000000-0005-0000-0000-0000327D0000}"/>
    <cellStyle name="Normal 4 3 2 3 2 3 4 2 2 2" xfId="31971" xr:uid="{00000000-0005-0000-0000-0000337D0000}"/>
    <cellStyle name="Normal 4 3 2 3 2 3 4 2 3" xfId="31972" xr:uid="{00000000-0005-0000-0000-0000347D0000}"/>
    <cellStyle name="Normal 4 3 2 3 2 3 4 2 3 2" xfId="31973" xr:uid="{00000000-0005-0000-0000-0000357D0000}"/>
    <cellStyle name="Normal 4 3 2 3 2 3 4 2 4" xfId="31974" xr:uid="{00000000-0005-0000-0000-0000367D0000}"/>
    <cellStyle name="Normal 4 3 2 3 2 3 4 3" xfId="31975" xr:uid="{00000000-0005-0000-0000-0000377D0000}"/>
    <cellStyle name="Normal 4 3 2 3 2 3 4 3 2" xfId="31976" xr:uid="{00000000-0005-0000-0000-0000387D0000}"/>
    <cellStyle name="Normal 4 3 2 3 2 3 4 4" xfId="31977" xr:uid="{00000000-0005-0000-0000-0000397D0000}"/>
    <cellStyle name="Normal 4 3 2 3 2 3 4 4 2" xfId="31978" xr:uid="{00000000-0005-0000-0000-00003A7D0000}"/>
    <cellStyle name="Normal 4 3 2 3 2 3 4 5" xfId="31979" xr:uid="{00000000-0005-0000-0000-00003B7D0000}"/>
    <cellStyle name="Normal 4 3 2 3 2 3 5" xfId="31980" xr:uid="{00000000-0005-0000-0000-00003C7D0000}"/>
    <cellStyle name="Normal 4 3 2 3 2 3 5 2" xfId="31981" xr:uid="{00000000-0005-0000-0000-00003D7D0000}"/>
    <cellStyle name="Normal 4 3 2 3 2 3 5 2 2" xfId="31982" xr:uid="{00000000-0005-0000-0000-00003E7D0000}"/>
    <cellStyle name="Normal 4 3 2 3 2 3 5 3" xfId="31983" xr:uid="{00000000-0005-0000-0000-00003F7D0000}"/>
    <cellStyle name="Normal 4 3 2 3 2 3 5 3 2" xfId="31984" xr:uid="{00000000-0005-0000-0000-0000407D0000}"/>
    <cellStyle name="Normal 4 3 2 3 2 3 5 4" xfId="31985" xr:uid="{00000000-0005-0000-0000-0000417D0000}"/>
    <cellStyle name="Normal 4 3 2 3 2 3 6" xfId="31986" xr:uid="{00000000-0005-0000-0000-0000427D0000}"/>
    <cellStyle name="Normal 4 3 2 3 2 3 6 2" xfId="31987" xr:uid="{00000000-0005-0000-0000-0000437D0000}"/>
    <cellStyle name="Normal 4 3 2 3 2 3 7" xfId="31988" xr:uid="{00000000-0005-0000-0000-0000447D0000}"/>
    <cellStyle name="Normal 4 3 2 3 2 3 7 2" xfId="31989" xr:uid="{00000000-0005-0000-0000-0000457D0000}"/>
    <cellStyle name="Normal 4 3 2 3 2 3 8" xfId="31990" xr:uid="{00000000-0005-0000-0000-0000467D0000}"/>
    <cellStyle name="Normal 4 3 2 3 2 4" xfId="31991" xr:uid="{00000000-0005-0000-0000-0000477D0000}"/>
    <cellStyle name="Normal 4 3 2 3 2 4 2" xfId="31992" xr:uid="{00000000-0005-0000-0000-0000487D0000}"/>
    <cellStyle name="Normal 4 3 2 3 2 4 2 2" xfId="31993" xr:uid="{00000000-0005-0000-0000-0000497D0000}"/>
    <cellStyle name="Normal 4 3 2 3 2 4 2 2 2" xfId="31994" xr:uid="{00000000-0005-0000-0000-00004A7D0000}"/>
    <cellStyle name="Normal 4 3 2 3 2 4 2 2 2 2" xfId="31995" xr:uid="{00000000-0005-0000-0000-00004B7D0000}"/>
    <cellStyle name="Normal 4 3 2 3 2 4 2 2 3" xfId="31996" xr:uid="{00000000-0005-0000-0000-00004C7D0000}"/>
    <cellStyle name="Normal 4 3 2 3 2 4 2 2 3 2" xfId="31997" xr:uid="{00000000-0005-0000-0000-00004D7D0000}"/>
    <cellStyle name="Normal 4 3 2 3 2 4 2 2 4" xfId="31998" xr:uid="{00000000-0005-0000-0000-00004E7D0000}"/>
    <cellStyle name="Normal 4 3 2 3 2 4 2 3" xfId="31999" xr:uid="{00000000-0005-0000-0000-00004F7D0000}"/>
    <cellStyle name="Normal 4 3 2 3 2 4 2 3 2" xfId="32000" xr:uid="{00000000-0005-0000-0000-0000507D0000}"/>
    <cellStyle name="Normal 4 3 2 3 2 4 2 4" xfId="32001" xr:uid="{00000000-0005-0000-0000-0000517D0000}"/>
    <cellStyle name="Normal 4 3 2 3 2 4 2 4 2" xfId="32002" xr:uid="{00000000-0005-0000-0000-0000527D0000}"/>
    <cellStyle name="Normal 4 3 2 3 2 4 2 5" xfId="32003" xr:uid="{00000000-0005-0000-0000-0000537D0000}"/>
    <cellStyle name="Normal 4 3 2 3 2 4 3" xfId="32004" xr:uid="{00000000-0005-0000-0000-0000547D0000}"/>
    <cellStyle name="Normal 4 3 2 3 2 4 3 2" xfId="32005" xr:uid="{00000000-0005-0000-0000-0000557D0000}"/>
    <cellStyle name="Normal 4 3 2 3 2 4 3 2 2" xfId="32006" xr:uid="{00000000-0005-0000-0000-0000567D0000}"/>
    <cellStyle name="Normal 4 3 2 3 2 4 3 3" xfId="32007" xr:uid="{00000000-0005-0000-0000-0000577D0000}"/>
    <cellStyle name="Normal 4 3 2 3 2 4 3 3 2" xfId="32008" xr:uid="{00000000-0005-0000-0000-0000587D0000}"/>
    <cellStyle name="Normal 4 3 2 3 2 4 3 4" xfId="32009" xr:uid="{00000000-0005-0000-0000-0000597D0000}"/>
    <cellStyle name="Normal 4 3 2 3 2 4 4" xfId="32010" xr:uid="{00000000-0005-0000-0000-00005A7D0000}"/>
    <cellStyle name="Normal 4 3 2 3 2 4 4 2" xfId="32011" xr:uid="{00000000-0005-0000-0000-00005B7D0000}"/>
    <cellStyle name="Normal 4 3 2 3 2 4 5" xfId="32012" xr:uid="{00000000-0005-0000-0000-00005C7D0000}"/>
    <cellStyle name="Normal 4 3 2 3 2 4 5 2" xfId="32013" xr:uid="{00000000-0005-0000-0000-00005D7D0000}"/>
    <cellStyle name="Normal 4 3 2 3 2 4 6" xfId="32014" xr:uid="{00000000-0005-0000-0000-00005E7D0000}"/>
    <cellStyle name="Normal 4 3 2 3 2 5" xfId="32015" xr:uid="{00000000-0005-0000-0000-00005F7D0000}"/>
    <cellStyle name="Normal 4 3 2 3 2 5 2" xfId="32016" xr:uid="{00000000-0005-0000-0000-0000607D0000}"/>
    <cellStyle name="Normal 4 3 2 3 2 5 2 2" xfId="32017" xr:uid="{00000000-0005-0000-0000-0000617D0000}"/>
    <cellStyle name="Normal 4 3 2 3 2 5 2 2 2" xfId="32018" xr:uid="{00000000-0005-0000-0000-0000627D0000}"/>
    <cellStyle name="Normal 4 3 2 3 2 5 2 3" xfId="32019" xr:uid="{00000000-0005-0000-0000-0000637D0000}"/>
    <cellStyle name="Normal 4 3 2 3 2 5 2 3 2" xfId="32020" xr:uid="{00000000-0005-0000-0000-0000647D0000}"/>
    <cellStyle name="Normal 4 3 2 3 2 5 2 4" xfId="32021" xr:uid="{00000000-0005-0000-0000-0000657D0000}"/>
    <cellStyle name="Normal 4 3 2 3 2 5 3" xfId="32022" xr:uid="{00000000-0005-0000-0000-0000667D0000}"/>
    <cellStyle name="Normal 4 3 2 3 2 5 3 2" xfId="32023" xr:uid="{00000000-0005-0000-0000-0000677D0000}"/>
    <cellStyle name="Normal 4 3 2 3 2 5 4" xfId="32024" xr:uid="{00000000-0005-0000-0000-0000687D0000}"/>
    <cellStyle name="Normal 4 3 2 3 2 5 4 2" xfId="32025" xr:uid="{00000000-0005-0000-0000-0000697D0000}"/>
    <cellStyle name="Normal 4 3 2 3 2 5 5" xfId="32026" xr:uid="{00000000-0005-0000-0000-00006A7D0000}"/>
    <cellStyle name="Normal 4 3 2 3 2 6" xfId="32027" xr:uid="{00000000-0005-0000-0000-00006B7D0000}"/>
    <cellStyle name="Normal 4 3 2 3 2 6 2" xfId="32028" xr:uid="{00000000-0005-0000-0000-00006C7D0000}"/>
    <cellStyle name="Normal 4 3 2 3 2 6 2 2" xfId="32029" xr:uid="{00000000-0005-0000-0000-00006D7D0000}"/>
    <cellStyle name="Normal 4 3 2 3 2 6 3" xfId="32030" xr:uid="{00000000-0005-0000-0000-00006E7D0000}"/>
    <cellStyle name="Normal 4 3 2 3 2 6 3 2" xfId="32031" xr:uid="{00000000-0005-0000-0000-00006F7D0000}"/>
    <cellStyle name="Normal 4 3 2 3 2 6 4" xfId="32032" xr:uid="{00000000-0005-0000-0000-0000707D0000}"/>
    <cellStyle name="Normal 4 3 2 3 2 7" xfId="32033" xr:uid="{00000000-0005-0000-0000-0000717D0000}"/>
    <cellStyle name="Normal 4 3 2 3 2 7 2" xfId="32034" xr:uid="{00000000-0005-0000-0000-0000727D0000}"/>
    <cellStyle name="Normal 4 3 2 3 2 8" xfId="32035" xr:uid="{00000000-0005-0000-0000-0000737D0000}"/>
    <cellStyle name="Normal 4 3 2 3 2 8 2" xfId="32036" xr:uid="{00000000-0005-0000-0000-0000747D0000}"/>
    <cellStyle name="Normal 4 3 2 3 2 9" xfId="32037" xr:uid="{00000000-0005-0000-0000-0000757D0000}"/>
    <cellStyle name="Normal 4 3 2 3 3" xfId="32038" xr:uid="{00000000-0005-0000-0000-0000767D0000}"/>
    <cellStyle name="Normal 4 3 2 3 3 2" xfId="32039" xr:uid="{00000000-0005-0000-0000-0000777D0000}"/>
    <cellStyle name="Normal 4 3 2 3 3 2 2" xfId="32040" xr:uid="{00000000-0005-0000-0000-0000787D0000}"/>
    <cellStyle name="Normal 4 3 2 3 3 2 2 2" xfId="32041" xr:uid="{00000000-0005-0000-0000-0000797D0000}"/>
    <cellStyle name="Normal 4 3 2 3 3 2 2 2 2" xfId="32042" xr:uid="{00000000-0005-0000-0000-00007A7D0000}"/>
    <cellStyle name="Normal 4 3 2 3 3 2 2 3" xfId="32043" xr:uid="{00000000-0005-0000-0000-00007B7D0000}"/>
    <cellStyle name="Normal 4 3 2 3 3 2 2 3 2" xfId="32044" xr:uid="{00000000-0005-0000-0000-00007C7D0000}"/>
    <cellStyle name="Normal 4 3 2 3 3 2 2 4" xfId="32045" xr:uid="{00000000-0005-0000-0000-00007D7D0000}"/>
    <cellStyle name="Normal 4 3 2 3 3 2 3" xfId="32046" xr:uid="{00000000-0005-0000-0000-00007E7D0000}"/>
    <cellStyle name="Normal 4 3 2 3 3 2 3 2" xfId="32047" xr:uid="{00000000-0005-0000-0000-00007F7D0000}"/>
    <cellStyle name="Normal 4 3 2 3 3 2 4" xfId="32048" xr:uid="{00000000-0005-0000-0000-0000807D0000}"/>
    <cellStyle name="Normal 4 3 2 3 3 2 4 2" xfId="32049" xr:uid="{00000000-0005-0000-0000-0000817D0000}"/>
    <cellStyle name="Normal 4 3 2 3 3 2 5" xfId="32050" xr:uid="{00000000-0005-0000-0000-0000827D0000}"/>
    <cellStyle name="Normal 4 3 2 3 3 3" xfId="32051" xr:uid="{00000000-0005-0000-0000-0000837D0000}"/>
    <cellStyle name="Normal 4 3 2 3 3 3 2" xfId="32052" xr:uid="{00000000-0005-0000-0000-0000847D0000}"/>
    <cellStyle name="Normal 4 3 2 3 3 3 2 2" xfId="32053" xr:uid="{00000000-0005-0000-0000-0000857D0000}"/>
    <cellStyle name="Normal 4 3 2 3 3 3 3" xfId="32054" xr:uid="{00000000-0005-0000-0000-0000867D0000}"/>
    <cellStyle name="Normal 4 3 2 3 3 3 3 2" xfId="32055" xr:uid="{00000000-0005-0000-0000-0000877D0000}"/>
    <cellStyle name="Normal 4 3 2 3 3 3 4" xfId="32056" xr:uid="{00000000-0005-0000-0000-0000887D0000}"/>
    <cellStyle name="Normal 4 3 2 3 3 4" xfId="32057" xr:uid="{00000000-0005-0000-0000-0000897D0000}"/>
    <cellStyle name="Normal 4 3 2 3 3 4 2" xfId="32058" xr:uid="{00000000-0005-0000-0000-00008A7D0000}"/>
    <cellStyle name="Normal 4 3 2 3 3 5" xfId="32059" xr:uid="{00000000-0005-0000-0000-00008B7D0000}"/>
    <cellStyle name="Normal 4 3 2 3 3 5 2" xfId="32060" xr:uid="{00000000-0005-0000-0000-00008C7D0000}"/>
    <cellStyle name="Normal 4 3 2 3 3 6" xfId="32061" xr:uid="{00000000-0005-0000-0000-00008D7D0000}"/>
    <cellStyle name="Normal 4 3 2 3 4" xfId="32062" xr:uid="{00000000-0005-0000-0000-00008E7D0000}"/>
    <cellStyle name="Normal 4 3 2 3 4 2" xfId="32063" xr:uid="{00000000-0005-0000-0000-00008F7D0000}"/>
    <cellStyle name="Normal 4 3 2 3 4 2 2" xfId="32064" xr:uid="{00000000-0005-0000-0000-0000907D0000}"/>
    <cellStyle name="Normal 4 3 2 3 4 2 2 2" xfId="32065" xr:uid="{00000000-0005-0000-0000-0000917D0000}"/>
    <cellStyle name="Normal 4 3 2 3 4 2 3" xfId="32066" xr:uid="{00000000-0005-0000-0000-0000927D0000}"/>
    <cellStyle name="Normal 4 3 2 3 4 2 3 2" xfId="32067" xr:uid="{00000000-0005-0000-0000-0000937D0000}"/>
    <cellStyle name="Normal 4 3 2 3 4 2 4" xfId="32068" xr:uid="{00000000-0005-0000-0000-0000947D0000}"/>
    <cellStyle name="Normal 4 3 2 3 4 3" xfId="32069" xr:uid="{00000000-0005-0000-0000-0000957D0000}"/>
    <cellStyle name="Normal 4 3 2 3 4 3 2" xfId="32070" xr:uid="{00000000-0005-0000-0000-0000967D0000}"/>
    <cellStyle name="Normal 4 3 2 3 4 4" xfId="32071" xr:uid="{00000000-0005-0000-0000-0000977D0000}"/>
    <cellStyle name="Normal 4 3 2 3 4 4 2" xfId="32072" xr:uid="{00000000-0005-0000-0000-0000987D0000}"/>
    <cellStyle name="Normal 4 3 2 3 4 5" xfId="32073" xr:uid="{00000000-0005-0000-0000-0000997D0000}"/>
    <cellStyle name="Normal 4 3 2 3 5" xfId="32074" xr:uid="{00000000-0005-0000-0000-00009A7D0000}"/>
    <cellStyle name="Normal 4 3 2 3 5 2" xfId="32075" xr:uid="{00000000-0005-0000-0000-00009B7D0000}"/>
    <cellStyle name="Normal 4 3 2 3 5 2 2" xfId="32076" xr:uid="{00000000-0005-0000-0000-00009C7D0000}"/>
    <cellStyle name="Normal 4 3 2 3 5 3" xfId="32077" xr:uid="{00000000-0005-0000-0000-00009D7D0000}"/>
    <cellStyle name="Normal 4 3 2 3 5 3 2" xfId="32078" xr:uid="{00000000-0005-0000-0000-00009E7D0000}"/>
    <cellStyle name="Normal 4 3 2 3 5 4" xfId="32079" xr:uid="{00000000-0005-0000-0000-00009F7D0000}"/>
    <cellStyle name="Normal 4 3 2 3 6" xfId="32080" xr:uid="{00000000-0005-0000-0000-0000A07D0000}"/>
    <cellStyle name="Normal 4 3 2 3 6 2" xfId="32081" xr:uid="{00000000-0005-0000-0000-0000A17D0000}"/>
    <cellStyle name="Normal 4 3 2 3 7" xfId="32082" xr:uid="{00000000-0005-0000-0000-0000A27D0000}"/>
    <cellStyle name="Normal 4 3 2 3 7 2" xfId="32083" xr:uid="{00000000-0005-0000-0000-0000A37D0000}"/>
    <cellStyle name="Normal 4 3 2 3 8" xfId="32084" xr:uid="{00000000-0005-0000-0000-0000A47D0000}"/>
    <cellStyle name="Normal 4 3 2 4" xfId="32085" xr:uid="{00000000-0005-0000-0000-0000A57D0000}"/>
    <cellStyle name="Normal 4 3 2 4 2" xfId="32086" xr:uid="{00000000-0005-0000-0000-0000A67D0000}"/>
    <cellStyle name="Normal 4 3 2 4 2 2" xfId="32087" xr:uid="{00000000-0005-0000-0000-0000A77D0000}"/>
    <cellStyle name="Normal 4 3 2 4 2 2 2" xfId="32088" xr:uid="{00000000-0005-0000-0000-0000A87D0000}"/>
    <cellStyle name="Normal 4 3 2 4 2 2 2 2" xfId="32089" xr:uid="{00000000-0005-0000-0000-0000A97D0000}"/>
    <cellStyle name="Normal 4 3 2 4 2 2 3" xfId="32090" xr:uid="{00000000-0005-0000-0000-0000AA7D0000}"/>
    <cellStyle name="Normal 4 3 2 4 2 2 3 2" xfId="32091" xr:uid="{00000000-0005-0000-0000-0000AB7D0000}"/>
    <cellStyle name="Normal 4 3 2 4 2 2 4" xfId="32092" xr:uid="{00000000-0005-0000-0000-0000AC7D0000}"/>
    <cellStyle name="Normal 4 3 2 4 2 3" xfId="32093" xr:uid="{00000000-0005-0000-0000-0000AD7D0000}"/>
    <cellStyle name="Normal 4 3 2 4 2 3 2" xfId="32094" xr:uid="{00000000-0005-0000-0000-0000AE7D0000}"/>
    <cellStyle name="Normal 4 3 2 4 2 4" xfId="32095" xr:uid="{00000000-0005-0000-0000-0000AF7D0000}"/>
    <cellStyle name="Normal 4 3 2 4 2 4 2" xfId="32096" xr:uid="{00000000-0005-0000-0000-0000B07D0000}"/>
    <cellStyle name="Normal 4 3 2 4 2 5" xfId="32097" xr:uid="{00000000-0005-0000-0000-0000B17D0000}"/>
    <cellStyle name="Normal 4 3 2 4 3" xfId="32098" xr:uid="{00000000-0005-0000-0000-0000B27D0000}"/>
    <cellStyle name="Normal 4 3 2 4 3 2" xfId="32099" xr:uid="{00000000-0005-0000-0000-0000B37D0000}"/>
    <cellStyle name="Normal 4 3 2 4 3 2 2" xfId="32100" xr:uid="{00000000-0005-0000-0000-0000B47D0000}"/>
    <cellStyle name="Normal 4 3 2 4 3 3" xfId="32101" xr:uid="{00000000-0005-0000-0000-0000B57D0000}"/>
    <cellStyle name="Normal 4 3 2 4 3 3 2" xfId="32102" xr:uid="{00000000-0005-0000-0000-0000B67D0000}"/>
    <cellStyle name="Normal 4 3 2 4 3 4" xfId="32103" xr:uid="{00000000-0005-0000-0000-0000B77D0000}"/>
    <cellStyle name="Normal 4 3 2 4 4" xfId="32104" xr:uid="{00000000-0005-0000-0000-0000B87D0000}"/>
    <cellStyle name="Normal 4 3 2 4 4 2" xfId="32105" xr:uid="{00000000-0005-0000-0000-0000B97D0000}"/>
    <cellStyle name="Normal 4 3 2 4 5" xfId="32106" xr:uid="{00000000-0005-0000-0000-0000BA7D0000}"/>
    <cellStyle name="Normal 4 3 2 4 5 2" xfId="32107" xr:uid="{00000000-0005-0000-0000-0000BB7D0000}"/>
    <cellStyle name="Normal 4 3 2 4 6" xfId="32108" xr:uid="{00000000-0005-0000-0000-0000BC7D0000}"/>
    <cellStyle name="Normal 4 3 2 5" xfId="32109" xr:uid="{00000000-0005-0000-0000-0000BD7D0000}"/>
    <cellStyle name="Normal 4 3 2 5 2" xfId="32110" xr:uid="{00000000-0005-0000-0000-0000BE7D0000}"/>
    <cellStyle name="Normal 4 3 2 5 2 2" xfId="32111" xr:uid="{00000000-0005-0000-0000-0000BF7D0000}"/>
    <cellStyle name="Normal 4 3 2 5 2 2 2" xfId="32112" xr:uid="{00000000-0005-0000-0000-0000C07D0000}"/>
    <cellStyle name="Normal 4 3 2 5 2 3" xfId="32113" xr:uid="{00000000-0005-0000-0000-0000C17D0000}"/>
    <cellStyle name="Normal 4 3 2 5 2 3 2" xfId="32114" xr:uid="{00000000-0005-0000-0000-0000C27D0000}"/>
    <cellStyle name="Normal 4 3 2 5 2 4" xfId="32115" xr:uid="{00000000-0005-0000-0000-0000C37D0000}"/>
    <cellStyle name="Normal 4 3 2 5 3" xfId="32116" xr:uid="{00000000-0005-0000-0000-0000C47D0000}"/>
    <cellStyle name="Normal 4 3 2 5 3 2" xfId="32117" xr:uid="{00000000-0005-0000-0000-0000C57D0000}"/>
    <cellStyle name="Normal 4 3 2 5 4" xfId="32118" xr:uid="{00000000-0005-0000-0000-0000C67D0000}"/>
    <cellStyle name="Normal 4 3 2 5 4 2" xfId="32119" xr:uid="{00000000-0005-0000-0000-0000C77D0000}"/>
    <cellStyle name="Normal 4 3 2 5 5" xfId="32120" xr:uid="{00000000-0005-0000-0000-0000C87D0000}"/>
    <cellStyle name="Normal 4 3 2 6" xfId="32121" xr:uid="{00000000-0005-0000-0000-0000C97D0000}"/>
    <cellStyle name="Normal 4 3 2 6 2" xfId="32122" xr:uid="{00000000-0005-0000-0000-0000CA7D0000}"/>
    <cellStyle name="Normal 4 3 2 6 2 2" xfId="32123" xr:uid="{00000000-0005-0000-0000-0000CB7D0000}"/>
    <cellStyle name="Normal 4 3 2 6 3" xfId="32124" xr:uid="{00000000-0005-0000-0000-0000CC7D0000}"/>
    <cellStyle name="Normal 4 3 2 6 3 2" xfId="32125" xr:uid="{00000000-0005-0000-0000-0000CD7D0000}"/>
    <cellStyle name="Normal 4 3 2 6 4" xfId="32126" xr:uid="{00000000-0005-0000-0000-0000CE7D0000}"/>
    <cellStyle name="Normal 4 3 2 7" xfId="32127" xr:uid="{00000000-0005-0000-0000-0000CF7D0000}"/>
    <cellStyle name="Normal 4 3 2 7 2" xfId="32128" xr:uid="{00000000-0005-0000-0000-0000D07D0000}"/>
    <cellStyle name="Normal 4 3 2 8" xfId="32129" xr:uid="{00000000-0005-0000-0000-0000D17D0000}"/>
    <cellStyle name="Normal 4 3 2 8 2" xfId="32130" xr:uid="{00000000-0005-0000-0000-0000D27D0000}"/>
    <cellStyle name="Normal 4 3 2 9" xfId="32131" xr:uid="{00000000-0005-0000-0000-0000D37D0000}"/>
    <cellStyle name="Normal 4 3 3" xfId="32132" xr:uid="{00000000-0005-0000-0000-0000D47D0000}"/>
    <cellStyle name="Normal 4 3 3 2" xfId="32133" xr:uid="{00000000-0005-0000-0000-0000D57D0000}"/>
    <cellStyle name="Normal 4 3 3 2 2" xfId="32134" xr:uid="{00000000-0005-0000-0000-0000D67D0000}"/>
    <cellStyle name="Normal 4 3 3 2 2 2" xfId="32135" xr:uid="{00000000-0005-0000-0000-0000D77D0000}"/>
    <cellStyle name="Normal 4 3 3 2 2 2 2" xfId="32136" xr:uid="{00000000-0005-0000-0000-0000D87D0000}"/>
    <cellStyle name="Normal 4 3 3 2 2 2 2 2" xfId="32137" xr:uid="{00000000-0005-0000-0000-0000D97D0000}"/>
    <cellStyle name="Normal 4 3 3 2 2 2 3" xfId="32138" xr:uid="{00000000-0005-0000-0000-0000DA7D0000}"/>
    <cellStyle name="Normal 4 3 3 2 2 2 3 2" xfId="32139" xr:uid="{00000000-0005-0000-0000-0000DB7D0000}"/>
    <cellStyle name="Normal 4 3 3 2 2 2 4" xfId="32140" xr:uid="{00000000-0005-0000-0000-0000DC7D0000}"/>
    <cellStyle name="Normal 4 3 3 2 2 3" xfId="32141" xr:uid="{00000000-0005-0000-0000-0000DD7D0000}"/>
    <cellStyle name="Normal 4 3 3 2 2 3 2" xfId="32142" xr:uid="{00000000-0005-0000-0000-0000DE7D0000}"/>
    <cellStyle name="Normal 4 3 3 2 2 4" xfId="32143" xr:uid="{00000000-0005-0000-0000-0000DF7D0000}"/>
    <cellStyle name="Normal 4 3 3 2 2 4 2" xfId="32144" xr:uid="{00000000-0005-0000-0000-0000E07D0000}"/>
    <cellStyle name="Normal 4 3 3 2 2 5" xfId="32145" xr:uid="{00000000-0005-0000-0000-0000E17D0000}"/>
    <cellStyle name="Normal 4 3 3 2 3" xfId="32146" xr:uid="{00000000-0005-0000-0000-0000E27D0000}"/>
    <cellStyle name="Normal 4 3 3 2 3 2" xfId="32147" xr:uid="{00000000-0005-0000-0000-0000E37D0000}"/>
    <cellStyle name="Normal 4 3 3 2 3 2 2" xfId="32148" xr:uid="{00000000-0005-0000-0000-0000E47D0000}"/>
    <cellStyle name="Normal 4 3 3 2 3 3" xfId="32149" xr:uid="{00000000-0005-0000-0000-0000E57D0000}"/>
    <cellStyle name="Normal 4 3 3 2 3 3 2" xfId="32150" xr:uid="{00000000-0005-0000-0000-0000E67D0000}"/>
    <cellStyle name="Normal 4 3 3 2 3 4" xfId="32151" xr:uid="{00000000-0005-0000-0000-0000E77D0000}"/>
    <cellStyle name="Normal 4 3 3 2 4" xfId="32152" xr:uid="{00000000-0005-0000-0000-0000E87D0000}"/>
    <cellStyle name="Normal 4 3 3 2 4 2" xfId="32153" xr:uid="{00000000-0005-0000-0000-0000E97D0000}"/>
    <cellStyle name="Normal 4 3 3 2 5" xfId="32154" xr:uid="{00000000-0005-0000-0000-0000EA7D0000}"/>
    <cellStyle name="Normal 4 3 3 2 5 2" xfId="32155" xr:uid="{00000000-0005-0000-0000-0000EB7D0000}"/>
    <cellStyle name="Normal 4 3 3 2 6" xfId="32156" xr:uid="{00000000-0005-0000-0000-0000EC7D0000}"/>
    <cellStyle name="Normal 4 3 3 3" xfId="32157" xr:uid="{00000000-0005-0000-0000-0000ED7D0000}"/>
    <cellStyle name="Normal 4 3 3 3 2" xfId="32158" xr:uid="{00000000-0005-0000-0000-0000EE7D0000}"/>
    <cellStyle name="Normal 4 3 3 3 2 2" xfId="32159" xr:uid="{00000000-0005-0000-0000-0000EF7D0000}"/>
    <cellStyle name="Normal 4 3 3 3 2 2 2" xfId="32160" xr:uid="{00000000-0005-0000-0000-0000F07D0000}"/>
    <cellStyle name="Normal 4 3 3 3 2 3" xfId="32161" xr:uid="{00000000-0005-0000-0000-0000F17D0000}"/>
    <cellStyle name="Normal 4 3 3 3 2 3 2" xfId="32162" xr:uid="{00000000-0005-0000-0000-0000F27D0000}"/>
    <cellStyle name="Normal 4 3 3 3 2 4" xfId="32163" xr:uid="{00000000-0005-0000-0000-0000F37D0000}"/>
    <cellStyle name="Normal 4 3 3 3 3" xfId="32164" xr:uid="{00000000-0005-0000-0000-0000F47D0000}"/>
    <cellStyle name="Normal 4 3 3 3 3 2" xfId="32165" xr:uid="{00000000-0005-0000-0000-0000F57D0000}"/>
    <cellStyle name="Normal 4 3 3 3 4" xfId="32166" xr:uid="{00000000-0005-0000-0000-0000F67D0000}"/>
    <cellStyle name="Normal 4 3 3 3 4 2" xfId="32167" xr:uid="{00000000-0005-0000-0000-0000F77D0000}"/>
    <cellStyle name="Normal 4 3 3 3 5" xfId="32168" xr:uid="{00000000-0005-0000-0000-0000F87D0000}"/>
    <cellStyle name="Normal 4 3 3 4" xfId="32169" xr:uid="{00000000-0005-0000-0000-0000F97D0000}"/>
    <cellStyle name="Normal 4 3 3 4 2" xfId="32170" xr:uid="{00000000-0005-0000-0000-0000FA7D0000}"/>
    <cellStyle name="Normal 4 3 3 4 2 2" xfId="32171" xr:uid="{00000000-0005-0000-0000-0000FB7D0000}"/>
    <cellStyle name="Normal 4 3 3 4 3" xfId="32172" xr:uid="{00000000-0005-0000-0000-0000FC7D0000}"/>
    <cellStyle name="Normal 4 3 3 4 3 2" xfId="32173" xr:uid="{00000000-0005-0000-0000-0000FD7D0000}"/>
    <cellStyle name="Normal 4 3 3 4 4" xfId="32174" xr:uid="{00000000-0005-0000-0000-0000FE7D0000}"/>
    <cellStyle name="Normal 4 3 3 5" xfId="32175" xr:uid="{00000000-0005-0000-0000-0000FF7D0000}"/>
    <cellStyle name="Normal 4 3 3 5 2" xfId="32176" xr:uid="{00000000-0005-0000-0000-0000007E0000}"/>
    <cellStyle name="Normal 4 3 3 6" xfId="32177" xr:uid="{00000000-0005-0000-0000-0000017E0000}"/>
    <cellStyle name="Normal 4 3 3 6 2" xfId="32178" xr:uid="{00000000-0005-0000-0000-0000027E0000}"/>
    <cellStyle name="Normal 4 3 3 7" xfId="32179" xr:uid="{00000000-0005-0000-0000-0000037E0000}"/>
    <cellStyle name="Normal 4 3 4" xfId="32180" xr:uid="{00000000-0005-0000-0000-0000047E0000}"/>
    <cellStyle name="Normal 4 3 4 2" xfId="32181" xr:uid="{00000000-0005-0000-0000-0000057E0000}"/>
    <cellStyle name="Normal 4 3 4 2 2" xfId="32182" xr:uid="{00000000-0005-0000-0000-0000067E0000}"/>
    <cellStyle name="Normal 4 3 4 2 2 2" xfId="32183" xr:uid="{00000000-0005-0000-0000-0000077E0000}"/>
    <cellStyle name="Normal 4 3 4 2 2 2 2" xfId="32184" xr:uid="{00000000-0005-0000-0000-0000087E0000}"/>
    <cellStyle name="Normal 4 3 4 2 2 3" xfId="32185" xr:uid="{00000000-0005-0000-0000-0000097E0000}"/>
    <cellStyle name="Normal 4 3 4 2 2 3 2" xfId="32186" xr:uid="{00000000-0005-0000-0000-00000A7E0000}"/>
    <cellStyle name="Normal 4 3 4 2 2 4" xfId="32187" xr:uid="{00000000-0005-0000-0000-00000B7E0000}"/>
    <cellStyle name="Normal 4 3 4 2 3" xfId="32188" xr:uid="{00000000-0005-0000-0000-00000C7E0000}"/>
    <cellStyle name="Normal 4 3 4 2 3 2" xfId="32189" xr:uid="{00000000-0005-0000-0000-00000D7E0000}"/>
    <cellStyle name="Normal 4 3 4 2 4" xfId="32190" xr:uid="{00000000-0005-0000-0000-00000E7E0000}"/>
    <cellStyle name="Normal 4 3 4 2 4 2" xfId="32191" xr:uid="{00000000-0005-0000-0000-00000F7E0000}"/>
    <cellStyle name="Normal 4 3 4 2 5" xfId="32192" xr:uid="{00000000-0005-0000-0000-0000107E0000}"/>
    <cellStyle name="Normal 4 3 4 3" xfId="32193" xr:uid="{00000000-0005-0000-0000-0000117E0000}"/>
    <cellStyle name="Normal 4 3 4 3 2" xfId="32194" xr:uid="{00000000-0005-0000-0000-0000127E0000}"/>
    <cellStyle name="Normal 4 3 4 3 2 2" xfId="32195" xr:uid="{00000000-0005-0000-0000-0000137E0000}"/>
    <cellStyle name="Normal 4 3 4 3 3" xfId="32196" xr:uid="{00000000-0005-0000-0000-0000147E0000}"/>
    <cellStyle name="Normal 4 3 4 3 3 2" xfId="32197" xr:uid="{00000000-0005-0000-0000-0000157E0000}"/>
    <cellStyle name="Normal 4 3 4 3 4" xfId="32198" xr:uid="{00000000-0005-0000-0000-0000167E0000}"/>
    <cellStyle name="Normal 4 3 4 4" xfId="32199" xr:uid="{00000000-0005-0000-0000-0000177E0000}"/>
    <cellStyle name="Normal 4 3 4 4 2" xfId="32200" xr:uid="{00000000-0005-0000-0000-0000187E0000}"/>
    <cellStyle name="Normal 4 3 4 5" xfId="32201" xr:uid="{00000000-0005-0000-0000-0000197E0000}"/>
    <cellStyle name="Normal 4 3 4 5 2" xfId="32202" xr:uid="{00000000-0005-0000-0000-00001A7E0000}"/>
    <cellStyle name="Normal 4 3 4 6" xfId="32203" xr:uid="{00000000-0005-0000-0000-00001B7E0000}"/>
    <cellStyle name="Normal 4 3 5" xfId="32204" xr:uid="{00000000-0005-0000-0000-00001C7E0000}"/>
    <cellStyle name="Normal 4 3 5 2" xfId="32205" xr:uid="{00000000-0005-0000-0000-00001D7E0000}"/>
    <cellStyle name="Normal 4 3 5 2 2" xfId="32206" xr:uid="{00000000-0005-0000-0000-00001E7E0000}"/>
    <cellStyle name="Normal 4 3 5 2 2 2" xfId="32207" xr:uid="{00000000-0005-0000-0000-00001F7E0000}"/>
    <cellStyle name="Normal 4 3 5 2 3" xfId="32208" xr:uid="{00000000-0005-0000-0000-0000207E0000}"/>
    <cellStyle name="Normal 4 3 5 2 3 2" xfId="32209" xr:uid="{00000000-0005-0000-0000-0000217E0000}"/>
    <cellStyle name="Normal 4 3 5 2 4" xfId="32210" xr:uid="{00000000-0005-0000-0000-0000227E0000}"/>
    <cellStyle name="Normal 4 3 5 3" xfId="32211" xr:uid="{00000000-0005-0000-0000-0000237E0000}"/>
    <cellStyle name="Normal 4 3 5 3 2" xfId="32212" xr:uid="{00000000-0005-0000-0000-0000247E0000}"/>
    <cellStyle name="Normal 4 3 5 4" xfId="32213" xr:uid="{00000000-0005-0000-0000-0000257E0000}"/>
    <cellStyle name="Normal 4 3 5 4 2" xfId="32214" xr:uid="{00000000-0005-0000-0000-0000267E0000}"/>
    <cellStyle name="Normal 4 3 5 5" xfId="32215" xr:uid="{00000000-0005-0000-0000-0000277E0000}"/>
    <cellStyle name="Normal 4 3 6" xfId="32216" xr:uid="{00000000-0005-0000-0000-0000287E0000}"/>
    <cellStyle name="Normal 4 3 6 2" xfId="32217" xr:uid="{00000000-0005-0000-0000-0000297E0000}"/>
    <cellStyle name="Normal 4 3 6 2 2" xfId="32218" xr:uid="{00000000-0005-0000-0000-00002A7E0000}"/>
    <cellStyle name="Normal 4 3 6 3" xfId="32219" xr:uid="{00000000-0005-0000-0000-00002B7E0000}"/>
    <cellStyle name="Normal 4 3 6 3 2" xfId="32220" xr:uid="{00000000-0005-0000-0000-00002C7E0000}"/>
    <cellStyle name="Normal 4 3 6 4" xfId="32221" xr:uid="{00000000-0005-0000-0000-00002D7E0000}"/>
    <cellStyle name="Normal 4 3 7" xfId="32222" xr:uid="{00000000-0005-0000-0000-00002E7E0000}"/>
    <cellStyle name="Normal 4 3 7 2" xfId="32223" xr:uid="{00000000-0005-0000-0000-00002F7E0000}"/>
    <cellStyle name="Normal 4 3 8" xfId="32224" xr:uid="{00000000-0005-0000-0000-0000307E0000}"/>
    <cellStyle name="Normal 4 3 8 2" xfId="32225" xr:uid="{00000000-0005-0000-0000-0000317E0000}"/>
    <cellStyle name="Normal 4 3 9" xfId="32226" xr:uid="{00000000-0005-0000-0000-0000327E0000}"/>
    <cellStyle name="Normal 4 30" xfId="32227" xr:uid="{00000000-0005-0000-0000-0000337E0000}"/>
    <cellStyle name="Normal 4 31" xfId="32228" xr:uid="{00000000-0005-0000-0000-0000347E0000}"/>
    <cellStyle name="Normal 4 32" xfId="32229" xr:uid="{00000000-0005-0000-0000-0000357E0000}"/>
    <cellStyle name="Normal 4 33" xfId="32230" xr:uid="{00000000-0005-0000-0000-0000367E0000}"/>
    <cellStyle name="Normal 4 34" xfId="32231" xr:uid="{00000000-0005-0000-0000-0000377E0000}"/>
    <cellStyle name="Normal 4 35" xfId="32232" xr:uid="{00000000-0005-0000-0000-0000387E0000}"/>
    <cellStyle name="Normal 4 36" xfId="32233" xr:uid="{00000000-0005-0000-0000-0000397E0000}"/>
    <cellStyle name="Normal 4 37" xfId="32234" xr:uid="{00000000-0005-0000-0000-00003A7E0000}"/>
    <cellStyle name="Normal 4 38" xfId="32235" xr:uid="{00000000-0005-0000-0000-00003B7E0000}"/>
    <cellStyle name="Normal 4 39" xfId="32236" xr:uid="{00000000-0005-0000-0000-00003C7E0000}"/>
    <cellStyle name="Normal 4 4" xfId="32237" xr:uid="{00000000-0005-0000-0000-00003D7E0000}"/>
    <cellStyle name="Normal 4 4 2" xfId="32238" xr:uid="{00000000-0005-0000-0000-00003E7E0000}"/>
    <cellStyle name="Normal 4 4 2 2" xfId="32239" xr:uid="{00000000-0005-0000-0000-00003F7E0000}"/>
    <cellStyle name="Normal 4 4 2 2 2" xfId="32240" xr:uid="{00000000-0005-0000-0000-0000407E0000}"/>
    <cellStyle name="Normal 4 4 2 2 2 2" xfId="32241" xr:uid="{00000000-0005-0000-0000-0000417E0000}"/>
    <cellStyle name="Normal 4 4 2 2 2 2 2" xfId="32242" xr:uid="{00000000-0005-0000-0000-0000427E0000}"/>
    <cellStyle name="Normal 4 4 2 2 2 3" xfId="32243" xr:uid="{00000000-0005-0000-0000-0000437E0000}"/>
    <cellStyle name="Normal 4 4 2 2 2 3 2" xfId="32244" xr:uid="{00000000-0005-0000-0000-0000447E0000}"/>
    <cellStyle name="Normal 4 4 2 2 2 4" xfId="32245" xr:uid="{00000000-0005-0000-0000-0000457E0000}"/>
    <cellStyle name="Normal 4 4 2 2 3" xfId="32246" xr:uid="{00000000-0005-0000-0000-0000467E0000}"/>
    <cellStyle name="Normal 4 4 2 2 3 2" xfId="32247" xr:uid="{00000000-0005-0000-0000-0000477E0000}"/>
    <cellStyle name="Normal 4 4 2 2 4" xfId="32248" xr:uid="{00000000-0005-0000-0000-0000487E0000}"/>
    <cellStyle name="Normal 4 4 2 2 4 2" xfId="32249" xr:uid="{00000000-0005-0000-0000-0000497E0000}"/>
    <cellStyle name="Normal 4 4 2 2 5" xfId="32250" xr:uid="{00000000-0005-0000-0000-00004A7E0000}"/>
    <cellStyle name="Normal 4 4 2 3" xfId="32251" xr:uid="{00000000-0005-0000-0000-00004B7E0000}"/>
    <cellStyle name="Normal 4 4 2 3 2" xfId="32252" xr:uid="{00000000-0005-0000-0000-00004C7E0000}"/>
    <cellStyle name="Normal 4 4 2 3 2 2" xfId="32253" xr:uid="{00000000-0005-0000-0000-00004D7E0000}"/>
    <cellStyle name="Normal 4 4 2 3 3" xfId="32254" xr:uid="{00000000-0005-0000-0000-00004E7E0000}"/>
    <cellStyle name="Normal 4 4 2 3 3 2" xfId="32255" xr:uid="{00000000-0005-0000-0000-00004F7E0000}"/>
    <cellStyle name="Normal 4 4 2 3 4" xfId="32256" xr:uid="{00000000-0005-0000-0000-0000507E0000}"/>
    <cellStyle name="Normal 4 4 2 4" xfId="32257" xr:uid="{00000000-0005-0000-0000-0000517E0000}"/>
    <cellStyle name="Normal 4 4 2 4 2" xfId="32258" xr:uid="{00000000-0005-0000-0000-0000527E0000}"/>
    <cellStyle name="Normal 4 4 2 5" xfId="32259" xr:uid="{00000000-0005-0000-0000-0000537E0000}"/>
    <cellStyle name="Normal 4 4 2 5 2" xfId="32260" xr:uid="{00000000-0005-0000-0000-0000547E0000}"/>
    <cellStyle name="Normal 4 4 2 6" xfId="32261" xr:uid="{00000000-0005-0000-0000-0000557E0000}"/>
    <cellStyle name="Normal 4 4 3" xfId="32262" xr:uid="{00000000-0005-0000-0000-0000567E0000}"/>
    <cellStyle name="Normal 4 4 3 2" xfId="32263" xr:uid="{00000000-0005-0000-0000-0000577E0000}"/>
    <cellStyle name="Normal 4 4 3 2 2" xfId="32264" xr:uid="{00000000-0005-0000-0000-0000587E0000}"/>
    <cellStyle name="Normal 4 4 3 2 2 2" xfId="32265" xr:uid="{00000000-0005-0000-0000-0000597E0000}"/>
    <cellStyle name="Normal 4 4 3 2 3" xfId="32266" xr:uid="{00000000-0005-0000-0000-00005A7E0000}"/>
    <cellStyle name="Normal 4 4 3 2 3 2" xfId="32267" xr:uid="{00000000-0005-0000-0000-00005B7E0000}"/>
    <cellStyle name="Normal 4 4 3 2 4" xfId="32268" xr:uid="{00000000-0005-0000-0000-00005C7E0000}"/>
    <cellStyle name="Normal 4 4 3 3" xfId="32269" xr:uid="{00000000-0005-0000-0000-00005D7E0000}"/>
    <cellStyle name="Normal 4 4 3 3 2" xfId="32270" xr:uid="{00000000-0005-0000-0000-00005E7E0000}"/>
    <cellStyle name="Normal 4 4 3 4" xfId="32271" xr:uid="{00000000-0005-0000-0000-00005F7E0000}"/>
    <cellStyle name="Normal 4 4 3 4 2" xfId="32272" xr:uid="{00000000-0005-0000-0000-0000607E0000}"/>
    <cellStyle name="Normal 4 4 3 5" xfId="32273" xr:uid="{00000000-0005-0000-0000-0000617E0000}"/>
    <cellStyle name="Normal 4 4 4" xfId="32274" xr:uid="{00000000-0005-0000-0000-0000627E0000}"/>
    <cellStyle name="Normal 4 4 4 2" xfId="32275" xr:uid="{00000000-0005-0000-0000-0000637E0000}"/>
    <cellStyle name="Normal 4 4 4 2 2" xfId="32276" xr:uid="{00000000-0005-0000-0000-0000647E0000}"/>
    <cellStyle name="Normal 4 4 4 3" xfId="32277" xr:uid="{00000000-0005-0000-0000-0000657E0000}"/>
    <cellStyle name="Normal 4 4 4 3 2" xfId="32278" xr:uid="{00000000-0005-0000-0000-0000667E0000}"/>
    <cellStyle name="Normal 4 4 4 4" xfId="32279" xr:uid="{00000000-0005-0000-0000-0000677E0000}"/>
    <cellStyle name="Normal 4 4 5" xfId="32280" xr:uid="{00000000-0005-0000-0000-0000687E0000}"/>
    <cellStyle name="Normal 4 4 5 2" xfId="32281" xr:uid="{00000000-0005-0000-0000-0000697E0000}"/>
    <cellStyle name="Normal 4 4 6" xfId="32282" xr:uid="{00000000-0005-0000-0000-00006A7E0000}"/>
    <cellStyle name="Normal 4 4 6 2" xfId="32283" xr:uid="{00000000-0005-0000-0000-00006B7E0000}"/>
    <cellStyle name="Normal 4 4 7" xfId="32284" xr:uid="{00000000-0005-0000-0000-00006C7E0000}"/>
    <cellStyle name="Normal 4 40" xfId="32285" xr:uid="{00000000-0005-0000-0000-00006D7E0000}"/>
    <cellStyle name="Normal 4 41" xfId="36235" xr:uid="{00000000-0005-0000-0000-00006E7E0000}"/>
    <cellStyle name="Normal 4 5" xfId="32286" xr:uid="{00000000-0005-0000-0000-00006F7E0000}"/>
    <cellStyle name="Normal 4 5 2" xfId="32287" xr:uid="{00000000-0005-0000-0000-0000707E0000}"/>
    <cellStyle name="Normal 4 5 2 2" xfId="32288" xr:uid="{00000000-0005-0000-0000-0000717E0000}"/>
    <cellStyle name="Normal 4 5 2 2 2" xfId="32289" xr:uid="{00000000-0005-0000-0000-0000727E0000}"/>
    <cellStyle name="Normal 4 5 2 2 2 2" xfId="32290" xr:uid="{00000000-0005-0000-0000-0000737E0000}"/>
    <cellStyle name="Normal 4 5 2 2 3" xfId="32291" xr:uid="{00000000-0005-0000-0000-0000747E0000}"/>
    <cellStyle name="Normal 4 5 2 2 3 2" xfId="32292" xr:uid="{00000000-0005-0000-0000-0000757E0000}"/>
    <cellStyle name="Normal 4 5 2 2 4" xfId="32293" xr:uid="{00000000-0005-0000-0000-0000767E0000}"/>
    <cellStyle name="Normal 4 5 2 3" xfId="32294" xr:uid="{00000000-0005-0000-0000-0000777E0000}"/>
    <cellStyle name="Normal 4 5 2 3 2" xfId="32295" xr:uid="{00000000-0005-0000-0000-0000787E0000}"/>
    <cellStyle name="Normal 4 5 2 4" xfId="32296" xr:uid="{00000000-0005-0000-0000-0000797E0000}"/>
    <cellStyle name="Normal 4 5 2 4 2" xfId="32297" xr:uid="{00000000-0005-0000-0000-00007A7E0000}"/>
    <cellStyle name="Normal 4 5 2 5" xfId="32298" xr:uid="{00000000-0005-0000-0000-00007B7E0000}"/>
    <cellStyle name="Normal 4 5 3" xfId="32299" xr:uid="{00000000-0005-0000-0000-00007C7E0000}"/>
    <cellStyle name="Normal 4 5 3 2" xfId="32300" xr:uid="{00000000-0005-0000-0000-00007D7E0000}"/>
    <cellStyle name="Normal 4 5 3 2 2" xfId="32301" xr:uid="{00000000-0005-0000-0000-00007E7E0000}"/>
    <cellStyle name="Normal 4 5 3 3" xfId="32302" xr:uid="{00000000-0005-0000-0000-00007F7E0000}"/>
    <cellStyle name="Normal 4 5 3 3 2" xfId="32303" xr:uid="{00000000-0005-0000-0000-0000807E0000}"/>
    <cellStyle name="Normal 4 5 3 4" xfId="32304" xr:uid="{00000000-0005-0000-0000-0000817E0000}"/>
    <cellStyle name="Normal 4 5 4" xfId="32305" xr:uid="{00000000-0005-0000-0000-0000827E0000}"/>
    <cellStyle name="Normal 4 5 4 2" xfId="32306" xr:uid="{00000000-0005-0000-0000-0000837E0000}"/>
    <cellStyle name="Normal 4 5 5" xfId="32307" xr:uid="{00000000-0005-0000-0000-0000847E0000}"/>
    <cellStyle name="Normal 4 5 5 2" xfId="32308" xr:uid="{00000000-0005-0000-0000-0000857E0000}"/>
    <cellStyle name="Normal 4 5 6" xfId="32309" xr:uid="{00000000-0005-0000-0000-0000867E0000}"/>
    <cellStyle name="Normal 4 6" xfId="32310" xr:uid="{00000000-0005-0000-0000-0000877E0000}"/>
    <cellStyle name="Normal 4 6 2" xfId="32311" xr:uid="{00000000-0005-0000-0000-0000887E0000}"/>
    <cellStyle name="Normal 4 6 2 2" xfId="32312" xr:uid="{00000000-0005-0000-0000-0000897E0000}"/>
    <cellStyle name="Normal 4 6 2 2 2" xfId="32313" xr:uid="{00000000-0005-0000-0000-00008A7E0000}"/>
    <cellStyle name="Normal 4 6 2 3" xfId="32314" xr:uid="{00000000-0005-0000-0000-00008B7E0000}"/>
    <cellStyle name="Normal 4 6 2 3 2" xfId="32315" xr:uid="{00000000-0005-0000-0000-00008C7E0000}"/>
    <cellStyle name="Normal 4 6 2 4" xfId="32316" xr:uid="{00000000-0005-0000-0000-00008D7E0000}"/>
    <cellStyle name="Normal 4 6 3" xfId="32317" xr:uid="{00000000-0005-0000-0000-00008E7E0000}"/>
    <cellStyle name="Normal 4 6 3 2" xfId="32318" xr:uid="{00000000-0005-0000-0000-00008F7E0000}"/>
    <cellStyle name="Normal 4 6 4" xfId="32319" xr:uid="{00000000-0005-0000-0000-0000907E0000}"/>
    <cellStyle name="Normal 4 6 4 2" xfId="32320" xr:uid="{00000000-0005-0000-0000-0000917E0000}"/>
    <cellStyle name="Normal 4 6 5" xfId="32321" xr:uid="{00000000-0005-0000-0000-0000927E0000}"/>
    <cellStyle name="Normal 4 7" xfId="32322" xr:uid="{00000000-0005-0000-0000-0000937E0000}"/>
    <cellStyle name="Normal 4 7 2" xfId="32323" xr:uid="{00000000-0005-0000-0000-0000947E0000}"/>
    <cellStyle name="Normal 4 7 2 2" xfId="32324" xr:uid="{00000000-0005-0000-0000-0000957E0000}"/>
    <cellStyle name="Normal 4 7 3" xfId="32325" xr:uid="{00000000-0005-0000-0000-0000967E0000}"/>
    <cellStyle name="Normal 4 7 3 2" xfId="32326" xr:uid="{00000000-0005-0000-0000-0000977E0000}"/>
    <cellStyle name="Normal 4 7 4" xfId="32327" xr:uid="{00000000-0005-0000-0000-0000987E0000}"/>
    <cellStyle name="Normal 4 8" xfId="32328" xr:uid="{00000000-0005-0000-0000-0000997E0000}"/>
    <cellStyle name="Normal 4 8 2" xfId="32329" xr:uid="{00000000-0005-0000-0000-00009A7E0000}"/>
    <cellStyle name="Normal 4 9" xfId="32330" xr:uid="{00000000-0005-0000-0000-00009B7E0000}"/>
    <cellStyle name="Normal 4 9 2" xfId="32331" xr:uid="{00000000-0005-0000-0000-00009C7E0000}"/>
    <cellStyle name="Normal 4_egpp shanusi" xfId="32332" xr:uid="{00000000-0005-0000-0000-00009D7E0000}"/>
    <cellStyle name="Normal 40" xfId="32333" xr:uid="{00000000-0005-0000-0000-00009E7E0000}"/>
    <cellStyle name="Normal 40 2" xfId="32334" xr:uid="{00000000-0005-0000-0000-00009F7E0000}"/>
    <cellStyle name="Normal 41" xfId="32335" xr:uid="{00000000-0005-0000-0000-0000A07E0000}"/>
    <cellStyle name="Normal 41 2" xfId="32336" xr:uid="{00000000-0005-0000-0000-0000A17E0000}"/>
    <cellStyle name="Normal 41 3" xfId="32337" xr:uid="{00000000-0005-0000-0000-0000A27E0000}"/>
    <cellStyle name="Normal 42" xfId="32338" xr:uid="{00000000-0005-0000-0000-0000A37E0000}"/>
    <cellStyle name="Normal 42 2" xfId="32339" xr:uid="{00000000-0005-0000-0000-0000A47E0000}"/>
    <cellStyle name="Normal 43" xfId="32340" xr:uid="{00000000-0005-0000-0000-0000A57E0000}"/>
    <cellStyle name="Normal 44" xfId="32341" xr:uid="{00000000-0005-0000-0000-0000A67E0000}"/>
    <cellStyle name="Normal 45" xfId="32342" xr:uid="{00000000-0005-0000-0000-0000A77E0000}"/>
    <cellStyle name="Normal 46" xfId="32343" xr:uid="{00000000-0005-0000-0000-0000A87E0000}"/>
    <cellStyle name="Normal 47" xfId="32344" xr:uid="{00000000-0005-0000-0000-0000A97E0000}"/>
    <cellStyle name="Normal 47 2" xfId="32345" xr:uid="{00000000-0005-0000-0000-0000AA7E0000}"/>
    <cellStyle name="Normal 48" xfId="32346" xr:uid="{00000000-0005-0000-0000-0000AB7E0000}"/>
    <cellStyle name="Normal 48 2" xfId="32347" xr:uid="{00000000-0005-0000-0000-0000AC7E0000}"/>
    <cellStyle name="Normal 49" xfId="32348" xr:uid="{00000000-0005-0000-0000-0000AD7E0000}"/>
    <cellStyle name="Normal 49 2" xfId="32349" xr:uid="{00000000-0005-0000-0000-0000AE7E0000}"/>
    <cellStyle name="Normal 5" xfId="32350" xr:uid="{00000000-0005-0000-0000-0000AF7E0000}"/>
    <cellStyle name="Normal 5 10" xfId="32351" xr:uid="{00000000-0005-0000-0000-0000B07E0000}"/>
    <cellStyle name="Normal 5 11" xfId="32352" xr:uid="{00000000-0005-0000-0000-0000B17E0000}"/>
    <cellStyle name="Normal 5 12" xfId="32353" xr:uid="{00000000-0005-0000-0000-0000B27E0000}"/>
    <cellStyle name="Normal 5 13" xfId="32354" xr:uid="{00000000-0005-0000-0000-0000B37E0000}"/>
    <cellStyle name="Normal 5 14" xfId="32355" xr:uid="{00000000-0005-0000-0000-0000B47E0000}"/>
    <cellStyle name="Normal 5 15" xfId="32356" xr:uid="{00000000-0005-0000-0000-0000B57E0000}"/>
    <cellStyle name="Normal 5 16" xfId="32357" xr:uid="{00000000-0005-0000-0000-0000B67E0000}"/>
    <cellStyle name="Normal 5 17" xfId="32358" xr:uid="{00000000-0005-0000-0000-0000B77E0000}"/>
    <cellStyle name="Normal 5 18" xfId="32359" xr:uid="{00000000-0005-0000-0000-0000B87E0000}"/>
    <cellStyle name="Normal 5 19" xfId="32360" xr:uid="{00000000-0005-0000-0000-0000B97E0000}"/>
    <cellStyle name="Normal 5 2" xfId="32361" xr:uid="{00000000-0005-0000-0000-0000BA7E0000}"/>
    <cellStyle name="Normal 5 2 2" xfId="32362" xr:uid="{00000000-0005-0000-0000-0000BB7E0000}"/>
    <cellStyle name="Normal 5 2 2 2" xfId="32363" xr:uid="{00000000-0005-0000-0000-0000BC7E0000}"/>
    <cellStyle name="Normal 5 2 2 2 2" xfId="32364" xr:uid="{00000000-0005-0000-0000-0000BD7E0000}"/>
    <cellStyle name="Normal 5 2 2 2 2 2" xfId="32365" xr:uid="{00000000-0005-0000-0000-0000BE7E0000}"/>
    <cellStyle name="Normal 5 2 2 2 2 2 2" xfId="32366" xr:uid="{00000000-0005-0000-0000-0000BF7E0000}"/>
    <cellStyle name="Normal 5 2 2 2 2 3" xfId="32367" xr:uid="{00000000-0005-0000-0000-0000C07E0000}"/>
    <cellStyle name="Normal 5 2 2 2 2 3 2" xfId="32368" xr:uid="{00000000-0005-0000-0000-0000C17E0000}"/>
    <cellStyle name="Normal 5 2 2 2 2 4" xfId="32369" xr:uid="{00000000-0005-0000-0000-0000C27E0000}"/>
    <cellStyle name="Normal 5 2 2 2 3" xfId="32370" xr:uid="{00000000-0005-0000-0000-0000C37E0000}"/>
    <cellStyle name="Normal 5 2 2 2 3 2" xfId="32371" xr:uid="{00000000-0005-0000-0000-0000C47E0000}"/>
    <cellStyle name="Normal 5 2 2 2 4" xfId="32372" xr:uid="{00000000-0005-0000-0000-0000C57E0000}"/>
    <cellStyle name="Normal 5 2 2 2 4 2" xfId="32373" xr:uid="{00000000-0005-0000-0000-0000C67E0000}"/>
    <cellStyle name="Normal 5 2 2 2 5" xfId="32374" xr:uid="{00000000-0005-0000-0000-0000C77E0000}"/>
    <cellStyle name="Normal 5 2 2 3" xfId="32375" xr:uid="{00000000-0005-0000-0000-0000C87E0000}"/>
    <cellStyle name="Normal 5 2 2 3 2" xfId="32376" xr:uid="{00000000-0005-0000-0000-0000C97E0000}"/>
    <cellStyle name="Normal 5 2 2 3 2 2" xfId="32377" xr:uid="{00000000-0005-0000-0000-0000CA7E0000}"/>
    <cellStyle name="Normal 5 2 2 3 3" xfId="32378" xr:uid="{00000000-0005-0000-0000-0000CB7E0000}"/>
    <cellStyle name="Normal 5 2 2 3 3 2" xfId="32379" xr:uid="{00000000-0005-0000-0000-0000CC7E0000}"/>
    <cellStyle name="Normal 5 2 2 3 4" xfId="32380" xr:uid="{00000000-0005-0000-0000-0000CD7E0000}"/>
    <cellStyle name="Normal 5 2 2 4" xfId="32381" xr:uid="{00000000-0005-0000-0000-0000CE7E0000}"/>
    <cellStyle name="Normal 5 2 2 4 2" xfId="32382" xr:uid="{00000000-0005-0000-0000-0000CF7E0000}"/>
    <cellStyle name="Normal 5 2 2 5" xfId="32383" xr:uid="{00000000-0005-0000-0000-0000D07E0000}"/>
    <cellStyle name="Normal 5 2 2 5 2" xfId="32384" xr:uid="{00000000-0005-0000-0000-0000D17E0000}"/>
    <cellStyle name="Normal 5 2 2 6" xfId="32385" xr:uid="{00000000-0005-0000-0000-0000D27E0000}"/>
    <cellStyle name="Normal 5 2 3" xfId="32386" xr:uid="{00000000-0005-0000-0000-0000D37E0000}"/>
    <cellStyle name="Normal 5 2 3 2" xfId="32387" xr:uid="{00000000-0005-0000-0000-0000D47E0000}"/>
    <cellStyle name="Normal 5 2 3 2 2" xfId="32388" xr:uid="{00000000-0005-0000-0000-0000D57E0000}"/>
    <cellStyle name="Normal 5 2 3 2 2 2" xfId="32389" xr:uid="{00000000-0005-0000-0000-0000D67E0000}"/>
    <cellStyle name="Normal 5 2 3 2 3" xfId="32390" xr:uid="{00000000-0005-0000-0000-0000D77E0000}"/>
    <cellStyle name="Normal 5 2 3 2 3 2" xfId="32391" xr:uid="{00000000-0005-0000-0000-0000D87E0000}"/>
    <cellStyle name="Normal 5 2 3 2 4" xfId="32392" xr:uid="{00000000-0005-0000-0000-0000D97E0000}"/>
    <cellStyle name="Normal 5 2 3 3" xfId="32393" xr:uid="{00000000-0005-0000-0000-0000DA7E0000}"/>
    <cellStyle name="Normal 5 2 3 3 2" xfId="32394" xr:uid="{00000000-0005-0000-0000-0000DB7E0000}"/>
    <cellStyle name="Normal 5 2 3 4" xfId="32395" xr:uid="{00000000-0005-0000-0000-0000DC7E0000}"/>
    <cellStyle name="Normal 5 2 3 4 2" xfId="32396" xr:uid="{00000000-0005-0000-0000-0000DD7E0000}"/>
    <cellStyle name="Normal 5 2 3 5" xfId="32397" xr:uid="{00000000-0005-0000-0000-0000DE7E0000}"/>
    <cellStyle name="Normal 5 2 4" xfId="32398" xr:uid="{00000000-0005-0000-0000-0000DF7E0000}"/>
    <cellStyle name="Normal 5 2 4 2" xfId="32399" xr:uid="{00000000-0005-0000-0000-0000E07E0000}"/>
    <cellStyle name="Normal 5 2 4 2 2" xfId="32400" xr:uid="{00000000-0005-0000-0000-0000E17E0000}"/>
    <cellStyle name="Normal 5 2 4 3" xfId="32401" xr:uid="{00000000-0005-0000-0000-0000E27E0000}"/>
    <cellStyle name="Normal 5 2 4 3 2" xfId="32402" xr:uid="{00000000-0005-0000-0000-0000E37E0000}"/>
    <cellStyle name="Normal 5 2 4 4" xfId="32403" xr:uid="{00000000-0005-0000-0000-0000E47E0000}"/>
    <cellStyle name="Normal 5 2 5" xfId="32404" xr:uid="{00000000-0005-0000-0000-0000E57E0000}"/>
    <cellStyle name="Normal 5 2 5 2" xfId="32405" xr:uid="{00000000-0005-0000-0000-0000E67E0000}"/>
    <cellStyle name="Normal 5 2 6" xfId="32406" xr:uid="{00000000-0005-0000-0000-0000E77E0000}"/>
    <cellStyle name="Normal 5 2 6 2" xfId="32407" xr:uid="{00000000-0005-0000-0000-0000E87E0000}"/>
    <cellStyle name="Normal 5 2 7" xfId="32408" xr:uid="{00000000-0005-0000-0000-0000E97E0000}"/>
    <cellStyle name="Normal 5 20" xfId="32409" xr:uid="{00000000-0005-0000-0000-0000EA7E0000}"/>
    <cellStyle name="Normal 5 21" xfId="32410" xr:uid="{00000000-0005-0000-0000-0000EB7E0000}"/>
    <cellStyle name="Normal 5 22" xfId="32411" xr:uid="{00000000-0005-0000-0000-0000EC7E0000}"/>
    <cellStyle name="Normal 5 23" xfId="32412" xr:uid="{00000000-0005-0000-0000-0000ED7E0000}"/>
    <cellStyle name="Normal 5 24" xfId="32413" xr:uid="{00000000-0005-0000-0000-0000EE7E0000}"/>
    <cellStyle name="Normal 5 25" xfId="32414" xr:uid="{00000000-0005-0000-0000-0000EF7E0000}"/>
    <cellStyle name="Normal 5 26" xfId="32415" xr:uid="{00000000-0005-0000-0000-0000F07E0000}"/>
    <cellStyle name="Normal 5 27" xfId="32416" xr:uid="{00000000-0005-0000-0000-0000F17E0000}"/>
    <cellStyle name="Normal 5 28" xfId="32417" xr:uid="{00000000-0005-0000-0000-0000F27E0000}"/>
    <cellStyle name="Normal 5 3" xfId="32418" xr:uid="{00000000-0005-0000-0000-0000F37E0000}"/>
    <cellStyle name="Normal 5 3 2" xfId="32419" xr:uid="{00000000-0005-0000-0000-0000F47E0000}"/>
    <cellStyle name="Normal 5 3 2 2" xfId="32420" xr:uid="{00000000-0005-0000-0000-0000F57E0000}"/>
    <cellStyle name="Normal 5 3 2 2 2" xfId="32421" xr:uid="{00000000-0005-0000-0000-0000F67E0000}"/>
    <cellStyle name="Normal 5 3 2 2 2 2" xfId="32422" xr:uid="{00000000-0005-0000-0000-0000F77E0000}"/>
    <cellStyle name="Normal 5 3 2 2 3" xfId="32423" xr:uid="{00000000-0005-0000-0000-0000F87E0000}"/>
    <cellStyle name="Normal 5 3 2 2 3 2" xfId="32424" xr:uid="{00000000-0005-0000-0000-0000F97E0000}"/>
    <cellStyle name="Normal 5 3 2 2 4" xfId="32425" xr:uid="{00000000-0005-0000-0000-0000FA7E0000}"/>
    <cellStyle name="Normal 5 3 2 3" xfId="32426" xr:uid="{00000000-0005-0000-0000-0000FB7E0000}"/>
    <cellStyle name="Normal 5 3 2 3 2" xfId="32427" xr:uid="{00000000-0005-0000-0000-0000FC7E0000}"/>
    <cellStyle name="Normal 5 3 2 4" xfId="32428" xr:uid="{00000000-0005-0000-0000-0000FD7E0000}"/>
    <cellStyle name="Normal 5 3 2 4 2" xfId="32429" xr:uid="{00000000-0005-0000-0000-0000FE7E0000}"/>
    <cellStyle name="Normal 5 3 2 5" xfId="32430" xr:uid="{00000000-0005-0000-0000-0000FF7E0000}"/>
    <cellStyle name="Normal 5 3 3" xfId="32431" xr:uid="{00000000-0005-0000-0000-0000007F0000}"/>
    <cellStyle name="Normal 5 3 3 2" xfId="32432" xr:uid="{00000000-0005-0000-0000-0000017F0000}"/>
    <cellStyle name="Normal 5 3 3 2 2" xfId="32433" xr:uid="{00000000-0005-0000-0000-0000027F0000}"/>
    <cellStyle name="Normal 5 3 3 3" xfId="32434" xr:uid="{00000000-0005-0000-0000-0000037F0000}"/>
    <cellStyle name="Normal 5 3 3 3 2" xfId="32435" xr:uid="{00000000-0005-0000-0000-0000047F0000}"/>
    <cellStyle name="Normal 5 3 3 4" xfId="32436" xr:uid="{00000000-0005-0000-0000-0000057F0000}"/>
    <cellStyle name="Normal 5 3 4" xfId="32437" xr:uid="{00000000-0005-0000-0000-0000067F0000}"/>
    <cellStyle name="Normal 5 3 4 2" xfId="32438" xr:uid="{00000000-0005-0000-0000-0000077F0000}"/>
    <cellStyle name="Normal 5 3 5" xfId="32439" xr:uid="{00000000-0005-0000-0000-0000087F0000}"/>
    <cellStyle name="Normal 5 3 5 2" xfId="32440" xr:uid="{00000000-0005-0000-0000-0000097F0000}"/>
    <cellStyle name="Normal 5 3 6" xfId="32441" xr:uid="{00000000-0005-0000-0000-00000A7F0000}"/>
    <cellStyle name="Normal 5 4" xfId="32442" xr:uid="{00000000-0005-0000-0000-00000B7F0000}"/>
    <cellStyle name="Normal 5 4 2" xfId="32443" xr:uid="{00000000-0005-0000-0000-00000C7F0000}"/>
    <cellStyle name="Normal 5 4 2 2" xfId="32444" xr:uid="{00000000-0005-0000-0000-00000D7F0000}"/>
    <cellStyle name="Normal 5 4 2 2 2" xfId="32445" xr:uid="{00000000-0005-0000-0000-00000E7F0000}"/>
    <cellStyle name="Normal 5 4 2 3" xfId="32446" xr:uid="{00000000-0005-0000-0000-00000F7F0000}"/>
    <cellStyle name="Normal 5 4 2 3 2" xfId="32447" xr:uid="{00000000-0005-0000-0000-0000107F0000}"/>
    <cellStyle name="Normal 5 4 2 4" xfId="32448" xr:uid="{00000000-0005-0000-0000-0000117F0000}"/>
    <cellStyle name="Normal 5 4 3" xfId="32449" xr:uid="{00000000-0005-0000-0000-0000127F0000}"/>
    <cellStyle name="Normal 5 4 3 2" xfId="32450" xr:uid="{00000000-0005-0000-0000-0000137F0000}"/>
    <cellStyle name="Normal 5 4 4" xfId="32451" xr:uid="{00000000-0005-0000-0000-0000147F0000}"/>
    <cellStyle name="Normal 5 4 4 2" xfId="32452" xr:uid="{00000000-0005-0000-0000-0000157F0000}"/>
    <cellStyle name="Normal 5 4 5" xfId="32453" xr:uid="{00000000-0005-0000-0000-0000167F0000}"/>
    <cellStyle name="Normal 5 5" xfId="32454" xr:uid="{00000000-0005-0000-0000-0000177F0000}"/>
    <cellStyle name="Normal 5 5 2" xfId="32455" xr:uid="{00000000-0005-0000-0000-0000187F0000}"/>
    <cellStyle name="Normal 5 5 2 2" xfId="32456" xr:uid="{00000000-0005-0000-0000-0000197F0000}"/>
    <cellStyle name="Normal 5 5 3" xfId="32457" xr:uid="{00000000-0005-0000-0000-00001A7F0000}"/>
    <cellStyle name="Normal 5 5 3 2" xfId="32458" xr:uid="{00000000-0005-0000-0000-00001B7F0000}"/>
    <cellStyle name="Normal 5 5 4" xfId="32459" xr:uid="{00000000-0005-0000-0000-00001C7F0000}"/>
    <cellStyle name="Normal 5 6" xfId="32460" xr:uid="{00000000-0005-0000-0000-00001D7F0000}"/>
    <cellStyle name="Normal 5 6 2" xfId="32461" xr:uid="{00000000-0005-0000-0000-00001E7F0000}"/>
    <cellStyle name="Normal 5 7" xfId="32462" xr:uid="{00000000-0005-0000-0000-00001F7F0000}"/>
    <cellStyle name="Normal 5 7 2" xfId="32463" xr:uid="{00000000-0005-0000-0000-0000207F0000}"/>
    <cellStyle name="Normal 5 8" xfId="32464" xr:uid="{00000000-0005-0000-0000-0000217F0000}"/>
    <cellStyle name="Normal 5 9" xfId="32465" xr:uid="{00000000-0005-0000-0000-0000227F0000}"/>
    <cellStyle name="Normal 5_PB. 2011 - Versión Final 30 Dic al Comité de Grencia" xfId="32466" xr:uid="{00000000-0005-0000-0000-0000237F0000}"/>
    <cellStyle name="Normal 50" xfId="32467" xr:uid="{00000000-0005-0000-0000-0000247F0000}"/>
    <cellStyle name="Normal 50 2" xfId="32468" xr:uid="{00000000-0005-0000-0000-0000257F0000}"/>
    <cellStyle name="Normal 51" xfId="32469" xr:uid="{00000000-0005-0000-0000-0000267F0000}"/>
    <cellStyle name="Normal 51 2" xfId="32470" xr:uid="{00000000-0005-0000-0000-0000277F0000}"/>
    <cellStyle name="Normal 52" xfId="32471" xr:uid="{00000000-0005-0000-0000-0000287F0000}"/>
    <cellStyle name="Normal 52 2" xfId="32472" xr:uid="{00000000-0005-0000-0000-0000297F0000}"/>
    <cellStyle name="Normal 53" xfId="32473" xr:uid="{00000000-0005-0000-0000-00002A7F0000}"/>
    <cellStyle name="Normal 53 2" xfId="32474" xr:uid="{00000000-0005-0000-0000-00002B7F0000}"/>
    <cellStyle name="Normal 54" xfId="32475" xr:uid="{00000000-0005-0000-0000-00002C7F0000}"/>
    <cellStyle name="Normal 54 2" xfId="32476" xr:uid="{00000000-0005-0000-0000-00002D7F0000}"/>
    <cellStyle name="Normal 55" xfId="32477" xr:uid="{00000000-0005-0000-0000-00002E7F0000}"/>
    <cellStyle name="Normal 55 2" xfId="32478" xr:uid="{00000000-0005-0000-0000-00002F7F0000}"/>
    <cellStyle name="Normal 56" xfId="32479" xr:uid="{00000000-0005-0000-0000-0000307F0000}"/>
    <cellStyle name="Normal 56 2" xfId="32480" xr:uid="{00000000-0005-0000-0000-0000317F0000}"/>
    <cellStyle name="Normal 57" xfId="32481" xr:uid="{00000000-0005-0000-0000-0000327F0000}"/>
    <cellStyle name="Normal 57 2" xfId="32482" xr:uid="{00000000-0005-0000-0000-0000337F0000}"/>
    <cellStyle name="Normal 58" xfId="32483" xr:uid="{00000000-0005-0000-0000-0000347F0000}"/>
    <cellStyle name="Normal 58 2" xfId="32484" xr:uid="{00000000-0005-0000-0000-0000357F0000}"/>
    <cellStyle name="Normal 59" xfId="32485" xr:uid="{00000000-0005-0000-0000-0000367F0000}"/>
    <cellStyle name="Normal 6" xfId="32486" xr:uid="{00000000-0005-0000-0000-0000377F0000}"/>
    <cellStyle name="Normal 6 10" xfId="32487" xr:uid="{00000000-0005-0000-0000-0000387F0000}"/>
    <cellStyle name="Normal 6 11" xfId="32488" xr:uid="{00000000-0005-0000-0000-0000397F0000}"/>
    <cellStyle name="Normal 6 12" xfId="32489" xr:uid="{00000000-0005-0000-0000-00003A7F0000}"/>
    <cellStyle name="Normal 6 13" xfId="32490" xr:uid="{00000000-0005-0000-0000-00003B7F0000}"/>
    <cellStyle name="Normal 6 14" xfId="32491" xr:uid="{00000000-0005-0000-0000-00003C7F0000}"/>
    <cellStyle name="Normal 6 15" xfId="32492" xr:uid="{00000000-0005-0000-0000-00003D7F0000}"/>
    <cellStyle name="Normal 6 16" xfId="32493" xr:uid="{00000000-0005-0000-0000-00003E7F0000}"/>
    <cellStyle name="Normal 6 17" xfId="32494" xr:uid="{00000000-0005-0000-0000-00003F7F0000}"/>
    <cellStyle name="Normal 6 18" xfId="32495" xr:uid="{00000000-0005-0000-0000-0000407F0000}"/>
    <cellStyle name="Normal 6 19" xfId="32496" xr:uid="{00000000-0005-0000-0000-0000417F0000}"/>
    <cellStyle name="Normal 6 2" xfId="32497" xr:uid="{00000000-0005-0000-0000-0000427F0000}"/>
    <cellStyle name="Normal 6 2 10" xfId="32498" xr:uid="{00000000-0005-0000-0000-0000437F0000}"/>
    <cellStyle name="Normal 6 2 2" xfId="32499" xr:uid="{00000000-0005-0000-0000-0000447F0000}"/>
    <cellStyle name="Normal 6 2 2 2" xfId="32500" xr:uid="{00000000-0005-0000-0000-0000457F0000}"/>
    <cellStyle name="Normal 6 2 2 2 2" xfId="32501" xr:uid="{00000000-0005-0000-0000-0000467F0000}"/>
    <cellStyle name="Normal 6 2 2 2 2 2" xfId="32502" xr:uid="{00000000-0005-0000-0000-0000477F0000}"/>
    <cellStyle name="Normal 6 2 2 2 2 2 2" xfId="32503" xr:uid="{00000000-0005-0000-0000-0000487F0000}"/>
    <cellStyle name="Normal 6 2 2 2 2 2 2 2" xfId="32504" xr:uid="{00000000-0005-0000-0000-0000497F0000}"/>
    <cellStyle name="Normal 6 2 2 2 2 2 3" xfId="32505" xr:uid="{00000000-0005-0000-0000-00004A7F0000}"/>
    <cellStyle name="Normal 6 2 2 2 2 2 3 2" xfId="32506" xr:uid="{00000000-0005-0000-0000-00004B7F0000}"/>
    <cellStyle name="Normal 6 2 2 2 2 2 4" xfId="32507" xr:uid="{00000000-0005-0000-0000-00004C7F0000}"/>
    <cellStyle name="Normal 6 2 2 2 2 3" xfId="32508" xr:uid="{00000000-0005-0000-0000-00004D7F0000}"/>
    <cellStyle name="Normal 6 2 2 2 2 3 2" xfId="32509" xr:uid="{00000000-0005-0000-0000-00004E7F0000}"/>
    <cellStyle name="Normal 6 2 2 2 2 4" xfId="32510" xr:uid="{00000000-0005-0000-0000-00004F7F0000}"/>
    <cellStyle name="Normal 6 2 2 2 2 4 2" xfId="32511" xr:uid="{00000000-0005-0000-0000-0000507F0000}"/>
    <cellStyle name="Normal 6 2 2 2 2 5" xfId="32512" xr:uid="{00000000-0005-0000-0000-0000517F0000}"/>
    <cellStyle name="Normal 6 2 2 2 3" xfId="32513" xr:uid="{00000000-0005-0000-0000-0000527F0000}"/>
    <cellStyle name="Normal 6 2 2 2 3 2" xfId="32514" xr:uid="{00000000-0005-0000-0000-0000537F0000}"/>
    <cellStyle name="Normal 6 2 2 2 3 2 2" xfId="32515" xr:uid="{00000000-0005-0000-0000-0000547F0000}"/>
    <cellStyle name="Normal 6 2 2 2 3 3" xfId="32516" xr:uid="{00000000-0005-0000-0000-0000557F0000}"/>
    <cellStyle name="Normal 6 2 2 2 3 3 2" xfId="32517" xr:uid="{00000000-0005-0000-0000-0000567F0000}"/>
    <cellStyle name="Normal 6 2 2 2 3 4" xfId="32518" xr:uid="{00000000-0005-0000-0000-0000577F0000}"/>
    <cellStyle name="Normal 6 2 2 2 4" xfId="32519" xr:uid="{00000000-0005-0000-0000-0000587F0000}"/>
    <cellStyle name="Normal 6 2 2 2 4 2" xfId="32520" xr:uid="{00000000-0005-0000-0000-0000597F0000}"/>
    <cellStyle name="Normal 6 2 2 2 5" xfId="32521" xr:uid="{00000000-0005-0000-0000-00005A7F0000}"/>
    <cellStyle name="Normal 6 2 2 2 5 2" xfId="32522" xr:uid="{00000000-0005-0000-0000-00005B7F0000}"/>
    <cellStyle name="Normal 6 2 2 2 6" xfId="32523" xr:uid="{00000000-0005-0000-0000-00005C7F0000}"/>
    <cellStyle name="Normal 6 2 2 3" xfId="32524" xr:uid="{00000000-0005-0000-0000-00005D7F0000}"/>
    <cellStyle name="Normal 6 2 2 3 2" xfId="32525" xr:uid="{00000000-0005-0000-0000-00005E7F0000}"/>
    <cellStyle name="Normal 6 2 2 3 2 2" xfId="32526" xr:uid="{00000000-0005-0000-0000-00005F7F0000}"/>
    <cellStyle name="Normal 6 2 2 3 2 2 2" xfId="32527" xr:uid="{00000000-0005-0000-0000-0000607F0000}"/>
    <cellStyle name="Normal 6 2 2 3 2 3" xfId="32528" xr:uid="{00000000-0005-0000-0000-0000617F0000}"/>
    <cellStyle name="Normal 6 2 2 3 2 3 2" xfId="32529" xr:uid="{00000000-0005-0000-0000-0000627F0000}"/>
    <cellStyle name="Normal 6 2 2 3 2 4" xfId="32530" xr:uid="{00000000-0005-0000-0000-0000637F0000}"/>
    <cellStyle name="Normal 6 2 2 3 3" xfId="32531" xr:uid="{00000000-0005-0000-0000-0000647F0000}"/>
    <cellStyle name="Normal 6 2 2 3 3 2" xfId="32532" xr:uid="{00000000-0005-0000-0000-0000657F0000}"/>
    <cellStyle name="Normal 6 2 2 3 4" xfId="32533" xr:uid="{00000000-0005-0000-0000-0000667F0000}"/>
    <cellStyle name="Normal 6 2 2 3 4 2" xfId="32534" xr:uid="{00000000-0005-0000-0000-0000677F0000}"/>
    <cellStyle name="Normal 6 2 2 3 5" xfId="32535" xr:uid="{00000000-0005-0000-0000-0000687F0000}"/>
    <cellStyle name="Normal 6 2 2 4" xfId="32536" xr:uid="{00000000-0005-0000-0000-0000697F0000}"/>
    <cellStyle name="Normal 6 2 2 4 2" xfId="32537" xr:uid="{00000000-0005-0000-0000-00006A7F0000}"/>
    <cellStyle name="Normal 6 2 2 4 2 2" xfId="32538" xr:uid="{00000000-0005-0000-0000-00006B7F0000}"/>
    <cellStyle name="Normal 6 2 2 4 3" xfId="32539" xr:uid="{00000000-0005-0000-0000-00006C7F0000}"/>
    <cellStyle name="Normal 6 2 2 4 3 2" xfId="32540" xr:uid="{00000000-0005-0000-0000-00006D7F0000}"/>
    <cellStyle name="Normal 6 2 2 4 4" xfId="32541" xr:uid="{00000000-0005-0000-0000-00006E7F0000}"/>
    <cellStyle name="Normal 6 2 2 5" xfId="32542" xr:uid="{00000000-0005-0000-0000-00006F7F0000}"/>
    <cellStyle name="Normal 6 2 2 5 2" xfId="32543" xr:uid="{00000000-0005-0000-0000-0000707F0000}"/>
    <cellStyle name="Normal 6 2 2 6" xfId="32544" xr:uid="{00000000-0005-0000-0000-0000717F0000}"/>
    <cellStyle name="Normal 6 2 2 6 2" xfId="32545" xr:uid="{00000000-0005-0000-0000-0000727F0000}"/>
    <cellStyle name="Normal 6 2 2 7" xfId="32546" xr:uid="{00000000-0005-0000-0000-0000737F0000}"/>
    <cellStyle name="Normal 6 2 3" xfId="32547" xr:uid="{00000000-0005-0000-0000-0000747F0000}"/>
    <cellStyle name="Normal 6 2 3 2" xfId="32548" xr:uid="{00000000-0005-0000-0000-0000757F0000}"/>
    <cellStyle name="Normal 6 2 3 2 2" xfId="32549" xr:uid="{00000000-0005-0000-0000-0000767F0000}"/>
    <cellStyle name="Normal 6 2 3 2 2 2" xfId="32550" xr:uid="{00000000-0005-0000-0000-0000777F0000}"/>
    <cellStyle name="Normal 6 2 3 2 2 2 2" xfId="32551" xr:uid="{00000000-0005-0000-0000-0000787F0000}"/>
    <cellStyle name="Normal 6 2 3 2 2 2 2 2" xfId="32552" xr:uid="{00000000-0005-0000-0000-0000797F0000}"/>
    <cellStyle name="Normal 6 2 3 2 2 2 3" xfId="32553" xr:uid="{00000000-0005-0000-0000-00007A7F0000}"/>
    <cellStyle name="Normal 6 2 3 2 2 2 3 2" xfId="32554" xr:uid="{00000000-0005-0000-0000-00007B7F0000}"/>
    <cellStyle name="Normal 6 2 3 2 2 2 4" xfId="32555" xr:uid="{00000000-0005-0000-0000-00007C7F0000}"/>
    <cellStyle name="Normal 6 2 3 2 2 3" xfId="32556" xr:uid="{00000000-0005-0000-0000-00007D7F0000}"/>
    <cellStyle name="Normal 6 2 3 2 2 3 2" xfId="32557" xr:uid="{00000000-0005-0000-0000-00007E7F0000}"/>
    <cellStyle name="Normal 6 2 3 2 2 4" xfId="32558" xr:uid="{00000000-0005-0000-0000-00007F7F0000}"/>
    <cellStyle name="Normal 6 2 3 2 2 4 2" xfId="32559" xr:uid="{00000000-0005-0000-0000-0000807F0000}"/>
    <cellStyle name="Normal 6 2 3 2 2 5" xfId="32560" xr:uid="{00000000-0005-0000-0000-0000817F0000}"/>
    <cellStyle name="Normal 6 2 3 2 3" xfId="32561" xr:uid="{00000000-0005-0000-0000-0000827F0000}"/>
    <cellStyle name="Normal 6 2 3 2 3 2" xfId="32562" xr:uid="{00000000-0005-0000-0000-0000837F0000}"/>
    <cellStyle name="Normal 6 2 3 2 3 2 2" xfId="32563" xr:uid="{00000000-0005-0000-0000-0000847F0000}"/>
    <cellStyle name="Normal 6 2 3 2 3 3" xfId="32564" xr:uid="{00000000-0005-0000-0000-0000857F0000}"/>
    <cellStyle name="Normal 6 2 3 2 3 3 2" xfId="32565" xr:uid="{00000000-0005-0000-0000-0000867F0000}"/>
    <cellStyle name="Normal 6 2 3 2 3 4" xfId="32566" xr:uid="{00000000-0005-0000-0000-0000877F0000}"/>
    <cellStyle name="Normal 6 2 3 2 4" xfId="32567" xr:uid="{00000000-0005-0000-0000-0000887F0000}"/>
    <cellStyle name="Normal 6 2 3 2 4 2" xfId="32568" xr:uid="{00000000-0005-0000-0000-0000897F0000}"/>
    <cellStyle name="Normal 6 2 3 2 5" xfId="32569" xr:uid="{00000000-0005-0000-0000-00008A7F0000}"/>
    <cellStyle name="Normal 6 2 3 2 5 2" xfId="32570" xr:uid="{00000000-0005-0000-0000-00008B7F0000}"/>
    <cellStyle name="Normal 6 2 3 2 6" xfId="32571" xr:uid="{00000000-0005-0000-0000-00008C7F0000}"/>
    <cellStyle name="Normal 6 2 3 3" xfId="32572" xr:uid="{00000000-0005-0000-0000-00008D7F0000}"/>
    <cellStyle name="Normal 6 2 3 3 2" xfId="32573" xr:uid="{00000000-0005-0000-0000-00008E7F0000}"/>
    <cellStyle name="Normal 6 2 3 3 2 2" xfId="32574" xr:uid="{00000000-0005-0000-0000-00008F7F0000}"/>
    <cellStyle name="Normal 6 2 3 3 2 2 2" xfId="32575" xr:uid="{00000000-0005-0000-0000-0000907F0000}"/>
    <cellStyle name="Normal 6 2 3 3 2 3" xfId="32576" xr:uid="{00000000-0005-0000-0000-0000917F0000}"/>
    <cellStyle name="Normal 6 2 3 3 2 3 2" xfId="32577" xr:uid="{00000000-0005-0000-0000-0000927F0000}"/>
    <cellStyle name="Normal 6 2 3 3 2 4" xfId="32578" xr:uid="{00000000-0005-0000-0000-0000937F0000}"/>
    <cellStyle name="Normal 6 2 3 3 3" xfId="32579" xr:uid="{00000000-0005-0000-0000-0000947F0000}"/>
    <cellStyle name="Normal 6 2 3 3 3 2" xfId="32580" xr:uid="{00000000-0005-0000-0000-0000957F0000}"/>
    <cellStyle name="Normal 6 2 3 3 4" xfId="32581" xr:uid="{00000000-0005-0000-0000-0000967F0000}"/>
    <cellStyle name="Normal 6 2 3 3 4 2" xfId="32582" xr:uid="{00000000-0005-0000-0000-0000977F0000}"/>
    <cellStyle name="Normal 6 2 3 3 5" xfId="32583" xr:uid="{00000000-0005-0000-0000-0000987F0000}"/>
    <cellStyle name="Normal 6 2 3 4" xfId="32584" xr:uid="{00000000-0005-0000-0000-0000997F0000}"/>
    <cellStyle name="Normal 6 2 3 4 2" xfId="32585" xr:uid="{00000000-0005-0000-0000-00009A7F0000}"/>
    <cellStyle name="Normal 6 2 3 4 2 2" xfId="32586" xr:uid="{00000000-0005-0000-0000-00009B7F0000}"/>
    <cellStyle name="Normal 6 2 3 4 3" xfId="32587" xr:uid="{00000000-0005-0000-0000-00009C7F0000}"/>
    <cellStyle name="Normal 6 2 3 4 3 2" xfId="32588" xr:uid="{00000000-0005-0000-0000-00009D7F0000}"/>
    <cellStyle name="Normal 6 2 3 4 4" xfId="32589" xr:uid="{00000000-0005-0000-0000-00009E7F0000}"/>
    <cellStyle name="Normal 6 2 3 5" xfId="32590" xr:uid="{00000000-0005-0000-0000-00009F7F0000}"/>
    <cellStyle name="Normal 6 2 3 5 2" xfId="32591" xr:uid="{00000000-0005-0000-0000-0000A07F0000}"/>
    <cellStyle name="Normal 6 2 3 6" xfId="32592" xr:uid="{00000000-0005-0000-0000-0000A17F0000}"/>
    <cellStyle name="Normal 6 2 3 6 2" xfId="32593" xr:uid="{00000000-0005-0000-0000-0000A27F0000}"/>
    <cellStyle name="Normal 6 2 3 7" xfId="32594" xr:uid="{00000000-0005-0000-0000-0000A37F0000}"/>
    <cellStyle name="Normal 6 2 4" xfId="32595" xr:uid="{00000000-0005-0000-0000-0000A47F0000}"/>
    <cellStyle name="Normal 6 2 4 2" xfId="32596" xr:uid="{00000000-0005-0000-0000-0000A57F0000}"/>
    <cellStyle name="Normal 6 2 4 2 2" xfId="32597" xr:uid="{00000000-0005-0000-0000-0000A67F0000}"/>
    <cellStyle name="Normal 6 2 4 2 2 2" xfId="32598" xr:uid="{00000000-0005-0000-0000-0000A77F0000}"/>
    <cellStyle name="Normal 6 2 4 2 2 2 2" xfId="32599" xr:uid="{00000000-0005-0000-0000-0000A87F0000}"/>
    <cellStyle name="Normal 6 2 4 2 2 3" xfId="32600" xr:uid="{00000000-0005-0000-0000-0000A97F0000}"/>
    <cellStyle name="Normal 6 2 4 2 2 3 2" xfId="32601" xr:uid="{00000000-0005-0000-0000-0000AA7F0000}"/>
    <cellStyle name="Normal 6 2 4 2 2 4" xfId="32602" xr:uid="{00000000-0005-0000-0000-0000AB7F0000}"/>
    <cellStyle name="Normal 6 2 4 2 3" xfId="32603" xr:uid="{00000000-0005-0000-0000-0000AC7F0000}"/>
    <cellStyle name="Normal 6 2 4 2 3 2" xfId="32604" xr:uid="{00000000-0005-0000-0000-0000AD7F0000}"/>
    <cellStyle name="Normal 6 2 4 2 4" xfId="32605" xr:uid="{00000000-0005-0000-0000-0000AE7F0000}"/>
    <cellStyle name="Normal 6 2 4 2 4 2" xfId="32606" xr:uid="{00000000-0005-0000-0000-0000AF7F0000}"/>
    <cellStyle name="Normal 6 2 4 2 5" xfId="32607" xr:uid="{00000000-0005-0000-0000-0000B07F0000}"/>
    <cellStyle name="Normal 6 2 4 3" xfId="32608" xr:uid="{00000000-0005-0000-0000-0000B17F0000}"/>
    <cellStyle name="Normal 6 2 4 3 2" xfId="32609" xr:uid="{00000000-0005-0000-0000-0000B27F0000}"/>
    <cellStyle name="Normal 6 2 4 3 2 2" xfId="32610" xr:uid="{00000000-0005-0000-0000-0000B37F0000}"/>
    <cellStyle name="Normal 6 2 4 3 3" xfId="32611" xr:uid="{00000000-0005-0000-0000-0000B47F0000}"/>
    <cellStyle name="Normal 6 2 4 3 3 2" xfId="32612" xr:uid="{00000000-0005-0000-0000-0000B57F0000}"/>
    <cellStyle name="Normal 6 2 4 3 4" xfId="32613" xr:uid="{00000000-0005-0000-0000-0000B67F0000}"/>
    <cellStyle name="Normal 6 2 4 4" xfId="32614" xr:uid="{00000000-0005-0000-0000-0000B77F0000}"/>
    <cellStyle name="Normal 6 2 4 4 2" xfId="32615" xr:uid="{00000000-0005-0000-0000-0000B87F0000}"/>
    <cellStyle name="Normal 6 2 4 5" xfId="32616" xr:uid="{00000000-0005-0000-0000-0000B97F0000}"/>
    <cellStyle name="Normal 6 2 4 5 2" xfId="32617" xr:uid="{00000000-0005-0000-0000-0000BA7F0000}"/>
    <cellStyle name="Normal 6 2 4 6" xfId="32618" xr:uid="{00000000-0005-0000-0000-0000BB7F0000}"/>
    <cellStyle name="Normal 6 2 5" xfId="32619" xr:uid="{00000000-0005-0000-0000-0000BC7F0000}"/>
    <cellStyle name="Normal 6 2 5 2" xfId="32620" xr:uid="{00000000-0005-0000-0000-0000BD7F0000}"/>
    <cellStyle name="Normal 6 2 5 2 2" xfId="32621" xr:uid="{00000000-0005-0000-0000-0000BE7F0000}"/>
    <cellStyle name="Normal 6 2 5 2 2 2" xfId="32622" xr:uid="{00000000-0005-0000-0000-0000BF7F0000}"/>
    <cellStyle name="Normal 6 2 5 2 3" xfId="32623" xr:uid="{00000000-0005-0000-0000-0000C07F0000}"/>
    <cellStyle name="Normal 6 2 5 2 3 2" xfId="32624" xr:uid="{00000000-0005-0000-0000-0000C17F0000}"/>
    <cellStyle name="Normal 6 2 5 2 4" xfId="32625" xr:uid="{00000000-0005-0000-0000-0000C27F0000}"/>
    <cellStyle name="Normal 6 2 5 3" xfId="32626" xr:uid="{00000000-0005-0000-0000-0000C37F0000}"/>
    <cellStyle name="Normal 6 2 5 3 2" xfId="32627" xr:uid="{00000000-0005-0000-0000-0000C47F0000}"/>
    <cellStyle name="Normal 6 2 5 4" xfId="32628" xr:uid="{00000000-0005-0000-0000-0000C57F0000}"/>
    <cellStyle name="Normal 6 2 5 4 2" xfId="32629" xr:uid="{00000000-0005-0000-0000-0000C67F0000}"/>
    <cellStyle name="Normal 6 2 5 5" xfId="32630" xr:uid="{00000000-0005-0000-0000-0000C77F0000}"/>
    <cellStyle name="Normal 6 2 6" xfId="32631" xr:uid="{00000000-0005-0000-0000-0000C87F0000}"/>
    <cellStyle name="Normal 6 2 6 2" xfId="32632" xr:uid="{00000000-0005-0000-0000-0000C97F0000}"/>
    <cellStyle name="Normal 6 2 6 2 2" xfId="32633" xr:uid="{00000000-0005-0000-0000-0000CA7F0000}"/>
    <cellStyle name="Normal 6 2 6 3" xfId="32634" xr:uid="{00000000-0005-0000-0000-0000CB7F0000}"/>
    <cellStyle name="Normal 6 2 6 3 2" xfId="32635" xr:uid="{00000000-0005-0000-0000-0000CC7F0000}"/>
    <cellStyle name="Normal 6 2 6 4" xfId="32636" xr:uid="{00000000-0005-0000-0000-0000CD7F0000}"/>
    <cellStyle name="Normal 6 2 7" xfId="32637" xr:uid="{00000000-0005-0000-0000-0000CE7F0000}"/>
    <cellStyle name="Normal 6 2 7 2" xfId="32638" xr:uid="{00000000-0005-0000-0000-0000CF7F0000}"/>
    <cellStyle name="Normal 6 2 8" xfId="32639" xr:uid="{00000000-0005-0000-0000-0000D07F0000}"/>
    <cellStyle name="Normal 6 2 8 2" xfId="32640" xr:uid="{00000000-0005-0000-0000-0000D17F0000}"/>
    <cellStyle name="Normal 6 2 9" xfId="32641" xr:uid="{00000000-0005-0000-0000-0000D27F0000}"/>
    <cellStyle name="Normal 6 20" xfId="32642" xr:uid="{00000000-0005-0000-0000-0000D37F0000}"/>
    <cellStyle name="Normal 6 21" xfId="32643" xr:uid="{00000000-0005-0000-0000-0000D47F0000}"/>
    <cellStyle name="Normal 6 22" xfId="32644" xr:uid="{00000000-0005-0000-0000-0000D57F0000}"/>
    <cellStyle name="Normal 6 23" xfId="32645" xr:uid="{00000000-0005-0000-0000-0000D67F0000}"/>
    <cellStyle name="Normal 6 24" xfId="32646" xr:uid="{00000000-0005-0000-0000-0000D77F0000}"/>
    <cellStyle name="Normal 6 25" xfId="32647" xr:uid="{00000000-0005-0000-0000-0000D87F0000}"/>
    <cellStyle name="Normal 6 26" xfId="32648" xr:uid="{00000000-0005-0000-0000-0000D97F0000}"/>
    <cellStyle name="Normal 6 27" xfId="32649" xr:uid="{00000000-0005-0000-0000-0000DA7F0000}"/>
    <cellStyle name="Normal 6 28" xfId="32650" xr:uid="{00000000-0005-0000-0000-0000DB7F0000}"/>
    <cellStyle name="Normal 6 29" xfId="32651" xr:uid="{00000000-0005-0000-0000-0000DC7F0000}"/>
    <cellStyle name="Normal 6 3" xfId="32652" xr:uid="{00000000-0005-0000-0000-0000DD7F0000}"/>
    <cellStyle name="Normal 6 3 2" xfId="32653" xr:uid="{00000000-0005-0000-0000-0000DE7F0000}"/>
    <cellStyle name="Normal 6 3 2 2" xfId="32654" xr:uid="{00000000-0005-0000-0000-0000DF7F0000}"/>
    <cellStyle name="Normal 6 3 2 2 2" xfId="32655" xr:uid="{00000000-0005-0000-0000-0000E07F0000}"/>
    <cellStyle name="Normal 6 3 2 2 2 2" xfId="32656" xr:uid="{00000000-0005-0000-0000-0000E17F0000}"/>
    <cellStyle name="Normal 6 3 2 2 2 2 2" xfId="32657" xr:uid="{00000000-0005-0000-0000-0000E27F0000}"/>
    <cellStyle name="Normal 6 3 2 2 2 3" xfId="32658" xr:uid="{00000000-0005-0000-0000-0000E37F0000}"/>
    <cellStyle name="Normal 6 3 2 2 2 3 2" xfId="32659" xr:uid="{00000000-0005-0000-0000-0000E47F0000}"/>
    <cellStyle name="Normal 6 3 2 2 2 4" xfId="32660" xr:uid="{00000000-0005-0000-0000-0000E57F0000}"/>
    <cellStyle name="Normal 6 3 2 2 3" xfId="32661" xr:uid="{00000000-0005-0000-0000-0000E67F0000}"/>
    <cellStyle name="Normal 6 3 2 2 3 2" xfId="32662" xr:uid="{00000000-0005-0000-0000-0000E77F0000}"/>
    <cellStyle name="Normal 6 3 2 2 4" xfId="32663" xr:uid="{00000000-0005-0000-0000-0000E87F0000}"/>
    <cellStyle name="Normal 6 3 2 2 4 2" xfId="32664" xr:uid="{00000000-0005-0000-0000-0000E97F0000}"/>
    <cellStyle name="Normal 6 3 2 2 5" xfId="32665" xr:uid="{00000000-0005-0000-0000-0000EA7F0000}"/>
    <cellStyle name="Normal 6 3 2 3" xfId="32666" xr:uid="{00000000-0005-0000-0000-0000EB7F0000}"/>
    <cellStyle name="Normal 6 3 2 3 2" xfId="32667" xr:uid="{00000000-0005-0000-0000-0000EC7F0000}"/>
    <cellStyle name="Normal 6 3 2 3 2 2" xfId="32668" xr:uid="{00000000-0005-0000-0000-0000ED7F0000}"/>
    <cellStyle name="Normal 6 3 2 3 3" xfId="32669" xr:uid="{00000000-0005-0000-0000-0000EE7F0000}"/>
    <cellStyle name="Normal 6 3 2 3 3 2" xfId="32670" xr:uid="{00000000-0005-0000-0000-0000EF7F0000}"/>
    <cellStyle name="Normal 6 3 2 3 4" xfId="32671" xr:uid="{00000000-0005-0000-0000-0000F07F0000}"/>
    <cellStyle name="Normal 6 3 2 4" xfId="32672" xr:uid="{00000000-0005-0000-0000-0000F17F0000}"/>
    <cellStyle name="Normal 6 3 2 4 2" xfId="32673" xr:uid="{00000000-0005-0000-0000-0000F27F0000}"/>
    <cellStyle name="Normal 6 3 2 5" xfId="32674" xr:uid="{00000000-0005-0000-0000-0000F37F0000}"/>
    <cellStyle name="Normal 6 3 2 5 2" xfId="32675" xr:uid="{00000000-0005-0000-0000-0000F47F0000}"/>
    <cellStyle name="Normal 6 3 2 6" xfId="32676" xr:uid="{00000000-0005-0000-0000-0000F57F0000}"/>
    <cellStyle name="Normal 6 3 3" xfId="32677" xr:uid="{00000000-0005-0000-0000-0000F67F0000}"/>
    <cellStyle name="Normal 6 3 3 2" xfId="32678" xr:uid="{00000000-0005-0000-0000-0000F77F0000}"/>
    <cellStyle name="Normal 6 3 3 2 2" xfId="32679" xr:uid="{00000000-0005-0000-0000-0000F87F0000}"/>
    <cellStyle name="Normal 6 3 3 2 2 2" xfId="32680" xr:uid="{00000000-0005-0000-0000-0000F97F0000}"/>
    <cellStyle name="Normal 6 3 3 2 3" xfId="32681" xr:uid="{00000000-0005-0000-0000-0000FA7F0000}"/>
    <cellStyle name="Normal 6 3 3 2 3 2" xfId="32682" xr:uid="{00000000-0005-0000-0000-0000FB7F0000}"/>
    <cellStyle name="Normal 6 3 3 2 4" xfId="32683" xr:uid="{00000000-0005-0000-0000-0000FC7F0000}"/>
    <cellStyle name="Normal 6 3 3 3" xfId="32684" xr:uid="{00000000-0005-0000-0000-0000FD7F0000}"/>
    <cellStyle name="Normal 6 3 3 3 2" xfId="32685" xr:uid="{00000000-0005-0000-0000-0000FE7F0000}"/>
    <cellStyle name="Normal 6 3 3 4" xfId="32686" xr:uid="{00000000-0005-0000-0000-0000FF7F0000}"/>
    <cellStyle name="Normal 6 3 3 4 2" xfId="32687" xr:uid="{00000000-0005-0000-0000-000000800000}"/>
    <cellStyle name="Normal 6 3 3 5" xfId="32688" xr:uid="{00000000-0005-0000-0000-000001800000}"/>
    <cellStyle name="Normal 6 3 4" xfId="32689" xr:uid="{00000000-0005-0000-0000-000002800000}"/>
    <cellStyle name="Normal 6 3 4 2" xfId="32690" xr:uid="{00000000-0005-0000-0000-000003800000}"/>
    <cellStyle name="Normal 6 3 4 2 2" xfId="32691" xr:uid="{00000000-0005-0000-0000-000004800000}"/>
    <cellStyle name="Normal 6 3 4 3" xfId="32692" xr:uid="{00000000-0005-0000-0000-000005800000}"/>
    <cellStyle name="Normal 6 3 4 3 2" xfId="32693" xr:uid="{00000000-0005-0000-0000-000006800000}"/>
    <cellStyle name="Normal 6 3 4 4" xfId="32694" xr:uid="{00000000-0005-0000-0000-000007800000}"/>
    <cellStyle name="Normal 6 3 5" xfId="32695" xr:uid="{00000000-0005-0000-0000-000008800000}"/>
    <cellStyle name="Normal 6 3 5 2" xfId="32696" xr:uid="{00000000-0005-0000-0000-000009800000}"/>
    <cellStyle name="Normal 6 3 6" xfId="32697" xr:uid="{00000000-0005-0000-0000-00000A800000}"/>
    <cellStyle name="Normal 6 3 6 2" xfId="32698" xr:uid="{00000000-0005-0000-0000-00000B800000}"/>
    <cellStyle name="Normal 6 3 7" xfId="32699" xr:uid="{00000000-0005-0000-0000-00000C800000}"/>
    <cellStyle name="Normal 6 30" xfId="32700" xr:uid="{00000000-0005-0000-0000-00000D800000}"/>
    <cellStyle name="Normal 6 4" xfId="32701" xr:uid="{00000000-0005-0000-0000-00000E800000}"/>
    <cellStyle name="Normal 6 4 2" xfId="32702" xr:uid="{00000000-0005-0000-0000-00000F800000}"/>
    <cellStyle name="Normal 6 4 2 2" xfId="32703" xr:uid="{00000000-0005-0000-0000-000010800000}"/>
    <cellStyle name="Normal 6 4 2 2 2" xfId="32704" xr:uid="{00000000-0005-0000-0000-000011800000}"/>
    <cellStyle name="Normal 6 4 2 2 2 2" xfId="32705" xr:uid="{00000000-0005-0000-0000-000012800000}"/>
    <cellStyle name="Normal 6 4 2 2 3" xfId="32706" xr:uid="{00000000-0005-0000-0000-000013800000}"/>
    <cellStyle name="Normal 6 4 2 2 3 2" xfId="32707" xr:uid="{00000000-0005-0000-0000-000014800000}"/>
    <cellStyle name="Normal 6 4 2 2 4" xfId="32708" xr:uid="{00000000-0005-0000-0000-000015800000}"/>
    <cellStyle name="Normal 6 4 2 3" xfId="32709" xr:uid="{00000000-0005-0000-0000-000016800000}"/>
    <cellStyle name="Normal 6 4 2 3 2" xfId="32710" xr:uid="{00000000-0005-0000-0000-000017800000}"/>
    <cellStyle name="Normal 6 4 2 4" xfId="32711" xr:uid="{00000000-0005-0000-0000-000018800000}"/>
    <cellStyle name="Normal 6 4 2 4 2" xfId="32712" xr:uid="{00000000-0005-0000-0000-000019800000}"/>
    <cellStyle name="Normal 6 4 2 5" xfId="32713" xr:uid="{00000000-0005-0000-0000-00001A800000}"/>
    <cellStyle name="Normal 6 4 3" xfId="32714" xr:uid="{00000000-0005-0000-0000-00001B800000}"/>
    <cellStyle name="Normal 6 4 3 2" xfId="32715" xr:uid="{00000000-0005-0000-0000-00001C800000}"/>
    <cellStyle name="Normal 6 4 3 2 2" xfId="32716" xr:uid="{00000000-0005-0000-0000-00001D800000}"/>
    <cellStyle name="Normal 6 4 3 3" xfId="32717" xr:uid="{00000000-0005-0000-0000-00001E800000}"/>
    <cellStyle name="Normal 6 4 3 3 2" xfId="32718" xr:uid="{00000000-0005-0000-0000-00001F800000}"/>
    <cellStyle name="Normal 6 4 3 4" xfId="32719" xr:uid="{00000000-0005-0000-0000-000020800000}"/>
    <cellStyle name="Normal 6 4 4" xfId="32720" xr:uid="{00000000-0005-0000-0000-000021800000}"/>
    <cellStyle name="Normal 6 4 4 2" xfId="32721" xr:uid="{00000000-0005-0000-0000-000022800000}"/>
    <cellStyle name="Normal 6 4 5" xfId="32722" xr:uid="{00000000-0005-0000-0000-000023800000}"/>
    <cellStyle name="Normal 6 4 5 2" xfId="32723" xr:uid="{00000000-0005-0000-0000-000024800000}"/>
    <cellStyle name="Normal 6 4 6" xfId="32724" xr:uid="{00000000-0005-0000-0000-000025800000}"/>
    <cellStyle name="Normal 6 5" xfId="32725" xr:uid="{00000000-0005-0000-0000-000026800000}"/>
    <cellStyle name="Normal 6 5 2" xfId="32726" xr:uid="{00000000-0005-0000-0000-000027800000}"/>
    <cellStyle name="Normal 6 5 2 2" xfId="32727" xr:uid="{00000000-0005-0000-0000-000028800000}"/>
    <cellStyle name="Normal 6 5 2 2 2" xfId="32728" xr:uid="{00000000-0005-0000-0000-000029800000}"/>
    <cellStyle name="Normal 6 5 2 3" xfId="32729" xr:uid="{00000000-0005-0000-0000-00002A800000}"/>
    <cellStyle name="Normal 6 5 2 3 2" xfId="32730" xr:uid="{00000000-0005-0000-0000-00002B800000}"/>
    <cellStyle name="Normal 6 5 2 4" xfId="32731" xr:uid="{00000000-0005-0000-0000-00002C800000}"/>
    <cellStyle name="Normal 6 5 3" xfId="32732" xr:uid="{00000000-0005-0000-0000-00002D800000}"/>
    <cellStyle name="Normal 6 5 3 2" xfId="32733" xr:uid="{00000000-0005-0000-0000-00002E800000}"/>
    <cellStyle name="Normal 6 5 4" xfId="32734" xr:uid="{00000000-0005-0000-0000-00002F800000}"/>
    <cellStyle name="Normal 6 5 4 2" xfId="32735" xr:uid="{00000000-0005-0000-0000-000030800000}"/>
    <cellStyle name="Normal 6 5 5" xfId="32736" xr:uid="{00000000-0005-0000-0000-000031800000}"/>
    <cellStyle name="Normal 6 6" xfId="32737" xr:uid="{00000000-0005-0000-0000-000032800000}"/>
    <cellStyle name="Normal 6 6 2" xfId="32738" xr:uid="{00000000-0005-0000-0000-000033800000}"/>
    <cellStyle name="Normal 6 6 2 2" xfId="32739" xr:uid="{00000000-0005-0000-0000-000034800000}"/>
    <cellStyle name="Normal 6 6 3" xfId="32740" xr:uid="{00000000-0005-0000-0000-000035800000}"/>
    <cellStyle name="Normal 6 6 3 2" xfId="32741" xr:uid="{00000000-0005-0000-0000-000036800000}"/>
    <cellStyle name="Normal 6 6 4" xfId="32742" xr:uid="{00000000-0005-0000-0000-000037800000}"/>
    <cellStyle name="Normal 6 7" xfId="32743" xr:uid="{00000000-0005-0000-0000-000038800000}"/>
    <cellStyle name="Normal 6 7 2" xfId="32744" xr:uid="{00000000-0005-0000-0000-000039800000}"/>
    <cellStyle name="Normal 6 8" xfId="32745" xr:uid="{00000000-0005-0000-0000-00003A800000}"/>
    <cellStyle name="Normal 6 8 2" xfId="32746" xr:uid="{00000000-0005-0000-0000-00003B800000}"/>
    <cellStyle name="Normal 6 9" xfId="32747" xr:uid="{00000000-0005-0000-0000-00003C800000}"/>
    <cellStyle name="Normal 6_GRUPO PALMAS FC Y DEUDA A DIC 2010" xfId="32748" xr:uid="{00000000-0005-0000-0000-00003D800000}"/>
    <cellStyle name="Normal 60" xfId="32749" xr:uid="{00000000-0005-0000-0000-00003E800000}"/>
    <cellStyle name="Normal 61" xfId="32750" xr:uid="{00000000-0005-0000-0000-00003F800000}"/>
    <cellStyle name="Normal 62" xfId="32751" xr:uid="{00000000-0005-0000-0000-000040800000}"/>
    <cellStyle name="Normal 63" xfId="32752" xr:uid="{00000000-0005-0000-0000-000041800000}"/>
    <cellStyle name="Normal 64" xfId="32753" xr:uid="{00000000-0005-0000-0000-000042800000}"/>
    <cellStyle name="Normal 64 2" xfId="32754" xr:uid="{00000000-0005-0000-0000-000043800000}"/>
    <cellStyle name="Normal 65" xfId="32755" xr:uid="{00000000-0005-0000-0000-000044800000}"/>
    <cellStyle name="Normal 65 2" xfId="32756" xr:uid="{00000000-0005-0000-0000-000045800000}"/>
    <cellStyle name="Normal 66" xfId="32757" xr:uid="{00000000-0005-0000-0000-000046800000}"/>
    <cellStyle name="Normal 66 2" xfId="32758" xr:uid="{00000000-0005-0000-0000-000047800000}"/>
    <cellStyle name="Normal 67" xfId="32759" xr:uid="{00000000-0005-0000-0000-000048800000}"/>
    <cellStyle name="Normal 67 2" xfId="32760" xr:uid="{00000000-0005-0000-0000-000049800000}"/>
    <cellStyle name="Normal 68" xfId="32761" xr:uid="{00000000-0005-0000-0000-00004A800000}"/>
    <cellStyle name="Normal 68 2" xfId="32762" xr:uid="{00000000-0005-0000-0000-00004B800000}"/>
    <cellStyle name="Normal 69" xfId="32763" xr:uid="{00000000-0005-0000-0000-00004C800000}"/>
    <cellStyle name="Normal 69 2" xfId="32764" xr:uid="{00000000-0005-0000-0000-00004D800000}"/>
    <cellStyle name="Normal 7" xfId="32765" xr:uid="{00000000-0005-0000-0000-00004E800000}"/>
    <cellStyle name="Normal 7 10" xfId="32766" xr:uid="{00000000-0005-0000-0000-00004F800000}"/>
    <cellStyle name="Normal 7 10 2" xfId="32767" xr:uid="{00000000-0005-0000-0000-000050800000}"/>
    <cellStyle name="Normal 7 11" xfId="32768" xr:uid="{00000000-0005-0000-0000-000051800000}"/>
    <cellStyle name="Normal 7 2" xfId="32769" xr:uid="{00000000-0005-0000-0000-000052800000}"/>
    <cellStyle name="Normal 7 2 2" xfId="32770" xr:uid="{00000000-0005-0000-0000-000053800000}"/>
    <cellStyle name="Normal 7 2 2 2" xfId="32771" xr:uid="{00000000-0005-0000-0000-000054800000}"/>
    <cellStyle name="Normal 7 2 2 2 2" xfId="32772" xr:uid="{00000000-0005-0000-0000-000055800000}"/>
    <cellStyle name="Normal 7 2 2 2 2 2" xfId="32773" xr:uid="{00000000-0005-0000-0000-000056800000}"/>
    <cellStyle name="Normal 7 2 2 2 2 2 2" xfId="32774" xr:uid="{00000000-0005-0000-0000-000057800000}"/>
    <cellStyle name="Normal 7 2 2 2 2 3" xfId="32775" xr:uid="{00000000-0005-0000-0000-000058800000}"/>
    <cellStyle name="Normal 7 2 2 2 2 3 2" xfId="32776" xr:uid="{00000000-0005-0000-0000-000059800000}"/>
    <cellStyle name="Normal 7 2 2 2 2 4" xfId="32777" xr:uid="{00000000-0005-0000-0000-00005A800000}"/>
    <cellStyle name="Normal 7 2 2 2 3" xfId="32778" xr:uid="{00000000-0005-0000-0000-00005B800000}"/>
    <cellStyle name="Normal 7 2 2 2 3 2" xfId="32779" xr:uid="{00000000-0005-0000-0000-00005C800000}"/>
    <cellStyle name="Normal 7 2 2 2 4" xfId="32780" xr:uid="{00000000-0005-0000-0000-00005D800000}"/>
    <cellStyle name="Normal 7 2 2 2 4 2" xfId="32781" xr:uid="{00000000-0005-0000-0000-00005E800000}"/>
    <cellStyle name="Normal 7 2 2 2 5" xfId="32782" xr:uid="{00000000-0005-0000-0000-00005F800000}"/>
    <cellStyle name="Normal 7 2 2 3" xfId="32783" xr:uid="{00000000-0005-0000-0000-000060800000}"/>
    <cellStyle name="Normal 7 2 2 3 2" xfId="32784" xr:uid="{00000000-0005-0000-0000-000061800000}"/>
    <cellStyle name="Normal 7 2 2 3 2 2" xfId="32785" xr:uid="{00000000-0005-0000-0000-000062800000}"/>
    <cellStyle name="Normal 7 2 2 3 3" xfId="32786" xr:uid="{00000000-0005-0000-0000-000063800000}"/>
    <cellStyle name="Normal 7 2 2 3 3 2" xfId="32787" xr:uid="{00000000-0005-0000-0000-000064800000}"/>
    <cellStyle name="Normal 7 2 2 3 4" xfId="32788" xr:uid="{00000000-0005-0000-0000-000065800000}"/>
    <cellStyle name="Normal 7 2 2 4" xfId="32789" xr:uid="{00000000-0005-0000-0000-000066800000}"/>
    <cellStyle name="Normal 7 2 2 4 2" xfId="32790" xr:uid="{00000000-0005-0000-0000-000067800000}"/>
    <cellStyle name="Normal 7 2 2 5" xfId="32791" xr:uid="{00000000-0005-0000-0000-000068800000}"/>
    <cellStyle name="Normal 7 2 2 5 2" xfId="32792" xr:uid="{00000000-0005-0000-0000-000069800000}"/>
    <cellStyle name="Normal 7 2 2 6" xfId="32793" xr:uid="{00000000-0005-0000-0000-00006A800000}"/>
    <cellStyle name="Normal 7 2 3" xfId="32794" xr:uid="{00000000-0005-0000-0000-00006B800000}"/>
    <cellStyle name="Normal 7 2 3 2" xfId="32795" xr:uid="{00000000-0005-0000-0000-00006C800000}"/>
    <cellStyle name="Normal 7 2 3 2 2" xfId="32796" xr:uid="{00000000-0005-0000-0000-00006D800000}"/>
    <cellStyle name="Normal 7 2 3 2 2 2" xfId="32797" xr:uid="{00000000-0005-0000-0000-00006E800000}"/>
    <cellStyle name="Normal 7 2 3 2 3" xfId="32798" xr:uid="{00000000-0005-0000-0000-00006F800000}"/>
    <cellStyle name="Normal 7 2 3 2 3 2" xfId="32799" xr:uid="{00000000-0005-0000-0000-000070800000}"/>
    <cellStyle name="Normal 7 2 3 2 4" xfId="32800" xr:uid="{00000000-0005-0000-0000-000071800000}"/>
    <cellStyle name="Normal 7 2 3 3" xfId="32801" xr:uid="{00000000-0005-0000-0000-000072800000}"/>
    <cellStyle name="Normal 7 2 3 3 2" xfId="32802" xr:uid="{00000000-0005-0000-0000-000073800000}"/>
    <cellStyle name="Normal 7 2 3 4" xfId="32803" xr:uid="{00000000-0005-0000-0000-000074800000}"/>
    <cellStyle name="Normal 7 2 3 4 2" xfId="32804" xr:uid="{00000000-0005-0000-0000-000075800000}"/>
    <cellStyle name="Normal 7 2 3 5" xfId="32805" xr:uid="{00000000-0005-0000-0000-000076800000}"/>
    <cellStyle name="Normal 7 2 4" xfId="32806" xr:uid="{00000000-0005-0000-0000-000077800000}"/>
    <cellStyle name="Normal 7 2 4 2" xfId="32807" xr:uid="{00000000-0005-0000-0000-000078800000}"/>
    <cellStyle name="Normal 7 2 4 2 2" xfId="32808" xr:uid="{00000000-0005-0000-0000-000079800000}"/>
    <cellStyle name="Normal 7 2 4 3" xfId="32809" xr:uid="{00000000-0005-0000-0000-00007A800000}"/>
    <cellStyle name="Normal 7 2 4 3 2" xfId="32810" xr:uid="{00000000-0005-0000-0000-00007B800000}"/>
    <cellStyle name="Normal 7 2 4 4" xfId="32811" xr:uid="{00000000-0005-0000-0000-00007C800000}"/>
    <cellStyle name="Normal 7 2 5" xfId="32812" xr:uid="{00000000-0005-0000-0000-00007D800000}"/>
    <cellStyle name="Normal 7 2 5 2" xfId="32813" xr:uid="{00000000-0005-0000-0000-00007E800000}"/>
    <cellStyle name="Normal 7 2 6" xfId="32814" xr:uid="{00000000-0005-0000-0000-00007F800000}"/>
    <cellStyle name="Normal 7 2 6 2" xfId="32815" xr:uid="{00000000-0005-0000-0000-000080800000}"/>
    <cellStyle name="Normal 7 2 7" xfId="32816" xr:uid="{00000000-0005-0000-0000-000081800000}"/>
    <cellStyle name="Normal 7 3" xfId="32817" xr:uid="{00000000-0005-0000-0000-000082800000}"/>
    <cellStyle name="Normal 7 3 2" xfId="32818" xr:uid="{00000000-0005-0000-0000-000083800000}"/>
    <cellStyle name="Normal 7 3 2 2" xfId="32819" xr:uid="{00000000-0005-0000-0000-000084800000}"/>
    <cellStyle name="Normal 7 3 2 2 2" xfId="32820" xr:uid="{00000000-0005-0000-0000-000085800000}"/>
    <cellStyle name="Normal 7 3 2 2 2 2" xfId="32821" xr:uid="{00000000-0005-0000-0000-000086800000}"/>
    <cellStyle name="Normal 7 3 2 2 2 2 2" xfId="32822" xr:uid="{00000000-0005-0000-0000-000087800000}"/>
    <cellStyle name="Normal 7 3 2 2 2 2 2 2" xfId="32823" xr:uid="{00000000-0005-0000-0000-000088800000}"/>
    <cellStyle name="Normal 7 3 2 2 2 2 3" xfId="32824" xr:uid="{00000000-0005-0000-0000-000089800000}"/>
    <cellStyle name="Normal 7 3 2 2 2 2 3 2" xfId="32825" xr:uid="{00000000-0005-0000-0000-00008A800000}"/>
    <cellStyle name="Normal 7 3 2 2 2 2 4" xfId="32826" xr:uid="{00000000-0005-0000-0000-00008B800000}"/>
    <cellStyle name="Normal 7 3 2 2 2 3" xfId="32827" xr:uid="{00000000-0005-0000-0000-00008C800000}"/>
    <cellStyle name="Normal 7 3 2 2 2 3 2" xfId="32828" xr:uid="{00000000-0005-0000-0000-00008D800000}"/>
    <cellStyle name="Normal 7 3 2 2 2 4" xfId="32829" xr:uid="{00000000-0005-0000-0000-00008E800000}"/>
    <cellStyle name="Normal 7 3 2 2 2 4 2" xfId="32830" xr:uid="{00000000-0005-0000-0000-00008F800000}"/>
    <cellStyle name="Normal 7 3 2 2 2 5" xfId="32831" xr:uid="{00000000-0005-0000-0000-000090800000}"/>
    <cellStyle name="Normal 7 3 2 2 3" xfId="32832" xr:uid="{00000000-0005-0000-0000-000091800000}"/>
    <cellStyle name="Normal 7 3 2 2 3 2" xfId="32833" xr:uid="{00000000-0005-0000-0000-000092800000}"/>
    <cellStyle name="Normal 7 3 2 2 3 2 2" xfId="32834" xr:uid="{00000000-0005-0000-0000-000093800000}"/>
    <cellStyle name="Normal 7 3 2 2 3 3" xfId="32835" xr:uid="{00000000-0005-0000-0000-000094800000}"/>
    <cellStyle name="Normal 7 3 2 2 3 3 2" xfId="32836" xr:uid="{00000000-0005-0000-0000-000095800000}"/>
    <cellStyle name="Normal 7 3 2 2 3 4" xfId="32837" xr:uid="{00000000-0005-0000-0000-000096800000}"/>
    <cellStyle name="Normal 7 3 2 2 4" xfId="32838" xr:uid="{00000000-0005-0000-0000-000097800000}"/>
    <cellStyle name="Normal 7 3 2 2 4 2" xfId="32839" xr:uid="{00000000-0005-0000-0000-000098800000}"/>
    <cellStyle name="Normal 7 3 2 2 5" xfId="32840" xr:uid="{00000000-0005-0000-0000-000099800000}"/>
    <cellStyle name="Normal 7 3 2 2 5 2" xfId="32841" xr:uid="{00000000-0005-0000-0000-00009A800000}"/>
    <cellStyle name="Normal 7 3 2 2 6" xfId="32842" xr:uid="{00000000-0005-0000-0000-00009B800000}"/>
    <cellStyle name="Normal 7 3 2 3" xfId="32843" xr:uid="{00000000-0005-0000-0000-00009C800000}"/>
    <cellStyle name="Normal 7 3 2 3 2" xfId="32844" xr:uid="{00000000-0005-0000-0000-00009D800000}"/>
    <cellStyle name="Normal 7 3 2 3 2 2" xfId="32845" xr:uid="{00000000-0005-0000-0000-00009E800000}"/>
    <cellStyle name="Normal 7 3 2 3 2 2 2" xfId="32846" xr:uid="{00000000-0005-0000-0000-00009F800000}"/>
    <cellStyle name="Normal 7 3 2 3 2 3" xfId="32847" xr:uid="{00000000-0005-0000-0000-0000A0800000}"/>
    <cellStyle name="Normal 7 3 2 3 2 3 2" xfId="32848" xr:uid="{00000000-0005-0000-0000-0000A1800000}"/>
    <cellStyle name="Normal 7 3 2 3 2 4" xfId="32849" xr:uid="{00000000-0005-0000-0000-0000A2800000}"/>
    <cellStyle name="Normal 7 3 2 3 3" xfId="32850" xr:uid="{00000000-0005-0000-0000-0000A3800000}"/>
    <cellStyle name="Normal 7 3 2 3 3 2" xfId="32851" xr:uid="{00000000-0005-0000-0000-0000A4800000}"/>
    <cellStyle name="Normal 7 3 2 3 4" xfId="32852" xr:uid="{00000000-0005-0000-0000-0000A5800000}"/>
    <cellStyle name="Normal 7 3 2 3 4 2" xfId="32853" xr:uid="{00000000-0005-0000-0000-0000A6800000}"/>
    <cellStyle name="Normal 7 3 2 3 5" xfId="32854" xr:uid="{00000000-0005-0000-0000-0000A7800000}"/>
    <cellStyle name="Normal 7 3 2 4" xfId="32855" xr:uid="{00000000-0005-0000-0000-0000A8800000}"/>
    <cellStyle name="Normal 7 3 2 4 2" xfId="32856" xr:uid="{00000000-0005-0000-0000-0000A9800000}"/>
    <cellStyle name="Normal 7 3 2 4 2 2" xfId="32857" xr:uid="{00000000-0005-0000-0000-0000AA800000}"/>
    <cellStyle name="Normal 7 3 2 4 3" xfId="32858" xr:uid="{00000000-0005-0000-0000-0000AB800000}"/>
    <cellStyle name="Normal 7 3 2 4 3 2" xfId="32859" xr:uid="{00000000-0005-0000-0000-0000AC800000}"/>
    <cellStyle name="Normal 7 3 2 4 4" xfId="32860" xr:uid="{00000000-0005-0000-0000-0000AD800000}"/>
    <cellStyle name="Normal 7 3 2 5" xfId="32861" xr:uid="{00000000-0005-0000-0000-0000AE800000}"/>
    <cellStyle name="Normal 7 3 2 5 2" xfId="32862" xr:uid="{00000000-0005-0000-0000-0000AF800000}"/>
    <cellStyle name="Normal 7 3 2 6" xfId="32863" xr:uid="{00000000-0005-0000-0000-0000B0800000}"/>
    <cellStyle name="Normal 7 3 2 6 2" xfId="32864" xr:uid="{00000000-0005-0000-0000-0000B1800000}"/>
    <cellStyle name="Normal 7 3 2 7" xfId="32865" xr:uid="{00000000-0005-0000-0000-0000B2800000}"/>
    <cellStyle name="Normal 7 3 3" xfId="32866" xr:uid="{00000000-0005-0000-0000-0000B3800000}"/>
    <cellStyle name="Normal 7 3 3 2" xfId="32867" xr:uid="{00000000-0005-0000-0000-0000B4800000}"/>
    <cellStyle name="Normal 7 3 3 2 2" xfId="32868" xr:uid="{00000000-0005-0000-0000-0000B5800000}"/>
    <cellStyle name="Normal 7 3 3 2 2 2" xfId="32869" xr:uid="{00000000-0005-0000-0000-0000B6800000}"/>
    <cellStyle name="Normal 7 3 3 2 2 2 2" xfId="32870" xr:uid="{00000000-0005-0000-0000-0000B7800000}"/>
    <cellStyle name="Normal 7 3 3 2 2 3" xfId="32871" xr:uid="{00000000-0005-0000-0000-0000B8800000}"/>
    <cellStyle name="Normal 7 3 3 2 2 3 2" xfId="32872" xr:uid="{00000000-0005-0000-0000-0000B9800000}"/>
    <cellStyle name="Normal 7 3 3 2 2 4" xfId="32873" xr:uid="{00000000-0005-0000-0000-0000BA800000}"/>
    <cellStyle name="Normal 7 3 3 2 3" xfId="32874" xr:uid="{00000000-0005-0000-0000-0000BB800000}"/>
    <cellStyle name="Normal 7 3 3 2 3 2" xfId="32875" xr:uid="{00000000-0005-0000-0000-0000BC800000}"/>
    <cellStyle name="Normal 7 3 3 2 4" xfId="32876" xr:uid="{00000000-0005-0000-0000-0000BD800000}"/>
    <cellStyle name="Normal 7 3 3 2 4 2" xfId="32877" xr:uid="{00000000-0005-0000-0000-0000BE800000}"/>
    <cellStyle name="Normal 7 3 3 2 5" xfId="32878" xr:uid="{00000000-0005-0000-0000-0000BF800000}"/>
    <cellStyle name="Normal 7 3 3 3" xfId="32879" xr:uid="{00000000-0005-0000-0000-0000C0800000}"/>
    <cellStyle name="Normal 7 3 3 3 2" xfId="32880" xr:uid="{00000000-0005-0000-0000-0000C1800000}"/>
    <cellStyle name="Normal 7 3 3 3 2 2" xfId="32881" xr:uid="{00000000-0005-0000-0000-0000C2800000}"/>
    <cellStyle name="Normal 7 3 3 3 3" xfId="32882" xr:uid="{00000000-0005-0000-0000-0000C3800000}"/>
    <cellStyle name="Normal 7 3 3 3 3 2" xfId="32883" xr:uid="{00000000-0005-0000-0000-0000C4800000}"/>
    <cellStyle name="Normal 7 3 3 3 4" xfId="32884" xr:uid="{00000000-0005-0000-0000-0000C5800000}"/>
    <cellStyle name="Normal 7 3 3 4" xfId="32885" xr:uid="{00000000-0005-0000-0000-0000C6800000}"/>
    <cellStyle name="Normal 7 3 3 4 2" xfId="32886" xr:uid="{00000000-0005-0000-0000-0000C7800000}"/>
    <cellStyle name="Normal 7 3 3 5" xfId="32887" xr:uid="{00000000-0005-0000-0000-0000C8800000}"/>
    <cellStyle name="Normal 7 3 3 5 2" xfId="32888" xr:uid="{00000000-0005-0000-0000-0000C9800000}"/>
    <cellStyle name="Normal 7 3 3 6" xfId="32889" xr:uid="{00000000-0005-0000-0000-0000CA800000}"/>
    <cellStyle name="Normal 7 3 4" xfId="32890" xr:uid="{00000000-0005-0000-0000-0000CB800000}"/>
    <cellStyle name="Normal 7 3 4 2" xfId="32891" xr:uid="{00000000-0005-0000-0000-0000CC800000}"/>
    <cellStyle name="Normal 7 3 4 2 2" xfId="32892" xr:uid="{00000000-0005-0000-0000-0000CD800000}"/>
    <cellStyle name="Normal 7 3 4 2 2 2" xfId="32893" xr:uid="{00000000-0005-0000-0000-0000CE800000}"/>
    <cellStyle name="Normal 7 3 4 2 3" xfId="32894" xr:uid="{00000000-0005-0000-0000-0000CF800000}"/>
    <cellStyle name="Normal 7 3 4 2 3 2" xfId="32895" xr:uid="{00000000-0005-0000-0000-0000D0800000}"/>
    <cellStyle name="Normal 7 3 4 2 4" xfId="32896" xr:uid="{00000000-0005-0000-0000-0000D1800000}"/>
    <cellStyle name="Normal 7 3 4 3" xfId="32897" xr:uid="{00000000-0005-0000-0000-0000D2800000}"/>
    <cellStyle name="Normal 7 3 4 3 2" xfId="32898" xr:uid="{00000000-0005-0000-0000-0000D3800000}"/>
    <cellStyle name="Normal 7 3 4 4" xfId="32899" xr:uid="{00000000-0005-0000-0000-0000D4800000}"/>
    <cellStyle name="Normal 7 3 4 4 2" xfId="32900" xr:uid="{00000000-0005-0000-0000-0000D5800000}"/>
    <cellStyle name="Normal 7 3 4 5" xfId="32901" xr:uid="{00000000-0005-0000-0000-0000D6800000}"/>
    <cellStyle name="Normal 7 3 5" xfId="32902" xr:uid="{00000000-0005-0000-0000-0000D7800000}"/>
    <cellStyle name="Normal 7 3 5 2" xfId="32903" xr:uid="{00000000-0005-0000-0000-0000D8800000}"/>
    <cellStyle name="Normal 7 3 5 2 2" xfId="32904" xr:uid="{00000000-0005-0000-0000-0000D9800000}"/>
    <cellStyle name="Normal 7 3 5 3" xfId="32905" xr:uid="{00000000-0005-0000-0000-0000DA800000}"/>
    <cellStyle name="Normal 7 3 5 3 2" xfId="32906" xr:uid="{00000000-0005-0000-0000-0000DB800000}"/>
    <cellStyle name="Normal 7 3 5 4" xfId="32907" xr:uid="{00000000-0005-0000-0000-0000DC800000}"/>
    <cellStyle name="Normal 7 3 6" xfId="32908" xr:uid="{00000000-0005-0000-0000-0000DD800000}"/>
    <cellStyle name="Normal 7 3 6 2" xfId="32909" xr:uid="{00000000-0005-0000-0000-0000DE800000}"/>
    <cellStyle name="Normal 7 3 7" xfId="32910" xr:uid="{00000000-0005-0000-0000-0000DF800000}"/>
    <cellStyle name="Normal 7 3 7 2" xfId="32911" xr:uid="{00000000-0005-0000-0000-0000E0800000}"/>
    <cellStyle name="Normal 7 3 8" xfId="32912" xr:uid="{00000000-0005-0000-0000-0000E1800000}"/>
    <cellStyle name="Normal 7 4" xfId="32913" xr:uid="{00000000-0005-0000-0000-0000E2800000}"/>
    <cellStyle name="Normal 7 4 2" xfId="32914" xr:uid="{00000000-0005-0000-0000-0000E3800000}"/>
    <cellStyle name="Normal 7 4 2 2" xfId="32915" xr:uid="{00000000-0005-0000-0000-0000E4800000}"/>
    <cellStyle name="Normal 7 4 2 2 2" xfId="32916" xr:uid="{00000000-0005-0000-0000-0000E5800000}"/>
    <cellStyle name="Normal 7 4 2 2 2 2" xfId="32917" xr:uid="{00000000-0005-0000-0000-0000E6800000}"/>
    <cellStyle name="Normal 7 4 2 2 2 2 2" xfId="32918" xr:uid="{00000000-0005-0000-0000-0000E7800000}"/>
    <cellStyle name="Normal 7 4 2 2 2 3" xfId="32919" xr:uid="{00000000-0005-0000-0000-0000E8800000}"/>
    <cellStyle name="Normal 7 4 2 2 2 3 2" xfId="32920" xr:uid="{00000000-0005-0000-0000-0000E9800000}"/>
    <cellStyle name="Normal 7 4 2 2 2 4" xfId="32921" xr:uid="{00000000-0005-0000-0000-0000EA800000}"/>
    <cellStyle name="Normal 7 4 2 2 3" xfId="32922" xr:uid="{00000000-0005-0000-0000-0000EB800000}"/>
    <cellStyle name="Normal 7 4 2 2 3 2" xfId="32923" xr:uid="{00000000-0005-0000-0000-0000EC800000}"/>
    <cellStyle name="Normal 7 4 2 2 4" xfId="32924" xr:uid="{00000000-0005-0000-0000-0000ED800000}"/>
    <cellStyle name="Normal 7 4 2 2 4 2" xfId="32925" xr:uid="{00000000-0005-0000-0000-0000EE800000}"/>
    <cellStyle name="Normal 7 4 2 2 5" xfId="32926" xr:uid="{00000000-0005-0000-0000-0000EF800000}"/>
    <cellStyle name="Normal 7 4 2 3" xfId="32927" xr:uid="{00000000-0005-0000-0000-0000F0800000}"/>
    <cellStyle name="Normal 7 4 2 3 2" xfId="32928" xr:uid="{00000000-0005-0000-0000-0000F1800000}"/>
    <cellStyle name="Normal 7 4 2 3 2 2" xfId="32929" xr:uid="{00000000-0005-0000-0000-0000F2800000}"/>
    <cellStyle name="Normal 7 4 2 3 3" xfId="32930" xr:uid="{00000000-0005-0000-0000-0000F3800000}"/>
    <cellStyle name="Normal 7 4 2 3 3 2" xfId="32931" xr:uid="{00000000-0005-0000-0000-0000F4800000}"/>
    <cellStyle name="Normal 7 4 2 3 4" xfId="32932" xr:uid="{00000000-0005-0000-0000-0000F5800000}"/>
    <cellStyle name="Normal 7 4 2 4" xfId="32933" xr:uid="{00000000-0005-0000-0000-0000F6800000}"/>
    <cellStyle name="Normal 7 4 2 4 2" xfId="32934" xr:uid="{00000000-0005-0000-0000-0000F7800000}"/>
    <cellStyle name="Normal 7 4 2 5" xfId="32935" xr:uid="{00000000-0005-0000-0000-0000F8800000}"/>
    <cellStyle name="Normal 7 4 2 5 2" xfId="32936" xr:uid="{00000000-0005-0000-0000-0000F9800000}"/>
    <cellStyle name="Normal 7 4 2 6" xfId="32937" xr:uid="{00000000-0005-0000-0000-0000FA800000}"/>
    <cellStyle name="Normal 7 4 3" xfId="32938" xr:uid="{00000000-0005-0000-0000-0000FB800000}"/>
    <cellStyle name="Normal 7 4 3 2" xfId="32939" xr:uid="{00000000-0005-0000-0000-0000FC800000}"/>
    <cellStyle name="Normal 7 4 3 2 2" xfId="32940" xr:uid="{00000000-0005-0000-0000-0000FD800000}"/>
    <cellStyle name="Normal 7 4 3 2 2 2" xfId="32941" xr:uid="{00000000-0005-0000-0000-0000FE800000}"/>
    <cellStyle name="Normal 7 4 3 2 3" xfId="32942" xr:uid="{00000000-0005-0000-0000-0000FF800000}"/>
    <cellStyle name="Normal 7 4 3 2 3 2" xfId="32943" xr:uid="{00000000-0005-0000-0000-000000810000}"/>
    <cellStyle name="Normal 7 4 3 2 4" xfId="32944" xr:uid="{00000000-0005-0000-0000-000001810000}"/>
    <cellStyle name="Normal 7 4 3 3" xfId="32945" xr:uid="{00000000-0005-0000-0000-000002810000}"/>
    <cellStyle name="Normal 7 4 3 3 2" xfId="32946" xr:uid="{00000000-0005-0000-0000-000003810000}"/>
    <cellStyle name="Normal 7 4 3 4" xfId="32947" xr:uid="{00000000-0005-0000-0000-000004810000}"/>
    <cellStyle name="Normal 7 4 3 4 2" xfId="32948" xr:uid="{00000000-0005-0000-0000-000005810000}"/>
    <cellStyle name="Normal 7 4 3 5" xfId="32949" xr:uid="{00000000-0005-0000-0000-000006810000}"/>
    <cellStyle name="Normal 7 4 4" xfId="32950" xr:uid="{00000000-0005-0000-0000-000007810000}"/>
    <cellStyle name="Normal 7 4 4 2" xfId="32951" xr:uid="{00000000-0005-0000-0000-000008810000}"/>
    <cellStyle name="Normal 7 4 4 2 2" xfId="32952" xr:uid="{00000000-0005-0000-0000-000009810000}"/>
    <cellStyle name="Normal 7 4 4 3" xfId="32953" xr:uid="{00000000-0005-0000-0000-00000A810000}"/>
    <cellStyle name="Normal 7 4 4 3 2" xfId="32954" xr:uid="{00000000-0005-0000-0000-00000B810000}"/>
    <cellStyle name="Normal 7 4 4 4" xfId="32955" xr:uid="{00000000-0005-0000-0000-00000C810000}"/>
    <cellStyle name="Normal 7 4 5" xfId="32956" xr:uid="{00000000-0005-0000-0000-00000D810000}"/>
    <cellStyle name="Normal 7 4 5 2" xfId="32957" xr:uid="{00000000-0005-0000-0000-00000E810000}"/>
    <cellStyle name="Normal 7 4 6" xfId="32958" xr:uid="{00000000-0005-0000-0000-00000F810000}"/>
    <cellStyle name="Normal 7 4 6 2" xfId="32959" xr:uid="{00000000-0005-0000-0000-000010810000}"/>
    <cellStyle name="Normal 7 4 7" xfId="32960" xr:uid="{00000000-0005-0000-0000-000011810000}"/>
    <cellStyle name="Normal 7 5" xfId="32961" xr:uid="{00000000-0005-0000-0000-000012810000}"/>
    <cellStyle name="Normal 7 5 2" xfId="32962" xr:uid="{00000000-0005-0000-0000-000013810000}"/>
    <cellStyle name="Normal 7 5 2 2" xfId="32963" xr:uid="{00000000-0005-0000-0000-000014810000}"/>
    <cellStyle name="Normal 7 5 2 2 2" xfId="32964" xr:uid="{00000000-0005-0000-0000-000015810000}"/>
    <cellStyle name="Normal 7 5 2 2 2 2" xfId="32965" xr:uid="{00000000-0005-0000-0000-000016810000}"/>
    <cellStyle name="Normal 7 5 2 2 2 2 2" xfId="32966" xr:uid="{00000000-0005-0000-0000-000017810000}"/>
    <cellStyle name="Normal 7 5 2 2 2 3" xfId="32967" xr:uid="{00000000-0005-0000-0000-000018810000}"/>
    <cellStyle name="Normal 7 5 2 2 2 3 2" xfId="32968" xr:uid="{00000000-0005-0000-0000-000019810000}"/>
    <cellStyle name="Normal 7 5 2 2 2 4" xfId="32969" xr:uid="{00000000-0005-0000-0000-00001A810000}"/>
    <cellStyle name="Normal 7 5 2 2 3" xfId="32970" xr:uid="{00000000-0005-0000-0000-00001B810000}"/>
    <cellStyle name="Normal 7 5 2 2 3 2" xfId="32971" xr:uid="{00000000-0005-0000-0000-00001C810000}"/>
    <cellStyle name="Normal 7 5 2 2 4" xfId="32972" xr:uid="{00000000-0005-0000-0000-00001D810000}"/>
    <cellStyle name="Normal 7 5 2 2 4 2" xfId="32973" xr:uid="{00000000-0005-0000-0000-00001E810000}"/>
    <cellStyle name="Normal 7 5 2 2 5" xfId="32974" xr:uid="{00000000-0005-0000-0000-00001F810000}"/>
    <cellStyle name="Normal 7 5 2 3" xfId="32975" xr:uid="{00000000-0005-0000-0000-000020810000}"/>
    <cellStyle name="Normal 7 5 2 3 2" xfId="32976" xr:uid="{00000000-0005-0000-0000-000021810000}"/>
    <cellStyle name="Normal 7 5 2 3 2 2" xfId="32977" xr:uid="{00000000-0005-0000-0000-000022810000}"/>
    <cellStyle name="Normal 7 5 2 3 3" xfId="32978" xr:uid="{00000000-0005-0000-0000-000023810000}"/>
    <cellStyle name="Normal 7 5 2 3 3 2" xfId="32979" xr:uid="{00000000-0005-0000-0000-000024810000}"/>
    <cellStyle name="Normal 7 5 2 3 4" xfId="32980" xr:uid="{00000000-0005-0000-0000-000025810000}"/>
    <cellStyle name="Normal 7 5 2 4" xfId="32981" xr:uid="{00000000-0005-0000-0000-000026810000}"/>
    <cellStyle name="Normal 7 5 2 4 2" xfId="32982" xr:uid="{00000000-0005-0000-0000-000027810000}"/>
    <cellStyle name="Normal 7 5 2 5" xfId="32983" xr:uid="{00000000-0005-0000-0000-000028810000}"/>
    <cellStyle name="Normal 7 5 2 5 2" xfId="32984" xr:uid="{00000000-0005-0000-0000-000029810000}"/>
    <cellStyle name="Normal 7 5 2 6" xfId="32985" xr:uid="{00000000-0005-0000-0000-00002A810000}"/>
    <cellStyle name="Normal 7 5 3" xfId="32986" xr:uid="{00000000-0005-0000-0000-00002B810000}"/>
    <cellStyle name="Normal 7 5 3 2" xfId="32987" xr:uid="{00000000-0005-0000-0000-00002C810000}"/>
    <cellStyle name="Normal 7 5 3 2 2" xfId="32988" xr:uid="{00000000-0005-0000-0000-00002D810000}"/>
    <cellStyle name="Normal 7 5 3 2 2 2" xfId="32989" xr:uid="{00000000-0005-0000-0000-00002E810000}"/>
    <cellStyle name="Normal 7 5 3 2 3" xfId="32990" xr:uid="{00000000-0005-0000-0000-00002F810000}"/>
    <cellStyle name="Normal 7 5 3 2 3 2" xfId="32991" xr:uid="{00000000-0005-0000-0000-000030810000}"/>
    <cellStyle name="Normal 7 5 3 2 4" xfId="32992" xr:uid="{00000000-0005-0000-0000-000031810000}"/>
    <cellStyle name="Normal 7 5 3 3" xfId="32993" xr:uid="{00000000-0005-0000-0000-000032810000}"/>
    <cellStyle name="Normal 7 5 3 3 2" xfId="32994" xr:uid="{00000000-0005-0000-0000-000033810000}"/>
    <cellStyle name="Normal 7 5 3 4" xfId="32995" xr:uid="{00000000-0005-0000-0000-000034810000}"/>
    <cellStyle name="Normal 7 5 3 4 2" xfId="32996" xr:uid="{00000000-0005-0000-0000-000035810000}"/>
    <cellStyle name="Normal 7 5 3 5" xfId="32997" xr:uid="{00000000-0005-0000-0000-000036810000}"/>
    <cellStyle name="Normal 7 5 4" xfId="32998" xr:uid="{00000000-0005-0000-0000-000037810000}"/>
    <cellStyle name="Normal 7 5 4 2" xfId="32999" xr:uid="{00000000-0005-0000-0000-000038810000}"/>
    <cellStyle name="Normal 7 5 4 2 2" xfId="33000" xr:uid="{00000000-0005-0000-0000-000039810000}"/>
    <cellStyle name="Normal 7 5 4 3" xfId="33001" xr:uid="{00000000-0005-0000-0000-00003A810000}"/>
    <cellStyle name="Normal 7 5 4 3 2" xfId="33002" xr:uid="{00000000-0005-0000-0000-00003B810000}"/>
    <cellStyle name="Normal 7 5 4 4" xfId="33003" xr:uid="{00000000-0005-0000-0000-00003C810000}"/>
    <cellStyle name="Normal 7 5 5" xfId="33004" xr:uid="{00000000-0005-0000-0000-00003D810000}"/>
    <cellStyle name="Normal 7 5 5 2" xfId="33005" xr:uid="{00000000-0005-0000-0000-00003E810000}"/>
    <cellStyle name="Normal 7 5 6" xfId="33006" xr:uid="{00000000-0005-0000-0000-00003F810000}"/>
    <cellStyle name="Normal 7 5 6 2" xfId="33007" xr:uid="{00000000-0005-0000-0000-000040810000}"/>
    <cellStyle name="Normal 7 5 7" xfId="33008" xr:uid="{00000000-0005-0000-0000-000041810000}"/>
    <cellStyle name="Normal 7 6" xfId="33009" xr:uid="{00000000-0005-0000-0000-000042810000}"/>
    <cellStyle name="Normal 7 6 2" xfId="33010" xr:uid="{00000000-0005-0000-0000-000043810000}"/>
    <cellStyle name="Normal 7 6 2 2" xfId="33011" xr:uid="{00000000-0005-0000-0000-000044810000}"/>
    <cellStyle name="Normal 7 6 2 2 2" xfId="33012" xr:uid="{00000000-0005-0000-0000-000045810000}"/>
    <cellStyle name="Normal 7 6 2 2 2 2" xfId="33013" xr:uid="{00000000-0005-0000-0000-000046810000}"/>
    <cellStyle name="Normal 7 6 2 2 3" xfId="33014" xr:uid="{00000000-0005-0000-0000-000047810000}"/>
    <cellStyle name="Normal 7 6 2 2 3 2" xfId="33015" xr:uid="{00000000-0005-0000-0000-000048810000}"/>
    <cellStyle name="Normal 7 6 2 2 4" xfId="33016" xr:uid="{00000000-0005-0000-0000-000049810000}"/>
    <cellStyle name="Normal 7 6 2 3" xfId="33017" xr:uid="{00000000-0005-0000-0000-00004A810000}"/>
    <cellStyle name="Normal 7 6 2 3 2" xfId="33018" xr:uid="{00000000-0005-0000-0000-00004B810000}"/>
    <cellStyle name="Normal 7 6 2 4" xfId="33019" xr:uid="{00000000-0005-0000-0000-00004C810000}"/>
    <cellStyle name="Normal 7 6 2 4 2" xfId="33020" xr:uid="{00000000-0005-0000-0000-00004D810000}"/>
    <cellStyle name="Normal 7 6 2 5" xfId="33021" xr:uid="{00000000-0005-0000-0000-00004E810000}"/>
    <cellStyle name="Normal 7 6 3" xfId="33022" xr:uid="{00000000-0005-0000-0000-00004F810000}"/>
    <cellStyle name="Normal 7 6 3 2" xfId="33023" xr:uid="{00000000-0005-0000-0000-000050810000}"/>
    <cellStyle name="Normal 7 6 3 2 2" xfId="33024" xr:uid="{00000000-0005-0000-0000-000051810000}"/>
    <cellStyle name="Normal 7 6 3 3" xfId="33025" xr:uid="{00000000-0005-0000-0000-000052810000}"/>
    <cellStyle name="Normal 7 6 3 3 2" xfId="33026" xr:uid="{00000000-0005-0000-0000-000053810000}"/>
    <cellStyle name="Normal 7 6 3 4" xfId="33027" xr:uid="{00000000-0005-0000-0000-000054810000}"/>
    <cellStyle name="Normal 7 6 4" xfId="33028" xr:uid="{00000000-0005-0000-0000-000055810000}"/>
    <cellStyle name="Normal 7 6 4 2" xfId="33029" xr:uid="{00000000-0005-0000-0000-000056810000}"/>
    <cellStyle name="Normal 7 6 5" xfId="33030" xr:uid="{00000000-0005-0000-0000-000057810000}"/>
    <cellStyle name="Normal 7 6 5 2" xfId="33031" xr:uid="{00000000-0005-0000-0000-000058810000}"/>
    <cellStyle name="Normal 7 6 6" xfId="33032" xr:uid="{00000000-0005-0000-0000-000059810000}"/>
    <cellStyle name="Normal 7 7" xfId="33033" xr:uid="{00000000-0005-0000-0000-00005A810000}"/>
    <cellStyle name="Normal 7 7 2" xfId="33034" xr:uid="{00000000-0005-0000-0000-00005B810000}"/>
    <cellStyle name="Normal 7 7 2 2" xfId="33035" xr:uid="{00000000-0005-0000-0000-00005C810000}"/>
    <cellStyle name="Normal 7 7 2 2 2" xfId="33036" xr:uid="{00000000-0005-0000-0000-00005D810000}"/>
    <cellStyle name="Normal 7 7 2 3" xfId="33037" xr:uid="{00000000-0005-0000-0000-00005E810000}"/>
    <cellStyle name="Normal 7 7 2 3 2" xfId="33038" xr:uid="{00000000-0005-0000-0000-00005F810000}"/>
    <cellStyle name="Normal 7 7 2 4" xfId="33039" xr:uid="{00000000-0005-0000-0000-000060810000}"/>
    <cellStyle name="Normal 7 7 3" xfId="33040" xr:uid="{00000000-0005-0000-0000-000061810000}"/>
    <cellStyle name="Normal 7 7 3 2" xfId="33041" xr:uid="{00000000-0005-0000-0000-000062810000}"/>
    <cellStyle name="Normal 7 7 4" xfId="33042" xr:uid="{00000000-0005-0000-0000-000063810000}"/>
    <cellStyle name="Normal 7 7 4 2" xfId="33043" xr:uid="{00000000-0005-0000-0000-000064810000}"/>
    <cellStyle name="Normal 7 7 5" xfId="33044" xr:uid="{00000000-0005-0000-0000-000065810000}"/>
    <cellStyle name="Normal 7 8" xfId="33045" xr:uid="{00000000-0005-0000-0000-000066810000}"/>
    <cellStyle name="Normal 7 8 2" xfId="33046" xr:uid="{00000000-0005-0000-0000-000067810000}"/>
    <cellStyle name="Normal 7 8 2 2" xfId="33047" xr:uid="{00000000-0005-0000-0000-000068810000}"/>
    <cellStyle name="Normal 7 8 3" xfId="33048" xr:uid="{00000000-0005-0000-0000-000069810000}"/>
    <cellStyle name="Normal 7 8 3 2" xfId="33049" xr:uid="{00000000-0005-0000-0000-00006A810000}"/>
    <cellStyle name="Normal 7 8 4" xfId="33050" xr:uid="{00000000-0005-0000-0000-00006B810000}"/>
    <cellStyle name="Normal 7 9" xfId="33051" xr:uid="{00000000-0005-0000-0000-00006C810000}"/>
    <cellStyle name="Normal 7 9 2" xfId="33052" xr:uid="{00000000-0005-0000-0000-00006D810000}"/>
    <cellStyle name="Normal 70" xfId="33053" xr:uid="{00000000-0005-0000-0000-00006E810000}"/>
    <cellStyle name="Normal 71" xfId="33054" xr:uid="{00000000-0005-0000-0000-00006F810000}"/>
    <cellStyle name="Normal 72" xfId="33055" xr:uid="{00000000-0005-0000-0000-000070810000}"/>
    <cellStyle name="Normal 73" xfId="33056" xr:uid="{00000000-0005-0000-0000-000071810000}"/>
    <cellStyle name="Normal 74" xfId="33057" xr:uid="{00000000-0005-0000-0000-000072810000}"/>
    <cellStyle name="Normal 75" xfId="33058" xr:uid="{00000000-0005-0000-0000-000073810000}"/>
    <cellStyle name="Normal 76" xfId="33059" xr:uid="{00000000-0005-0000-0000-000074810000}"/>
    <cellStyle name="Normal 77" xfId="33060" xr:uid="{00000000-0005-0000-0000-000075810000}"/>
    <cellStyle name="Normal 78" xfId="33061" xr:uid="{00000000-0005-0000-0000-000076810000}"/>
    <cellStyle name="Normal 79" xfId="33062" xr:uid="{00000000-0005-0000-0000-000077810000}"/>
    <cellStyle name="Normal 8" xfId="33063" xr:uid="{00000000-0005-0000-0000-000078810000}"/>
    <cellStyle name="Normal 8 10" xfId="33064" xr:uid="{00000000-0005-0000-0000-000079810000}"/>
    <cellStyle name="Normal 8 11" xfId="33065" xr:uid="{00000000-0005-0000-0000-00007A810000}"/>
    <cellStyle name="Normal 8 12" xfId="33066" xr:uid="{00000000-0005-0000-0000-00007B810000}"/>
    <cellStyle name="Normal 8 13" xfId="33067" xr:uid="{00000000-0005-0000-0000-00007C810000}"/>
    <cellStyle name="Normal 8 14" xfId="33068" xr:uid="{00000000-0005-0000-0000-00007D810000}"/>
    <cellStyle name="Normal 8 15" xfId="33069" xr:uid="{00000000-0005-0000-0000-00007E810000}"/>
    <cellStyle name="Normal 8 16" xfId="33070" xr:uid="{00000000-0005-0000-0000-00007F810000}"/>
    <cellStyle name="Normal 8 17" xfId="33071" xr:uid="{00000000-0005-0000-0000-000080810000}"/>
    <cellStyle name="Normal 8 18" xfId="33072" xr:uid="{00000000-0005-0000-0000-000081810000}"/>
    <cellStyle name="Normal 8 19" xfId="33073" xr:uid="{00000000-0005-0000-0000-000082810000}"/>
    <cellStyle name="Normal 8 2" xfId="33074" xr:uid="{00000000-0005-0000-0000-000083810000}"/>
    <cellStyle name="Normal 8 2 2" xfId="33075" xr:uid="{00000000-0005-0000-0000-000084810000}"/>
    <cellStyle name="Normal 8 2 2 2" xfId="33076" xr:uid="{00000000-0005-0000-0000-000085810000}"/>
    <cellStyle name="Normal 8 2 2 2 2" xfId="33077" xr:uid="{00000000-0005-0000-0000-000086810000}"/>
    <cellStyle name="Normal 8 2 2 2 2 2" xfId="33078" xr:uid="{00000000-0005-0000-0000-000087810000}"/>
    <cellStyle name="Normal 8 2 2 2 3" xfId="33079" xr:uid="{00000000-0005-0000-0000-000088810000}"/>
    <cellStyle name="Normal 8 2 2 2 3 2" xfId="33080" xr:uid="{00000000-0005-0000-0000-000089810000}"/>
    <cellStyle name="Normal 8 2 2 2 4" xfId="33081" xr:uid="{00000000-0005-0000-0000-00008A810000}"/>
    <cellStyle name="Normal 8 2 2 3" xfId="33082" xr:uid="{00000000-0005-0000-0000-00008B810000}"/>
    <cellStyle name="Normal 8 2 2 3 2" xfId="33083" xr:uid="{00000000-0005-0000-0000-00008C810000}"/>
    <cellStyle name="Normal 8 2 2 4" xfId="33084" xr:uid="{00000000-0005-0000-0000-00008D810000}"/>
    <cellStyle name="Normal 8 2 2 4 2" xfId="33085" xr:uid="{00000000-0005-0000-0000-00008E810000}"/>
    <cellStyle name="Normal 8 2 2 5" xfId="33086" xr:uid="{00000000-0005-0000-0000-00008F810000}"/>
    <cellStyle name="Normal 8 2 3" xfId="33087" xr:uid="{00000000-0005-0000-0000-000090810000}"/>
    <cellStyle name="Normal 8 2 3 2" xfId="33088" xr:uid="{00000000-0005-0000-0000-000091810000}"/>
    <cellStyle name="Normal 8 2 3 2 2" xfId="33089" xr:uid="{00000000-0005-0000-0000-000092810000}"/>
    <cellStyle name="Normal 8 2 3 3" xfId="33090" xr:uid="{00000000-0005-0000-0000-000093810000}"/>
    <cellStyle name="Normal 8 2 3 3 2" xfId="33091" xr:uid="{00000000-0005-0000-0000-000094810000}"/>
    <cellStyle name="Normal 8 2 3 4" xfId="33092" xr:uid="{00000000-0005-0000-0000-000095810000}"/>
    <cellStyle name="Normal 8 2 4" xfId="33093" xr:uid="{00000000-0005-0000-0000-000096810000}"/>
    <cellStyle name="Normal 8 2 4 2" xfId="33094" xr:uid="{00000000-0005-0000-0000-000097810000}"/>
    <cellStyle name="Normal 8 2 5" xfId="33095" xr:uid="{00000000-0005-0000-0000-000098810000}"/>
    <cellStyle name="Normal 8 2 5 2" xfId="33096" xr:uid="{00000000-0005-0000-0000-000099810000}"/>
    <cellStyle name="Normal 8 2 6" xfId="33097" xr:uid="{00000000-0005-0000-0000-00009A810000}"/>
    <cellStyle name="Normal 8 20" xfId="33098" xr:uid="{00000000-0005-0000-0000-00009B810000}"/>
    <cellStyle name="Normal 8 21" xfId="33099" xr:uid="{00000000-0005-0000-0000-00009C810000}"/>
    <cellStyle name="Normal 8 22" xfId="33100" xr:uid="{00000000-0005-0000-0000-00009D810000}"/>
    <cellStyle name="Normal 8 23" xfId="33101" xr:uid="{00000000-0005-0000-0000-00009E810000}"/>
    <cellStyle name="Normal 8 24" xfId="33102" xr:uid="{00000000-0005-0000-0000-00009F810000}"/>
    <cellStyle name="Normal 8 25" xfId="33103" xr:uid="{00000000-0005-0000-0000-0000A0810000}"/>
    <cellStyle name="Normal 8 26" xfId="33104" xr:uid="{00000000-0005-0000-0000-0000A1810000}"/>
    <cellStyle name="Normal 8 27" xfId="33105" xr:uid="{00000000-0005-0000-0000-0000A2810000}"/>
    <cellStyle name="Normal 8 28" xfId="33106" xr:uid="{00000000-0005-0000-0000-0000A3810000}"/>
    <cellStyle name="Normal 8 29" xfId="33107" xr:uid="{00000000-0005-0000-0000-0000A4810000}"/>
    <cellStyle name="Normal 8 3" xfId="33108" xr:uid="{00000000-0005-0000-0000-0000A5810000}"/>
    <cellStyle name="Normal 8 3 2" xfId="33109" xr:uid="{00000000-0005-0000-0000-0000A6810000}"/>
    <cellStyle name="Normal 8 3 2 2" xfId="33110" xr:uid="{00000000-0005-0000-0000-0000A7810000}"/>
    <cellStyle name="Normal 8 3 2 2 2" xfId="33111" xr:uid="{00000000-0005-0000-0000-0000A8810000}"/>
    <cellStyle name="Normal 8 3 2 3" xfId="33112" xr:uid="{00000000-0005-0000-0000-0000A9810000}"/>
    <cellStyle name="Normal 8 3 2 3 2" xfId="33113" xr:uid="{00000000-0005-0000-0000-0000AA810000}"/>
    <cellStyle name="Normal 8 3 2 4" xfId="33114" xr:uid="{00000000-0005-0000-0000-0000AB810000}"/>
    <cellStyle name="Normal 8 3 3" xfId="33115" xr:uid="{00000000-0005-0000-0000-0000AC810000}"/>
    <cellStyle name="Normal 8 3 3 2" xfId="33116" xr:uid="{00000000-0005-0000-0000-0000AD810000}"/>
    <cellStyle name="Normal 8 3 4" xfId="33117" xr:uid="{00000000-0005-0000-0000-0000AE810000}"/>
    <cellStyle name="Normal 8 3 4 2" xfId="33118" xr:uid="{00000000-0005-0000-0000-0000AF810000}"/>
    <cellStyle name="Normal 8 3 5" xfId="33119" xr:uid="{00000000-0005-0000-0000-0000B0810000}"/>
    <cellStyle name="Normal 8 30" xfId="33120" xr:uid="{00000000-0005-0000-0000-0000B1810000}"/>
    <cellStyle name="Normal 8 31" xfId="33121" xr:uid="{00000000-0005-0000-0000-0000B2810000}"/>
    <cellStyle name="Normal 8 32" xfId="33122" xr:uid="{00000000-0005-0000-0000-0000B3810000}"/>
    <cellStyle name="Normal 8 33" xfId="33123" xr:uid="{00000000-0005-0000-0000-0000B4810000}"/>
    <cellStyle name="Normal 8 34" xfId="33124" xr:uid="{00000000-0005-0000-0000-0000B5810000}"/>
    <cellStyle name="Normal 8 35" xfId="33125" xr:uid="{00000000-0005-0000-0000-0000B6810000}"/>
    <cellStyle name="Normal 8 36" xfId="33126" xr:uid="{00000000-0005-0000-0000-0000B7810000}"/>
    <cellStyle name="Normal 8 37" xfId="33127" xr:uid="{00000000-0005-0000-0000-0000B8810000}"/>
    <cellStyle name="Normal 8 38" xfId="33128" xr:uid="{00000000-0005-0000-0000-0000B9810000}"/>
    <cellStyle name="Normal 8 39" xfId="33129" xr:uid="{00000000-0005-0000-0000-0000BA810000}"/>
    <cellStyle name="Normal 8 4" xfId="33130" xr:uid="{00000000-0005-0000-0000-0000BB810000}"/>
    <cellStyle name="Normal 8 4 2" xfId="33131" xr:uid="{00000000-0005-0000-0000-0000BC810000}"/>
    <cellStyle name="Normal 8 4 2 2" xfId="33132" xr:uid="{00000000-0005-0000-0000-0000BD810000}"/>
    <cellStyle name="Normal 8 4 3" xfId="33133" xr:uid="{00000000-0005-0000-0000-0000BE810000}"/>
    <cellStyle name="Normal 8 4 3 2" xfId="33134" xr:uid="{00000000-0005-0000-0000-0000BF810000}"/>
    <cellStyle name="Normal 8 4 4" xfId="33135" xr:uid="{00000000-0005-0000-0000-0000C0810000}"/>
    <cellStyle name="Normal 8 40" xfId="33136" xr:uid="{00000000-0005-0000-0000-0000C1810000}"/>
    <cellStyle name="Normal 8 41" xfId="33137" xr:uid="{00000000-0005-0000-0000-0000C2810000}"/>
    <cellStyle name="Normal 8 42" xfId="36354" xr:uid="{00000000-0005-0000-0000-0000C3810000}"/>
    <cellStyle name="Normal 8 5" xfId="33138" xr:uid="{00000000-0005-0000-0000-0000C4810000}"/>
    <cellStyle name="Normal 8 5 2" xfId="33139" xr:uid="{00000000-0005-0000-0000-0000C5810000}"/>
    <cellStyle name="Normal 8 6" xfId="33140" xr:uid="{00000000-0005-0000-0000-0000C6810000}"/>
    <cellStyle name="Normal 8 6 2" xfId="33141" xr:uid="{00000000-0005-0000-0000-0000C7810000}"/>
    <cellStyle name="Normal 8 7" xfId="33142" xr:uid="{00000000-0005-0000-0000-0000C8810000}"/>
    <cellStyle name="Normal 8 8" xfId="33143" xr:uid="{00000000-0005-0000-0000-0000C9810000}"/>
    <cellStyle name="Normal 8 9" xfId="33144" xr:uid="{00000000-0005-0000-0000-0000CA810000}"/>
    <cellStyle name="Normal 80" xfId="33145" xr:uid="{00000000-0005-0000-0000-0000CB810000}"/>
    <cellStyle name="Normal 81" xfId="33146" xr:uid="{00000000-0005-0000-0000-0000CC810000}"/>
    <cellStyle name="Normal 82" xfId="33147" xr:uid="{00000000-0005-0000-0000-0000CD810000}"/>
    <cellStyle name="Normal 83" xfId="33148" xr:uid="{00000000-0005-0000-0000-0000CE810000}"/>
    <cellStyle name="Normal 84" xfId="33149" xr:uid="{00000000-0005-0000-0000-0000CF810000}"/>
    <cellStyle name="Normal 85" xfId="33150" xr:uid="{00000000-0005-0000-0000-0000D0810000}"/>
    <cellStyle name="Normal 86" xfId="33151" xr:uid="{00000000-0005-0000-0000-0000D1810000}"/>
    <cellStyle name="Normal 87" xfId="33152" xr:uid="{00000000-0005-0000-0000-0000D2810000}"/>
    <cellStyle name="Normal 88" xfId="33153" xr:uid="{00000000-0005-0000-0000-0000D3810000}"/>
    <cellStyle name="Normal 89" xfId="33154" xr:uid="{00000000-0005-0000-0000-0000D4810000}"/>
    <cellStyle name="Normal 9" xfId="33155" xr:uid="{00000000-0005-0000-0000-0000D5810000}"/>
    <cellStyle name="Normal 9 10" xfId="33156" xr:uid="{00000000-0005-0000-0000-0000D6810000}"/>
    <cellStyle name="Normal 9 11" xfId="33157" xr:uid="{00000000-0005-0000-0000-0000D7810000}"/>
    <cellStyle name="Normal 9 12" xfId="33158" xr:uid="{00000000-0005-0000-0000-0000D8810000}"/>
    <cellStyle name="Normal 9 13" xfId="33159" xr:uid="{00000000-0005-0000-0000-0000D9810000}"/>
    <cellStyle name="Normal 9 14" xfId="33160" xr:uid="{00000000-0005-0000-0000-0000DA810000}"/>
    <cellStyle name="Normal 9 15" xfId="33161" xr:uid="{00000000-0005-0000-0000-0000DB810000}"/>
    <cellStyle name="Normal 9 16" xfId="33162" xr:uid="{00000000-0005-0000-0000-0000DC810000}"/>
    <cellStyle name="Normal 9 17" xfId="33163" xr:uid="{00000000-0005-0000-0000-0000DD810000}"/>
    <cellStyle name="Normal 9 18" xfId="33164" xr:uid="{00000000-0005-0000-0000-0000DE810000}"/>
    <cellStyle name="Normal 9 19" xfId="33165" xr:uid="{00000000-0005-0000-0000-0000DF810000}"/>
    <cellStyle name="Normal 9 2" xfId="33166" xr:uid="{00000000-0005-0000-0000-0000E0810000}"/>
    <cellStyle name="Normal 9 20" xfId="33167" xr:uid="{00000000-0005-0000-0000-0000E1810000}"/>
    <cellStyle name="Normal 9 21" xfId="33168" xr:uid="{00000000-0005-0000-0000-0000E2810000}"/>
    <cellStyle name="Normal 9 22" xfId="33169" xr:uid="{00000000-0005-0000-0000-0000E3810000}"/>
    <cellStyle name="Normal 9 23" xfId="33170" xr:uid="{00000000-0005-0000-0000-0000E4810000}"/>
    <cellStyle name="Normal 9 24" xfId="33171" xr:uid="{00000000-0005-0000-0000-0000E5810000}"/>
    <cellStyle name="Normal 9 25" xfId="33172" xr:uid="{00000000-0005-0000-0000-0000E6810000}"/>
    <cellStyle name="Normal 9 26" xfId="33173" xr:uid="{00000000-0005-0000-0000-0000E7810000}"/>
    <cellStyle name="Normal 9 27" xfId="33174" xr:uid="{00000000-0005-0000-0000-0000E8810000}"/>
    <cellStyle name="Normal 9 28" xfId="33175" xr:uid="{00000000-0005-0000-0000-0000E9810000}"/>
    <cellStyle name="Normal 9 29" xfId="33176" xr:uid="{00000000-0005-0000-0000-0000EA810000}"/>
    <cellStyle name="Normal 9 3" xfId="33177" xr:uid="{00000000-0005-0000-0000-0000EB810000}"/>
    <cellStyle name="Normal 9 30" xfId="33178" xr:uid="{00000000-0005-0000-0000-0000EC810000}"/>
    <cellStyle name="Normal 9 31" xfId="33179" xr:uid="{00000000-0005-0000-0000-0000ED810000}"/>
    <cellStyle name="Normal 9 32" xfId="33180" xr:uid="{00000000-0005-0000-0000-0000EE810000}"/>
    <cellStyle name="Normal 9 33" xfId="33181" xr:uid="{00000000-0005-0000-0000-0000EF810000}"/>
    <cellStyle name="Normal 9 34" xfId="33182" xr:uid="{00000000-0005-0000-0000-0000F0810000}"/>
    <cellStyle name="Normal 9 35" xfId="33183" xr:uid="{00000000-0005-0000-0000-0000F1810000}"/>
    <cellStyle name="Normal 9 36" xfId="33184" xr:uid="{00000000-0005-0000-0000-0000F2810000}"/>
    <cellStyle name="Normal 9 37" xfId="33185" xr:uid="{00000000-0005-0000-0000-0000F3810000}"/>
    <cellStyle name="Normal 9 38" xfId="33186" xr:uid="{00000000-0005-0000-0000-0000F4810000}"/>
    <cellStyle name="Normal 9 39" xfId="33187" xr:uid="{00000000-0005-0000-0000-0000F5810000}"/>
    <cellStyle name="Normal 9 4" xfId="33188" xr:uid="{00000000-0005-0000-0000-0000F6810000}"/>
    <cellStyle name="Normal 9 40" xfId="33189" xr:uid="{00000000-0005-0000-0000-0000F7810000}"/>
    <cellStyle name="Normal 9 41" xfId="33190" xr:uid="{00000000-0005-0000-0000-0000F8810000}"/>
    <cellStyle name="Normal 9 5" xfId="33191" xr:uid="{00000000-0005-0000-0000-0000F9810000}"/>
    <cellStyle name="Normal 9 6" xfId="33192" xr:uid="{00000000-0005-0000-0000-0000FA810000}"/>
    <cellStyle name="Normal 9 7" xfId="33193" xr:uid="{00000000-0005-0000-0000-0000FB810000}"/>
    <cellStyle name="Normal 9 8" xfId="33194" xr:uid="{00000000-0005-0000-0000-0000FC810000}"/>
    <cellStyle name="Normal 9 9" xfId="33195" xr:uid="{00000000-0005-0000-0000-0000FD810000}"/>
    <cellStyle name="Normal 90" xfId="33196" xr:uid="{00000000-0005-0000-0000-0000FE810000}"/>
    <cellStyle name="Normal 91" xfId="33197" xr:uid="{00000000-0005-0000-0000-0000FF810000}"/>
    <cellStyle name="Normal 92" xfId="33198" xr:uid="{00000000-0005-0000-0000-000000820000}"/>
    <cellStyle name="Normal 93" xfId="33199" xr:uid="{00000000-0005-0000-0000-000001820000}"/>
    <cellStyle name="Normal 94" xfId="33200" xr:uid="{00000000-0005-0000-0000-000002820000}"/>
    <cellStyle name="Normal 95" xfId="33201" xr:uid="{00000000-0005-0000-0000-000003820000}"/>
    <cellStyle name="Normal 96" xfId="33202" xr:uid="{00000000-0005-0000-0000-000004820000}"/>
    <cellStyle name="Normal 97" xfId="33203" xr:uid="{00000000-0005-0000-0000-000005820000}"/>
    <cellStyle name="Normal 98" xfId="33204" xr:uid="{00000000-0005-0000-0000-000006820000}"/>
    <cellStyle name="Normal 99" xfId="33205" xr:uid="{00000000-0005-0000-0000-000007820000}"/>
    <cellStyle name="Normale lib." xfId="33206" xr:uid="{00000000-0005-0000-0000-000008820000}"/>
    <cellStyle name="Normale_ cellular Costs" xfId="33207" xr:uid="{00000000-0005-0000-0000-000009820000}"/>
    <cellStyle name="Notas" xfId="50" builtinId="10" customBuiltin="1"/>
    <cellStyle name="Notas 10" xfId="33208" xr:uid="{00000000-0005-0000-0000-00000B820000}"/>
    <cellStyle name="Notas 10 2" xfId="33209" xr:uid="{00000000-0005-0000-0000-00000C820000}"/>
    <cellStyle name="Notas 11" xfId="33210" xr:uid="{00000000-0005-0000-0000-00000D820000}"/>
    <cellStyle name="Notas 11 2" xfId="33211" xr:uid="{00000000-0005-0000-0000-00000E820000}"/>
    <cellStyle name="Notas 12" xfId="33212" xr:uid="{00000000-0005-0000-0000-00000F820000}"/>
    <cellStyle name="Notas 13" xfId="33213" xr:uid="{00000000-0005-0000-0000-000010820000}"/>
    <cellStyle name="Notas 14" xfId="33214" xr:uid="{00000000-0005-0000-0000-000011820000}"/>
    <cellStyle name="Notas 2" xfId="51" xr:uid="{00000000-0005-0000-0000-000012820000}"/>
    <cellStyle name="Notas 2 10" xfId="33216" xr:uid="{00000000-0005-0000-0000-000013820000}"/>
    <cellStyle name="Notas 2 11" xfId="33217" xr:uid="{00000000-0005-0000-0000-000014820000}"/>
    <cellStyle name="Notas 2 12" xfId="33218" xr:uid="{00000000-0005-0000-0000-000015820000}"/>
    <cellStyle name="Notas 2 13" xfId="33219" xr:uid="{00000000-0005-0000-0000-000016820000}"/>
    <cellStyle name="Notas 2 14" xfId="33220" xr:uid="{00000000-0005-0000-0000-000017820000}"/>
    <cellStyle name="Notas 2 15" xfId="33221" xr:uid="{00000000-0005-0000-0000-000018820000}"/>
    <cellStyle name="Notas 2 16" xfId="33222" xr:uid="{00000000-0005-0000-0000-000019820000}"/>
    <cellStyle name="Notas 2 17" xfId="33223" xr:uid="{00000000-0005-0000-0000-00001A820000}"/>
    <cellStyle name="Notas 2 18" xfId="33224" xr:uid="{00000000-0005-0000-0000-00001B820000}"/>
    <cellStyle name="Notas 2 19" xfId="33225" xr:uid="{00000000-0005-0000-0000-00001C820000}"/>
    <cellStyle name="Notas 2 2" xfId="33226" xr:uid="{00000000-0005-0000-0000-00001D820000}"/>
    <cellStyle name="Notas 2 2 2" xfId="33227" xr:uid="{00000000-0005-0000-0000-00001E820000}"/>
    <cellStyle name="Notas 2 2 2 2" xfId="33228" xr:uid="{00000000-0005-0000-0000-00001F820000}"/>
    <cellStyle name="Notas 2 2 2 2 2" xfId="33229" xr:uid="{00000000-0005-0000-0000-000020820000}"/>
    <cellStyle name="Notas 2 2 2 2 2 2" xfId="33230" xr:uid="{00000000-0005-0000-0000-000021820000}"/>
    <cellStyle name="Notas 2 2 2 2 2 2 2" xfId="33231" xr:uid="{00000000-0005-0000-0000-000022820000}"/>
    <cellStyle name="Notas 2 2 2 2 2 3" xfId="33232" xr:uid="{00000000-0005-0000-0000-000023820000}"/>
    <cellStyle name="Notas 2 2 2 2 2 3 2" xfId="33233" xr:uid="{00000000-0005-0000-0000-000024820000}"/>
    <cellStyle name="Notas 2 2 2 2 2 4" xfId="33234" xr:uid="{00000000-0005-0000-0000-000025820000}"/>
    <cellStyle name="Notas 2 2 2 2 3" xfId="33235" xr:uid="{00000000-0005-0000-0000-000026820000}"/>
    <cellStyle name="Notas 2 2 2 2 3 2" xfId="33236" xr:uid="{00000000-0005-0000-0000-000027820000}"/>
    <cellStyle name="Notas 2 2 2 2 4" xfId="33237" xr:uid="{00000000-0005-0000-0000-000028820000}"/>
    <cellStyle name="Notas 2 2 2 2 4 2" xfId="33238" xr:uid="{00000000-0005-0000-0000-000029820000}"/>
    <cellStyle name="Notas 2 2 2 2 5" xfId="33239" xr:uid="{00000000-0005-0000-0000-00002A820000}"/>
    <cellStyle name="Notas 2 2 2 3" xfId="33240" xr:uid="{00000000-0005-0000-0000-00002B820000}"/>
    <cellStyle name="Notas 2 2 2 3 2" xfId="33241" xr:uid="{00000000-0005-0000-0000-00002C820000}"/>
    <cellStyle name="Notas 2 2 2 3 2 2" xfId="33242" xr:uid="{00000000-0005-0000-0000-00002D820000}"/>
    <cellStyle name="Notas 2 2 2 3 3" xfId="33243" xr:uid="{00000000-0005-0000-0000-00002E820000}"/>
    <cellStyle name="Notas 2 2 2 3 3 2" xfId="33244" xr:uid="{00000000-0005-0000-0000-00002F820000}"/>
    <cellStyle name="Notas 2 2 2 3 4" xfId="33245" xr:uid="{00000000-0005-0000-0000-000030820000}"/>
    <cellStyle name="Notas 2 2 2 4" xfId="33246" xr:uid="{00000000-0005-0000-0000-000031820000}"/>
    <cellStyle name="Notas 2 2 2 4 2" xfId="33247" xr:uid="{00000000-0005-0000-0000-000032820000}"/>
    <cellStyle name="Notas 2 2 2 5" xfId="33248" xr:uid="{00000000-0005-0000-0000-000033820000}"/>
    <cellStyle name="Notas 2 2 2 5 2" xfId="33249" xr:uid="{00000000-0005-0000-0000-000034820000}"/>
    <cellStyle name="Notas 2 2 2 6" xfId="33250" xr:uid="{00000000-0005-0000-0000-000035820000}"/>
    <cellStyle name="Notas 2 2 2 7" xfId="33251" xr:uid="{00000000-0005-0000-0000-000036820000}"/>
    <cellStyle name="Notas 2 2 3" xfId="33252" xr:uid="{00000000-0005-0000-0000-000037820000}"/>
    <cellStyle name="Notas 2 2 3 2" xfId="33253" xr:uid="{00000000-0005-0000-0000-000038820000}"/>
    <cellStyle name="Notas 2 2 3 2 2" xfId="33254" xr:uid="{00000000-0005-0000-0000-000039820000}"/>
    <cellStyle name="Notas 2 2 3 2 2 2" xfId="33255" xr:uid="{00000000-0005-0000-0000-00003A820000}"/>
    <cellStyle name="Notas 2 2 3 2 3" xfId="33256" xr:uid="{00000000-0005-0000-0000-00003B820000}"/>
    <cellStyle name="Notas 2 2 3 2 3 2" xfId="33257" xr:uid="{00000000-0005-0000-0000-00003C820000}"/>
    <cellStyle name="Notas 2 2 3 2 4" xfId="33258" xr:uid="{00000000-0005-0000-0000-00003D820000}"/>
    <cellStyle name="Notas 2 2 3 3" xfId="33259" xr:uid="{00000000-0005-0000-0000-00003E820000}"/>
    <cellStyle name="Notas 2 2 3 3 2" xfId="33260" xr:uid="{00000000-0005-0000-0000-00003F820000}"/>
    <cellStyle name="Notas 2 2 3 4" xfId="33261" xr:uid="{00000000-0005-0000-0000-000040820000}"/>
    <cellStyle name="Notas 2 2 3 4 2" xfId="33262" xr:uid="{00000000-0005-0000-0000-000041820000}"/>
    <cellStyle name="Notas 2 2 3 5" xfId="33263" xr:uid="{00000000-0005-0000-0000-000042820000}"/>
    <cellStyle name="Notas 2 2 4" xfId="33264" xr:uid="{00000000-0005-0000-0000-000043820000}"/>
    <cellStyle name="Notas 2 2 4 2" xfId="33265" xr:uid="{00000000-0005-0000-0000-000044820000}"/>
    <cellStyle name="Notas 2 2 4 2 2" xfId="33266" xr:uid="{00000000-0005-0000-0000-000045820000}"/>
    <cellStyle name="Notas 2 2 4 3" xfId="33267" xr:uid="{00000000-0005-0000-0000-000046820000}"/>
    <cellStyle name="Notas 2 2 4 3 2" xfId="33268" xr:uid="{00000000-0005-0000-0000-000047820000}"/>
    <cellStyle name="Notas 2 2 4 4" xfId="33269" xr:uid="{00000000-0005-0000-0000-000048820000}"/>
    <cellStyle name="Notas 2 2 5" xfId="33270" xr:uid="{00000000-0005-0000-0000-000049820000}"/>
    <cellStyle name="Notas 2 2 5 2" xfId="33271" xr:uid="{00000000-0005-0000-0000-00004A820000}"/>
    <cellStyle name="Notas 2 2 6" xfId="33272" xr:uid="{00000000-0005-0000-0000-00004B820000}"/>
    <cellStyle name="Notas 2 2 6 2" xfId="33273" xr:uid="{00000000-0005-0000-0000-00004C820000}"/>
    <cellStyle name="Notas 2 2 7" xfId="33274" xr:uid="{00000000-0005-0000-0000-00004D820000}"/>
    <cellStyle name="Notas 2 2 8" xfId="33275" xr:uid="{00000000-0005-0000-0000-00004E820000}"/>
    <cellStyle name="Notas 2 20" xfId="33276" xr:uid="{00000000-0005-0000-0000-00004F820000}"/>
    <cellStyle name="Notas 2 21" xfId="33277" xr:uid="{00000000-0005-0000-0000-000050820000}"/>
    <cellStyle name="Notas 2 22" xfId="33278" xr:uid="{00000000-0005-0000-0000-000051820000}"/>
    <cellStyle name="Notas 2 23" xfId="33279" xr:uid="{00000000-0005-0000-0000-000052820000}"/>
    <cellStyle name="Notas 2 24" xfId="33280" xr:uid="{00000000-0005-0000-0000-000053820000}"/>
    <cellStyle name="Notas 2 25" xfId="33281" xr:uid="{00000000-0005-0000-0000-000054820000}"/>
    <cellStyle name="Notas 2 26" xfId="33282" xr:uid="{00000000-0005-0000-0000-000055820000}"/>
    <cellStyle name="Notas 2 27" xfId="33283" xr:uid="{00000000-0005-0000-0000-000056820000}"/>
    <cellStyle name="Notas 2 28" xfId="33284" xr:uid="{00000000-0005-0000-0000-000057820000}"/>
    <cellStyle name="Notas 2 29" xfId="33285" xr:uid="{00000000-0005-0000-0000-000058820000}"/>
    <cellStyle name="Notas 2 3" xfId="33286" xr:uid="{00000000-0005-0000-0000-000059820000}"/>
    <cellStyle name="Notas 2 3 2" xfId="33287" xr:uid="{00000000-0005-0000-0000-00005A820000}"/>
    <cellStyle name="Notas 2 3 2 2" xfId="33288" xr:uid="{00000000-0005-0000-0000-00005B820000}"/>
    <cellStyle name="Notas 2 3 2 2 2" xfId="33289" xr:uid="{00000000-0005-0000-0000-00005C820000}"/>
    <cellStyle name="Notas 2 3 2 2 2 2" xfId="33290" xr:uid="{00000000-0005-0000-0000-00005D820000}"/>
    <cellStyle name="Notas 2 3 2 2 3" xfId="33291" xr:uid="{00000000-0005-0000-0000-00005E820000}"/>
    <cellStyle name="Notas 2 3 2 2 3 2" xfId="33292" xr:uid="{00000000-0005-0000-0000-00005F820000}"/>
    <cellStyle name="Notas 2 3 2 2 4" xfId="33293" xr:uid="{00000000-0005-0000-0000-000060820000}"/>
    <cellStyle name="Notas 2 3 2 3" xfId="33294" xr:uid="{00000000-0005-0000-0000-000061820000}"/>
    <cellStyle name="Notas 2 3 2 3 2" xfId="33295" xr:uid="{00000000-0005-0000-0000-000062820000}"/>
    <cellStyle name="Notas 2 3 2 4" xfId="33296" xr:uid="{00000000-0005-0000-0000-000063820000}"/>
    <cellStyle name="Notas 2 3 2 4 2" xfId="33297" xr:uid="{00000000-0005-0000-0000-000064820000}"/>
    <cellStyle name="Notas 2 3 2 5" xfId="33298" xr:uid="{00000000-0005-0000-0000-000065820000}"/>
    <cellStyle name="Notas 2 3 3" xfId="33299" xr:uid="{00000000-0005-0000-0000-000066820000}"/>
    <cellStyle name="Notas 2 3 3 2" xfId="33300" xr:uid="{00000000-0005-0000-0000-000067820000}"/>
    <cellStyle name="Notas 2 3 3 2 2" xfId="33301" xr:uid="{00000000-0005-0000-0000-000068820000}"/>
    <cellStyle name="Notas 2 3 3 3" xfId="33302" xr:uid="{00000000-0005-0000-0000-000069820000}"/>
    <cellStyle name="Notas 2 3 3 3 2" xfId="33303" xr:uid="{00000000-0005-0000-0000-00006A820000}"/>
    <cellStyle name="Notas 2 3 3 4" xfId="33304" xr:uid="{00000000-0005-0000-0000-00006B820000}"/>
    <cellStyle name="Notas 2 3 4" xfId="33305" xr:uid="{00000000-0005-0000-0000-00006C820000}"/>
    <cellStyle name="Notas 2 3 4 2" xfId="33306" xr:uid="{00000000-0005-0000-0000-00006D820000}"/>
    <cellStyle name="Notas 2 3 5" xfId="33307" xr:uid="{00000000-0005-0000-0000-00006E820000}"/>
    <cellStyle name="Notas 2 3 5 2" xfId="33308" xr:uid="{00000000-0005-0000-0000-00006F820000}"/>
    <cellStyle name="Notas 2 3 6" xfId="33309" xr:uid="{00000000-0005-0000-0000-000070820000}"/>
    <cellStyle name="Notas 2 3 7" xfId="33310" xr:uid="{00000000-0005-0000-0000-000071820000}"/>
    <cellStyle name="Notas 2 30" xfId="33311" xr:uid="{00000000-0005-0000-0000-000072820000}"/>
    <cellStyle name="Notas 2 31" xfId="33312" xr:uid="{00000000-0005-0000-0000-000073820000}"/>
    <cellStyle name="Notas 2 32" xfId="33313" xr:uid="{00000000-0005-0000-0000-000074820000}"/>
    <cellStyle name="Notas 2 33" xfId="33314" xr:uid="{00000000-0005-0000-0000-000075820000}"/>
    <cellStyle name="Notas 2 34" xfId="33315" xr:uid="{00000000-0005-0000-0000-000076820000}"/>
    <cellStyle name="Notas 2 35" xfId="33316" xr:uid="{00000000-0005-0000-0000-000077820000}"/>
    <cellStyle name="Notas 2 36" xfId="33317" xr:uid="{00000000-0005-0000-0000-000078820000}"/>
    <cellStyle name="Notas 2 37" xfId="33318" xr:uid="{00000000-0005-0000-0000-000079820000}"/>
    <cellStyle name="Notas 2 38" xfId="33319" xr:uid="{00000000-0005-0000-0000-00007A820000}"/>
    <cellStyle name="Notas 2 39" xfId="33320" xr:uid="{00000000-0005-0000-0000-00007B820000}"/>
    <cellStyle name="Notas 2 4" xfId="33321" xr:uid="{00000000-0005-0000-0000-00007C820000}"/>
    <cellStyle name="Notas 2 4 2" xfId="33322" xr:uid="{00000000-0005-0000-0000-00007D820000}"/>
    <cellStyle name="Notas 2 4 2 2" xfId="33323" xr:uid="{00000000-0005-0000-0000-00007E820000}"/>
    <cellStyle name="Notas 2 4 2 2 2" xfId="33324" xr:uid="{00000000-0005-0000-0000-00007F820000}"/>
    <cellStyle name="Notas 2 4 2 3" xfId="33325" xr:uid="{00000000-0005-0000-0000-000080820000}"/>
    <cellStyle name="Notas 2 4 2 3 2" xfId="33326" xr:uid="{00000000-0005-0000-0000-000081820000}"/>
    <cellStyle name="Notas 2 4 2 4" xfId="33327" xr:uid="{00000000-0005-0000-0000-000082820000}"/>
    <cellStyle name="Notas 2 4 3" xfId="33328" xr:uid="{00000000-0005-0000-0000-000083820000}"/>
    <cellStyle name="Notas 2 4 3 2" xfId="33329" xr:uid="{00000000-0005-0000-0000-000084820000}"/>
    <cellStyle name="Notas 2 4 4" xfId="33330" xr:uid="{00000000-0005-0000-0000-000085820000}"/>
    <cellStyle name="Notas 2 4 4 2" xfId="33331" xr:uid="{00000000-0005-0000-0000-000086820000}"/>
    <cellStyle name="Notas 2 4 5" xfId="33332" xr:uid="{00000000-0005-0000-0000-000087820000}"/>
    <cellStyle name="Notas 2 40" xfId="33333" xr:uid="{00000000-0005-0000-0000-000088820000}"/>
    <cellStyle name="Notas 2 41" xfId="33334" xr:uid="{00000000-0005-0000-0000-000089820000}"/>
    <cellStyle name="Notas 2 42" xfId="33215" xr:uid="{00000000-0005-0000-0000-00008A820000}"/>
    <cellStyle name="Notas 2 5" xfId="33335" xr:uid="{00000000-0005-0000-0000-00008B820000}"/>
    <cellStyle name="Notas 2 5 2" xfId="33336" xr:uid="{00000000-0005-0000-0000-00008C820000}"/>
    <cellStyle name="Notas 2 5 2 2" xfId="33337" xr:uid="{00000000-0005-0000-0000-00008D820000}"/>
    <cellStyle name="Notas 2 5 3" xfId="33338" xr:uid="{00000000-0005-0000-0000-00008E820000}"/>
    <cellStyle name="Notas 2 5 3 2" xfId="33339" xr:uid="{00000000-0005-0000-0000-00008F820000}"/>
    <cellStyle name="Notas 2 5 4" xfId="33340" xr:uid="{00000000-0005-0000-0000-000090820000}"/>
    <cellStyle name="Notas 2 6" xfId="33341" xr:uid="{00000000-0005-0000-0000-000091820000}"/>
    <cellStyle name="Notas 2 6 2" xfId="33342" xr:uid="{00000000-0005-0000-0000-000092820000}"/>
    <cellStyle name="Notas 2 7" xfId="33343" xr:uid="{00000000-0005-0000-0000-000093820000}"/>
    <cellStyle name="Notas 2 7 2" xfId="33344" xr:uid="{00000000-0005-0000-0000-000094820000}"/>
    <cellStyle name="Notas 2 8" xfId="33345" xr:uid="{00000000-0005-0000-0000-000095820000}"/>
    <cellStyle name="Notas 2 9" xfId="33346" xr:uid="{00000000-0005-0000-0000-000096820000}"/>
    <cellStyle name="Notas 3" xfId="33347" xr:uid="{00000000-0005-0000-0000-000097820000}"/>
    <cellStyle name="Notas 3 10" xfId="33348" xr:uid="{00000000-0005-0000-0000-000098820000}"/>
    <cellStyle name="Notas 3 11" xfId="33349" xr:uid="{00000000-0005-0000-0000-000099820000}"/>
    <cellStyle name="Notas 3 12" xfId="33350" xr:uid="{00000000-0005-0000-0000-00009A820000}"/>
    <cellStyle name="Notas 3 13" xfId="33351" xr:uid="{00000000-0005-0000-0000-00009B820000}"/>
    <cellStyle name="Notas 3 14" xfId="33352" xr:uid="{00000000-0005-0000-0000-00009C820000}"/>
    <cellStyle name="Notas 3 15" xfId="33353" xr:uid="{00000000-0005-0000-0000-00009D820000}"/>
    <cellStyle name="Notas 3 16" xfId="33354" xr:uid="{00000000-0005-0000-0000-00009E820000}"/>
    <cellStyle name="Notas 3 17" xfId="33355" xr:uid="{00000000-0005-0000-0000-00009F820000}"/>
    <cellStyle name="Notas 3 18" xfId="33356" xr:uid="{00000000-0005-0000-0000-0000A0820000}"/>
    <cellStyle name="Notas 3 19" xfId="33357" xr:uid="{00000000-0005-0000-0000-0000A1820000}"/>
    <cellStyle name="Notas 3 2" xfId="33358" xr:uid="{00000000-0005-0000-0000-0000A2820000}"/>
    <cellStyle name="Notas 3 2 2" xfId="33359" xr:uid="{00000000-0005-0000-0000-0000A3820000}"/>
    <cellStyle name="Notas 3 2 2 2" xfId="33360" xr:uid="{00000000-0005-0000-0000-0000A4820000}"/>
    <cellStyle name="Notas 3 2 2 2 2" xfId="33361" xr:uid="{00000000-0005-0000-0000-0000A5820000}"/>
    <cellStyle name="Notas 3 2 2 2 2 2" xfId="33362" xr:uid="{00000000-0005-0000-0000-0000A6820000}"/>
    <cellStyle name="Notas 3 2 2 2 3" xfId="33363" xr:uid="{00000000-0005-0000-0000-0000A7820000}"/>
    <cellStyle name="Notas 3 2 2 2 3 2" xfId="33364" xr:uid="{00000000-0005-0000-0000-0000A8820000}"/>
    <cellStyle name="Notas 3 2 2 2 4" xfId="33365" xr:uid="{00000000-0005-0000-0000-0000A9820000}"/>
    <cellStyle name="Notas 3 2 2 3" xfId="33366" xr:uid="{00000000-0005-0000-0000-0000AA820000}"/>
    <cellStyle name="Notas 3 2 2 3 2" xfId="33367" xr:uid="{00000000-0005-0000-0000-0000AB820000}"/>
    <cellStyle name="Notas 3 2 2 4" xfId="33368" xr:uid="{00000000-0005-0000-0000-0000AC820000}"/>
    <cellStyle name="Notas 3 2 2 4 2" xfId="33369" xr:uid="{00000000-0005-0000-0000-0000AD820000}"/>
    <cellStyle name="Notas 3 2 2 5" xfId="33370" xr:uid="{00000000-0005-0000-0000-0000AE820000}"/>
    <cellStyle name="Notas 3 2 3" xfId="33371" xr:uid="{00000000-0005-0000-0000-0000AF820000}"/>
    <cellStyle name="Notas 3 2 3 2" xfId="33372" xr:uid="{00000000-0005-0000-0000-0000B0820000}"/>
    <cellStyle name="Notas 3 2 3 2 2" xfId="33373" xr:uid="{00000000-0005-0000-0000-0000B1820000}"/>
    <cellStyle name="Notas 3 2 3 3" xfId="33374" xr:uid="{00000000-0005-0000-0000-0000B2820000}"/>
    <cellStyle name="Notas 3 2 3 3 2" xfId="33375" xr:uid="{00000000-0005-0000-0000-0000B3820000}"/>
    <cellStyle name="Notas 3 2 3 4" xfId="33376" xr:uid="{00000000-0005-0000-0000-0000B4820000}"/>
    <cellStyle name="Notas 3 2 4" xfId="33377" xr:uid="{00000000-0005-0000-0000-0000B5820000}"/>
    <cellStyle name="Notas 3 2 4 2" xfId="33378" xr:uid="{00000000-0005-0000-0000-0000B6820000}"/>
    <cellStyle name="Notas 3 2 5" xfId="33379" xr:uid="{00000000-0005-0000-0000-0000B7820000}"/>
    <cellStyle name="Notas 3 2 5 2" xfId="33380" xr:uid="{00000000-0005-0000-0000-0000B8820000}"/>
    <cellStyle name="Notas 3 2 6" xfId="33381" xr:uid="{00000000-0005-0000-0000-0000B9820000}"/>
    <cellStyle name="Notas 3 2 7" xfId="33382" xr:uid="{00000000-0005-0000-0000-0000BA820000}"/>
    <cellStyle name="Notas 3 20" xfId="33383" xr:uid="{00000000-0005-0000-0000-0000BB820000}"/>
    <cellStyle name="Notas 3 21" xfId="33384" xr:uid="{00000000-0005-0000-0000-0000BC820000}"/>
    <cellStyle name="Notas 3 22" xfId="33385" xr:uid="{00000000-0005-0000-0000-0000BD820000}"/>
    <cellStyle name="Notas 3 23" xfId="33386" xr:uid="{00000000-0005-0000-0000-0000BE820000}"/>
    <cellStyle name="Notas 3 24" xfId="33387" xr:uid="{00000000-0005-0000-0000-0000BF820000}"/>
    <cellStyle name="Notas 3 25" xfId="33388" xr:uid="{00000000-0005-0000-0000-0000C0820000}"/>
    <cellStyle name="Notas 3 26" xfId="33389" xr:uid="{00000000-0005-0000-0000-0000C1820000}"/>
    <cellStyle name="Notas 3 27" xfId="33390" xr:uid="{00000000-0005-0000-0000-0000C2820000}"/>
    <cellStyle name="Notas 3 28" xfId="33391" xr:uid="{00000000-0005-0000-0000-0000C3820000}"/>
    <cellStyle name="Notas 3 29" xfId="33392" xr:uid="{00000000-0005-0000-0000-0000C4820000}"/>
    <cellStyle name="Notas 3 3" xfId="33393" xr:uid="{00000000-0005-0000-0000-0000C5820000}"/>
    <cellStyle name="Notas 3 3 2" xfId="33394" xr:uid="{00000000-0005-0000-0000-0000C6820000}"/>
    <cellStyle name="Notas 3 3 2 2" xfId="33395" xr:uid="{00000000-0005-0000-0000-0000C7820000}"/>
    <cellStyle name="Notas 3 3 2 2 2" xfId="33396" xr:uid="{00000000-0005-0000-0000-0000C8820000}"/>
    <cellStyle name="Notas 3 3 2 3" xfId="33397" xr:uid="{00000000-0005-0000-0000-0000C9820000}"/>
    <cellStyle name="Notas 3 3 2 3 2" xfId="33398" xr:uid="{00000000-0005-0000-0000-0000CA820000}"/>
    <cellStyle name="Notas 3 3 2 4" xfId="33399" xr:uid="{00000000-0005-0000-0000-0000CB820000}"/>
    <cellStyle name="Notas 3 3 3" xfId="33400" xr:uid="{00000000-0005-0000-0000-0000CC820000}"/>
    <cellStyle name="Notas 3 3 3 2" xfId="33401" xr:uid="{00000000-0005-0000-0000-0000CD820000}"/>
    <cellStyle name="Notas 3 3 4" xfId="33402" xr:uid="{00000000-0005-0000-0000-0000CE820000}"/>
    <cellStyle name="Notas 3 3 4 2" xfId="33403" xr:uid="{00000000-0005-0000-0000-0000CF820000}"/>
    <cellStyle name="Notas 3 3 5" xfId="33404" xr:uid="{00000000-0005-0000-0000-0000D0820000}"/>
    <cellStyle name="Notas 3 30" xfId="33405" xr:uid="{00000000-0005-0000-0000-0000D1820000}"/>
    <cellStyle name="Notas 3 31" xfId="33406" xr:uid="{00000000-0005-0000-0000-0000D2820000}"/>
    <cellStyle name="Notas 3 32" xfId="33407" xr:uid="{00000000-0005-0000-0000-0000D3820000}"/>
    <cellStyle name="Notas 3 33" xfId="33408" xr:uid="{00000000-0005-0000-0000-0000D4820000}"/>
    <cellStyle name="Notas 3 34" xfId="33409" xr:uid="{00000000-0005-0000-0000-0000D5820000}"/>
    <cellStyle name="Notas 3 35" xfId="33410" xr:uid="{00000000-0005-0000-0000-0000D6820000}"/>
    <cellStyle name="Notas 3 36" xfId="33411" xr:uid="{00000000-0005-0000-0000-0000D7820000}"/>
    <cellStyle name="Notas 3 4" xfId="33412" xr:uid="{00000000-0005-0000-0000-0000D8820000}"/>
    <cellStyle name="Notas 3 4 2" xfId="33413" xr:uid="{00000000-0005-0000-0000-0000D9820000}"/>
    <cellStyle name="Notas 3 4 2 2" xfId="33414" xr:uid="{00000000-0005-0000-0000-0000DA820000}"/>
    <cellStyle name="Notas 3 4 3" xfId="33415" xr:uid="{00000000-0005-0000-0000-0000DB820000}"/>
    <cellStyle name="Notas 3 4 3 2" xfId="33416" xr:uid="{00000000-0005-0000-0000-0000DC820000}"/>
    <cellStyle name="Notas 3 4 4" xfId="33417" xr:uid="{00000000-0005-0000-0000-0000DD820000}"/>
    <cellStyle name="Notas 3 5" xfId="33418" xr:uid="{00000000-0005-0000-0000-0000DE820000}"/>
    <cellStyle name="Notas 3 5 2" xfId="33419" xr:uid="{00000000-0005-0000-0000-0000DF820000}"/>
    <cellStyle name="Notas 3 6" xfId="33420" xr:uid="{00000000-0005-0000-0000-0000E0820000}"/>
    <cellStyle name="Notas 3 6 2" xfId="33421" xr:uid="{00000000-0005-0000-0000-0000E1820000}"/>
    <cellStyle name="Notas 3 7" xfId="33422" xr:uid="{00000000-0005-0000-0000-0000E2820000}"/>
    <cellStyle name="Notas 3 8" xfId="33423" xr:uid="{00000000-0005-0000-0000-0000E3820000}"/>
    <cellStyle name="Notas 3 9" xfId="33424" xr:uid="{00000000-0005-0000-0000-0000E4820000}"/>
    <cellStyle name="Notas 4" xfId="33425" xr:uid="{00000000-0005-0000-0000-0000E5820000}"/>
    <cellStyle name="Notas 4 2" xfId="33426" xr:uid="{00000000-0005-0000-0000-0000E6820000}"/>
    <cellStyle name="Notas 4 2 2" xfId="33427" xr:uid="{00000000-0005-0000-0000-0000E7820000}"/>
    <cellStyle name="Notas 4 2 2 2" xfId="33428" xr:uid="{00000000-0005-0000-0000-0000E8820000}"/>
    <cellStyle name="Notas 4 2 2 2 2" xfId="33429" xr:uid="{00000000-0005-0000-0000-0000E9820000}"/>
    <cellStyle name="Notas 4 2 2 2 2 2" xfId="33430" xr:uid="{00000000-0005-0000-0000-0000EA820000}"/>
    <cellStyle name="Notas 4 2 2 2 3" xfId="33431" xr:uid="{00000000-0005-0000-0000-0000EB820000}"/>
    <cellStyle name="Notas 4 2 2 2 3 2" xfId="33432" xr:uid="{00000000-0005-0000-0000-0000EC820000}"/>
    <cellStyle name="Notas 4 2 2 2 4" xfId="33433" xr:uid="{00000000-0005-0000-0000-0000ED820000}"/>
    <cellStyle name="Notas 4 2 2 3" xfId="33434" xr:uid="{00000000-0005-0000-0000-0000EE820000}"/>
    <cellStyle name="Notas 4 2 2 3 2" xfId="33435" xr:uid="{00000000-0005-0000-0000-0000EF820000}"/>
    <cellStyle name="Notas 4 2 2 4" xfId="33436" xr:uid="{00000000-0005-0000-0000-0000F0820000}"/>
    <cellStyle name="Notas 4 2 2 4 2" xfId="33437" xr:uid="{00000000-0005-0000-0000-0000F1820000}"/>
    <cellStyle name="Notas 4 2 2 5" xfId="33438" xr:uid="{00000000-0005-0000-0000-0000F2820000}"/>
    <cellStyle name="Notas 4 2 3" xfId="33439" xr:uid="{00000000-0005-0000-0000-0000F3820000}"/>
    <cellStyle name="Notas 4 2 3 2" xfId="33440" xr:uid="{00000000-0005-0000-0000-0000F4820000}"/>
    <cellStyle name="Notas 4 2 3 2 2" xfId="33441" xr:uid="{00000000-0005-0000-0000-0000F5820000}"/>
    <cellStyle name="Notas 4 2 3 3" xfId="33442" xr:uid="{00000000-0005-0000-0000-0000F6820000}"/>
    <cellStyle name="Notas 4 2 3 3 2" xfId="33443" xr:uid="{00000000-0005-0000-0000-0000F7820000}"/>
    <cellStyle name="Notas 4 2 3 4" xfId="33444" xr:uid="{00000000-0005-0000-0000-0000F8820000}"/>
    <cellStyle name="Notas 4 2 4" xfId="33445" xr:uid="{00000000-0005-0000-0000-0000F9820000}"/>
    <cellStyle name="Notas 4 2 4 2" xfId="33446" xr:uid="{00000000-0005-0000-0000-0000FA820000}"/>
    <cellStyle name="Notas 4 2 5" xfId="33447" xr:uid="{00000000-0005-0000-0000-0000FB820000}"/>
    <cellStyle name="Notas 4 2 5 2" xfId="33448" xr:uid="{00000000-0005-0000-0000-0000FC820000}"/>
    <cellStyle name="Notas 4 2 6" xfId="33449" xr:uid="{00000000-0005-0000-0000-0000FD820000}"/>
    <cellStyle name="Notas 4 3" xfId="33450" xr:uid="{00000000-0005-0000-0000-0000FE820000}"/>
    <cellStyle name="Notas 4 3 2" xfId="33451" xr:uid="{00000000-0005-0000-0000-0000FF820000}"/>
    <cellStyle name="Notas 4 3 2 2" xfId="33452" xr:uid="{00000000-0005-0000-0000-000000830000}"/>
    <cellStyle name="Notas 4 3 2 2 2" xfId="33453" xr:uid="{00000000-0005-0000-0000-000001830000}"/>
    <cellStyle name="Notas 4 3 2 3" xfId="33454" xr:uid="{00000000-0005-0000-0000-000002830000}"/>
    <cellStyle name="Notas 4 3 2 3 2" xfId="33455" xr:uid="{00000000-0005-0000-0000-000003830000}"/>
    <cellStyle name="Notas 4 3 2 4" xfId="33456" xr:uid="{00000000-0005-0000-0000-000004830000}"/>
    <cellStyle name="Notas 4 3 3" xfId="33457" xr:uid="{00000000-0005-0000-0000-000005830000}"/>
    <cellStyle name="Notas 4 3 3 2" xfId="33458" xr:uid="{00000000-0005-0000-0000-000006830000}"/>
    <cellStyle name="Notas 4 3 4" xfId="33459" xr:uid="{00000000-0005-0000-0000-000007830000}"/>
    <cellStyle name="Notas 4 3 4 2" xfId="33460" xr:uid="{00000000-0005-0000-0000-000008830000}"/>
    <cellStyle name="Notas 4 3 5" xfId="33461" xr:uid="{00000000-0005-0000-0000-000009830000}"/>
    <cellStyle name="Notas 4 4" xfId="33462" xr:uid="{00000000-0005-0000-0000-00000A830000}"/>
    <cellStyle name="Notas 4 4 2" xfId="33463" xr:uid="{00000000-0005-0000-0000-00000B830000}"/>
    <cellStyle name="Notas 4 4 2 2" xfId="33464" xr:uid="{00000000-0005-0000-0000-00000C830000}"/>
    <cellStyle name="Notas 4 4 3" xfId="33465" xr:uid="{00000000-0005-0000-0000-00000D830000}"/>
    <cellStyle name="Notas 4 4 3 2" xfId="33466" xr:uid="{00000000-0005-0000-0000-00000E830000}"/>
    <cellStyle name="Notas 4 4 4" xfId="33467" xr:uid="{00000000-0005-0000-0000-00000F830000}"/>
    <cellStyle name="Notas 4 5" xfId="33468" xr:uid="{00000000-0005-0000-0000-000010830000}"/>
    <cellStyle name="Notas 4 5 2" xfId="33469" xr:uid="{00000000-0005-0000-0000-000011830000}"/>
    <cellStyle name="Notas 4 6" xfId="33470" xr:uid="{00000000-0005-0000-0000-000012830000}"/>
    <cellStyle name="Notas 4 6 2" xfId="33471" xr:uid="{00000000-0005-0000-0000-000013830000}"/>
    <cellStyle name="Notas 4 7" xfId="33472" xr:uid="{00000000-0005-0000-0000-000014830000}"/>
    <cellStyle name="Notas 4 8" xfId="33473" xr:uid="{00000000-0005-0000-0000-000015830000}"/>
    <cellStyle name="Notas 5" xfId="33474" xr:uid="{00000000-0005-0000-0000-000016830000}"/>
    <cellStyle name="Notas 5 2" xfId="33475" xr:uid="{00000000-0005-0000-0000-000017830000}"/>
    <cellStyle name="Notas 5 2 2" xfId="33476" xr:uid="{00000000-0005-0000-0000-000018830000}"/>
    <cellStyle name="Notas 5 2 2 2" xfId="33477" xr:uid="{00000000-0005-0000-0000-000019830000}"/>
    <cellStyle name="Notas 5 2 2 2 2" xfId="33478" xr:uid="{00000000-0005-0000-0000-00001A830000}"/>
    <cellStyle name="Notas 5 2 2 2 2 2" xfId="33479" xr:uid="{00000000-0005-0000-0000-00001B830000}"/>
    <cellStyle name="Notas 5 2 2 2 3" xfId="33480" xr:uid="{00000000-0005-0000-0000-00001C830000}"/>
    <cellStyle name="Notas 5 2 2 2 3 2" xfId="33481" xr:uid="{00000000-0005-0000-0000-00001D830000}"/>
    <cellStyle name="Notas 5 2 2 2 4" xfId="33482" xr:uid="{00000000-0005-0000-0000-00001E830000}"/>
    <cellStyle name="Notas 5 2 2 3" xfId="33483" xr:uid="{00000000-0005-0000-0000-00001F830000}"/>
    <cellStyle name="Notas 5 2 2 3 2" xfId="33484" xr:uid="{00000000-0005-0000-0000-000020830000}"/>
    <cellStyle name="Notas 5 2 2 4" xfId="33485" xr:uid="{00000000-0005-0000-0000-000021830000}"/>
    <cellStyle name="Notas 5 2 2 4 2" xfId="33486" xr:uid="{00000000-0005-0000-0000-000022830000}"/>
    <cellStyle name="Notas 5 2 2 5" xfId="33487" xr:uid="{00000000-0005-0000-0000-000023830000}"/>
    <cellStyle name="Notas 5 2 3" xfId="33488" xr:uid="{00000000-0005-0000-0000-000024830000}"/>
    <cellStyle name="Notas 5 2 3 2" xfId="33489" xr:uid="{00000000-0005-0000-0000-000025830000}"/>
    <cellStyle name="Notas 5 2 3 2 2" xfId="33490" xr:uid="{00000000-0005-0000-0000-000026830000}"/>
    <cellStyle name="Notas 5 2 3 3" xfId="33491" xr:uid="{00000000-0005-0000-0000-000027830000}"/>
    <cellStyle name="Notas 5 2 3 3 2" xfId="33492" xr:uid="{00000000-0005-0000-0000-000028830000}"/>
    <cellStyle name="Notas 5 2 3 4" xfId="33493" xr:uid="{00000000-0005-0000-0000-000029830000}"/>
    <cellStyle name="Notas 5 2 4" xfId="33494" xr:uid="{00000000-0005-0000-0000-00002A830000}"/>
    <cellStyle name="Notas 5 2 4 2" xfId="33495" xr:uid="{00000000-0005-0000-0000-00002B830000}"/>
    <cellStyle name="Notas 5 2 5" xfId="33496" xr:uid="{00000000-0005-0000-0000-00002C830000}"/>
    <cellStyle name="Notas 5 2 5 2" xfId="33497" xr:uid="{00000000-0005-0000-0000-00002D830000}"/>
    <cellStyle name="Notas 5 2 6" xfId="33498" xr:uid="{00000000-0005-0000-0000-00002E830000}"/>
    <cellStyle name="Notas 5 3" xfId="33499" xr:uid="{00000000-0005-0000-0000-00002F830000}"/>
    <cellStyle name="Notas 5 3 2" xfId="33500" xr:uid="{00000000-0005-0000-0000-000030830000}"/>
    <cellStyle name="Notas 5 3 2 2" xfId="33501" xr:uid="{00000000-0005-0000-0000-000031830000}"/>
    <cellStyle name="Notas 5 3 2 2 2" xfId="33502" xr:uid="{00000000-0005-0000-0000-000032830000}"/>
    <cellStyle name="Notas 5 3 2 3" xfId="33503" xr:uid="{00000000-0005-0000-0000-000033830000}"/>
    <cellStyle name="Notas 5 3 2 3 2" xfId="33504" xr:uid="{00000000-0005-0000-0000-000034830000}"/>
    <cellStyle name="Notas 5 3 2 4" xfId="33505" xr:uid="{00000000-0005-0000-0000-000035830000}"/>
    <cellStyle name="Notas 5 3 3" xfId="33506" xr:uid="{00000000-0005-0000-0000-000036830000}"/>
    <cellStyle name="Notas 5 3 3 2" xfId="33507" xr:uid="{00000000-0005-0000-0000-000037830000}"/>
    <cellStyle name="Notas 5 3 4" xfId="33508" xr:uid="{00000000-0005-0000-0000-000038830000}"/>
    <cellStyle name="Notas 5 3 4 2" xfId="33509" xr:uid="{00000000-0005-0000-0000-000039830000}"/>
    <cellStyle name="Notas 5 3 5" xfId="33510" xr:uid="{00000000-0005-0000-0000-00003A830000}"/>
    <cellStyle name="Notas 5 4" xfId="33511" xr:uid="{00000000-0005-0000-0000-00003B830000}"/>
    <cellStyle name="Notas 5 4 2" xfId="33512" xr:uid="{00000000-0005-0000-0000-00003C830000}"/>
    <cellStyle name="Notas 5 4 2 2" xfId="33513" xr:uid="{00000000-0005-0000-0000-00003D830000}"/>
    <cellStyle name="Notas 5 4 3" xfId="33514" xr:uid="{00000000-0005-0000-0000-00003E830000}"/>
    <cellStyle name="Notas 5 4 3 2" xfId="33515" xr:uid="{00000000-0005-0000-0000-00003F830000}"/>
    <cellStyle name="Notas 5 4 4" xfId="33516" xr:uid="{00000000-0005-0000-0000-000040830000}"/>
    <cellStyle name="Notas 5 5" xfId="33517" xr:uid="{00000000-0005-0000-0000-000041830000}"/>
    <cellStyle name="Notas 5 5 2" xfId="33518" xr:uid="{00000000-0005-0000-0000-000042830000}"/>
    <cellStyle name="Notas 5 6" xfId="33519" xr:uid="{00000000-0005-0000-0000-000043830000}"/>
    <cellStyle name="Notas 5 6 2" xfId="33520" xr:uid="{00000000-0005-0000-0000-000044830000}"/>
    <cellStyle name="Notas 5 7" xfId="33521" xr:uid="{00000000-0005-0000-0000-000045830000}"/>
    <cellStyle name="Notas 5 8" xfId="33522" xr:uid="{00000000-0005-0000-0000-000046830000}"/>
    <cellStyle name="Notas 6" xfId="33523" xr:uid="{00000000-0005-0000-0000-000047830000}"/>
    <cellStyle name="Notas 6 2" xfId="33524" xr:uid="{00000000-0005-0000-0000-000048830000}"/>
    <cellStyle name="Notas 6 2 2" xfId="33525" xr:uid="{00000000-0005-0000-0000-000049830000}"/>
    <cellStyle name="Notas 6 2 2 2" xfId="33526" xr:uid="{00000000-0005-0000-0000-00004A830000}"/>
    <cellStyle name="Notas 6 2 2 2 2" xfId="33527" xr:uid="{00000000-0005-0000-0000-00004B830000}"/>
    <cellStyle name="Notas 6 2 2 2 2 2" xfId="33528" xr:uid="{00000000-0005-0000-0000-00004C830000}"/>
    <cellStyle name="Notas 6 2 2 2 3" xfId="33529" xr:uid="{00000000-0005-0000-0000-00004D830000}"/>
    <cellStyle name="Notas 6 2 2 2 3 2" xfId="33530" xr:uid="{00000000-0005-0000-0000-00004E830000}"/>
    <cellStyle name="Notas 6 2 2 2 4" xfId="33531" xr:uid="{00000000-0005-0000-0000-00004F830000}"/>
    <cellStyle name="Notas 6 2 2 3" xfId="33532" xr:uid="{00000000-0005-0000-0000-000050830000}"/>
    <cellStyle name="Notas 6 2 2 3 2" xfId="33533" xr:uid="{00000000-0005-0000-0000-000051830000}"/>
    <cellStyle name="Notas 6 2 2 4" xfId="33534" xr:uid="{00000000-0005-0000-0000-000052830000}"/>
    <cellStyle name="Notas 6 2 2 4 2" xfId="33535" xr:uid="{00000000-0005-0000-0000-000053830000}"/>
    <cellStyle name="Notas 6 2 2 5" xfId="33536" xr:uid="{00000000-0005-0000-0000-000054830000}"/>
    <cellStyle name="Notas 6 2 3" xfId="33537" xr:uid="{00000000-0005-0000-0000-000055830000}"/>
    <cellStyle name="Notas 6 2 3 2" xfId="33538" xr:uid="{00000000-0005-0000-0000-000056830000}"/>
    <cellStyle name="Notas 6 2 3 2 2" xfId="33539" xr:uid="{00000000-0005-0000-0000-000057830000}"/>
    <cellStyle name="Notas 6 2 3 3" xfId="33540" xr:uid="{00000000-0005-0000-0000-000058830000}"/>
    <cellStyle name="Notas 6 2 3 3 2" xfId="33541" xr:uid="{00000000-0005-0000-0000-000059830000}"/>
    <cellStyle name="Notas 6 2 3 4" xfId="33542" xr:uid="{00000000-0005-0000-0000-00005A830000}"/>
    <cellStyle name="Notas 6 2 4" xfId="33543" xr:uid="{00000000-0005-0000-0000-00005B830000}"/>
    <cellStyle name="Notas 6 2 4 2" xfId="33544" xr:uid="{00000000-0005-0000-0000-00005C830000}"/>
    <cellStyle name="Notas 6 2 5" xfId="33545" xr:uid="{00000000-0005-0000-0000-00005D830000}"/>
    <cellStyle name="Notas 6 2 5 2" xfId="33546" xr:uid="{00000000-0005-0000-0000-00005E830000}"/>
    <cellStyle name="Notas 6 2 6" xfId="33547" xr:uid="{00000000-0005-0000-0000-00005F830000}"/>
    <cellStyle name="Notas 6 3" xfId="33548" xr:uid="{00000000-0005-0000-0000-000060830000}"/>
    <cellStyle name="Notas 6 3 2" xfId="33549" xr:uid="{00000000-0005-0000-0000-000061830000}"/>
    <cellStyle name="Notas 6 3 2 2" xfId="33550" xr:uid="{00000000-0005-0000-0000-000062830000}"/>
    <cellStyle name="Notas 6 3 2 2 2" xfId="33551" xr:uid="{00000000-0005-0000-0000-000063830000}"/>
    <cellStyle name="Notas 6 3 2 3" xfId="33552" xr:uid="{00000000-0005-0000-0000-000064830000}"/>
    <cellStyle name="Notas 6 3 2 3 2" xfId="33553" xr:uid="{00000000-0005-0000-0000-000065830000}"/>
    <cellStyle name="Notas 6 3 2 4" xfId="33554" xr:uid="{00000000-0005-0000-0000-000066830000}"/>
    <cellStyle name="Notas 6 3 3" xfId="33555" xr:uid="{00000000-0005-0000-0000-000067830000}"/>
    <cellStyle name="Notas 6 3 3 2" xfId="33556" xr:uid="{00000000-0005-0000-0000-000068830000}"/>
    <cellStyle name="Notas 6 3 4" xfId="33557" xr:uid="{00000000-0005-0000-0000-000069830000}"/>
    <cellStyle name="Notas 6 3 4 2" xfId="33558" xr:uid="{00000000-0005-0000-0000-00006A830000}"/>
    <cellStyle name="Notas 6 3 5" xfId="33559" xr:uid="{00000000-0005-0000-0000-00006B830000}"/>
    <cellStyle name="Notas 6 4" xfId="33560" xr:uid="{00000000-0005-0000-0000-00006C830000}"/>
    <cellStyle name="Notas 6 4 2" xfId="33561" xr:uid="{00000000-0005-0000-0000-00006D830000}"/>
    <cellStyle name="Notas 6 4 2 2" xfId="33562" xr:uid="{00000000-0005-0000-0000-00006E830000}"/>
    <cellStyle name="Notas 6 4 3" xfId="33563" xr:uid="{00000000-0005-0000-0000-00006F830000}"/>
    <cellStyle name="Notas 6 4 3 2" xfId="33564" xr:uid="{00000000-0005-0000-0000-000070830000}"/>
    <cellStyle name="Notas 6 4 4" xfId="33565" xr:uid="{00000000-0005-0000-0000-000071830000}"/>
    <cellStyle name="Notas 6 5" xfId="33566" xr:uid="{00000000-0005-0000-0000-000072830000}"/>
    <cellStyle name="Notas 6 5 2" xfId="33567" xr:uid="{00000000-0005-0000-0000-000073830000}"/>
    <cellStyle name="Notas 6 6" xfId="33568" xr:uid="{00000000-0005-0000-0000-000074830000}"/>
    <cellStyle name="Notas 6 6 2" xfId="33569" xr:uid="{00000000-0005-0000-0000-000075830000}"/>
    <cellStyle name="Notas 6 7" xfId="33570" xr:uid="{00000000-0005-0000-0000-000076830000}"/>
    <cellStyle name="Notas 7" xfId="33571" xr:uid="{00000000-0005-0000-0000-000077830000}"/>
    <cellStyle name="Notas 7 2" xfId="33572" xr:uid="{00000000-0005-0000-0000-000078830000}"/>
    <cellStyle name="Notas 7 2 2" xfId="33573" xr:uid="{00000000-0005-0000-0000-000079830000}"/>
    <cellStyle name="Notas 7 2 2 2" xfId="33574" xr:uid="{00000000-0005-0000-0000-00007A830000}"/>
    <cellStyle name="Notas 7 2 2 2 2" xfId="33575" xr:uid="{00000000-0005-0000-0000-00007B830000}"/>
    <cellStyle name="Notas 7 2 2 2 2 2" xfId="33576" xr:uid="{00000000-0005-0000-0000-00007C830000}"/>
    <cellStyle name="Notas 7 2 2 2 3" xfId="33577" xr:uid="{00000000-0005-0000-0000-00007D830000}"/>
    <cellStyle name="Notas 7 2 2 2 3 2" xfId="33578" xr:uid="{00000000-0005-0000-0000-00007E830000}"/>
    <cellStyle name="Notas 7 2 2 2 4" xfId="33579" xr:uid="{00000000-0005-0000-0000-00007F830000}"/>
    <cellStyle name="Notas 7 2 2 3" xfId="33580" xr:uid="{00000000-0005-0000-0000-000080830000}"/>
    <cellStyle name="Notas 7 2 2 3 2" xfId="33581" xr:uid="{00000000-0005-0000-0000-000081830000}"/>
    <cellStyle name="Notas 7 2 2 4" xfId="33582" xr:uid="{00000000-0005-0000-0000-000082830000}"/>
    <cellStyle name="Notas 7 2 2 4 2" xfId="33583" xr:uid="{00000000-0005-0000-0000-000083830000}"/>
    <cellStyle name="Notas 7 2 2 5" xfId="33584" xr:uid="{00000000-0005-0000-0000-000084830000}"/>
    <cellStyle name="Notas 7 2 3" xfId="33585" xr:uid="{00000000-0005-0000-0000-000085830000}"/>
    <cellStyle name="Notas 7 2 3 2" xfId="33586" xr:uid="{00000000-0005-0000-0000-000086830000}"/>
    <cellStyle name="Notas 7 2 3 2 2" xfId="33587" xr:uid="{00000000-0005-0000-0000-000087830000}"/>
    <cellStyle name="Notas 7 2 3 3" xfId="33588" xr:uid="{00000000-0005-0000-0000-000088830000}"/>
    <cellStyle name="Notas 7 2 3 3 2" xfId="33589" xr:uid="{00000000-0005-0000-0000-000089830000}"/>
    <cellStyle name="Notas 7 2 3 4" xfId="33590" xr:uid="{00000000-0005-0000-0000-00008A830000}"/>
    <cellStyle name="Notas 7 2 4" xfId="33591" xr:uid="{00000000-0005-0000-0000-00008B830000}"/>
    <cellStyle name="Notas 7 2 4 2" xfId="33592" xr:uid="{00000000-0005-0000-0000-00008C830000}"/>
    <cellStyle name="Notas 7 2 5" xfId="33593" xr:uid="{00000000-0005-0000-0000-00008D830000}"/>
    <cellStyle name="Notas 7 2 5 2" xfId="33594" xr:uid="{00000000-0005-0000-0000-00008E830000}"/>
    <cellStyle name="Notas 7 2 6" xfId="33595" xr:uid="{00000000-0005-0000-0000-00008F830000}"/>
    <cellStyle name="Notas 7 3" xfId="33596" xr:uid="{00000000-0005-0000-0000-000090830000}"/>
    <cellStyle name="Notas 7 3 2" xfId="33597" xr:uid="{00000000-0005-0000-0000-000091830000}"/>
    <cellStyle name="Notas 7 3 2 2" xfId="33598" xr:uid="{00000000-0005-0000-0000-000092830000}"/>
    <cellStyle name="Notas 7 3 2 2 2" xfId="33599" xr:uid="{00000000-0005-0000-0000-000093830000}"/>
    <cellStyle name="Notas 7 3 2 3" xfId="33600" xr:uid="{00000000-0005-0000-0000-000094830000}"/>
    <cellStyle name="Notas 7 3 2 3 2" xfId="33601" xr:uid="{00000000-0005-0000-0000-000095830000}"/>
    <cellStyle name="Notas 7 3 2 4" xfId="33602" xr:uid="{00000000-0005-0000-0000-000096830000}"/>
    <cellStyle name="Notas 7 3 3" xfId="33603" xr:uid="{00000000-0005-0000-0000-000097830000}"/>
    <cellStyle name="Notas 7 3 3 2" xfId="33604" xr:uid="{00000000-0005-0000-0000-000098830000}"/>
    <cellStyle name="Notas 7 3 4" xfId="33605" xr:uid="{00000000-0005-0000-0000-000099830000}"/>
    <cellStyle name="Notas 7 3 4 2" xfId="33606" xr:uid="{00000000-0005-0000-0000-00009A830000}"/>
    <cellStyle name="Notas 7 3 5" xfId="33607" xr:uid="{00000000-0005-0000-0000-00009B830000}"/>
    <cellStyle name="Notas 7 4" xfId="33608" xr:uid="{00000000-0005-0000-0000-00009C830000}"/>
    <cellStyle name="Notas 7 4 2" xfId="33609" xr:uid="{00000000-0005-0000-0000-00009D830000}"/>
    <cellStyle name="Notas 7 4 2 2" xfId="33610" xr:uid="{00000000-0005-0000-0000-00009E830000}"/>
    <cellStyle name="Notas 7 4 3" xfId="33611" xr:uid="{00000000-0005-0000-0000-00009F830000}"/>
    <cellStyle name="Notas 7 4 3 2" xfId="33612" xr:uid="{00000000-0005-0000-0000-0000A0830000}"/>
    <cellStyle name="Notas 7 4 4" xfId="33613" xr:uid="{00000000-0005-0000-0000-0000A1830000}"/>
    <cellStyle name="Notas 7 5" xfId="33614" xr:uid="{00000000-0005-0000-0000-0000A2830000}"/>
    <cellStyle name="Notas 7 5 2" xfId="33615" xr:uid="{00000000-0005-0000-0000-0000A3830000}"/>
    <cellStyle name="Notas 7 6" xfId="33616" xr:uid="{00000000-0005-0000-0000-0000A4830000}"/>
    <cellStyle name="Notas 7 6 2" xfId="33617" xr:uid="{00000000-0005-0000-0000-0000A5830000}"/>
    <cellStyle name="Notas 7 7" xfId="33618" xr:uid="{00000000-0005-0000-0000-0000A6830000}"/>
    <cellStyle name="Notas 8" xfId="33619" xr:uid="{00000000-0005-0000-0000-0000A7830000}"/>
    <cellStyle name="Notas 8 2" xfId="33620" xr:uid="{00000000-0005-0000-0000-0000A8830000}"/>
    <cellStyle name="Notas 8 2 2" xfId="33621" xr:uid="{00000000-0005-0000-0000-0000A9830000}"/>
    <cellStyle name="Notas 8 2 2 2" xfId="33622" xr:uid="{00000000-0005-0000-0000-0000AA830000}"/>
    <cellStyle name="Notas 8 2 2 2 2" xfId="33623" xr:uid="{00000000-0005-0000-0000-0000AB830000}"/>
    <cellStyle name="Notas 8 2 2 3" xfId="33624" xr:uid="{00000000-0005-0000-0000-0000AC830000}"/>
    <cellStyle name="Notas 8 2 2 3 2" xfId="33625" xr:uid="{00000000-0005-0000-0000-0000AD830000}"/>
    <cellStyle name="Notas 8 2 2 4" xfId="33626" xr:uid="{00000000-0005-0000-0000-0000AE830000}"/>
    <cellStyle name="Notas 8 2 3" xfId="33627" xr:uid="{00000000-0005-0000-0000-0000AF830000}"/>
    <cellStyle name="Notas 8 2 3 2" xfId="33628" xr:uid="{00000000-0005-0000-0000-0000B0830000}"/>
    <cellStyle name="Notas 8 2 4" xfId="33629" xr:uid="{00000000-0005-0000-0000-0000B1830000}"/>
    <cellStyle name="Notas 8 2 4 2" xfId="33630" xr:uid="{00000000-0005-0000-0000-0000B2830000}"/>
    <cellStyle name="Notas 8 2 5" xfId="33631" xr:uid="{00000000-0005-0000-0000-0000B3830000}"/>
    <cellStyle name="Notas 8 3" xfId="33632" xr:uid="{00000000-0005-0000-0000-0000B4830000}"/>
    <cellStyle name="Notas 8 3 2" xfId="33633" xr:uid="{00000000-0005-0000-0000-0000B5830000}"/>
    <cellStyle name="Notas 8 3 2 2" xfId="33634" xr:uid="{00000000-0005-0000-0000-0000B6830000}"/>
    <cellStyle name="Notas 8 3 3" xfId="33635" xr:uid="{00000000-0005-0000-0000-0000B7830000}"/>
    <cellStyle name="Notas 8 3 3 2" xfId="33636" xr:uid="{00000000-0005-0000-0000-0000B8830000}"/>
    <cellStyle name="Notas 8 3 4" xfId="33637" xr:uid="{00000000-0005-0000-0000-0000B9830000}"/>
    <cellStyle name="Notas 8 4" xfId="33638" xr:uid="{00000000-0005-0000-0000-0000BA830000}"/>
    <cellStyle name="Notas 8 4 2" xfId="33639" xr:uid="{00000000-0005-0000-0000-0000BB830000}"/>
    <cellStyle name="Notas 8 5" xfId="33640" xr:uid="{00000000-0005-0000-0000-0000BC830000}"/>
    <cellStyle name="Notas 8 5 2" xfId="33641" xr:uid="{00000000-0005-0000-0000-0000BD830000}"/>
    <cellStyle name="Notas 8 6" xfId="33642" xr:uid="{00000000-0005-0000-0000-0000BE830000}"/>
    <cellStyle name="Notas 9" xfId="33643" xr:uid="{00000000-0005-0000-0000-0000BF830000}"/>
    <cellStyle name="Notas 9 2" xfId="33644" xr:uid="{00000000-0005-0000-0000-0000C0830000}"/>
    <cellStyle name="Notas 9 2 2" xfId="33645" xr:uid="{00000000-0005-0000-0000-0000C1830000}"/>
    <cellStyle name="Notas 9 3" xfId="33646" xr:uid="{00000000-0005-0000-0000-0000C2830000}"/>
    <cellStyle name="Notas 9 3 2" xfId="33647" xr:uid="{00000000-0005-0000-0000-0000C3830000}"/>
    <cellStyle name="Notas 9 4" xfId="33648" xr:uid="{00000000-0005-0000-0000-0000C4830000}"/>
    <cellStyle name="Note" xfId="33649" xr:uid="{00000000-0005-0000-0000-0000C5830000}"/>
    <cellStyle name="Note 2" xfId="33650" xr:uid="{00000000-0005-0000-0000-0000C6830000}"/>
    <cellStyle name="Note 3" xfId="33651" xr:uid="{00000000-0005-0000-0000-0000C7830000}"/>
    <cellStyle name="Number Bold" xfId="33652" xr:uid="{00000000-0005-0000-0000-0000C8830000}"/>
    <cellStyle name="Number Normal" xfId="33653" xr:uid="{00000000-0005-0000-0000-0000C9830000}"/>
    <cellStyle name="Œ…‹æØ‚è [0.00]_!!!GO" xfId="33654" xr:uid="{00000000-0005-0000-0000-0000CA830000}"/>
    <cellStyle name="Œ…‹æØ‚è_!!!GO" xfId="33655" xr:uid="{00000000-0005-0000-0000-0000CB830000}"/>
    <cellStyle name="Output" xfId="33656" xr:uid="{00000000-0005-0000-0000-0000CC830000}"/>
    <cellStyle name="Output 2" xfId="33657" xr:uid="{00000000-0005-0000-0000-0000CD830000}"/>
    <cellStyle name="Output 3" xfId="33658" xr:uid="{00000000-0005-0000-0000-0000CE830000}"/>
    <cellStyle name="Output colorato" xfId="33659" xr:uid="{00000000-0005-0000-0000-0000CF830000}"/>
    <cellStyle name="Output_~1502101" xfId="33660" xr:uid="{00000000-0005-0000-0000-0000D0830000}"/>
    <cellStyle name="Page Number" xfId="33661" xr:uid="{00000000-0005-0000-0000-0000D1830000}"/>
    <cellStyle name="per.style" xfId="33662" xr:uid="{00000000-0005-0000-0000-0000D2830000}"/>
    <cellStyle name="Percen - Estilo2" xfId="33663" xr:uid="{00000000-0005-0000-0000-0000D3830000}"/>
    <cellStyle name="Percent" xfId="33664" xr:uid="{00000000-0005-0000-0000-0000D4830000}"/>
    <cellStyle name="Percent (0)" xfId="33665" xr:uid="{00000000-0005-0000-0000-0000D5830000}"/>
    <cellStyle name="Percent (0) 2" xfId="33666" xr:uid="{00000000-0005-0000-0000-0000D6830000}"/>
    <cellStyle name="Percent [0]" xfId="33667" xr:uid="{00000000-0005-0000-0000-0000D7830000}"/>
    <cellStyle name="Percent [00]" xfId="33668" xr:uid="{00000000-0005-0000-0000-0000D8830000}"/>
    <cellStyle name="Percent [1]" xfId="33669" xr:uid="{00000000-0005-0000-0000-0000D9830000}"/>
    <cellStyle name="Percent [2]" xfId="33670" xr:uid="{00000000-0005-0000-0000-0000DA830000}"/>
    <cellStyle name="Percent [2] 2" xfId="33671" xr:uid="{00000000-0005-0000-0000-0000DB830000}"/>
    <cellStyle name="Percent 10" xfId="33672" xr:uid="{00000000-0005-0000-0000-0000DC830000}"/>
    <cellStyle name="Percent 10 2" xfId="33673" xr:uid="{00000000-0005-0000-0000-0000DD830000}"/>
    <cellStyle name="Percent 2" xfId="33674" xr:uid="{00000000-0005-0000-0000-0000DE830000}"/>
    <cellStyle name="Percent 2 2 2" xfId="33675" xr:uid="{00000000-0005-0000-0000-0000DF830000}"/>
    <cellStyle name="Percent 3" xfId="33676" xr:uid="{00000000-0005-0000-0000-0000E0830000}"/>
    <cellStyle name="Percent 4" xfId="33677" xr:uid="{00000000-0005-0000-0000-0000E1830000}"/>
    <cellStyle name="Percent(0)" xfId="33678" xr:uid="{00000000-0005-0000-0000-0000E2830000}"/>
    <cellStyle name="Percent(0) 2" xfId="33679" xr:uid="{00000000-0005-0000-0000-0000E3830000}"/>
    <cellStyle name="Percent_Analisis de Sensibilidad a la tasa" xfId="33680" xr:uid="{00000000-0005-0000-0000-0000E4830000}"/>
    <cellStyle name="Percentual" xfId="33681" xr:uid="{00000000-0005-0000-0000-0000E5830000}"/>
    <cellStyle name="PillarData" xfId="33682" xr:uid="{00000000-0005-0000-0000-0000E6830000}"/>
    <cellStyle name="PillarHeading" xfId="33683" xr:uid="{00000000-0005-0000-0000-0000E7830000}"/>
    <cellStyle name="PillarText" xfId="33684" xr:uid="{00000000-0005-0000-0000-0000E8830000}"/>
    <cellStyle name="PillarTotal" xfId="33685" xr:uid="{00000000-0005-0000-0000-0000E9830000}"/>
    <cellStyle name="Platas" xfId="33686" xr:uid="{00000000-0005-0000-0000-0000EA830000}"/>
    <cellStyle name="Ponto" xfId="33687" xr:uid="{00000000-0005-0000-0000-0000EB830000}"/>
    <cellStyle name="Porcentagem_Backup de orçamento6+6-oficial revisado 21.7.99 - 2" xfId="33688" xr:uid="{00000000-0005-0000-0000-0000EC830000}"/>
    <cellStyle name="Porcentaje 10" xfId="33689" xr:uid="{00000000-0005-0000-0000-0000EE830000}"/>
    <cellStyle name="Porcentaje 10 2" xfId="33690" xr:uid="{00000000-0005-0000-0000-0000EF830000}"/>
    <cellStyle name="Porcentaje 10 3" xfId="33691" xr:uid="{00000000-0005-0000-0000-0000F0830000}"/>
    <cellStyle name="Porcentaje 11" xfId="33692" xr:uid="{00000000-0005-0000-0000-0000F1830000}"/>
    <cellStyle name="Porcentaje 11 2" xfId="33693" xr:uid="{00000000-0005-0000-0000-0000F2830000}"/>
    <cellStyle name="Porcentaje 2" xfId="33694" xr:uid="{00000000-0005-0000-0000-0000F3830000}"/>
    <cellStyle name="Porcentaje 2 2" xfId="33695" xr:uid="{00000000-0005-0000-0000-0000F4830000}"/>
    <cellStyle name="Porcentaje 2 2 2" xfId="33696" xr:uid="{00000000-0005-0000-0000-0000F5830000}"/>
    <cellStyle name="Porcentaje 2 3" xfId="33697" xr:uid="{00000000-0005-0000-0000-0000F6830000}"/>
    <cellStyle name="Porcentaje 3" xfId="33698" xr:uid="{00000000-0005-0000-0000-0000F7830000}"/>
    <cellStyle name="Porcentaje 3 2" xfId="33699" xr:uid="{00000000-0005-0000-0000-0000F8830000}"/>
    <cellStyle name="Porcentaje 3 2 2" xfId="33700" xr:uid="{00000000-0005-0000-0000-0000F9830000}"/>
    <cellStyle name="Porcentaje 3 2 2 2" xfId="33701" xr:uid="{00000000-0005-0000-0000-0000FA830000}"/>
    <cellStyle name="Porcentaje 3 2 2 2 2" xfId="33702" xr:uid="{00000000-0005-0000-0000-0000FB830000}"/>
    <cellStyle name="Porcentaje 3 2 2 2 2 2" xfId="33703" xr:uid="{00000000-0005-0000-0000-0000FC830000}"/>
    <cellStyle name="Porcentaje 3 2 2 2 2 2 2" xfId="33704" xr:uid="{00000000-0005-0000-0000-0000FD830000}"/>
    <cellStyle name="Porcentaje 3 2 2 2 2 2 2 2" xfId="33705" xr:uid="{00000000-0005-0000-0000-0000FE830000}"/>
    <cellStyle name="Porcentaje 3 2 2 2 2 2 3" xfId="33706" xr:uid="{00000000-0005-0000-0000-0000FF830000}"/>
    <cellStyle name="Porcentaje 3 2 2 2 2 2 3 2" xfId="33707" xr:uid="{00000000-0005-0000-0000-000000840000}"/>
    <cellStyle name="Porcentaje 3 2 2 2 2 2 4" xfId="33708" xr:uid="{00000000-0005-0000-0000-000001840000}"/>
    <cellStyle name="Porcentaje 3 2 2 2 2 3" xfId="33709" xr:uid="{00000000-0005-0000-0000-000002840000}"/>
    <cellStyle name="Porcentaje 3 2 2 2 2 3 2" xfId="33710" xr:uid="{00000000-0005-0000-0000-000003840000}"/>
    <cellStyle name="Porcentaje 3 2 2 2 2 4" xfId="33711" xr:uid="{00000000-0005-0000-0000-000004840000}"/>
    <cellStyle name="Porcentaje 3 2 2 2 2 4 2" xfId="33712" xr:uid="{00000000-0005-0000-0000-000005840000}"/>
    <cellStyle name="Porcentaje 3 2 2 2 2 5" xfId="33713" xr:uid="{00000000-0005-0000-0000-000006840000}"/>
    <cellStyle name="Porcentaje 3 2 2 2 3" xfId="33714" xr:uid="{00000000-0005-0000-0000-000007840000}"/>
    <cellStyle name="Porcentaje 3 2 2 2 3 2" xfId="33715" xr:uid="{00000000-0005-0000-0000-000008840000}"/>
    <cellStyle name="Porcentaje 3 2 2 2 3 2 2" xfId="33716" xr:uid="{00000000-0005-0000-0000-000009840000}"/>
    <cellStyle name="Porcentaje 3 2 2 2 3 3" xfId="33717" xr:uid="{00000000-0005-0000-0000-00000A840000}"/>
    <cellStyle name="Porcentaje 3 2 2 2 3 3 2" xfId="33718" xr:uid="{00000000-0005-0000-0000-00000B840000}"/>
    <cellStyle name="Porcentaje 3 2 2 2 3 4" xfId="33719" xr:uid="{00000000-0005-0000-0000-00000C840000}"/>
    <cellStyle name="Porcentaje 3 2 2 2 4" xfId="33720" xr:uid="{00000000-0005-0000-0000-00000D840000}"/>
    <cellStyle name="Porcentaje 3 2 2 2 4 2" xfId="33721" xr:uid="{00000000-0005-0000-0000-00000E840000}"/>
    <cellStyle name="Porcentaje 3 2 2 2 5" xfId="33722" xr:uid="{00000000-0005-0000-0000-00000F840000}"/>
    <cellStyle name="Porcentaje 3 2 2 2 5 2" xfId="33723" xr:uid="{00000000-0005-0000-0000-000010840000}"/>
    <cellStyle name="Porcentaje 3 2 2 2 6" xfId="33724" xr:uid="{00000000-0005-0000-0000-000011840000}"/>
    <cellStyle name="Porcentaje 3 2 2 3" xfId="33725" xr:uid="{00000000-0005-0000-0000-000012840000}"/>
    <cellStyle name="Porcentaje 3 2 2 3 2" xfId="33726" xr:uid="{00000000-0005-0000-0000-000013840000}"/>
    <cellStyle name="Porcentaje 3 2 2 3 2 2" xfId="33727" xr:uid="{00000000-0005-0000-0000-000014840000}"/>
    <cellStyle name="Porcentaje 3 2 2 3 2 2 2" xfId="33728" xr:uid="{00000000-0005-0000-0000-000015840000}"/>
    <cellStyle name="Porcentaje 3 2 2 3 2 3" xfId="33729" xr:uid="{00000000-0005-0000-0000-000016840000}"/>
    <cellStyle name="Porcentaje 3 2 2 3 2 3 2" xfId="33730" xr:uid="{00000000-0005-0000-0000-000017840000}"/>
    <cellStyle name="Porcentaje 3 2 2 3 2 4" xfId="33731" xr:uid="{00000000-0005-0000-0000-000018840000}"/>
    <cellStyle name="Porcentaje 3 2 2 3 3" xfId="33732" xr:uid="{00000000-0005-0000-0000-000019840000}"/>
    <cellStyle name="Porcentaje 3 2 2 3 3 2" xfId="33733" xr:uid="{00000000-0005-0000-0000-00001A840000}"/>
    <cellStyle name="Porcentaje 3 2 2 3 4" xfId="33734" xr:uid="{00000000-0005-0000-0000-00001B840000}"/>
    <cellStyle name="Porcentaje 3 2 2 3 4 2" xfId="33735" xr:uid="{00000000-0005-0000-0000-00001C840000}"/>
    <cellStyle name="Porcentaje 3 2 2 3 5" xfId="33736" xr:uid="{00000000-0005-0000-0000-00001D840000}"/>
    <cellStyle name="Porcentaje 3 2 2 4" xfId="33737" xr:uid="{00000000-0005-0000-0000-00001E840000}"/>
    <cellStyle name="Porcentaje 3 2 2 4 2" xfId="33738" xr:uid="{00000000-0005-0000-0000-00001F840000}"/>
    <cellStyle name="Porcentaje 3 2 2 4 2 2" xfId="33739" xr:uid="{00000000-0005-0000-0000-000020840000}"/>
    <cellStyle name="Porcentaje 3 2 2 4 3" xfId="33740" xr:uid="{00000000-0005-0000-0000-000021840000}"/>
    <cellStyle name="Porcentaje 3 2 2 4 3 2" xfId="33741" xr:uid="{00000000-0005-0000-0000-000022840000}"/>
    <cellStyle name="Porcentaje 3 2 2 4 4" xfId="33742" xr:uid="{00000000-0005-0000-0000-000023840000}"/>
    <cellStyle name="Porcentaje 3 2 2 5" xfId="33743" xr:uid="{00000000-0005-0000-0000-000024840000}"/>
    <cellStyle name="Porcentaje 3 2 2 5 2" xfId="33744" xr:uid="{00000000-0005-0000-0000-000025840000}"/>
    <cellStyle name="Porcentaje 3 2 2 6" xfId="33745" xr:uid="{00000000-0005-0000-0000-000026840000}"/>
    <cellStyle name="Porcentaje 3 2 2 6 2" xfId="33746" xr:uid="{00000000-0005-0000-0000-000027840000}"/>
    <cellStyle name="Porcentaje 3 2 2 7" xfId="33747" xr:uid="{00000000-0005-0000-0000-000028840000}"/>
    <cellStyle name="Porcentaje 3 2 3" xfId="33748" xr:uid="{00000000-0005-0000-0000-000029840000}"/>
    <cellStyle name="Porcentaje 3 2 3 2" xfId="33749" xr:uid="{00000000-0005-0000-0000-00002A840000}"/>
    <cellStyle name="Porcentaje 3 2 3 2 2" xfId="33750" xr:uid="{00000000-0005-0000-0000-00002B840000}"/>
    <cellStyle name="Porcentaje 3 2 3 2 2 2" xfId="33751" xr:uid="{00000000-0005-0000-0000-00002C840000}"/>
    <cellStyle name="Porcentaje 3 2 3 2 2 2 2" xfId="33752" xr:uid="{00000000-0005-0000-0000-00002D840000}"/>
    <cellStyle name="Porcentaje 3 2 3 2 2 3" xfId="33753" xr:uid="{00000000-0005-0000-0000-00002E840000}"/>
    <cellStyle name="Porcentaje 3 2 3 2 2 3 2" xfId="33754" xr:uid="{00000000-0005-0000-0000-00002F840000}"/>
    <cellStyle name="Porcentaje 3 2 3 2 2 4" xfId="33755" xr:uid="{00000000-0005-0000-0000-000030840000}"/>
    <cellStyle name="Porcentaje 3 2 3 2 3" xfId="33756" xr:uid="{00000000-0005-0000-0000-000031840000}"/>
    <cellStyle name="Porcentaje 3 2 3 2 3 2" xfId="33757" xr:uid="{00000000-0005-0000-0000-000032840000}"/>
    <cellStyle name="Porcentaje 3 2 3 2 4" xfId="33758" xr:uid="{00000000-0005-0000-0000-000033840000}"/>
    <cellStyle name="Porcentaje 3 2 3 2 4 2" xfId="33759" xr:uid="{00000000-0005-0000-0000-000034840000}"/>
    <cellStyle name="Porcentaje 3 2 3 2 5" xfId="33760" xr:uid="{00000000-0005-0000-0000-000035840000}"/>
    <cellStyle name="Porcentaje 3 2 3 3" xfId="33761" xr:uid="{00000000-0005-0000-0000-000036840000}"/>
    <cellStyle name="Porcentaje 3 2 3 3 2" xfId="33762" xr:uid="{00000000-0005-0000-0000-000037840000}"/>
    <cellStyle name="Porcentaje 3 2 3 3 2 2" xfId="33763" xr:uid="{00000000-0005-0000-0000-000038840000}"/>
    <cellStyle name="Porcentaje 3 2 3 3 3" xfId="33764" xr:uid="{00000000-0005-0000-0000-000039840000}"/>
    <cellStyle name="Porcentaje 3 2 3 3 3 2" xfId="33765" xr:uid="{00000000-0005-0000-0000-00003A840000}"/>
    <cellStyle name="Porcentaje 3 2 3 3 4" xfId="33766" xr:uid="{00000000-0005-0000-0000-00003B840000}"/>
    <cellStyle name="Porcentaje 3 2 3 4" xfId="33767" xr:uid="{00000000-0005-0000-0000-00003C840000}"/>
    <cellStyle name="Porcentaje 3 2 3 4 2" xfId="33768" xr:uid="{00000000-0005-0000-0000-00003D840000}"/>
    <cellStyle name="Porcentaje 3 2 3 5" xfId="33769" xr:uid="{00000000-0005-0000-0000-00003E840000}"/>
    <cellStyle name="Porcentaje 3 2 3 5 2" xfId="33770" xr:uid="{00000000-0005-0000-0000-00003F840000}"/>
    <cellStyle name="Porcentaje 3 2 3 6" xfId="33771" xr:uid="{00000000-0005-0000-0000-000040840000}"/>
    <cellStyle name="Porcentaje 3 2 4" xfId="33772" xr:uid="{00000000-0005-0000-0000-000041840000}"/>
    <cellStyle name="Porcentaje 3 2 4 2" xfId="33773" xr:uid="{00000000-0005-0000-0000-000042840000}"/>
    <cellStyle name="Porcentaje 3 2 4 2 2" xfId="33774" xr:uid="{00000000-0005-0000-0000-000043840000}"/>
    <cellStyle name="Porcentaje 3 2 4 2 2 2" xfId="33775" xr:uid="{00000000-0005-0000-0000-000044840000}"/>
    <cellStyle name="Porcentaje 3 2 4 2 3" xfId="33776" xr:uid="{00000000-0005-0000-0000-000045840000}"/>
    <cellStyle name="Porcentaje 3 2 4 2 3 2" xfId="33777" xr:uid="{00000000-0005-0000-0000-000046840000}"/>
    <cellStyle name="Porcentaje 3 2 4 2 4" xfId="33778" xr:uid="{00000000-0005-0000-0000-000047840000}"/>
    <cellStyle name="Porcentaje 3 2 4 3" xfId="33779" xr:uid="{00000000-0005-0000-0000-000048840000}"/>
    <cellStyle name="Porcentaje 3 2 4 3 2" xfId="33780" xr:uid="{00000000-0005-0000-0000-000049840000}"/>
    <cellStyle name="Porcentaje 3 2 4 4" xfId="33781" xr:uid="{00000000-0005-0000-0000-00004A840000}"/>
    <cellStyle name="Porcentaje 3 2 4 4 2" xfId="33782" xr:uid="{00000000-0005-0000-0000-00004B840000}"/>
    <cellStyle name="Porcentaje 3 2 4 5" xfId="33783" xr:uid="{00000000-0005-0000-0000-00004C840000}"/>
    <cellStyle name="Porcentaje 3 2 5" xfId="33784" xr:uid="{00000000-0005-0000-0000-00004D840000}"/>
    <cellStyle name="Porcentaje 3 2 5 2" xfId="33785" xr:uid="{00000000-0005-0000-0000-00004E840000}"/>
    <cellStyle name="Porcentaje 3 2 5 2 2" xfId="33786" xr:uid="{00000000-0005-0000-0000-00004F840000}"/>
    <cellStyle name="Porcentaje 3 2 5 3" xfId="33787" xr:uid="{00000000-0005-0000-0000-000050840000}"/>
    <cellStyle name="Porcentaje 3 2 5 3 2" xfId="33788" xr:uid="{00000000-0005-0000-0000-000051840000}"/>
    <cellStyle name="Porcentaje 3 2 5 4" xfId="33789" xr:uid="{00000000-0005-0000-0000-000052840000}"/>
    <cellStyle name="Porcentaje 3 2 6" xfId="33790" xr:uid="{00000000-0005-0000-0000-000053840000}"/>
    <cellStyle name="Porcentaje 3 2 6 2" xfId="33791" xr:uid="{00000000-0005-0000-0000-000054840000}"/>
    <cellStyle name="Porcentaje 3 2 7" xfId="33792" xr:uid="{00000000-0005-0000-0000-000055840000}"/>
    <cellStyle name="Porcentaje 3 2 7 2" xfId="33793" xr:uid="{00000000-0005-0000-0000-000056840000}"/>
    <cellStyle name="Porcentaje 3 2 8" xfId="33794" xr:uid="{00000000-0005-0000-0000-000057840000}"/>
    <cellStyle name="Porcentaje 3 2 9" xfId="33795" xr:uid="{00000000-0005-0000-0000-000058840000}"/>
    <cellStyle name="Porcentaje 3 3" xfId="33796" xr:uid="{00000000-0005-0000-0000-000059840000}"/>
    <cellStyle name="Porcentaje 3 3 2" xfId="33797" xr:uid="{00000000-0005-0000-0000-00005A840000}"/>
    <cellStyle name="Porcentaje 3 3 2 2" xfId="33798" xr:uid="{00000000-0005-0000-0000-00005B840000}"/>
    <cellStyle name="Porcentaje 3 3 2 2 2" xfId="33799" xr:uid="{00000000-0005-0000-0000-00005C840000}"/>
    <cellStyle name="Porcentaje 3 3 2 2 2 2" xfId="33800" xr:uid="{00000000-0005-0000-0000-00005D840000}"/>
    <cellStyle name="Porcentaje 3 3 2 2 3" xfId="33801" xr:uid="{00000000-0005-0000-0000-00005E840000}"/>
    <cellStyle name="Porcentaje 3 3 2 2 3 2" xfId="33802" xr:uid="{00000000-0005-0000-0000-00005F840000}"/>
    <cellStyle name="Porcentaje 3 3 2 2 4" xfId="33803" xr:uid="{00000000-0005-0000-0000-000060840000}"/>
    <cellStyle name="Porcentaje 3 3 2 3" xfId="33804" xr:uid="{00000000-0005-0000-0000-000061840000}"/>
    <cellStyle name="Porcentaje 3 3 2 3 2" xfId="33805" xr:uid="{00000000-0005-0000-0000-000062840000}"/>
    <cellStyle name="Porcentaje 3 3 2 4" xfId="33806" xr:uid="{00000000-0005-0000-0000-000063840000}"/>
    <cellStyle name="Porcentaje 3 3 2 4 2" xfId="33807" xr:uid="{00000000-0005-0000-0000-000064840000}"/>
    <cellStyle name="Porcentaje 3 3 2 5" xfId="33808" xr:uid="{00000000-0005-0000-0000-000065840000}"/>
    <cellStyle name="Porcentaje 3 3 3" xfId="33809" xr:uid="{00000000-0005-0000-0000-000066840000}"/>
    <cellStyle name="Porcentaje 3 3 3 2" xfId="33810" xr:uid="{00000000-0005-0000-0000-000067840000}"/>
    <cellStyle name="Porcentaje 3 3 3 2 2" xfId="33811" xr:uid="{00000000-0005-0000-0000-000068840000}"/>
    <cellStyle name="Porcentaje 3 3 3 3" xfId="33812" xr:uid="{00000000-0005-0000-0000-000069840000}"/>
    <cellStyle name="Porcentaje 3 3 3 3 2" xfId="33813" xr:uid="{00000000-0005-0000-0000-00006A840000}"/>
    <cellStyle name="Porcentaje 3 3 3 4" xfId="33814" xr:uid="{00000000-0005-0000-0000-00006B840000}"/>
    <cellStyle name="Porcentaje 3 3 4" xfId="33815" xr:uid="{00000000-0005-0000-0000-00006C840000}"/>
    <cellStyle name="Porcentaje 3 3 4 2" xfId="33816" xr:uid="{00000000-0005-0000-0000-00006D840000}"/>
    <cellStyle name="Porcentaje 3 3 5" xfId="33817" xr:uid="{00000000-0005-0000-0000-00006E840000}"/>
    <cellStyle name="Porcentaje 3 3 5 2" xfId="33818" xr:uid="{00000000-0005-0000-0000-00006F840000}"/>
    <cellStyle name="Porcentaje 3 3 6" xfId="33819" xr:uid="{00000000-0005-0000-0000-000070840000}"/>
    <cellStyle name="Porcentaje 3 4" xfId="33820" xr:uid="{00000000-0005-0000-0000-000071840000}"/>
    <cellStyle name="Porcentaje 3 4 2" xfId="33821" xr:uid="{00000000-0005-0000-0000-000072840000}"/>
    <cellStyle name="Porcentaje 3 4 2 2" xfId="33822" xr:uid="{00000000-0005-0000-0000-000073840000}"/>
    <cellStyle name="Porcentaje 3 4 2 2 2" xfId="33823" xr:uid="{00000000-0005-0000-0000-000074840000}"/>
    <cellStyle name="Porcentaje 3 4 2 3" xfId="33824" xr:uid="{00000000-0005-0000-0000-000075840000}"/>
    <cellStyle name="Porcentaje 3 4 2 3 2" xfId="33825" xr:uid="{00000000-0005-0000-0000-000076840000}"/>
    <cellStyle name="Porcentaje 3 4 2 4" xfId="33826" xr:uid="{00000000-0005-0000-0000-000077840000}"/>
    <cellStyle name="Porcentaje 3 4 3" xfId="33827" xr:uid="{00000000-0005-0000-0000-000078840000}"/>
    <cellStyle name="Porcentaje 3 4 3 2" xfId="33828" xr:uid="{00000000-0005-0000-0000-000079840000}"/>
    <cellStyle name="Porcentaje 3 4 4" xfId="33829" xr:uid="{00000000-0005-0000-0000-00007A840000}"/>
    <cellStyle name="Porcentaje 3 4 4 2" xfId="33830" xr:uid="{00000000-0005-0000-0000-00007B840000}"/>
    <cellStyle name="Porcentaje 3 4 5" xfId="33831" xr:uid="{00000000-0005-0000-0000-00007C840000}"/>
    <cellStyle name="Porcentaje 3 5" xfId="33832" xr:uid="{00000000-0005-0000-0000-00007D840000}"/>
    <cellStyle name="Porcentaje 3 5 2" xfId="33833" xr:uid="{00000000-0005-0000-0000-00007E840000}"/>
    <cellStyle name="Porcentaje 3 5 2 2" xfId="33834" xr:uid="{00000000-0005-0000-0000-00007F840000}"/>
    <cellStyle name="Porcentaje 3 5 3" xfId="33835" xr:uid="{00000000-0005-0000-0000-000080840000}"/>
    <cellStyle name="Porcentaje 3 5 3 2" xfId="33836" xr:uid="{00000000-0005-0000-0000-000081840000}"/>
    <cellStyle name="Porcentaje 3 5 4" xfId="33837" xr:uid="{00000000-0005-0000-0000-000082840000}"/>
    <cellStyle name="Porcentaje 3 6" xfId="33838" xr:uid="{00000000-0005-0000-0000-000083840000}"/>
    <cellStyle name="Porcentaje 3 6 2" xfId="33839" xr:uid="{00000000-0005-0000-0000-000084840000}"/>
    <cellStyle name="Porcentaje 3 7" xfId="33840" xr:uid="{00000000-0005-0000-0000-000085840000}"/>
    <cellStyle name="Porcentaje 3 7 2" xfId="33841" xr:uid="{00000000-0005-0000-0000-000086840000}"/>
    <cellStyle name="Porcentaje 3 8" xfId="33842" xr:uid="{00000000-0005-0000-0000-000087840000}"/>
    <cellStyle name="Porcentaje 3 9" xfId="33843" xr:uid="{00000000-0005-0000-0000-000088840000}"/>
    <cellStyle name="Porcentaje 4" xfId="33844" xr:uid="{00000000-0005-0000-0000-000089840000}"/>
    <cellStyle name="Porcentaje 4 2" xfId="33845" xr:uid="{00000000-0005-0000-0000-00008A840000}"/>
    <cellStyle name="Porcentaje 4 2 2" xfId="33846" xr:uid="{00000000-0005-0000-0000-00008B840000}"/>
    <cellStyle name="Porcentaje 4 2 2 2" xfId="33847" xr:uid="{00000000-0005-0000-0000-00008C840000}"/>
    <cellStyle name="Porcentaje 4 2 2 2 2" xfId="33848" xr:uid="{00000000-0005-0000-0000-00008D840000}"/>
    <cellStyle name="Porcentaje 4 2 2 2 2 2" xfId="33849" xr:uid="{00000000-0005-0000-0000-00008E840000}"/>
    <cellStyle name="Porcentaje 4 2 2 2 3" xfId="33850" xr:uid="{00000000-0005-0000-0000-00008F840000}"/>
    <cellStyle name="Porcentaje 4 2 2 2 3 2" xfId="33851" xr:uid="{00000000-0005-0000-0000-000090840000}"/>
    <cellStyle name="Porcentaje 4 2 2 2 4" xfId="33852" xr:uid="{00000000-0005-0000-0000-000091840000}"/>
    <cellStyle name="Porcentaje 4 2 2 3" xfId="33853" xr:uid="{00000000-0005-0000-0000-000092840000}"/>
    <cellStyle name="Porcentaje 4 2 2 3 2" xfId="33854" xr:uid="{00000000-0005-0000-0000-000093840000}"/>
    <cellStyle name="Porcentaje 4 2 2 4" xfId="33855" xr:uid="{00000000-0005-0000-0000-000094840000}"/>
    <cellStyle name="Porcentaje 4 2 2 4 2" xfId="33856" xr:uid="{00000000-0005-0000-0000-000095840000}"/>
    <cellStyle name="Porcentaje 4 2 2 5" xfId="33857" xr:uid="{00000000-0005-0000-0000-000096840000}"/>
    <cellStyle name="Porcentaje 4 2 3" xfId="33858" xr:uid="{00000000-0005-0000-0000-000097840000}"/>
    <cellStyle name="Porcentaje 4 2 3 2" xfId="33859" xr:uid="{00000000-0005-0000-0000-000098840000}"/>
    <cellStyle name="Porcentaje 4 2 3 2 2" xfId="33860" xr:uid="{00000000-0005-0000-0000-000099840000}"/>
    <cellStyle name="Porcentaje 4 2 3 3" xfId="33861" xr:uid="{00000000-0005-0000-0000-00009A840000}"/>
    <cellStyle name="Porcentaje 4 2 3 3 2" xfId="33862" xr:uid="{00000000-0005-0000-0000-00009B840000}"/>
    <cellStyle name="Porcentaje 4 2 3 4" xfId="33863" xr:uid="{00000000-0005-0000-0000-00009C840000}"/>
    <cellStyle name="Porcentaje 4 2 4" xfId="33864" xr:uid="{00000000-0005-0000-0000-00009D840000}"/>
    <cellStyle name="Porcentaje 4 2 4 2" xfId="33865" xr:uid="{00000000-0005-0000-0000-00009E840000}"/>
    <cellStyle name="Porcentaje 4 2 5" xfId="33866" xr:uid="{00000000-0005-0000-0000-00009F840000}"/>
    <cellStyle name="Porcentaje 4 2 5 2" xfId="33867" xr:uid="{00000000-0005-0000-0000-0000A0840000}"/>
    <cellStyle name="Porcentaje 4 2 6" xfId="33868" xr:uid="{00000000-0005-0000-0000-0000A1840000}"/>
    <cellStyle name="Porcentaje 4 2 7" xfId="33869" xr:uid="{00000000-0005-0000-0000-0000A2840000}"/>
    <cellStyle name="Porcentaje 4 3" xfId="33870" xr:uid="{00000000-0005-0000-0000-0000A3840000}"/>
    <cellStyle name="Porcentaje 4 3 2" xfId="33871" xr:uid="{00000000-0005-0000-0000-0000A4840000}"/>
    <cellStyle name="Porcentaje 4 3 2 2" xfId="33872" xr:uid="{00000000-0005-0000-0000-0000A5840000}"/>
    <cellStyle name="Porcentaje 4 3 2 2 2" xfId="33873" xr:uid="{00000000-0005-0000-0000-0000A6840000}"/>
    <cellStyle name="Porcentaje 4 3 2 3" xfId="33874" xr:uid="{00000000-0005-0000-0000-0000A7840000}"/>
    <cellStyle name="Porcentaje 4 3 2 3 2" xfId="33875" xr:uid="{00000000-0005-0000-0000-0000A8840000}"/>
    <cellStyle name="Porcentaje 4 3 2 4" xfId="33876" xr:uid="{00000000-0005-0000-0000-0000A9840000}"/>
    <cellStyle name="Porcentaje 4 3 3" xfId="33877" xr:uid="{00000000-0005-0000-0000-0000AA840000}"/>
    <cellStyle name="Porcentaje 4 3 3 2" xfId="33878" xr:uid="{00000000-0005-0000-0000-0000AB840000}"/>
    <cellStyle name="Porcentaje 4 3 4" xfId="33879" xr:uid="{00000000-0005-0000-0000-0000AC840000}"/>
    <cellStyle name="Porcentaje 4 3 4 2" xfId="33880" xr:uid="{00000000-0005-0000-0000-0000AD840000}"/>
    <cellStyle name="Porcentaje 4 3 5" xfId="33881" xr:uid="{00000000-0005-0000-0000-0000AE840000}"/>
    <cellStyle name="Porcentaje 4 4" xfId="33882" xr:uid="{00000000-0005-0000-0000-0000AF840000}"/>
    <cellStyle name="Porcentaje 4 4 2" xfId="33883" xr:uid="{00000000-0005-0000-0000-0000B0840000}"/>
    <cellStyle name="Porcentaje 4 4 2 2" xfId="33884" xr:uid="{00000000-0005-0000-0000-0000B1840000}"/>
    <cellStyle name="Porcentaje 4 4 3" xfId="33885" xr:uid="{00000000-0005-0000-0000-0000B2840000}"/>
    <cellStyle name="Porcentaje 4 4 3 2" xfId="33886" xr:uid="{00000000-0005-0000-0000-0000B3840000}"/>
    <cellStyle name="Porcentaje 4 4 4" xfId="33887" xr:uid="{00000000-0005-0000-0000-0000B4840000}"/>
    <cellStyle name="Porcentaje 4 5" xfId="33888" xr:uid="{00000000-0005-0000-0000-0000B5840000}"/>
    <cellStyle name="Porcentaje 4 5 2" xfId="33889" xr:uid="{00000000-0005-0000-0000-0000B6840000}"/>
    <cellStyle name="Porcentaje 4 6" xfId="33890" xr:uid="{00000000-0005-0000-0000-0000B7840000}"/>
    <cellStyle name="Porcentaje 4 6 2" xfId="33891" xr:uid="{00000000-0005-0000-0000-0000B8840000}"/>
    <cellStyle name="Porcentaje 4 7" xfId="33892" xr:uid="{00000000-0005-0000-0000-0000B9840000}"/>
    <cellStyle name="Porcentaje 4 8" xfId="33893" xr:uid="{00000000-0005-0000-0000-0000BA840000}"/>
    <cellStyle name="Porcentaje 5" xfId="33894" xr:uid="{00000000-0005-0000-0000-0000BB840000}"/>
    <cellStyle name="Porcentaje 5 2" xfId="33895" xr:uid="{00000000-0005-0000-0000-0000BC840000}"/>
    <cellStyle name="Porcentaje 5 3" xfId="33896" xr:uid="{00000000-0005-0000-0000-0000BD840000}"/>
    <cellStyle name="Porcentaje 6" xfId="33897" xr:uid="{00000000-0005-0000-0000-0000BE840000}"/>
    <cellStyle name="Porcentaje 6 2" xfId="33898" xr:uid="{00000000-0005-0000-0000-0000BF840000}"/>
    <cellStyle name="Porcentaje 6 3" xfId="33899" xr:uid="{00000000-0005-0000-0000-0000C0840000}"/>
    <cellStyle name="Porcentaje 7" xfId="33900" xr:uid="{00000000-0005-0000-0000-0000C1840000}"/>
    <cellStyle name="Porcentaje 7 2" xfId="33901" xr:uid="{00000000-0005-0000-0000-0000C2840000}"/>
    <cellStyle name="Porcentaje 8" xfId="33902" xr:uid="{00000000-0005-0000-0000-0000C3840000}"/>
    <cellStyle name="Porcentaje 8 2" xfId="33903" xr:uid="{00000000-0005-0000-0000-0000C4840000}"/>
    <cellStyle name="Porcentaje 9" xfId="33904" xr:uid="{00000000-0005-0000-0000-0000C5840000}"/>
    <cellStyle name="Porcentaje 9 2" xfId="33905" xr:uid="{00000000-0005-0000-0000-0000C6840000}"/>
    <cellStyle name="Porcentual 10" xfId="33906" xr:uid="{00000000-0005-0000-0000-0000C7840000}"/>
    <cellStyle name="Porcentual 14" xfId="33907" xr:uid="{00000000-0005-0000-0000-0000C8840000}"/>
    <cellStyle name="Porcentual 15" xfId="33908" xr:uid="{00000000-0005-0000-0000-0000C9840000}"/>
    <cellStyle name="Porcentual 16" xfId="33909" xr:uid="{00000000-0005-0000-0000-0000CA840000}"/>
    <cellStyle name="Porcentual 2" xfId="33910" xr:uid="{00000000-0005-0000-0000-0000CB840000}"/>
    <cellStyle name="Porcentual 2 10" xfId="33911" xr:uid="{00000000-0005-0000-0000-0000CC840000}"/>
    <cellStyle name="Porcentual 2 11" xfId="33912" xr:uid="{00000000-0005-0000-0000-0000CD840000}"/>
    <cellStyle name="Porcentual 2 12" xfId="33913" xr:uid="{00000000-0005-0000-0000-0000CE840000}"/>
    <cellStyle name="Porcentual 2 13" xfId="33914" xr:uid="{00000000-0005-0000-0000-0000CF840000}"/>
    <cellStyle name="Porcentual 2 14" xfId="33915" xr:uid="{00000000-0005-0000-0000-0000D0840000}"/>
    <cellStyle name="Porcentual 2 15" xfId="33916" xr:uid="{00000000-0005-0000-0000-0000D1840000}"/>
    <cellStyle name="Porcentual 2 16" xfId="33917" xr:uid="{00000000-0005-0000-0000-0000D2840000}"/>
    <cellStyle name="Porcentual 2 17" xfId="33918" xr:uid="{00000000-0005-0000-0000-0000D3840000}"/>
    <cellStyle name="Porcentual 2 18" xfId="33919" xr:uid="{00000000-0005-0000-0000-0000D4840000}"/>
    <cellStyle name="Porcentual 2 19" xfId="33920" xr:uid="{00000000-0005-0000-0000-0000D5840000}"/>
    <cellStyle name="Porcentual 2 2" xfId="33921" xr:uid="{00000000-0005-0000-0000-0000D6840000}"/>
    <cellStyle name="Porcentual 2 2 2" xfId="33922" xr:uid="{00000000-0005-0000-0000-0000D7840000}"/>
    <cellStyle name="Porcentual 2 2 3" xfId="33923" xr:uid="{00000000-0005-0000-0000-0000D8840000}"/>
    <cellStyle name="Porcentual 2 2 4" xfId="33924" xr:uid="{00000000-0005-0000-0000-0000D9840000}"/>
    <cellStyle name="Porcentual 2 2 5" xfId="33925" xr:uid="{00000000-0005-0000-0000-0000DA840000}"/>
    <cellStyle name="Porcentual 2 20" xfId="33926" xr:uid="{00000000-0005-0000-0000-0000DB840000}"/>
    <cellStyle name="Porcentual 2 21" xfId="33927" xr:uid="{00000000-0005-0000-0000-0000DC840000}"/>
    <cellStyle name="Porcentual 2 22" xfId="33928" xr:uid="{00000000-0005-0000-0000-0000DD840000}"/>
    <cellStyle name="Porcentual 2 23" xfId="33929" xr:uid="{00000000-0005-0000-0000-0000DE840000}"/>
    <cellStyle name="Porcentual 2 24" xfId="33930" xr:uid="{00000000-0005-0000-0000-0000DF840000}"/>
    <cellStyle name="Porcentual 2 25" xfId="33931" xr:uid="{00000000-0005-0000-0000-0000E0840000}"/>
    <cellStyle name="Porcentual 2 26" xfId="33932" xr:uid="{00000000-0005-0000-0000-0000E1840000}"/>
    <cellStyle name="Porcentual 2 27" xfId="33933" xr:uid="{00000000-0005-0000-0000-0000E2840000}"/>
    <cellStyle name="Porcentual 2 28" xfId="33934" xr:uid="{00000000-0005-0000-0000-0000E3840000}"/>
    <cellStyle name="Porcentual 2 29" xfId="33935" xr:uid="{00000000-0005-0000-0000-0000E4840000}"/>
    <cellStyle name="Porcentual 2 3" xfId="33936" xr:uid="{00000000-0005-0000-0000-0000E5840000}"/>
    <cellStyle name="Porcentual 2 30" xfId="33937" xr:uid="{00000000-0005-0000-0000-0000E6840000}"/>
    <cellStyle name="Porcentual 2 31" xfId="33938" xr:uid="{00000000-0005-0000-0000-0000E7840000}"/>
    <cellStyle name="Porcentual 2 32" xfId="33939" xr:uid="{00000000-0005-0000-0000-0000E8840000}"/>
    <cellStyle name="Porcentual 2 33" xfId="33940" xr:uid="{00000000-0005-0000-0000-0000E9840000}"/>
    <cellStyle name="Porcentual 2 34" xfId="33941" xr:uid="{00000000-0005-0000-0000-0000EA840000}"/>
    <cellStyle name="Porcentual 2 35" xfId="33942" xr:uid="{00000000-0005-0000-0000-0000EB840000}"/>
    <cellStyle name="Porcentual 2 36" xfId="33943" xr:uid="{00000000-0005-0000-0000-0000EC840000}"/>
    <cellStyle name="Porcentual 2 37" xfId="33944" xr:uid="{00000000-0005-0000-0000-0000ED840000}"/>
    <cellStyle name="Porcentual 2 38" xfId="33945" xr:uid="{00000000-0005-0000-0000-0000EE840000}"/>
    <cellStyle name="Porcentual 2 39" xfId="33946" xr:uid="{00000000-0005-0000-0000-0000EF840000}"/>
    <cellStyle name="Porcentual 2 4" xfId="33947" xr:uid="{00000000-0005-0000-0000-0000F0840000}"/>
    <cellStyle name="Porcentual 2 40" xfId="33948" xr:uid="{00000000-0005-0000-0000-0000F1840000}"/>
    <cellStyle name="Porcentual 2 41" xfId="33949" xr:uid="{00000000-0005-0000-0000-0000F2840000}"/>
    <cellStyle name="Porcentual 2 42" xfId="33950" xr:uid="{00000000-0005-0000-0000-0000F3840000}"/>
    <cellStyle name="Porcentual 2 43" xfId="33951" xr:uid="{00000000-0005-0000-0000-0000F4840000}"/>
    <cellStyle name="Porcentual 2 44" xfId="33952" xr:uid="{00000000-0005-0000-0000-0000F5840000}"/>
    <cellStyle name="Porcentual 2 45" xfId="33953" xr:uid="{00000000-0005-0000-0000-0000F6840000}"/>
    <cellStyle name="Porcentual 2 46" xfId="33954" xr:uid="{00000000-0005-0000-0000-0000F7840000}"/>
    <cellStyle name="Porcentual 2 47" xfId="33955" xr:uid="{00000000-0005-0000-0000-0000F8840000}"/>
    <cellStyle name="Porcentual 2 48" xfId="33956" xr:uid="{00000000-0005-0000-0000-0000F9840000}"/>
    <cellStyle name="Porcentual 2 49" xfId="33957" xr:uid="{00000000-0005-0000-0000-0000FA840000}"/>
    <cellStyle name="Porcentual 2 5" xfId="33958" xr:uid="{00000000-0005-0000-0000-0000FB840000}"/>
    <cellStyle name="Porcentual 2 50" xfId="33959" xr:uid="{00000000-0005-0000-0000-0000FC840000}"/>
    <cellStyle name="Porcentual 2 51" xfId="33960" xr:uid="{00000000-0005-0000-0000-0000FD840000}"/>
    <cellStyle name="Porcentual 2 52" xfId="33961" xr:uid="{00000000-0005-0000-0000-0000FE840000}"/>
    <cellStyle name="Porcentual 2 53" xfId="33962" xr:uid="{00000000-0005-0000-0000-0000FF840000}"/>
    <cellStyle name="Porcentual 2 54" xfId="33963" xr:uid="{00000000-0005-0000-0000-000000850000}"/>
    <cellStyle name="Porcentual 2 55" xfId="33964" xr:uid="{00000000-0005-0000-0000-000001850000}"/>
    <cellStyle name="Porcentual 2 56" xfId="33965" xr:uid="{00000000-0005-0000-0000-000002850000}"/>
    <cellStyle name="Porcentual 2 57" xfId="33966" xr:uid="{00000000-0005-0000-0000-000003850000}"/>
    <cellStyle name="Porcentual 2 6" xfId="33967" xr:uid="{00000000-0005-0000-0000-000004850000}"/>
    <cellStyle name="Porcentual 2 7" xfId="33968" xr:uid="{00000000-0005-0000-0000-000005850000}"/>
    <cellStyle name="Porcentual 2 8" xfId="33969" xr:uid="{00000000-0005-0000-0000-000006850000}"/>
    <cellStyle name="Porcentual 2 9" xfId="33970" xr:uid="{00000000-0005-0000-0000-000007850000}"/>
    <cellStyle name="Porcentual 3" xfId="33971" xr:uid="{00000000-0005-0000-0000-000008850000}"/>
    <cellStyle name="Porcentual 3 10" xfId="33972" xr:uid="{00000000-0005-0000-0000-000009850000}"/>
    <cellStyle name="Porcentual 3 11" xfId="33973" xr:uid="{00000000-0005-0000-0000-00000A850000}"/>
    <cellStyle name="Porcentual 3 12" xfId="33974" xr:uid="{00000000-0005-0000-0000-00000B850000}"/>
    <cellStyle name="Porcentual 3 13" xfId="33975" xr:uid="{00000000-0005-0000-0000-00000C850000}"/>
    <cellStyle name="Porcentual 3 14" xfId="33976" xr:uid="{00000000-0005-0000-0000-00000D850000}"/>
    <cellStyle name="Porcentual 3 15" xfId="33977" xr:uid="{00000000-0005-0000-0000-00000E850000}"/>
    <cellStyle name="Porcentual 3 16" xfId="33978" xr:uid="{00000000-0005-0000-0000-00000F850000}"/>
    <cellStyle name="Porcentual 3 17" xfId="33979" xr:uid="{00000000-0005-0000-0000-000010850000}"/>
    <cellStyle name="Porcentual 3 18" xfId="33980" xr:uid="{00000000-0005-0000-0000-000011850000}"/>
    <cellStyle name="Porcentual 3 19" xfId="33981" xr:uid="{00000000-0005-0000-0000-000012850000}"/>
    <cellStyle name="Porcentual 3 2" xfId="33982" xr:uid="{00000000-0005-0000-0000-000013850000}"/>
    <cellStyle name="Porcentual 3 2 10" xfId="33983" xr:uid="{00000000-0005-0000-0000-000014850000}"/>
    <cellStyle name="Porcentual 3 2 11" xfId="33984" xr:uid="{00000000-0005-0000-0000-000015850000}"/>
    <cellStyle name="Porcentual 3 2 12" xfId="33985" xr:uid="{00000000-0005-0000-0000-000016850000}"/>
    <cellStyle name="Porcentual 3 2 13" xfId="33986" xr:uid="{00000000-0005-0000-0000-000017850000}"/>
    <cellStyle name="Porcentual 3 2 14" xfId="33987" xr:uid="{00000000-0005-0000-0000-000018850000}"/>
    <cellStyle name="Porcentual 3 2 15" xfId="33988" xr:uid="{00000000-0005-0000-0000-000019850000}"/>
    <cellStyle name="Porcentual 3 2 16" xfId="33989" xr:uid="{00000000-0005-0000-0000-00001A850000}"/>
    <cellStyle name="Porcentual 3 2 17" xfId="33990" xr:uid="{00000000-0005-0000-0000-00001B850000}"/>
    <cellStyle name="Porcentual 3 2 18" xfId="33991" xr:uid="{00000000-0005-0000-0000-00001C850000}"/>
    <cellStyle name="Porcentual 3 2 19" xfId="33992" xr:uid="{00000000-0005-0000-0000-00001D850000}"/>
    <cellStyle name="Porcentual 3 2 2" xfId="33993" xr:uid="{00000000-0005-0000-0000-00001E850000}"/>
    <cellStyle name="Porcentual 3 2 20" xfId="33994" xr:uid="{00000000-0005-0000-0000-00001F850000}"/>
    <cellStyle name="Porcentual 3 2 21" xfId="33995" xr:uid="{00000000-0005-0000-0000-000020850000}"/>
    <cellStyle name="Porcentual 3 2 22" xfId="33996" xr:uid="{00000000-0005-0000-0000-000021850000}"/>
    <cellStyle name="Porcentual 3 2 23" xfId="33997" xr:uid="{00000000-0005-0000-0000-000022850000}"/>
    <cellStyle name="Porcentual 3 2 24" xfId="33998" xr:uid="{00000000-0005-0000-0000-000023850000}"/>
    <cellStyle name="Porcentual 3 2 25" xfId="33999" xr:uid="{00000000-0005-0000-0000-000024850000}"/>
    <cellStyle name="Porcentual 3 2 26" xfId="34000" xr:uid="{00000000-0005-0000-0000-000025850000}"/>
    <cellStyle name="Porcentual 3 2 27" xfId="34001" xr:uid="{00000000-0005-0000-0000-000026850000}"/>
    <cellStyle name="Porcentual 3 2 28" xfId="34002" xr:uid="{00000000-0005-0000-0000-000027850000}"/>
    <cellStyle name="Porcentual 3 2 29" xfId="34003" xr:uid="{00000000-0005-0000-0000-000028850000}"/>
    <cellStyle name="Porcentual 3 2 3" xfId="34004" xr:uid="{00000000-0005-0000-0000-000029850000}"/>
    <cellStyle name="Porcentual 3 2 4" xfId="34005" xr:uid="{00000000-0005-0000-0000-00002A850000}"/>
    <cellStyle name="Porcentual 3 2 5" xfId="34006" xr:uid="{00000000-0005-0000-0000-00002B850000}"/>
    <cellStyle name="Porcentual 3 2 6" xfId="34007" xr:uid="{00000000-0005-0000-0000-00002C850000}"/>
    <cellStyle name="Porcentual 3 2 7" xfId="34008" xr:uid="{00000000-0005-0000-0000-00002D850000}"/>
    <cellStyle name="Porcentual 3 2 8" xfId="34009" xr:uid="{00000000-0005-0000-0000-00002E850000}"/>
    <cellStyle name="Porcentual 3 2 9" xfId="34010" xr:uid="{00000000-0005-0000-0000-00002F850000}"/>
    <cellStyle name="Porcentual 3 20" xfId="34011" xr:uid="{00000000-0005-0000-0000-000030850000}"/>
    <cellStyle name="Porcentual 3 21" xfId="34012" xr:uid="{00000000-0005-0000-0000-000031850000}"/>
    <cellStyle name="Porcentual 3 22" xfId="34013" xr:uid="{00000000-0005-0000-0000-000032850000}"/>
    <cellStyle name="Porcentual 3 23" xfId="34014" xr:uid="{00000000-0005-0000-0000-000033850000}"/>
    <cellStyle name="Porcentual 3 24" xfId="34015" xr:uid="{00000000-0005-0000-0000-000034850000}"/>
    <cellStyle name="Porcentual 3 25" xfId="34016" xr:uid="{00000000-0005-0000-0000-000035850000}"/>
    <cellStyle name="Porcentual 3 3" xfId="34017" xr:uid="{00000000-0005-0000-0000-000036850000}"/>
    <cellStyle name="Porcentual 3 4" xfId="34018" xr:uid="{00000000-0005-0000-0000-000037850000}"/>
    <cellStyle name="Porcentual 3 5" xfId="34019" xr:uid="{00000000-0005-0000-0000-000038850000}"/>
    <cellStyle name="Porcentual 3 6" xfId="34020" xr:uid="{00000000-0005-0000-0000-000039850000}"/>
    <cellStyle name="Porcentual 3 7" xfId="34021" xr:uid="{00000000-0005-0000-0000-00003A850000}"/>
    <cellStyle name="Porcentual 3 8" xfId="34022" xr:uid="{00000000-0005-0000-0000-00003B850000}"/>
    <cellStyle name="Porcentual 3 9" xfId="34023" xr:uid="{00000000-0005-0000-0000-00003C850000}"/>
    <cellStyle name="Porcentual 4" xfId="34024" xr:uid="{00000000-0005-0000-0000-00003D850000}"/>
    <cellStyle name="Porcentual 4 10" xfId="34025" xr:uid="{00000000-0005-0000-0000-00003E850000}"/>
    <cellStyle name="Porcentual 4 11" xfId="34026" xr:uid="{00000000-0005-0000-0000-00003F850000}"/>
    <cellStyle name="Porcentual 4 12" xfId="34027" xr:uid="{00000000-0005-0000-0000-000040850000}"/>
    <cellStyle name="Porcentual 4 13" xfId="34028" xr:uid="{00000000-0005-0000-0000-000041850000}"/>
    <cellStyle name="Porcentual 4 14" xfId="34029" xr:uid="{00000000-0005-0000-0000-000042850000}"/>
    <cellStyle name="Porcentual 4 15" xfId="34030" xr:uid="{00000000-0005-0000-0000-000043850000}"/>
    <cellStyle name="Porcentual 4 16" xfId="34031" xr:uid="{00000000-0005-0000-0000-000044850000}"/>
    <cellStyle name="Porcentual 4 17" xfId="34032" xr:uid="{00000000-0005-0000-0000-000045850000}"/>
    <cellStyle name="Porcentual 4 18" xfId="34033" xr:uid="{00000000-0005-0000-0000-000046850000}"/>
    <cellStyle name="Porcentual 4 19" xfId="34034" xr:uid="{00000000-0005-0000-0000-000047850000}"/>
    <cellStyle name="Porcentual 4 2" xfId="34035" xr:uid="{00000000-0005-0000-0000-000048850000}"/>
    <cellStyle name="Porcentual 4 20" xfId="34036" xr:uid="{00000000-0005-0000-0000-000049850000}"/>
    <cellStyle name="Porcentual 4 21" xfId="34037" xr:uid="{00000000-0005-0000-0000-00004A850000}"/>
    <cellStyle name="Porcentual 4 22" xfId="34038" xr:uid="{00000000-0005-0000-0000-00004B850000}"/>
    <cellStyle name="Porcentual 4 23" xfId="34039" xr:uid="{00000000-0005-0000-0000-00004C850000}"/>
    <cellStyle name="Porcentual 4 24" xfId="34040" xr:uid="{00000000-0005-0000-0000-00004D850000}"/>
    <cellStyle name="Porcentual 4 25" xfId="34041" xr:uid="{00000000-0005-0000-0000-00004E850000}"/>
    <cellStyle name="Porcentual 4 26" xfId="34042" xr:uid="{00000000-0005-0000-0000-00004F850000}"/>
    <cellStyle name="Porcentual 4 27" xfId="34043" xr:uid="{00000000-0005-0000-0000-000050850000}"/>
    <cellStyle name="Porcentual 4 28" xfId="34044" xr:uid="{00000000-0005-0000-0000-000051850000}"/>
    <cellStyle name="Porcentual 4 3" xfId="34045" xr:uid="{00000000-0005-0000-0000-000052850000}"/>
    <cellStyle name="Porcentual 4 4" xfId="34046" xr:uid="{00000000-0005-0000-0000-000053850000}"/>
    <cellStyle name="Porcentual 4 5" xfId="34047" xr:uid="{00000000-0005-0000-0000-000054850000}"/>
    <cellStyle name="Porcentual 4 6" xfId="34048" xr:uid="{00000000-0005-0000-0000-000055850000}"/>
    <cellStyle name="Porcentual 4 7" xfId="34049" xr:uid="{00000000-0005-0000-0000-000056850000}"/>
    <cellStyle name="Porcentual 4 8" xfId="34050" xr:uid="{00000000-0005-0000-0000-000057850000}"/>
    <cellStyle name="Porcentual 4 9" xfId="34051" xr:uid="{00000000-0005-0000-0000-000058850000}"/>
    <cellStyle name="Porcentual 5" xfId="34052" xr:uid="{00000000-0005-0000-0000-000059850000}"/>
    <cellStyle name="Porcentual 6" xfId="34053" xr:uid="{00000000-0005-0000-0000-00005A850000}"/>
    <cellStyle name="Porcentual 71" xfId="34054" xr:uid="{00000000-0005-0000-0000-00005B850000}"/>
    <cellStyle name="Porcentual 73" xfId="34055" xr:uid="{00000000-0005-0000-0000-00005C850000}"/>
    <cellStyle name="Porcentual 8" xfId="34056" xr:uid="{00000000-0005-0000-0000-00005D850000}"/>
    <cellStyle name="Porcentual 8 10" xfId="34057" xr:uid="{00000000-0005-0000-0000-00005E850000}"/>
    <cellStyle name="Porcentual 8 11" xfId="34058" xr:uid="{00000000-0005-0000-0000-00005F850000}"/>
    <cellStyle name="Porcentual 8 12" xfId="34059" xr:uid="{00000000-0005-0000-0000-000060850000}"/>
    <cellStyle name="Porcentual 8 13" xfId="34060" xr:uid="{00000000-0005-0000-0000-000061850000}"/>
    <cellStyle name="Porcentual 8 14" xfId="34061" xr:uid="{00000000-0005-0000-0000-000062850000}"/>
    <cellStyle name="Porcentual 8 2" xfId="34062" xr:uid="{00000000-0005-0000-0000-000063850000}"/>
    <cellStyle name="Porcentual 8 3" xfId="34063" xr:uid="{00000000-0005-0000-0000-000064850000}"/>
    <cellStyle name="Porcentual 8 4" xfId="34064" xr:uid="{00000000-0005-0000-0000-000065850000}"/>
    <cellStyle name="Porcentual 8 5" xfId="34065" xr:uid="{00000000-0005-0000-0000-000066850000}"/>
    <cellStyle name="Porcentual 8 6" xfId="34066" xr:uid="{00000000-0005-0000-0000-000067850000}"/>
    <cellStyle name="Porcentual 8 7" xfId="34067" xr:uid="{00000000-0005-0000-0000-000068850000}"/>
    <cellStyle name="Porcentual 8 8" xfId="34068" xr:uid="{00000000-0005-0000-0000-000069850000}"/>
    <cellStyle name="Porcentual 8 9" xfId="34069" xr:uid="{00000000-0005-0000-0000-00006A850000}"/>
    <cellStyle name="Porcentual 9" xfId="34070" xr:uid="{00000000-0005-0000-0000-00006B850000}"/>
    <cellStyle name="posbanco" xfId="34071" xr:uid="{00000000-0005-0000-0000-00006C850000}"/>
    <cellStyle name="PrePop Currency (0)" xfId="34072" xr:uid="{00000000-0005-0000-0000-00006D850000}"/>
    <cellStyle name="PrePop Currency (2)" xfId="34073" xr:uid="{00000000-0005-0000-0000-00006E850000}"/>
    <cellStyle name="PrePop Units (0)" xfId="34074" xr:uid="{00000000-0005-0000-0000-00006F850000}"/>
    <cellStyle name="PrePop Units (1)" xfId="34075" xr:uid="{00000000-0005-0000-0000-000070850000}"/>
    <cellStyle name="PrePop Units (2)" xfId="34076" xr:uid="{00000000-0005-0000-0000-000071850000}"/>
    <cellStyle name="pricing" xfId="34077" xr:uid="{00000000-0005-0000-0000-000072850000}"/>
    <cellStyle name="PSChar" xfId="34078" xr:uid="{00000000-0005-0000-0000-000073850000}"/>
    <cellStyle name="PSDate" xfId="34079" xr:uid="{00000000-0005-0000-0000-000074850000}"/>
    <cellStyle name="PSDec" xfId="34080" xr:uid="{00000000-0005-0000-0000-000075850000}"/>
    <cellStyle name="PSHeading" xfId="34081" xr:uid="{00000000-0005-0000-0000-000076850000}"/>
    <cellStyle name="PSInt" xfId="34082" xr:uid="{00000000-0005-0000-0000-000077850000}"/>
    <cellStyle name="PSSpacer" xfId="34083" xr:uid="{00000000-0005-0000-0000-000078850000}"/>
    <cellStyle name="Punto" xfId="34084" xr:uid="{00000000-0005-0000-0000-000079850000}"/>
    <cellStyle name="Punto0" xfId="34085" xr:uid="{00000000-0005-0000-0000-00007A850000}"/>
    <cellStyle name="Punto0 - Modelo2" xfId="34086" xr:uid="{00000000-0005-0000-0000-00007B850000}"/>
    <cellStyle name="Punto0_$_ENT_p98" xfId="34087" xr:uid="{00000000-0005-0000-0000-00007C850000}"/>
    <cellStyle name="Punto1 - Modelo1" xfId="34088" xr:uid="{00000000-0005-0000-0000-00007D850000}"/>
    <cellStyle name="R00A" xfId="34089" xr:uid="{00000000-0005-0000-0000-00007E850000}"/>
    <cellStyle name="R00B" xfId="34090" xr:uid="{00000000-0005-0000-0000-00007F850000}"/>
    <cellStyle name="R00L" xfId="34091" xr:uid="{00000000-0005-0000-0000-000080850000}"/>
    <cellStyle name="R01A" xfId="34092" xr:uid="{00000000-0005-0000-0000-000081850000}"/>
    <cellStyle name="R01B" xfId="34093" xr:uid="{00000000-0005-0000-0000-000082850000}"/>
    <cellStyle name="R01H" xfId="34094" xr:uid="{00000000-0005-0000-0000-000083850000}"/>
    <cellStyle name="R01L" xfId="34095" xr:uid="{00000000-0005-0000-0000-000084850000}"/>
    <cellStyle name="R02A" xfId="34096" xr:uid="{00000000-0005-0000-0000-000085850000}"/>
    <cellStyle name="R02B" xfId="34097" xr:uid="{00000000-0005-0000-0000-000086850000}"/>
    <cellStyle name="R02H" xfId="34098" xr:uid="{00000000-0005-0000-0000-000087850000}"/>
    <cellStyle name="R02L" xfId="34099" xr:uid="{00000000-0005-0000-0000-000088850000}"/>
    <cellStyle name="R03A" xfId="34100" xr:uid="{00000000-0005-0000-0000-000089850000}"/>
    <cellStyle name="R03B" xfId="34101" xr:uid="{00000000-0005-0000-0000-00008A850000}"/>
    <cellStyle name="R03H" xfId="34102" xr:uid="{00000000-0005-0000-0000-00008B850000}"/>
    <cellStyle name="R03L" xfId="34103" xr:uid="{00000000-0005-0000-0000-00008C850000}"/>
    <cellStyle name="R04A" xfId="34104" xr:uid="{00000000-0005-0000-0000-00008D850000}"/>
    <cellStyle name="R04B" xfId="34105" xr:uid="{00000000-0005-0000-0000-00008E850000}"/>
    <cellStyle name="R04H" xfId="34106" xr:uid="{00000000-0005-0000-0000-00008F850000}"/>
    <cellStyle name="R04L" xfId="34107" xr:uid="{00000000-0005-0000-0000-000090850000}"/>
    <cellStyle name="R05A" xfId="34108" xr:uid="{00000000-0005-0000-0000-000091850000}"/>
    <cellStyle name="R05B" xfId="34109" xr:uid="{00000000-0005-0000-0000-000092850000}"/>
    <cellStyle name="R05H" xfId="34110" xr:uid="{00000000-0005-0000-0000-000093850000}"/>
    <cellStyle name="R05L" xfId="34111" xr:uid="{00000000-0005-0000-0000-000094850000}"/>
    <cellStyle name="R06A" xfId="34112" xr:uid="{00000000-0005-0000-0000-000095850000}"/>
    <cellStyle name="R06B" xfId="34113" xr:uid="{00000000-0005-0000-0000-000096850000}"/>
    <cellStyle name="R06H" xfId="34114" xr:uid="{00000000-0005-0000-0000-000097850000}"/>
    <cellStyle name="R06L" xfId="34115" xr:uid="{00000000-0005-0000-0000-000098850000}"/>
    <cellStyle name="R07A" xfId="34116" xr:uid="{00000000-0005-0000-0000-000099850000}"/>
    <cellStyle name="R07B" xfId="34117" xr:uid="{00000000-0005-0000-0000-00009A850000}"/>
    <cellStyle name="R07H" xfId="34118" xr:uid="{00000000-0005-0000-0000-00009B850000}"/>
    <cellStyle name="R07L" xfId="34119" xr:uid="{00000000-0005-0000-0000-00009C850000}"/>
    <cellStyle name="Rates" xfId="34120" xr:uid="{00000000-0005-0000-0000-00009D850000}"/>
    <cellStyle name="realtime" xfId="34121" xr:uid="{00000000-0005-0000-0000-00009E850000}"/>
    <cellStyle name="Red Text" xfId="34122" xr:uid="{00000000-0005-0000-0000-00009F850000}"/>
    <cellStyle name="Reporting Bold" xfId="34123" xr:uid="{00000000-0005-0000-0000-0000A0850000}"/>
    <cellStyle name="Reporting Bold 14" xfId="34124" xr:uid="{00000000-0005-0000-0000-0000A1850000}"/>
    <cellStyle name="Reporting Normal" xfId="34125" xr:uid="{00000000-0005-0000-0000-0000A2850000}"/>
    <cellStyle name="Resaltar" xfId="34126" xr:uid="{00000000-0005-0000-0000-0000A3850000}"/>
    <cellStyle name="Resaltar1" xfId="34127" xr:uid="{00000000-0005-0000-0000-0000A4850000}"/>
    <cellStyle name="result" xfId="34128" xr:uid="{00000000-0005-0000-0000-0000A5850000}"/>
    <cellStyle name="RevList" xfId="34129" xr:uid="{00000000-0005-0000-0000-0000A6850000}"/>
    <cellStyle name="RM" xfId="34130" xr:uid="{00000000-0005-0000-0000-0000A7850000}"/>
    <cellStyle name="RowLevel_" xfId="34131" xr:uid="{00000000-0005-0000-0000-0000A8850000}"/>
    <cellStyle name="rt" xfId="34132" xr:uid="{00000000-0005-0000-0000-0000A9850000}"/>
    <cellStyle name="Salida" xfId="52" builtinId="21" customBuiltin="1"/>
    <cellStyle name="Salida 10" xfId="34133" xr:uid="{00000000-0005-0000-0000-0000AB850000}"/>
    <cellStyle name="Salida 11" xfId="34134" xr:uid="{00000000-0005-0000-0000-0000AC850000}"/>
    <cellStyle name="Salida 12" xfId="34135" xr:uid="{00000000-0005-0000-0000-0000AD850000}"/>
    <cellStyle name="Salida 2" xfId="34136" xr:uid="{00000000-0005-0000-0000-0000AE850000}"/>
    <cellStyle name="Salida 2 10" xfId="34137" xr:uid="{00000000-0005-0000-0000-0000AF850000}"/>
    <cellStyle name="Salida 2 11" xfId="34138" xr:uid="{00000000-0005-0000-0000-0000B0850000}"/>
    <cellStyle name="Salida 2 12" xfId="34139" xr:uid="{00000000-0005-0000-0000-0000B1850000}"/>
    <cellStyle name="Salida 2 13" xfId="34140" xr:uid="{00000000-0005-0000-0000-0000B2850000}"/>
    <cellStyle name="Salida 2 14" xfId="34141" xr:uid="{00000000-0005-0000-0000-0000B3850000}"/>
    <cellStyle name="Salida 2 15" xfId="34142" xr:uid="{00000000-0005-0000-0000-0000B4850000}"/>
    <cellStyle name="Salida 2 16" xfId="34143" xr:uid="{00000000-0005-0000-0000-0000B5850000}"/>
    <cellStyle name="Salida 2 17" xfId="34144" xr:uid="{00000000-0005-0000-0000-0000B6850000}"/>
    <cellStyle name="Salida 2 18" xfId="34145" xr:uid="{00000000-0005-0000-0000-0000B7850000}"/>
    <cellStyle name="Salida 2 19" xfId="34146" xr:uid="{00000000-0005-0000-0000-0000B8850000}"/>
    <cellStyle name="Salida 2 2" xfId="34147" xr:uid="{00000000-0005-0000-0000-0000B9850000}"/>
    <cellStyle name="Salida 2 20" xfId="34148" xr:uid="{00000000-0005-0000-0000-0000BA850000}"/>
    <cellStyle name="Salida 2 21" xfId="34149" xr:uid="{00000000-0005-0000-0000-0000BB850000}"/>
    <cellStyle name="Salida 2 22" xfId="34150" xr:uid="{00000000-0005-0000-0000-0000BC850000}"/>
    <cellStyle name="Salida 2 23" xfId="34151" xr:uid="{00000000-0005-0000-0000-0000BD850000}"/>
    <cellStyle name="Salida 2 24" xfId="34152" xr:uid="{00000000-0005-0000-0000-0000BE850000}"/>
    <cellStyle name="Salida 2 25" xfId="34153" xr:uid="{00000000-0005-0000-0000-0000BF850000}"/>
    <cellStyle name="Salida 2 26" xfId="34154" xr:uid="{00000000-0005-0000-0000-0000C0850000}"/>
    <cellStyle name="Salida 2 27" xfId="34155" xr:uid="{00000000-0005-0000-0000-0000C1850000}"/>
    <cellStyle name="Salida 2 28" xfId="34156" xr:uid="{00000000-0005-0000-0000-0000C2850000}"/>
    <cellStyle name="Salida 2 29" xfId="34157" xr:uid="{00000000-0005-0000-0000-0000C3850000}"/>
    <cellStyle name="Salida 2 3" xfId="34158" xr:uid="{00000000-0005-0000-0000-0000C4850000}"/>
    <cellStyle name="Salida 2 30" xfId="34159" xr:uid="{00000000-0005-0000-0000-0000C5850000}"/>
    <cellStyle name="Salida 2 31" xfId="34160" xr:uid="{00000000-0005-0000-0000-0000C6850000}"/>
    <cellStyle name="Salida 2 32" xfId="34161" xr:uid="{00000000-0005-0000-0000-0000C7850000}"/>
    <cellStyle name="Salida 2 33" xfId="34162" xr:uid="{00000000-0005-0000-0000-0000C8850000}"/>
    <cellStyle name="Salida 2 34" xfId="34163" xr:uid="{00000000-0005-0000-0000-0000C9850000}"/>
    <cellStyle name="Salida 2 35" xfId="34164" xr:uid="{00000000-0005-0000-0000-0000CA850000}"/>
    <cellStyle name="Salida 2 36" xfId="34165" xr:uid="{00000000-0005-0000-0000-0000CB850000}"/>
    <cellStyle name="Salida 2 37" xfId="34166" xr:uid="{00000000-0005-0000-0000-0000CC850000}"/>
    <cellStyle name="Salida 2 38" xfId="34167" xr:uid="{00000000-0005-0000-0000-0000CD850000}"/>
    <cellStyle name="Salida 2 4" xfId="34168" xr:uid="{00000000-0005-0000-0000-0000CE850000}"/>
    <cellStyle name="Salida 2 5" xfId="34169" xr:uid="{00000000-0005-0000-0000-0000CF850000}"/>
    <cellStyle name="Salida 2 6" xfId="34170" xr:uid="{00000000-0005-0000-0000-0000D0850000}"/>
    <cellStyle name="Salida 2 7" xfId="34171" xr:uid="{00000000-0005-0000-0000-0000D1850000}"/>
    <cellStyle name="Salida 2 8" xfId="34172" xr:uid="{00000000-0005-0000-0000-0000D2850000}"/>
    <cellStyle name="Salida 2 9" xfId="34173" xr:uid="{00000000-0005-0000-0000-0000D3850000}"/>
    <cellStyle name="Salida 3" xfId="34174" xr:uid="{00000000-0005-0000-0000-0000D4850000}"/>
    <cellStyle name="Salida 3 10" xfId="34175" xr:uid="{00000000-0005-0000-0000-0000D5850000}"/>
    <cellStyle name="Salida 3 11" xfId="34176" xr:uid="{00000000-0005-0000-0000-0000D6850000}"/>
    <cellStyle name="Salida 3 12" xfId="34177" xr:uid="{00000000-0005-0000-0000-0000D7850000}"/>
    <cellStyle name="Salida 3 13" xfId="34178" xr:uid="{00000000-0005-0000-0000-0000D8850000}"/>
    <cellStyle name="Salida 3 14" xfId="34179" xr:uid="{00000000-0005-0000-0000-0000D9850000}"/>
    <cellStyle name="Salida 3 15" xfId="34180" xr:uid="{00000000-0005-0000-0000-0000DA850000}"/>
    <cellStyle name="Salida 3 16" xfId="34181" xr:uid="{00000000-0005-0000-0000-0000DB850000}"/>
    <cellStyle name="Salida 3 17" xfId="34182" xr:uid="{00000000-0005-0000-0000-0000DC850000}"/>
    <cellStyle name="Salida 3 18" xfId="34183" xr:uid="{00000000-0005-0000-0000-0000DD850000}"/>
    <cellStyle name="Salida 3 19" xfId="34184" xr:uid="{00000000-0005-0000-0000-0000DE850000}"/>
    <cellStyle name="Salida 3 2" xfId="34185" xr:uid="{00000000-0005-0000-0000-0000DF850000}"/>
    <cellStyle name="Salida 3 20" xfId="34186" xr:uid="{00000000-0005-0000-0000-0000E0850000}"/>
    <cellStyle name="Salida 3 21" xfId="34187" xr:uid="{00000000-0005-0000-0000-0000E1850000}"/>
    <cellStyle name="Salida 3 22" xfId="34188" xr:uid="{00000000-0005-0000-0000-0000E2850000}"/>
    <cellStyle name="Salida 3 23" xfId="34189" xr:uid="{00000000-0005-0000-0000-0000E3850000}"/>
    <cellStyle name="Salida 3 24" xfId="34190" xr:uid="{00000000-0005-0000-0000-0000E4850000}"/>
    <cellStyle name="Salida 3 25" xfId="34191" xr:uid="{00000000-0005-0000-0000-0000E5850000}"/>
    <cellStyle name="Salida 3 26" xfId="34192" xr:uid="{00000000-0005-0000-0000-0000E6850000}"/>
    <cellStyle name="Salida 3 27" xfId="34193" xr:uid="{00000000-0005-0000-0000-0000E7850000}"/>
    <cellStyle name="Salida 3 28" xfId="34194" xr:uid="{00000000-0005-0000-0000-0000E8850000}"/>
    <cellStyle name="Salida 3 29" xfId="34195" xr:uid="{00000000-0005-0000-0000-0000E9850000}"/>
    <cellStyle name="Salida 3 3" xfId="34196" xr:uid="{00000000-0005-0000-0000-0000EA850000}"/>
    <cellStyle name="Salida 3 30" xfId="34197" xr:uid="{00000000-0005-0000-0000-0000EB850000}"/>
    <cellStyle name="Salida 3 31" xfId="34198" xr:uid="{00000000-0005-0000-0000-0000EC850000}"/>
    <cellStyle name="Salida 3 32" xfId="34199" xr:uid="{00000000-0005-0000-0000-0000ED850000}"/>
    <cellStyle name="Salida 3 33" xfId="34200" xr:uid="{00000000-0005-0000-0000-0000EE850000}"/>
    <cellStyle name="Salida 3 34" xfId="34201" xr:uid="{00000000-0005-0000-0000-0000EF850000}"/>
    <cellStyle name="Salida 3 4" xfId="34202" xr:uid="{00000000-0005-0000-0000-0000F0850000}"/>
    <cellStyle name="Salida 3 5" xfId="34203" xr:uid="{00000000-0005-0000-0000-0000F1850000}"/>
    <cellStyle name="Salida 3 6" xfId="34204" xr:uid="{00000000-0005-0000-0000-0000F2850000}"/>
    <cellStyle name="Salida 3 7" xfId="34205" xr:uid="{00000000-0005-0000-0000-0000F3850000}"/>
    <cellStyle name="Salida 3 8" xfId="34206" xr:uid="{00000000-0005-0000-0000-0000F4850000}"/>
    <cellStyle name="Salida 3 9" xfId="34207" xr:uid="{00000000-0005-0000-0000-0000F5850000}"/>
    <cellStyle name="Salida 4" xfId="34208" xr:uid="{00000000-0005-0000-0000-0000F6850000}"/>
    <cellStyle name="Salida 4 2" xfId="34209" xr:uid="{00000000-0005-0000-0000-0000F7850000}"/>
    <cellStyle name="Salida 4 3" xfId="34210" xr:uid="{00000000-0005-0000-0000-0000F8850000}"/>
    <cellStyle name="Salida 4 4" xfId="34211" xr:uid="{00000000-0005-0000-0000-0000F9850000}"/>
    <cellStyle name="Salida 5" xfId="34212" xr:uid="{00000000-0005-0000-0000-0000FA850000}"/>
    <cellStyle name="Salida 5 2" xfId="34213" xr:uid="{00000000-0005-0000-0000-0000FB850000}"/>
    <cellStyle name="Salida 5 3" xfId="34214" xr:uid="{00000000-0005-0000-0000-0000FC850000}"/>
    <cellStyle name="Salida 5 4" xfId="34215" xr:uid="{00000000-0005-0000-0000-0000FD850000}"/>
    <cellStyle name="Salida 6" xfId="34216" xr:uid="{00000000-0005-0000-0000-0000FE850000}"/>
    <cellStyle name="Salida 6 2" xfId="34217" xr:uid="{00000000-0005-0000-0000-0000FF850000}"/>
    <cellStyle name="Salida 7" xfId="34218" xr:uid="{00000000-0005-0000-0000-000000860000}"/>
    <cellStyle name="Salida 7 2" xfId="34219" xr:uid="{00000000-0005-0000-0000-000001860000}"/>
    <cellStyle name="Salida 8" xfId="34220" xr:uid="{00000000-0005-0000-0000-000002860000}"/>
    <cellStyle name="Salida 9" xfId="34221" xr:uid="{00000000-0005-0000-0000-000003860000}"/>
    <cellStyle name="SAPBEXaggData" xfId="34222" xr:uid="{00000000-0005-0000-0000-000004860000}"/>
    <cellStyle name="SAPBEXaggData 2" xfId="34223" xr:uid="{00000000-0005-0000-0000-000005860000}"/>
    <cellStyle name="SAPBEXaggData 2 2" xfId="34224" xr:uid="{00000000-0005-0000-0000-000006860000}"/>
    <cellStyle name="SAPBEXaggData 3" xfId="34225" xr:uid="{00000000-0005-0000-0000-000007860000}"/>
    <cellStyle name="SAPBEXaggDataEmph" xfId="34226" xr:uid="{00000000-0005-0000-0000-000008860000}"/>
    <cellStyle name="SAPBEXaggDataEmph 2" xfId="34227" xr:uid="{00000000-0005-0000-0000-000009860000}"/>
    <cellStyle name="SAPBEXaggDataEmph 3" xfId="34228" xr:uid="{00000000-0005-0000-0000-00000A860000}"/>
    <cellStyle name="SAPBEXaggItem" xfId="34229" xr:uid="{00000000-0005-0000-0000-00000B860000}"/>
    <cellStyle name="SAPBEXaggItem 2" xfId="34230" xr:uid="{00000000-0005-0000-0000-00000C860000}"/>
    <cellStyle name="SAPBEXaggItem 2 2" xfId="34231" xr:uid="{00000000-0005-0000-0000-00000D860000}"/>
    <cellStyle name="SAPBEXaggItem 3" xfId="34232" xr:uid="{00000000-0005-0000-0000-00000E860000}"/>
    <cellStyle name="SAPBEXaggItemX" xfId="34233" xr:uid="{00000000-0005-0000-0000-00000F860000}"/>
    <cellStyle name="SAPBEXaggItemX 2" xfId="34234" xr:uid="{00000000-0005-0000-0000-000010860000}"/>
    <cellStyle name="SAPBEXaggItemX 3" xfId="34235" xr:uid="{00000000-0005-0000-0000-000011860000}"/>
    <cellStyle name="SAPBEXchaText" xfId="34236" xr:uid="{00000000-0005-0000-0000-000012860000}"/>
    <cellStyle name="SAPBEXchaText 2" xfId="34237" xr:uid="{00000000-0005-0000-0000-000013860000}"/>
    <cellStyle name="SAPBEXchaText 2 10" xfId="34238" xr:uid="{00000000-0005-0000-0000-000014860000}"/>
    <cellStyle name="SAPBEXchaText 2 11" xfId="34239" xr:uid="{00000000-0005-0000-0000-000015860000}"/>
    <cellStyle name="SAPBEXchaText 2 12" xfId="34240" xr:uid="{00000000-0005-0000-0000-000016860000}"/>
    <cellStyle name="SAPBEXchaText 2 13" xfId="34241" xr:uid="{00000000-0005-0000-0000-000017860000}"/>
    <cellStyle name="SAPBEXchaText 2 14" xfId="34242" xr:uid="{00000000-0005-0000-0000-000018860000}"/>
    <cellStyle name="SAPBEXchaText 2 2" xfId="34243" xr:uid="{00000000-0005-0000-0000-000019860000}"/>
    <cellStyle name="SAPBEXchaText 2 3" xfId="34244" xr:uid="{00000000-0005-0000-0000-00001A860000}"/>
    <cellStyle name="SAPBEXchaText 2 4" xfId="34245" xr:uid="{00000000-0005-0000-0000-00001B860000}"/>
    <cellStyle name="SAPBEXchaText 2 5" xfId="34246" xr:uid="{00000000-0005-0000-0000-00001C860000}"/>
    <cellStyle name="SAPBEXchaText 2 6" xfId="34247" xr:uid="{00000000-0005-0000-0000-00001D860000}"/>
    <cellStyle name="SAPBEXchaText 2 7" xfId="34248" xr:uid="{00000000-0005-0000-0000-00001E860000}"/>
    <cellStyle name="SAPBEXchaText 2 8" xfId="34249" xr:uid="{00000000-0005-0000-0000-00001F860000}"/>
    <cellStyle name="SAPBEXchaText 2 9" xfId="34250" xr:uid="{00000000-0005-0000-0000-000020860000}"/>
    <cellStyle name="SAPBEXchaText 3" xfId="34251" xr:uid="{00000000-0005-0000-0000-000021860000}"/>
    <cellStyle name="SAPBEXchaText 3 10" xfId="34252" xr:uid="{00000000-0005-0000-0000-000022860000}"/>
    <cellStyle name="SAPBEXchaText 3 11" xfId="34253" xr:uid="{00000000-0005-0000-0000-000023860000}"/>
    <cellStyle name="SAPBEXchaText 3 12" xfId="34254" xr:uid="{00000000-0005-0000-0000-000024860000}"/>
    <cellStyle name="SAPBEXchaText 3 13" xfId="34255" xr:uid="{00000000-0005-0000-0000-000025860000}"/>
    <cellStyle name="SAPBEXchaText 3 2" xfId="34256" xr:uid="{00000000-0005-0000-0000-000026860000}"/>
    <cellStyle name="SAPBEXchaText 3 3" xfId="34257" xr:uid="{00000000-0005-0000-0000-000027860000}"/>
    <cellStyle name="SAPBEXchaText 3 4" xfId="34258" xr:uid="{00000000-0005-0000-0000-000028860000}"/>
    <cellStyle name="SAPBEXchaText 3 5" xfId="34259" xr:uid="{00000000-0005-0000-0000-000029860000}"/>
    <cellStyle name="SAPBEXchaText 3 6" xfId="34260" xr:uid="{00000000-0005-0000-0000-00002A860000}"/>
    <cellStyle name="SAPBEXchaText 3 7" xfId="34261" xr:uid="{00000000-0005-0000-0000-00002B860000}"/>
    <cellStyle name="SAPBEXchaText 3 8" xfId="34262" xr:uid="{00000000-0005-0000-0000-00002C860000}"/>
    <cellStyle name="SAPBEXchaText 3 9" xfId="34263" xr:uid="{00000000-0005-0000-0000-00002D860000}"/>
    <cellStyle name="SAPBEXchaText 4" xfId="34264" xr:uid="{00000000-0005-0000-0000-00002E860000}"/>
    <cellStyle name="SAPBEXchaText 4 10" xfId="34265" xr:uid="{00000000-0005-0000-0000-00002F860000}"/>
    <cellStyle name="SAPBEXchaText 4 11" xfId="34266" xr:uid="{00000000-0005-0000-0000-000030860000}"/>
    <cellStyle name="SAPBEXchaText 4 12" xfId="34267" xr:uid="{00000000-0005-0000-0000-000031860000}"/>
    <cellStyle name="SAPBEXchaText 4 13" xfId="34268" xr:uid="{00000000-0005-0000-0000-000032860000}"/>
    <cellStyle name="SAPBEXchaText 4 2" xfId="34269" xr:uid="{00000000-0005-0000-0000-000033860000}"/>
    <cellStyle name="SAPBEXchaText 4 3" xfId="34270" xr:uid="{00000000-0005-0000-0000-000034860000}"/>
    <cellStyle name="SAPBEXchaText 4 4" xfId="34271" xr:uid="{00000000-0005-0000-0000-000035860000}"/>
    <cellStyle name="SAPBEXchaText 4 5" xfId="34272" xr:uid="{00000000-0005-0000-0000-000036860000}"/>
    <cellStyle name="SAPBEXchaText 4 6" xfId="34273" xr:uid="{00000000-0005-0000-0000-000037860000}"/>
    <cellStyle name="SAPBEXchaText 4 7" xfId="34274" xr:uid="{00000000-0005-0000-0000-000038860000}"/>
    <cellStyle name="SAPBEXchaText 4 8" xfId="34275" xr:uid="{00000000-0005-0000-0000-000039860000}"/>
    <cellStyle name="SAPBEXchaText 4 9" xfId="34276" xr:uid="{00000000-0005-0000-0000-00003A860000}"/>
    <cellStyle name="SAPBEXchaText 5" xfId="34277" xr:uid="{00000000-0005-0000-0000-00003B860000}"/>
    <cellStyle name="SAPBEXchaText 5 10" xfId="34278" xr:uid="{00000000-0005-0000-0000-00003C860000}"/>
    <cellStyle name="SAPBEXchaText 5 11" xfId="34279" xr:uid="{00000000-0005-0000-0000-00003D860000}"/>
    <cellStyle name="SAPBEXchaText 5 12" xfId="34280" xr:uid="{00000000-0005-0000-0000-00003E860000}"/>
    <cellStyle name="SAPBEXchaText 5 13" xfId="34281" xr:uid="{00000000-0005-0000-0000-00003F860000}"/>
    <cellStyle name="SAPBEXchaText 5 2" xfId="34282" xr:uid="{00000000-0005-0000-0000-000040860000}"/>
    <cellStyle name="SAPBEXchaText 5 3" xfId="34283" xr:uid="{00000000-0005-0000-0000-000041860000}"/>
    <cellStyle name="SAPBEXchaText 5 4" xfId="34284" xr:uid="{00000000-0005-0000-0000-000042860000}"/>
    <cellStyle name="SAPBEXchaText 5 5" xfId="34285" xr:uid="{00000000-0005-0000-0000-000043860000}"/>
    <cellStyle name="SAPBEXchaText 5 6" xfId="34286" xr:uid="{00000000-0005-0000-0000-000044860000}"/>
    <cellStyle name="SAPBEXchaText 5 7" xfId="34287" xr:uid="{00000000-0005-0000-0000-000045860000}"/>
    <cellStyle name="SAPBEXchaText 5 8" xfId="34288" xr:uid="{00000000-0005-0000-0000-000046860000}"/>
    <cellStyle name="SAPBEXchaText 5 9" xfId="34289" xr:uid="{00000000-0005-0000-0000-000047860000}"/>
    <cellStyle name="SAPBEXchaText 6" xfId="34290" xr:uid="{00000000-0005-0000-0000-000048860000}"/>
    <cellStyle name="SAPBEXchaText 6 10" xfId="34291" xr:uid="{00000000-0005-0000-0000-000049860000}"/>
    <cellStyle name="SAPBEXchaText 6 11" xfId="34292" xr:uid="{00000000-0005-0000-0000-00004A860000}"/>
    <cellStyle name="SAPBEXchaText 6 12" xfId="34293" xr:uid="{00000000-0005-0000-0000-00004B860000}"/>
    <cellStyle name="SAPBEXchaText 6 13" xfId="34294" xr:uid="{00000000-0005-0000-0000-00004C860000}"/>
    <cellStyle name="SAPBEXchaText 6 2" xfId="34295" xr:uid="{00000000-0005-0000-0000-00004D860000}"/>
    <cellStyle name="SAPBEXchaText 6 3" xfId="34296" xr:uid="{00000000-0005-0000-0000-00004E860000}"/>
    <cellStyle name="SAPBEXchaText 6 4" xfId="34297" xr:uid="{00000000-0005-0000-0000-00004F860000}"/>
    <cellStyle name="SAPBEXchaText 6 5" xfId="34298" xr:uid="{00000000-0005-0000-0000-000050860000}"/>
    <cellStyle name="SAPBEXchaText 6 6" xfId="34299" xr:uid="{00000000-0005-0000-0000-000051860000}"/>
    <cellStyle name="SAPBEXchaText 6 7" xfId="34300" xr:uid="{00000000-0005-0000-0000-000052860000}"/>
    <cellStyle name="SAPBEXchaText 6 8" xfId="34301" xr:uid="{00000000-0005-0000-0000-000053860000}"/>
    <cellStyle name="SAPBEXchaText 6 9" xfId="34302" xr:uid="{00000000-0005-0000-0000-000054860000}"/>
    <cellStyle name="SAPBEXchaText 7" xfId="34303" xr:uid="{00000000-0005-0000-0000-000055860000}"/>
    <cellStyle name="SAPBEXchaText 7 10" xfId="34304" xr:uid="{00000000-0005-0000-0000-000056860000}"/>
    <cellStyle name="SAPBEXchaText 7 11" xfId="34305" xr:uid="{00000000-0005-0000-0000-000057860000}"/>
    <cellStyle name="SAPBEXchaText 7 12" xfId="34306" xr:uid="{00000000-0005-0000-0000-000058860000}"/>
    <cellStyle name="SAPBEXchaText 7 13" xfId="34307" xr:uid="{00000000-0005-0000-0000-000059860000}"/>
    <cellStyle name="SAPBEXchaText 7 2" xfId="34308" xr:uid="{00000000-0005-0000-0000-00005A860000}"/>
    <cellStyle name="SAPBEXchaText 7 3" xfId="34309" xr:uid="{00000000-0005-0000-0000-00005B860000}"/>
    <cellStyle name="SAPBEXchaText 7 4" xfId="34310" xr:uid="{00000000-0005-0000-0000-00005C860000}"/>
    <cellStyle name="SAPBEXchaText 7 5" xfId="34311" xr:uid="{00000000-0005-0000-0000-00005D860000}"/>
    <cellStyle name="SAPBEXchaText 7 6" xfId="34312" xr:uid="{00000000-0005-0000-0000-00005E860000}"/>
    <cellStyle name="SAPBEXchaText 7 7" xfId="34313" xr:uid="{00000000-0005-0000-0000-00005F860000}"/>
    <cellStyle name="SAPBEXchaText 7 8" xfId="34314" xr:uid="{00000000-0005-0000-0000-000060860000}"/>
    <cellStyle name="SAPBEXchaText 7 9" xfId="34315" xr:uid="{00000000-0005-0000-0000-000061860000}"/>
    <cellStyle name="SAPBEXchaText 8" xfId="34316" xr:uid="{00000000-0005-0000-0000-000062860000}"/>
    <cellStyle name="SAPBEXchaText 8 10" xfId="34317" xr:uid="{00000000-0005-0000-0000-000063860000}"/>
    <cellStyle name="SAPBEXchaText 8 11" xfId="34318" xr:uid="{00000000-0005-0000-0000-000064860000}"/>
    <cellStyle name="SAPBEXchaText 8 12" xfId="34319" xr:uid="{00000000-0005-0000-0000-000065860000}"/>
    <cellStyle name="SAPBEXchaText 8 13" xfId="34320" xr:uid="{00000000-0005-0000-0000-000066860000}"/>
    <cellStyle name="SAPBEXchaText 8 2" xfId="34321" xr:uid="{00000000-0005-0000-0000-000067860000}"/>
    <cellStyle name="SAPBEXchaText 8 3" xfId="34322" xr:uid="{00000000-0005-0000-0000-000068860000}"/>
    <cellStyle name="SAPBEXchaText 8 4" xfId="34323" xr:uid="{00000000-0005-0000-0000-000069860000}"/>
    <cellStyle name="SAPBEXchaText 8 5" xfId="34324" xr:uid="{00000000-0005-0000-0000-00006A860000}"/>
    <cellStyle name="SAPBEXchaText 8 6" xfId="34325" xr:uid="{00000000-0005-0000-0000-00006B860000}"/>
    <cellStyle name="SAPBEXchaText 8 7" xfId="34326" xr:uid="{00000000-0005-0000-0000-00006C860000}"/>
    <cellStyle name="SAPBEXchaText 8 8" xfId="34327" xr:uid="{00000000-0005-0000-0000-00006D860000}"/>
    <cellStyle name="SAPBEXchaText 8 9" xfId="34328" xr:uid="{00000000-0005-0000-0000-00006E860000}"/>
    <cellStyle name="SAPBEXchaText 9" xfId="34329" xr:uid="{00000000-0005-0000-0000-00006F860000}"/>
    <cellStyle name="SAPBEXexcBad7" xfId="34330" xr:uid="{00000000-0005-0000-0000-000070860000}"/>
    <cellStyle name="SAPBEXexcBad7 2" xfId="34331" xr:uid="{00000000-0005-0000-0000-000071860000}"/>
    <cellStyle name="SAPBEXexcBad7 2 2" xfId="34332" xr:uid="{00000000-0005-0000-0000-000072860000}"/>
    <cellStyle name="SAPBEXexcBad7 3" xfId="34333" xr:uid="{00000000-0005-0000-0000-000073860000}"/>
    <cellStyle name="SAPBEXexcBad8" xfId="34334" xr:uid="{00000000-0005-0000-0000-000074860000}"/>
    <cellStyle name="SAPBEXexcBad8 2" xfId="34335" xr:uid="{00000000-0005-0000-0000-000075860000}"/>
    <cellStyle name="SAPBEXexcBad8 2 2" xfId="34336" xr:uid="{00000000-0005-0000-0000-000076860000}"/>
    <cellStyle name="SAPBEXexcBad8 3" xfId="34337" xr:uid="{00000000-0005-0000-0000-000077860000}"/>
    <cellStyle name="SAPBEXexcBad9" xfId="34338" xr:uid="{00000000-0005-0000-0000-000078860000}"/>
    <cellStyle name="SAPBEXexcBad9 2" xfId="34339" xr:uid="{00000000-0005-0000-0000-000079860000}"/>
    <cellStyle name="SAPBEXexcBad9 2 2" xfId="34340" xr:uid="{00000000-0005-0000-0000-00007A860000}"/>
    <cellStyle name="SAPBEXexcBad9 3" xfId="34341" xr:uid="{00000000-0005-0000-0000-00007B860000}"/>
    <cellStyle name="SAPBEXexcCritical4" xfId="34342" xr:uid="{00000000-0005-0000-0000-00007C860000}"/>
    <cellStyle name="SAPBEXexcCritical4 2" xfId="34343" xr:uid="{00000000-0005-0000-0000-00007D860000}"/>
    <cellStyle name="SAPBEXexcCritical4 2 2" xfId="34344" xr:uid="{00000000-0005-0000-0000-00007E860000}"/>
    <cellStyle name="SAPBEXexcCritical4 3" xfId="34345" xr:uid="{00000000-0005-0000-0000-00007F860000}"/>
    <cellStyle name="SAPBEXexcCritical5" xfId="34346" xr:uid="{00000000-0005-0000-0000-000080860000}"/>
    <cellStyle name="SAPBEXexcCritical5 2" xfId="34347" xr:uid="{00000000-0005-0000-0000-000081860000}"/>
    <cellStyle name="SAPBEXexcCritical5 2 2" xfId="34348" xr:uid="{00000000-0005-0000-0000-000082860000}"/>
    <cellStyle name="SAPBEXexcCritical5 3" xfId="34349" xr:uid="{00000000-0005-0000-0000-000083860000}"/>
    <cellStyle name="SAPBEXexcCritical6" xfId="34350" xr:uid="{00000000-0005-0000-0000-000084860000}"/>
    <cellStyle name="SAPBEXexcCritical6 2" xfId="34351" xr:uid="{00000000-0005-0000-0000-000085860000}"/>
    <cellStyle name="SAPBEXexcCritical6 2 2" xfId="34352" xr:uid="{00000000-0005-0000-0000-000086860000}"/>
    <cellStyle name="SAPBEXexcCritical6 3" xfId="34353" xr:uid="{00000000-0005-0000-0000-000087860000}"/>
    <cellStyle name="SAPBEXexcGood1" xfId="34354" xr:uid="{00000000-0005-0000-0000-000088860000}"/>
    <cellStyle name="SAPBEXexcGood1 2" xfId="34355" xr:uid="{00000000-0005-0000-0000-000089860000}"/>
    <cellStyle name="SAPBEXexcGood1 2 2" xfId="34356" xr:uid="{00000000-0005-0000-0000-00008A860000}"/>
    <cellStyle name="SAPBEXexcGood1 3" xfId="34357" xr:uid="{00000000-0005-0000-0000-00008B860000}"/>
    <cellStyle name="SAPBEXexcGood2" xfId="34358" xr:uid="{00000000-0005-0000-0000-00008C860000}"/>
    <cellStyle name="SAPBEXexcGood2 2" xfId="34359" xr:uid="{00000000-0005-0000-0000-00008D860000}"/>
    <cellStyle name="SAPBEXexcGood2 2 2" xfId="34360" xr:uid="{00000000-0005-0000-0000-00008E860000}"/>
    <cellStyle name="SAPBEXexcGood2 3" xfId="34361" xr:uid="{00000000-0005-0000-0000-00008F860000}"/>
    <cellStyle name="SAPBEXexcGood3" xfId="34362" xr:uid="{00000000-0005-0000-0000-000090860000}"/>
    <cellStyle name="SAPBEXexcGood3 2" xfId="34363" xr:uid="{00000000-0005-0000-0000-000091860000}"/>
    <cellStyle name="SAPBEXexcGood3 2 2" xfId="34364" xr:uid="{00000000-0005-0000-0000-000092860000}"/>
    <cellStyle name="SAPBEXexcGood3 3" xfId="34365" xr:uid="{00000000-0005-0000-0000-000093860000}"/>
    <cellStyle name="SAPBEXfilterDrill" xfId="34366" xr:uid="{00000000-0005-0000-0000-000094860000}"/>
    <cellStyle name="SAPBEXfilterDrill 2" xfId="34367" xr:uid="{00000000-0005-0000-0000-000095860000}"/>
    <cellStyle name="SAPBEXfilterDrill 3" xfId="34368" xr:uid="{00000000-0005-0000-0000-000096860000}"/>
    <cellStyle name="SAPBEXfilterItem" xfId="34369" xr:uid="{00000000-0005-0000-0000-000097860000}"/>
    <cellStyle name="SAPBEXfilterItem 2" xfId="34370" xr:uid="{00000000-0005-0000-0000-000098860000}"/>
    <cellStyle name="SAPBEXfilterText" xfId="34371" xr:uid="{00000000-0005-0000-0000-000099860000}"/>
    <cellStyle name="SAPBEXfilterText 2" xfId="34372" xr:uid="{00000000-0005-0000-0000-00009A860000}"/>
    <cellStyle name="SAPBEXformats" xfId="34373" xr:uid="{00000000-0005-0000-0000-00009B860000}"/>
    <cellStyle name="SAPBEXformats 2" xfId="34374" xr:uid="{00000000-0005-0000-0000-00009C860000}"/>
    <cellStyle name="SAPBEXformats 2 10" xfId="34375" xr:uid="{00000000-0005-0000-0000-00009D860000}"/>
    <cellStyle name="SAPBEXformats 2 11" xfId="34376" xr:uid="{00000000-0005-0000-0000-00009E860000}"/>
    <cellStyle name="SAPBEXformats 2 12" xfId="34377" xr:uid="{00000000-0005-0000-0000-00009F860000}"/>
    <cellStyle name="SAPBEXformats 2 13" xfId="34378" xr:uid="{00000000-0005-0000-0000-0000A0860000}"/>
    <cellStyle name="SAPBEXformats 2 14" xfId="34379" xr:uid="{00000000-0005-0000-0000-0000A1860000}"/>
    <cellStyle name="SAPBEXformats 2 2" xfId="34380" xr:uid="{00000000-0005-0000-0000-0000A2860000}"/>
    <cellStyle name="SAPBEXformats 2 3" xfId="34381" xr:uid="{00000000-0005-0000-0000-0000A3860000}"/>
    <cellStyle name="SAPBEXformats 2 4" xfId="34382" xr:uid="{00000000-0005-0000-0000-0000A4860000}"/>
    <cellStyle name="SAPBEXformats 2 5" xfId="34383" xr:uid="{00000000-0005-0000-0000-0000A5860000}"/>
    <cellStyle name="SAPBEXformats 2 6" xfId="34384" xr:uid="{00000000-0005-0000-0000-0000A6860000}"/>
    <cellStyle name="SAPBEXformats 2 7" xfId="34385" xr:uid="{00000000-0005-0000-0000-0000A7860000}"/>
    <cellStyle name="SAPBEXformats 2 8" xfId="34386" xr:uid="{00000000-0005-0000-0000-0000A8860000}"/>
    <cellStyle name="SAPBEXformats 2 9" xfId="34387" xr:uid="{00000000-0005-0000-0000-0000A9860000}"/>
    <cellStyle name="SAPBEXformats 3" xfId="34388" xr:uid="{00000000-0005-0000-0000-0000AA860000}"/>
    <cellStyle name="SAPBEXformats 3 10" xfId="34389" xr:uid="{00000000-0005-0000-0000-0000AB860000}"/>
    <cellStyle name="SAPBEXformats 3 11" xfId="34390" xr:uid="{00000000-0005-0000-0000-0000AC860000}"/>
    <cellStyle name="SAPBEXformats 3 12" xfId="34391" xr:uid="{00000000-0005-0000-0000-0000AD860000}"/>
    <cellStyle name="SAPBEXformats 3 13" xfId="34392" xr:uid="{00000000-0005-0000-0000-0000AE860000}"/>
    <cellStyle name="SAPBEXformats 3 2" xfId="34393" xr:uid="{00000000-0005-0000-0000-0000AF860000}"/>
    <cellStyle name="SAPBEXformats 3 3" xfId="34394" xr:uid="{00000000-0005-0000-0000-0000B0860000}"/>
    <cellStyle name="SAPBEXformats 3 4" xfId="34395" xr:uid="{00000000-0005-0000-0000-0000B1860000}"/>
    <cellStyle name="SAPBEXformats 3 5" xfId="34396" xr:uid="{00000000-0005-0000-0000-0000B2860000}"/>
    <cellStyle name="SAPBEXformats 3 6" xfId="34397" xr:uid="{00000000-0005-0000-0000-0000B3860000}"/>
    <cellStyle name="SAPBEXformats 3 7" xfId="34398" xr:uid="{00000000-0005-0000-0000-0000B4860000}"/>
    <cellStyle name="SAPBEXformats 3 8" xfId="34399" xr:uid="{00000000-0005-0000-0000-0000B5860000}"/>
    <cellStyle name="SAPBEXformats 3 9" xfId="34400" xr:uid="{00000000-0005-0000-0000-0000B6860000}"/>
    <cellStyle name="SAPBEXformats 4" xfId="34401" xr:uid="{00000000-0005-0000-0000-0000B7860000}"/>
    <cellStyle name="SAPBEXformats 4 10" xfId="34402" xr:uid="{00000000-0005-0000-0000-0000B8860000}"/>
    <cellStyle name="SAPBEXformats 4 11" xfId="34403" xr:uid="{00000000-0005-0000-0000-0000B9860000}"/>
    <cellStyle name="SAPBEXformats 4 12" xfId="34404" xr:uid="{00000000-0005-0000-0000-0000BA860000}"/>
    <cellStyle name="SAPBEXformats 4 13" xfId="34405" xr:uid="{00000000-0005-0000-0000-0000BB860000}"/>
    <cellStyle name="SAPBEXformats 4 2" xfId="34406" xr:uid="{00000000-0005-0000-0000-0000BC860000}"/>
    <cellStyle name="SAPBEXformats 4 3" xfId="34407" xr:uid="{00000000-0005-0000-0000-0000BD860000}"/>
    <cellStyle name="SAPBEXformats 4 4" xfId="34408" xr:uid="{00000000-0005-0000-0000-0000BE860000}"/>
    <cellStyle name="SAPBEXformats 4 5" xfId="34409" xr:uid="{00000000-0005-0000-0000-0000BF860000}"/>
    <cellStyle name="SAPBEXformats 4 6" xfId="34410" xr:uid="{00000000-0005-0000-0000-0000C0860000}"/>
    <cellStyle name="SAPBEXformats 4 7" xfId="34411" xr:uid="{00000000-0005-0000-0000-0000C1860000}"/>
    <cellStyle name="SAPBEXformats 4 8" xfId="34412" xr:uid="{00000000-0005-0000-0000-0000C2860000}"/>
    <cellStyle name="SAPBEXformats 4 9" xfId="34413" xr:uid="{00000000-0005-0000-0000-0000C3860000}"/>
    <cellStyle name="SAPBEXformats 5" xfId="34414" xr:uid="{00000000-0005-0000-0000-0000C4860000}"/>
    <cellStyle name="SAPBEXformats 5 10" xfId="34415" xr:uid="{00000000-0005-0000-0000-0000C5860000}"/>
    <cellStyle name="SAPBEXformats 5 11" xfId="34416" xr:uid="{00000000-0005-0000-0000-0000C6860000}"/>
    <cellStyle name="SAPBEXformats 5 12" xfId="34417" xr:uid="{00000000-0005-0000-0000-0000C7860000}"/>
    <cellStyle name="SAPBEXformats 5 13" xfId="34418" xr:uid="{00000000-0005-0000-0000-0000C8860000}"/>
    <cellStyle name="SAPBEXformats 5 2" xfId="34419" xr:uid="{00000000-0005-0000-0000-0000C9860000}"/>
    <cellStyle name="SAPBEXformats 5 3" xfId="34420" xr:uid="{00000000-0005-0000-0000-0000CA860000}"/>
    <cellStyle name="SAPBEXformats 5 4" xfId="34421" xr:uid="{00000000-0005-0000-0000-0000CB860000}"/>
    <cellStyle name="SAPBEXformats 5 5" xfId="34422" xr:uid="{00000000-0005-0000-0000-0000CC860000}"/>
    <cellStyle name="SAPBEXformats 5 6" xfId="34423" xr:uid="{00000000-0005-0000-0000-0000CD860000}"/>
    <cellStyle name="SAPBEXformats 5 7" xfId="34424" xr:uid="{00000000-0005-0000-0000-0000CE860000}"/>
    <cellStyle name="SAPBEXformats 5 8" xfId="34425" xr:uid="{00000000-0005-0000-0000-0000CF860000}"/>
    <cellStyle name="SAPBEXformats 5 9" xfId="34426" xr:uid="{00000000-0005-0000-0000-0000D0860000}"/>
    <cellStyle name="SAPBEXformats 6" xfId="34427" xr:uid="{00000000-0005-0000-0000-0000D1860000}"/>
    <cellStyle name="SAPBEXformats 6 10" xfId="34428" xr:uid="{00000000-0005-0000-0000-0000D2860000}"/>
    <cellStyle name="SAPBEXformats 6 11" xfId="34429" xr:uid="{00000000-0005-0000-0000-0000D3860000}"/>
    <cellStyle name="SAPBEXformats 6 12" xfId="34430" xr:uid="{00000000-0005-0000-0000-0000D4860000}"/>
    <cellStyle name="SAPBEXformats 6 13" xfId="34431" xr:uid="{00000000-0005-0000-0000-0000D5860000}"/>
    <cellStyle name="SAPBEXformats 6 2" xfId="34432" xr:uid="{00000000-0005-0000-0000-0000D6860000}"/>
    <cellStyle name="SAPBEXformats 6 3" xfId="34433" xr:uid="{00000000-0005-0000-0000-0000D7860000}"/>
    <cellStyle name="SAPBEXformats 6 4" xfId="34434" xr:uid="{00000000-0005-0000-0000-0000D8860000}"/>
    <cellStyle name="SAPBEXformats 6 5" xfId="34435" xr:uid="{00000000-0005-0000-0000-0000D9860000}"/>
    <cellStyle name="SAPBEXformats 6 6" xfId="34436" xr:uid="{00000000-0005-0000-0000-0000DA860000}"/>
    <cellStyle name="SAPBEXformats 6 7" xfId="34437" xr:uid="{00000000-0005-0000-0000-0000DB860000}"/>
    <cellStyle name="SAPBEXformats 6 8" xfId="34438" xr:uid="{00000000-0005-0000-0000-0000DC860000}"/>
    <cellStyle name="SAPBEXformats 6 9" xfId="34439" xr:uid="{00000000-0005-0000-0000-0000DD860000}"/>
    <cellStyle name="SAPBEXformats 7" xfId="34440" xr:uid="{00000000-0005-0000-0000-0000DE860000}"/>
    <cellStyle name="SAPBEXformats 7 10" xfId="34441" xr:uid="{00000000-0005-0000-0000-0000DF860000}"/>
    <cellStyle name="SAPBEXformats 7 11" xfId="34442" xr:uid="{00000000-0005-0000-0000-0000E0860000}"/>
    <cellStyle name="SAPBEXformats 7 12" xfId="34443" xr:uid="{00000000-0005-0000-0000-0000E1860000}"/>
    <cellStyle name="SAPBEXformats 7 13" xfId="34444" xr:uid="{00000000-0005-0000-0000-0000E2860000}"/>
    <cellStyle name="SAPBEXformats 7 2" xfId="34445" xr:uid="{00000000-0005-0000-0000-0000E3860000}"/>
    <cellStyle name="SAPBEXformats 7 3" xfId="34446" xr:uid="{00000000-0005-0000-0000-0000E4860000}"/>
    <cellStyle name="SAPBEXformats 7 4" xfId="34447" xr:uid="{00000000-0005-0000-0000-0000E5860000}"/>
    <cellStyle name="SAPBEXformats 7 5" xfId="34448" xr:uid="{00000000-0005-0000-0000-0000E6860000}"/>
    <cellStyle name="SAPBEXformats 7 6" xfId="34449" xr:uid="{00000000-0005-0000-0000-0000E7860000}"/>
    <cellStyle name="SAPBEXformats 7 7" xfId="34450" xr:uid="{00000000-0005-0000-0000-0000E8860000}"/>
    <cellStyle name="SAPBEXformats 7 8" xfId="34451" xr:uid="{00000000-0005-0000-0000-0000E9860000}"/>
    <cellStyle name="SAPBEXformats 7 9" xfId="34452" xr:uid="{00000000-0005-0000-0000-0000EA860000}"/>
    <cellStyle name="SAPBEXformats 8" xfId="34453" xr:uid="{00000000-0005-0000-0000-0000EB860000}"/>
    <cellStyle name="SAPBEXformats 8 10" xfId="34454" xr:uid="{00000000-0005-0000-0000-0000EC860000}"/>
    <cellStyle name="SAPBEXformats 8 11" xfId="34455" xr:uid="{00000000-0005-0000-0000-0000ED860000}"/>
    <cellStyle name="SAPBEXformats 8 12" xfId="34456" xr:uid="{00000000-0005-0000-0000-0000EE860000}"/>
    <cellStyle name="SAPBEXformats 8 13" xfId="34457" xr:uid="{00000000-0005-0000-0000-0000EF860000}"/>
    <cellStyle name="SAPBEXformats 8 2" xfId="34458" xr:uid="{00000000-0005-0000-0000-0000F0860000}"/>
    <cellStyle name="SAPBEXformats 8 3" xfId="34459" xr:uid="{00000000-0005-0000-0000-0000F1860000}"/>
    <cellStyle name="SAPBEXformats 8 4" xfId="34460" xr:uid="{00000000-0005-0000-0000-0000F2860000}"/>
    <cellStyle name="SAPBEXformats 8 5" xfId="34461" xr:uid="{00000000-0005-0000-0000-0000F3860000}"/>
    <cellStyle name="SAPBEXformats 8 6" xfId="34462" xr:uid="{00000000-0005-0000-0000-0000F4860000}"/>
    <cellStyle name="SAPBEXformats 8 7" xfId="34463" xr:uid="{00000000-0005-0000-0000-0000F5860000}"/>
    <cellStyle name="SAPBEXformats 8 8" xfId="34464" xr:uid="{00000000-0005-0000-0000-0000F6860000}"/>
    <cellStyle name="SAPBEXformats 8 9" xfId="34465" xr:uid="{00000000-0005-0000-0000-0000F7860000}"/>
    <cellStyle name="SAPBEXformats 9" xfId="34466" xr:uid="{00000000-0005-0000-0000-0000F8860000}"/>
    <cellStyle name="SAPBEXheaderItem" xfId="34467" xr:uid="{00000000-0005-0000-0000-0000F9860000}"/>
    <cellStyle name="SAPBEXheaderItem 2" xfId="34468" xr:uid="{00000000-0005-0000-0000-0000FA860000}"/>
    <cellStyle name="SAPBEXheaderItem 3" xfId="34469" xr:uid="{00000000-0005-0000-0000-0000FB860000}"/>
    <cellStyle name="SAPBEXheaderText" xfId="34470" xr:uid="{00000000-0005-0000-0000-0000FC860000}"/>
    <cellStyle name="SAPBEXheaderText 2" xfId="34471" xr:uid="{00000000-0005-0000-0000-0000FD860000}"/>
    <cellStyle name="SAPBEXheaderText 3" xfId="34472" xr:uid="{00000000-0005-0000-0000-0000FE860000}"/>
    <cellStyle name="SAPBEXHLevel0" xfId="34473" xr:uid="{00000000-0005-0000-0000-0000FF860000}"/>
    <cellStyle name="SAPBEXHLevel0 2" xfId="34474" xr:uid="{00000000-0005-0000-0000-000000870000}"/>
    <cellStyle name="SAPBEXHLevel0 2 10" xfId="34475" xr:uid="{00000000-0005-0000-0000-000001870000}"/>
    <cellStyle name="SAPBEXHLevel0 2 11" xfId="34476" xr:uid="{00000000-0005-0000-0000-000002870000}"/>
    <cellStyle name="SAPBEXHLevel0 2 12" xfId="34477" xr:uid="{00000000-0005-0000-0000-000003870000}"/>
    <cellStyle name="SAPBEXHLevel0 2 13" xfId="34478" xr:uid="{00000000-0005-0000-0000-000004870000}"/>
    <cellStyle name="SAPBEXHLevel0 2 14" xfId="34479" xr:uid="{00000000-0005-0000-0000-000005870000}"/>
    <cellStyle name="SAPBEXHLevel0 2 2" xfId="34480" xr:uid="{00000000-0005-0000-0000-000006870000}"/>
    <cellStyle name="SAPBEXHLevel0 2 3" xfId="34481" xr:uid="{00000000-0005-0000-0000-000007870000}"/>
    <cellStyle name="SAPBEXHLevel0 2 4" xfId="34482" xr:uid="{00000000-0005-0000-0000-000008870000}"/>
    <cellStyle name="SAPBEXHLevel0 2 5" xfId="34483" xr:uid="{00000000-0005-0000-0000-000009870000}"/>
    <cellStyle name="SAPBEXHLevel0 2 6" xfId="34484" xr:uid="{00000000-0005-0000-0000-00000A870000}"/>
    <cellStyle name="SAPBEXHLevel0 2 7" xfId="34485" xr:uid="{00000000-0005-0000-0000-00000B870000}"/>
    <cellStyle name="SAPBEXHLevel0 2 8" xfId="34486" xr:uid="{00000000-0005-0000-0000-00000C870000}"/>
    <cellStyle name="SAPBEXHLevel0 2 9" xfId="34487" xr:uid="{00000000-0005-0000-0000-00000D870000}"/>
    <cellStyle name="SAPBEXHLevel0 3" xfId="34488" xr:uid="{00000000-0005-0000-0000-00000E870000}"/>
    <cellStyle name="SAPBEXHLevel0 3 10" xfId="34489" xr:uid="{00000000-0005-0000-0000-00000F870000}"/>
    <cellStyle name="SAPBEXHLevel0 3 11" xfId="34490" xr:uid="{00000000-0005-0000-0000-000010870000}"/>
    <cellStyle name="SAPBEXHLevel0 3 12" xfId="34491" xr:uid="{00000000-0005-0000-0000-000011870000}"/>
    <cellStyle name="SAPBEXHLevel0 3 13" xfId="34492" xr:uid="{00000000-0005-0000-0000-000012870000}"/>
    <cellStyle name="SAPBEXHLevel0 3 2" xfId="34493" xr:uid="{00000000-0005-0000-0000-000013870000}"/>
    <cellStyle name="SAPBEXHLevel0 3 3" xfId="34494" xr:uid="{00000000-0005-0000-0000-000014870000}"/>
    <cellStyle name="SAPBEXHLevel0 3 4" xfId="34495" xr:uid="{00000000-0005-0000-0000-000015870000}"/>
    <cellStyle name="SAPBEXHLevel0 3 5" xfId="34496" xr:uid="{00000000-0005-0000-0000-000016870000}"/>
    <cellStyle name="SAPBEXHLevel0 3 6" xfId="34497" xr:uid="{00000000-0005-0000-0000-000017870000}"/>
    <cellStyle name="SAPBEXHLevel0 3 7" xfId="34498" xr:uid="{00000000-0005-0000-0000-000018870000}"/>
    <cellStyle name="SAPBEXHLevel0 3 8" xfId="34499" xr:uid="{00000000-0005-0000-0000-000019870000}"/>
    <cellStyle name="SAPBEXHLevel0 3 9" xfId="34500" xr:uid="{00000000-0005-0000-0000-00001A870000}"/>
    <cellStyle name="SAPBEXHLevel0 4" xfId="34501" xr:uid="{00000000-0005-0000-0000-00001B870000}"/>
    <cellStyle name="SAPBEXHLevel0 4 10" xfId="34502" xr:uid="{00000000-0005-0000-0000-00001C870000}"/>
    <cellStyle name="SAPBEXHLevel0 4 11" xfId="34503" xr:uid="{00000000-0005-0000-0000-00001D870000}"/>
    <cellStyle name="SAPBEXHLevel0 4 12" xfId="34504" xr:uid="{00000000-0005-0000-0000-00001E870000}"/>
    <cellStyle name="SAPBEXHLevel0 4 13" xfId="34505" xr:uid="{00000000-0005-0000-0000-00001F870000}"/>
    <cellStyle name="SAPBEXHLevel0 4 2" xfId="34506" xr:uid="{00000000-0005-0000-0000-000020870000}"/>
    <cellStyle name="SAPBEXHLevel0 4 3" xfId="34507" xr:uid="{00000000-0005-0000-0000-000021870000}"/>
    <cellStyle name="SAPBEXHLevel0 4 4" xfId="34508" xr:uid="{00000000-0005-0000-0000-000022870000}"/>
    <cellStyle name="SAPBEXHLevel0 4 5" xfId="34509" xr:uid="{00000000-0005-0000-0000-000023870000}"/>
    <cellStyle name="SAPBEXHLevel0 4 6" xfId="34510" xr:uid="{00000000-0005-0000-0000-000024870000}"/>
    <cellStyle name="SAPBEXHLevel0 4 7" xfId="34511" xr:uid="{00000000-0005-0000-0000-000025870000}"/>
    <cellStyle name="SAPBEXHLevel0 4 8" xfId="34512" xr:uid="{00000000-0005-0000-0000-000026870000}"/>
    <cellStyle name="SAPBEXHLevel0 4 9" xfId="34513" xr:uid="{00000000-0005-0000-0000-000027870000}"/>
    <cellStyle name="SAPBEXHLevel0 5" xfId="34514" xr:uid="{00000000-0005-0000-0000-000028870000}"/>
    <cellStyle name="SAPBEXHLevel0 5 10" xfId="34515" xr:uid="{00000000-0005-0000-0000-000029870000}"/>
    <cellStyle name="SAPBEXHLevel0 5 11" xfId="34516" xr:uid="{00000000-0005-0000-0000-00002A870000}"/>
    <cellStyle name="SAPBEXHLevel0 5 12" xfId="34517" xr:uid="{00000000-0005-0000-0000-00002B870000}"/>
    <cellStyle name="SAPBEXHLevel0 5 13" xfId="34518" xr:uid="{00000000-0005-0000-0000-00002C870000}"/>
    <cellStyle name="SAPBEXHLevel0 5 2" xfId="34519" xr:uid="{00000000-0005-0000-0000-00002D870000}"/>
    <cellStyle name="SAPBEXHLevel0 5 3" xfId="34520" xr:uid="{00000000-0005-0000-0000-00002E870000}"/>
    <cellStyle name="SAPBEXHLevel0 5 4" xfId="34521" xr:uid="{00000000-0005-0000-0000-00002F870000}"/>
    <cellStyle name="SAPBEXHLevel0 5 5" xfId="34522" xr:uid="{00000000-0005-0000-0000-000030870000}"/>
    <cellStyle name="SAPBEXHLevel0 5 6" xfId="34523" xr:uid="{00000000-0005-0000-0000-000031870000}"/>
    <cellStyle name="SAPBEXHLevel0 5 7" xfId="34524" xr:uid="{00000000-0005-0000-0000-000032870000}"/>
    <cellStyle name="SAPBEXHLevel0 5 8" xfId="34525" xr:uid="{00000000-0005-0000-0000-000033870000}"/>
    <cellStyle name="SAPBEXHLevel0 5 9" xfId="34526" xr:uid="{00000000-0005-0000-0000-000034870000}"/>
    <cellStyle name="SAPBEXHLevel0 6" xfId="34527" xr:uid="{00000000-0005-0000-0000-000035870000}"/>
    <cellStyle name="SAPBEXHLevel0 6 10" xfId="34528" xr:uid="{00000000-0005-0000-0000-000036870000}"/>
    <cellStyle name="SAPBEXHLevel0 6 11" xfId="34529" xr:uid="{00000000-0005-0000-0000-000037870000}"/>
    <cellStyle name="SAPBEXHLevel0 6 12" xfId="34530" xr:uid="{00000000-0005-0000-0000-000038870000}"/>
    <cellStyle name="SAPBEXHLevel0 6 13" xfId="34531" xr:uid="{00000000-0005-0000-0000-000039870000}"/>
    <cellStyle name="SAPBEXHLevel0 6 2" xfId="34532" xr:uid="{00000000-0005-0000-0000-00003A870000}"/>
    <cellStyle name="SAPBEXHLevel0 6 3" xfId="34533" xr:uid="{00000000-0005-0000-0000-00003B870000}"/>
    <cellStyle name="SAPBEXHLevel0 6 4" xfId="34534" xr:uid="{00000000-0005-0000-0000-00003C870000}"/>
    <cellStyle name="SAPBEXHLevel0 6 5" xfId="34535" xr:uid="{00000000-0005-0000-0000-00003D870000}"/>
    <cellStyle name="SAPBEXHLevel0 6 6" xfId="34536" xr:uid="{00000000-0005-0000-0000-00003E870000}"/>
    <cellStyle name="SAPBEXHLevel0 6 7" xfId="34537" xr:uid="{00000000-0005-0000-0000-00003F870000}"/>
    <cellStyle name="SAPBEXHLevel0 6 8" xfId="34538" xr:uid="{00000000-0005-0000-0000-000040870000}"/>
    <cellStyle name="SAPBEXHLevel0 6 9" xfId="34539" xr:uid="{00000000-0005-0000-0000-000041870000}"/>
    <cellStyle name="SAPBEXHLevel0 7" xfId="34540" xr:uid="{00000000-0005-0000-0000-000042870000}"/>
    <cellStyle name="SAPBEXHLevel0 7 10" xfId="34541" xr:uid="{00000000-0005-0000-0000-000043870000}"/>
    <cellStyle name="SAPBEXHLevel0 7 11" xfId="34542" xr:uid="{00000000-0005-0000-0000-000044870000}"/>
    <cellStyle name="SAPBEXHLevel0 7 12" xfId="34543" xr:uid="{00000000-0005-0000-0000-000045870000}"/>
    <cellStyle name="SAPBEXHLevel0 7 13" xfId="34544" xr:uid="{00000000-0005-0000-0000-000046870000}"/>
    <cellStyle name="SAPBEXHLevel0 7 2" xfId="34545" xr:uid="{00000000-0005-0000-0000-000047870000}"/>
    <cellStyle name="SAPBEXHLevel0 7 3" xfId="34546" xr:uid="{00000000-0005-0000-0000-000048870000}"/>
    <cellStyle name="SAPBEXHLevel0 7 4" xfId="34547" xr:uid="{00000000-0005-0000-0000-000049870000}"/>
    <cellStyle name="SAPBEXHLevel0 7 5" xfId="34548" xr:uid="{00000000-0005-0000-0000-00004A870000}"/>
    <cellStyle name="SAPBEXHLevel0 7 6" xfId="34549" xr:uid="{00000000-0005-0000-0000-00004B870000}"/>
    <cellStyle name="SAPBEXHLevel0 7 7" xfId="34550" xr:uid="{00000000-0005-0000-0000-00004C870000}"/>
    <cellStyle name="SAPBEXHLevel0 7 8" xfId="34551" xr:uid="{00000000-0005-0000-0000-00004D870000}"/>
    <cellStyle name="SAPBEXHLevel0 7 9" xfId="34552" xr:uid="{00000000-0005-0000-0000-00004E870000}"/>
    <cellStyle name="SAPBEXHLevel0 8" xfId="34553" xr:uid="{00000000-0005-0000-0000-00004F870000}"/>
    <cellStyle name="SAPBEXHLevel0 8 10" xfId="34554" xr:uid="{00000000-0005-0000-0000-000050870000}"/>
    <cellStyle name="SAPBEXHLevel0 8 11" xfId="34555" xr:uid="{00000000-0005-0000-0000-000051870000}"/>
    <cellStyle name="SAPBEXHLevel0 8 12" xfId="34556" xr:uid="{00000000-0005-0000-0000-000052870000}"/>
    <cellStyle name="SAPBEXHLevel0 8 13" xfId="34557" xr:uid="{00000000-0005-0000-0000-000053870000}"/>
    <cellStyle name="SAPBEXHLevel0 8 2" xfId="34558" xr:uid="{00000000-0005-0000-0000-000054870000}"/>
    <cellStyle name="SAPBEXHLevel0 8 3" xfId="34559" xr:uid="{00000000-0005-0000-0000-000055870000}"/>
    <cellStyle name="SAPBEXHLevel0 8 4" xfId="34560" xr:uid="{00000000-0005-0000-0000-000056870000}"/>
    <cellStyle name="SAPBEXHLevel0 8 5" xfId="34561" xr:uid="{00000000-0005-0000-0000-000057870000}"/>
    <cellStyle name="SAPBEXHLevel0 8 6" xfId="34562" xr:uid="{00000000-0005-0000-0000-000058870000}"/>
    <cellStyle name="SAPBEXHLevel0 8 7" xfId="34563" xr:uid="{00000000-0005-0000-0000-000059870000}"/>
    <cellStyle name="SAPBEXHLevel0 8 8" xfId="34564" xr:uid="{00000000-0005-0000-0000-00005A870000}"/>
    <cellStyle name="SAPBEXHLevel0 8 9" xfId="34565" xr:uid="{00000000-0005-0000-0000-00005B870000}"/>
    <cellStyle name="SAPBEXHLevel0 9" xfId="34566" xr:uid="{00000000-0005-0000-0000-00005C870000}"/>
    <cellStyle name="SAPBEXHLevel0X" xfId="34567" xr:uid="{00000000-0005-0000-0000-00005D870000}"/>
    <cellStyle name="SAPBEXHLevel0X 10" xfId="34568" xr:uid="{00000000-0005-0000-0000-00005E870000}"/>
    <cellStyle name="SAPBEXHLevel0X 11" xfId="34569" xr:uid="{00000000-0005-0000-0000-00005F870000}"/>
    <cellStyle name="SAPBEXHLevel0X 2" xfId="34570" xr:uid="{00000000-0005-0000-0000-000060870000}"/>
    <cellStyle name="SAPBEXHLevel0X 2 10" xfId="34571" xr:uid="{00000000-0005-0000-0000-000061870000}"/>
    <cellStyle name="SAPBEXHLevel0X 2 11" xfId="34572" xr:uid="{00000000-0005-0000-0000-000062870000}"/>
    <cellStyle name="SAPBEXHLevel0X 2 12" xfId="34573" xr:uid="{00000000-0005-0000-0000-000063870000}"/>
    <cellStyle name="SAPBEXHLevel0X 2 13" xfId="34574" xr:uid="{00000000-0005-0000-0000-000064870000}"/>
    <cellStyle name="SAPBEXHLevel0X 2 14" xfId="34575" xr:uid="{00000000-0005-0000-0000-000065870000}"/>
    <cellStyle name="SAPBEXHLevel0X 2 2" xfId="34576" xr:uid="{00000000-0005-0000-0000-000066870000}"/>
    <cellStyle name="SAPBEXHLevel0X 2 2 2" xfId="34577" xr:uid="{00000000-0005-0000-0000-000067870000}"/>
    <cellStyle name="SAPBEXHLevel0X 2 3" xfId="34578" xr:uid="{00000000-0005-0000-0000-000068870000}"/>
    <cellStyle name="SAPBEXHLevel0X 2 4" xfId="34579" xr:uid="{00000000-0005-0000-0000-000069870000}"/>
    <cellStyle name="SAPBEXHLevel0X 2 5" xfId="34580" xr:uid="{00000000-0005-0000-0000-00006A870000}"/>
    <cellStyle name="SAPBEXHLevel0X 2 6" xfId="34581" xr:uid="{00000000-0005-0000-0000-00006B870000}"/>
    <cellStyle name="SAPBEXHLevel0X 2 7" xfId="34582" xr:uid="{00000000-0005-0000-0000-00006C870000}"/>
    <cellStyle name="SAPBEXHLevel0X 2 8" xfId="34583" xr:uid="{00000000-0005-0000-0000-00006D870000}"/>
    <cellStyle name="SAPBEXHLevel0X 2 9" xfId="34584" xr:uid="{00000000-0005-0000-0000-00006E870000}"/>
    <cellStyle name="SAPBEXHLevel0X 3" xfId="34585" xr:uid="{00000000-0005-0000-0000-00006F870000}"/>
    <cellStyle name="SAPBEXHLevel0X 3 10" xfId="34586" xr:uid="{00000000-0005-0000-0000-000070870000}"/>
    <cellStyle name="SAPBEXHLevel0X 3 11" xfId="34587" xr:uid="{00000000-0005-0000-0000-000071870000}"/>
    <cellStyle name="SAPBEXHLevel0X 3 12" xfId="34588" xr:uid="{00000000-0005-0000-0000-000072870000}"/>
    <cellStyle name="SAPBEXHLevel0X 3 13" xfId="34589" xr:uid="{00000000-0005-0000-0000-000073870000}"/>
    <cellStyle name="SAPBEXHLevel0X 3 14" xfId="34590" xr:uid="{00000000-0005-0000-0000-000074870000}"/>
    <cellStyle name="SAPBEXHLevel0X 3 2" xfId="34591" xr:uid="{00000000-0005-0000-0000-000075870000}"/>
    <cellStyle name="SAPBEXHLevel0X 3 3" xfId="34592" xr:uid="{00000000-0005-0000-0000-000076870000}"/>
    <cellStyle name="SAPBEXHLevel0X 3 4" xfId="34593" xr:uid="{00000000-0005-0000-0000-000077870000}"/>
    <cellStyle name="SAPBEXHLevel0X 3 5" xfId="34594" xr:uid="{00000000-0005-0000-0000-000078870000}"/>
    <cellStyle name="SAPBEXHLevel0X 3 6" xfId="34595" xr:uid="{00000000-0005-0000-0000-000079870000}"/>
    <cellStyle name="SAPBEXHLevel0X 3 7" xfId="34596" xr:uid="{00000000-0005-0000-0000-00007A870000}"/>
    <cellStyle name="SAPBEXHLevel0X 3 8" xfId="34597" xr:uid="{00000000-0005-0000-0000-00007B870000}"/>
    <cellStyle name="SAPBEXHLevel0X 3 9" xfId="34598" xr:uid="{00000000-0005-0000-0000-00007C870000}"/>
    <cellStyle name="SAPBEXHLevel0X 4" xfId="34599" xr:uid="{00000000-0005-0000-0000-00007D870000}"/>
    <cellStyle name="SAPBEXHLevel0X 4 10" xfId="34600" xr:uid="{00000000-0005-0000-0000-00007E870000}"/>
    <cellStyle name="SAPBEXHLevel0X 4 11" xfId="34601" xr:uid="{00000000-0005-0000-0000-00007F870000}"/>
    <cellStyle name="SAPBEXHLevel0X 4 12" xfId="34602" xr:uid="{00000000-0005-0000-0000-000080870000}"/>
    <cellStyle name="SAPBEXHLevel0X 4 13" xfId="34603" xr:uid="{00000000-0005-0000-0000-000081870000}"/>
    <cellStyle name="SAPBEXHLevel0X 4 14" xfId="34604" xr:uid="{00000000-0005-0000-0000-000082870000}"/>
    <cellStyle name="SAPBEXHLevel0X 4 2" xfId="34605" xr:uid="{00000000-0005-0000-0000-000083870000}"/>
    <cellStyle name="SAPBEXHLevel0X 4 3" xfId="34606" xr:uid="{00000000-0005-0000-0000-000084870000}"/>
    <cellStyle name="SAPBEXHLevel0X 4 4" xfId="34607" xr:uid="{00000000-0005-0000-0000-000085870000}"/>
    <cellStyle name="SAPBEXHLevel0X 4 5" xfId="34608" xr:uid="{00000000-0005-0000-0000-000086870000}"/>
    <cellStyle name="SAPBEXHLevel0X 4 6" xfId="34609" xr:uid="{00000000-0005-0000-0000-000087870000}"/>
    <cellStyle name="SAPBEXHLevel0X 4 7" xfId="34610" xr:uid="{00000000-0005-0000-0000-000088870000}"/>
    <cellStyle name="SAPBEXHLevel0X 4 8" xfId="34611" xr:uid="{00000000-0005-0000-0000-000089870000}"/>
    <cellStyle name="SAPBEXHLevel0X 4 9" xfId="34612" xr:uid="{00000000-0005-0000-0000-00008A870000}"/>
    <cellStyle name="SAPBEXHLevel0X 5" xfId="34613" xr:uid="{00000000-0005-0000-0000-00008B870000}"/>
    <cellStyle name="SAPBEXHLevel0X 5 10" xfId="34614" xr:uid="{00000000-0005-0000-0000-00008C870000}"/>
    <cellStyle name="SAPBEXHLevel0X 5 11" xfId="34615" xr:uid="{00000000-0005-0000-0000-00008D870000}"/>
    <cellStyle name="SAPBEXHLevel0X 5 12" xfId="34616" xr:uid="{00000000-0005-0000-0000-00008E870000}"/>
    <cellStyle name="SAPBEXHLevel0X 5 13" xfId="34617" xr:uid="{00000000-0005-0000-0000-00008F870000}"/>
    <cellStyle name="SAPBEXHLevel0X 5 14" xfId="34618" xr:uid="{00000000-0005-0000-0000-000090870000}"/>
    <cellStyle name="SAPBEXHLevel0X 5 2" xfId="34619" xr:uid="{00000000-0005-0000-0000-000091870000}"/>
    <cellStyle name="SAPBEXHLevel0X 5 3" xfId="34620" xr:uid="{00000000-0005-0000-0000-000092870000}"/>
    <cellStyle name="SAPBEXHLevel0X 5 4" xfId="34621" xr:uid="{00000000-0005-0000-0000-000093870000}"/>
    <cellStyle name="SAPBEXHLevel0X 5 5" xfId="34622" xr:uid="{00000000-0005-0000-0000-000094870000}"/>
    <cellStyle name="SAPBEXHLevel0X 5 6" xfId="34623" xr:uid="{00000000-0005-0000-0000-000095870000}"/>
    <cellStyle name="SAPBEXHLevel0X 5 7" xfId="34624" xr:uid="{00000000-0005-0000-0000-000096870000}"/>
    <cellStyle name="SAPBEXHLevel0X 5 8" xfId="34625" xr:uid="{00000000-0005-0000-0000-000097870000}"/>
    <cellStyle name="SAPBEXHLevel0X 5 9" xfId="34626" xr:uid="{00000000-0005-0000-0000-000098870000}"/>
    <cellStyle name="SAPBEXHLevel0X 6" xfId="34627" xr:uid="{00000000-0005-0000-0000-000099870000}"/>
    <cellStyle name="SAPBEXHLevel0X 6 10" xfId="34628" xr:uid="{00000000-0005-0000-0000-00009A870000}"/>
    <cellStyle name="SAPBEXHLevel0X 6 11" xfId="34629" xr:uid="{00000000-0005-0000-0000-00009B870000}"/>
    <cellStyle name="SAPBEXHLevel0X 6 12" xfId="34630" xr:uid="{00000000-0005-0000-0000-00009C870000}"/>
    <cellStyle name="SAPBEXHLevel0X 6 13" xfId="34631" xr:uid="{00000000-0005-0000-0000-00009D870000}"/>
    <cellStyle name="SAPBEXHLevel0X 6 2" xfId="34632" xr:uid="{00000000-0005-0000-0000-00009E870000}"/>
    <cellStyle name="SAPBEXHLevel0X 6 3" xfId="34633" xr:uid="{00000000-0005-0000-0000-00009F870000}"/>
    <cellStyle name="SAPBEXHLevel0X 6 4" xfId="34634" xr:uid="{00000000-0005-0000-0000-0000A0870000}"/>
    <cellStyle name="SAPBEXHLevel0X 6 5" xfId="34635" xr:uid="{00000000-0005-0000-0000-0000A1870000}"/>
    <cellStyle name="SAPBEXHLevel0X 6 6" xfId="34636" xr:uid="{00000000-0005-0000-0000-0000A2870000}"/>
    <cellStyle name="SAPBEXHLevel0X 6 7" xfId="34637" xr:uid="{00000000-0005-0000-0000-0000A3870000}"/>
    <cellStyle name="SAPBEXHLevel0X 6 8" xfId="34638" xr:uid="{00000000-0005-0000-0000-0000A4870000}"/>
    <cellStyle name="SAPBEXHLevel0X 6 9" xfId="34639" xr:uid="{00000000-0005-0000-0000-0000A5870000}"/>
    <cellStyle name="SAPBEXHLevel0X 7" xfId="34640" xr:uid="{00000000-0005-0000-0000-0000A6870000}"/>
    <cellStyle name="SAPBEXHLevel0X 7 10" xfId="34641" xr:uid="{00000000-0005-0000-0000-0000A7870000}"/>
    <cellStyle name="SAPBEXHLevel0X 7 11" xfId="34642" xr:uid="{00000000-0005-0000-0000-0000A8870000}"/>
    <cellStyle name="SAPBEXHLevel0X 7 12" xfId="34643" xr:uid="{00000000-0005-0000-0000-0000A9870000}"/>
    <cellStyle name="SAPBEXHLevel0X 7 13" xfId="34644" xr:uid="{00000000-0005-0000-0000-0000AA870000}"/>
    <cellStyle name="SAPBEXHLevel0X 7 2" xfId="34645" xr:uid="{00000000-0005-0000-0000-0000AB870000}"/>
    <cellStyle name="SAPBEXHLevel0X 7 3" xfId="34646" xr:uid="{00000000-0005-0000-0000-0000AC870000}"/>
    <cellStyle name="SAPBEXHLevel0X 7 4" xfId="34647" xr:uid="{00000000-0005-0000-0000-0000AD870000}"/>
    <cellStyle name="SAPBEXHLevel0X 7 5" xfId="34648" xr:uid="{00000000-0005-0000-0000-0000AE870000}"/>
    <cellStyle name="SAPBEXHLevel0X 7 6" xfId="34649" xr:uid="{00000000-0005-0000-0000-0000AF870000}"/>
    <cellStyle name="SAPBEXHLevel0X 7 7" xfId="34650" xr:uid="{00000000-0005-0000-0000-0000B0870000}"/>
    <cellStyle name="SAPBEXHLevel0X 7 8" xfId="34651" xr:uid="{00000000-0005-0000-0000-0000B1870000}"/>
    <cellStyle name="SAPBEXHLevel0X 7 9" xfId="34652" xr:uid="{00000000-0005-0000-0000-0000B2870000}"/>
    <cellStyle name="SAPBEXHLevel0X 8" xfId="34653" xr:uid="{00000000-0005-0000-0000-0000B3870000}"/>
    <cellStyle name="SAPBEXHLevel0X 8 10" xfId="34654" xr:uid="{00000000-0005-0000-0000-0000B4870000}"/>
    <cellStyle name="SAPBEXHLevel0X 8 11" xfId="34655" xr:uid="{00000000-0005-0000-0000-0000B5870000}"/>
    <cellStyle name="SAPBEXHLevel0X 8 12" xfId="34656" xr:uid="{00000000-0005-0000-0000-0000B6870000}"/>
    <cellStyle name="SAPBEXHLevel0X 8 13" xfId="34657" xr:uid="{00000000-0005-0000-0000-0000B7870000}"/>
    <cellStyle name="SAPBEXHLevel0X 8 2" xfId="34658" xr:uid="{00000000-0005-0000-0000-0000B8870000}"/>
    <cellStyle name="SAPBEXHLevel0X 8 3" xfId="34659" xr:uid="{00000000-0005-0000-0000-0000B9870000}"/>
    <cellStyle name="SAPBEXHLevel0X 8 4" xfId="34660" xr:uid="{00000000-0005-0000-0000-0000BA870000}"/>
    <cellStyle name="SAPBEXHLevel0X 8 5" xfId="34661" xr:uid="{00000000-0005-0000-0000-0000BB870000}"/>
    <cellStyle name="SAPBEXHLevel0X 8 6" xfId="34662" xr:uid="{00000000-0005-0000-0000-0000BC870000}"/>
    <cellStyle name="SAPBEXHLevel0X 8 7" xfId="34663" xr:uid="{00000000-0005-0000-0000-0000BD870000}"/>
    <cellStyle name="SAPBEXHLevel0X 8 8" xfId="34664" xr:uid="{00000000-0005-0000-0000-0000BE870000}"/>
    <cellStyle name="SAPBEXHLevel0X 8 9" xfId="34665" xr:uid="{00000000-0005-0000-0000-0000BF870000}"/>
    <cellStyle name="SAPBEXHLevel0X 9" xfId="34666" xr:uid="{00000000-0005-0000-0000-0000C0870000}"/>
    <cellStyle name="SAPBEXHLevel1" xfId="34667" xr:uid="{00000000-0005-0000-0000-0000C1870000}"/>
    <cellStyle name="SAPBEXHLevel1 2" xfId="34668" xr:uid="{00000000-0005-0000-0000-0000C2870000}"/>
    <cellStyle name="SAPBEXHLevel1 2 10" xfId="34669" xr:uid="{00000000-0005-0000-0000-0000C3870000}"/>
    <cellStyle name="SAPBEXHLevel1 2 11" xfId="34670" xr:uid="{00000000-0005-0000-0000-0000C4870000}"/>
    <cellStyle name="SAPBEXHLevel1 2 12" xfId="34671" xr:uid="{00000000-0005-0000-0000-0000C5870000}"/>
    <cellStyle name="SAPBEXHLevel1 2 13" xfId="34672" xr:uid="{00000000-0005-0000-0000-0000C6870000}"/>
    <cellStyle name="SAPBEXHLevel1 2 14" xfId="34673" xr:uid="{00000000-0005-0000-0000-0000C7870000}"/>
    <cellStyle name="SAPBEXHLevel1 2 2" xfId="34674" xr:uid="{00000000-0005-0000-0000-0000C8870000}"/>
    <cellStyle name="SAPBEXHLevel1 2 3" xfId="34675" xr:uid="{00000000-0005-0000-0000-0000C9870000}"/>
    <cellStyle name="SAPBEXHLevel1 2 4" xfId="34676" xr:uid="{00000000-0005-0000-0000-0000CA870000}"/>
    <cellStyle name="SAPBEXHLevel1 2 5" xfId="34677" xr:uid="{00000000-0005-0000-0000-0000CB870000}"/>
    <cellStyle name="SAPBEXHLevel1 2 6" xfId="34678" xr:uid="{00000000-0005-0000-0000-0000CC870000}"/>
    <cellStyle name="SAPBEXHLevel1 2 7" xfId="34679" xr:uid="{00000000-0005-0000-0000-0000CD870000}"/>
    <cellStyle name="SAPBEXHLevel1 2 8" xfId="34680" xr:uid="{00000000-0005-0000-0000-0000CE870000}"/>
    <cellStyle name="SAPBEXHLevel1 2 9" xfId="34681" xr:uid="{00000000-0005-0000-0000-0000CF870000}"/>
    <cellStyle name="SAPBEXHLevel1 3" xfId="34682" xr:uid="{00000000-0005-0000-0000-0000D0870000}"/>
    <cellStyle name="SAPBEXHLevel1 3 10" xfId="34683" xr:uid="{00000000-0005-0000-0000-0000D1870000}"/>
    <cellStyle name="SAPBEXHLevel1 3 11" xfId="34684" xr:uid="{00000000-0005-0000-0000-0000D2870000}"/>
    <cellStyle name="SAPBEXHLevel1 3 12" xfId="34685" xr:uid="{00000000-0005-0000-0000-0000D3870000}"/>
    <cellStyle name="SAPBEXHLevel1 3 13" xfId="34686" xr:uid="{00000000-0005-0000-0000-0000D4870000}"/>
    <cellStyle name="SAPBEXHLevel1 3 2" xfId="34687" xr:uid="{00000000-0005-0000-0000-0000D5870000}"/>
    <cellStyle name="SAPBEXHLevel1 3 3" xfId="34688" xr:uid="{00000000-0005-0000-0000-0000D6870000}"/>
    <cellStyle name="SAPBEXHLevel1 3 4" xfId="34689" xr:uid="{00000000-0005-0000-0000-0000D7870000}"/>
    <cellStyle name="SAPBEXHLevel1 3 5" xfId="34690" xr:uid="{00000000-0005-0000-0000-0000D8870000}"/>
    <cellStyle name="SAPBEXHLevel1 3 6" xfId="34691" xr:uid="{00000000-0005-0000-0000-0000D9870000}"/>
    <cellStyle name="SAPBEXHLevel1 3 7" xfId="34692" xr:uid="{00000000-0005-0000-0000-0000DA870000}"/>
    <cellStyle name="SAPBEXHLevel1 3 8" xfId="34693" xr:uid="{00000000-0005-0000-0000-0000DB870000}"/>
    <cellStyle name="SAPBEXHLevel1 3 9" xfId="34694" xr:uid="{00000000-0005-0000-0000-0000DC870000}"/>
    <cellStyle name="SAPBEXHLevel1 4" xfId="34695" xr:uid="{00000000-0005-0000-0000-0000DD870000}"/>
    <cellStyle name="SAPBEXHLevel1 4 10" xfId="34696" xr:uid="{00000000-0005-0000-0000-0000DE870000}"/>
    <cellStyle name="SAPBEXHLevel1 4 11" xfId="34697" xr:uid="{00000000-0005-0000-0000-0000DF870000}"/>
    <cellStyle name="SAPBEXHLevel1 4 12" xfId="34698" xr:uid="{00000000-0005-0000-0000-0000E0870000}"/>
    <cellStyle name="SAPBEXHLevel1 4 13" xfId="34699" xr:uid="{00000000-0005-0000-0000-0000E1870000}"/>
    <cellStyle name="SAPBEXHLevel1 4 2" xfId="34700" xr:uid="{00000000-0005-0000-0000-0000E2870000}"/>
    <cellStyle name="SAPBEXHLevel1 4 3" xfId="34701" xr:uid="{00000000-0005-0000-0000-0000E3870000}"/>
    <cellStyle name="SAPBEXHLevel1 4 4" xfId="34702" xr:uid="{00000000-0005-0000-0000-0000E4870000}"/>
    <cellStyle name="SAPBEXHLevel1 4 5" xfId="34703" xr:uid="{00000000-0005-0000-0000-0000E5870000}"/>
    <cellStyle name="SAPBEXHLevel1 4 6" xfId="34704" xr:uid="{00000000-0005-0000-0000-0000E6870000}"/>
    <cellStyle name="SAPBEXHLevel1 4 7" xfId="34705" xr:uid="{00000000-0005-0000-0000-0000E7870000}"/>
    <cellStyle name="SAPBEXHLevel1 4 8" xfId="34706" xr:uid="{00000000-0005-0000-0000-0000E8870000}"/>
    <cellStyle name="SAPBEXHLevel1 4 9" xfId="34707" xr:uid="{00000000-0005-0000-0000-0000E9870000}"/>
    <cellStyle name="SAPBEXHLevel1 5" xfId="34708" xr:uid="{00000000-0005-0000-0000-0000EA870000}"/>
    <cellStyle name="SAPBEXHLevel1 5 10" xfId="34709" xr:uid="{00000000-0005-0000-0000-0000EB870000}"/>
    <cellStyle name="SAPBEXHLevel1 5 11" xfId="34710" xr:uid="{00000000-0005-0000-0000-0000EC870000}"/>
    <cellStyle name="SAPBEXHLevel1 5 12" xfId="34711" xr:uid="{00000000-0005-0000-0000-0000ED870000}"/>
    <cellStyle name="SAPBEXHLevel1 5 13" xfId="34712" xr:uid="{00000000-0005-0000-0000-0000EE870000}"/>
    <cellStyle name="SAPBEXHLevel1 5 2" xfId="34713" xr:uid="{00000000-0005-0000-0000-0000EF870000}"/>
    <cellStyle name="SAPBEXHLevel1 5 3" xfId="34714" xr:uid="{00000000-0005-0000-0000-0000F0870000}"/>
    <cellStyle name="SAPBEXHLevel1 5 4" xfId="34715" xr:uid="{00000000-0005-0000-0000-0000F1870000}"/>
    <cellStyle name="SAPBEXHLevel1 5 5" xfId="34716" xr:uid="{00000000-0005-0000-0000-0000F2870000}"/>
    <cellStyle name="SAPBEXHLevel1 5 6" xfId="34717" xr:uid="{00000000-0005-0000-0000-0000F3870000}"/>
    <cellStyle name="SAPBEXHLevel1 5 7" xfId="34718" xr:uid="{00000000-0005-0000-0000-0000F4870000}"/>
    <cellStyle name="SAPBEXHLevel1 5 8" xfId="34719" xr:uid="{00000000-0005-0000-0000-0000F5870000}"/>
    <cellStyle name="SAPBEXHLevel1 5 9" xfId="34720" xr:uid="{00000000-0005-0000-0000-0000F6870000}"/>
    <cellStyle name="SAPBEXHLevel1 6" xfId="34721" xr:uid="{00000000-0005-0000-0000-0000F7870000}"/>
    <cellStyle name="SAPBEXHLevel1 6 10" xfId="34722" xr:uid="{00000000-0005-0000-0000-0000F8870000}"/>
    <cellStyle name="SAPBEXHLevel1 6 11" xfId="34723" xr:uid="{00000000-0005-0000-0000-0000F9870000}"/>
    <cellStyle name="SAPBEXHLevel1 6 12" xfId="34724" xr:uid="{00000000-0005-0000-0000-0000FA870000}"/>
    <cellStyle name="SAPBEXHLevel1 6 13" xfId="34725" xr:uid="{00000000-0005-0000-0000-0000FB870000}"/>
    <cellStyle name="SAPBEXHLevel1 6 2" xfId="34726" xr:uid="{00000000-0005-0000-0000-0000FC870000}"/>
    <cellStyle name="SAPBEXHLevel1 6 3" xfId="34727" xr:uid="{00000000-0005-0000-0000-0000FD870000}"/>
    <cellStyle name="SAPBEXHLevel1 6 4" xfId="34728" xr:uid="{00000000-0005-0000-0000-0000FE870000}"/>
    <cellStyle name="SAPBEXHLevel1 6 5" xfId="34729" xr:uid="{00000000-0005-0000-0000-0000FF870000}"/>
    <cellStyle name="SAPBEXHLevel1 6 6" xfId="34730" xr:uid="{00000000-0005-0000-0000-000000880000}"/>
    <cellStyle name="SAPBEXHLevel1 6 7" xfId="34731" xr:uid="{00000000-0005-0000-0000-000001880000}"/>
    <cellStyle name="SAPBEXHLevel1 6 8" xfId="34732" xr:uid="{00000000-0005-0000-0000-000002880000}"/>
    <cellStyle name="SAPBEXHLevel1 6 9" xfId="34733" xr:uid="{00000000-0005-0000-0000-000003880000}"/>
    <cellStyle name="SAPBEXHLevel1 7" xfId="34734" xr:uid="{00000000-0005-0000-0000-000004880000}"/>
    <cellStyle name="SAPBEXHLevel1 7 10" xfId="34735" xr:uid="{00000000-0005-0000-0000-000005880000}"/>
    <cellStyle name="SAPBEXHLevel1 7 11" xfId="34736" xr:uid="{00000000-0005-0000-0000-000006880000}"/>
    <cellStyle name="SAPBEXHLevel1 7 12" xfId="34737" xr:uid="{00000000-0005-0000-0000-000007880000}"/>
    <cellStyle name="SAPBEXHLevel1 7 13" xfId="34738" xr:uid="{00000000-0005-0000-0000-000008880000}"/>
    <cellStyle name="SAPBEXHLevel1 7 2" xfId="34739" xr:uid="{00000000-0005-0000-0000-000009880000}"/>
    <cellStyle name="SAPBEXHLevel1 7 3" xfId="34740" xr:uid="{00000000-0005-0000-0000-00000A880000}"/>
    <cellStyle name="SAPBEXHLevel1 7 4" xfId="34741" xr:uid="{00000000-0005-0000-0000-00000B880000}"/>
    <cellStyle name="SAPBEXHLevel1 7 5" xfId="34742" xr:uid="{00000000-0005-0000-0000-00000C880000}"/>
    <cellStyle name="SAPBEXHLevel1 7 6" xfId="34743" xr:uid="{00000000-0005-0000-0000-00000D880000}"/>
    <cellStyle name="SAPBEXHLevel1 7 7" xfId="34744" xr:uid="{00000000-0005-0000-0000-00000E880000}"/>
    <cellStyle name="SAPBEXHLevel1 7 8" xfId="34745" xr:uid="{00000000-0005-0000-0000-00000F880000}"/>
    <cellStyle name="SAPBEXHLevel1 7 9" xfId="34746" xr:uid="{00000000-0005-0000-0000-000010880000}"/>
    <cellStyle name="SAPBEXHLevel1 8" xfId="34747" xr:uid="{00000000-0005-0000-0000-000011880000}"/>
    <cellStyle name="SAPBEXHLevel1 8 10" xfId="34748" xr:uid="{00000000-0005-0000-0000-000012880000}"/>
    <cellStyle name="SAPBEXHLevel1 8 11" xfId="34749" xr:uid="{00000000-0005-0000-0000-000013880000}"/>
    <cellStyle name="SAPBEXHLevel1 8 12" xfId="34750" xr:uid="{00000000-0005-0000-0000-000014880000}"/>
    <cellStyle name="SAPBEXHLevel1 8 13" xfId="34751" xr:uid="{00000000-0005-0000-0000-000015880000}"/>
    <cellStyle name="SAPBEXHLevel1 8 2" xfId="34752" xr:uid="{00000000-0005-0000-0000-000016880000}"/>
    <cellStyle name="SAPBEXHLevel1 8 3" xfId="34753" xr:uid="{00000000-0005-0000-0000-000017880000}"/>
    <cellStyle name="SAPBEXHLevel1 8 4" xfId="34754" xr:uid="{00000000-0005-0000-0000-000018880000}"/>
    <cellStyle name="SAPBEXHLevel1 8 5" xfId="34755" xr:uid="{00000000-0005-0000-0000-000019880000}"/>
    <cellStyle name="SAPBEXHLevel1 8 6" xfId="34756" xr:uid="{00000000-0005-0000-0000-00001A880000}"/>
    <cellStyle name="SAPBEXHLevel1 8 7" xfId="34757" xr:uid="{00000000-0005-0000-0000-00001B880000}"/>
    <cellStyle name="SAPBEXHLevel1 8 8" xfId="34758" xr:uid="{00000000-0005-0000-0000-00001C880000}"/>
    <cellStyle name="SAPBEXHLevel1 8 9" xfId="34759" xr:uid="{00000000-0005-0000-0000-00001D880000}"/>
    <cellStyle name="SAPBEXHLevel1 9" xfId="34760" xr:uid="{00000000-0005-0000-0000-00001E880000}"/>
    <cellStyle name="SAPBEXHLevel1X" xfId="34761" xr:uid="{00000000-0005-0000-0000-00001F880000}"/>
    <cellStyle name="SAPBEXHLevel1X 10" xfId="34762" xr:uid="{00000000-0005-0000-0000-000020880000}"/>
    <cellStyle name="SAPBEXHLevel1X 11" xfId="34763" xr:uid="{00000000-0005-0000-0000-000021880000}"/>
    <cellStyle name="SAPBEXHLevel1X 2" xfId="34764" xr:uid="{00000000-0005-0000-0000-000022880000}"/>
    <cellStyle name="SAPBEXHLevel1X 2 10" xfId="34765" xr:uid="{00000000-0005-0000-0000-000023880000}"/>
    <cellStyle name="SAPBEXHLevel1X 2 11" xfId="34766" xr:uid="{00000000-0005-0000-0000-000024880000}"/>
    <cellStyle name="SAPBEXHLevel1X 2 12" xfId="34767" xr:uid="{00000000-0005-0000-0000-000025880000}"/>
    <cellStyle name="SAPBEXHLevel1X 2 13" xfId="34768" xr:uid="{00000000-0005-0000-0000-000026880000}"/>
    <cellStyle name="SAPBEXHLevel1X 2 14" xfId="34769" xr:uid="{00000000-0005-0000-0000-000027880000}"/>
    <cellStyle name="SAPBEXHLevel1X 2 2" xfId="34770" xr:uid="{00000000-0005-0000-0000-000028880000}"/>
    <cellStyle name="SAPBEXHLevel1X 2 2 2" xfId="34771" xr:uid="{00000000-0005-0000-0000-000029880000}"/>
    <cellStyle name="SAPBEXHLevel1X 2 3" xfId="34772" xr:uid="{00000000-0005-0000-0000-00002A880000}"/>
    <cellStyle name="SAPBEXHLevel1X 2 4" xfId="34773" xr:uid="{00000000-0005-0000-0000-00002B880000}"/>
    <cellStyle name="SAPBEXHLevel1X 2 5" xfId="34774" xr:uid="{00000000-0005-0000-0000-00002C880000}"/>
    <cellStyle name="SAPBEXHLevel1X 2 6" xfId="34775" xr:uid="{00000000-0005-0000-0000-00002D880000}"/>
    <cellStyle name="SAPBEXHLevel1X 2 7" xfId="34776" xr:uid="{00000000-0005-0000-0000-00002E880000}"/>
    <cellStyle name="SAPBEXHLevel1X 2 8" xfId="34777" xr:uid="{00000000-0005-0000-0000-00002F880000}"/>
    <cellStyle name="SAPBEXHLevel1X 2 9" xfId="34778" xr:uid="{00000000-0005-0000-0000-000030880000}"/>
    <cellStyle name="SAPBEXHLevel1X 3" xfId="34779" xr:uid="{00000000-0005-0000-0000-000031880000}"/>
    <cellStyle name="SAPBEXHLevel1X 3 10" xfId="34780" xr:uid="{00000000-0005-0000-0000-000032880000}"/>
    <cellStyle name="SAPBEXHLevel1X 3 11" xfId="34781" xr:uid="{00000000-0005-0000-0000-000033880000}"/>
    <cellStyle name="SAPBEXHLevel1X 3 12" xfId="34782" xr:uid="{00000000-0005-0000-0000-000034880000}"/>
    <cellStyle name="SAPBEXHLevel1X 3 13" xfId="34783" xr:uid="{00000000-0005-0000-0000-000035880000}"/>
    <cellStyle name="SAPBEXHLevel1X 3 14" xfId="34784" xr:uid="{00000000-0005-0000-0000-000036880000}"/>
    <cellStyle name="SAPBEXHLevel1X 3 2" xfId="34785" xr:uid="{00000000-0005-0000-0000-000037880000}"/>
    <cellStyle name="SAPBEXHLevel1X 3 3" xfId="34786" xr:uid="{00000000-0005-0000-0000-000038880000}"/>
    <cellStyle name="SAPBEXHLevel1X 3 4" xfId="34787" xr:uid="{00000000-0005-0000-0000-000039880000}"/>
    <cellStyle name="SAPBEXHLevel1X 3 5" xfId="34788" xr:uid="{00000000-0005-0000-0000-00003A880000}"/>
    <cellStyle name="SAPBEXHLevel1X 3 6" xfId="34789" xr:uid="{00000000-0005-0000-0000-00003B880000}"/>
    <cellStyle name="SAPBEXHLevel1X 3 7" xfId="34790" xr:uid="{00000000-0005-0000-0000-00003C880000}"/>
    <cellStyle name="SAPBEXHLevel1X 3 8" xfId="34791" xr:uid="{00000000-0005-0000-0000-00003D880000}"/>
    <cellStyle name="SAPBEXHLevel1X 3 9" xfId="34792" xr:uid="{00000000-0005-0000-0000-00003E880000}"/>
    <cellStyle name="SAPBEXHLevel1X 4" xfId="34793" xr:uid="{00000000-0005-0000-0000-00003F880000}"/>
    <cellStyle name="SAPBEXHLevel1X 4 10" xfId="34794" xr:uid="{00000000-0005-0000-0000-000040880000}"/>
    <cellStyle name="SAPBEXHLevel1X 4 11" xfId="34795" xr:uid="{00000000-0005-0000-0000-000041880000}"/>
    <cellStyle name="SAPBEXHLevel1X 4 12" xfId="34796" xr:uid="{00000000-0005-0000-0000-000042880000}"/>
    <cellStyle name="SAPBEXHLevel1X 4 13" xfId="34797" xr:uid="{00000000-0005-0000-0000-000043880000}"/>
    <cellStyle name="SAPBEXHLevel1X 4 14" xfId="34798" xr:uid="{00000000-0005-0000-0000-000044880000}"/>
    <cellStyle name="SAPBEXHLevel1X 4 2" xfId="34799" xr:uid="{00000000-0005-0000-0000-000045880000}"/>
    <cellStyle name="SAPBEXHLevel1X 4 3" xfId="34800" xr:uid="{00000000-0005-0000-0000-000046880000}"/>
    <cellStyle name="SAPBEXHLevel1X 4 4" xfId="34801" xr:uid="{00000000-0005-0000-0000-000047880000}"/>
    <cellStyle name="SAPBEXHLevel1X 4 5" xfId="34802" xr:uid="{00000000-0005-0000-0000-000048880000}"/>
    <cellStyle name="SAPBEXHLevel1X 4 6" xfId="34803" xr:uid="{00000000-0005-0000-0000-000049880000}"/>
    <cellStyle name="SAPBEXHLevel1X 4 7" xfId="34804" xr:uid="{00000000-0005-0000-0000-00004A880000}"/>
    <cellStyle name="SAPBEXHLevel1X 4 8" xfId="34805" xr:uid="{00000000-0005-0000-0000-00004B880000}"/>
    <cellStyle name="SAPBEXHLevel1X 4 9" xfId="34806" xr:uid="{00000000-0005-0000-0000-00004C880000}"/>
    <cellStyle name="SAPBEXHLevel1X 5" xfId="34807" xr:uid="{00000000-0005-0000-0000-00004D880000}"/>
    <cellStyle name="SAPBEXHLevel1X 5 10" xfId="34808" xr:uid="{00000000-0005-0000-0000-00004E880000}"/>
    <cellStyle name="SAPBEXHLevel1X 5 11" xfId="34809" xr:uid="{00000000-0005-0000-0000-00004F880000}"/>
    <cellStyle name="SAPBEXHLevel1X 5 12" xfId="34810" xr:uid="{00000000-0005-0000-0000-000050880000}"/>
    <cellStyle name="SAPBEXHLevel1X 5 13" xfId="34811" xr:uid="{00000000-0005-0000-0000-000051880000}"/>
    <cellStyle name="SAPBEXHLevel1X 5 14" xfId="34812" xr:uid="{00000000-0005-0000-0000-000052880000}"/>
    <cellStyle name="SAPBEXHLevel1X 5 2" xfId="34813" xr:uid="{00000000-0005-0000-0000-000053880000}"/>
    <cellStyle name="SAPBEXHLevel1X 5 3" xfId="34814" xr:uid="{00000000-0005-0000-0000-000054880000}"/>
    <cellStyle name="SAPBEXHLevel1X 5 4" xfId="34815" xr:uid="{00000000-0005-0000-0000-000055880000}"/>
    <cellStyle name="SAPBEXHLevel1X 5 5" xfId="34816" xr:uid="{00000000-0005-0000-0000-000056880000}"/>
    <cellStyle name="SAPBEXHLevel1X 5 6" xfId="34817" xr:uid="{00000000-0005-0000-0000-000057880000}"/>
    <cellStyle name="SAPBEXHLevel1X 5 7" xfId="34818" xr:uid="{00000000-0005-0000-0000-000058880000}"/>
    <cellStyle name="SAPBEXHLevel1X 5 8" xfId="34819" xr:uid="{00000000-0005-0000-0000-000059880000}"/>
    <cellStyle name="SAPBEXHLevel1X 5 9" xfId="34820" xr:uid="{00000000-0005-0000-0000-00005A880000}"/>
    <cellStyle name="SAPBEXHLevel1X 6" xfId="34821" xr:uid="{00000000-0005-0000-0000-00005B880000}"/>
    <cellStyle name="SAPBEXHLevel1X 6 10" xfId="34822" xr:uid="{00000000-0005-0000-0000-00005C880000}"/>
    <cellStyle name="SAPBEXHLevel1X 6 11" xfId="34823" xr:uid="{00000000-0005-0000-0000-00005D880000}"/>
    <cellStyle name="SAPBEXHLevel1X 6 12" xfId="34824" xr:uid="{00000000-0005-0000-0000-00005E880000}"/>
    <cellStyle name="SAPBEXHLevel1X 6 13" xfId="34825" xr:uid="{00000000-0005-0000-0000-00005F880000}"/>
    <cellStyle name="SAPBEXHLevel1X 6 2" xfId="34826" xr:uid="{00000000-0005-0000-0000-000060880000}"/>
    <cellStyle name="SAPBEXHLevel1X 6 3" xfId="34827" xr:uid="{00000000-0005-0000-0000-000061880000}"/>
    <cellStyle name="SAPBEXHLevel1X 6 4" xfId="34828" xr:uid="{00000000-0005-0000-0000-000062880000}"/>
    <cellStyle name="SAPBEXHLevel1X 6 5" xfId="34829" xr:uid="{00000000-0005-0000-0000-000063880000}"/>
    <cellStyle name="SAPBEXHLevel1X 6 6" xfId="34830" xr:uid="{00000000-0005-0000-0000-000064880000}"/>
    <cellStyle name="SAPBEXHLevel1X 6 7" xfId="34831" xr:uid="{00000000-0005-0000-0000-000065880000}"/>
    <cellStyle name="SAPBEXHLevel1X 6 8" xfId="34832" xr:uid="{00000000-0005-0000-0000-000066880000}"/>
    <cellStyle name="SAPBEXHLevel1X 6 9" xfId="34833" xr:uid="{00000000-0005-0000-0000-000067880000}"/>
    <cellStyle name="SAPBEXHLevel1X 7" xfId="34834" xr:uid="{00000000-0005-0000-0000-000068880000}"/>
    <cellStyle name="SAPBEXHLevel1X 7 10" xfId="34835" xr:uid="{00000000-0005-0000-0000-000069880000}"/>
    <cellStyle name="SAPBEXHLevel1X 7 11" xfId="34836" xr:uid="{00000000-0005-0000-0000-00006A880000}"/>
    <cellStyle name="SAPBEXHLevel1X 7 12" xfId="34837" xr:uid="{00000000-0005-0000-0000-00006B880000}"/>
    <cellStyle name="SAPBEXHLevel1X 7 13" xfId="34838" xr:uid="{00000000-0005-0000-0000-00006C880000}"/>
    <cellStyle name="SAPBEXHLevel1X 7 2" xfId="34839" xr:uid="{00000000-0005-0000-0000-00006D880000}"/>
    <cellStyle name="SAPBEXHLevel1X 7 3" xfId="34840" xr:uid="{00000000-0005-0000-0000-00006E880000}"/>
    <cellStyle name="SAPBEXHLevel1X 7 4" xfId="34841" xr:uid="{00000000-0005-0000-0000-00006F880000}"/>
    <cellStyle name="SAPBEXHLevel1X 7 5" xfId="34842" xr:uid="{00000000-0005-0000-0000-000070880000}"/>
    <cellStyle name="SAPBEXHLevel1X 7 6" xfId="34843" xr:uid="{00000000-0005-0000-0000-000071880000}"/>
    <cellStyle name="SAPBEXHLevel1X 7 7" xfId="34844" xr:uid="{00000000-0005-0000-0000-000072880000}"/>
    <cellStyle name="SAPBEXHLevel1X 7 8" xfId="34845" xr:uid="{00000000-0005-0000-0000-000073880000}"/>
    <cellStyle name="SAPBEXHLevel1X 7 9" xfId="34846" xr:uid="{00000000-0005-0000-0000-000074880000}"/>
    <cellStyle name="SAPBEXHLevel1X 8" xfId="34847" xr:uid="{00000000-0005-0000-0000-000075880000}"/>
    <cellStyle name="SAPBEXHLevel1X 8 10" xfId="34848" xr:uid="{00000000-0005-0000-0000-000076880000}"/>
    <cellStyle name="SAPBEXHLevel1X 8 11" xfId="34849" xr:uid="{00000000-0005-0000-0000-000077880000}"/>
    <cellStyle name="SAPBEXHLevel1X 8 12" xfId="34850" xr:uid="{00000000-0005-0000-0000-000078880000}"/>
    <cellStyle name="SAPBEXHLevel1X 8 13" xfId="34851" xr:uid="{00000000-0005-0000-0000-000079880000}"/>
    <cellStyle name="SAPBEXHLevel1X 8 2" xfId="34852" xr:uid="{00000000-0005-0000-0000-00007A880000}"/>
    <cellStyle name="SAPBEXHLevel1X 8 3" xfId="34853" xr:uid="{00000000-0005-0000-0000-00007B880000}"/>
    <cellStyle name="SAPBEXHLevel1X 8 4" xfId="34854" xr:uid="{00000000-0005-0000-0000-00007C880000}"/>
    <cellStyle name="SAPBEXHLevel1X 8 5" xfId="34855" xr:uid="{00000000-0005-0000-0000-00007D880000}"/>
    <cellStyle name="SAPBEXHLevel1X 8 6" xfId="34856" xr:uid="{00000000-0005-0000-0000-00007E880000}"/>
    <cellStyle name="SAPBEXHLevel1X 8 7" xfId="34857" xr:uid="{00000000-0005-0000-0000-00007F880000}"/>
    <cellStyle name="SAPBEXHLevel1X 8 8" xfId="34858" xr:uid="{00000000-0005-0000-0000-000080880000}"/>
    <cellStyle name="SAPBEXHLevel1X 8 9" xfId="34859" xr:uid="{00000000-0005-0000-0000-000081880000}"/>
    <cellStyle name="SAPBEXHLevel1X 9" xfId="34860" xr:uid="{00000000-0005-0000-0000-000082880000}"/>
    <cellStyle name="SAPBEXHLevel2" xfId="34861" xr:uid="{00000000-0005-0000-0000-000083880000}"/>
    <cellStyle name="SAPBEXHLevel2 2" xfId="34862" xr:uid="{00000000-0005-0000-0000-000084880000}"/>
    <cellStyle name="SAPBEXHLevel2 2 10" xfId="34863" xr:uid="{00000000-0005-0000-0000-000085880000}"/>
    <cellStyle name="SAPBEXHLevel2 2 11" xfId="34864" xr:uid="{00000000-0005-0000-0000-000086880000}"/>
    <cellStyle name="SAPBEXHLevel2 2 12" xfId="34865" xr:uid="{00000000-0005-0000-0000-000087880000}"/>
    <cellStyle name="SAPBEXHLevel2 2 13" xfId="34866" xr:uid="{00000000-0005-0000-0000-000088880000}"/>
    <cellStyle name="SAPBEXHLevel2 2 14" xfId="34867" xr:uid="{00000000-0005-0000-0000-000089880000}"/>
    <cellStyle name="SAPBEXHLevel2 2 2" xfId="34868" xr:uid="{00000000-0005-0000-0000-00008A880000}"/>
    <cellStyle name="SAPBEXHLevel2 2 3" xfId="34869" xr:uid="{00000000-0005-0000-0000-00008B880000}"/>
    <cellStyle name="SAPBEXHLevel2 2 4" xfId="34870" xr:uid="{00000000-0005-0000-0000-00008C880000}"/>
    <cellStyle name="SAPBEXHLevel2 2 5" xfId="34871" xr:uid="{00000000-0005-0000-0000-00008D880000}"/>
    <cellStyle name="SAPBEXHLevel2 2 6" xfId="34872" xr:uid="{00000000-0005-0000-0000-00008E880000}"/>
    <cellStyle name="SAPBEXHLevel2 2 7" xfId="34873" xr:uid="{00000000-0005-0000-0000-00008F880000}"/>
    <cellStyle name="SAPBEXHLevel2 2 8" xfId="34874" xr:uid="{00000000-0005-0000-0000-000090880000}"/>
    <cellStyle name="SAPBEXHLevel2 2 9" xfId="34875" xr:uid="{00000000-0005-0000-0000-000091880000}"/>
    <cellStyle name="SAPBEXHLevel2 3" xfId="34876" xr:uid="{00000000-0005-0000-0000-000092880000}"/>
    <cellStyle name="SAPBEXHLevel2 3 10" xfId="34877" xr:uid="{00000000-0005-0000-0000-000093880000}"/>
    <cellStyle name="SAPBEXHLevel2 3 11" xfId="34878" xr:uid="{00000000-0005-0000-0000-000094880000}"/>
    <cellStyle name="SAPBEXHLevel2 3 12" xfId="34879" xr:uid="{00000000-0005-0000-0000-000095880000}"/>
    <cellStyle name="SAPBEXHLevel2 3 13" xfId="34880" xr:uid="{00000000-0005-0000-0000-000096880000}"/>
    <cellStyle name="SAPBEXHLevel2 3 2" xfId="34881" xr:uid="{00000000-0005-0000-0000-000097880000}"/>
    <cellStyle name="SAPBEXHLevel2 3 3" xfId="34882" xr:uid="{00000000-0005-0000-0000-000098880000}"/>
    <cellStyle name="SAPBEXHLevel2 3 4" xfId="34883" xr:uid="{00000000-0005-0000-0000-000099880000}"/>
    <cellStyle name="SAPBEXHLevel2 3 5" xfId="34884" xr:uid="{00000000-0005-0000-0000-00009A880000}"/>
    <cellStyle name="SAPBEXHLevel2 3 6" xfId="34885" xr:uid="{00000000-0005-0000-0000-00009B880000}"/>
    <cellStyle name="SAPBEXHLevel2 3 7" xfId="34886" xr:uid="{00000000-0005-0000-0000-00009C880000}"/>
    <cellStyle name="SAPBEXHLevel2 3 8" xfId="34887" xr:uid="{00000000-0005-0000-0000-00009D880000}"/>
    <cellStyle name="SAPBEXHLevel2 3 9" xfId="34888" xr:uid="{00000000-0005-0000-0000-00009E880000}"/>
    <cellStyle name="SAPBEXHLevel2 4" xfId="34889" xr:uid="{00000000-0005-0000-0000-00009F880000}"/>
    <cellStyle name="SAPBEXHLevel2 4 10" xfId="34890" xr:uid="{00000000-0005-0000-0000-0000A0880000}"/>
    <cellStyle name="SAPBEXHLevel2 4 11" xfId="34891" xr:uid="{00000000-0005-0000-0000-0000A1880000}"/>
    <cellStyle name="SAPBEXHLevel2 4 12" xfId="34892" xr:uid="{00000000-0005-0000-0000-0000A2880000}"/>
    <cellStyle name="SAPBEXHLevel2 4 13" xfId="34893" xr:uid="{00000000-0005-0000-0000-0000A3880000}"/>
    <cellStyle name="SAPBEXHLevel2 4 2" xfId="34894" xr:uid="{00000000-0005-0000-0000-0000A4880000}"/>
    <cellStyle name="SAPBEXHLevel2 4 3" xfId="34895" xr:uid="{00000000-0005-0000-0000-0000A5880000}"/>
    <cellStyle name="SAPBEXHLevel2 4 4" xfId="34896" xr:uid="{00000000-0005-0000-0000-0000A6880000}"/>
    <cellStyle name="SAPBEXHLevel2 4 5" xfId="34897" xr:uid="{00000000-0005-0000-0000-0000A7880000}"/>
    <cellStyle name="SAPBEXHLevel2 4 6" xfId="34898" xr:uid="{00000000-0005-0000-0000-0000A8880000}"/>
    <cellStyle name="SAPBEXHLevel2 4 7" xfId="34899" xr:uid="{00000000-0005-0000-0000-0000A9880000}"/>
    <cellStyle name="SAPBEXHLevel2 4 8" xfId="34900" xr:uid="{00000000-0005-0000-0000-0000AA880000}"/>
    <cellStyle name="SAPBEXHLevel2 4 9" xfId="34901" xr:uid="{00000000-0005-0000-0000-0000AB880000}"/>
    <cellStyle name="SAPBEXHLevel2 5" xfId="34902" xr:uid="{00000000-0005-0000-0000-0000AC880000}"/>
    <cellStyle name="SAPBEXHLevel2 5 10" xfId="34903" xr:uid="{00000000-0005-0000-0000-0000AD880000}"/>
    <cellStyle name="SAPBEXHLevel2 5 11" xfId="34904" xr:uid="{00000000-0005-0000-0000-0000AE880000}"/>
    <cellStyle name="SAPBEXHLevel2 5 12" xfId="34905" xr:uid="{00000000-0005-0000-0000-0000AF880000}"/>
    <cellStyle name="SAPBEXHLevel2 5 13" xfId="34906" xr:uid="{00000000-0005-0000-0000-0000B0880000}"/>
    <cellStyle name="SAPBEXHLevel2 5 2" xfId="34907" xr:uid="{00000000-0005-0000-0000-0000B1880000}"/>
    <cellStyle name="SAPBEXHLevel2 5 3" xfId="34908" xr:uid="{00000000-0005-0000-0000-0000B2880000}"/>
    <cellStyle name="SAPBEXHLevel2 5 4" xfId="34909" xr:uid="{00000000-0005-0000-0000-0000B3880000}"/>
    <cellStyle name="SAPBEXHLevel2 5 5" xfId="34910" xr:uid="{00000000-0005-0000-0000-0000B4880000}"/>
    <cellStyle name="SAPBEXHLevel2 5 6" xfId="34911" xr:uid="{00000000-0005-0000-0000-0000B5880000}"/>
    <cellStyle name="SAPBEXHLevel2 5 7" xfId="34912" xr:uid="{00000000-0005-0000-0000-0000B6880000}"/>
    <cellStyle name="SAPBEXHLevel2 5 8" xfId="34913" xr:uid="{00000000-0005-0000-0000-0000B7880000}"/>
    <cellStyle name="SAPBEXHLevel2 5 9" xfId="34914" xr:uid="{00000000-0005-0000-0000-0000B8880000}"/>
    <cellStyle name="SAPBEXHLevel2 6" xfId="34915" xr:uid="{00000000-0005-0000-0000-0000B9880000}"/>
    <cellStyle name="SAPBEXHLevel2 6 10" xfId="34916" xr:uid="{00000000-0005-0000-0000-0000BA880000}"/>
    <cellStyle name="SAPBEXHLevel2 6 11" xfId="34917" xr:uid="{00000000-0005-0000-0000-0000BB880000}"/>
    <cellStyle name="SAPBEXHLevel2 6 12" xfId="34918" xr:uid="{00000000-0005-0000-0000-0000BC880000}"/>
    <cellStyle name="SAPBEXHLevel2 6 13" xfId="34919" xr:uid="{00000000-0005-0000-0000-0000BD880000}"/>
    <cellStyle name="SAPBEXHLevel2 6 2" xfId="34920" xr:uid="{00000000-0005-0000-0000-0000BE880000}"/>
    <cellStyle name="SAPBEXHLevel2 6 3" xfId="34921" xr:uid="{00000000-0005-0000-0000-0000BF880000}"/>
    <cellStyle name="SAPBEXHLevel2 6 4" xfId="34922" xr:uid="{00000000-0005-0000-0000-0000C0880000}"/>
    <cellStyle name="SAPBEXHLevel2 6 5" xfId="34923" xr:uid="{00000000-0005-0000-0000-0000C1880000}"/>
    <cellStyle name="SAPBEXHLevel2 6 6" xfId="34924" xr:uid="{00000000-0005-0000-0000-0000C2880000}"/>
    <cellStyle name="SAPBEXHLevel2 6 7" xfId="34925" xr:uid="{00000000-0005-0000-0000-0000C3880000}"/>
    <cellStyle name="SAPBEXHLevel2 6 8" xfId="34926" xr:uid="{00000000-0005-0000-0000-0000C4880000}"/>
    <cellStyle name="SAPBEXHLevel2 6 9" xfId="34927" xr:uid="{00000000-0005-0000-0000-0000C5880000}"/>
    <cellStyle name="SAPBEXHLevel2 7" xfId="34928" xr:uid="{00000000-0005-0000-0000-0000C6880000}"/>
    <cellStyle name="SAPBEXHLevel2 7 10" xfId="34929" xr:uid="{00000000-0005-0000-0000-0000C7880000}"/>
    <cellStyle name="SAPBEXHLevel2 7 11" xfId="34930" xr:uid="{00000000-0005-0000-0000-0000C8880000}"/>
    <cellStyle name="SAPBEXHLevel2 7 12" xfId="34931" xr:uid="{00000000-0005-0000-0000-0000C9880000}"/>
    <cellStyle name="SAPBEXHLevel2 7 13" xfId="34932" xr:uid="{00000000-0005-0000-0000-0000CA880000}"/>
    <cellStyle name="SAPBEXHLevel2 7 2" xfId="34933" xr:uid="{00000000-0005-0000-0000-0000CB880000}"/>
    <cellStyle name="SAPBEXHLevel2 7 3" xfId="34934" xr:uid="{00000000-0005-0000-0000-0000CC880000}"/>
    <cellStyle name="SAPBEXHLevel2 7 4" xfId="34935" xr:uid="{00000000-0005-0000-0000-0000CD880000}"/>
    <cellStyle name="SAPBEXHLevel2 7 5" xfId="34936" xr:uid="{00000000-0005-0000-0000-0000CE880000}"/>
    <cellStyle name="SAPBEXHLevel2 7 6" xfId="34937" xr:uid="{00000000-0005-0000-0000-0000CF880000}"/>
    <cellStyle name="SAPBEXHLevel2 7 7" xfId="34938" xr:uid="{00000000-0005-0000-0000-0000D0880000}"/>
    <cellStyle name="SAPBEXHLevel2 7 8" xfId="34939" xr:uid="{00000000-0005-0000-0000-0000D1880000}"/>
    <cellStyle name="SAPBEXHLevel2 7 9" xfId="34940" xr:uid="{00000000-0005-0000-0000-0000D2880000}"/>
    <cellStyle name="SAPBEXHLevel2 8" xfId="34941" xr:uid="{00000000-0005-0000-0000-0000D3880000}"/>
    <cellStyle name="SAPBEXHLevel2 8 10" xfId="34942" xr:uid="{00000000-0005-0000-0000-0000D4880000}"/>
    <cellStyle name="SAPBEXHLevel2 8 11" xfId="34943" xr:uid="{00000000-0005-0000-0000-0000D5880000}"/>
    <cellStyle name="SAPBEXHLevel2 8 12" xfId="34944" xr:uid="{00000000-0005-0000-0000-0000D6880000}"/>
    <cellStyle name="SAPBEXHLevel2 8 13" xfId="34945" xr:uid="{00000000-0005-0000-0000-0000D7880000}"/>
    <cellStyle name="SAPBEXHLevel2 8 2" xfId="34946" xr:uid="{00000000-0005-0000-0000-0000D8880000}"/>
    <cellStyle name="SAPBEXHLevel2 8 3" xfId="34947" xr:uid="{00000000-0005-0000-0000-0000D9880000}"/>
    <cellStyle name="SAPBEXHLevel2 8 4" xfId="34948" xr:uid="{00000000-0005-0000-0000-0000DA880000}"/>
    <cellStyle name="SAPBEXHLevel2 8 5" xfId="34949" xr:uid="{00000000-0005-0000-0000-0000DB880000}"/>
    <cellStyle name="SAPBEXHLevel2 8 6" xfId="34950" xr:uid="{00000000-0005-0000-0000-0000DC880000}"/>
    <cellStyle name="SAPBEXHLevel2 8 7" xfId="34951" xr:uid="{00000000-0005-0000-0000-0000DD880000}"/>
    <cellStyle name="SAPBEXHLevel2 8 8" xfId="34952" xr:uid="{00000000-0005-0000-0000-0000DE880000}"/>
    <cellStyle name="SAPBEXHLevel2 8 9" xfId="34953" xr:uid="{00000000-0005-0000-0000-0000DF880000}"/>
    <cellStyle name="SAPBEXHLevel2 9" xfId="34954" xr:uid="{00000000-0005-0000-0000-0000E0880000}"/>
    <cellStyle name="SAPBEXHLevel2X" xfId="34955" xr:uid="{00000000-0005-0000-0000-0000E1880000}"/>
    <cellStyle name="SAPBEXHLevel2X 10" xfId="34956" xr:uid="{00000000-0005-0000-0000-0000E2880000}"/>
    <cellStyle name="SAPBEXHLevel2X 11" xfId="34957" xr:uid="{00000000-0005-0000-0000-0000E3880000}"/>
    <cellStyle name="SAPBEXHLevel2X 2" xfId="34958" xr:uid="{00000000-0005-0000-0000-0000E4880000}"/>
    <cellStyle name="SAPBEXHLevel2X 2 10" xfId="34959" xr:uid="{00000000-0005-0000-0000-0000E5880000}"/>
    <cellStyle name="SAPBEXHLevel2X 2 11" xfId="34960" xr:uid="{00000000-0005-0000-0000-0000E6880000}"/>
    <cellStyle name="SAPBEXHLevel2X 2 12" xfId="34961" xr:uid="{00000000-0005-0000-0000-0000E7880000}"/>
    <cellStyle name="SAPBEXHLevel2X 2 13" xfId="34962" xr:uid="{00000000-0005-0000-0000-0000E8880000}"/>
    <cellStyle name="SAPBEXHLevel2X 2 14" xfId="34963" xr:uid="{00000000-0005-0000-0000-0000E9880000}"/>
    <cellStyle name="SAPBEXHLevel2X 2 2" xfId="34964" xr:uid="{00000000-0005-0000-0000-0000EA880000}"/>
    <cellStyle name="SAPBEXHLevel2X 2 2 2" xfId="34965" xr:uid="{00000000-0005-0000-0000-0000EB880000}"/>
    <cellStyle name="SAPBEXHLevel2X 2 3" xfId="34966" xr:uid="{00000000-0005-0000-0000-0000EC880000}"/>
    <cellStyle name="SAPBEXHLevel2X 2 4" xfId="34967" xr:uid="{00000000-0005-0000-0000-0000ED880000}"/>
    <cellStyle name="SAPBEXHLevel2X 2 5" xfId="34968" xr:uid="{00000000-0005-0000-0000-0000EE880000}"/>
    <cellStyle name="SAPBEXHLevel2X 2 6" xfId="34969" xr:uid="{00000000-0005-0000-0000-0000EF880000}"/>
    <cellStyle name="SAPBEXHLevel2X 2 7" xfId="34970" xr:uid="{00000000-0005-0000-0000-0000F0880000}"/>
    <cellStyle name="SAPBEXHLevel2X 2 8" xfId="34971" xr:uid="{00000000-0005-0000-0000-0000F1880000}"/>
    <cellStyle name="SAPBEXHLevel2X 2 9" xfId="34972" xr:uid="{00000000-0005-0000-0000-0000F2880000}"/>
    <cellStyle name="SAPBEXHLevel2X 3" xfId="34973" xr:uid="{00000000-0005-0000-0000-0000F3880000}"/>
    <cellStyle name="SAPBEXHLevel2X 3 10" xfId="34974" xr:uid="{00000000-0005-0000-0000-0000F4880000}"/>
    <cellStyle name="SAPBEXHLevel2X 3 11" xfId="34975" xr:uid="{00000000-0005-0000-0000-0000F5880000}"/>
    <cellStyle name="SAPBEXHLevel2X 3 12" xfId="34976" xr:uid="{00000000-0005-0000-0000-0000F6880000}"/>
    <cellStyle name="SAPBEXHLevel2X 3 13" xfId="34977" xr:uid="{00000000-0005-0000-0000-0000F7880000}"/>
    <cellStyle name="SAPBEXHLevel2X 3 14" xfId="34978" xr:uid="{00000000-0005-0000-0000-0000F8880000}"/>
    <cellStyle name="SAPBEXHLevel2X 3 2" xfId="34979" xr:uid="{00000000-0005-0000-0000-0000F9880000}"/>
    <cellStyle name="SAPBEXHLevel2X 3 3" xfId="34980" xr:uid="{00000000-0005-0000-0000-0000FA880000}"/>
    <cellStyle name="SAPBEXHLevel2X 3 4" xfId="34981" xr:uid="{00000000-0005-0000-0000-0000FB880000}"/>
    <cellStyle name="SAPBEXHLevel2X 3 5" xfId="34982" xr:uid="{00000000-0005-0000-0000-0000FC880000}"/>
    <cellStyle name="SAPBEXHLevel2X 3 6" xfId="34983" xr:uid="{00000000-0005-0000-0000-0000FD880000}"/>
    <cellStyle name="SAPBEXHLevel2X 3 7" xfId="34984" xr:uid="{00000000-0005-0000-0000-0000FE880000}"/>
    <cellStyle name="SAPBEXHLevel2X 3 8" xfId="34985" xr:uid="{00000000-0005-0000-0000-0000FF880000}"/>
    <cellStyle name="SAPBEXHLevel2X 3 9" xfId="34986" xr:uid="{00000000-0005-0000-0000-000000890000}"/>
    <cellStyle name="SAPBEXHLevel2X 4" xfId="34987" xr:uid="{00000000-0005-0000-0000-000001890000}"/>
    <cellStyle name="SAPBEXHLevel2X 4 10" xfId="34988" xr:uid="{00000000-0005-0000-0000-000002890000}"/>
    <cellStyle name="SAPBEXHLevel2X 4 11" xfId="34989" xr:uid="{00000000-0005-0000-0000-000003890000}"/>
    <cellStyle name="SAPBEXHLevel2X 4 12" xfId="34990" xr:uid="{00000000-0005-0000-0000-000004890000}"/>
    <cellStyle name="SAPBEXHLevel2X 4 13" xfId="34991" xr:uid="{00000000-0005-0000-0000-000005890000}"/>
    <cellStyle name="SAPBEXHLevel2X 4 14" xfId="34992" xr:uid="{00000000-0005-0000-0000-000006890000}"/>
    <cellStyle name="SAPBEXHLevel2X 4 2" xfId="34993" xr:uid="{00000000-0005-0000-0000-000007890000}"/>
    <cellStyle name="SAPBEXHLevel2X 4 3" xfId="34994" xr:uid="{00000000-0005-0000-0000-000008890000}"/>
    <cellStyle name="SAPBEXHLevel2X 4 4" xfId="34995" xr:uid="{00000000-0005-0000-0000-000009890000}"/>
    <cellStyle name="SAPBEXHLevel2X 4 5" xfId="34996" xr:uid="{00000000-0005-0000-0000-00000A890000}"/>
    <cellStyle name="SAPBEXHLevel2X 4 6" xfId="34997" xr:uid="{00000000-0005-0000-0000-00000B890000}"/>
    <cellStyle name="SAPBEXHLevel2X 4 7" xfId="34998" xr:uid="{00000000-0005-0000-0000-00000C890000}"/>
    <cellStyle name="SAPBEXHLevel2X 4 8" xfId="34999" xr:uid="{00000000-0005-0000-0000-00000D890000}"/>
    <cellStyle name="SAPBEXHLevel2X 4 9" xfId="35000" xr:uid="{00000000-0005-0000-0000-00000E890000}"/>
    <cellStyle name="SAPBEXHLevel2X 5" xfId="35001" xr:uid="{00000000-0005-0000-0000-00000F890000}"/>
    <cellStyle name="SAPBEXHLevel2X 5 10" xfId="35002" xr:uid="{00000000-0005-0000-0000-000010890000}"/>
    <cellStyle name="SAPBEXHLevel2X 5 11" xfId="35003" xr:uid="{00000000-0005-0000-0000-000011890000}"/>
    <cellStyle name="SAPBEXHLevel2X 5 12" xfId="35004" xr:uid="{00000000-0005-0000-0000-000012890000}"/>
    <cellStyle name="SAPBEXHLevel2X 5 13" xfId="35005" xr:uid="{00000000-0005-0000-0000-000013890000}"/>
    <cellStyle name="SAPBEXHLevel2X 5 14" xfId="35006" xr:uid="{00000000-0005-0000-0000-000014890000}"/>
    <cellStyle name="SAPBEXHLevel2X 5 2" xfId="35007" xr:uid="{00000000-0005-0000-0000-000015890000}"/>
    <cellStyle name="SAPBEXHLevel2X 5 3" xfId="35008" xr:uid="{00000000-0005-0000-0000-000016890000}"/>
    <cellStyle name="SAPBEXHLevel2X 5 4" xfId="35009" xr:uid="{00000000-0005-0000-0000-000017890000}"/>
    <cellStyle name="SAPBEXHLevel2X 5 5" xfId="35010" xr:uid="{00000000-0005-0000-0000-000018890000}"/>
    <cellStyle name="SAPBEXHLevel2X 5 6" xfId="35011" xr:uid="{00000000-0005-0000-0000-000019890000}"/>
    <cellStyle name="SAPBEXHLevel2X 5 7" xfId="35012" xr:uid="{00000000-0005-0000-0000-00001A890000}"/>
    <cellStyle name="SAPBEXHLevel2X 5 8" xfId="35013" xr:uid="{00000000-0005-0000-0000-00001B890000}"/>
    <cellStyle name="SAPBEXHLevel2X 5 9" xfId="35014" xr:uid="{00000000-0005-0000-0000-00001C890000}"/>
    <cellStyle name="SAPBEXHLevel2X 6" xfId="35015" xr:uid="{00000000-0005-0000-0000-00001D890000}"/>
    <cellStyle name="SAPBEXHLevel2X 6 10" xfId="35016" xr:uid="{00000000-0005-0000-0000-00001E890000}"/>
    <cellStyle name="SAPBEXHLevel2X 6 11" xfId="35017" xr:uid="{00000000-0005-0000-0000-00001F890000}"/>
    <cellStyle name="SAPBEXHLevel2X 6 12" xfId="35018" xr:uid="{00000000-0005-0000-0000-000020890000}"/>
    <cellStyle name="SAPBEXHLevel2X 6 13" xfId="35019" xr:uid="{00000000-0005-0000-0000-000021890000}"/>
    <cellStyle name="SAPBEXHLevel2X 6 2" xfId="35020" xr:uid="{00000000-0005-0000-0000-000022890000}"/>
    <cellStyle name="SAPBEXHLevel2X 6 3" xfId="35021" xr:uid="{00000000-0005-0000-0000-000023890000}"/>
    <cellStyle name="SAPBEXHLevel2X 6 4" xfId="35022" xr:uid="{00000000-0005-0000-0000-000024890000}"/>
    <cellStyle name="SAPBEXHLevel2X 6 5" xfId="35023" xr:uid="{00000000-0005-0000-0000-000025890000}"/>
    <cellStyle name="SAPBEXHLevel2X 6 6" xfId="35024" xr:uid="{00000000-0005-0000-0000-000026890000}"/>
    <cellStyle name="SAPBEXHLevel2X 6 7" xfId="35025" xr:uid="{00000000-0005-0000-0000-000027890000}"/>
    <cellStyle name="SAPBEXHLevel2X 6 8" xfId="35026" xr:uid="{00000000-0005-0000-0000-000028890000}"/>
    <cellStyle name="SAPBEXHLevel2X 6 9" xfId="35027" xr:uid="{00000000-0005-0000-0000-000029890000}"/>
    <cellStyle name="SAPBEXHLevel2X 7" xfId="35028" xr:uid="{00000000-0005-0000-0000-00002A890000}"/>
    <cellStyle name="SAPBEXHLevel2X 7 10" xfId="35029" xr:uid="{00000000-0005-0000-0000-00002B890000}"/>
    <cellStyle name="SAPBEXHLevel2X 7 11" xfId="35030" xr:uid="{00000000-0005-0000-0000-00002C890000}"/>
    <cellStyle name="SAPBEXHLevel2X 7 12" xfId="35031" xr:uid="{00000000-0005-0000-0000-00002D890000}"/>
    <cellStyle name="SAPBEXHLevel2X 7 13" xfId="35032" xr:uid="{00000000-0005-0000-0000-00002E890000}"/>
    <cellStyle name="SAPBEXHLevel2X 7 2" xfId="35033" xr:uid="{00000000-0005-0000-0000-00002F890000}"/>
    <cellStyle name="SAPBEXHLevel2X 7 3" xfId="35034" xr:uid="{00000000-0005-0000-0000-000030890000}"/>
    <cellStyle name="SAPBEXHLevel2X 7 4" xfId="35035" xr:uid="{00000000-0005-0000-0000-000031890000}"/>
    <cellStyle name="SAPBEXHLevel2X 7 5" xfId="35036" xr:uid="{00000000-0005-0000-0000-000032890000}"/>
    <cellStyle name="SAPBEXHLevel2X 7 6" xfId="35037" xr:uid="{00000000-0005-0000-0000-000033890000}"/>
    <cellStyle name="SAPBEXHLevel2X 7 7" xfId="35038" xr:uid="{00000000-0005-0000-0000-000034890000}"/>
    <cellStyle name="SAPBEXHLevel2X 7 8" xfId="35039" xr:uid="{00000000-0005-0000-0000-000035890000}"/>
    <cellStyle name="SAPBEXHLevel2X 7 9" xfId="35040" xr:uid="{00000000-0005-0000-0000-000036890000}"/>
    <cellStyle name="SAPBEXHLevel2X 8" xfId="35041" xr:uid="{00000000-0005-0000-0000-000037890000}"/>
    <cellStyle name="SAPBEXHLevel2X 8 10" xfId="35042" xr:uid="{00000000-0005-0000-0000-000038890000}"/>
    <cellStyle name="SAPBEXHLevel2X 8 11" xfId="35043" xr:uid="{00000000-0005-0000-0000-000039890000}"/>
    <cellStyle name="SAPBEXHLevel2X 8 12" xfId="35044" xr:uid="{00000000-0005-0000-0000-00003A890000}"/>
    <cellStyle name="SAPBEXHLevel2X 8 13" xfId="35045" xr:uid="{00000000-0005-0000-0000-00003B890000}"/>
    <cellStyle name="SAPBEXHLevel2X 8 2" xfId="35046" xr:uid="{00000000-0005-0000-0000-00003C890000}"/>
    <cellStyle name="SAPBEXHLevel2X 8 3" xfId="35047" xr:uid="{00000000-0005-0000-0000-00003D890000}"/>
    <cellStyle name="SAPBEXHLevel2X 8 4" xfId="35048" xr:uid="{00000000-0005-0000-0000-00003E890000}"/>
    <cellStyle name="SAPBEXHLevel2X 8 5" xfId="35049" xr:uid="{00000000-0005-0000-0000-00003F890000}"/>
    <cellStyle name="SAPBEXHLevel2X 8 6" xfId="35050" xr:uid="{00000000-0005-0000-0000-000040890000}"/>
    <cellStyle name="SAPBEXHLevel2X 8 7" xfId="35051" xr:uid="{00000000-0005-0000-0000-000041890000}"/>
    <cellStyle name="SAPBEXHLevel2X 8 8" xfId="35052" xr:uid="{00000000-0005-0000-0000-000042890000}"/>
    <cellStyle name="SAPBEXHLevel2X 8 9" xfId="35053" xr:uid="{00000000-0005-0000-0000-000043890000}"/>
    <cellStyle name="SAPBEXHLevel2X 9" xfId="35054" xr:uid="{00000000-0005-0000-0000-000044890000}"/>
    <cellStyle name="SAPBEXHLevel3" xfId="35055" xr:uid="{00000000-0005-0000-0000-000045890000}"/>
    <cellStyle name="SAPBEXHLevel3 2" xfId="35056" xr:uid="{00000000-0005-0000-0000-000046890000}"/>
    <cellStyle name="SAPBEXHLevel3 2 10" xfId="35057" xr:uid="{00000000-0005-0000-0000-000047890000}"/>
    <cellStyle name="SAPBEXHLevel3 2 11" xfId="35058" xr:uid="{00000000-0005-0000-0000-000048890000}"/>
    <cellStyle name="SAPBEXHLevel3 2 12" xfId="35059" xr:uid="{00000000-0005-0000-0000-000049890000}"/>
    <cellStyle name="SAPBEXHLevel3 2 13" xfId="35060" xr:uid="{00000000-0005-0000-0000-00004A890000}"/>
    <cellStyle name="SAPBEXHLevel3 2 14" xfId="35061" xr:uid="{00000000-0005-0000-0000-00004B890000}"/>
    <cellStyle name="SAPBEXHLevel3 2 2" xfId="35062" xr:uid="{00000000-0005-0000-0000-00004C890000}"/>
    <cellStyle name="SAPBEXHLevel3 2 3" xfId="35063" xr:uid="{00000000-0005-0000-0000-00004D890000}"/>
    <cellStyle name="SAPBEXHLevel3 2 4" xfId="35064" xr:uid="{00000000-0005-0000-0000-00004E890000}"/>
    <cellStyle name="SAPBEXHLevel3 2 5" xfId="35065" xr:uid="{00000000-0005-0000-0000-00004F890000}"/>
    <cellStyle name="SAPBEXHLevel3 2 6" xfId="35066" xr:uid="{00000000-0005-0000-0000-000050890000}"/>
    <cellStyle name="SAPBEXHLevel3 2 7" xfId="35067" xr:uid="{00000000-0005-0000-0000-000051890000}"/>
    <cellStyle name="SAPBEXHLevel3 2 8" xfId="35068" xr:uid="{00000000-0005-0000-0000-000052890000}"/>
    <cellStyle name="SAPBEXHLevel3 2 9" xfId="35069" xr:uid="{00000000-0005-0000-0000-000053890000}"/>
    <cellStyle name="SAPBEXHLevel3 3" xfId="35070" xr:uid="{00000000-0005-0000-0000-000054890000}"/>
    <cellStyle name="SAPBEXHLevel3 3 10" xfId="35071" xr:uid="{00000000-0005-0000-0000-000055890000}"/>
    <cellStyle name="SAPBEXHLevel3 3 11" xfId="35072" xr:uid="{00000000-0005-0000-0000-000056890000}"/>
    <cellStyle name="SAPBEXHLevel3 3 12" xfId="35073" xr:uid="{00000000-0005-0000-0000-000057890000}"/>
    <cellStyle name="SAPBEXHLevel3 3 13" xfId="35074" xr:uid="{00000000-0005-0000-0000-000058890000}"/>
    <cellStyle name="SAPBEXHLevel3 3 2" xfId="35075" xr:uid="{00000000-0005-0000-0000-000059890000}"/>
    <cellStyle name="SAPBEXHLevel3 3 3" xfId="35076" xr:uid="{00000000-0005-0000-0000-00005A890000}"/>
    <cellStyle name="SAPBEXHLevel3 3 4" xfId="35077" xr:uid="{00000000-0005-0000-0000-00005B890000}"/>
    <cellStyle name="SAPBEXHLevel3 3 5" xfId="35078" xr:uid="{00000000-0005-0000-0000-00005C890000}"/>
    <cellStyle name="SAPBEXHLevel3 3 6" xfId="35079" xr:uid="{00000000-0005-0000-0000-00005D890000}"/>
    <cellStyle name="SAPBEXHLevel3 3 7" xfId="35080" xr:uid="{00000000-0005-0000-0000-00005E890000}"/>
    <cellStyle name="SAPBEXHLevel3 3 8" xfId="35081" xr:uid="{00000000-0005-0000-0000-00005F890000}"/>
    <cellStyle name="SAPBEXHLevel3 3 9" xfId="35082" xr:uid="{00000000-0005-0000-0000-000060890000}"/>
    <cellStyle name="SAPBEXHLevel3 4" xfId="35083" xr:uid="{00000000-0005-0000-0000-000061890000}"/>
    <cellStyle name="SAPBEXHLevel3 4 10" xfId="35084" xr:uid="{00000000-0005-0000-0000-000062890000}"/>
    <cellStyle name="SAPBEXHLevel3 4 11" xfId="35085" xr:uid="{00000000-0005-0000-0000-000063890000}"/>
    <cellStyle name="SAPBEXHLevel3 4 12" xfId="35086" xr:uid="{00000000-0005-0000-0000-000064890000}"/>
    <cellStyle name="SAPBEXHLevel3 4 13" xfId="35087" xr:uid="{00000000-0005-0000-0000-000065890000}"/>
    <cellStyle name="SAPBEXHLevel3 4 2" xfId="35088" xr:uid="{00000000-0005-0000-0000-000066890000}"/>
    <cellStyle name="SAPBEXHLevel3 4 3" xfId="35089" xr:uid="{00000000-0005-0000-0000-000067890000}"/>
    <cellStyle name="SAPBEXHLevel3 4 4" xfId="35090" xr:uid="{00000000-0005-0000-0000-000068890000}"/>
    <cellStyle name="SAPBEXHLevel3 4 5" xfId="35091" xr:uid="{00000000-0005-0000-0000-000069890000}"/>
    <cellStyle name="SAPBEXHLevel3 4 6" xfId="35092" xr:uid="{00000000-0005-0000-0000-00006A890000}"/>
    <cellStyle name="SAPBEXHLevel3 4 7" xfId="35093" xr:uid="{00000000-0005-0000-0000-00006B890000}"/>
    <cellStyle name="SAPBEXHLevel3 4 8" xfId="35094" xr:uid="{00000000-0005-0000-0000-00006C890000}"/>
    <cellStyle name="SAPBEXHLevel3 4 9" xfId="35095" xr:uid="{00000000-0005-0000-0000-00006D890000}"/>
    <cellStyle name="SAPBEXHLevel3 5" xfId="35096" xr:uid="{00000000-0005-0000-0000-00006E890000}"/>
    <cellStyle name="SAPBEXHLevel3 5 10" xfId="35097" xr:uid="{00000000-0005-0000-0000-00006F890000}"/>
    <cellStyle name="SAPBEXHLevel3 5 11" xfId="35098" xr:uid="{00000000-0005-0000-0000-000070890000}"/>
    <cellStyle name="SAPBEXHLevel3 5 12" xfId="35099" xr:uid="{00000000-0005-0000-0000-000071890000}"/>
    <cellStyle name="SAPBEXHLevel3 5 13" xfId="35100" xr:uid="{00000000-0005-0000-0000-000072890000}"/>
    <cellStyle name="SAPBEXHLevel3 5 2" xfId="35101" xr:uid="{00000000-0005-0000-0000-000073890000}"/>
    <cellStyle name="SAPBEXHLevel3 5 3" xfId="35102" xr:uid="{00000000-0005-0000-0000-000074890000}"/>
    <cellStyle name="SAPBEXHLevel3 5 4" xfId="35103" xr:uid="{00000000-0005-0000-0000-000075890000}"/>
    <cellStyle name="SAPBEXHLevel3 5 5" xfId="35104" xr:uid="{00000000-0005-0000-0000-000076890000}"/>
    <cellStyle name="SAPBEXHLevel3 5 6" xfId="35105" xr:uid="{00000000-0005-0000-0000-000077890000}"/>
    <cellStyle name="SAPBEXHLevel3 5 7" xfId="35106" xr:uid="{00000000-0005-0000-0000-000078890000}"/>
    <cellStyle name="SAPBEXHLevel3 5 8" xfId="35107" xr:uid="{00000000-0005-0000-0000-000079890000}"/>
    <cellStyle name="SAPBEXHLevel3 5 9" xfId="35108" xr:uid="{00000000-0005-0000-0000-00007A890000}"/>
    <cellStyle name="SAPBEXHLevel3 6" xfId="35109" xr:uid="{00000000-0005-0000-0000-00007B890000}"/>
    <cellStyle name="SAPBEXHLevel3 6 10" xfId="35110" xr:uid="{00000000-0005-0000-0000-00007C890000}"/>
    <cellStyle name="SAPBEXHLevel3 6 11" xfId="35111" xr:uid="{00000000-0005-0000-0000-00007D890000}"/>
    <cellStyle name="SAPBEXHLevel3 6 12" xfId="35112" xr:uid="{00000000-0005-0000-0000-00007E890000}"/>
    <cellStyle name="SAPBEXHLevel3 6 13" xfId="35113" xr:uid="{00000000-0005-0000-0000-00007F890000}"/>
    <cellStyle name="SAPBEXHLevel3 6 2" xfId="35114" xr:uid="{00000000-0005-0000-0000-000080890000}"/>
    <cellStyle name="SAPBEXHLevel3 6 3" xfId="35115" xr:uid="{00000000-0005-0000-0000-000081890000}"/>
    <cellStyle name="SAPBEXHLevel3 6 4" xfId="35116" xr:uid="{00000000-0005-0000-0000-000082890000}"/>
    <cellStyle name="SAPBEXHLevel3 6 5" xfId="35117" xr:uid="{00000000-0005-0000-0000-000083890000}"/>
    <cellStyle name="SAPBEXHLevel3 6 6" xfId="35118" xr:uid="{00000000-0005-0000-0000-000084890000}"/>
    <cellStyle name="SAPBEXHLevel3 6 7" xfId="35119" xr:uid="{00000000-0005-0000-0000-000085890000}"/>
    <cellStyle name="SAPBEXHLevel3 6 8" xfId="35120" xr:uid="{00000000-0005-0000-0000-000086890000}"/>
    <cellStyle name="SAPBEXHLevel3 6 9" xfId="35121" xr:uid="{00000000-0005-0000-0000-000087890000}"/>
    <cellStyle name="SAPBEXHLevel3 7" xfId="35122" xr:uid="{00000000-0005-0000-0000-000088890000}"/>
    <cellStyle name="SAPBEXHLevel3 7 10" xfId="35123" xr:uid="{00000000-0005-0000-0000-000089890000}"/>
    <cellStyle name="SAPBEXHLevel3 7 11" xfId="35124" xr:uid="{00000000-0005-0000-0000-00008A890000}"/>
    <cellStyle name="SAPBEXHLevel3 7 12" xfId="35125" xr:uid="{00000000-0005-0000-0000-00008B890000}"/>
    <cellStyle name="SAPBEXHLevel3 7 13" xfId="35126" xr:uid="{00000000-0005-0000-0000-00008C890000}"/>
    <cellStyle name="SAPBEXHLevel3 7 2" xfId="35127" xr:uid="{00000000-0005-0000-0000-00008D890000}"/>
    <cellStyle name="SAPBEXHLevel3 7 3" xfId="35128" xr:uid="{00000000-0005-0000-0000-00008E890000}"/>
    <cellStyle name="SAPBEXHLevel3 7 4" xfId="35129" xr:uid="{00000000-0005-0000-0000-00008F890000}"/>
    <cellStyle name="SAPBEXHLevel3 7 5" xfId="35130" xr:uid="{00000000-0005-0000-0000-000090890000}"/>
    <cellStyle name="SAPBEXHLevel3 7 6" xfId="35131" xr:uid="{00000000-0005-0000-0000-000091890000}"/>
    <cellStyle name="SAPBEXHLevel3 7 7" xfId="35132" xr:uid="{00000000-0005-0000-0000-000092890000}"/>
    <cellStyle name="SAPBEXHLevel3 7 8" xfId="35133" xr:uid="{00000000-0005-0000-0000-000093890000}"/>
    <cellStyle name="SAPBEXHLevel3 7 9" xfId="35134" xr:uid="{00000000-0005-0000-0000-000094890000}"/>
    <cellStyle name="SAPBEXHLevel3 8" xfId="35135" xr:uid="{00000000-0005-0000-0000-000095890000}"/>
    <cellStyle name="SAPBEXHLevel3 8 10" xfId="35136" xr:uid="{00000000-0005-0000-0000-000096890000}"/>
    <cellStyle name="SAPBEXHLevel3 8 11" xfId="35137" xr:uid="{00000000-0005-0000-0000-000097890000}"/>
    <cellStyle name="SAPBEXHLevel3 8 12" xfId="35138" xr:uid="{00000000-0005-0000-0000-000098890000}"/>
    <cellStyle name="SAPBEXHLevel3 8 13" xfId="35139" xr:uid="{00000000-0005-0000-0000-000099890000}"/>
    <cellStyle name="SAPBEXHLevel3 8 2" xfId="35140" xr:uid="{00000000-0005-0000-0000-00009A890000}"/>
    <cellStyle name="SAPBEXHLevel3 8 3" xfId="35141" xr:uid="{00000000-0005-0000-0000-00009B890000}"/>
    <cellStyle name="SAPBEXHLevel3 8 4" xfId="35142" xr:uid="{00000000-0005-0000-0000-00009C890000}"/>
    <cellStyle name="SAPBEXHLevel3 8 5" xfId="35143" xr:uid="{00000000-0005-0000-0000-00009D890000}"/>
    <cellStyle name="SAPBEXHLevel3 8 6" xfId="35144" xr:uid="{00000000-0005-0000-0000-00009E890000}"/>
    <cellStyle name="SAPBEXHLevel3 8 7" xfId="35145" xr:uid="{00000000-0005-0000-0000-00009F890000}"/>
    <cellStyle name="SAPBEXHLevel3 8 8" xfId="35146" xr:uid="{00000000-0005-0000-0000-0000A0890000}"/>
    <cellStyle name="SAPBEXHLevel3 8 9" xfId="35147" xr:uid="{00000000-0005-0000-0000-0000A1890000}"/>
    <cellStyle name="SAPBEXHLevel3 9" xfId="35148" xr:uid="{00000000-0005-0000-0000-0000A2890000}"/>
    <cellStyle name="SAPBEXHLevel3X" xfId="35149" xr:uid="{00000000-0005-0000-0000-0000A3890000}"/>
    <cellStyle name="SAPBEXHLevel3X 10" xfId="35150" xr:uid="{00000000-0005-0000-0000-0000A4890000}"/>
    <cellStyle name="SAPBEXHLevel3X 11" xfId="35151" xr:uid="{00000000-0005-0000-0000-0000A5890000}"/>
    <cellStyle name="SAPBEXHLevel3X 2" xfId="35152" xr:uid="{00000000-0005-0000-0000-0000A6890000}"/>
    <cellStyle name="SAPBEXHLevel3X 2 10" xfId="35153" xr:uid="{00000000-0005-0000-0000-0000A7890000}"/>
    <cellStyle name="SAPBEXHLevel3X 2 11" xfId="35154" xr:uid="{00000000-0005-0000-0000-0000A8890000}"/>
    <cellStyle name="SAPBEXHLevel3X 2 12" xfId="35155" xr:uid="{00000000-0005-0000-0000-0000A9890000}"/>
    <cellStyle name="SAPBEXHLevel3X 2 13" xfId="35156" xr:uid="{00000000-0005-0000-0000-0000AA890000}"/>
    <cellStyle name="SAPBEXHLevel3X 2 14" xfId="35157" xr:uid="{00000000-0005-0000-0000-0000AB890000}"/>
    <cellStyle name="SAPBEXHLevel3X 2 2" xfId="35158" xr:uid="{00000000-0005-0000-0000-0000AC890000}"/>
    <cellStyle name="SAPBEXHLevel3X 2 2 2" xfId="35159" xr:uid="{00000000-0005-0000-0000-0000AD890000}"/>
    <cellStyle name="SAPBEXHLevel3X 2 3" xfId="35160" xr:uid="{00000000-0005-0000-0000-0000AE890000}"/>
    <cellStyle name="SAPBEXHLevel3X 2 4" xfId="35161" xr:uid="{00000000-0005-0000-0000-0000AF890000}"/>
    <cellStyle name="SAPBEXHLevel3X 2 5" xfId="35162" xr:uid="{00000000-0005-0000-0000-0000B0890000}"/>
    <cellStyle name="SAPBEXHLevel3X 2 6" xfId="35163" xr:uid="{00000000-0005-0000-0000-0000B1890000}"/>
    <cellStyle name="SAPBEXHLevel3X 2 7" xfId="35164" xr:uid="{00000000-0005-0000-0000-0000B2890000}"/>
    <cellStyle name="SAPBEXHLevel3X 2 8" xfId="35165" xr:uid="{00000000-0005-0000-0000-0000B3890000}"/>
    <cellStyle name="SAPBEXHLevel3X 2 9" xfId="35166" xr:uid="{00000000-0005-0000-0000-0000B4890000}"/>
    <cellStyle name="SAPBEXHLevel3X 3" xfId="35167" xr:uid="{00000000-0005-0000-0000-0000B5890000}"/>
    <cellStyle name="SAPBEXHLevel3X 3 10" xfId="35168" xr:uid="{00000000-0005-0000-0000-0000B6890000}"/>
    <cellStyle name="SAPBEXHLevel3X 3 11" xfId="35169" xr:uid="{00000000-0005-0000-0000-0000B7890000}"/>
    <cellStyle name="SAPBEXHLevel3X 3 12" xfId="35170" xr:uid="{00000000-0005-0000-0000-0000B8890000}"/>
    <cellStyle name="SAPBEXHLevel3X 3 13" xfId="35171" xr:uid="{00000000-0005-0000-0000-0000B9890000}"/>
    <cellStyle name="SAPBEXHLevel3X 3 14" xfId="35172" xr:uid="{00000000-0005-0000-0000-0000BA890000}"/>
    <cellStyle name="SAPBEXHLevel3X 3 2" xfId="35173" xr:uid="{00000000-0005-0000-0000-0000BB890000}"/>
    <cellStyle name="SAPBEXHLevel3X 3 3" xfId="35174" xr:uid="{00000000-0005-0000-0000-0000BC890000}"/>
    <cellStyle name="SAPBEXHLevel3X 3 4" xfId="35175" xr:uid="{00000000-0005-0000-0000-0000BD890000}"/>
    <cellStyle name="SAPBEXHLevel3X 3 5" xfId="35176" xr:uid="{00000000-0005-0000-0000-0000BE890000}"/>
    <cellStyle name="SAPBEXHLevel3X 3 6" xfId="35177" xr:uid="{00000000-0005-0000-0000-0000BF890000}"/>
    <cellStyle name="SAPBEXHLevel3X 3 7" xfId="35178" xr:uid="{00000000-0005-0000-0000-0000C0890000}"/>
    <cellStyle name="SAPBEXHLevel3X 3 8" xfId="35179" xr:uid="{00000000-0005-0000-0000-0000C1890000}"/>
    <cellStyle name="SAPBEXHLevel3X 3 9" xfId="35180" xr:uid="{00000000-0005-0000-0000-0000C2890000}"/>
    <cellStyle name="SAPBEXHLevel3X 4" xfId="35181" xr:uid="{00000000-0005-0000-0000-0000C3890000}"/>
    <cellStyle name="SAPBEXHLevel3X 4 10" xfId="35182" xr:uid="{00000000-0005-0000-0000-0000C4890000}"/>
    <cellStyle name="SAPBEXHLevel3X 4 11" xfId="35183" xr:uid="{00000000-0005-0000-0000-0000C5890000}"/>
    <cellStyle name="SAPBEXHLevel3X 4 12" xfId="35184" xr:uid="{00000000-0005-0000-0000-0000C6890000}"/>
    <cellStyle name="SAPBEXHLevel3X 4 13" xfId="35185" xr:uid="{00000000-0005-0000-0000-0000C7890000}"/>
    <cellStyle name="SAPBEXHLevel3X 4 14" xfId="35186" xr:uid="{00000000-0005-0000-0000-0000C8890000}"/>
    <cellStyle name="SAPBEXHLevel3X 4 2" xfId="35187" xr:uid="{00000000-0005-0000-0000-0000C9890000}"/>
    <cellStyle name="SAPBEXHLevel3X 4 3" xfId="35188" xr:uid="{00000000-0005-0000-0000-0000CA890000}"/>
    <cellStyle name="SAPBEXHLevel3X 4 4" xfId="35189" xr:uid="{00000000-0005-0000-0000-0000CB890000}"/>
    <cellStyle name="SAPBEXHLevel3X 4 5" xfId="35190" xr:uid="{00000000-0005-0000-0000-0000CC890000}"/>
    <cellStyle name="SAPBEXHLevel3X 4 6" xfId="35191" xr:uid="{00000000-0005-0000-0000-0000CD890000}"/>
    <cellStyle name="SAPBEXHLevel3X 4 7" xfId="35192" xr:uid="{00000000-0005-0000-0000-0000CE890000}"/>
    <cellStyle name="SAPBEXHLevel3X 4 8" xfId="35193" xr:uid="{00000000-0005-0000-0000-0000CF890000}"/>
    <cellStyle name="SAPBEXHLevel3X 4 9" xfId="35194" xr:uid="{00000000-0005-0000-0000-0000D0890000}"/>
    <cellStyle name="SAPBEXHLevel3X 5" xfId="35195" xr:uid="{00000000-0005-0000-0000-0000D1890000}"/>
    <cellStyle name="SAPBEXHLevel3X 5 10" xfId="35196" xr:uid="{00000000-0005-0000-0000-0000D2890000}"/>
    <cellStyle name="SAPBEXHLevel3X 5 11" xfId="35197" xr:uid="{00000000-0005-0000-0000-0000D3890000}"/>
    <cellStyle name="SAPBEXHLevel3X 5 12" xfId="35198" xr:uid="{00000000-0005-0000-0000-0000D4890000}"/>
    <cellStyle name="SAPBEXHLevel3X 5 13" xfId="35199" xr:uid="{00000000-0005-0000-0000-0000D5890000}"/>
    <cellStyle name="SAPBEXHLevel3X 5 14" xfId="35200" xr:uid="{00000000-0005-0000-0000-0000D6890000}"/>
    <cellStyle name="SAPBEXHLevel3X 5 2" xfId="35201" xr:uid="{00000000-0005-0000-0000-0000D7890000}"/>
    <cellStyle name="SAPBEXHLevel3X 5 3" xfId="35202" xr:uid="{00000000-0005-0000-0000-0000D8890000}"/>
    <cellStyle name="SAPBEXHLevel3X 5 4" xfId="35203" xr:uid="{00000000-0005-0000-0000-0000D9890000}"/>
    <cellStyle name="SAPBEXHLevel3X 5 5" xfId="35204" xr:uid="{00000000-0005-0000-0000-0000DA890000}"/>
    <cellStyle name="SAPBEXHLevel3X 5 6" xfId="35205" xr:uid="{00000000-0005-0000-0000-0000DB890000}"/>
    <cellStyle name="SAPBEXHLevel3X 5 7" xfId="35206" xr:uid="{00000000-0005-0000-0000-0000DC890000}"/>
    <cellStyle name="SAPBEXHLevel3X 5 8" xfId="35207" xr:uid="{00000000-0005-0000-0000-0000DD890000}"/>
    <cellStyle name="SAPBEXHLevel3X 5 9" xfId="35208" xr:uid="{00000000-0005-0000-0000-0000DE890000}"/>
    <cellStyle name="SAPBEXHLevel3X 6" xfId="35209" xr:uid="{00000000-0005-0000-0000-0000DF890000}"/>
    <cellStyle name="SAPBEXHLevel3X 6 10" xfId="35210" xr:uid="{00000000-0005-0000-0000-0000E0890000}"/>
    <cellStyle name="SAPBEXHLevel3X 6 11" xfId="35211" xr:uid="{00000000-0005-0000-0000-0000E1890000}"/>
    <cellStyle name="SAPBEXHLevel3X 6 12" xfId="35212" xr:uid="{00000000-0005-0000-0000-0000E2890000}"/>
    <cellStyle name="SAPBEXHLevel3X 6 13" xfId="35213" xr:uid="{00000000-0005-0000-0000-0000E3890000}"/>
    <cellStyle name="SAPBEXHLevel3X 6 2" xfId="35214" xr:uid="{00000000-0005-0000-0000-0000E4890000}"/>
    <cellStyle name="SAPBEXHLevel3X 6 3" xfId="35215" xr:uid="{00000000-0005-0000-0000-0000E5890000}"/>
    <cellStyle name="SAPBEXHLevel3X 6 4" xfId="35216" xr:uid="{00000000-0005-0000-0000-0000E6890000}"/>
    <cellStyle name="SAPBEXHLevel3X 6 5" xfId="35217" xr:uid="{00000000-0005-0000-0000-0000E7890000}"/>
    <cellStyle name="SAPBEXHLevel3X 6 6" xfId="35218" xr:uid="{00000000-0005-0000-0000-0000E8890000}"/>
    <cellStyle name="SAPBEXHLevel3X 6 7" xfId="35219" xr:uid="{00000000-0005-0000-0000-0000E9890000}"/>
    <cellStyle name="SAPBEXHLevel3X 6 8" xfId="35220" xr:uid="{00000000-0005-0000-0000-0000EA890000}"/>
    <cellStyle name="SAPBEXHLevel3X 6 9" xfId="35221" xr:uid="{00000000-0005-0000-0000-0000EB890000}"/>
    <cellStyle name="SAPBEXHLevel3X 7" xfId="35222" xr:uid="{00000000-0005-0000-0000-0000EC890000}"/>
    <cellStyle name="SAPBEXHLevel3X 7 10" xfId="35223" xr:uid="{00000000-0005-0000-0000-0000ED890000}"/>
    <cellStyle name="SAPBEXHLevel3X 7 11" xfId="35224" xr:uid="{00000000-0005-0000-0000-0000EE890000}"/>
    <cellStyle name="SAPBEXHLevel3X 7 12" xfId="35225" xr:uid="{00000000-0005-0000-0000-0000EF890000}"/>
    <cellStyle name="SAPBEXHLevel3X 7 13" xfId="35226" xr:uid="{00000000-0005-0000-0000-0000F0890000}"/>
    <cellStyle name="SAPBEXHLevel3X 7 2" xfId="35227" xr:uid="{00000000-0005-0000-0000-0000F1890000}"/>
    <cellStyle name="SAPBEXHLevel3X 7 3" xfId="35228" xr:uid="{00000000-0005-0000-0000-0000F2890000}"/>
    <cellStyle name="SAPBEXHLevel3X 7 4" xfId="35229" xr:uid="{00000000-0005-0000-0000-0000F3890000}"/>
    <cellStyle name="SAPBEXHLevel3X 7 5" xfId="35230" xr:uid="{00000000-0005-0000-0000-0000F4890000}"/>
    <cellStyle name="SAPBEXHLevel3X 7 6" xfId="35231" xr:uid="{00000000-0005-0000-0000-0000F5890000}"/>
    <cellStyle name="SAPBEXHLevel3X 7 7" xfId="35232" xr:uid="{00000000-0005-0000-0000-0000F6890000}"/>
    <cellStyle name="SAPBEXHLevel3X 7 8" xfId="35233" xr:uid="{00000000-0005-0000-0000-0000F7890000}"/>
    <cellStyle name="SAPBEXHLevel3X 7 9" xfId="35234" xr:uid="{00000000-0005-0000-0000-0000F8890000}"/>
    <cellStyle name="SAPBEXHLevel3X 8" xfId="35235" xr:uid="{00000000-0005-0000-0000-0000F9890000}"/>
    <cellStyle name="SAPBEXHLevel3X 8 10" xfId="35236" xr:uid="{00000000-0005-0000-0000-0000FA890000}"/>
    <cellStyle name="SAPBEXHLevel3X 8 11" xfId="35237" xr:uid="{00000000-0005-0000-0000-0000FB890000}"/>
    <cellStyle name="SAPBEXHLevel3X 8 12" xfId="35238" xr:uid="{00000000-0005-0000-0000-0000FC890000}"/>
    <cellStyle name="SAPBEXHLevel3X 8 13" xfId="35239" xr:uid="{00000000-0005-0000-0000-0000FD890000}"/>
    <cellStyle name="SAPBEXHLevel3X 8 2" xfId="35240" xr:uid="{00000000-0005-0000-0000-0000FE890000}"/>
    <cellStyle name="SAPBEXHLevel3X 8 3" xfId="35241" xr:uid="{00000000-0005-0000-0000-0000FF890000}"/>
    <cellStyle name="SAPBEXHLevel3X 8 4" xfId="35242" xr:uid="{00000000-0005-0000-0000-0000008A0000}"/>
    <cellStyle name="SAPBEXHLevel3X 8 5" xfId="35243" xr:uid="{00000000-0005-0000-0000-0000018A0000}"/>
    <cellStyle name="SAPBEXHLevel3X 8 6" xfId="35244" xr:uid="{00000000-0005-0000-0000-0000028A0000}"/>
    <cellStyle name="SAPBEXHLevel3X 8 7" xfId="35245" xr:uid="{00000000-0005-0000-0000-0000038A0000}"/>
    <cellStyle name="SAPBEXHLevel3X 8 8" xfId="35246" xr:uid="{00000000-0005-0000-0000-0000048A0000}"/>
    <cellStyle name="SAPBEXHLevel3X 8 9" xfId="35247" xr:uid="{00000000-0005-0000-0000-0000058A0000}"/>
    <cellStyle name="SAPBEXHLevel3X 9" xfId="35248" xr:uid="{00000000-0005-0000-0000-0000068A0000}"/>
    <cellStyle name="SAPBEXinputData" xfId="35249" xr:uid="{00000000-0005-0000-0000-0000078A0000}"/>
    <cellStyle name="SAPBEXinputData 2" xfId="35250" xr:uid="{00000000-0005-0000-0000-0000088A0000}"/>
    <cellStyle name="SAPBEXinputData 2 2" xfId="35251" xr:uid="{00000000-0005-0000-0000-0000098A0000}"/>
    <cellStyle name="SAPBEXinputData 3" xfId="35252" xr:uid="{00000000-0005-0000-0000-00000A8A0000}"/>
    <cellStyle name="SAPBEXinputData 4" xfId="35253" xr:uid="{00000000-0005-0000-0000-00000B8A0000}"/>
    <cellStyle name="SAPBEXinputData 5" xfId="35254" xr:uid="{00000000-0005-0000-0000-00000C8A0000}"/>
    <cellStyle name="SAPBEXinputData 6" xfId="35255" xr:uid="{00000000-0005-0000-0000-00000D8A0000}"/>
    <cellStyle name="SAPBEXinputData 7" xfId="35256" xr:uid="{00000000-0005-0000-0000-00000E8A0000}"/>
    <cellStyle name="SAPBEXinputData 8" xfId="35257" xr:uid="{00000000-0005-0000-0000-00000F8A0000}"/>
    <cellStyle name="SAPBEXItemHeader" xfId="35258" xr:uid="{00000000-0005-0000-0000-0000108A0000}"/>
    <cellStyle name="SAPBEXresData" xfId="35259" xr:uid="{00000000-0005-0000-0000-0000118A0000}"/>
    <cellStyle name="SAPBEXresData 2" xfId="35260" xr:uid="{00000000-0005-0000-0000-0000128A0000}"/>
    <cellStyle name="SAPBEXresData 3" xfId="35261" xr:uid="{00000000-0005-0000-0000-0000138A0000}"/>
    <cellStyle name="SAPBEXresDataEmph" xfId="35262" xr:uid="{00000000-0005-0000-0000-0000148A0000}"/>
    <cellStyle name="SAPBEXresDataEmph 2" xfId="35263" xr:uid="{00000000-0005-0000-0000-0000158A0000}"/>
    <cellStyle name="SAPBEXresDataEmph 3" xfId="35264" xr:uid="{00000000-0005-0000-0000-0000168A0000}"/>
    <cellStyle name="SAPBEXresItem" xfId="35265" xr:uid="{00000000-0005-0000-0000-0000178A0000}"/>
    <cellStyle name="SAPBEXresItem 2" xfId="35266" xr:uid="{00000000-0005-0000-0000-0000188A0000}"/>
    <cellStyle name="SAPBEXresItem 3" xfId="35267" xr:uid="{00000000-0005-0000-0000-0000198A0000}"/>
    <cellStyle name="SAPBEXresItemX" xfId="35268" xr:uid="{00000000-0005-0000-0000-00001A8A0000}"/>
    <cellStyle name="SAPBEXresItemX 2" xfId="35269" xr:uid="{00000000-0005-0000-0000-00001B8A0000}"/>
    <cellStyle name="SAPBEXresItemX 3" xfId="35270" xr:uid="{00000000-0005-0000-0000-00001C8A0000}"/>
    <cellStyle name="SAPBEXstdData" xfId="35271" xr:uid="{00000000-0005-0000-0000-00001D8A0000}"/>
    <cellStyle name="SAPBEXstdData 10" xfId="35272" xr:uid="{00000000-0005-0000-0000-00001E8A0000}"/>
    <cellStyle name="SAPBEXstdData 11" xfId="35273" xr:uid="{00000000-0005-0000-0000-00001F8A0000}"/>
    <cellStyle name="SAPBEXstdData 12" xfId="35274" xr:uid="{00000000-0005-0000-0000-0000208A0000}"/>
    <cellStyle name="SAPBEXstdData 13" xfId="35275" xr:uid="{00000000-0005-0000-0000-0000218A0000}"/>
    <cellStyle name="SAPBEXstdData 14" xfId="35276" xr:uid="{00000000-0005-0000-0000-0000228A0000}"/>
    <cellStyle name="SAPBEXstdData 15" xfId="35277" xr:uid="{00000000-0005-0000-0000-0000238A0000}"/>
    <cellStyle name="SAPBEXstdData 16" xfId="35278" xr:uid="{00000000-0005-0000-0000-0000248A0000}"/>
    <cellStyle name="SAPBEXstdData 17" xfId="35279" xr:uid="{00000000-0005-0000-0000-0000258A0000}"/>
    <cellStyle name="SAPBEXstdData 18" xfId="35280" xr:uid="{00000000-0005-0000-0000-0000268A0000}"/>
    <cellStyle name="SAPBEXstdData 19" xfId="35281" xr:uid="{00000000-0005-0000-0000-0000278A0000}"/>
    <cellStyle name="SAPBEXstdData 2" xfId="35282" xr:uid="{00000000-0005-0000-0000-0000288A0000}"/>
    <cellStyle name="SAPBEXstdData 2 2" xfId="35283" xr:uid="{00000000-0005-0000-0000-0000298A0000}"/>
    <cellStyle name="SAPBEXstdData 20" xfId="35284" xr:uid="{00000000-0005-0000-0000-00002A8A0000}"/>
    <cellStyle name="SAPBEXstdData 21" xfId="35285" xr:uid="{00000000-0005-0000-0000-00002B8A0000}"/>
    <cellStyle name="SAPBEXstdData 22" xfId="35286" xr:uid="{00000000-0005-0000-0000-00002C8A0000}"/>
    <cellStyle name="SAPBEXstdData 23" xfId="35287" xr:uid="{00000000-0005-0000-0000-00002D8A0000}"/>
    <cellStyle name="SAPBEXstdData 24" xfId="35288" xr:uid="{00000000-0005-0000-0000-00002E8A0000}"/>
    <cellStyle name="SAPBEXstdData 25" xfId="35289" xr:uid="{00000000-0005-0000-0000-00002F8A0000}"/>
    <cellStyle name="SAPBEXstdData 3" xfId="35290" xr:uid="{00000000-0005-0000-0000-0000308A0000}"/>
    <cellStyle name="SAPBEXstdData 4" xfId="35291" xr:uid="{00000000-0005-0000-0000-0000318A0000}"/>
    <cellStyle name="SAPBEXstdData 5" xfId="35292" xr:uid="{00000000-0005-0000-0000-0000328A0000}"/>
    <cellStyle name="SAPBEXstdData 6" xfId="35293" xr:uid="{00000000-0005-0000-0000-0000338A0000}"/>
    <cellStyle name="SAPBEXstdData 7" xfId="35294" xr:uid="{00000000-0005-0000-0000-0000348A0000}"/>
    <cellStyle name="SAPBEXstdData 8" xfId="35295" xr:uid="{00000000-0005-0000-0000-0000358A0000}"/>
    <cellStyle name="SAPBEXstdData 9" xfId="35296" xr:uid="{00000000-0005-0000-0000-0000368A0000}"/>
    <cellStyle name="SAPBEXstdDataEmph" xfId="35297" xr:uid="{00000000-0005-0000-0000-0000378A0000}"/>
    <cellStyle name="SAPBEXstdDataEmph 2" xfId="35298" xr:uid="{00000000-0005-0000-0000-0000388A0000}"/>
    <cellStyle name="SAPBEXstdDataEmph 3" xfId="35299" xr:uid="{00000000-0005-0000-0000-0000398A0000}"/>
    <cellStyle name="SAPBEXstdItem" xfId="35300" xr:uid="{00000000-0005-0000-0000-00003A8A0000}"/>
    <cellStyle name="SAPBEXstdItem 2" xfId="35301" xr:uid="{00000000-0005-0000-0000-00003B8A0000}"/>
    <cellStyle name="SAPBEXstdItem 2 10" xfId="35302" xr:uid="{00000000-0005-0000-0000-00003C8A0000}"/>
    <cellStyle name="SAPBEXstdItem 2 11" xfId="35303" xr:uid="{00000000-0005-0000-0000-00003D8A0000}"/>
    <cellStyle name="SAPBEXstdItem 2 12" xfId="35304" xr:uid="{00000000-0005-0000-0000-00003E8A0000}"/>
    <cellStyle name="SAPBEXstdItem 2 13" xfId="35305" xr:uid="{00000000-0005-0000-0000-00003F8A0000}"/>
    <cellStyle name="SAPBEXstdItem 2 14" xfId="35306" xr:uid="{00000000-0005-0000-0000-0000408A0000}"/>
    <cellStyle name="SAPBEXstdItem 2 2" xfId="35307" xr:uid="{00000000-0005-0000-0000-0000418A0000}"/>
    <cellStyle name="SAPBEXstdItem 2 2 2" xfId="36168" xr:uid="{00000000-0005-0000-0000-0000428A0000}"/>
    <cellStyle name="SAPBEXstdItem 2 2 2 2" xfId="36196" xr:uid="{00000000-0005-0000-0000-0000438A0000}"/>
    <cellStyle name="SAPBEXstdItem 2 2 2 2 2" xfId="36268" xr:uid="{00000000-0005-0000-0000-0000448A0000}"/>
    <cellStyle name="SAPBEXstdItem 2 2 2 2 3" xfId="36316" xr:uid="{00000000-0005-0000-0000-0000458A0000}"/>
    <cellStyle name="SAPBEXstdItem 2 2 2 3" xfId="36208" xr:uid="{00000000-0005-0000-0000-0000468A0000}"/>
    <cellStyle name="SAPBEXstdItem 2 2 2 3 2" xfId="36280" xr:uid="{00000000-0005-0000-0000-0000478A0000}"/>
    <cellStyle name="SAPBEXstdItem 2 2 2 3 3" xfId="36328" xr:uid="{00000000-0005-0000-0000-0000488A0000}"/>
    <cellStyle name="SAPBEXstdItem 2 2 2 4" xfId="36186" xr:uid="{00000000-0005-0000-0000-0000498A0000}"/>
    <cellStyle name="SAPBEXstdItem 2 2 2 4 2" xfId="36258" xr:uid="{00000000-0005-0000-0000-00004A8A0000}"/>
    <cellStyle name="SAPBEXstdItem 2 2 2 4 3" xfId="36306" xr:uid="{00000000-0005-0000-0000-00004B8A0000}"/>
    <cellStyle name="SAPBEXstdItem 2 2 2 5" xfId="36220" xr:uid="{00000000-0005-0000-0000-00004C8A0000}"/>
    <cellStyle name="SAPBEXstdItem 2 2 2 5 2" xfId="36292" xr:uid="{00000000-0005-0000-0000-00004D8A0000}"/>
    <cellStyle name="SAPBEXstdItem 2 2 3" xfId="36195" xr:uid="{00000000-0005-0000-0000-00004E8A0000}"/>
    <cellStyle name="SAPBEXstdItem 2 2 3 2" xfId="36267" xr:uid="{00000000-0005-0000-0000-00004F8A0000}"/>
    <cellStyle name="SAPBEXstdItem 2 2 3 3" xfId="36315" xr:uid="{00000000-0005-0000-0000-0000508A0000}"/>
    <cellStyle name="SAPBEXstdItem 2 2 4" xfId="36207" xr:uid="{00000000-0005-0000-0000-0000518A0000}"/>
    <cellStyle name="SAPBEXstdItem 2 2 4 2" xfId="36279" xr:uid="{00000000-0005-0000-0000-0000528A0000}"/>
    <cellStyle name="SAPBEXstdItem 2 2 4 3" xfId="36327" xr:uid="{00000000-0005-0000-0000-0000538A0000}"/>
    <cellStyle name="SAPBEXstdItem 2 2 5" xfId="36187" xr:uid="{00000000-0005-0000-0000-0000548A0000}"/>
    <cellStyle name="SAPBEXstdItem 2 2 5 2" xfId="36259" xr:uid="{00000000-0005-0000-0000-0000558A0000}"/>
    <cellStyle name="SAPBEXstdItem 2 2 5 3" xfId="36307" xr:uid="{00000000-0005-0000-0000-0000568A0000}"/>
    <cellStyle name="SAPBEXstdItem 2 2 6" xfId="36219" xr:uid="{00000000-0005-0000-0000-0000578A0000}"/>
    <cellStyle name="SAPBEXstdItem 2 2 6 2" xfId="36291" xr:uid="{00000000-0005-0000-0000-0000588A0000}"/>
    <cellStyle name="SAPBEXstdItem 2 2 7" xfId="36167" xr:uid="{00000000-0005-0000-0000-0000598A0000}"/>
    <cellStyle name="SAPBEXstdItem 2 3" xfId="35308" xr:uid="{00000000-0005-0000-0000-00005A8A0000}"/>
    <cellStyle name="SAPBEXstdItem 2 3 2" xfId="36170" xr:uid="{00000000-0005-0000-0000-00005B8A0000}"/>
    <cellStyle name="SAPBEXstdItem 2 3 2 2" xfId="36198" xr:uid="{00000000-0005-0000-0000-00005C8A0000}"/>
    <cellStyle name="SAPBEXstdItem 2 3 2 2 2" xfId="36270" xr:uid="{00000000-0005-0000-0000-00005D8A0000}"/>
    <cellStyle name="SAPBEXstdItem 2 3 2 2 3" xfId="36318" xr:uid="{00000000-0005-0000-0000-00005E8A0000}"/>
    <cellStyle name="SAPBEXstdItem 2 3 2 3" xfId="36210" xr:uid="{00000000-0005-0000-0000-00005F8A0000}"/>
    <cellStyle name="SAPBEXstdItem 2 3 2 3 2" xfId="36282" xr:uid="{00000000-0005-0000-0000-0000608A0000}"/>
    <cellStyle name="SAPBEXstdItem 2 3 2 3 3" xfId="36330" xr:uid="{00000000-0005-0000-0000-0000618A0000}"/>
    <cellStyle name="SAPBEXstdItem 2 3 2 4" xfId="36184" xr:uid="{00000000-0005-0000-0000-0000628A0000}"/>
    <cellStyle name="SAPBEXstdItem 2 3 2 4 2" xfId="36256" xr:uid="{00000000-0005-0000-0000-0000638A0000}"/>
    <cellStyle name="SAPBEXstdItem 2 3 2 4 3" xfId="36304" xr:uid="{00000000-0005-0000-0000-0000648A0000}"/>
    <cellStyle name="SAPBEXstdItem 2 3 2 5" xfId="36222" xr:uid="{00000000-0005-0000-0000-0000658A0000}"/>
    <cellStyle name="SAPBEXstdItem 2 3 2 5 2" xfId="36294" xr:uid="{00000000-0005-0000-0000-0000668A0000}"/>
    <cellStyle name="SAPBEXstdItem 2 3 3" xfId="36197" xr:uid="{00000000-0005-0000-0000-0000678A0000}"/>
    <cellStyle name="SAPBEXstdItem 2 3 3 2" xfId="36269" xr:uid="{00000000-0005-0000-0000-0000688A0000}"/>
    <cellStyle name="SAPBEXstdItem 2 3 3 3" xfId="36317" xr:uid="{00000000-0005-0000-0000-0000698A0000}"/>
    <cellStyle name="SAPBEXstdItem 2 3 4" xfId="36209" xr:uid="{00000000-0005-0000-0000-00006A8A0000}"/>
    <cellStyle name="SAPBEXstdItem 2 3 4 2" xfId="36281" xr:uid="{00000000-0005-0000-0000-00006B8A0000}"/>
    <cellStyle name="SAPBEXstdItem 2 3 4 3" xfId="36329" xr:uid="{00000000-0005-0000-0000-00006C8A0000}"/>
    <cellStyle name="SAPBEXstdItem 2 3 5" xfId="36185" xr:uid="{00000000-0005-0000-0000-00006D8A0000}"/>
    <cellStyle name="SAPBEXstdItem 2 3 5 2" xfId="36257" xr:uid="{00000000-0005-0000-0000-00006E8A0000}"/>
    <cellStyle name="SAPBEXstdItem 2 3 5 3" xfId="36305" xr:uid="{00000000-0005-0000-0000-00006F8A0000}"/>
    <cellStyle name="SAPBEXstdItem 2 3 6" xfId="36221" xr:uid="{00000000-0005-0000-0000-0000708A0000}"/>
    <cellStyle name="SAPBEXstdItem 2 3 6 2" xfId="36293" xr:uid="{00000000-0005-0000-0000-0000718A0000}"/>
    <cellStyle name="SAPBEXstdItem 2 3 7" xfId="36169" xr:uid="{00000000-0005-0000-0000-0000728A0000}"/>
    <cellStyle name="SAPBEXstdItem 2 4" xfId="35309" xr:uid="{00000000-0005-0000-0000-0000738A0000}"/>
    <cellStyle name="SAPBEXstdItem 2 4 2" xfId="36199" xr:uid="{00000000-0005-0000-0000-0000748A0000}"/>
    <cellStyle name="SAPBEXstdItem 2 4 2 2" xfId="36271" xr:uid="{00000000-0005-0000-0000-0000758A0000}"/>
    <cellStyle name="SAPBEXstdItem 2 4 2 3" xfId="36319" xr:uid="{00000000-0005-0000-0000-0000768A0000}"/>
    <cellStyle name="SAPBEXstdItem 2 4 3" xfId="36211" xr:uid="{00000000-0005-0000-0000-0000778A0000}"/>
    <cellStyle name="SAPBEXstdItem 2 4 3 2" xfId="36283" xr:uid="{00000000-0005-0000-0000-0000788A0000}"/>
    <cellStyle name="SAPBEXstdItem 2 4 3 3" xfId="36331" xr:uid="{00000000-0005-0000-0000-0000798A0000}"/>
    <cellStyle name="SAPBEXstdItem 2 4 4" xfId="36183" xr:uid="{00000000-0005-0000-0000-00007A8A0000}"/>
    <cellStyle name="SAPBEXstdItem 2 4 4 2" xfId="36255" xr:uid="{00000000-0005-0000-0000-00007B8A0000}"/>
    <cellStyle name="SAPBEXstdItem 2 4 4 3" xfId="36303" xr:uid="{00000000-0005-0000-0000-00007C8A0000}"/>
    <cellStyle name="SAPBEXstdItem 2 4 5" xfId="36223" xr:uid="{00000000-0005-0000-0000-00007D8A0000}"/>
    <cellStyle name="SAPBEXstdItem 2 4 5 2" xfId="36295" xr:uid="{00000000-0005-0000-0000-00007E8A0000}"/>
    <cellStyle name="SAPBEXstdItem 2 4 6" xfId="36171" xr:uid="{00000000-0005-0000-0000-00007F8A0000}"/>
    <cellStyle name="SAPBEXstdItem 2 5" xfId="35310" xr:uid="{00000000-0005-0000-0000-0000808A0000}"/>
    <cellStyle name="SAPBEXstdItem 2 5 2" xfId="36266" xr:uid="{00000000-0005-0000-0000-0000818A0000}"/>
    <cellStyle name="SAPBEXstdItem 2 5 3" xfId="36314" xr:uid="{00000000-0005-0000-0000-0000828A0000}"/>
    <cellStyle name="SAPBEXstdItem 2 5 4" xfId="36194" xr:uid="{00000000-0005-0000-0000-0000838A0000}"/>
    <cellStyle name="SAPBEXstdItem 2 6" xfId="35311" xr:uid="{00000000-0005-0000-0000-0000848A0000}"/>
    <cellStyle name="SAPBEXstdItem 2 6 2" xfId="36278" xr:uid="{00000000-0005-0000-0000-0000858A0000}"/>
    <cellStyle name="SAPBEXstdItem 2 6 3" xfId="36326" xr:uid="{00000000-0005-0000-0000-0000868A0000}"/>
    <cellStyle name="SAPBEXstdItem 2 6 4" xfId="36206" xr:uid="{00000000-0005-0000-0000-0000878A0000}"/>
    <cellStyle name="SAPBEXstdItem 2 7" xfId="35312" xr:uid="{00000000-0005-0000-0000-0000888A0000}"/>
    <cellStyle name="SAPBEXstdItem 2 7 2" xfId="36260" xr:uid="{00000000-0005-0000-0000-0000898A0000}"/>
    <cellStyle name="SAPBEXstdItem 2 7 3" xfId="36308" xr:uid="{00000000-0005-0000-0000-00008A8A0000}"/>
    <cellStyle name="SAPBEXstdItem 2 7 4" xfId="36188" xr:uid="{00000000-0005-0000-0000-00008B8A0000}"/>
    <cellStyle name="SAPBEXstdItem 2 8" xfId="35313" xr:uid="{00000000-0005-0000-0000-00008C8A0000}"/>
    <cellStyle name="SAPBEXstdItem 2 8 2" xfId="36290" xr:uid="{00000000-0005-0000-0000-00008D8A0000}"/>
    <cellStyle name="SAPBEXstdItem 2 8 3" xfId="36218" xr:uid="{00000000-0005-0000-0000-00008E8A0000}"/>
    <cellStyle name="SAPBEXstdItem 2 9" xfId="35314" xr:uid="{00000000-0005-0000-0000-00008F8A0000}"/>
    <cellStyle name="SAPBEXstdItem 3" xfId="35315" xr:uid="{00000000-0005-0000-0000-0000908A0000}"/>
    <cellStyle name="SAPBEXstdItem 3 10" xfId="35316" xr:uid="{00000000-0005-0000-0000-0000918A0000}"/>
    <cellStyle name="SAPBEXstdItem 3 11" xfId="35317" xr:uid="{00000000-0005-0000-0000-0000928A0000}"/>
    <cellStyle name="SAPBEXstdItem 3 12" xfId="35318" xr:uid="{00000000-0005-0000-0000-0000938A0000}"/>
    <cellStyle name="SAPBEXstdItem 3 13" xfId="35319" xr:uid="{00000000-0005-0000-0000-0000948A0000}"/>
    <cellStyle name="SAPBEXstdItem 3 14" xfId="36172" xr:uid="{00000000-0005-0000-0000-0000958A0000}"/>
    <cellStyle name="SAPBEXstdItem 3 2" xfId="35320" xr:uid="{00000000-0005-0000-0000-0000968A0000}"/>
    <cellStyle name="SAPBEXstdItem 3 2 2" xfId="36201" xr:uid="{00000000-0005-0000-0000-0000978A0000}"/>
    <cellStyle name="SAPBEXstdItem 3 2 2 2" xfId="36273" xr:uid="{00000000-0005-0000-0000-0000988A0000}"/>
    <cellStyle name="SAPBEXstdItem 3 2 2 3" xfId="36321" xr:uid="{00000000-0005-0000-0000-0000998A0000}"/>
    <cellStyle name="SAPBEXstdItem 3 2 3" xfId="36213" xr:uid="{00000000-0005-0000-0000-00009A8A0000}"/>
    <cellStyle name="SAPBEXstdItem 3 2 3 2" xfId="36285" xr:uid="{00000000-0005-0000-0000-00009B8A0000}"/>
    <cellStyle name="SAPBEXstdItem 3 2 3 3" xfId="36333" xr:uid="{00000000-0005-0000-0000-00009C8A0000}"/>
    <cellStyle name="SAPBEXstdItem 3 2 4" xfId="36190" xr:uid="{00000000-0005-0000-0000-00009D8A0000}"/>
    <cellStyle name="SAPBEXstdItem 3 2 4 2" xfId="36262" xr:uid="{00000000-0005-0000-0000-00009E8A0000}"/>
    <cellStyle name="SAPBEXstdItem 3 2 4 3" xfId="36310" xr:uid="{00000000-0005-0000-0000-00009F8A0000}"/>
    <cellStyle name="SAPBEXstdItem 3 2 5" xfId="36225" xr:uid="{00000000-0005-0000-0000-0000A08A0000}"/>
    <cellStyle name="SAPBEXstdItem 3 2 5 2" xfId="36297" xr:uid="{00000000-0005-0000-0000-0000A18A0000}"/>
    <cellStyle name="SAPBEXstdItem 3 2 6" xfId="36173" xr:uid="{00000000-0005-0000-0000-0000A28A0000}"/>
    <cellStyle name="SAPBEXstdItem 3 3" xfId="35321" xr:uid="{00000000-0005-0000-0000-0000A38A0000}"/>
    <cellStyle name="SAPBEXstdItem 3 3 2" xfId="36272" xr:uid="{00000000-0005-0000-0000-0000A48A0000}"/>
    <cellStyle name="SAPBEXstdItem 3 3 3" xfId="36320" xr:uid="{00000000-0005-0000-0000-0000A58A0000}"/>
    <cellStyle name="SAPBEXstdItem 3 3 4" xfId="36200" xr:uid="{00000000-0005-0000-0000-0000A68A0000}"/>
    <cellStyle name="SAPBEXstdItem 3 4" xfId="35322" xr:uid="{00000000-0005-0000-0000-0000A78A0000}"/>
    <cellStyle name="SAPBEXstdItem 3 4 2" xfId="36284" xr:uid="{00000000-0005-0000-0000-0000A88A0000}"/>
    <cellStyle name="SAPBEXstdItem 3 4 3" xfId="36332" xr:uid="{00000000-0005-0000-0000-0000A98A0000}"/>
    <cellStyle name="SAPBEXstdItem 3 4 4" xfId="36212" xr:uid="{00000000-0005-0000-0000-0000AA8A0000}"/>
    <cellStyle name="SAPBEXstdItem 3 5" xfId="35323" xr:uid="{00000000-0005-0000-0000-0000AB8A0000}"/>
    <cellStyle name="SAPBEXstdItem 3 5 2" xfId="36263" xr:uid="{00000000-0005-0000-0000-0000AC8A0000}"/>
    <cellStyle name="SAPBEXstdItem 3 5 3" xfId="36311" xr:uid="{00000000-0005-0000-0000-0000AD8A0000}"/>
    <cellStyle name="SAPBEXstdItem 3 5 4" xfId="36191" xr:uid="{00000000-0005-0000-0000-0000AE8A0000}"/>
    <cellStyle name="SAPBEXstdItem 3 6" xfId="35324" xr:uid="{00000000-0005-0000-0000-0000AF8A0000}"/>
    <cellStyle name="SAPBEXstdItem 3 6 2" xfId="36296" xr:uid="{00000000-0005-0000-0000-0000B08A0000}"/>
    <cellStyle name="SAPBEXstdItem 3 6 3" xfId="36224" xr:uid="{00000000-0005-0000-0000-0000B18A0000}"/>
    <cellStyle name="SAPBEXstdItem 3 7" xfId="35325" xr:uid="{00000000-0005-0000-0000-0000B28A0000}"/>
    <cellStyle name="SAPBEXstdItem 3 8" xfId="35326" xr:uid="{00000000-0005-0000-0000-0000B38A0000}"/>
    <cellStyle name="SAPBEXstdItem 3 9" xfId="35327" xr:uid="{00000000-0005-0000-0000-0000B48A0000}"/>
    <cellStyle name="SAPBEXstdItem 4" xfId="35328" xr:uid="{00000000-0005-0000-0000-0000B58A0000}"/>
    <cellStyle name="SAPBEXstdItem 4 10" xfId="35329" xr:uid="{00000000-0005-0000-0000-0000B68A0000}"/>
    <cellStyle name="SAPBEXstdItem 4 11" xfId="35330" xr:uid="{00000000-0005-0000-0000-0000B78A0000}"/>
    <cellStyle name="SAPBEXstdItem 4 12" xfId="35331" xr:uid="{00000000-0005-0000-0000-0000B88A0000}"/>
    <cellStyle name="SAPBEXstdItem 4 13" xfId="35332" xr:uid="{00000000-0005-0000-0000-0000B98A0000}"/>
    <cellStyle name="SAPBEXstdItem 4 14" xfId="36174" xr:uid="{00000000-0005-0000-0000-0000BA8A0000}"/>
    <cellStyle name="SAPBEXstdItem 4 2" xfId="35333" xr:uid="{00000000-0005-0000-0000-0000BB8A0000}"/>
    <cellStyle name="SAPBEXstdItem 4 2 2" xfId="36203" xr:uid="{00000000-0005-0000-0000-0000BC8A0000}"/>
    <cellStyle name="SAPBEXstdItem 4 2 2 2" xfId="36275" xr:uid="{00000000-0005-0000-0000-0000BD8A0000}"/>
    <cellStyle name="SAPBEXstdItem 4 2 2 3" xfId="36323" xr:uid="{00000000-0005-0000-0000-0000BE8A0000}"/>
    <cellStyle name="SAPBEXstdItem 4 2 3" xfId="36215" xr:uid="{00000000-0005-0000-0000-0000BF8A0000}"/>
    <cellStyle name="SAPBEXstdItem 4 2 3 2" xfId="36287" xr:uid="{00000000-0005-0000-0000-0000C08A0000}"/>
    <cellStyle name="SAPBEXstdItem 4 2 3 3" xfId="36335" xr:uid="{00000000-0005-0000-0000-0000C18A0000}"/>
    <cellStyle name="SAPBEXstdItem 4 2 4" xfId="36181" xr:uid="{00000000-0005-0000-0000-0000C28A0000}"/>
    <cellStyle name="SAPBEXstdItem 4 2 4 2" xfId="36253" xr:uid="{00000000-0005-0000-0000-0000C38A0000}"/>
    <cellStyle name="SAPBEXstdItem 4 2 4 3" xfId="36247" xr:uid="{00000000-0005-0000-0000-0000C48A0000}"/>
    <cellStyle name="SAPBEXstdItem 4 2 5" xfId="36227" xr:uid="{00000000-0005-0000-0000-0000C58A0000}"/>
    <cellStyle name="SAPBEXstdItem 4 2 5 2" xfId="36299" xr:uid="{00000000-0005-0000-0000-0000C68A0000}"/>
    <cellStyle name="SAPBEXstdItem 4 2 6" xfId="36175" xr:uid="{00000000-0005-0000-0000-0000C78A0000}"/>
    <cellStyle name="SAPBEXstdItem 4 3" xfId="35334" xr:uid="{00000000-0005-0000-0000-0000C88A0000}"/>
    <cellStyle name="SAPBEXstdItem 4 3 2" xfId="36274" xr:uid="{00000000-0005-0000-0000-0000C98A0000}"/>
    <cellStyle name="SAPBEXstdItem 4 3 3" xfId="36322" xr:uid="{00000000-0005-0000-0000-0000CA8A0000}"/>
    <cellStyle name="SAPBEXstdItem 4 3 4" xfId="36202" xr:uid="{00000000-0005-0000-0000-0000CB8A0000}"/>
    <cellStyle name="SAPBEXstdItem 4 4" xfId="35335" xr:uid="{00000000-0005-0000-0000-0000CC8A0000}"/>
    <cellStyle name="SAPBEXstdItem 4 4 2" xfId="36286" xr:uid="{00000000-0005-0000-0000-0000CD8A0000}"/>
    <cellStyle name="SAPBEXstdItem 4 4 3" xfId="36334" xr:uid="{00000000-0005-0000-0000-0000CE8A0000}"/>
    <cellStyle name="SAPBEXstdItem 4 4 4" xfId="36214" xr:uid="{00000000-0005-0000-0000-0000CF8A0000}"/>
    <cellStyle name="SAPBEXstdItem 4 5" xfId="35336" xr:uid="{00000000-0005-0000-0000-0000D08A0000}"/>
    <cellStyle name="SAPBEXstdItem 4 5 2" xfId="36254" xr:uid="{00000000-0005-0000-0000-0000D18A0000}"/>
    <cellStyle name="SAPBEXstdItem 4 5 3" xfId="36302" xr:uid="{00000000-0005-0000-0000-0000D28A0000}"/>
    <cellStyle name="SAPBEXstdItem 4 5 4" xfId="36182" xr:uid="{00000000-0005-0000-0000-0000D38A0000}"/>
    <cellStyle name="SAPBEXstdItem 4 6" xfId="35337" xr:uid="{00000000-0005-0000-0000-0000D48A0000}"/>
    <cellStyle name="SAPBEXstdItem 4 6 2" xfId="36298" xr:uid="{00000000-0005-0000-0000-0000D58A0000}"/>
    <cellStyle name="SAPBEXstdItem 4 6 3" xfId="36226" xr:uid="{00000000-0005-0000-0000-0000D68A0000}"/>
    <cellStyle name="SAPBEXstdItem 4 7" xfId="35338" xr:uid="{00000000-0005-0000-0000-0000D78A0000}"/>
    <cellStyle name="SAPBEXstdItem 4 8" xfId="35339" xr:uid="{00000000-0005-0000-0000-0000D88A0000}"/>
    <cellStyle name="SAPBEXstdItem 4 9" xfId="35340" xr:uid="{00000000-0005-0000-0000-0000D98A0000}"/>
    <cellStyle name="SAPBEXstdItem 5" xfId="35341" xr:uid="{00000000-0005-0000-0000-0000DA8A0000}"/>
    <cellStyle name="SAPBEXstdItem 5 10" xfId="35342" xr:uid="{00000000-0005-0000-0000-0000DB8A0000}"/>
    <cellStyle name="SAPBEXstdItem 5 11" xfId="35343" xr:uid="{00000000-0005-0000-0000-0000DC8A0000}"/>
    <cellStyle name="SAPBEXstdItem 5 12" xfId="35344" xr:uid="{00000000-0005-0000-0000-0000DD8A0000}"/>
    <cellStyle name="SAPBEXstdItem 5 13" xfId="35345" xr:uid="{00000000-0005-0000-0000-0000DE8A0000}"/>
    <cellStyle name="SAPBEXstdItem 5 14" xfId="36176" xr:uid="{00000000-0005-0000-0000-0000DF8A0000}"/>
    <cellStyle name="SAPBEXstdItem 5 2" xfId="35346" xr:uid="{00000000-0005-0000-0000-0000E08A0000}"/>
    <cellStyle name="SAPBEXstdItem 5 2 2" xfId="36276" xr:uid="{00000000-0005-0000-0000-0000E18A0000}"/>
    <cellStyle name="SAPBEXstdItem 5 2 3" xfId="36324" xr:uid="{00000000-0005-0000-0000-0000E28A0000}"/>
    <cellStyle name="SAPBEXstdItem 5 2 4" xfId="36204" xr:uid="{00000000-0005-0000-0000-0000E38A0000}"/>
    <cellStyle name="SAPBEXstdItem 5 3" xfId="35347" xr:uid="{00000000-0005-0000-0000-0000E48A0000}"/>
    <cellStyle name="SAPBEXstdItem 5 3 2" xfId="36288" xr:uid="{00000000-0005-0000-0000-0000E58A0000}"/>
    <cellStyle name="SAPBEXstdItem 5 3 3" xfId="36336" xr:uid="{00000000-0005-0000-0000-0000E68A0000}"/>
    <cellStyle name="SAPBEXstdItem 5 3 4" xfId="36216" xr:uid="{00000000-0005-0000-0000-0000E78A0000}"/>
    <cellStyle name="SAPBEXstdItem 5 4" xfId="35348" xr:uid="{00000000-0005-0000-0000-0000E88A0000}"/>
    <cellStyle name="SAPBEXstdItem 5 4 2" xfId="36264" xr:uid="{00000000-0005-0000-0000-0000E98A0000}"/>
    <cellStyle name="SAPBEXstdItem 5 4 3" xfId="36312" xr:uid="{00000000-0005-0000-0000-0000EA8A0000}"/>
    <cellStyle name="SAPBEXstdItem 5 4 4" xfId="36192" xr:uid="{00000000-0005-0000-0000-0000EB8A0000}"/>
    <cellStyle name="SAPBEXstdItem 5 5" xfId="35349" xr:uid="{00000000-0005-0000-0000-0000EC8A0000}"/>
    <cellStyle name="SAPBEXstdItem 5 5 2" xfId="36300" xr:uid="{00000000-0005-0000-0000-0000ED8A0000}"/>
    <cellStyle name="SAPBEXstdItem 5 5 3" xfId="36228" xr:uid="{00000000-0005-0000-0000-0000EE8A0000}"/>
    <cellStyle name="SAPBEXstdItem 5 6" xfId="35350" xr:uid="{00000000-0005-0000-0000-0000EF8A0000}"/>
    <cellStyle name="SAPBEXstdItem 5 7" xfId="35351" xr:uid="{00000000-0005-0000-0000-0000F08A0000}"/>
    <cellStyle name="SAPBEXstdItem 5 8" xfId="35352" xr:uid="{00000000-0005-0000-0000-0000F18A0000}"/>
    <cellStyle name="SAPBEXstdItem 5 9" xfId="35353" xr:uid="{00000000-0005-0000-0000-0000F28A0000}"/>
    <cellStyle name="SAPBEXstdItem 6" xfId="35354" xr:uid="{00000000-0005-0000-0000-0000F38A0000}"/>
    <cellStyle name="SAPBEXstdItem 6 10" xfId="35355" xr:uid="{00000000-0005-0000-0000-0000F48A0000}"/>
    <cellStyle name="SAPBEXstdItem 6 11" xfId="35356" xr:uid="{00000000-0005-0000-0000-0000F58A0000}"/>
    <cellStyle name="SAPBEXstdItem 6 12" xfId="35357" xr:uid="{00000000-0005-0000-0000-0000F68A0000}"/>
    <cellStyle name="SAPBEXstdItem 6 13" xfId="35358" xr:uid="{00000000-0005-0000-0000-0000F78A0000}"/>
    <cellStyle name="SAPBEXstdItem 6 14" xfId="36193" xr:uid="{00000000-0005-0000-0000-0000F88A0000}"/>
    <cellStyle name="SAPBEXstdItem 6 2" xfId="35359" xr:uid="{00000000-0005-0000-0000-0000F98A0000}"/>
    <cellStyle name="SAPBEXstdItem 6 2 2" xfId="36265" xr:uid="{00000000-0005-0000-0000-0000FA8A0000}"/>
    <cellStyle name="SAPBEXstdItem 6 3" xfId="35360" xr:uid="{00000000-0005-0000-0000-0000FB8A0000}"/>
    <cellStyle name="SAPBEXstdItem 6 3 2" xfId="36313" xr:uid="{00000000-0005-0000-0000-0000FC8A0000}"/>
    <cellStyle name="SAPBEXstdItem 6 4" xfId="35361" xr:uid="{00000000-0005-0000-0000-0000FD8A0000}"/>
    <cellStyle name="SAPBEXstdItem 6 5" xfId="35362" xr:uid="{00000000-0005-0000-0000-0000FE8A0000}"/>
    <cellStyle name="SAPBEXstdItem 6 6" xfId="35363" xr:uid="{00000000-0005-0000-0000-0000FF8A0000}"/>
    <cellStyle name="SAPBEXstdItem 6 7" xfId="35364" xr:uid="{00000000-0005-0000-0000-0000008B0000}"/>
    <cellStyle name="SAPBEXstdItem 6 8" xfId="35365" xr:uid="{00000000-0005-0000-0000-0000018B0000}"/>
    <cellStyle name="SAPBEXstdItem 6 9" xfId="35366" xr:uid="{00000000-0005-0000-0000-0000028B0000}"/>
    <cellStyle name="SAPBEXstdItem 7" xfId="35367" xr:uid="{00000000-0005-0000-0000-0000038B0000}"/>
    <cellStyle name="SAPBEXstdItem 7 10" xfId="35368" xr:uid="{00000000-0005-0000-0000-0000048B0000}"/>
    <cellStyle name="SAPBEXstdItem 7 11" xfId="35369" xr:uid="{00000000-0005-0000-0000-0000058B0000}"/>
    <cellStyle name="SAPBEXstdItem 7 12" xfId="35370" xr:uid="{00000000-0005-0000-0000-0000068B0000}"/>
    <cellStyle name="SAPBEXstdItem 7 13" xfId="35371" xr:uid="{00000000-0005-0000-0000-0000078B0000}"/>
    <cellStyle name="SAPBEXstdItem 7 14" xfId="36205" xr:uid="{00000000-0005-0000-0000-0000088B0000}"/>
    <cellStyle name="SAPBEXstdItem 7 2" xfId="35372" xr:uid="{00000000-0005-0000-0000-0000098B0000}"/>
    <cellStyle name="SAPBEXstdItem 7 2 2" xfId="36277" xr:uid="{00000000-0005-0000-0000-00000A8B0000}"/>
    <cellStyle name="SAPBEXstdItem 7 3" xfId="35373" xr:uid="{00000000-0005-0000-0000-00000B8B0000}"/>
    <cellStyle name="SAPBEXstdItem 7 3 2" xfId="36325" xr:uid="{00000000-0005-0000-0000-00000C8B0000}"/>
    <cellStyle name="SAPBEXstdItem 7 4" xfId="35374" xr:uid="{00000000-0005-0000-0000-00000D8B0000}"/>
    <cellStyle name="SAPBEXstdItem 7 5" xfId="35375" xr:uid="{00000000-0005-0000-0000-00000E8B0000}"/>
    <cellStyle name="SAPBEXstdItem 7 6" xfId="35376" xr:uid="{00000000-0005-0000-0000-00000F8B0000}"/>
    <cellStyle name="SAPBEXstdItem 7 7" xfId="35377" xr:uid="{00000000-0005-0000-0000-0000108B0000}"/>
    <cellStyle name="SAPBEXstdItem 7 8" xfId="35378" xr:uid="{00000000-0005-0000-0000-0000118B0000}"/>
    <cellStyle name="SAPBEXstdItem 7 9" xfId="35379" xr:uid="{00000000-0005-0000-0000-0000128B0000}"/>
    <cellStyle name="SAPBEXstdItem 8" xfId="35380" xr:uid="{00000000-0005-0000-0000-0000138B0000}"/>
    <cellStyle name="SAPBEXstdItem 8 10" xfId="35381" xr:uid="{00000000-0005-0000-0000-0000148B0000}"/>
    <cellStyle name="SAPBEXstdItem 8 11" xfId="35382" xr:uid="{00000000-0005-0000-0000-0000158B0000}"/>
    <cellStyle name="SAPBEXstdItem 8 12" xfId="35383" xr:uid="{00000000-0005-0000-0000-0000168B0000}"/>
    <cellStyle name="SAPBEXstdItem 8 13" xfId="35384" xr:uid="{00000000-0005-0000-0000-0000178B0000}"/>
    <cellStyle name="SAPBEXstdItem 8 14" xfId="36189" xr:uid="{00000000-0005-0000-0000-0000188B0000}"/>
    <cellStyle name="SAPBEXstdItem 8 2" xfId="35385" xr:uid="{00000000-0005-0000-0000-0000198B0000}"/>
    <cellStyle name="SAPBEXstdItem 8 2 2" xfId="36261" xr:uid="{00000000-0005-0000-0000-00001A8B0000}"/>
    <cellStyle name="SAPBEXstdItem 8 3" xfId="35386" xr:uid="{00000000-0005-0000-0000-00001B8B0000}"/>
    <cellStyle name="SAPBEXstdItem 8 3 2" xfId="36309" xr:uid="{00000000-0005-0000-0000-00001C8B0000}"/>
    <cellStyle name="SAPBEXstdItem 8 4" xfId="35387" xr:uid="{00000000-0005-0000-0000-00001D8B0000}"/>
    <cellStyle name="SAPBEXstdItem 8 5" xfId="35388" xr:uid="{00000000-0005-0000-0000-00001E8B0000}"/>
    <cellStyle name="SAPBEXstdItem 8 6" xfId="35389" xr:uid="{00000000-0005-0000-0000-00001F8B0000}"/>
    <cellStyle name="SAPBEXstdItem 8 7" xfId="35390" xr:uid="{00000000-0005-0000-0000-0000208B0000}"/>
    <cellStyle name="SAPBEXstdItem 8 8" xfId="35391" xr:uid="{00000000-0005-0000-0000-0000218B0000}"/>
    <cellStyle name="SAPBEXstdItem 8 9" xfId="35392" xr:uid="{00000000-0005-0000-0000-0000228B0000}"/>
    <cellStyle name="SAPBEXstdItem 9" xfId="35393" xr:uid="{00000000-0005-0000-0000-0000238B0000}"/>
    <cellStyle name="SAPBEXstdItem 9 2" xfId="36289" xr:uid="{00000000-0005-0000-0000-0000248B0000}"/>
    <cellStyle name="SAPBEXstdItem 9 3" xfId="36217" xr:uid="{00000000-0005-0000-0000-0000258B0000}"/>
    <cellStyle name="SAPBEXstdItemX" xfId="35394" xr:uid="{00000000-0005-0000-0000-0000268B0000}"/>
    <cellStyle name="SAPBEXstdItemX 2" xfId="35395" xr:uid="{00000000-0005-0000-0000-0000278B0000}"/>
    <cellStyle name="SAPBEXstdItemX 2 10" xfId="35396" xr:uid="{00000000-0005-0000-0000-0000288B0000}"/>
    <cellStyle name="SAPBEXstdItemX 2 11" xfId="35397" xr:uid="{00000000-0005-0000-0000-0000298B0000}"/>
    <cellStyle name="SAPBEXstdItemX 2 12" xfId="35398" xr:uid="{00000000-0005-0000-0000-00002A8B0000}"/>
    <cellStyle name="SAPBEXstdItemX 2 13" xfId="35399" xr:uid="{00000000-0005-0000-0000-00002B8B0000}"/>
    <cellStyle name="SAPBEXstdItemX 2 2" xfId="35400" xr:uid="{00000000-0005-0000-0000-00002C8B0000}"/>
    <cellStyle name="SAPBEXstdItemX 2 3" xfId="35401" xr:uid="{00000000-0005-0000-0000-00002D8B0000}"/>
    <cellStyle name="SAPBEXstdItemX 2 4" xfId="35402" xr:uid="{00000000-0005-0000-0000-00002E8B0000}"/>
    <cellStyle name="SAPBEXstdItemX 2 5" xfId="35403" xr:uid="{00000000-0005-0000-0000-00002F8B0000}"/>
    <cellStyle name="SAPBEXstdItemX 2 6" xfId="35404" xr:uid="{00000000-0005-0000-0000-0000308B0000}"/>
    <cellStyle name="SAPBEXstdItemX 2 7" xfId="35405" xr:uid="{00000000-0005-0000-0000-0000318B0000}"/>
    <cellStyle name="SAPBEXstdItemX 2 8" xfId="35406" xr:uid="{00000000-0005-0000-0000-0000328B0000}"/>
    <cellStyle name="SAPBEXstdItemX 2 9" xfId="35407" xr:uid="{00000000-0005-0000-0000-0000338B0000}"/>
    <cellStyle name="SAPBEXstdItemX 3" xfId="35408" xr:uid="{00000000-0005-0000-0000-0000348B0000}"/>
    <cellStyle name="SAPBEXstdItemX 3 10" xfId="35409" xr:uid="{00000000-0005-0000-0000-0000358B0000}"/>
    <cellStyle name="SAPBEXstdItemX 3 11" xfId="35410" xr:uid="{00000000-0005-0000-0000-0000368B0000}"/>
    <cellStyle name="SAPBEXstdItemX 3 12" xfId="35411" xr:uid="{00000000-0005-0000-0000-0000378B0000}"/>
    <cellStyle name="SAPBEXstdItemX 3 13" xfId="35412" xr:uid="{00000000-0005-0000-0000-0000388B0000}"/>
    <cellStyle name="SAPBEXstdItemX 3 2" xfId="35413" xr:uid="{00000000-0005-0000-0000-0000398B0000}"/>
    <cellStyle name="SAPBEXstdItemX 3 3" xfId="35414" xr:uid="{00000000-0005-0000-0000-00003A8B0000}"/>
    <cellStyle name="SAPBEXstdItemX 3 4" xfId="35415" xr:uid="{00000000-0005-0000-0000-00003B8B0000}"/>
    <cellStyle name="SAPBEXstdItemX 3 5" xfId="35416" xr:uid="{00000000-0005-0000-0000-00003C8B0000}"/>
    <cellStyle name="SAPBEXstdItemX 3 6" xfId="35417" xr:uid="{00000000-0005-0000-0000-00003D8B0000}"/>
    <cellStyle name="SAPBEXstdItemX 3 7" xfId="35418" xr:uid="{00000000-0005-0000-0000-00003E8B0000}"/>
    <cellStyle name="SAPBEXstdItemX 3 8" xfId="35419" xr:uid="{00000000-0005-0000-0000-00003F8B0000}"/>
    <cellStyle name="SAPBEXstdItemX 3 9" xfId="35420" xr:uid="{00000000-0005-0000-0000-0000408B0000}"/>
    <cellStyle name="SAPBEXstdItemX 4" xfId="35421" xr:uid="{00000000-0005-0000-0000-0000418B0000}"/>
    <cellStyle name="SAPBEXstdItemX 4 10" xfId="35422" xr:uid="{00000000-0005-0000-0000-0000428B0000}"/>
    <cellStyle name="SAPBEXstdItemX 4 11" xfId="35423" xr:uid="{00000000-0005-0000-0000-0000438B0000}"/>
    <cellStyle name="SAPBEXstdItemX 4 12" xfId="35424" xr:uid="{00000000-0005-0000-0000-0000448B0000}"/>
    <cellStyle name="SAPBEXstdItemX 4 13" xfId="35425" xr:uid="{00000000-0005-0000-0000-0000458B0000}"/>
    <cellStyle name="SAPBEXstdItemX 4 2" xfId="35426" xr:uid="{00000000-0005-0000-0000-0000468B0000}"/>
    <cellStyle name="SAPBEXstdItemX 4 3" xfId="35427" xr:uid="{00000000-0005-0000-0000-0000478B0000}"/>
    <cellStyle name="SAPBEXstdItemX 4 4" xfId="35428" xr:uid="{00000000-0005-0000-0000-0000488B0000}"/>
    <cellStyle name="SAPBEXstdItemX 4 5" xfId="35429" xr:uid="{00000000-0005-0000-0000-0000498B0000}"/>
    <cellStyle name="SAPBEXstdItemX 4 6" xfId="35430" xr:uid="{00000000-0005-0000-0000-00004A8B0000}"/>
    <cellStyle name="SAPBEXstdItemX 4 7" xfId="35431" xr:uid="{00000000-0005-0000-0000-00004B8B0000}"/>
    <cellStyle name="SAPBEXstdItemX 4 8" xfId="35432" xr:uid="{00000000-0005-0000-0000-00004C8B0000}"/>
    <cellStyle name="SAPBEXstdItemX 4 9" xfId="35433" xr:uid="{00000000-0005-0000-0000-00004D8B0000}"/>
    <cellStyle name="SAPBEXstdItemX 5" xfId="35434" xr:uid="{00000000-0005-0000-0000-00004E8B0000}"/>
    <cellStyle name="SAPBEXstdItemX 5 10" xfId="35435" xr:uid="{00000000-0005-0000-0000-00004F8B0000}"/>
    <cellStyle name="SAPBEXstdItemX 5 11" xfId="35436" xr:uid="{00000000-0005-0000-0000-0000508B0000}"/>
    <cellStyle name="SAPBEXstdItemX 5 12" xfId="35437" xr:uid="{00000000-0005-0000-0000-0000518B0000}"/>
    <cellStyle name="SAPBEXstdItemX 5 13" xfId="35438" xr:uid="{00000000-0005-0000-0000-0000528B0000}"/>
    <cellStyle name="SAPBEXstdItemX 5 2" xfId="35439" xr:uid="{00000000-0005-0000-0000-0000538B0000}"/>
    <cellStyle name="SAPBEXstdItemX 5 3" xfId="35440" xr:uid="{00000000-0005-0000-0000-0000548B0000}"/>
    <cellStyle name="SAPBEXstdItemX 5 4" xfId="35441" xr:uid="{00000000-0005-0000-0000-0000558B0000}"/>
    <cellStyle name="SAPBEXstdItemX 5 5" xfId="35442" xr:uid="{00000000-0005-0000-0000-0000568B0000}"/>
    <cellStyle name="SAPBEXstdItemX 5 6" xfId="35443" xr:uid="{00000000-0005-0000-0000-0000578B0000}"/>
    <cellStyle name="SAPBEXstdItemX 5 7" xfId="35444" xr:uid="{00000000-0005-0000-0000-0000588B0000}"/>
    <cellStyle name="SAPBEXstdItemX 5 8" xfId="35445" xr:uid="{00000000-0005-0000-0000-0000598B0000}"/>
    <cellStyle name="SAPBEXstdItemX 5 9" xfId="35446" xr:uid="{00000000-0005-0000-0000-00005A8B0000}"/>
    <cellStyle name="SAPBEXstdItemX 6" xfId="35447" xr:uid="{00000000-0005-0000-0000-00005B8B0000}"/>
    <cellStyle name="SAPBEXstdItemX 6 10" xfId="35448" xr:uid="{00000000-0005-0000-0000-00005C8B0000}"/>
    <cellStyle name="SAPBEXstdItemX 6 11" xfId="35449" xr:uid="{00000000-0005-0000-0000-00005D8B0000}"/>
    <cellStyle name="SAPBEXstdItemX 6 12" xfId="35450" xr:uid="{00000000-0005-0000-0000-00005E8B0000}"/>
    <cellStyle name="SAPBEXstdItemX 6 13" xfId="35451" xr:uid="{00000000-0005-0000-0000-00005F8B0000}"/>
    <cellStyle name="SAPBEXstdItemX 6 2" xfId="35452" xr:uid="{00000000-0005-0000-0000-0000608B0000}"/>
    <cellStyle name="SAPBEXstdItemX 6 3" xfId="35453" xr:uid="{00000000-0005-0000-0000-0000618B0000}"/>
    <cellStyle name="SAPBEXstdItemX 6 4" xfId="35454" xr:uid="{00000000-0005-0000-0000-0000628B0000}"/>
    <cellStyle name="SAPBEXstdItemX 6 5" xfId="35455" xr:uid="{00000000-0005-0000-0000-0000638B0000}"/>
    <cellStyle name="SAPBEXstdItemX 6 6" xfId="35456" xr:uid="{00000000-0005-0000-0000-0000648B0000}"/>
    <cellStyle name="SAPBEXstdItemX 6 7" xfId="35457" xr:uid="{00000000-0005-0000-0000-0000658B0000}"/>
    <cellStyle name="SAPBEXstdItemX 6 8" xfId="35458" xr:uid="{00000000-0005-0000-0000-0000668B0000}"/>
    <cellStyle name="SAPBEXstdItemX 6 9" xfId="35459" xr:uid="{00000000-0005-0000-0000-0000678B0000}"/>
    <cellStyle name="SAPBEXstdItemX 7" xfId="35460" xr:uid="{00000000-0005-0000-0000-0000688B0000}"/>
    <cellStyle name="SAPBEXstdItemX 7 10" xfId="35461" xr:uid="{00000000-0005-0000-0000-0000698B0000}"/>
    <cellStyle name="SAPBEXstdItemX 7 11" xfId="35462" xr:uid="{00000000-0005-0000-0000-00006A8B0000}"/>
    <cellStyle name="SAPBEXstdItemX 7 12" xfId="35463" xr:uid="{00000000-0005-0000-0000-00006B8B0000}"/>
    <cellStyle name="SAPBEXstdItemX 7 13" xfId="35464" xr:uid="{00000000-0005-0000-0000-00006C8B0000}"/>
    <cellStyle name="SAPBEXstdItemX 7 2" xfId="35465" xr:uid="{00000000-0005-0000-0000-00006D8B0000}"/>
    <cellStyle name="SAPBEXstdItemX 7 3" xfId="35466" xr:uid="{00000000-0005-0000-0000-00006E8B0000}"/>
    <cellStyle name="SAPBEXstdItemX 7 4" xfId="35467" xr:uid="{00000000-0005-0000-0000-00006F8B0000}"/>
    <cellStyle name="SAPBEXstdItemX 7 5" xfId="35468" xr:uid="{00000000-0005-0000-0000-0000708B0000}"/>
    <cellStyle name="SAPBEXstdItemX 7 6" xfId="35469" xr:uid="{00000000-0005-0000-0000-0000718B0000}"/>
    <cellStyle name="SAPBEXstdItemX 7 7" xfId="35470" xr:uid="{00000000-0005-0000-0000-0000728B0000}"/>
    <cellStyle name="SAPBEXstdItemX 7 8" xfId="35471" xr:uid="{00000000-0005-0000-0000-0000738B0000}"/>
    <cellStyle name="SAPBEXstdItemX 7 9" xfId="35472" xr:uid="{00000000-0005-0000-0000-0000748B0000}"/>
    <cellStyle name="SAPBEXstdItemX 8" xfId="35473" xr:uid="{00000000-0005-0000-0000-0000758B0000}"/>
    <cellStyle name="SAPBEXstdItemX 8 10" xfId="35474" xr:uid="{00000000-0005-0000-0000-0000768B0000}"/>
    <cellStyle name="SAPBEXstdItemX 8 11" xfId="35475" xr:uid="{00000000-0005-0000-0000-0000778B0000}"/>
    <cellStyle name="SAPBEXstdItemX 8 12" xfId="35476" xr:uid="{00000000-0005-0000-0000-0000788B0000}"/>
    <cellStyle name="SAPBEXstdItemX 8 13" xfId="35477" xr:uid="{00000000-0005-0000-0000-0000798B0000}"/>
    <cellStyle name="SAPBEXstdItemX 8 2" xfId="35478" xr:uid="{00000000-0005-0000-0000-00007A8B0000}"/>
    <cellStyle name="SAPBEXstdItemX 8 3" xfId="35479" xr:uid="{00000000-0005-0000-0000-00007B8B0000}"/>
    <cellStyle name="SAPBEXstdItemX 8 4" xfId="35480" xr:uid="{00000000-0005-0000-0000-00007C8B0000}"/>
    <cellStyle name="SAPBEXstdItemX 8 5" xfId="35481" xr:uid="{00000000-0005-0000-0000-00007D8B0000}"/>
    <cellStyle name="SAPBEXstdItemX 8 6" xfId="35482" xr:uid="{00000000-0005-0000-0000-00007E8B0000}"/>
    <cellStyle name="SAPBEXstdItemX 8 7" xfId="35483" xr:uid="{00000000-0005-0000-0000-00007F8B0000}"/>
    <cellStyle name="SAPBEXstdItemX 8 8" xfId="35484" xr:uid="{00000000-0005-0000-0000-0000808B0000}"/>
    <cellStyle name="SAPBEXstdItemX 8 9" xfId="35485" xr:uid="{00000000-0005-0000-0000-0000818B0000}"/>
    <cellStyle name="SAPBEXstdItemX 9" xfId="35486" xr:uid="{00000000-0005-0000-0000-0000828B0000}"/>
    <cellStyle name="SAPBEXtitle" xfId="35487" xr:uid="{00000000-0005-0000-0000-0000838B0000}"/>
    <cellStyle name="SAPBEXtitle 2" xfId="35488" xr:uid="{00000000-0005-0000-0000-0000848B0000}"/>
    <cellStyle name="SAPBEXunassignedItem" xfId="35489" xr:uid="{00000000-0005-0000-0000-0000858B0000}"/>
    <cellStyle name="SAPBEXunassignedItem 2" xfId="35490" xr:uid="{00000000-0005-0000-0000-0000868B0000}"/>
    <cellStyle name="SAPBEXundefined" xfId="35491" xr:uid="{00000000-0005-0000-0000-0000878B0000}"/>
    <cellStyle name="SAPBEXundefined 2" xfId="35492" xr:uid="{00000000-0005-0000-0000-0000888B0000}"/>
    <cellStyle name="SAPBEXundefined 3" xfId="35493" xr:uid="{00000000-0005-0000-0000-0000898B0000}"/>
    <cellStyle name="SectionHeaderNormal" xfId="35494" xr:uid="{00000000-0005-0000-0000-00008A8B0000}"/>
    <cellStyle name="Sep. milhar [0]" xfId="35495" xr:uid="{00000000-0005-0000-0000-00008B8B0000}"/>
    <cellStyle name="Separador de m" xfId="35496" xr:uid="{00000000-0005-0000-0000-00008C8B0000}"/>
    <cellStyle name="Separador de milhares [0]_BAHIA" xfId="35497" xr:uid="{00000000-0005-0000-0000-00008D8B0000}"/>
    <cellStyle name="Separador de milhares_apresentação fevereiro 2003 VM" xfId="35498" xr:uid="{00000000-0005-0000-0000-00008E8B0000}"/>
    <cellStyle name="Sheet Title" xfId="35499" xr:uid="{00000000-0005-0000-0000-00008F8B0000}"/>
    <cellStyle name="slide" xfId="35500" xr:uid="{00000000-0005-0000-0000-0000908B0000}"/>
    <cellStyle name="ssubtitulo" xfId="35501" xr:uid="{00000000-0005-0000-0000-0000918B0000}"/>
    <cellStyle name="standard" xfId="35502" xr:uid="{00000000-0005-0000-0000-0000928B0000}"/>
    <cellStyle name="static" xfId="35503" xr:uid="{00000000-0005-0000-0000-0000938B0000}"/>
    <cellStyle name="Style 1" xfId="35504" xr:uid="{00000000-0005-0000-0000-0000948B0000}"/>
    <cellStyle name="Style 1 2" xfId="35505" xr:uid="{00000000-0005-0000-0000-0000958B0000}"/>
    <cellStyle name="Style 1_Libro1" xfId="35506" xr:uid="{00000000-0005-0000-0000-0000968B0000}"/>
    <cellStyle name="Style 2" xfId="35507" xr:uid="{00000000-0005-0000-0000-0000978B0000}"/>
    <cellStyle name="SubScript" xfId="35508" xr:uid="{00000000-0005-0000-0000-0000988B0000}"/>
    <cellStyle name="subtitulo" xfId="35509" xr:uid="{00000000-0005-0000-0000-0000998B0000}"/>
    <cellStyle name="Subtotal" xfId="35510" xr:uid="{00000000-0005-0000-0000-00009A8B0000}"/>
    <cellStyle name="SuperScript" xfId="35511" xr:uid="{00000000-0005-0000-0000-00009B8B0000}"/>
    <cellStyle name="Table" xfId="35512" xr:uid="{00000000-0005-0000-0000-00009C8B0000}"/>
    <cellStyle name="Table Head" xfId="35513" xr:uid="{00000000-0005-0000-0000-00009D8B0000}"/>
    <cellStyle name="Table Head Aligned" xfId="35514" xr:uid="{00000000-0005-0000-0000-00009E8B0000}"/>
    <cellStyle name="Table Head Blue" xfId="35515" xr:uid="{00000000-0005-0000-0000-00009F8B0000}"/>
    <cellStyle name="Table Head Green" xfId="35516" xr:uid="{00000000-0005-0000-0000-0000A08B0000}"/>
    <cellStyle name="Table Title" xfId="35517" xr:uid="{00000000-0005-0000-0000-0000A18B0000}"/>
    <cellStyle name="Table Units" xfId="35518" xr:uid="{00000000-0005-0000-0000-0000A28B0000}"/>
    <cellStyle name="Table_~1502101" xfId="35519" xr:uid="{00000000-0005-0000-0000-0000A38B0000}"/>
    <cellStyle name="taples Plaza" xfId="35520" xr:uid="{00000000-0005-0000-0000-0000A48B0000}"/>
    <cellStyle name="Tender" xfId="35521" xr:uid="{00000000-0005-0000-0000-0000A58B0000}"/>
    <cellStyle name="TESTE" xfId="35522" xr:uid="{00000000-0005-0000-0000-0000A68B0000}"/>
    <cellStyle name="text" xfId="35523" xr:uid="{00000000-0005-0000-0000-0000A78B0000}"/>
    <cellStyle name="Text Indent A" xfId="35524" xr:uid="{00000000-0005-0000-0000-0000A88B0000}"/>
    <cellStyle name="Text Indent B" xfId="35525" xr:uid="{00000000-0005-0000-0000-0000A98B0000}"/>
    <cellStyle name="Text Indent C" xfId="35526" xr:uid="{00000000-0005-0000-0000-0000AA8B0000}"/>
    <cellStyle name="TextBold" xfId="35527" xr:uid="{00000000-0005-0000-0000-0000AB8B0000}"/>
    <cellStyle name="TextItalic" xfId="35528" xr:uid="{00000000-0005-0000-0000-0000AC8B0000}"/>
    <cellStyle name="TextNormal" xfId="35529" xr:uid="{00000000-0005-0000-0000-0000AD8B0000}"/>
    <cellStyle name="TEXTO" xfId="35530" xr:uid="{00000000-0005-0000-0000-0000AE8B0000}"/>
    <cellStyle name="TEXTO 2" xfId="35531" xr:uid="{00000000-0005-0000-0000-0000AF8B0000}"/>
    <cellStyle name="Texto de advertencia" xfId="53" builtinId="11" customBuiltin="1"/>
    <cellStyle name="Texto de advertencia 10" xfId="35532" xr:uid="{00000000-0005-0000-0000-0000B18B0000}"/>
    <cellStyle name="Texto de advertencia 11" xfId="35533" xr:uid="{00000000-0005-0000-0000-0000B28B0000}"/>
    <cellStyle name="Texto de advertencia 2" xfId="35534" xr:uid="{00000000-0005-0000-0000-0000B38B0000}"/>
    <cellStyle name="Texto de advertencia 2 10" xfId="35535" xr:uid="{00000000-0005-0000-0000-0000B48B0000}"/>
    <cellStyle name="Texto de advertencia 2 11" xfId="35536" xr:uid="{00000000-0005-0000-0000-0000B58B0000}"/>
    <cellStyle name="Texto de advertencia 2 12" xfId="35537" xr:uid="{00000000-0005-0000-0000-0000B68B0000}"/>
    <cellStyle name="Texto de advertencia 2 13" xfId="35538" xr:uid="{00000000-0005-0000-0000-0000B78B0000}"/>
    <cellStyle name="Texto de advertencia 2 14" xfId="35539" xr:uid="{00000000-0005-0000-0000-0000B88B0000}"/>
    <cellStyle name="Texto de advertencia 2 15" xfId="35540" xr:uid="{00000000-0005-0000-0000-0000B98B0000}"/>
    <cellStyle name="Texto de advertencia 2 16" xfId="35541" xr:uid="{00000000-0005-0000-0000-0000BA8B0000}"/>
    <cellStyle name="Texto de advertencia 2 17" xfId="35542" xr:uid="{00000000-0005-0000-0000-0000BB8B0000}"/>
    <cellStyle name="Texto de advertencia 2 18" xfId="35543" xr:uid="{00000000-0005-0000-0000-0000BC8B0000}"/>
    <cellStyle name="Texto de advertencia 2 19" xfId="35544" xr:uid="{00000000-0005-0000-0000-0000BD8B0000}"/>
    <cellStyle name="Texto de advertencia 2 2" xfId="35545" xr:uid="{00000000-0005-0000-0000-0000BE8B0000}"/>
    <cellStyle name="Texto de advertencia 2 20" xfId="35546" xr:uid="{00000000-0005-0000-0000-0000BF8B0000}"/>
    <cellStyle name="Texto de advertencia 2 21" xfId="35547" xr:uid="{00000000-0005-0000-0000-0000C08B0000}"/>
    <cellStyle name="Texto de advertencia 2 22" xfId="35548" xr:uid="{00000000-0005-0000-0000-0000C18B0000}"/>
    <cellStyle name="Texto de advertencia 2 23" xfId="35549" xr:uid="{00000000-0005-0000-0000-0000C28B0000}"/>
    <cellStyle name="Texto de advertencia 2 24" xfId="35550" xr:uid="{00000000-0005-0000-0000-0000C38B0000}"/>
    <cellStyle name="Texto de advertencia 2 25" xfId="35551" xr:uid="{00000000-0005-0000-0000-0000C48B0000}"/>
    <cellStyle name="Texto de advertencia 2 26" xfId="35552" xr:uid="{00000000-0005-0000-0000-0000C58B0000}"/>
    <cellStyle name="Texto de advertencia 2 27" xfId="35553" xr:uid="{00000000-0005-0000-0000-0000C68B0000}"/>
    <cellStyle name="Texto de advertencia 2 28" xfId="35554" xr:uid="{00000000-0005-0000-0000-0000C78B0000}"/>
    <cellStyle name="Texto de advertencia 2 29" xfId="35555" xr:uid="{00000000-0005-0000-0000-0000C88B0000}"/>
    <cellStyle name="Texto de advertencia 2 3" xfId="35556" xr:uid="{00000000-0005-0000-0000-0000C98B0000}"/>
    <cellStyle name="Texto de advertencia 2 30" xfId="35557" xr:uid="{00000000-0005-0000-0000-0000CA8B0000}"/>
    <cellStyle name="Texto de advertencia 2 31" xfId="35558" xr:uid="{00000000-0005-0000-0000-0000CB8B0000}"/>
    <cellStyle name="Texto de advertencia 2 32" xfId="35559" xr:uid="{00000000-0005-0000-0000-0000CC8B0000}"/>
    <cellStyle name="Texto de advertencia 2 33" xfId="35560" xr:uid="{00000000-0005-0000-0000-0000CD8B0000}"/>
    <cellStyle name="Texto de advertencia 2 34" xfId="35561" xr:uid="{00000000-0005-0000-0000-0000CE8B0000}"/>
    <cellStyle name="Texto de advertencia 2 35" xfId="35562" xr:uid="{00000000-0005-0000-0000-0000CF8B0000}"/>
    <cellStyle name="Texto de advertencia 2 36" xfId="35563" xr:uid="{00000000-0005-0000-0000-0000D08B0000}"/>
    <cellStyle name="Texto de advertencia 2 37" xfId="35564" xr:uid="{00000000-0005-0000-0000-0000D18B0000}"/>
    <cellStyle name="Texto de advertencia 2 38" xfId="35565" xr:uid="{00000000-0005-0000-0000-0000D28B0000}"/>
    <cellStyle name="Texto de advertencia 2 4" xfId="35566" xr:uid="{00000000-0005-0000-0000-0000D38B0000}"/>
    <cellStyle name="Texto de advertencia 2 5" xfId="35567" xr:uid="{00000000-0005-0000-0000-0000D48B0000}"/>
    <cellStyle name="Texto de advertencia 2 6" xfId="35568" xr:uid="{00000000-0005-0000-0000-0000D58B0000}"/>
    <cellStyle name="Texto de advertencia 2 7" xfId="35569" xr:uid="{00000000-0005-0000-0000-0000D68B0000}"/>
    <cellStyle name="Texto de advertencia 2 8" xfId="35570" xr:uid="{00000000-0005-0000-0000-0000D78B0000}"/>
    <cellStyle name="Texto de advertencia 2 9" xfId="35571" xr:uid="{00000000-0005-0000-0000-0000D88B0000}"/>
    <cellStyle name="Texto de advertencia 3" xfId="35572" xr:uid="{00000000-0005-0000-0000-0000D98B0000}"/>
    <cellStyle name="Texto de advertencia 3 10" xfId="35573" xr:uid="{00000000-0005-0000-0000-0000DA8B0000}"/>
    <cellStyle name="Texto de advertencia 3 11" xfId="35574" xr:uid="{00000000-0005-0000-0000-0000DB8B0000}"/>
    <cellStyle name="Texto de advertencia 3 12" xfId="35575" xr:uid="{00000000-0005-0000-0000-0000DC8B0000}"/>
    <cellStyle name="Texto de advertencia 3 13" xfId="35576" xr:uid="{00000000-0005-0000-0000-0000DD8B0000}"/>
    <cellStyle name="Texto de advertencia 3 14" xfId="35577" xr:uid="{00000000-0005-0000-0000-0000DE8B0000}"/>
    <cellStyle name="Texto de advertencia 3 15" xfId="35578" xr:uid="{00000000-0005-0000-0000-0000DF8B0000}"/>
    <cellStyle name="Texto de advertencia 3 16" xfId="35579" xr:uid="{00000000-0005-0000-0000-0000E08B0000}"/>
    <cellStyle name="Texto de advertencia 3 17" xfId="35580" xr:uid="{00000000-0005-0000-0000-0000E18B0000}"/>
    <cellStyle name="Texto de advertencia 3 18" xfId="35581" xr:uid="{00000000-0005-0000-0000-0000E28B0000}"/>
    <cellStyle name="Texto de advertencia 3 19" xfId="35582" xr:uid="{00000000-0005-0000-0000-0000E38B0000}"/>
    <cellStyle name="Texto de advertencia 3 2" xfId="35583" xr:uid="{00000000-0005-0000-0000-0000E48B0000}"/>
    <cellStyle name="Texto de advertencia 3 20" xfId="35584" xr:uid="{00000000-0005-0000-0000-0000E58B0000}"/>
    <cellStyle name="Texto de advertencia 3 21" xfId="35585" xr:uid="{00000000-0005-0000-0000-0000E68B0000}"/>
    <cellStyle name="Texto de advertencia 3 22" xfId="35586" xr:uid="{00000000-0005-0000-0000-0000E78B0000}"/>
    <cellStyle name="Texto de advertencia 3 23" xfId="35587" xr:uid="{00000000-0005-0000-0000-0000E88B0000}"/>
    <cellStyle name="Texto de advertencia 3 24" xfId="35588" xr:uid="{00000000-0005-0000-0000-0000E98B0000}"/>
    <cellStyle name="Texto de advertencia 3 25" xfId="35589" xr:uid="{00000000-0005-0000-0000-0000EA8B0000}"/>
    <cellStyle name="Texto de advertencia 3 26" xfId="35590" xr:uid="{00000000-0005-0000-0000-0000EB8B0000}"/>
    <cellStyle name="Texto de advertencia 3 27" xfId="35591" xr:uid="{00000000-0005-0000-0000-0000EC8B0000}"/>
    <cellStyle name="Texto de advertencia 3 28" xfId="35592" xr:uid="{00000000-0005-0000-0000-0000ED8B0000}"/>
    <cellStyle name="Texto de advertencia 3 29" xfId="35593" xr:uid="{00000000-0005-0000-0000-0000EE8B0000}"/>
    <cellStyle name="Texto de advertencia 3 3" xfId="35594" xr:uid="{00000000-0005-0000-0000-0000EF8B0000}"/>
    <cellStyle name="Texto de advertencia 3 30" xfId="35595" xr:uid="{00000000-0005-0000-0000-0000F08B0000}"/>
    <cellStyle name="Texto de advertencia 3 31" xfId="35596" xr:uid="{00000000-0005-0000-0000-0000F18B0000}"/>
    <cellStyle name="Texto de advertencia 3 32" xfId="35597" xr:uid="{00000000-0005-0000-0000-0000F28B0000}"/>
    <cellStyle name="Texto de advertencia 3 33" xfId="35598" xr:uid="{00000000-0005-0000-0000-0000F38B0000}"/>
    <cellStyle name="Texto de advertencia 3 34" xfId="35599" xr:uid="{00000000-0005-0000-0000-0000F48B0000}"/>
    <cellStyle name="Texto de advertencia 3 4" xfId="35600" xr:uid="{00000000-0005-0000-0000-0000F58B0000}"/>
    <cellStyle name="Texto de advertencia 3 5" xfId="35601" xr:uid="{00000000-0005-0000-0000-0000F68B0000}"/>
    <cellStyle name="Texto de advertencia 3 6" xfId="35602" xr:uid="{00000000-0005-0000-0000-0000F78B0000}"/>
    <cellStyle name="Texto de advertencia 3 7" xfId="35603" xr:uid="{00000000-0005-0000-0000-0000F88B0000}"/>
    <cellStyle name="Texto de advertencia 3 8" xfId="35604" xr:uid="{00000000-0005-0000-0000-0000F98B0000}"/>
    <cellStyle name="Texto de advertencia 3 9" xfId="35605" xr:uid="{00000000-0005-0000-0000-0000FA8B0000}"/>
    <cellStyle name="Texto de advertencia 4" xfId="35606" xr:uid="{00000000-0005-0000-0000-0000FB8B0000}"/>
    <cellStyle name="Texto de advertencia 4 2" xfId="35607" xr:uid="{00000000-0005-0000-0000-0000FC8B0000}"/>
    <cellStyle name="Texto de advertencia 4 3" xfId="35608" xr:uid="{00000000-0005-0000-0000-0000FD8B0000}"/>
    <cellStyle name="Texto de advertencia 4 4" xfId="35609" xr:uid="{00000000-0005-0000-0000-0000FE8B0000}"/>
    <cellStyle name="Texto de advertencia 5" xfId="35610" xr:uid="{00000000-0005-0000-0000-0000FF8B0000}"/>
    <cellStyle name="Texto de advertencia 5 2" xfId="35611" xr:uid="{00000000-0005-0000-0000-0000008C0000}"/>
    <cellStyle name="Texto de advertencia 5 3" xfId="35612" xr:uid="{00000000-0005-0000-0000-0000018C0000}"/>
    <cellStyle name="Texto de advertencia 5 4" xfId="35613" xr:uid="{00000000-0005-0000-0000-0000028C0000}"/>
    <cellStyle name="Texto de advertencia 6" xfId="35614" xr:uid="{00000000-0005-0000-0000-0000038C0000}"/>
    <cellStyle name="Texto de advertencia 6 2" xfId="35615" xr:uid="{00000000-0005-0000-0000-0000048C0000}"/>
    <cellStyle name="Texto de advertencia 7" xfId="35616" xr:uid="{00000000-0005-0000-0000-0000058C0000}"/>
    <cellStyle name="Texto de advertencia 7 2" xfId="35617" xr:uid="{00000000-0005-0000-0000-0000068C0000}"/>
    <cellStyle name="Texto de advertencia 8" xfId="35618" xr:uid="{00000000-0005-0000-0000-0000078C0000}"/>
    <cellStyle name="Texto de advertencia 9" xfId="35619" xr:uid="{00000000-0005-0000-0000-0000088C0000}"/>
    <cellStyle name="Texto explicativo" xfId="54" builtinId="53" customBuiltin="1"/>
    <cellStyle name="Texto explicativo 10" xfId="35620" xr:uid="{00000000-0005-0000-0000-00000A8C0000}"/>
    <cellStyle name="Texto explicativo 11" xfId="35621" xr:uid="{00000000-0005-0000-0000-00000B8C0000}"/>
    <cellStyle name="Texto explicativo 12" xfId="35622" xr:uid="{00000000-0005-0000-0000-00000C8C0000}"/>
    <cellStyle name="Texto explicativo 2" xfId="35623" xr:uid="{00000000-0005-0000-0000-00000D8C0000}"/>
    <cellStyle name="Texto explicativo 2 10" xfId="35624" xr:uid="{00000000-0005-0000-0000-00000E8C0000}"/>
    <cellStyle name="Texto explicativo 2 11" xfId="35625" xr:uid="{00000000-0005-0000-0000-00000F8C0000}"/>
    <cellStyle name="Texto explicativo 2 12" xfId="35626" xr:uid="{00000000-0005-0000-0000-0000108C0000}"/>
    <cellStyle name="Texto explicativo 2 13" xfId="35627" xr:uid="{00000000-0005-0000-0000-0000118C0000}"/>
    <cellStyle name="Texto explicativo 2 14" xfId="35628" xr:uid="{00000000-0005-0000-0000-0000128C0000}"/>
    <cellStyle name="Texto explicativo 2 15" xfId="35629" xr:uid="{00000000-0005-0000-0000-0000138C0000}"/>
    <cellStyle name="Texto explicativo 2 16" xfId="35630" xr:uid="{00000000-0005-0000-0000-0000148C0000}"/>
    <cellStyle name="Texto explicativo 2 17" xfId="35631" xr:uid="{00000000-0005-0000-0000-0000158C0000}"/>
    <cellStyle name="Texto explicativo 2 18" xfId="35632" xr:uid="{00000000-0005-0000-0000-0000168C0000}"/>
    <cellStyle name="Texto explicativo 2 19" xfId="35633" xr:uid="{00000000-0005-0000-0000-0000178C0000}"/>
    <cellStyle name="Texto explicativo 2 2" xfId="35634" xr:uid="{00000000-0005-0000-0000-0000188C0000}"/>
    <cellStyle name="Texto explicativo 2 20" xfId="35635" xr:uid="{00000000-0005-0000-0000-0000198C0000}"/>
    <cellStyle name="Texto explicativo 2 21" xfId="35636" xr:uid="{00000000-0005-0000-0000-00001A8C0000}"/>
    <cellStyle name="Texto explicativo 2 22" xfId="35637" xr:uid="{00000000-0005-0000-0000-00001B8C0000}"/>
    <cellStyle name="Texto explicativo 2 23" xfId="35638" xr:uid="{00000000-0005-0000-0000-00001C8C0000}"/>
    <cellStyle name="Texto explicativo 2 24" xfId="35639" xr:uid="{00000000-0005-0000-0000-00001D8C0000}"/>
    <cellStyle name="Texto explicativo 2 25" xfId="35640" xr:uid="{00000000-0005-0000-0000-00001E8C0000}"/>
    <cellStyle name="Texto explicativo 2 26" xfId="35641" xr:uid="{00000000-0005-0000-0000-00001F8C0000}"/>
    <cellStyle name="Texto explicativo 2 27" xfId="35642" xr:uid="{00000000-0005-0000-0000-0000208C0000}"/>
    <cellStyle name="Texto explicativo 2 28" xfId="35643" xr:uid="{00000000-0005-0000-0000-0000218C0000}"/>
    <cellStyle name="Texto explicativo 2 29" xfId="35644" xr:uid="{00000000-0005-0000-0000-0000228C0000}"/>
    <cellStyle name="Texto explicativo 2 3" xfId="35645" xr:uid="{00000000-0005-0000-0000-0000238C0000}"/>
    <cellStyle name="Texto explicativo 2 30" xfId="35646" xr:uid="{00000000-0005-0000-0000-0000248C0000}"/>
    <cellStyle name="Texto explicativo 2 31" xfId="35647" xr:uid="{00000000-0005-0000-0000-0000258C0000}"/>
    <cellStyle name="Texto explicativo 2 32" xfId="35648" xr:uid="{00000000-0005-0000-0000-0000268C0000}"/>
    <cellStyle name="Texto explicativo 2 33" xfId="35649" xr:uid="{00000000-0005-0000-0000-0000278C0000}"/>
    <cellStyle name="Texto explicativo 2 34" xfId="35650" xr:uid="{00000000-0005-0000-0000-0000288C0000}"/>
    <cellStyle name="Texto explicativo 2 35" xfId="35651" xr:uid="{00000000-0005-0000-0000-0000298C0000}"/>
    <cellStyle name="Texto explicativo 2 36" xfId="35652" xr:uid="{00000000-0005-0000-0000-00002A8C0000}"/>
    <cellStyle name="Texto explicativo 2 37" xfId="35653" xr:uid="{00000000-0005-0000-0000-00002B8C0000}"/>
    <cellStyle name="Texto explicativo 2 38" xfId="35654" xr:uid="{00000000-0005-0000-0000-00002C8C0000}"/>
    <cellStyle name="Texto explicativo 2 4" xfId="35655" xr:uid="{00000000-0005-0000-0000-00002D8C0000}"/>
    <cellStyle name="Texto explicativo 2 5" xfId="35656" xr:uid="{00000000-0005-0000-0000-00002E8C0000}"/>
    <cellStyle name="Texto explicativo 2 6" xfId="35657" xr:uid="{00000000-0005-0000-0000-00002F8C0000}"/>
    <cellStyle name="Texto explicativo 2 7" xfId="35658" xr:uid="{00000000-0005-0000-0000-0000308C0000}"/>
    <cellStyle name="Texto explicativo 2 8" xfId="35659" xr:uid="{00000000-0005-0000-0000-0000318C0000}"/>
    <cellStyle name="Texto explicativo 2 9" xfId="35660" xr:uid="{00000000-0005-0000-0000-0000328C0000}"/>
    <cellStyle name="Texto explicativo 3" xfId="35661" xr:uid="{00000000-0005-0000-0000-0000338C0000}"/>
    <cellStyle name="Texto explicativo 3 10" xfId="35662" xr:uid="{00000000-0005-0000-0000-0000348C0000}"/>
    <cellStyle name="Texto explicativo 3 11" xfId="35663" xr:uid="{00000000-0005-0000-0000-0000358C0000}"/>
    <cellStyle name="Texto explicativo 3 12" xfId="35664" xr:uid="{00000000-0005-0000-0000-0000368C0000}"/>
    <cellStyle name="Texto explicativo 3 13" xfId="35665" xr:uid="{00000000-0005-0000-0000-0000378C0000}"/>
    <cellStyle name="Texto explicativo 3 14" xfId="35666" xr:uid="{00000000-0005-0000-0000-0000388C0000}"/>
    <cellStyle name="Texto explicativo 3 15" xfId="35667" xr:uid="{00000000-0005-0000-0000-0000398C0000}"/>
    <cellStyle name="Texto explicativo 3 16" xfId="35668" xr:uid="{00000000-0005-0000-0000-00003A8C0000}"/>
    <cellStyle name="Texto explicativo 3 17" xfId="35669" xr:uid="{00000000-0005-0000-0000-00003B8C0000}"/>
    <cellStyle name="Texto explicativo 3 18" xfId="35670" xr:uid="{00000000-0005-0000-0000-00003C8C0000}"/>
    <cellStyle name="Texto explicativo 3 19" xfId="35671" xr:uid="{00000000-0005-0000-0000-00003D8C0000}"/>
    <cellStyle name="Texto explicativo 3 2" xfId="35672" xr:uid="{00000000-0005-0000-0000-00003E8C0000}"/>
    <cellStyle name="Texto explicativo 3 20" xfId="35673" xr:uid="{00000000-0005-0000-0000-00003F8C0000}"/>
    <cellStyle name="Texto explicativo 3 21" xfId="35674" xr:uid="{00000000-0005-0000-0000-0000408C0000}"/>
    <cellStyle name="Texto explicativo 3 22" xfId="35675" xr:uid="{00000000-0005-0000-0000-0000418C0000}"/>
    <cellStyle name="Texto explicativo 3 23" xfId="35676" xr:uid="{00000000-0005-0000-0000-0000428C0000}"/>
    <cellStyle name="Texto explicativo 3 24" xfId="35677" xr:uid="{00000000-0005-0000-0000-0000438C0000}"/>
    <cellStyle name="Texto explicativo 3 25" xfId="35678" xr:uid="{00000000-0005-0000-0000-0000448C0000}"/>
    <cellStyle name="Texto explicativo 3 26" xfId="35679" xr:uid="{00000000-0005-0000-0000-0000458C0000}"/>
    <cellStyle name="Texto explicativo 3 27" xfId="35680" xr:uid="{00000000-0005-0000-0000-0000468C0000}"/>
    <cellStyle name="Texto explicativo 3 28" xfId="35681" xr:uid="{00000000-0005-0000-0000-0000478C0000}"/>
    <cellStyle name="Texto explicativo 3 29" xfId="35682" xr:uid="{00000000-0005-0000-0000-0000488C0000}"/>
    <cellStyle name="Texto explicativo 3 3" xfId="35683" xr:uid="{00000000-0005-0000-0000-0000498C0000}"/>
    <cellStyle name="Texto explicativo 3 30" xfId="35684" xr:uid="{00000000-0005-0000-0000-00004A8C0000}"/>
    <cellStyle name="Texto explicativo 3 31" xfId="35685" xr:uid="{00000000-0005-0000-0000-00004B8C0000}"/>
    <cellStyle name="Texto explicativo 3 32" xfId="35686" xr:uid="{00000000-0005-0000-0000-00004C8C0000}"/>
    <cellStyle name="Texto explicativo 3 33" xfId="35687" xr:uid="{00000000-0005-0000-0000-00004D8C0000}"/>
    <cellStyle name="Texto explicativo 3 4" xfId="35688" xr:uid="{00000000-0005-0000-0000-00004E8C0000}"/>
    <cellStyle name="Texto explicativo 3 5" xfId="35689" xr:uid="{00000000-0005-0000-0000-00004F8C0000}"/>
    <cellStyle name="Texto explicativo 3 6" xfId="35690" xr:uid="{00000000-0005-0000-0000-0000508C0000}"/>
    <cellStyle name="Texto explicativo 3 7" xfId="35691" xr:uid="{00000000-0005-0000-0000-0000518C0000}"/>
    <cellStyle name="Texto explicativo 3 8" xfId="35692" xr:uid="{00000000-0005-0000-0000-0000528C0000}"/>
    <cellStyle name="Texto explicativo 3 9" xfId="35693" xr:uid="{00000000-0005-0000-0000-0000538C0000}"/>
    <cellStyle name="Texto explicativo 4" xfId="35694" xr:uid="{00000000-0005-0000-0000-0000548C0000}"/>
    <cellStyle name="Texto explicativo 4 2" xfId="35695" xr:uid="{00000000-0005-0000-0000-0000558C0000}"/>
    <cellStyle name="Texto explicativo 4 3" xfId="35696" xr:uid="{00000000-0005-0000-0000-0000568C0000}"/>
    <cellStyle name="Texto explicativo 4 4" xfId="35697" xr:uid="{00000000-0005-0000-0000-0000578C0000}"/>
    <cellStyle name="Texto explicativo 5" xfId="35698" xr:uid="{00000000-0005-0000-0000-0000588C0000}"/>
    <cellStyle name="Texto explicativo 5 2" xfId="35699" xr:uid="{00000000-0005-0000-0000-0000598C0000}"/>
    <cellStyle name="Texto explicativo 5 3" xfId="35700" xr:uid="{00000000-0005-0000-0000-00005A8C0000}"/>
    <cellStyle name="Texto explicativo 5 4" xfId="35701" xr:uid="{00000000-0005-0000-0000-00005B8C0000}"/>
    <cellStyle name="Texto explicativo 6" xfId="35702" xr:uid="{00000000-0005-0000-0000-00005C8C0000}"/>
    <cellStyle name="Texto explicativo 6 2" xfId="35703" xr:uid="{00000000-0005-0000-0000-00005D8C0000}"/>
    <cellStyle name="Texto explicativo 7" xfId="35704" xr:uid="{00000000-0005-0000-0000-00005E8C0000}"/>
    <cellStyle name="Texto explicativo 7 2" xfId="35705" xr:uid="{00000000-0005-0000-0000-00005F8C0000}"/>
    <cellStyle name="Texto explicativo 8" xfId="35706" xr:uid="{00000000-0005-0000-0000-0000608C0000}"/>
    <cellStyle name="Texto explicativo 9" xfId="35707" xr:uid="{00000000-0005-0000-0000-0000618C0000}"/>
    <cellStyle name="TIM BP" xfId="35708" xr:uid="{00000000-0005-0000-0000-0000628C0000}"/>
    <cellStyle name="Title" xfId="35709" xr:uid="{00000000-0005-0000-0000-0000638C0000}"/>
    <cellStyle name="Title 2" xfId="35710" xr:uid="{00000000-0005-0000-0000-0000648C0000}"/>
    <cellStyle name="TitleNormal" xfId="35711" xr:uid="{00000000-0005-0000-0000-0000658C0000}"/>
    <cellStyle name="tito1" xfId="35712" xr:uid="{00000000-0005-0000-0000-0000668C0000}"/>
    <cellStyle name="titulo" xfId="35713" xr:uid="{00000000-0005-0000-0000-0000678C0000}"/>
    <cellStyle name="Título" xfId="55" builtinId="15" customBuiltin="1"/>
    <cellStyle name="Título 1 10" xfId="35714" xr:uid="{00000000-0005-0000-0000-0000698C0000}"/>
    <cellStyle name="Título 1 11" xfId="35715" xr:uid="{00000000-0005-0000-0000-00006A8C0000}"/>
    <cellStyle name="Título 1 12" xfId="35716" xr:uid="{00000000-0005-0000-0000-00006B8C0000}"/>
    <cellStyle name="Título 1 2" xfId="35717" xr:uid="{00000000-0005-0000-0000-00006C8C0000}"/>
    <cellStyle name="Título 1 2 10" xfId="35718" xr:uid="{00000000-0005-0000-0000-00006D8C0000}"/>
    <cellStyle name="Título 1 2 11" xfId="35719" xr:uid="{00000000-0005-0000-0000-00006E8C0000}"/>
    <cellStyle name="Título 1 2 12" xfId="35720" xr:uid="{00000000-0005-0000-0000-00006F8C0000}"/>
    <cellStyle name="Título 1 2 13" xfId="35721" xr:uid="{00000000-0005-0000-0000-0000708C0000}"/>
    <cellStyle name="Título 1 2 14" xfId="35722" xr:uid="{00000000-0005-0000-0000-0000718C0000}"/>
    <cellStyle name="Título 1 2 15" xfId="35723" xr:uid="{00000000-0005-0000-0000-0000728C0000}"/>
    <cellStyle name="Título 1 2 16" xfId="35724" xr:uid="{00000000-0005-0000-0000-0000738C0000}"/>
    <cellStyle name="Título 1 2 17" xfId="35725" xr:uid="{00000000-0005-0000-0000-0000748C0000}"/>
    <cellStyle name="Título 1 2 18" xfId="35726" xr:uid="{00000000-0005-0000-0000-0000758C0000}"/>
    <cellStyle name="Título 1 2 19" xfId="35727" xr:uid="{00000000-0005-0000-0000-0000768C0000}"/>
    <cellStyle name="Título 1 2 2" xfId="35728" xr:uid="{00000000-0005-0000-0000-0000778C0000}"/>
    <cellStyle name="Título 1 2 20" xfId="35729" xr:uid="{00000000-0005-0000-0000-0000788C0000}"/>
    <cellStyle name="Título 1 2 21" xfId="35730" xr:uid="{00000000-0005-0000-0000-0000798C0000}"/>
    <cellStyle name="Título 1 2 22" xfId="35731" xr:uid="{00000000-0005-0000-0000-00007A8C0000}"/>
    <cellStyle name="Título 1 2 23" xfId="35732" xr:uid="{00000000-0005-0000-0000-00007B8C0000}"/>
    <cellStyle name="Título 1 2 24" xfId="35733" xr:uid="{00000000-0005-0000-0000-00007C8C0000}"/>
    <cellStyle name="Título 1 2 25" xfId="35734" xr:uid="{00000000-0005-0000-0000-00007D8C0000}"/>
    <cellStyle name="Título 1 2 26" xfId="35735" xr:uid="{00000000-0005-0000-0000-00007E8C0000}"/>
    <cellStyle name="Título 1 2 27" xfId="35736" xr:uid="{00000000-0005-0000-0000-00007F8C0000}"/>
    <cellStyle name="Título 1 2 28" xfId="35737" xr:uid="{00000000-0005-0000-0000-0000808C0000}"/>
    <cellStyle name="Título 1 2 29" xfId="35738" xr:uid="{00000000-0005-0000-0000-0000818C0000}"/>
    <cellStyle name="Título 1 2 3" xfId="35739" xr:uid="{00000000-0005-0000-0000-0000828C0000}"/>
    <cellStyle name="Título 1 2 30" xfId="35740" xr:uid="{00000000-0005-0000-0000-0000838C0000}"/>
    <cellStyle name="Título 1 2 31" xfId="35741" xr:uid="{00000000-0005-0000-0000-0000848C0000}"/>
    <cellStyle name="Título 1 2 32" xfId="35742" xr:uid="{00000000-0005-0000-0000-0000858C0000}"/>
    <cellStyle name="Título 1 2 33" xfId="35743" xr:uid="{00000000-0005-0000-0000-0000868C0000}"/>
    <cellStyle name="Título 1 2 34" xfId="35744" xr:uid="{00000000-0005-0000-0000-0000878C0000}"/>
    <cellStyle name="Título 1 2 35" xfId="35745" xr:uid="{00000000-0005-0000-0000-0000888C0000}"/>
    <cellStyle name="Título 1 2 36" xfId="35746" xr:uid="{00000000-0005-0000-0000-0000898C0000}"/>
    <cellStyle name="Título 1 2 37" xfId="35747" xr:uid="{00000000-0005-0000-0000-00008A8C0000}"/>
    <cellStyle name="Título 1 2 38" xfId="35748" xr:uid="{00000000-0005-0000-0000-00008B8C0000}"/>
    <cellStyle name="Título 1 2 4" xfId="35749" xr:uid="{00000000-0005-0000-0000-00008C8C0000}"/>
    <cellStyle name="Título 1 2 5" xfId="35750" xr:uid="{00000000-0005-0000-0000-00008D8C0000}"/>
    <cellStyle name="Título 1 2 6" xfId="35751" xr:uid="{00000000-0005-0000-0000-00008E8C0000}"/>
    <cellStyle name="Título 1 2 7" xfId="35752" xr:uid="{00000000-0005-0000-0000-00008F8C0000}"/>
    <cellStyle name="Título 1 2 8" xfId="35753" xr:uid="{00000000-0005-0000-0000-0000908C0000}"/>
    <cellStyle name="Título 1 2 9" xfId="35754" xr:uid="{00000000-0005-0000-0000-0000918C0000}"/>
    <cellStyle name="Título 1 3" xfId="35755" xr:uid="{00000000-0005-0000-0000-0000928C0000}"/>
    <cellStyle name="Título 1 3 10" xfId="35756" xr:uid="{00000000-0005-0000-0000-0000938C0000}"/>
    <cellStyle name="Título 1 3 11" xfId="35757" xr:uid="{00000000-0005-0000-0000-0000948C0000}"/>
    <cellStyle name="Título 1 3 12" xfId="35758" xr:uid="{00000000-0005-0000-0000-0000958C0000}"/>
    <cellStyle name="Título 1 3 13" xfId="35759" xr:uid="{00000000-0005-0000-0000-0000968C0000}"/>
    <cellStyle name="Título 1 3 14" xfId="35760" xr:uid="{00000000-0005-0000-0000-0000978C0000}"/>
    <cellStyle name="Título 1 3 15" xfId="35761" xr:uid="{00000000-0005-0000-0000-0000988C0000}"/>
    <cellStyle name="Título 1 3 16" xfId="35762" xr:uid="{00000000-0005-0000-0000-0000998C0000}"/>
    <cellStyle name="Título 1 3 17" xfId="35763" xr:uid="{00000000-0005-0000-0000-00009A8C0000}"/>
    <cellStyle name="Título 1 3 18" xfId="35764" xr:uid="{00000000-0005-0000-0000-00009B8C0000}"/>
    <cellStyle name="Título 1 3 19" xfId="35765" xr:uid="{00000000-0005-0000-0000-00009C8C0000}"/>
    <cellStyle name="Título 1 3 2" xfId="35766" xr:uid="{00000000-0005-0000-0000-00009D8C0000}"/>
    <cellStyle name="Título 1 3 20" xfId="35767" xr:uid="{00000000-0005-0000-0000-00009E8C0000}"/>
    <cellStyle name="Título 1 3 21" xfId="35768" xr:uid="{00000000-0005-0000-0000-00009F8C0000}"/>
    <cellStyle name="Título 1 3 22" xfId="35769" xr:uid="{00000000-0005-0000-0000-0000A08C0000}"/>
    <cellStyle name="Título 1 3 23" xfId="35770" xr:uid="{00000000-0005-0000-0000-0000A18C0000}"/>
    <cellStyle name="Título 1 3 24" xfId="35771" xr:uid="{00000000-0005-0000-0000-0000A28C0000}"/>
    <cellStyle name="Título 1 3 25" xfId="35772" xr:uid="{00000000-0005-0000-0000-0000A38C0000}"/>
    <cellStyle name="Título 1 3 26" xfId="35773" xr:uid="{00000000-0005-0000-0000-0000A48C0000}"/>
    <cellStyle name="Título 1 3 27" xfId="35774" xr:uid="{00000000-0005-0000-0000-0000A58C0000}"/>
    <cellStyle name="Título 1 3 28" xfId="35775" xr:uid="{00000000-0005-0000-0000-0000A68C0000}"/>
    <cellStyle name="Título 1 3 29" xfId="35776" xr:uid="{00000000-0005-0000-0000-0000A78C0000}"/>
    <cellStyle name="Título 1 3 3" xfId="35777" xr:uid="{00000000-0005-0000-0000-0000A88C0000}"/>
    <cellStyle name="Título 1 3 30" xfId="35778" xr:uid="{00000000-0005-0000-0000-0000A98C0000}"/>
    <cellStyle name="Título 1 3 31" xfId="35779" xr:uid="{00000000-0005-0000-0000-0000AA8C0000}"/>
    <cellStyle name="Título 1 3 32" xfId="35780" xr:uid="{00000000-0005-0000-0000-0000AB8C0000}"/>
    <cellStyle name="Título 1 3 33" xfId="35781" xr:uid="{00000000-0005-0000-0000-0000AC8C0000}"/>
    <cellStyle name="Título 1 3 34" xfId="35782" xr:uid="{00000000-0005-0000-0000-0000AD8C0000}"/>
    <cellStyle name="Título 1 3 4" xfId="35783" xr:uid="{00000000-0005-0000-0000-0000AE8C0000}"/>
    <cellStyle name="Título 1 3 5" xfId="35784" xr:uid="{00000000-0005-0000-0000-0000AF8C0000}"/>
    <cellStyle name="Título 1 3 6" xfId="35785" xr:uid="{00000000-0005-0000-0000-0000B08C0000}"/>
    <cellStyle name="Título 1 3 7" xfId="35786" xr:uid="{00000000-0005-0000-0000-0000B18C0000}"/>
    <cellStyle name="Título 1 3 8" xfId="35787" xr:uid="{00000000-0005-0000-0000-0000B28C0000}"/>
    <cellStyle name="Título 1 3 9" xfId="35788" xr:uid="{00000000-0005-0000-0000-0000B38C0000}"/>
    <cellStyle name="Título 1 4" xfId="35789" xr:uid="{00000000-0005-0000-0000-0000B48C0000}"/>
    <cellStyle name="Título 1 4 2" xfId="35790" xr:uid="{00000000-0005-0000-0000-0000B58C0000}"/>
    <cellStyle name="Título 1 4 3" xfId="35791" xr:uid="{00000000-0005-0000-0000-0000B68C0000}"/>
    <cellStyle name="Título 1 4 4" xfId="35792" xr:uid="{00000000-0005-0000-0000-0000B78C0000}"/>
    <cellStyle name="Título 1 5" xfId="35793" xr:uid="{00000000-0005-0000-0000-0000B88C0000}"/>
    <cellStyle name="Título 1 5 2" xfId="35794" xr:uid="{00000000-0005-0000-0000-0000B98C0000}"/>
    <cellStyle name="Título 1 5 3" xfId="35795" xr:uid="{00000000-0005-0000-0000-0000BA8C0000}"/>
    <cellStyle name="Título 1 5 4" xfId="35796" xr:uid="{00000000-0005-0000-0000-0000BB8C0000}"/>
    <cellStyle name="Título 1 6" xfId="35797" xr:uid="{00000000-0005-0000-0000-0000BC8C0000}"/>
    <cellStyle name="Título 1 6 2" xfId="35798" xr:uid="{00000000-0005-0000-0000-0000BD8C0000}"/>
    <cellStyle name="Título 1 7" xfId="35799" xr:uid="{00000000-0005-0000-0000-0000BE8C0000}"/>
    <cellStyle name="Título 1 7 2" xfId="35800" xr:uid="{00000000-0005-0000-0000-0000BF8C0000}"/>
    <cellStyle name="Título 1 8" xfId="35801" xr:uid="{00000000-0005-0000-0000-0000C08C0000}"/>
    <cellStyle name="Título 1 9" xfId="35802" xr:uid="{00000000-0005-0000-0000-0000C18C0000}"/>
    <cellStyle name="Título 10" xfId="35803" xr:uid="{00000000-0005-0000-0000-0000C28C0000}"/>
    <cellStyle name="Título 11" xfId="35804" xr:uid="{00000000-0005-0000-0000-0000C38C0000}"/>
    <cellStyle name="Título 12" xfId="35805" xr:uid="{00000000-0005-0000-0000-0000C48C0000}"/>
    <cellStyle name="Título 13" xfId="35806" xr:uid="{00000000-0005-0000-0000-0000C58C0000}"/>
    <cellStyle name="Título 14" xfId="35807" xr:uid="{00000000-0005-0000-0000-0000C68C0000}"/>
    <cellStyle name="Título 2" xfId="57" builtinId="17" customBuiltin="1"/>
    <cellStyle name="Título 2 10" xfId="35808" xr:uid="{00000000-0005-0000-0000-0000C88C0000}"/>
    <cellStyle name="Título 2 11" xfId="35809" xr:uid="{00000000-0005-0000-0000-0000C98C0000}"/>
    <cellStyle name="Título 2 12" xfId="35810" xr:uid="{00000000-0005-0000-0000-0000CA8C0000}"/>
    <cellStyle name="Título 2 2" xfId="35811" xr:uid="{00000000-0005-0000-0000-0000CB8C0000}"/>
    <cellStyle name="Título 2 2 10" xfId="35812" xr:uid="{00000000-0005-0000-0000-0000CC8C0000}"/>
    <cellStyle name="Título 2 2 11" xfId="35813" xr:uid="{00000000-0005-0000-0000-0000CD8C0000}"/>
    <cellStyle name="Título 2 2 12" xfId="35814" xr:uid="{00000000-0005-0000-0000-0000CE8C0000}"/>
    <cellStyle name="Título 2 2 13" xfId="35815" xr:uid="{00000000-0005-0000-0000-0000CF8C0000}"/>
    <cellStyle name="Título 2 2 14" xfId="35816" xr:uid="{00000000-0005-0000-0000-0000D08C0000}"/>
    <cellStyle name="Título 2 2 15" xfId="35817" xr:uid="{00000000-0005-0000-0000-0000D18C0000}"/>
    <cellStyle name="Título 2 2 16" xfId="35818" xr:uid="{00000000-0005-0000-0000-0000D28C0000}"/>
    <cellStyle name="Título 2 2 17" xfId="35819" xr:uid="{00000000-0005-0000-0000-0000D38C0000}"/>
    <cellStyle name="Título 2 2 18" xfId="35820" xr:uid="{00000000-0005-0000-0000-0000D48C0000}"/>
    <cellStyle name="Título 2 2 19" xfId="35821" xr:uid="{00000000-0005-0000-0000-0000D58C0000}"/>
    <cellStyle name="Título 2 2 2" xfId="35822" xr:uid="{00000000-0005-0000-0000-0000D68C0000}"/>
    <cellStyle name="Título 2 2 20" xfId="35823" xr:uid="{00000000-0005-0000-0000-0000D78C0000}"/>
    <cellStyle name="Título 2 2 21" xfId="35824" xr:uid="{00000000-0005-0000-0000-0000D88C0000}"/>
    <cellStyle name="Título 2 2 22" xfId="35825" xr:uid="{00000000-0005-0000-0000-0000D98C0000}"/>
    <cellStyle name="Título 2 2 23" xfId="35826" xr:uid="{00000000-0005-0000-0000-0000DA8C0000}"/>
    <cellStyle name="Título 2 2 24" xfId="35827" xr:uid="{00000000-0005-0000-0000-0000DB8C0000}"/>
    <cellStyle name="Título 2 2 25" xfId="35828" xr:uid="{00000000-0005-0000-0000-0000DC8C0000}"/>
    <cellStyle name="Título 2 2 26" xfId="35829" xr:uid="{00000000-0005-0000-0000-0000DD8C0000}"/>
    <cellStyle name="Título 2 2 27" xfId="35830" xr:uid="{00000000-0005-0000-0000-0000DE8C0000}"/>
    <cellStyle name="Título 2 2 28" xfId="35831" xr:uid="{00000000-0005-0000-0000-0000DF8C0000}"/>
    <cellStyle name="Título 2 2 29" xfId="35832" xr:uid="{00000000-0005-0000-0000-0000E08C0000}"/>
    <cellStyle name="Título 2 2 3" xfId="35833" xr:uid="{00000000-0005-0000-0000-0000E18C0000}"/>
    <cellStyle name="Título 2 2 30" xfId="35834" xr:uid="{00000000-0005-0000-0000-0000E28C0000}"/>
    <cellStyle name="Título 2 2 31" xfId="35835" xr:uid="{00000000-0005-0000-0000-0000E38C0000}"/>
    <cellStyle name="Título 2 2 32" xfId="35836" xr:uid="{00000000-0005-0000-0000-0000E48C0000}"/>
    <cellStyle name="Título 2 2 33" xfId="35837" xr:uid="{00000000-0005-0000-0000-0000E58C0000}"/>
    <cellStyle name="Título 2 2 34" xfId="35838" xr:uid="{00000000-0005-0000-0000-0000E68C0000}"/>
    <cellStyle name="Título 2 2 35" xfId="35839" xr:uid="{00000000-0005-0000-0000-0000E78C0000}"/>
    <cellStyle name="Título 2 2 36" xfId="35840" xr:uid="{00000000-0005-0000-0000-0000E88C0000}"/>
    <cellStyle name="Título 2 2 37" xfId="35841" xr:uid="{00000000-0005-0000-0000-0000E98C0000}"/>
    <cellStyle name="Título 2 2 38" xfId="35842" xr:uid="{00000000-0005-0000-0000-0000EA8C0000}"/>
    <cellStyle name="Título 2 2 4" xfId="35843" xr:uid="{00000000-0005-0000-0000-0000EB8C0000}"/>
    <cellStyle name="Título 2 2 5" xfId="35844" xr:uid="{00000000-0005-0000-0000-0000EC8C0000}"/>
    <cellStyle name="Título 2 2 6" xfId="35845" xr:uid="{00000000-0005-0000-0000-0000ED8C0000}"/>
    <cellStyle name="Título 2 2 7" xfId="35846" xr:uid="{00000000-0005-0000-0000-0000EE8C0000}"/>
    <cellStyle name="Título 2 2 8" xfId="35847" xr:uid="{00000000-0005-0000-0000-0000EF8C0000}"/>
    <cellStyle name="Título 2 2 9" xfId="35848" xr:uid="{00000000-0005-0000-0000-0000F08C0000}"/>
    <cellStyle name="Título 2 3" xfId="35849" xr:uid="{00000000-0005-0000-0000-0000F18C0000}"/>
    <cellStyle name="Título 2 3 10" xfId="35850" xr:uid="{00000000-0005-0000-0000-0000F28C0000}"/>
    <cellStyle name="Título 2 3 11" xfId="35851" xr:uid="{00000000-0005-0000-0000-0000F38C0000}"/>
    <cellStyle name="Título 2 3 12" xfId="35852" xr:uid="{00000000-0005-0000-0000-0000F48C0000}"/>
    <cellStyle name="Título 2 3 13" xfId="35853" xr:uid="{00000000-0005-0000-0000-0000F58C0000}"/>
    <cellStyle name="Título 2 3 14" xfId="35854" xr:uid="{00000000-0005-0000-0000-0000F68C0000}"/>
    <cellStyle name="Título 2 3 15" xfId="35855" xr:uid="{00000000-0005-0000-0000-0000F78C0000}"/>
    <cellStyle name="Título 2 3 16" xfId="35856" xr:uid="{00000000-0005-0000-0000-0000F88C0000}"/>
    <cellStyle name="Título 2 3 17" xfId="35857" xr:uid="{00000000-0005-0000-0000-0000F98C0000}"/>
    <cellStyle name="Título 2 3 18" xfId="35858" xr:uid="{00000000-0005-0000-0000-0000FA8C0000}"/>
    <cellStyle name="Título 2 3 19" xfId="35859" xr:uid="{00000000-0005-0000-0000-0000FB8C0000}"/>
    <cellStyle name="Título 2 3 2" xfId="35860" xr:uid="{00000000-0005-0000-0000-0000FC8C0000}"/>
    <cellStyle name="Título 2 3 20" xfId="35861" xr:uid="{00000000-0005-0000-0000-0000FD8C0000}"/>
    <cellStyle name="Título 2 3 21" xfId="35862" xr:uid="{00000000-0005-0000-0000-0000FE8C0000}"/>
    <cellStyle name="Título 2 3 22" xfId="35863" xr:uid="{00000000-0005-0000-0000-0000FF8C0000}"/>
    <cellStyle name="Título 2 3 23" xfId="35864" xr:uid="{00000000-0005-0000-0000-0000008D0000}"/>
    <cellStyle name="Título 2 3 24" xfId="35865" xr:uid="{00000000-0005-0000-0000-0000018D0000}"/>
    <cellStyle name="Título 2 3 25" xfId="35866" xr:uid="{00000000-0005-0000-0000-0000028D0000}"/>
    <cellStyle name="Título 2 3 26" xfId="35867" xr:uid="{00000000-0005-0000-0000-0000038D0000}"/>
    <cellStyle name="Título 2 3 27" xfId="35868" xr:uid="{00000000-0005-0000-0000-0000048D0000}"/>
    <cellStyle name="Título 2 3 28" xfId="35869" xr:uid="{00000000-0005-0000-0000-0000058D0000}"/>
    <cellStyle name="Título 2 3 29" xfId="35870" xr:uid="{00000000-0005-0000-0000-0000068D0000}"/>
    <cellStyle name="Título 2 3 3" xfId="35871" xr:uid="{00000000-0005-0000-0000-0000078D0000}"/>
    <cellStyle name="Título 2 3 30" xfId="35872" xr:uid="{00000000-0005-0000-0000-0000088D0000}"/>
    <cellStyle name="Título 2 3 31" xfId="35873" xr:uid="{00000000-0005-0000-0000-0000098D0000}"/>
    <cellStyle name="Título 2 3 32" xfId="35874" xr:uid="{00000000-0005-0000-0000-00000A8D0000}"/>
    <cellStyle name="Título 2 3 33" xfId="35875" xr:uid="{00000000-0005-0000-0000-00000B8D0000}"/>
    <cellStyle name="Título 2 3 34" xfId="35876" xr:uid="{00000000-0005-0000-0000-00000C8D0000}"/>
    <cellStyle name="Título 2 3 4" xfId="35877" xr:uid="{00000000-0005-0000-0000-00000D8D0000}"/>
    <cellStyle name="Título 2 3 5" xfId="35878" xr:uid="{00000000-0005-0000-0000-00000E8D0000}"/>
    <cellStyle name="Título 2 3 6" xfId="35879" xr:uid="{00000000-0005-0000-0000-00000F8D0000}"/>
    <cellStyle name="Título 2 3 7" xfId="35880" xr:uid="{00000000-0005-0000-0000-0000108D0000}"/>
    <cellStyle name="Título 2 3 8" xfId="35881" xr:uid="{00000000-0005-0000-0000-0000118D0000}"/>
    <cellStyle name="Título 2 3 9" xfId="35882" xr:uid="{00000000-0005-0000-0000-0000128D0000}"/>
    <cellStyle name="Título 2 4" xfId="35883" xr:uid="{00000000-0005-0000-0000-0000138D0000}"/>
    <cellStyle name="Título 2 4 2" xfId="35884" xr:uid="{00000000-0005-0000-0000-0000148D0000}"/>
    <cellStyle name="Título 2 4 3" xfId="35885" xr:uid="{00000000-0005-0000-0000-0000158D0000}"/>
    <cellStyle name="Título 2 4 4" xfId="35886" xr:uid="{00000000-0005-0000-0000-0000168D0000}"/>
    <cellStyle name="Título 2 5" xfId="35887" xr:uid="{00000000-0005-0000-0000-0000178D0000}"/>
    <cellStyle name="Título 2 5 2" xfId="35888" xr:uid="{00000000-0005-0000-0000-0000188D0000}"/>
    <cellStyle name="Título 2 5 3" xfId="35889" xr:uid="{00000000-0005-0000-0000-0000198D0000}"/>
    <cellStyle name="Título 2 5 4" xfId="35890" xr:uid="{00000000-0005-0000-0000-00001A8D0000}"/>
    <cellStyle name="Título 2 6" xfId="35891" xr:uid="{00000000-0005-0000-0000-00001B8D0000}"/>
    <cellStyle name="Título 2 6 2" xfId="35892" xr:uid="{00000000-0005-0000-0000-00001C8D0000}"/>
    <cellStyle name="Título 2 7" xfId="35893" xr:uid="{00000000-0005-0000-0000-00001D8D0000}"/>
    <cellStyle name="Título 2 7 2" xfId="35894" xr:uid="{00000000-0005-0000-0000-00001E8D0000}"/>
    <cellStyle name="Título 2 8" xfId="35895" xr:uid="{00000000-0005-0000-0000-00001F8D0000}"/>
    <cellStyle name="Título 2 9" xfId="35896" xr:uid="{00000000-0005-0000-0000-0000208D0000}"/>
    <cellStyle name="Título 3" xfId="58" builtinId="18" customBuiltin="1"/>
    <cellStyle name="Título 3 10" xfId="35897" xr:uid="{00000000-0005-0000-0000-0000228D0000}"/>
    <cellStyle name="Título 3 11" xfId="35898" xr:uid="{00000000-0005-0000-0000-0000238D0000}"/>
    <cellStyle name="Título 3 12" xfId="35899" xr:uid="{00000000-0005-0000-0000-0000248D0000}"/>
    <cellStyle name="Título 3 2" xfId="35900" xr:uid="{00000000-0005-0000-0000-0000258D0000}"/>
    <cellStyle name="Título 3 2 10" xfId="35901" xr:uid="{00000000-0005-0000-0000-0000268D0000}"/>
    <cellStyle name="Título 3 2 11" xfId="35902" xr:uid="{00000000-0005-0000-0000-0000278D0000}"/>
    <cellStyle name="Título 3 2 12" xfId="35903" xr:uid="{00000000-0005-0000-0000-0000288D0000}"/>
    <cellStyle name="Título 3 2 13" xfId="35904" xr:uid="{00000000-0005-0000-0000-0000298D0000}"/>
    <cellStyle name="Título 3 2 14" xfId="35905" xr:uid="{00000000-0005-0000-0000-00002A8D0000}"/>
    <cellStyle name="Título 3 2 15" xfId="35906" xr:uid="{00000000-0005-0000-0000-00002B8D0000}"/>
    <cellStyle name="Título 3 2 16" xfId="35907" xr:uid="{00000000-0005-0000-0000-00002C8D0000}"/>
    <cellStyle name="Título 3 2 17" xfId="35908" xr:uid="{00000000-0005-0000-0000-00002D8D0000}"/>
    <cellStyle name="Título 3 2 18" xfId="35909" xr:uid="{00000000-0005-0000-0000-00002E8D0000}"/>
    <cellStyle name="Título 3 2 19" xfId="35910" xr:uid="{00000000-0005-0000-0000-00002F8D0000}"/>
    <cellStyle name="Título 3 2 2" xfId="35911" xr:uid="{00000000-0005-0000-0000-0000308D0000}"/>
    <cellStyle name="Título 3 2 20" xfId="35912" xr:uid="{00000000-0005-0000-0000-0000318D0000}"/>
    <cellStyle name="Título 3 2 21" xfId="35913" xr:uid="{00000000-0005-0000-0000-0000328D0000}"/>
    <cellStyle name="Título 3 2 22" xfId="35914" xr:uid="{00000000-0005-0000-0000-0000338D0000}"/>
    <cellStyle name="Título 3 2 23" xfId="35915" xr:uid="{00000000-0005-0000-0000-0000348D0000}"/>
    <cellStyle name="Título 3 2 24" xfId="35916" xr:uid="{00000000-0005-0000-0000-0000358D0000}"/>
    <cellStyle name="Título 3 2 25" xfId="35917" xr:uid="{00000000-0005-0000-0000-0000368D0000}"/>
    <cellStyle name="Título 3 2 26" xfId="35918" xr:uid="{00000000-0005-0000-0000-0000378D0000}"/>
    <cellStyle name="Título 3 2 27" xfId="35919" xr:uid="{00000000-0005-0000-0000-0000388D0000}"/>
    <cellStyle name="Título 3 2 28" xfId="35920" xr:uid="{00000000-0005-0000-0000-0000398D0000}"/>
    <cellStyle name="Título 3 2 29" xfId="35921" xr:uid="{00000000-0005-0000-0000-00003A8D0000}"/>
    <cellStyle name="Título 3 2 3" xfId="35922" xr:uid="{00000000-0005-0000-0000-00003B8D0000}"/>
    <cellStyle name="Título 3 2 30" xfId="35923" xr:uid="{00000000-0005-0000-0000-00003C8D0000}"/>
    <cellStyle name="Título 3 2 31" xfId="35924" xr:uid="{00000000-0005-0000-0000-00003D8D0000}"/>
    <cellStyle name="Título 3 2 32" xfId="35925" xr:uid="{00000000-0005-0000-0000-00003E8D0000}"/>
    <cellStyle name="Título 3 2 33" xfId="35926" xr:uid="{00000000-0005-0000-0000-00003F8D0000}"/>
    <cellStyle name="Título 3 2 34" xfId="35927" xr:uid="{00000000-0005-0000-0000-0000408D0000}"/>
    <cellStyle name="Título 3 2 35" xfId="35928" xr:uid="{00000000-0005-0000-0000-0000418D0000}"/>
    <cellStyle name="Título 3 2 36" xfId="35929" xr:uid="{00000000-0005-0000-0000-0000428D0000}"/>
    <cellStyle name="Título 3 2 37" xfId="35930" xr:uid="{00000000-0005-0000-0000-0000438D0000}"/>
    <cellStyle name="Título 3 2 38" xfId="35931" xr:uid="{00000000-0005-0000-0000-0000448D0000}"/>
    <cellStyle name="Título 3 2 4" xfId="35932" xr:uid="{00000000-0005-0000-0000-0000458D0000}"/>
    <cellStyle name="Título 3 2 5" xfId="35933" xr:uid="{00000000-0005-0000-0000-0000468D0000}"/>
    <cellStyle name="Título 3 2 6" xfId="35934" xr:uid="{00000000-0005-0000-0000-0000478D0000}"/>
    <cellStyle name="Título 3 2 7" xfId="35935" xr:uid="{00000000-0005-0000-0000-0000488D0000}"/>
    <cellStyle name="Título 3 2 8" xfId="35936" xr:uid="{00000000-0005-0000-0000-0000498D0000}"/>
    <cellStyle name="Título 3 2 9" xfId="35937" xr:uid="{00000000-0005-0000-0000-00004A8D0000}"/>
    <cellStyle name="Título 3 3" xfId="35938" xr:uid="{00000000-0005-0000-0000-00004B8D0000}"/>
    <cellStyle name="Título 3 3 10" xfId="35939" xr:uid="{00000000-0005-0000-0000-00004C8D0000}"/>
    <cellStyle name="Título 3 3 11" xfId="35940" xr:uid="{00000000-0005-0000-0000-00004D8D0000}"/>
    <cellStyle name="Título 3 3 12" xfId="35941" xr:uid="{00000000-0005-0000-0000-00004E8D0000}"/>
    <cellStyle name="Título 3 3 13" xfId="35942" xr:uid="{00000000-0005-0000-0000-00004F8D0000}"/>
    <cellStyle name="Título 3 3 14" xfId="35943" xr:uid="{00000000-0005-0000-0000-0000508D0000}"/>
    <cellStyle name="Título 3 3 15" xfId="35944" xr:uid="{00000000-0005-0000-0000-0000518D0000}"/>
    <cellStyle name="Título 3 3 16" xfId="35945" xr:uid="{00000000-0005-0000-0000-0000528D0000}"/>
    <cellStyle name="Título 3 3 17" xfId="35946" xr:uid="{00000000-0005-0000-0000-0000538D0000}"/>
    <cellStyle name="Título 3 3 18" xfId="35947" xr:uid="{00000000-0005-0000-0000-0000548D0000}"/>
    <cellStyle name="Título 3 3 19" xfId="35948" xr:uid="{00000000-0005-0000-0000-0000558D0000}"/>
    <cellStyle name="Título 3 3 2" xfId="35949" xr:uid="{00000000-0005-0000-0000-0000568D0000}"/>
    <cellStyle name="Título 3 3 20" xfId="35950" xr:uid="{00000000-0005-0000-0000-0000578D0000}"/>
    <cellStyle name="Título 3 3 21" xfId="35951" xr:uid="{00000000-0005-0000-0000-0000588D0000}"/>
    <cellStyle name="Título 3 3 22" xfId="35952" xr:uid="{00000000-0005-0000-0000-0000598D0000}"/>
    <cellStyle name="Título 3 3 23" xfId="35953" xr:uid="{00000000-0005-0000-0000-00005A8D0000}"/>
    <cellStyle name="Título 3 3 24" xfId="35954" xr:uid="{00000000-0005-0000-0000-00005B8D0000}"/>
    <cellStyle name="Título 3 3 25" xfId="35955" xr:uid="{00000000-0005-0000-0000-00005C8D0000}"/>
    <cellStyle name="Título 3 3 26" xfId="35956" xr:uid="{00000000-0005-0000-0000-00005D8D0000}"/>
    <cellStyle name="Título 3 3 27" xfId="35957" xr:uid="{00000000-0005-0000-0000-00005E8D0000}"/>
    <cellStyle name="Título 3 3 28" xfId="35958" xr:uid="{00000000-0005-0000-0000-00005F8D0000}"/>
    <cellStyle name="Título 3 3 29" xfId="35959" xr:uid="{00000000-0005-0000-0000-0000608D0000}"/>
    <cellStyle name="Título 3 3 3" xfId="35960" xr:uid="{00000000-0005-0000-0000-0000618D0000}"/>
    <cellStyle name="Título 3 3 30" xfId="35961" xr:uid="{00000000-0005-0000-0000-0000628D0000}"/>
    <cellStyle name="Título 3 3 31" xfId="35962" xr:uid="{00000000-0005-0000-0000-0000638D0000}"/>
    <cellStyle name="Título 3 3 32" xfId="35963" xr:uid="{00000000-0005-0000-0000-0000648D0000}"/>
    <cellStyle name="Título 3 3 33" xfId="35964" xr:uid="{00000000-0005-0000-0000-0000658D0000}"/>
    <cellStyle name="Título 3 3 34" xfId="35965" xr:uid="{00000000-0005-0000-0000-0000668D0000}"/>
    <cellStyle name="Título 3 3 4" xfId="35966" xr:uid="{00000000-0005-0000-0000-0000678D0000}"/>
    <cellStyle name="Título 3 3 5" xfId="35967" xr:uid="{00000000-0005-0000-0000-0000688D0000}"/>
    <cellStyle name="Título 3 3 6" xfId="35968" xr:uid="{00000000-0005-0000-0000-0000698D0000}"/>
    <cellStyle name="Título 3 3 7" xfId="35969" xr:uid="{00000000-0005-0000-0000-00006A8D0000}"/>
    <cellStyle name="Título 3 3 8" xfId="35970" xr:uid="{00000000-0005-0000-0000-00006B8D0000}"/>
    <cellStyle name="Título 3 3 9" xfId="35971" xr:uid="{00000000-0005-0000-0000-00006C8D0000}"/>
    <cellStyle name="Título 3 4" xfId="35972" xr:uid="{00000000-0005-0000-0000-00006D8D0000}"/>
    <cellStyle name="Título 3 4 2" xfId="35973" xr:uid="{00000000-0005-0000-0000-00006E8D0000}"/>
    <cellStyle name="Título 3 4 3" xfId="35974" xr:uid="{00000000-0005-0000-0000-00006F8D0000}"/>
    <cellStyle name="Título 3 4 4" xfId="35975" xr:uid="{00000000-0005-0000-0000-0000708D0000}"/>
    <cellStyle name="Título 3 5" xfId="35976" xr:uid="{00000000-0005-0000-0000-0000718D0000}"/>
    <cellStyle name="Título 3 5 2" xfId="35977" xr:uid="{00000000-0005-0000-0000-0000728D0000}"/>
    <cellStyle name="Título 3 5 3" xfId="35978" xr:uid="{00000000-0005-0000-0000-0000738D0000}"/>
    <cellStyle name="Título 3 5 4" xfId="35979" xr:uid="{00000000-0005-0000-0000-0000748D0000}"/>
    <cellStyle name="Título 3 6" xfId="35980" xr:uid="{00000000-0005-0000-0000-0000758D0000}"/>
    <cellStyle name="Título 3 6 2" xfId="35981" xr:uid="{00000000-0005-0000-0000-0000768D0000}"/>
    <cellStyle name="Título 3 7" xfId="35982" xr:uid="{00000000-0005-0000-0000-0000778D0000}"/>
    <cellStyle name="Título 3 7 2" xfId="35983" xr:uid="{00000000-0005-0000-0000-0000788D0000}"/>
    <cellStyle name="Título 3 8" xfId="35984" xr:uid="{00000000-0005-0000-0000-0000798D0000}"/>
    <cellStyle name="Título 3 9" xfId="35985" xr:uid="{00000000-0005-0000-0000-00007A8D0000}"/>
    <cellStyle name="Título 4" xfId="35986" xr:uid="{00000000-0005-0000-0000-00007B8D0000}"/>
    <cellStyle name="Título 4 10" xfId="35987" xr:uid="{00000000-0005-0000-0000-00007C8D0000}"/>
    <cellStyle name="Título 4 11" xfId="35988" xr:uid="{00000000-0005-0000-0000-00007D8D0000}"/>
    <cellStyle name="Título 4 2" xfId="35989" xr:uid="{00000000-0005-0000-0000-00007E8D0000}"/>
    <cellStyle name="Título 4 3" xfId="35990" xr:uid="{00000000-0005-0000-0000-00007F8D0000}"/>
    <cellStyle name="Título 4 4" xfId="35991" xr:uid="{00000000-0005-0000-0000-0000808D0000}"/>
    <cellStyle name="Título 4 5" xfId="35992" xr:uid="{00000000-0005-0000-0000-0000818D0000}"/>
    <cellStyle name="Título 4 6" xfId="35993" xr:uid="{00000000-0005-0000-0000-0000828D0000}"/>
    <cellStyle name="Título 4 7" xfId="35994" xr:uid="{00000000-0005-0000-0000-0000838D0000}"/>
    <cellStyle name="Título 4 8" xfId="35995" xr:uid="{00000000-0005-0000-0000-0000848D0000}"/>
    <cellStyle name="Título 4 9" xfId="35996" xr:uid="{00000000-0005-0000-0000-0000858D0000}"/>
    <cellStyle name="Título 5" xfId="35997" xr:uid="{00000000-0005-0000-0000-0000868D0000}"/>
    <cellStyle name="Título 5 2" xfId="35998" xr:uid="{00000000-0005-0000-0000-0000878D0000}"/>
    <cellStyle name="Título 5 3" xfId="35999" xr:uid="{00000000-0005-0000-0000-0000888D0000}"/>
    <cellStyle name="Título 5 4" xfId="36000" xr:uid="{00000000-0005-0000-0000-0000898D0000}"/>
    <cellStyle name="Título 5 5" xfId="36001" xr:uid="{00000000-0005-0000-0000-00008A8D0000}"/>
    <cellStyle name="Título 5 6" xfId="36002" xr:uid="{00000000-0005-0000-0000-00008B8D0000}"/>
    <cellStyle name="Título 6" xfId="36003" xr:uid="{00000000-0005-0000-0000-00008C8D0000}"/>
    <cellStyle name="Título 6 2" xfId="36004" xr:uid="{00000000-0005-0000-0000-00008D8D0000}"/>
    <cellStyle name="Título 6 3" xfId="36005" xr:uid="{00000000-0005-0000-0000-00008E8D0000}"/>
    <cellStyle name="Título 6 4" xfId="36006" xr:uid="{00000000-0005-0000-0000-00008F8D0000}"/>
    <cellStyle name="Título 7" xfId="36007" xr:uid="{00000000-0005-0000-0000-0000908D0000}"/>
    <cellStyle name="Título 7 2" xfId="36008" xr:uid="{00000000-0005-0000-0000-0000918D0000}"/>
    <cellStyle name="Título 7 3" xfId="36009" xr:uid="{00000000-0005-0000-0000-0000928D0000}"/>
    <cellStyle name="Título 7 4" xfId="36010" xr:uid="{00000000-0005-0000-0000-0000938D0000}"/>
    <cellStyle name="Título 8" xfId="36011" xr:uid="{00000000-0005-0000-0000-0000948D0000}"/>
    <cellStyle name="Título 8 2" xfId="36012" xr:uid="{00000000-0005-0000-0000-0000958D0000}"/>
    <cellStyle name="Título 9" xfId="36013" xr:uid="{00000000-0005-0000-0000-0000968D0000}"/>
    <cellStyle name="Título 9 2" xfId="36014" xr:uid="{00000000-0005-0000-0000-0000978D0000}"/>
    <cellStyle name="Título de hoja" xfId="36015" xr:uid="{00000000-0005-0000-0000-0000988D0000}"/>
    <cellStyle name="Título de hoja 2" xfId="36016" xr:uid="{00000000-0005-0000-0000-0000998D0000}"/>
    <cellStyle name="Titulo1" xfId="36017" xr:uid="{00000000-0005-0000-0000-00009A8D0000}"/>
    <cellStyle name="Titulo2" xfId="36018" xr:uid="{00000000-0005-0000-0000-00009B8D0000}"/>
    <cellStyle name="titulomov" xfId="36019" xr:uid="{00000000-0005-0000-0000-00009C8D0000}"/>
    <cellStyle name="Todos" xfId="36020" xr:uid="{00000000-0005-0000-0000-00009D8D0000}"/>
    <cellStyle name="TopGrey" xfId="36021" xr:uid="{00000000-0005-0000-0000-00009E8D0000}"/>
    <cellStyle name="Topheader" xfId="36022" xr:uid="{00000000-0005-0000-0000-00009F8D0000}"/>
    <cellStyle name="Total" xfId="59" builtinId="25" customBuiltin="1"/>
    <cellStyle name="Total 10" xfId="36023" xr:uid="{00000000-0005-0000-0000-0000A18D0000}"/>
    <cellStyle name="Total 11" xfId="36024" xr:uid="{00000000-0005-0000-0000-0000A28D0000}"/>
    <cellStyle name="Total 2" xfId="36025" xr:uid="{00000000-0005-0000-0000-0000A38D0000}"/>
    <cellStyle name="Total 2 10" xfId="36026" xr:uid="{00000000-0005-0000-0000-0000A48D0000}"/>
    <cellStyle name="Total 2 11" xfId="36027" xr:uid="{00000000-0005-0000-0000-0000A58D0000}"/>
    <cellStyle name="Total 2 12" xfId="36028" xr:uid="{00000000-0005-0000-0000-0000A68D0000}"/>
    <cellStyle name="Total 2 13" xfId="36029" xr:uid="{00000000-0005-0000-0000-0000A78D0000}"/>
    <cellStyle name="Total 2 14" xfId="36030" xr:uid="{00000000-0005-0000-0000-0000A88D0000}"/>
    <cellStyle name="Total 2 15" xfId="36031" xr:uid="{00000000-0005-0000-0000-0000A98D0000}"/>
    <cellStyle name="Total 2 16" xfId="36032" xr:uid="{00000000-0005-0000-0000-0000AA8D0000}"/>
    <cellStyle name="Total 2 17" xfId="36033" xr:uid="{00000000-0005-0000-0000-0000AB8D0000}"/>
    <cellStyle name="Total 2 18" xfId="36034" xr:uid="{00000000-0005-0000-0000-0000AC8D0000}"/>
    <cellStyle name="Total 2 19" xfId="36035" xr:uid="{00000000-0005-0000-0000-0000AD8D0000}"/>
    <cellStyle name="Total 2 2" xfId="36036" xr:uid="{00000000-0005-0000-0000-0000AE8D0000}"/>
    <cellStyle name="Total 2 20" xfId="36037" xr:uid="{00000000-0005-0000-0000-0000AF8D0000}"/>
    <cellStyle name="Total 2 21" xfId="36038" xr:uid="{00000000-0005-0000-0000-0000B08D0000}"/>
    <cellStyle name="Total 2 22" xfId="36039" xr:uid="{00000000-0005-0000-0000-0000B18D0000}"/>
    <cellStyle name="Total 2 23" xfId="36040" xr:uid="{00000000-0005-0000-0000-0000B28D0000}"/>
    <cellStyle name="Total 2 24" xfId="36041" xr:uid="{00000000-0005-0000-0000-0000B38D0000}"/>
    <cellStyle name="Total 2 25" xfId="36042" xr:uid="{00000000-0005-0000-0000-0000B48D0000}"/>
    <cellStyle name="Total 2 26" xfId="36043" xr:uid="{00000000-0005-0000-0000-0000B58D0000}"/>
    <cellStyle name="Total 2 27" xfId="36044" xr:uid="{00000000-0005-0000-0000-0000B68D0000}"/>
    <cellStyle name="Total 2 28" xfId="36045" xr:uid="{00000000-0005-0000-0000-0000B78D0000}"/>
    <cellStyle name="Total 2 29" xfId="36046" xr:uid="{00000000-0005-0000-0000-0000B88D0000}"/>
    <cellStyle name="Total 2 3" xfId="36047" xr:uid="{00000000-0005-0000-0000-0000B98D0000}"/>
    <cellStyle name="Total 2 30" xfId="36048" xr:uid="{00000000-0005-0000-0000-0000BA8D0000}"/>
    <cellStyle name="Total 2 31" xfId="36049" xr:uid="{00000000-0005-0000-0000-0000BB8D0000}"/>
    <cellStyle name="Total 2 32" xfId="36050" xr:uid="{00000000-0005-0000-0000-0000BC8D0000}"/>
    <cellStyle name="Total 2 33" xfId="36051" xr:uid="{00000000-0005-0000-0000-0000BD8D0000}"/>
    <cellStyle name="Total 2 34" xfId="36052" xr:uid="{00000000-0005-0000-0000-0000BE8D0000}"/>
    <cellStyle name="Total 2 35" xfId="36053" xr:uid="{00000000-0005-0000-0000-0000BF8D0000}"/>
    <cellStyle name="Total 2 36" xfId="36054" xr:uid="{00000000-0005-0000-0000-0000C08D0000}"/>
    <cellStyle name="Total 2 37" xfId="36055" xr:uid="{00000000-0005-0000-0000-0000C18D0000}"/>
    <cellStyle name="Total 2 38" xfId="36056" xr:uid="{00000000-0005-0000-0000-0000C28D0000}"/>
    <cellStyle name="Total 2 4" xfId="36057" xr:uid="{00000000-0005-0000-0000-0000C38D0000}"/>
    <cellStyle name="Total 2 5" xfId="36058" xr:uid="{00000000-0005-0000-0000-0000C48D0000}"/>
    <cellStyle name="Total 2 6" xfId="36059" xr:uid="{00000000-0005-0000-0000-0000C58D0000}"/>
    <cellStyle name="Total 2 7" xfId="36060" xr:uid="{00000000-0005-0000-0000-0000C68D0000}"/>
    <cellStyle name="Total 2 8" xfId="36061" xr:uid="{00000000-0005-0000-0000-0000C78D0000}"/>
    <cellStyle name="Total 2 9" xfId="36062" xr:uid="{00000000-0005-0000-0000-0000C88D0000}"/>
    <cellStyle name="Total 3" xfId="36063" xr:uid="{00000000-0005-0000-0000-0000C98D0000}"/>
    <cellStyle name="Total 3 10" xfId="36064" xr:uid="{00000000-0005-0000-0000-0000CA8D0000}"/>
    <cellStyle name="Total 3 11" xfId="36065" xr:uid="{00000000-0005-0000-0000-0000CB8D0000}"/>
    <cellStyle name="Total 3 12" xfId="36066" xr:uid="{00000000-0005-0000-0000-0000CC8D0000}"/>
    <cellStyle name="Total 3 13" xfId="36067" xr:uid="{00000000-0005-0000-0000-0000CD8D0000}"/>
    <cellStyle name="Total 3 14" xfId="36068" xr:uid="{00000000-0005-0000-0000-0000CE8D0000}"/>
    <cellStyle name="Total 3 15" xfId="36069" xr:uid="{00000000-0005-0000-0000-0000CF8D0000}"/>
    <cellStyle name="Total 3 16" xfId="36070" xr:uid="{00000000-0005-0000-0000-0000D08D0000}"/>
    <cellStyle name="Total 3 17" xfId="36071" xr:uid="{00000000-0005-0000-0000-0000D18D0000}"/>
    <cellStyle name="Total 3 18" xfId="36072" xr:uid="{00000000-0005-0000-0000-0000D28D0000}"/>
    <cellStyle name="Total 3 19" xfId="36073" xr:uid="{00000000-0005-0000-0000-0000D38D0000}"/>
    <cellStyle name="Total 3 2" xfId="36074" xr:uid="{00000000-0005-0000-0000-0000D48D0000}"/>
    <cellStyle name="Total 3 20" xfId="36075" xr:uid="{00000000-0005-0000-0000-0000D58D0000}"/>
    <cellStyle name="Total 3 21" xfId="36076" xr:uid="{00000000-0005-0000-0000-0000D68D0000}"/>
    <cellStyle name="Total 3 22" xfId="36077" xr:uid="{00000000-0005-0000-0000-0000D78D0000}"/>
    <cellStyle name="Total 3 23" xfId="36078" xr:uid="{00000000-0005-0000-0000-0000D88D0000}"/>
    <cellStyle name="Total 3 24" xfId="36079" xr:uid="{00000000-0005-0000-0000-0000D98D0000}"/>
    <cellStyle name="Total 3 25" xfId="36080" xr:uid="{00000000-0005-0000-0000-0000DA8D0000}"/>
    <cellStyle name="Total 3 26" xfId="36081" xr:uid="{00000000-0005-0000-0000-0000DB8D0000}"/>
    <cellStyle name="Total 3 27" xfId="36082" xr:uid="{00000000-0005-0000-0000-0000DC8D0000}"/>
    <cellStyle name="Total 3 28" xfId="36083" xr:uid="{00000000-0005-0000-0000-0000DD8D0000}"/>
    <cellStyle name="Total 3 29" xfId="36084" xr:uid="{00000000-0005-0000-0000-0000DE8D0000}"/>
    <cellStyle name="Total 3 3" xfId="36085" xr:uid="{00000000-0005-0000-0000-0000DF8D0000}"/>
    <cellStyle name="Total 3 30" xfId="36086" xr:uid="{00000000-0005-0000-0000-0000E08D0000}"/>
    <cellStyle name="Total 3 31" xfId="36087" xr:uid="{00000000-0005-0000-0000-0000E18D0000}"/>
    <cellStyle name="Total 3 32" xfId="36088" xr:uid="{00000000-0005-0000-0000-0000E28D0000}"/>
    <cellStyle name="Total 3 33" xfId="36089" xr:uid="{00000000-0005-0000-0000-0000E38D0000}"/>
    <cellStyle name="Total 3 34" xfId="36090" xr:uid="{00000000-0005-0000-0000-0000E48D0000}"/>
    <cellStyle name="Total 3 4" xfId="36091" xr:uid="{00000000-0005-0000-0000-0000E58D0000}"/>
    <cellStyle name="Total 3 5" xfId="36092" xr:uid="{00000000-0005-0000-0000-0000E68D0000}"/>
    <cellStyle name="Total 3 6" xfId="36093" xr:uid="{00000000-0005-0000-0000-0000E78D0000}"/>
    <cellStyle name="Total 3 7" xfId="36094" xr:uid="{00000000-0005-0000-0000-0000E88D0000}"/>
    <cellStyle name="Total 3 8" xfId="36095" xr:uid="{00000000-0005-0000-0000-0000E98D0000}"/>
    <cellStyle name="Total 3 9" xfId="36096" xr:uid="{00000000-0005-0000-0000-0000EA8D0000}"/>
    <cellStyle name="Total 4" xfId="36097" xr:uid="{00000000-0005-0000-0000-0000EB8D0000}"/>
    <cellStyle name="Total 4 2" xfId="36098" xr:uid="{00000000-0005-0000-0000-0000EC8D0000}"/>
    <cellStyle name="Total 4 3" xfId="36099" xr:uid="{00000000-0005-0000-0000-0000ED8D0000}"/>
    <cellStyle name="Total 4 4" xfId="36100" xr:uid="{00000000-0005-0000-0000-0000EE8D0000}"/>
    <cellStyle name="Total 5" xfId="36101" xr:uid="{00000000-0005-0000-0000-0000EF8D0000}"/>
    <cellStyle name="Total 5 2" xfId="36102" xr:uid="{00000000-0005-0000-0000-0000F08D0000}"/>
    <cellStyle name="Total 5 3" xfId="36103" xr:uid="{00000000-0005-0000-0000-0000F18D0000}"/>
    <cellStyle name="Total 5 4" xfId="36104" xr:uid="{00000000-0005-0000-0000-0000F28D0000}"/>
    <cellStyle name="Total 6" xfId="36105" xr:uid="{00000000-0005-0000-0000-0000F38D0000}"/>
    <cellStyle name="Total 6 2" xfId="36106" xr:uid="{00000000-0005-0000-0000-0000F48D0000}"/>
    <cellStyle name="Total 7" xfId="36107" xr:uid="{00000000-0005-0000-0000-0000F58D0000}"/>
    <cellStyle name="Total 7 2" xfId="36108" xr:uid="{00000000-0005-0000-0000-0000F68D0000}"/>
    <cellStyle name="Total 8" xfId="36109" xr:uid="{00000000-0005-0000-0000-0000F78D0000}"/>
    <cellStyle name="Total 9" xfId="36110" xr:uid="{00000000-0005-0000-0000-0000F88D0000}"/>
    <cellStyle name="Underline_Double" xfId="36111" xr:uid="{00000000-0005-0000-0000-0000F98D0000}"/>
    <cellStyle name="valore calcolato" xfId="36112" xr:uid="{00000000-0005-0000-0000-0000FA8D0000}"/>
    <cellStyle name="Valores[2]" xfId="36113" xr:uid="{00000000-0005-0000-0000-0000FB8D0000}"/>
    <cellStyle name="Valuta (0)_ cellular Costs" xfId="36114" xr:uid="{00000000-0005-0000-0000-0000FC8D0000}"/>
    <cellStyle name="Valuta_ cellular Costs" xfId="36115" xr:uid="{00000000-0005-0000-0000-0000FD8D0000}"/>
    <cellStyle name="Währung [0]_FS11" xfId="36116" xr:uid="{00000000-0005-0000-0000-0000FE8D0000}"/>
    <cellStyle name="Währung_FS01" xfId="36117" xr:uid="{00000000-0005-0000-0000-0000FF8D0000}"/>
    <cellStyle name="Warning Text" xfId="36118" xr:uid="{00000000-0005-0000-0000-0000008E0000}"/>
    <cellStyle name="Warning Text 2" xfId="36119" xr:uid="{00000000-0005-0000-0000-0000018E0000}"/>
    <cellStyle name="WhitePattern1" xfId="36120" xr:uid="{00000000-0005-0000-0000-0000028E0000}"/>
    <cellStyle name="WingDing" xfId="36121" xr:uid="{00000000-0005-0000-0000-0000038E0000}"/>
    <cellStyle name="Wrapped" xfId="36122" xr:uid="{00000000-0005-0000-0000-0000048E0000}"/>
    <cellStyle name="콤마 [0]_laroux" xfId="36123" xr:uid="{00000000-0005-0000-0000-0000058E0000}"/>
    <cellStyle name="콤마_laroux" xfId="36124" xr:uid="{00000000-0005-0000-0000-0000068E0000}"/>
    <cellStyle name="통화 [0]_laroux" xfId="36125" xr:uid="{00000000-0005-0000-0000-0000078E0000}"/>
    <cellStyle name="통화_laroux" xfId="36126" xr:uid="{00000000-0005-0000-0000-0000088E0000}"/>
    <cellStyle name="표준_laroux" xfId="36127" xr:uid="{00000000-0005-0000-0000-0000098E0000}"/>
    <cellStyle name="常规_Annex 6 - Sao Paulo 20W Rev9" xfId="36128" xr:uid="{00000000-0005-0000-0000-00000A8E0000}"/>
    <cellStyle name="標準_ﾎﾟｼﾞｼｮﾝ報告表" xfId="36229" xr:uid="{00000000-0005-0000-0000-00000B8E0000}"/>
  </cellStyles>
  <dxfs count="1474"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wrapText="1"/>
    </dxf>
    <dxf>
      <alignment wrapText="1"/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FFFF00"/>
      </font>
    </dxf>
    <dxf>
      <alignment vertical="center"/>
    </dxf>
    <dxf>
      <alignment horizontal="center"/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border>
        <vertical style="thin">
          <color theme="0" tint="-0.14996795556505021"/>
        </vertical>
        <horizontal style="thin">
          <color theme="0" tint="-0.14996795556505021"/>
        </horizontal>
      </border>
    </dxf>
    <dxf>
      <alignment horizontal="left"/>
    </dxf>
    <dxf>
      <alignment horizontal="left"/>
    </dxf>
    <dxf>
      <alignment horizontal="left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  <color theme="0"/>
      </font>
      <fill>
        <patternFill>
          <bgColor theme="5" tint="-0.24994659260841701"/>
        </patternFill>
      </fill>
    </dxf>
    <dxf>
      <font>
        <b/>
        <i val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auto="1"/>
      </font>
      <fill>
        <patternFill>
          <bgColor indexed="1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  <color rgb="FF00B050"/>
      </font>
    </dxf>
  </dxfs>
  <tableStyles count="0" defaultTableStyle="TableStyleMedium9" defaultPivotStyle="PivotStyleLight16"/>
  <colors>
    <mruColors>
      <color rgb="FFFFFF00"/>
      <color rgb="FFFFFF66"/>
      <color rgb="FFFFFF99"/>
      <color rgb="FFD6009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externalLink" Target="externalLinks/externalLink1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bposgromero.sharepoint.com/teams/ComexPlaneamiento/Documentos%20compartidos/Comex/EMBARQUES%20EQUILIBRA%20RE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DD"/>
      <sheetName val="IMPORTS"/>
      <sheetName val="PED&amp;ANT"/>
      <sheetName val="DOCS ENTREGADOS"/>
      <sheetName val="DOCS RECIBIDOS"/>
      <sheetName val="DAM"/>
      <sheetName val="RANSA"/>
      <sheetName val="PLANTILLAS"/>
      <sheetName val="FAM-CLAS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Evelin Alejandra Rojas Valderrama" id="{484695F0-057F-4C62-AED4-87A175015960}" userId="S::erojasva@equilibra.pe::04326294-bcd7-4b08-a4eb-0ddebeacb0f1" providerId="AD"/>
  <person displayName="Kattia Aldave" id="{C5381476-D585-4CE7-BB3B-6952DA0A1029}" userId="S::kaldave_segugroup.com#ext#@bposgromero.onmicrosoft.com::e304bdf9-838c-4fa0-a55d-06a2ac9cef0f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lyn Luna Carrillo" refreshedDate="44712.525450000001" createdVersion="8" refreshedVersion="8" minRefreshableVersion="3" recordCount="2033" xr:uid="{D8446621-CAB9-41FF-AA80-17F2DE4B42E8}">
  <cacheSource type="worksheet">
    <worksheetSource ref="A1:CJ2034" sheet="IMPORTS"/>
  </cacheSource>
  <cacheFields count="89">
    <cacheField name="AÑO CONTRATO" numFmtId="1">
      <sharedItems containsSemiMixedTypes="0" containsString="0" containsNumber="1" containsInteger="1" minValue="2017" maxValue="2022"/>
    </cacheField>
    <cacheField name="FAMILIA-TIPO" numFmtId="0">
      <sharedItems containsBlank="1"/>
    </cacheField>
    <cacheField name="ESTATUS 1" numFmtId="15">
      <sharedItems count="2">
        <s v="CONCLUIDO"/>
        <s v="EN PROCESO"/>
      </sharedItems>
    </cacheField>
    <cacheField name="ESTATUS 2" numFmtId="0">
      <sharedItems count="8">
        <s v="TERMINADO"/>
        <s v="CANCELADO"/>
        <s v="REEMPLAZADO"/>
        <s v="PENDIENTE"/>
        <s v="EN DESCARGA"/>
        <s v="EN TRÁNSITO"/>
        <s v="PDT INGR OC"/>
        <s v="SUCAMEC"/>
      </sharedItems>
    </cacheField>
    <cacheField name="CRITICIDAD" numFmtId="0">
      <sharedItems containsBlank="1"/>
    </cacheField>
    <cacheField name="PARETO" numFmtId="0">
      <sharedItems containsBlank="1"/>
    </cacheField>
    <cacheField name="REF. COMEX" numFmtId="0">
      <sharedItems count="2033">
        <s v="(VS)MF-009A/17"/>
        <s v="(VS)MF-009B/17"/>
        <s v="(VS)MF-009C/17"/>
        <s v="(VS)MF-009D/17"/>
        <s v="(VS)MF-009E/17"/>
        <s v="(VS)MF-011A/17"/>
        <s v="(VS)MF-014B/17"/>
        <s v="(VS)MF-019/17"/>
        <s v="(VS)MF-022/17"/>
        <s v="(VS)MF-023/17"/>
        <s v="(VS)MF-047/17"/>
        <s v="(VS)MF-048B/17"/>
        <s v="(VS)MF-048C/17"/>
        <s v="(VS)MF-048D/17"/>
        <s v="(VS)MF-048E/17"/>
        <s v="(VS)MF-049A/17"/>
        <s v="(VS)MF-049B/17"/>
        <s v="(VS)MF-049C/17"/>
        <s v="(VS)MF-049D/17"/>
        <s v="(VS)MF-049E/17"/>
        <s v="(VS)MF-050A/17"/>
        <s v="(VS)MF-050B/17"/>
        <s v="(VS)MF-050C/17"/>
        <s v="(VS)MF-050D/17"/>
        <s v="(VS)MF-050E/17"/>
        <s v="(VS)MF-051/17"/>
        <s v="(VS)MF-059A/17"/>
        <s v="(VS)MF-059B/17"/>
        <s v="(VS)MF-059C/17"/>
        <s v="MF-001/17"/>
        <s v="MF-002/17"/>
        <s v="MF-003/17"/>
        <s v="MF-004/17"/>
        <s v="MF-005/17"/>
        <s v="MF-006/17"/>
        <s v="MF-007/17"/>
        <s v="MF-008/17"/>
        <s v="MF-009/17"/>
        <s v="MF-010/17"/>
        <s v="MF-011/17"/>
        <s v="MF-012/17"/>
        <s v="MF-013/17"/>
        <s v="MF-014/17"/>
        <s v="MF-015/17"/>
        <s v="MF-016/17"/>
        <s v="MF-017A/17"/>
        <s v="MF-017B/17"/>
        <s v="MF-018A/17"/>
        <s v="MF-018B/17"/>
        <s v="MF-019/17"/>
        <s v="MF-020/17"/>
        <s v="MF-021/17"/>
        <s v="MF-022A/17"/>
        <s v="MF-022B/17"/>
        <s v="MF-022C/17"/>
        <s v="MF-022D/17"/>
        <s v="MF-022E/17"/>
        <s v="MF-023A/17"/>
        <s v="MF-023B/17"/>
        <s v="MF-023C/17"/>
        <s v="MF-023D/17"/>
        <s v="MF-024A/17"/>
        <s v="MF-024B/17"/>
        <s v="MF-024C/17"/>
        <s v="MF-024D/17"/>
        <s v="MF-024E/17"/>
        <s v="MF-025A/17"/>
        <s v="MF-025B/17"/>
        <s v="MF-025C/17"/>
        <s v="MF-025D/17"/>
        <s v="MF-025E/17"/>
        <s v="MF-026/17"/>
        <s v="MF-027/17"/>
        <s v="MF-028/17"/>
        <s v="MF-029/17"/>
        <s v="MF-030A/17"/>
        <s v="MF-030B/17"/>
        <s v="MF-031A/17"/>
        <s v="MF-031B/17"/>
        <s v="MF-032A/17"/>
        <s v="MF-032B/17"/>
        <s v="MF-033A/17"/>
        <s v="MF-033B/17"/>
        <s v="MF-034/17"/>
        <s v="MF-035/17"/>
        <s v="MF-036/17"/>
        <s v="MF-037/17"/>
        <s v="MF-038A/17"/>
        <s v="MF-038B/17"/>
        <s v="MF-039A/17"/>
        <s v="MF-039B/17"/>
        <s v="MF-040A/17"/>
        <s v="MF-040B/17"/>
        <s v="MF-040C/17"/>
        <s v="MF-040D/17"/>
        <s v="MF-041A/17"/>
        <s v="MF-041B/17"/>
        <s v="MF-042A/17"/>
        <s v="MF-042B/17"/>
        <s v="MF-043A/17"/>
        <s v="MF-043B/17"/>
        <s v="MF-044/17"/>
        <s v="MF-045A/17"/>
        <s v="MF-045B/17"/>
        <s v="MF-046A/17"/>
        <s v="MF-046B/17"/>
        <s v="MF-047/17"/>
        <s v="MF-048A/17"/>
        <s v="MF-048B/17"/>
        <s v="MF-048C/17"/>
        <s v="MF-048D/17"/>
        <s v="MF-049A/17"/>
        <s v="MF-049B/17"/>
        <s v="MF-050/17"/>
        <s v="MF-051A/17"/>
        <s v="MF-051B/17"/>
        <s v="MF-052A/17"/>
        <s v="MF-052B/17"/>
        <s v="MF-053A/17"/>
        <s v="MF-053B/17"/>
        <s v="MF-054/17"/>
        <s v="MF-055/17"/>
        <s v="MF-056A/17"/>
        <s v="MF-056B/17"/>
        <s v="MF-057A/17"/>
        <s v="MF-057B/17"/>
        <s v="MF-058/17"/>
        <s v="MF-059/17"/>
        <s v="MF-060/17"/>
        <s v="MF-061A/17"/>
        <s v="MF-061B/17"/>
        <s v="MF-061C/17"/>
        <s v="MF-062/17"/>
        <s v="MF-063A/17"/>
        <s v="MF-063B/17"/>
        <s v="MF-064/17"/>
        <s v="MF-065A/17"/>
        <s v="MF-065B/17"/>
        <s v="MF-065C/17"/>
        <s v="MF-065D/17"/>
        <s v="MF-065E/17"/>
        <s v="MF-066A/17"/>
        <s v="MF-066B/17"/>
        <s v="MF-066C/17"/>
        <s v="MF-066D/17"/>
        <s v="MF-066E/17"/>
        <s v="MF-067/17"/>
        <s v="MF-068A/17"/>
        <s v="MF-068B/17"/>
        <s v="MF-069A/17"/>
        <s v="MF-069B/17"/>
        <s v="MF-070A/17"/>
        <s v="MF-070B/17"/>
        <s v="MF-070C/17"/>
        <s v="MF-070D/17"/>
        <s v="MF-071/17"/>
        <s v="MF-072A/17"/>
        <s v="MF-072B/17"/>
        <s v="MF-072C/17"/>
        <s v="MF-073A/17"/>
        <s v="MF-073B/17"/>
        <s v="MF-074A/17"/>
        <s v="MF-074B/17"/>
        <s v="MF-075A/17"/>
        <s v="MF-075B/17"/>
        <s v="MF-076/17"/>
        <s v="MF-077A/17"/>
        <s v="MF-077B/17"/>
        <s v="MF-077C/17"/>
        <s v="MF-077D/17"/>
        <s v="MF-077E/17"/>
        <s v="MF-078A/17"/>
        <s v="MF-078B/17"/>
        <s v="MF-078C/17"/>
        <s v="MF-078D/17"/>
        <s v="MF-079A/17"/>
        <s v="MF-079B/17"/>
        <s v="MF-079C/17"/>
        <s v="MF-079D/17"/>
        <s v="MF-080A/17"/>
        <s v="MF-080B/17"/>
        <s v="MF-080C/17"/>
        <s v="MF-080D/17"/>
        <s v="MF-081/17"/>
        <s v="MF-082A1/17"/>
        <s v="MF-082A2/17"/>
        <s v="MF-082B/17"/>
        <s v="MF-083A1/17"/>
        <s v="MF-083A2/17"/>
        <s v="MF-083B/17"/>
        <s v="MF-084/17"/>
        <s v="MF-085/17"/>
        <s v="MF-086A/17"/>
        <s v="MF-086B/17"/>
        <s v="MF-087A/17"/>
        <s v="MF-087B/17"/>
        <s v="MF-087C/17"/>
        <s v="MF-087D/17"/>
        <s v="MF-087E/17"/>
        <s v="MF-088A/17"/>
        <s v="MF-088B/17"/>
        <s v="MF-088C/17"/>
        <s v="MF-089A/17"/>
        <s v="MF-089B/17"/>
        <s v="MF-089C/17"/>
        <s v="MF-089D/17"/>
        <s v="MF-090A/17"/>
        <s v="MF-090B/17"/>
        <s v="MF-090C/17"/>
        <s v="MF-090D/17"/>
        <s v="MF-091/17"/>
        <s v="MF-092A/17"/>
        <s v="MF-092B/17"/>
        <s v="MF-093A/17"/>
        <s v="MF-093B/17"/>
        <s v="MF-094A/17"/>
        <s v="MF-094B/17"/>
        <s v="MF-095A1/17"/>
        <s v="MF-095A2/17"/>
        <s v="MF-095B1/17"/>
        <s v="MF-095B2/17"/>
        <s v="MF-096/17"/>
        <s v="MF-097A/17"/>
        <s v="MF-097B/17"/>
        <s v="MF-098A/17"/>
        <s v="MF-098B/17"/>
        <s v="MF-099/17"/>
        <s v="MF-100/17"/>
        <s v="MF-101A/17"/>
        <s v="MF-101B/17"/>
        <s v="MF-101C/17"/>
        <s v="MF-102/17"/>
        <s v="MF-001/18"/>
        <s v="MF-002/18"/>
        <s v="MF-003/18"/>
        <s v="MF-004A/18"/>
        <s v="MF-004B/18"/>
        <s v="MF-005A/18"/>
        <s v="MF-005B/18"/>
        <s v="MF-006A/18"/>
        <s v="MF-006B/18"/>
        <s v="MF-007A/18"/>
        <s v="MF-007B/18"/>
        <s v="MF-008A/18"/>
        <s v="MF-008B/18"/>
        <s v="MF-009A/18"/>
        <s v="MF-009B/18"/>
        <s v="MF-010/18"/>
        <s v="MF-011A/18"/>
        <s v="MF-011B/18"/>
        <s v="MF-011C/18"/>
        <s v="MF-012/18"/>
        <s v="MF-013A/18"/>
        <s v="MF-013B.1/18"/>
        <s v="MF-013B.2/18"/>
        <s v="MF-013B.3/18"/>
        <s v="MF-013B.4/18"/>
        <s v="MF-014A/18"/>
        <s v="MF-014B/18"/>
        <s v="MF-015/18"/>
        <s v="MF-016A/18"/>
        <s v="MF-016B/18"/>
        <s v="MF-017A/18"/>
        <s v="MF-017B/18"/>
        <s v="MF-018/18"/>
        <s v="MF-019/18"/>
        <s v="MF-020/18"/>
        <s v="MF-021A/18"/>
        <s v="MF-021B/18"/>
        <s v="MF-021C/18"/>
        <s v="MF-022/18"/>
        <s v="MF-023A/18"/>
        <s v="MF-023B/18"/>
        <s v="MF-023C/18"/>
        <s v="MF-023D/18"/>
        <s v="MF-024A/18"/>
        <s v="MF-024B/18"/>
        <s v="MF-024C/18"/>
        <s v="MF-024D/18"/>
        <s v="MF-024E/18"/>
        <s v="MF-025/18"/>
        <s v="MF-026A/18"/>
        <s v="MF-026B/18"/>
        <s v="MF-027A.1/18"/>
        <s v="MF-027B.1/18"/>
        <s v="MF-027A.2/18"/>
        <s v="MF-027B.2/18"/>
        <s v="MF-028A/18"/>
        <s v="MF-028B/18"/>
        <s v="MF-029A/18"/>
        <s v="MF-029B/18"/>
        <s v="MF-030/18"/>
        <s v="MF-031/18"/>
        <s v="MF-032/18"/>
        <s v="MF-033/18"/>
        <s v="MF-034A/18"/>
        <s v="MF-034B/18"/>
        <s v="MF-034C/18"/>
        <s v="MF-035A/18"/>
        <s v="MF-035B/18"/>
        <s v="MF-035C/18"/>
        <s v="MF-035D/18"/>
        <s v="MF-036A/18"/>
        <s v="MF-036B/18"/>
        <s v="MF-037A1/18"/>
        <s v="MF-037A2/18"/>
        <s v="MF-037A3/18"/>
        <s v="MF-037B1/18"/>
        <s v="MF-037B2/18"/>
        <s v="MF-037B3/18"/>
        <s v="MF-038A/18"/>
        <s v="MF-038B1/18"/>
        <s v="MF-038B2/18"/>
        <s v="MF-039A/18"/>
        <s v="MF-039B/18"/>
        <s v="MF-040A/18"/>
        <s v="MF-040B/18"/>
        <s v="MF-040C/18"/>
        <s v="MF-041A/18"/>
        <s v="MF-041B/18"/>
        <s v="MF-041C/18"/>
        <s v="MF-041D/18"/>
        <s v="MF-042A/18"/>
        <s v="MF-042B/18"/>
        <s v="MF-042C/18"/>
        <s v="MF-042D/18"/>
        <s v="MF-043A/18"/>
        <s v="MF-043B/18"/>
        <s v="MF-043C/18"/>
        <s v="MF-043D/18"/>
        <s v="MF-044A/18"/>
        <s v="MF-044B/18"/>
        <s v="MF-045/18"/>
        <s v="MF-046/18"/>
        <s v="MF-047/18"/>
        <s v="MF-048/18"/>
        <s v="MF-049A/18"/>
        <s v="MF-049B/18"/>
        <s v="MF-049C/18"/>
        <s v="MF-049D/18"/>
        <s v="MF-050A/18"/>
        <s v="MF-050B/18"/>
        <s v="MF-050C/18"/>
        <s v="MF-051A/18"/>
        <s v="MF-051B/18"/>
        <s v="MF-051C/18"/>
        <s v="MF-051D/18"/>
        <s v="MF-051E/18"/>
        <s v="MF-052A/18"/>
        <s v="MF-052B18"/>
        <s v="MF-052C/18"/>
        <s v="MF-053A/18"/>
        <s v="MF-053B/18"/>
        <s v="MF-053C/18"/>
        <s v="MF-054/18"/>
        <s v="MF-055/18"/>
        <s v="MF-056/18"/>
        <s v="MF-057A/18"/>
        <s v="MF-057B/18"/>
        <s v="MF-057C/18"/>
        <s v="MF-057D/18"/>
        <s v="MF-058A/18"/>
        <s v="MF-058B/18"/>
        <s v="MF-058C/18"/>
        <s v="MF-058D/18"/>
        <s v="MF-058E/18"/>
        <s v="MF-059A/18"/>
        <s v="MF-059B/18"/>
        <s v="MF-060A/18"/>
        <s v="MF-060B/18"/>
        <s v="MF-061A/18"/>
        <s v="MF-061B/18"/>
        <s v="MF-062A1/18"/>
        <s v="MF-062B/18"/>
        <s v="MF-062A2/18"/>
        <s v="MF-062B2/18"/>
        <s v="MF-063A/18"/>
        <s v="MF-063B/18"/>
        <s v="MF-063C/18"/>
        <s v="MF-063D/18"/>
        <s v="MF-064/18"/>
        <s v="MF-065A/18"/>
        <s v="MF-065B/18"/>
        <s v="MF-066/18"/>
        <s v="MF-067/18"/>
        <s v="MF-068/18"/>
        <s v="MF-069/18"/>
        <s v="MF-070/18"/>
        <s v="MF-071/18"/>
        <s v="MF-072A1/18"/>
        <s v="MF-072A2/18"/>
        <s v="MF-073A1/18"/>
        <s v="MF-073A2/18"/>
        <s v="MF-074/18"/>
        <s v="MF-075/18"/>
        <s v="MF-076/18"/>
        <s v="MF-077/18"/>
        <s v="MF-078/18"/>
        <s v="MF-079A/18"/>
        <s v="MF-079B/18"/>
        <s v="MF-079C/18"/>
        <s v="MF-079D/18"/>
        <s v="MF-080A/18"/>
        <s v="MF-080B/18"/>
        <s v="MF-080C/18"/>
        <s v="MF-081A1/18"/>
        <s v="MF-081A2/18"/>
        <s v="MF-082A1/18"/>
        <s v="MF-082A2/18"/>
        <s v="MF-083/18"/>
        <s v="MF-084A/18"/>
        <s v="MF-084B/18"/>
        <s v="MF-085A/18"/>
        <s v="MF-085B/18"/>
        <s v="MF-086/18"/>
        <s v="MF-087/18"/>
        <s v="MF-088A/18"/>
        <s v="MF-088B/18"/>
        <s v="MF-088C/18"/>
        <s v="MF-089A/18"/>
        <s v="MF-089B/18"/>
        <s v="MF-090A/18"/>
        <s v="MF-090B/18"/>
        <s v="MF-091/18"/>
        <s v="MF-092A.1/18"/>
        <s v="MF-092A.2/18"/>
        <s v="MF-092A.3/18"/>
        <s v="MF-092B/18"/>
        <s v="MF-093A/18"/>
        <s v="MF-093B/18"/>
        <s v="MF-094A/18"/>
        <s v="MF-094B/18"/>
        <s v="MF-094C/18"/>
        <s v="MF-095A/18"/>
        <s v="MF-095B/18"/>
        <s v="MF-095C/18"/>
        <s v="MF-095D1/18"/>
        <s v="MF-095D2/18"/>
        <s v="MF-095E/18"/>
        <s v="MF-096A/18"/>
        <s v="MF-096B/18"/>
        <s v="MF-097/18"/>
        <s v="MF-098/18"/>
        <s v="MF-099/18"/>
        <s v="MF-100A/18"/>
        <s v="MF-100B/18"/>
        <s v="MF-100C/18"/>
        <s v="MF-100D/18"/>
        <s v="MF-101A/18"/>
        <s v="MF-101B/18"/>
        <s v="MF-102A/18"/>
        <s v="MF-102B/18"/>
        <s v="MF-102C/18"/>
        <s v="MF-103A1/18"/>
        <s v="MF-103A2/18"/>
        <s v="MF-103B/18"/>
        <s v="MF-104/18"/>
        <s v="MF-105A/18"/>
        <s v="MF-105B/18"/>
        <s v="MF-105C/18"/>
        <s v="MF-106/18"/>
        <s v="MF-107A/18"/>
        <s v="MF-107B/18"/>
        <s v="MF-108A/18"/>
        <s v="MF-108B/18"/>
        <s v="MF-109/18"/>
        <s v="MF-110A/18"/>
        <s v="MF-110B/18"/>
        <s v="MF-110C/18"/>
        <s v="MF-111A/18"/>
        <s v="MF-111B/18"/>
        <s v="MF-001A/19"/>
        <s v="MF-001B/19"/>
        <s v="MF-001C/19"/>
        <s v="MF-001D/19"/>
        <s v="MF-002A/19"/>
        <s v="MF-002B/19"/>
        <s v="MF-002C/19"/>
        <s v="MF-002D/19"/>
        <s v="MF-003A/19"/>
        <s v="MF-003B/19"/>
        <s v="MF-003C/19"/>
        <s v="MF-003D/19"/>
        <s v="MF-003E/19"/>
        <s v="MF-003F/19"/>
        <s v="MF-003G/19"/>
        <s v="MF-003H/19"/>
        <s v="MF-003I/19"/>
        <s v="MF-003J/19"/>
        <s v="MF-003K/19"/>
        <s v="MF-003L/19"/>
        <s v="MF-003M/19"/>
        <s v="MF-003N/19"/>
        <s v="MF-003Ñ/19"/>
        <s v="MF-003O/19"/>
        <s v="MF-003P/19"/>
        <s v="MF-003Q/19"/>
        <s v="MF-003R/19"/>
        <s v="MF-003S/19"/>
        <s v="MF-004A/19"/>
        <s v="MF-004B/19"/>
        <s v="MF-004C/19"/>
        <s v="MF-005A/19"/>
        <s v="MF-005B/19"/>
        <s v="MF-005C/19"/>
        <s v="MF-005D/19"/>
        <s v="MF-005E/19"/>
        <s v="MF-006/19"/>
        <s v="MF-007/19"/>
        <s v="MF-008/19"/>
        <s v="MF-009A/19"/>
        <s v="MF-009B/19"/>
        <s v="MF-010A/19"/>
        <s v="MF-010B/19"/>
        <s v="MF-011A/19"/>
        <s v="MF-011B/19"/>
        <s v="MF-012A1/19"/>
        <s v="MF-012A2/19"/>
        <s v="MF-012B/19"/>
        <s v="MF-013/19"/>
        <s v="MF-014/19"/>
        <s v="MF-015/19"/>
        <s v="MF-016A1/19"/>
        <s v="MF-016A2/19"/>
        <s v="MF-017/19"/>
        <s v="MF-018/19"/>
        <s v="MF-019/19"/>
        <s v="MF-020A1/19"/>
        <s v="MF-020A2/19"/>
        <s v="MF-021/19"/>
        <s v="MF-022/19"/>
        <s v="MF-023A1/19"/>
        <s v="MF-023B1/19"/>
        <s v="MF-023A2/19"/>
        <s v="MF-023B2/19"/>
        <s v="MF-023A3/19"/>
        <s v="MF-023B3/19"/>
        <s v="MF-024A/19"/>
        <s v="MF-024B/19"/>
        <s v="MF-025/19"/>
        <s v="MF-026A/19"/>
        <s v="MF-026B/19"/>
        <s v="MF-026C/19"/>
        <s v="MF-027A/19"/>
        <s v="MF-027B/19"/>
        <s v="MF-027C/19"/>
        <s v="MF-028A/19"/>
        <s v="MF-028B/19"/>
        <s v="MF-028C/19"/>
        <s v="MF-029A/19"/>
        <s v="MF-029B/19"/>
        <s v="MF-029C/19"/>
        <s v="MF-029D/19"/>
        <s v="MF-029E/19"/>
        <s v="MF-030A/19"/>
        <s v="MF-030B1/19"/>
        <s v="MF-030B2/19"/>
        <s v="MF-030B3/19"/>
        <s v="MF-030B4/19"/>
        <s v="MF-031A/19"/>
        <s v="MF-031B/19"/>
        <s v="MF-032A/19"/>
        <s v="MF-032B1/19"/>
        <s v="MF-032B2/19"/>
        <s v="MF-032B3/19"/>
        <s v="MF-032B4/19"/>
        <s v="MF-033A/19"/>
        <s v="MF-033B/19"/>
        <s v="MF-034/19"/>
        <s v="MF-035A/19"/>
        <s v="MF-035B/19"/>
        <s v="MF-036A/19"/>
        <s v="MF-036B/19"/>
        <s v="MF-036C/19"/>
        <s v="MF-036D/19"/>
        <s v="MF-036E/19"/>
        <s v="MF-036F/19"/>
        <s v="MF-036G/19"/>
        <s v="MF-036H/19"/>
        <s v="MF-036I/19"/>
        <s v="MF-037/19"/>
        <s v="MF-038/19"/>
        <s v="MF-039/19"/>
        <s v="MF-040/19"/>
        <s v="MF-041A1/19"/>
        <s v="MF-041A2/19"/>
        <s v="MF-041B/19"/>
        <s v="MF-041C1/19"/>
        <s v="MF-041C2/19"/>
        <s v="MF-041D/19"/>
        <s v="MF-042A/19"/>
        <s v="MF-042B/19"/>
        <s v="MF-042C/19"/>
        <s v="MF-043A/19"/>
        <s v="MF-043B/19"/>
        <s v="MF-043C/19"/>
        <s v="MF-043D/19"/>
        <s v="MF-044A/19"/>
        <s v="MF-044B/19"/>
        <s v="MF-045/19"/>
        <s v="MF-046A/19"/>
        <s v="MF-046B1/19"/>
        <s v="MF-046B2/19"/>
        <s v="MF-047A1/19"/>
        <s v="MF-047B1/19"/>
        <s v="MF-047A2/19"/>
        <s v="MF-047B2/19"/>
        <s v="MF-048/19"/>
        <s v="MF-049/19"/>
        <s v="MF-050/19"/>
        <s v="MF-051A/19"/>
        <s v="MF-051B/19"/>
        <s v="MF-051C/19"/>
        <s v="MF-051D/19"/>
        <s v="MF-052A/19"/>
        <s v="MF-052B/19"/>
        <s v="MF-052C/19"/>
        <s v="MF-052D/19"/>
        <s v="MF-053A/19"/>
        <s v="MF-053B/19"/>
        <s v="MF-053B.1/19"/>
        <s v="MF-053C/19"/>
        <s v="MF-053D/19"/>
        <s v="MF-054/19"/>
        <s v="MF-055/19"/>
        <s v="MF-056/19"/>
        <s v="MF-057A/19"/>
        <s v="MF-057B/19"/>
        <s v="MF-057C/19"/>
        <s v="MF-057D/19"/>
        <s v="MF-057E/19"/>
        <s v="MF-058/19"/>
        <s v="MF-059/19"/>
        <s v="MF-060/19"/>
        <s v="MF-061A1/19"/>
        <s v="MF-061A2/19"/>
        <s v="MF-061A3/19"/>
        <s v="MF-062/19"/>
        <s v="MF-063/19"/>
        <s v="MF-064/19"/>
        <s v="MF-065/19"/>
        <s v="MF-066A1/19"/>
        <s v="MF-066B1/19"/>
        <s v="MF-066A2/19"/>
        <s v="MF-066B2/19"/>
        <s v="MF-067/19"/>
        <s v="MF-068/19"/>
        <s v="MF-069A/19"/>
        <s v="MF-069B/19"/>
        <s v="MF-070A/19"/>
        <s v="MF-070B/19"/>
        <s v="MF-071/19"/>
        <s v="MF-072/19"/>
        <s v="MF-073/19"/>
        <s v="MF-074A/19"/>
        <s v="MF-074B/19"/>
        <s v="MF-075/19"/>
        <s v="MF-076/19"/>
        <s v="MF-077A/19"/>
        <s v="MF-077B1/19"/>
        <s v="MF-077B2/19"/>
        <s v="MF-078A/19"/>
        <s v="MF-078B/19"/>
        <s v="MF-078C/19"/>
        <s v="MF-078D/19"/>
        <s v="MF-078E/19"/>
        <s v="MF-079A/19"/>
        <s v="MF-079B/19"/>
        <s v="MF-079C/19"/>
        <s v="MF-079D/19"/>
        <s v="MF-079E/19"/>
        <s v="MF-080/19"/>
        <s v="MF-081A/19"/>
        <s v="MF-081B/19"/>
        <s v="MF-081C/19"/>
        <s v="MF-081D/19"/>
        <s v="MF-081E/19"/>
        <s v="MF-082A/19"/>
        <s v="MF-082B/19"/>
        <s v="MF-082C/19"/>
        <s v="MF-082D/19"/>
        <s v="MF-082E/19"/>
        <s v="MF-083/19"/>
        <s v="MF-084A/19"/>
        <s v="MF-084B/19"/>
        <s v="MF-084C/19"/>
        <s v="MF-084D/19"/>
        <s v="MF-084E/19"/>
        <s v="MF-085A/19"/>
        <s v="MF-085B/19"/>
        <s v="MF-085C/19"/>
        <s v="MF-085D/19"/>
        <s v="MF-085E/19"/>
        <s v="MF-086A/19"/>
        <s v="MF-086B/19"/>
        <s v="MF-086C/19"/>
        <s v="MF-086D/19"/>
        <s v="MF-086E/19"/>
        <s v="MF-087A/19"/>
        <s v="MF-087B/19"/>
        <s v="MF-088/19"/>
        <s v="MF-089/19"/>
        <s v="MF-090/19"/>
        <s v="MF-091/19"/>
        <s v="MF-092/19"/>
        <s v="MF-093/19"/>
        <s v="MF-094/19"/>
        <s v="MF-095A1/19"/>
        <s v="MF-095A2/19"/>
        <s v="MF-095B1/19"/>
        <s v="MF-095B2/19"/>
        <s v="MF-096A/19"/>
        <s v="MF-096B/19"/>
        <s v="MF-097A/19"/>
        <s v="MF-097B/19"/>
        <s v="MF-098A1/19"/>
        <s v="MF-098A2/19"/>
        <s v="MF-098A3/19"/>
        <s v="MF-098A4/19"/>
        <s v="MF-099A1/19"/>
        <s v="MF-099A2/19"/>
        <s v="MF-100.1/19"/>
        <s v="MF-100.2/19"/>
        <s v="MF-100.3/19"/>
        <s v="MF-101A1/19"/>
        <s v="MF-101A2/19"/>
        <s v="MF-101B/19"/>
        <s v="MF-102/19"/>
        <s v="MF-103A1/19"/>
        <s v="MF-103A2/19"/>
        <s v="MF-104A1/19"/>
        <s v="MF-104A2/19 (VTA GAV)"/>
        <s v="MF-104B1/19"/>
        <s v="MF-104B2/19 (VTA GAV)"/>
        <s v="MF-105A/19"/>
        <s v="MF-105B/19"/>
        <s v="MF-106A/19"/>
        <s v="MF-106B/19"/>
        <s v="MF-107/19"/>
        <s v="MF-108A1/19"/>
        <s v="MF-108A2/19"/>
        <s v="MF-108B/19"/>
        <s v="MF-108C/19"/>
        <s v="MF-108D/19"/>
        <s v="MF-108E/19"/>
        <s v="MF-109A/19"/>
        <s v="MF-109B/19"/>
        <s v="MF-109C/19"/>
        <s v="MF-109D/19"/>
        <s v="MF-109E/19"/>
        <s v="MF-110A/19"/>
        <s v="MF-110B/19"/>
        <s v="MF-111.1/19"/>
        <s v="MF-111.2/19"/>
        <s v="MF-111.3/19"/>
        <s v="MF-112.1/19"/>
        <s v="MF-112.2/19"/>
        <s v="MF-113A1/19"/>
        <s v="MF-113A2/19"/>
        <s v="MF-114A/19"/>
        <s v="MF-115/19"/>
        <s v="MF-116A/19"/>
        <s v="MF-116B/19"/>
        <s v="MF-116C/19"/>
        <s v="MF-116D/19"/>
        <s v="MF-117A/19"/>
        <s v="MF-117B/19"/>
        <s v="MF-117C/19"/>
        <s v="MF-117D/19"/>
        <s v="MF-118A/19"/>
        <s v="MF-118B/19"/>
        <s v="MF-118C/19"/>
        <s v="MF-119A/19"/>
        <s v="MF-119B/19"/>
        <s v="MF-119C/19"/>
        <s v="MF-119D/19"/>
        <s v="MF-120A/19"/>
        <s v="MF-120B/19"/>
        <s v="MF-121A/19"/>
        <s v="MF-121B/19"/>
        <s v="MF-122A/19"/>
        <s v="MF-122B1/19"/>
        <s v="MF-122B2/19"/>
        <s v="MF-122C/19"/>
        <s v="MF-123A/19"/>
        <s v="MF-123B/19"/>
        <s v="MF-124A/19"/>
        <s v="MF-124B/19"/>
        <s v="MF-125A/19"/>
        <s v="MF-125B/19"/>
        <s v="MF-126A/19"/>
        <s v="MF-126B1/19"/>
        <s v="MF-126B2/19"/>
        <s v="MF-127A/19"/>
        <s v="MF-127B/19"/>
        <s v="MF-127C/19"/>
        <s v="MF-127D/19"/>
        <s v="MF-128A/19"/>
        <s v="MF-128B/19"/>
        <s v="MF-129/19"/>
        <s v="MF-130.1/19"/>
        <s v="MF-130.2/19"/>
        <s v="MF-130.3/19"/>
        <s v="MF-131/19"/>
        <s v="MF-001/20"/>
        <s v="MF-002/20"/>
        <s v="MF-003A/20"/>
        <s v="MF-003B1/20"/>
        <s v="MF-003B2/20"/>
        <s v="MF-004/20"/>
        <s v="MF-005.1/20"/>
        <s v="MF-005.2/20"/>
        <s v="MF-006/20"/>
        <s v="MF-007/20"/>
        <s v="MF-008/20"/>
        <s v="MF-009A/20"/>
        <s v="MF-009B/20"/>
        <s v="MF-010A/20"/>
        <s v="MF-010B/20"/>
        <s v="MF-011/20"/>
        <s v="MF-012A/20"/>
        <s v="MF-012B/20"/>
        <s v="MF-012C/20"/>
        <s v="MF-012D/20"/>
        <s v="MF-012E/20"/>
        <s v="MF-013A/20"/>
        <s v="MF-013B/20"/>
        <s v="MF-013C/20"/>
        <s v="MF-013D/20"/>
        <s v="MF-014A/20"/>
        <s v="MF-014B/20"/>
        <s v="MF-014C/20"/>
        <s v="MF-014D/20"/>
        <s v="MF-015A/20"/>
        <s v="MF-015B/20"/>
        <s v="MF-015C/20"/>
        <s v="MF-015D1/20"/>
        <s v="MF-015D2/20"/>
        <s v="MF-016A/20"/>
        <s v="MF-016B/20"/>
        <s v="MF-016C/20"/>
        <s v="MF-016D/20"/>
        <s v="MF-017A/20"/>
        <s v="MF-017B/20"/>
        <s v="MF-017C/20"/>
        <s v="MF-017D/20"/>
        <s v="MF-018A/20"/>
        <s v="MF-018B/20"/>
        <s v="MF-018C/20"/>
        <s v="MF-018D/20"/>
        <s v="MF-019/20"/>
        <s v="MF-020/20"/>
        <s v="MF-021/20"/>
        <s v="MF-022A/20"/>
        <s v="MF-022B/20"/>
        <s v="MF-022C/20"/>
        <s v="MF-023/20"/>
        <s v="MF-024/20"/>
        <s v="MF-025/20"/>
        <s v="MF-026/20"/>
        <s v="MF-027/20"/>
        <s v="MF-028A/20"/>
        <s v="MF-028B/20"/>
        <s v="MF-028C/20"/>
        <s v="MF-029A/20"/>
        <s v="MF-029B/20"/>
        <s v="MF-029C/20"/>
        <s v="MF-030A/20"/>
        <s v="MF-030B1/20"/>
        <s v="MF-030B2/20"/>
        <s v="MF-030C1/20"/>
        <s v="MF-030C2/20"/>
        <s v="MF-030D/20"/>
        <s v="MF-031/20"/>
        <s v="MF-032/20"/>
        <s v="MF-033/20"/>
        <s v="MF-034/20"/>
        <s v="MF-035A/20"/>
        <s v="MF-035B/20"/>
        <s v="MF-035C/20"/>
        <s v="MF-036/20"/>
        <s v="MF-037/20"/>
        <s v="MF-038/20"/>
        <s v="MF-039A1/20"/>
        <s v="MF-039A2/20"/>
        <s v="MF-039A3/20"/>
        <s v="MF-039B1/20"/>
        <s v="MF-040/20"/>
        <s v="MF-041A/20"/>
        <s v="MF-041B/20"/>
        <s v="MF-041C/20"/>
        <s v="MF-041D/20"/>
        <s v="MF-041E/20"/>
        <s v="MF-042A/20"/>
        <s v="MF-042B/20"/>
        <s v="MF-042C/20"/>
        <s v="MF-042D/20"/>
        <s v="MF-043/20"/>
        <s v="MF-044/20"/>
        <s v="MF-045/20"/>
        <s v="MF-046/20"/>
        <s v="MF-047/20"/>
        <s v="MF-048/20"/>
        <s v="MF-049/20"/>
        <s v="MF-050/20"/>
        <s v="MF-051/20"/>
        <s v="MF-052A/20"/>
        <s v="MF-052B/20"/>
        <s v="MF-053A/20"/>
        <s v="MF-053B1/20"/>
        <s v="MF-053B2/20"/>
        <s v="MF-054A/20"/>
        <s v="MF-054B/20"/>
        <s v="MF-054C/20"/>
        <s v="MF-054D/20"/>
        <s v="MF-054E/20"/>
        <s v="MF-054F/20"/>
        <s v="MF-054G/20"/>
        <s v="MF-054H/20"/>
        <s v="MF-055.1/20"/>
        <s v="MF-055.2/20"/>
        <s v="MF-056/20"/>
        <s v="MF-057.1/20"/>
        <s v="MF-057.2/20"/>
        <s v="MF-057.3/20"/>
        <s v="MF-058/20"/>
        <s v="MF-059/20"/>
        <s v="MF-060/20"/>
        <s v="MF-061/20"/>
        <s v="MF-062/20"/>
        <s v="MF-063/20"/>
        <s v="MF-064/20"/>
        <s v="MF-065/20"/>
        <s v="MF-066/20"/>
        <s v="MF-067/20"/>
        <s v="MF-068/20"/>
        <s v="MF-069/20"/>
        <s v="MF-070/20"/>
        <s v="MF-071/20"/>
        <s v="MF-072/20"/>
        <s v="MF-073/20"/>
        <s v="MF-074/20"/>
        <s v="MF-075/20"/>
        <s v="MF-076/20"/>
        <s v="MF-077/20"/>
        <s v="MF-078/20"/>
        <s v="MF-079/20"/>
        <s v="MF-080/20"/>
        <s v="MF-081.1/20"/>
        <s v="MF-081.2/20"/>
        <s v="MF-082/20"/>
        <s v="MF-083/20"/>
        <s v="MF-084/20"/>
        <s v="MF-085/20"/>
        <s v="MF-086/20"/>
        <s v="MF-087/20"/>
        <s v="MF-088/20"/>
        <s v="MF-089/20"/>
        <s v="MF-090/20"/>
        <s v="MF-091/20"/>
        <s v="MF-092/20"/>
        <s v="MF-093/20"/>
        <s v="MF-094/20"/>
        <s v="MF-095/20"/>
        <s v="MF-096/20"/>
        <s v="MF-097/20"/>
        <s v="MF-098/20"/>
        <s v="MF-099/20"/>
        <s v="MF-100/20"/>
        <s v="MF-101A/20"/>
        <s v="MF-101B/20"/>
        <s v="MF-102/20"/>
        <s v="MF-103A/20"/>
        <s v="MF-103B/20"/>
        <s v="MF-103C/20"/>
        <s v="MF-103D/20"/>
        <s v="MF-104A/20"/>
        <s v="MF-104B/20"/>
        <s v="MF-104C/20"/>
        <s v="MF-104D/20"/>
        <s v="MF-105A/20"/>
        <s v="MF-105B/20"/>
        <s v="MF-105C/20"/>
        <s v="MF-106/20"/>
        <s v="MF-107A/20"/>
        <s v="MF-107B/20"/>
        <s v="MF-108/20"/>
        <s v="MF-109A/20"/>
        <s v="MF-109B1/20"/>
        <s v="MF-109B2/20"/>
        <s v="MF-110/20"/>
        <s v="MF-111/20"/>
        <s v="MF-112/20"/>
        <s v="MF-113A/20"/>
        <s v="MF-113B/20"/>
        <s v="MF-114/20"/>
        <s v="MF-115/20"/>
        <s v="MF-116/20"/>
        <s v="MF-117/20"/>
        <s v="MF-118A/20"/>
        <s v="MF-118B/20"/>
        <s v="MF-119/20"/>
        <s v="MF-220/20"/>
        <s v="MF-221/20"/>
        <s v="MF-222/20"/>
        <s v="MF-223/20"/>
        <s v="MF-224/20"/>
        <s v="MF-225/20"/>
        <s v="MF-226.1/20"/>
        <s v="MF-226.2/20"/>
        <s v="MF-227/20"/>
        <s v="MF-228/20"/>
        <s v="MF-229/20"/>
        <s v="MF-230/20"/>
        <s v="MF-231/20"/>
        <s v="MF-232/20"/>
        <s v="MF-233/20"/>
        <s v="MF-234/20"/>
        <s v="MF-235/20"/>
        <s v="MF-236/20"/>
        <s v="MF-237/20"/>
        <s v="MF-238/20"/>
        <s v="MF-239.1/20"/>
        <s v="MF-239.2/20"/>
        <s v="MF-240.1/20"/>
        <s v="MF-240.2/20"/>
        <s v="MF-241/20"/>
        <s v="MF-242/20"/>
        <s v="MF-243/20"/>
        <s v="MF-244/20"/>
        <s v="MF-245/20"/>
        <s v="MF-246/20"/>
        <s v="MF-247/20"/>
        <s v="MF-248/20"/>
        <s v="MF-249A/20"/>
        <s v="MF-249B/20"/>
        <s v="MF-250A/20"/>
        <s v="MF-250B/20"/>
        <s v="MF-250C/20"/>
        <s v="MF-251A/20"/>
        <s v="MF-251B/20"/>
        <s v="MF-251C/20"/>
        <s v="MF-251D/20"/>
        <s v="MF-252A/20"/>
        <s v="MF-252B/20"/>
        <s v="MF-252C/20"/>
        <s v="MF-252D/20"/>
        <s v="MF-252E/20"/>
        <s v="MF-253A/20"/>
        <s v="MF-253B/20"/>
        <s v="MF-253C/20"/>
        <s v="MF-253D/20"/>
        <s v="MF-254A/20"/>
        <s v="MF-254B/20"/>
        <s v="MF-254C/20"/>
        <s v="MF-254D/20"/>
        <s v="MF-255/20"/>
        <s v="MF-256/20"/>
        <s v="MF-257/20"/>
        <s v="MF-258.1/20"/>
        <s v="MF-258.2/20"/>
        <s v="MF-259/20"/>
        <s v="MF-260/20"/>
        <s v="MF-261/20"/>
        <s v="MF-262/20"/>
        <s v="MF-263/20"/>
        <s v="MF-264/20"/>
        <s v="MF-265A.1/20"/>
        <s v="MF-265A.2/20"/>
        <s v="MF-265A.3/20"/>
        <s v="MF-265A.4/20"/>
        <s v="MF-266A1/20"/>
        <s v="MF-266B1.1/20"/>
        <s v="MF-266B1.2/20"/>
        <s v="MF-266A2/20"/>
        <s v="MF-266B2/20"/>
        <s v="MF-267.1/20"/>
        <s v="MF-267.2/20"/>
        <s v="MF-268.1/20"/>
        <s v="MF-268.2/20"/>
        <s v="MF-269/20"/>
        <s v="MF-270.1/20"/>
        <s v="MF-270.2/20"/>
        <s v="MF-271A/20"/>
        <s v="MF-271B/20"/>
        <s v="MF-272.1.1/20"/>
        <s v="MF-272.1.2/20"/>
        <s v="MF-272.2.1/20"/>
        <s v="MF-272.2.2/20"/>
        <s v="MF-272.2.3/20"/>
        <s v="MF-272.3.1/20"/>
        <s v="MF-272.3.2/20"/>
        <s v="MF-273.1/20"/>
        <s v="MF-273.2/20"/>
        <s v="MF-273.3/20"/>
        <s v="MF-274/20"/>
        <s v="MF-275.1/20"/>
        <s v="MF-275.2/20"/>
        <s v="MF-276.1/20"/>
        <s v="MF-276.2/20"/>
        <s v="MF-276.3/20"/>
        <s v="MF-277/20"/>
        <s v="MF-278/20"/>
        <s v="MF-279.1/20"/>
        <s v="MF-279.2/20"/>
        <s v="MF-280/20"/>
        <s v="MF-281/20"/>
        <s v="MF-282.1/20"/>
        <s v="MF-282.2/20"/>
        <s v="MF-283.1/20"/>
        <s v="MF-283.2/20"/>
        <s v="MF-284/20"/>
        <s v="MF-285/20"/>
        <s v="MF-286/20"/>
        <s v="MF-287/20"/>
        <s v="MF-288/20"/>
        <s v="MF-289/20"/>
        <s v="MF-290/20"/>
        <s v="MF-291/20"/>
        <s v="MF-292/20"/>
        <s v="MF-293/20"/>
        <s v="MF-294/20"/>
        <s v="MF-295A/20"/>
        <s v="MF-295B/20"/>
        <s v="MF-295C/20"/>
        <s v="MF-295D/20"/>
        <s v="MF-295E/20"/>
        <s v="MF-296A/20"/>
        <s v="MF-296B/20"/>
        <s v="MF-296C/20"/>
        <s v="MF-296D/20"/>
        <s v="MF-296E/20"/>
        <s v="MF-297A/20"/>
        <s v="MF-297B/20"/>
        <s v="MF-297C/20"/>
        <s v="MF-297D/20"/>
        <s v="MF-298/20"/>
        <s v="MF-299/20"/>
        <s v="MF-300/20"/>
        <s v="MF-301/20"/>
        <s v="MF-302A/20"/>
        <s v="MF-302B/20"/>
        <s v="MF-302C/20"/>
        <s v="MF-302D/20"/>
        <s v="MF-303A/20"/>
        <s v="MF-303B/20"/>
        <s v="MF-304A/20"/>
        <s v="MF-304B/20"/>
        <s v="MF-304C/20"/>
        <s v="MF-304D/20"/>
        <s v="MF-305/20"/>
        <s v="MF-306A/20"/>
        <s v="MF-306B/20"/>
        <s v="MF-306C/20"/>
        <s v="MF-307/20"/>
        <s v="MF-308/20"/>
        <s v="MF-309/20"/>
        <s v="MF-310/20"/>
        <s v="MF-311/20"/>
        <s v="MF-312/20"/>
        <s v="MF-313A/20"/>
        <s v="MF-313B/20"/>
        <s v="MF-313C/20"/>
        <s v="MF-314A/20"/>
        <s v="MF-314B/20"/>
        <s v="MF-315A/20"/>
        <s v="MF-315B/20"/>
        <s v="MF-315C/20"/>
        <s v="MF-315D/20"/>
        <s v="MF-315E/20"/>
        <s v="MF-316A/20"/>
        <s v="MF-316B/20"/>
        <s v="MF-316C/20"/>
        <s v="MF-316D/20"/>
        <s v="MF-317A/20"/>
        <s v="MF-317B/20"/>
        <s v="MF-318/20"/>
        <s v="MF-319/20"/>
        <s v="MF-320/20"/>
        <s v="MF-321A/20"/>
        <s v="MF-321B/20"/>
        <s v="MF-321C/20"/>
        <s v="MF-321D/20"/>
        <s v="MF-321E/20"/>
        <s v="MF-322A/20"/>
        <s v="MF-322B/20"/>
        <s v="MF-322C/20"/>
        <s v="MF-322D/20"/>
        <s v="MF-322E/20"/>
        <s v="MF-323A/20"/>
        <s v="MF-323B/20"/>
        <s v="MF-323C/20"/>
        <s v="MF-323D/20"/>
        <s v="MF-323E/20"/>
        <s v="MF-324A/20"/>
        <s v="MF-324B/20"/>
        <s v="MF-324C.1/20"/>
        <s v="MF-324C.2/20"/>
        <s v="MF-324D/20"/>
        <s v="MF-324E/20"/>
        <s v="MF-325/20"/>
        <s v="MF-326.1/20"/>
        <s v="MF-326.2/20"/>
        <s v="MF-327.1/20"/>
        <s v="MF-327.2/20"/>
        <s v="MF-327.3/20"/>
        <s v="MF-328A/20"/>
        <s v="MF-328B/20"/>
        <s v="MF-328C1/20"/>
        <s v="MF-328C2/20"/>
        <s v="MF-329A.1/20"/>
        <s v="MF-329A.2/20"/>
        <s v="MF-329B/20"/>
        <s v="MF-329C/20"/>
        <s v="MF-330/20"/>
        <s v="MF-331/20"/>
        <s v="MF-332/20"/>
        <s v="MF-333/20"/>
        <s v="MF-334/20"/>
        <s v="MF-335/20"/>
        <s v="MF-336A/20"/>
        <s v="MF-336B.1/20"/>
        <s v="MF-336B.2/20"/>
        <s v="MF-337/20"/>
        <s v="MF-338/20"/>
        <s v="MF-339.1/20"/>
        <s v="MF-339.2.1/20"/>
        <s v="MF-339.2.2/20"/>
        <s v="MF-339.2.3/20"/>
        <s v="MF-340A1/20"/>
        <s v="MF-340A2/20"/>
        <s v="MF-341B1/20"/>
        <s v="MF-341B2/20"/>
        <s v="MF-342/20"/>
        <s v="MF-343/20"/>
        <s v="MF-344/20"/>
        <s v="MF-345/20"/>
        <s v="MF-346A/20"/>
        <s v="MF-346B/20"/>
        <s v="MF-346C/20"/>
        <s v="MF-346D/20"/>
        <s v="MF-347A/20"/>
        <s v="MF-347B/20"/>
        <s v="MF-347C/20"/>
        <s v="MF-347D/20"/>
        <s v="MF-348/20"/>
        <s v="MF-349/20"/>
        <s v="MF-350/20"/>
        <s v="MF-351A/20"/>
        <s v="MF-351B/20"/>
        <s v="MF-352/20"/>
        <s v="MF-353/20"/>
        <s v="MF-354.1/20"/>
        <s v="MF-354.2/20"/>
        <s v="MF-354.3/20"/>
        <s v="MF-355A/20"/>
        <s v="MF-355B/20"/>
        <s v="MF-356A/20"/>
        <s v="MF-356B/20"/>
        <s v="MF-357.1/20"/>
        <s v="MF-357.2/20"/>
        <s v="MF-358.1/20"/>
        <s v="MF-358.2/20"/>
        <s v="MF-358.3/20"/>
        <s v="MF-358.4/20"/>
        <s v="MF-359/20"/>
        <s v="MF-360/20"/>
        <s v="MF-361/20"/>
        <s v="MF-362/20"/>
        <s v="MF-363/20"/>
        <s v="MF-364/20"/>
        <s v="MF-365/20"/>
        <s v="MF-366/20"/>
        <s v="MF-367/20"/>
        <s v="MF-368/20"/>
        <s v="MF-369/20"/>
        <s v="MF-370/20"/>
        <s v="MF-371/20"/>
        <s v="MF-372/20"/>
        <s v="MF-373/20"/>
        <s v="MF-374/20"/>
        <s v="MF-375/20"/>
        <s v="MF-376/20"/>
        <s v="MF-377/20"/>
        <s v="MF-378/20"/>
        <s v="MF-379/20"/>
        <s v="MF-380/20"/>
        <s v="MF-381.1/20"/>
        <s v="MF-381.2/20"/>
        <s v="MF-382/20"/>
        <s v="MF-383/20"/>
        <s v="MF-384A/20"/>
        <s v="MF-384B/20"/>
        <s v="MF-384C/20"/>
        <s v="MF-384D/20"/>
        <s v="MF-385A/20"/>
        <s v="MF-386A/20"/>
        <s v="MF-386B/20"/>
        <s v="MF-386C/20"/>
        <s v="MF-387/20"/>
        <s v="MF-388/20"/>
        <s v="MF-389/20"/>
        <s v="MF-390/20"/>
        <s v="MF-391/20"/>
        <s v="MF-392/20"/>
        <s v="MF-393/20"/>
        <s v="MF-394/20"/>
        <s v="MF-395/20"/>
        <s v="MF-396.1.1/20"/>
        <s v="MF-396.1.2/20"/>
        <s v="MF-396.2.1.1/20"/>
        <s v="MF-396.2.1.2/20"/>
        <s v="MF-396.3/20"/>
        <s v="MF-001/21"/>
        <s v="MF-002/21"/>
        <s v="MF-003/21"/>
        <s v="MF-004/21"/>
        <s v="MF-004.1/21"/>
        <s v="MF-005/21"/>
        <s v="MF-006/21"/>
        <s v="MF-007A1.1/21"/>
        <s v="MF-007A1.2/21"/>
        <s v="MF-007A1.3/21"/>
        <s v="MF-007A2/21"/>
        <s v="MF-007B/21"/>
        <s v="MF-008A1/21"/>
        <s v="MF-008A2/21"/>
        <s v="MF-008A3/21"/>
        <s v="MF-008B1/21"/>
        <s v="MF-008B2/21"/>
        <s v="MF-008B3/21"/>
        <s v="MF-009.1/21"/>
        <s v="MF-009.2/21"/>
        <s v="MF-009.3/21"/>
        <s v="MF-009.4/21"/>
        <s v="MF-010.1/21"/>
        <s v="MF-010.2/21"/>
        <s v="MF-010.3/21"/>
        <s v="MF-010.4/21"/>
        <s v="MF-010.5/21"/>
        <s v="MF-010.6/21"/>
        <s v="MF-011/21"/>
        <s v="MF-012/21"/>
        <s v="MF-013/21"/>
        <s v="MF-014/21"/>
        <s v="MF-015A/21"/>
        <s v="MF-015B/21"/>
        <s v="MF-015C/21"/>
        <s v="MF-015D/21"/>
        <s v="MF-016A/21"/>
        <s v="MF-016B/21"/>
        <s v="MF-016C/21"/>
        <s v="MF-016D/21"/>
        <s v="MF-016E/21"/>
        <s v="MF-017A/21"/>
        <s v="MF-017B/21"/>
        <s v="MF-018/21"/>
        <s v="MF-019/21"/>
        <s v="MF-020/21"/>
        <s v="MF-021/21"/>
        <s v="MF-022A/21"/>
        <s v="MF-022B/21"/>
        <s v="MF-022C/21"/>
        <s v="MF-022D/21"/>
        <s v="MF-022E/21"/>
        <s v="MF-023/21"/>
        <s v="MF-024.1/21"/>
        <s v="MF-024.2/21"/>
        <s v="MF-025A/21"/>
        <s v="MF-025B/21"/>
        <s v="MF-025C/21"/>
        <s v="MF-025D/21"/>
        <s v="MF-025E/21"/>
        <s v="MF-026A/21"/>
        <s v="MF-026B/21"/>
        <s v="MF-026C/21"/>
        <s v="MF-027A.1/21"/>
        <s v="MF-027A.2/21"/>
        <s v="MF-027B/21"/>
        <s v="MF-028A1/21"/>
        <s v="MF-028A2/21"/>
        <s v="MF-028B1/21"/>
        <s v="MF-028B2/21"/>
        <s v="MF-028B3/21"/>
        <s v="MF-028C/21"/>
        <s v="MF-029A/21"/>
        <s v="MF-029B/21"/>
        <s v="MF-030A/21"/>
        <s v="MF-030B1/21"/>
        <s v="MF-030B2/21"/>
        <s v="MF-031A/21"/>
        <s v="MF-031B/21"/>
        <s v="MF-032A/21"/>
        <s v="MF-032B/21"/>
        <s v="MF-033A/21"/>
        <s v="MF-033B/21"/>
        <s v="MF-033C/21"/>
        <s v="MF-033D/21"/>
        <s v="MF-034/21"/>
        <s v="MF-035.1/21"/>
        <s v="MF-035.2/21"/>
        <s v="MF-036.1/21"/>
        <s v="MF-036.2/21"/>
        <s v="MF-037/21"/>
        <s v="MF-038/21"/>
        <s v="MF-039A/21"/>
        <s v="MF-039B/21"/>
        <s v="MF-039C/21"/>
        <s v="MF-040A/21"/>
        <s v="MF-040B/21"/>
        <s v="MF-040C/21"/>
        <s v="MF-040D/21"/>
        <s v="MF-040E/21"/>
        <s v="MF-041/21"/>
        <s v="MF-042/21"/>
        <s v="MF-043/21"/>
        <s v="MF-044/21"/>
        <s v="MF-045/21"/>
        <s v="MF-046/21"/>
        <s v="MF-047/21"/>
        <s v="MF-048/21"/>
        <s v="MF-049/21"/>
        <s v="MF-050/21"/>
        <s v="MF-051/21"/>
        <s v="MF-052/21"/>
        <s v="MF-053/21"/>
        <s v="MF-054/21"/>
        <s v="MF-055/21"/>
        <s v="MF-056.1/21"/>
        <s v="MF-056.2/21"/>
        <s v="MF-057/21"/>
        <s v="MF-058/21"/>
        <s v="MF-059/21"/>
        <s v="MF-060.1/21"/>
        <s v="MF-060.2/21"/>
        <s v="MF-061A/21"/>
        <s v="MF-061B/21"/>
        <s v="MF-061C/21"/>
        <s v="MF-061D/21"/>
        <s v="MF-062/21"/>
        <s v="MF-063.1/21"/>
        <s v="MF-063.2/21"/>
        <s v="MF-064/21"/>
        <s v="MF-065/21"/>
        <s v="MF-066/21"/>
        <s v="MF-067A/21"/>
        <s v="MF-067B/21"/>
        <s v="MF-067C/21"/>
        <s v="MF-067D/21"/>
        <s v="MF-067E/21"/>
        <s v="MF-068/21"/>
        <s v="MF-069/21"/>
        <s v="MF-070/21"/>
        <s v="MF-071/21"/>
        <s v="MF-072A/21"/>
        <s v="MF-072B/21"/>
        <s v="MF-072C/21"/>
        <s v="MF-072D/21"/>
        <s v="MF-073A/21"/>
        <s v="MF-073B/21"/>
        <s v="MF-073C/21"/>
        <s v="MF-073D/21"/>
        <s v="MF-073E/21"/>
        <s v="MF-074/21"/>
        <s v="MF-075/21"/>
        <s v="MF-076A/21"/>
        <s v="MF-076B/21"/>
        <s v="MF-076C/21"/>
        <s v="MF-076D/21"/>
        <s v="MF-077A/21"/>
        <s v="MF-077B/21"/>
        <s v="MF-077C/21"/>
        <s v="MF-078A/21"/>
        <s v="MF-079A/21"/>
        <s v="MF-079B/21"/>
        <s v="MF-079C/21"/>
        <s v="MF-079D/21"/>
        <s v="MF-080A/21"/>
        <s v="MF-080B/21"/>
        <s v="MF-080C/21"/>
        <s v="MF-081/21"/>
        <s v="MF-082/21"/>
        <s v="MF-083/21"/>
        <s v="MF-084/21"/>
        <s v="MF-085/21"/>
        <s v="MF-086/21"/>
        <s v="MF-087/21"/>
        <s v="MF-088/21"/>
        <s v="MF-089/21"/>
        <s v="MF-090/21"/>
        <s v="MF-091/21"/>
        <s v="MF-092.1/21"/>
        <s v="MF-092.2/21"/>
        <s v="MF-092.3/21"/>
        <s v="MF-093/21"/>
        <s v="MF-094/21"/>
        <s v="MF-095/21"/>
        <s v="MF-096/21"/>
        <s v="MF-097/21"/>
        <s v="MF-098.1/21"/>
        <s v="MF-098.2/21"/>
        <s v="MF-099/21"/>
        <s v="MF-100/21"/>
        <s v="MF-101.1.2/21"/>
        <s v="MF-101.1.1/21"/>
        <s v="MF-101.2.2/21"/>
        <s v="MF-101.2.1/21"/>
        <s v="MF-102/21"/>
        <s v="MF-103/21"/>
        <s v="MF-104/21"/>
        <s v="MF-105/21"/>
        <s v="MF-106A/21"/>
        <s v="MF-106B/21"/>
        <s v="MF-106C/21"/>
        <s v="MF-107/21"/>
        <s v="MF-108A/21"/>
        <s v="MF-108B/21"/>
        <s v="MF-108C/21"/>
        <s v="MF-109/21"/>
        <s v="MF-110.1/21"/>
        <s v="MF-110.2/21"/>
        <s v="MF-111/21"/>
        <s v="MF-112/21"/>
        <s v="MF-113/21"/>
        <s v="MF-114/21"/>
        <s v="MF-115/21"/>
        <s v="MF-116/21"/>
        <s v="MF-117/21"/>
        <s v="MF-118A/21"/>
        <s v="MF-118B/21"/>
        <s v="MF-118C/21"/>
        <s v="MF-118D/21"/>
        <s v="MF-118E/21"/>
        <s v="MF-119A/21"/>
        <s v="MF-119B/21"/>
        <s v="MF-119C/21"/>
        <s v="MF-120.1/21"/>
        <s v="MF-120.2/21"/>
        <s v="MF-121/21"/>
        <s v="MF-122A/21"/>
        <s v="MF-122B/21"/>
        <s v="MF-123/21"/>
        <s v="MF-124.1/21"/>
        <s v="MF-124.2/21"/>
        <s v="MF-125/21"/>
        <s v="MF-126.1/21"/>
        <s v="MF.126.2/21"/>
        <s v="MF-127/21"/>
        <s v="MF-128/21"/>
        <s v="MF-129/21"/>
        <s v="MF-130.1/21"/>
        <s v="MF-130.2/21"/>
        <s v="MF-130.3/21"/>
        <s v="MF-131/21"/>
        <s v="MF-132/21"/>
        <s v="MF-133/21"/>
        <s v="MF-134/21"/>
        <s v="MF-135/21"/>
        <s v="MF-136A1/21"/>
        <s v="MF-136A2/21"/>
        <s v="MF-136A3/21"/>
        <s v="MF-136A4/21"/>
        <s v="MF-136A5/21"/>
        <s v="MF-136B1.1/21"/>
        <s v="MF-136B1.2/21"/>
        <s v="MF-136B2.1/21"/>
        <s v="MF-136B2.2/21"/>
        <s v="MF-137A/21"/>
        <s v="MF-137B/21"/>
        <s v="MF-137C/21"/>
        <s v="MF-137D.1/21"/>
        <s v="MF-137D.2/21"/>
        <s v="MF-137E/21"/>
        <s v="MUESTRA 1/21"/>
        <s v="MF-139A/21"/>
        <s v="MF-139B/21"/>
        <s v="MF-140/21"/>
        <s v="MF-141A/21"/>
        <s v="MF-141B/21"/>
        <s v="MF-141C/21"/>
        <s v="MF-142.1/21"/>
        <s v="MF-142.2/21"/>
        <s v="MF-143/21"/>
        <s v="MF-144/21"/>
        <s v="MF-145/21"/>
        <s v="MF-146/21"/>
        <s v="MF-147A/21"/>
        <s v="MF-147B/21"/>
        <s v="MF-148A/21"/>
        <s v="MF-148B/21"/>
        <s v="MF-149/21"/>
        <s v="MF-150.1/21"/>
        <s v="MF-150.2/21"/>
        <s v="MF-150.3/21"/>
        <s v="MF-150.4/21"/>
        <s v="MF-150.5/21"/>
        <s v="MF-151.1/21"/>
        <s v="MF-151.2/21"/>
        <s v="MF-152/21"/>
        <s v="MF-153/21"/>
        <s v="MF-154/21"/>
        <s v="MF-155/21"/>
        <s v="MF-156.1/21"/>
        <s v="MF-156.2/21"/>
        <s v="MUESTRA 2/21"/>
        <s v="MF-157/21"/>
        <s v="MF-158/21"/>
        <s v="MF-159/21"/>
        <s v="MF-160/21"/>
        <s v="MF-161/21"/>
        <s v="MF-162.1/21"/>
        <s v="MF-162.2/21"/>
        <s v="MF-163/21"/>
        <s v="MF-164/21"/>
        <s v="MF-165/21"/>
        <s v="MF-166/21"/>
        <s v="MF-167/21"/>
        <s v="MF-168/21"/>
        <s v="MF-169/21"/>
        <s v="MF-170/21"/>
        <s v="MF-171.1/21"/>
        <s v="MF-171.2/21"/>
        <s v="MF-172/21"/>
        <s v="MF-173/21"/>
        <s v="MF-174/21"/>
        <s v="MF-175/21"/>
        <s v="MF-176/21"/>
        <s v="MF-177/21"/>
        <s v="MF-178/21"/>
        <s v="MF-179/21"/>
        <s v="MF-180/21"/>
        <s v="MF-181/21"/>
        <s v="MF-182/21"/>
        <s v="MF-183/21"/>
        <s v="MF-184.1/21"/>
        <s v="MF-184.2/21"/>
        <s v="MF-185/21"/>
        <s v="MF-186/21"/>
        <s v="MF-187/21"/>
        <s v="MF-188/21"/>
        <s v="MF-189A/21"/>
        <s v="MF-189B/21"/>
        <s v="MF-190/21"/>
        <s v="MF-191A/21"/>
        <s v="MF-191B/21"/>
        <s v="MF-191C/21"/>
        <s v="MF-191D/21"/>
        <s v="MF-192A/21"/>
        <s v="MF-192B/21"/>
        <s v="MF-192C/21"/>
        <s v="MF-192D.1/21"/>
        <s v="MF-192D.2/21"/>
        <s v="MF-192D.3/21"/>
        <s v="MF-193A/21"/>
        <s v="MF-193B/21"/>
        <s v="MF-193C/21"/>
        <s v="MF-194A/21"/>
        <s v="MF-194B/21"/>
        <s v="MF-195/21"/>
        <s v="MF-196/21"/>
        <s v="MF-197A.1/21"/>
        <s v="MF-197A.2/21"/>
        <s v="MF-197A.3/21"/>
        <s v="MF-197B/21"/>
        <s v="MF-198A/21"/>
        <s v="MF-198B/21"/>
        <s v="MF-199A/21"/>
        <s v="MF-199B/21"/>
        <s v="MF-200A/21"/>
        <s v="MF-200B/21"/>
        <s v="MF-201A/21"/>
        <s v="MF-201B/21"/>
        <s v="MF-202A/21"/>
        <s v="MF-202B/21"/>
        <s v="MF-202C/21"/>
        <s v="MF-202D/21"/>
        <s v="MF-202E/21"/>
        <s v="MF-202F/21"/>
        <s v="MF-202G/21"/>
        <s v="MF-202H/21"/>
        <s v="MF-202I/21"/>
        <s v="MF-202J/21"/>
        <s v="MF-202K/21"/>
        <s v="MF-202L/21"/>
        <s v="MF-202M/21"/>
        <s v="MF-202N/21"/>
        <s v="MF-202O/21"/>
        <s v="MF-202P/21"/>
        <s v="MF-202Q/21"/>
        <s v="MF-202R/21"/>
        <s v="MF-202S/21"/>
        <s v="MF-202T/21"/>
        <s v="MF-202U/21"/>
        <s v="MF-202V/21"/>
        <s v="MF-202W/21"/>
        <s v="MF-202X/21"/>
        <s v="MF-202Y/21"/>
        <s v="MF-202Z/21"/>
        <s v="MF-203/21"/>
        <s v="MF-204A/21"/>
        <s v="MF-204B.1/21"/>
        <s v="MF-204B.2/21"/>
        <s v="MF-204C/21"/>
        <s v="MF-204D/21"/>
        <s v="MF-204E/21"/>
        <s v="MF-205/21"/>
        <s v="MF-206A/21"/>
        <s v="MF-206B/21"/>
        <s v="MF-206C/21"/>
        <s v="MF-207A/21"/>
        <s v="MF-207B/21"/>
        <s v="MF-207C/21"/>
        <s v="MF-208A/21"/>
        <s v="MF-208B/21"/>
        <s v="MF-208C/21"/>
        <s v="MF-209/21"/>
        <s v="MF-210A/21"/>
        <s v="MF-210B/21"/>
        <s v="MF-210C/21"/>
        <s v="MF-211/21"/>
        <s v="MF-212/21"/>
        <s v="MF-213A/21"/>
        <s v="MF-213B/21"/>
        <s v="MF-214A/21"/>
        <s v="MF-214B/21"/>
        <s v="MF-215/21"/>
        <s v="MF-216A/21"/>
        <s v="MF-216B/21"/>
        <s v="MF-217/21"/>
        <s v="MF-218/21"/>
        <s v="MF-219A.1/21"/>
        <s v="MF-219A.2/21"/>
        <s v="MF-219B.1/21"/>
        <s v="MF-219B.2/21"/>
        <s v="MF-220A/21"/>
        <s v="MF-220B/21"/>
        <s v="MF-221/21"/>
        <s v="MF-222/21"/>
        <s v="MF-223/21"/>
        <s v="MF-224/21"/>
        <s v="MF-225/21"/>
        <s v="MUESTRA 3/21"/>
        <s v="MF-227/21"/>
        <s v="MF-228/21"/>
        <s v="MF-229/21"/>
        <s v="MF-230/21"/>
        <s v="MF-231/21"/>
        <s v="MF-232/21"/>
        <s v="MF-233/21"/>
        <s v="MF-234/21"/>
        <s v="MF-235.1/21"/>
        <s v="MF-235.2/21"/>
        <s v="MF-236/21"/>
        <s v="MF-237/21"/>
        <s v="MF-238/21"/>
        <s v="MF-239/21"/>
        <s v="MF-240/21"/>
        <s v="MF-241A/21"/>
        <s v="MF-241B/21"/>
        <s v="MF-241C/21"/>
        <s v="MF-241D.1/21"/>
        <s v="MF-241D.2/21"/>
        <s v="MF-241E/21"/>
        <s v="MF-242/21"/>
        <s v="MF-243/21"/>
        <s v="MF-244A/21"/>
        <s v="MF-244B/21"/>
        <s v="MF-244C/21"/>
        <s v="MF-244D/21"/>
        <s v="MF-244E/21"/>
        <s v="MF-245A/21"/>
        <s v="MF-245B/21"/>
        <s v="MF-245C/21"/>
        <s v="MF-245D/21"/>
        <s v="MF-246/21"/>
        <s v="MF-247.1/21"/>
        <s v="MF-247.2/21"/>
        <s v="MF-248/21"/>
        <s v="MF-249/21"/>
        <s v="MF-250.1/21"/>
        <s v="MF-250.2/21"/>
        <s v="MF-250.3/21"/>
        <s v="MF-250.4/21"/>
        <s v="MF-251.1/21"/>
        <s v="MF-251.2/21"/>
        <s v="MF-251.3/21"/>
        <s v="MF-251.4/21"/>
        <s v="MF-252/21"/>
        <s v="MF-253/21"/>
        <s v="MF-254.1/21"/>
        <s v="MF-254.2/21"/>
        <s v="MF-255/21"/>
        <s v="MF-256.1/21"/>
        <s v="MF-256.2.1/21"/>
        <s v="MF-256.2.2/21"/>
        <s v="MF-256.2.3/21"/>
        <s v="MF-257A/21"/>
        <s v="MF-257B/21"/>
        <s v="MF-257C/21"/>
        <s v="MF-257D/21"/>
        <s v="MF-258A/21"/>
        <s v="MF-258B/21"/>
        <s v="MF-258C/21"/>
        <s v="MF-259/21"/>
        <s v="MF-260.1/21"/>
        <s v="MF-260.2/21"/>
        <s v="MF-261A/21"/>
        <s v="MF-261B/21"/>
        <s v="MF-262/21"/>
        <s v="MF-263/21"/>
        <s v="MF-264A/21"/>
        <s v="MF-264B/21"/>
        <s v="MF-265A.1/21"/>
        <s v="MF-265A.2/21"/>
        <s v="MF-265B/21"/>
        <s v="MF-266/21"/>
        <s v="MF-267/21"/>
        <s v="MF-268/21"/>
        <s v="MF-269/21"/>
        <s v="MUESTRA 4/21"/>
        <s v="MF-270A/21"/>
        <s v="MF-270B/21"/>
        <s v="MF-270C/21"/>
        <s v="MF-271A/21"/>
        <s v="MF-271B/21"/>
        <s v="MF-272A/21"/>
        <s v="MF-272B/21"/>
        <s v="MF-272C/21"/>
        <s v="MF-272D/21"/>
        <s v="MF-272E/21"/>
        <s v="MF-273A/21"/>
        <s v="MF-273B/21"/>
        <s v="MF-273C/21"/>
        <s v="MF-273D/21"/>
        <s v="MF-274/21"/>
        <s v="MF-274.1/21"/>
        <s v="MF-275/21"/>
        <s v="MF-276.1/21"/>
        <s v="MF-276.2/21"/>
        <s v="MF-276.3/21"/>
        <s v="MF-277/21"/>
        <s v="MF-278/21"/>
        <s v="MF-278.1/21"/>
        <s v="MF-279A/21"/>
        <s v="MF-279B/21"/>
        <s v="MF-280/21"/>
        <s v="MF-281/21"/>
        <s v="MF-282/21"/>
        <s v="MF-283/21"/>
        <s v="MF-284A/21"/>
        <s v="MF-284B/21"/>
        <s v="MF-285A/21"/>
        <s v="MF-285B/21"/>
        <s v="MF-286/21"/>
        <s v="MF-287/21"/>
        <s v="MF-288/21"/>
        <s v="MF-289/21"/>
        <s v="MF-290/21"/>
        <s v="MF-291/21"/>
        <s v="MF-292/21"/>
        <s v="MF-293A/21"/>
        <s v="MF-293B/21"/>
        <s v="MF-294A/21"/>
        <s v="MF-294B/21"/>
        <s v="MF-295/21"/>
        <s v="MF-296/21"/>
        <s v="MF-297A/21"/>
        <s v="MF-297B/21"/>
        <s v="MF-298/21"/>
        <s v="MF-299A/21"/>
        <s v="MF-299B/21"/>
        <s v="MF-299C/21"/>
        <s v="MF-299D/21"/>
        <s v="MF-300A/21"/>
        <s v="MF-300A.1/21"/>
        <s v="MF-300B/21"/>
        <s v="MF-301/21"/>
        <s v="MF-302/21"/>
        <s v="MF-001A/22"/>
        <s v="MF-001B/22"/>
        <s v="MF-001C.1/22"/>
        <s v="MF-001C.2/22"/>
        <s v="MF-001C.3/22"/>
        <s v="MF-001D/22"/>
        <s v="MF-002/22"/>
        <s v="MUESTRA 1/22"/>
        <s v="MUESTRA 2/22"/>
        <s v="MF-003A/22"/>
        <s v="MF-003B/22"/>
        <s v="MF-003C/22"/>
        <s v="MF-004A/22"/>
        <s v="MF-004B/22"/>
        <s v="MF-005/22"/>
        <s v="MF-006/22"/>
        <s v="MF-007A/22"/>
        <s v="MF-007B/22"/>
        <s v="MF-007C/22"/>
        <s v="MF-007D/22"/>
        <s v="MF-008/22"/>
        <s v="MF-009/22"/>
        <s v="MF-010/22"/>
        <s v="MF-011/22"/>
        <s v="MF-012A/22"/>
        <s v="MF-012B/22"/>
        <s v="MF-012C/22"/>
        <s v="MF-012D/22"/>
        <s v="MF-012E/22"/>
        <s v="MF-012F/22"/>
        <s v="MF-013/22"/>
        <s v="MF-014/22"/>
        <s v="MF-015/22"/>
        <s v="MF-016/22"/>
        <s v="MF-017/22"/>
        <s v="MF-018/22"/>
        <s v="MF-019A/22"/>
        <s v="MF-019B/22"/>
        <s v="MF-020A/22"/>
        <s v="MF-020B/22"/>
        <s v="MF-020C/22"/>
        <s v="MF-020D/22"/>
        <s v="MF-021A/22"/>
        <s v="MF-021B/22"/>
        <s v="MF-022/22"/>
        <s v="MF-023A/22"/>
        <s v="MF-023B/22"/>
        <s v="MF-023C/22"/>
        <s v="MF-023D/22"/>
        <s v="MF-024/22"/>
        <s v="MF-025/22"/>
        <s v="MF-026/22"/>
        <s v="MF-027/22"/>
        <s v="MF-028/22"/>
        <s v="MF-029A/22"/>
        <s v="MF-029B/22"/>
        <s v="MF-029C.1/22"/>
        <s v="MF-029C.2/22"/>
        <s v="MF-029D/22"/>
        <s v="MF-029E.1/22"/>
        <s v="MF-029E.2/22"/>
        <s v="MF-029F.1/22"/>
        <s v="MF-029F.2/22"/>
        <s v="MF-029G/22"/>
        <s v="MF-029H/22"/>
        <s v="MF-029I/22"/>
        <s v="MF-029J/22"/>
        <s v="MF-029K/22"/>
        <s v="MF-029L/22"/>
        <s v="MF-029M/22"/>
        <s v="MF-029N/22"/>
        <s v="MF-029O/22"/>
        <s v="MF-030/22"/>
        <s v="MF-031/22"/>
        <s v="MF-032/22"/>
        <s v="MF-033/22"/>
        <s v="MF-034/22"/>
        <s v="MF-035/22"/>
        <s v="MF-036A/22"/>
        <s v="MF-036A.1/22"/>
        <s v="MF-036B/22"/>
        <s v="MF-037A/22"/>
        <s v="MF-037B/22"/>
        <s v="MF-037C/22"/>
        <s v="MF-037D/22"/>
        <s v="MF-038A/22"/>
        <s v="MF-038B/22"/>
        <s v="MF-039/22"/>
        <s v="MF-040A/22"/>
        <s v="MF-040B/22"/>
        <s v="MF-040C/22"/>
        <s v="MF-041/22"/>
        <s v="MF-042A/22"/>
        <s v="MF-042A.1/22"/>
        <s v="MF-042B/22"/>
        <s v="MF-042C/22"/>
        <s v="MF-042D/22"/>
        <s v="MF-043/22"/>
        <s v="MF-044/22"/>
        <s v="MF-045/22"/>
        <s v="MF-046/22"/>
        <s v="MF-047/22"/>
        <s v="MF-048/22"/>
        <s v="MF-049/22"/>
        <s v="MF-050/22"/>
        <s v="MF-051A/22"/>
        <s v="MF-051B/22"/>
        <s v="MF-051C/22"/>
        <s v="MF-051D/22"/>
        <s v="MF-052A/22"/>
        <s v="MF-052B/22"/>
        <s v="MF-052C/22"/>
        <s v="MF-052D/22"/>
        <s v="MF-053A/22"/>
        <s v="MF-053B/22"/>
        <s v="MF-053C/22"/>
        <s v="MF-053D/22"/>
        <s v="MF-054A/22"/>
        <s v="MF-054B/22"/>
        <s v="MF-054C/22"/>
        <s v="MF-055A/22"/>
        <s v="MF-055B/22"/>
        <s v="MF-056/22"/>
        <s v="MF-057A/22"/>
        <s v="MF-057B/22"/>
        <s v="MF-057C/22"/>
        <s v="MF-058/22"/>
        <s v="MF-059A/22"/>
        <s v="MF-059B/22"/>
        <s v="MF-060/22"/>
        <s v="MF-061/22"/>
        <s v="MF-062/22"/>
        <s v="MF-063/22"/>
        <s v="MF-064/22"/>
        <s v="MF-065/22"/>
        <s v="MF-066/22"/>
        <s v="MF-066.1/22"/>
        <s v="MF-067/22"/>
        <s v="MF-068/22"/>
        <s v="MF-069/22"/>
        <s v="MF-070A/22"/>
        <s v="MF-070B/22"/>
        <s v="MF-071/22"/>
        <s v="MF-072A/22"/>
        <s v="MF-072B/22"/>
        <s v="MF-073/22"/>
        <s v="MF-074/22"/>
        <s v="MF-075A/22"/>
        <s v="MF-075B/22"/>
        <s v="MF-075C/22"/>
        <s v="MF-076/22"/>
        <s v="MF-077A/22"/>
        <s v="MF-077B/22"/>
        <s v="MF-078/22"/>
        <s v="MF-079/22"/>
      </sharedItems>
    </cacheField>
    <cacheField name="SOLPED" numFmtId="0">
      <sharedItems containsBlank="1"/>
    </cacheField>
    <cacheField name="OC" numFmtId="0">
      <sharedItems containsBlank="1" containsMixedTypes="1" containsNumber="1" containsInteger="1" minValue="8000000001" maxValue="8000002038" count="1712">
        <n v="8000000028"/>
        <n v="8000000029"/>
        <n v="8000000030"/>
        <n v="8000000031"/>
        <n v="8000000032"/>
        <n v="8000000036"/>
        <n v="8000000037"/>
        <n v="8000000038"/>
        <n v="8000000039"/>
        <n v="8000000040"/>
        <n v="8000000042"/>
        <n v="8000000016"/>
        <n v="8000000017"/>
        <n v="8000000018"/>
        <n v="8000000019"/>
        <n v="8000000020"/>
        <n v="8000000021"/>
        <n v="8000000022"/>
        <n v="8000000023"/>
        <n v="8000000024"/>
        <n v="8000000007"/>
        <n v="8000000008"/>
        <n v="8000000025"/>
        <n v="8000000026"/>
        <n v="8000000027"/>
        <n v="8000000041"/>
        <n v="8000000033"/>
        <n v="8000000034"/>
        <n v="8000000035"/>
        <n v="8000000001"/>
        <n v="8000000002"/>
        <n v="8000000003"/>
        <n v="8000000076"/>
        <n v="8000000077"/>
        <m/>
        <n v="8000000078"/>
        <n v="8000000079"/>
        <n v="8000000080"/>
        <n v="8000000081"/>
        <n v="8000000082"/>
        <n v="8000000083"/>
        <n v="8000000084"/>
        <n v="8000000085"/>
        <n v="8000000086"/>
        <n v="8000000087"/>
        <n v="8000000088"/>
        <n v="8000000090"/>
        <n v="8000000089"/>
        <n v="8000000091"/>
        <n v="8000000015"/>
        <n v="8000000092"/>
        <n v="8000000093"/>
        <n v="8000000094"/>
        <n v="8000000095"/>
        <n v="8000000096"/>
        <n v="8000000097"/>
        <n v="8000000098"/>
        <n v="8000000099"/>
        <n v="8000000100"/>
        <n v="8000000101"/>
        <n v="8000000102"/>
        <n v="8000000105"/>
        <n v="8000000104"/>
        <n v="8000000106"/>
        <n v="8000000107"/>
        <n v="8000000108"/>
        <n v="8000000109"/>
        <n v="8000000110"/>
        <n v="8000000111"/>
        <n v="8000000112"/>
        <n v="8000000113"/>
        <n v="8000000114"/>
        <n v="8000000115"/>
        <n v="8000000116"/>
        <n v="8000000006"/>
        <n v="8000000013"/>
        <n v="8000000014"/>
        <n v="8000000004"/>
        <n v="8000000005"/>
        <n v="8000000009"/>
        <n v="8000000010"/>
        <n v="8000000011"/>
        <n v="8000000012"/>
        <n v="8000000117"/>
        <n v="8000000043"/>
        <n v="8000000044"/>
        <n v="8000000045"/>
        <n v="8000000046"/>
        <n v="8000000047"/>
        <n v="8000000053"/>
        <n v="8000000052"/>
        <n v="8000000048"/>
        <n v="8000000049"/>
        <n v="8000000050"/>
        <n v="8000000051"/>
        <n v="8000000118"/>
        <n v="8000000119"/>
        <n v="8000000121"/>
        <n v="8000000120"/>
        <n v="8000000122"/>
        <n v="8000000123"/>
        <n v="8000000124"/>
        <n v="8000000125"/>
        <n v="8000000126"/>
        <n v="8000000054"/>
        <n v="8000000055"/>
        <n v="8000000127"/>
        <n v="8000000056"/>
        <n v="8000000057"/>
        <n v="8000000058"/>
        <n v="8000000059"/>
        <n v="8000000060"/>
        <n v="8000000061"/>
        <n v="8000000128"/>
        <n v="8000000129"/>
        <n v="8000000130"/>
        <n v="8000000131"/>
        <n v="8000000132"/>
        <n v="8000000133"/>
        <n v="8000000134"/>
        <n v="8000000062"/>
        <n v="8000000135"/>
        <n v="8000000136"/>
        <n v="8000000066"/>
        <n v="8000000063"/>
        <n v="8000000064"/>
        <n v="8000000065"/>
        <n v="8000000067"/>
        <n v="8000000137"/>
        <n v="8000000138"/>
        <n v="8000000139"/>
        <n v="8000000140"/>
        <n v="8000000141"/>
        <n v="8000000142"/>
        <n v="8000000143"/>
        <n v="8000000144"/>
        <n v="8000000145"/>
        <n v="8000000146"/>
        <n v="8000000068"/>
        <n v="8000000069"/>
        <n v="8000000070"/>
        <n v="8000000071"/>
        <n v="8000000072"/>
        <n v="8000000147"/>
        <n v="8000000148"/>
        <n v="8000000149"/>
        <n v="8000000150"/>
        <n v="8000000073"/>
        <n v="8000000074"/>
        <n v="8000000151"/>
        <n v="8000000152"/>
        <n v="8000000153"/>
        <n v="8000000154"/>
        <n v="8000000155"/>
        <n v="8000000156"/>
        <n v="8000000157"/>
        <n v="8000000158"/>
        <n v="8000000159"/>
        <n v="8000000160"/>
        <n v="8000000161"/>
        <n v="8000000162"/>
        <n v="8000000163"/>
        <n v="8000000170"/>
        <n v="8000000171"/>
        <n v="8000000172"/>
        <n v="8000000173"/>
        <n v="8000000174"/>
        <n v="8000000175"/>
        <n v="8000000169"/>
        <n v="8000000177"/>
        <n v="8000000168"/>
        <n v="8000000199"/>
        <n v="8000000251"/>
        <n v="8000000257"/>
        <n v="8000000263"/>
        <n v="8000000268"/>
        <n v="8000000252"/>
        <n v="8000000253"/>
        <n v="8000000194"/>
        <n v="8000000243"/>
        <n v="8000000227"/>
        <n v="8000000181"/>
        <n v="8000000176"/>
        <n v="8000000200"/>
        <n v="8000000178"/>
        <n v="8000000210"/>
        <n v="8000000214"/>
        <n v="8000000221"/>
        <n v="8000000224"/>
        <n v="8000000211"/>
        <n v="8000000215"/>
        <n v="8000000222"/>
        <n v="8000000225"/>
        <n v="8000000212"/>
        <n v="8000000216"/>
        <n v="8000000223"/>
        <n v="8000000226"/>
        <n v="8000000213"/>
        <n v="8000000217"/>
        <n v="8000000182"/>
        <n v="8000000180"/>
        <n v="8000000179"/>
        <n v="8000000209"/>
        <n v="8000000234"/>
        <n v="8000000239"/>
        <n v="8000000247"/>
        <n v="8000000219"/>
        <n v="8000000229"/>
        <n v="8000000236"/>
        <n v="8000000240"/>
        <n v="8000000245"/>
        <n v="8000000230"/>
        <n v="8000000237"/>
        <n v="8000000246"/>
        <n v="8000000220"/>
        <n v="8000000231"/>
        <n v="8000000238"/>
        <n v="8000000183"/>
        <n v="8000000265"/>
        <n v="8000000184"/>
        <n v="8000000232"/>
        <n v="8000000241"/>
        <n v="8000000248"/>
        <n v="8000000255"/>
        <n v="8000000233"/>
        <n v="8000000242"/>
        <n v="8000000249"/>
        <n v="8000000250"/>
        <n v="8000000256"/>
        <n v="8000000185"/>
        <n v="8000000186"/>
        <n v="8000000187"/>
        <n v="8000000188"/>
        <n v="8000000189"/>
        <n v="8000000190"/>
        <n v="8000000191"/>
        <n v="8000000192"/>
        <n v="8000000193"/>
        <n v="8000000264"/>
        <n v="8000000269"/>
        <n v="8000000273"/>
        <n v="8000000281"/>
        <n v="8000000195"/>
        <n v="8000000196"/>
        <n v="8000000197"/>
        <n v="8000000198"/>
        <n v="8000000319"/>
        <n v="8000000285"/>
        <n v="8000000201"/>
        <n v="8000000202"/>
        <n v="8000000286"/>
        <n v="8000000310"/>
        <n v="8000000311"/>
        <n v="8000000297"/>
        <n v="8000000333"/>
        <n v="8000000206"/>
        <n v="8000000207"/>
        <n v="8000000208"/>
        <n v="8000000284"/>
        <n v="8000000254"/>
        <n v="8000000277"/>
        <n v="8000000278"/>
        <n v="8000000279"/>
        <n v="8000000280"/>
        <n v="8000000274"/>
        <n v="8000000275"/>
        <n v="8000000282"/>
        <n v="8000000258"/>
        <n v="8000000335"/>
        <n v="8000000345"/>
        <n v="8000000347"/>
        <n v="8000000260"/>
        <n v="8000000290"/>
        <n v="8000000298"/>
        <n v="8000000305"/>
        <n v="8000000316"/>
        <n v="8000000344"/>
        <n v="8000000334"/>
        <n v="8000000289"/>
        <n v="8000000296"/>
        <n v="8000000299"/>
        <n v="8000000291"/>
        <n v="8000000300"/>
        <n v="8000000318"/>
        <n v="8000000317"/>
        <n v="8000000320"/>
        <n v="8000000370"/>
        <n v="8000000366"/>
        <n v="8000000371"/>
        <n v="8000000372"/>
        <n v="8000000337"/>
        <n v="8000000369"/>
        <s v="8000000292/8000000276"/>
        <n v="8000000301"/>
        <n v="8000000312"/>
        <n v="8000000306"/>
        <n v="8000000294"/>
        <n v="8000000302"/>
        <n v="8000000303"/>
        <n v="8000000314"/>
        <n v="8000000270"/>
        <n v="8000000271"/>
        <n v="8000000272"/>
        <n v="8000000283"/>
        <n v="8000000304"/>
        <n v="8000000307"/>
        <n v="8000000308"/>
        <n v="8000000309"/>
        <n v="8000000342"/>
        <n v="8000000343"/>
        <n v="8000000339"/>
        <n v="8000000340"/>
        <n v="8000000341"/>
        <n v="8000000381"/>
        <n v="8000000383"/>
        <n v="8000000382"/>
        <n v="8000000287"/>
        <n v="8000000373"/>
        <n v="8000000374"/>
        <n v="8000000375"/>
        <n v="8000000288"/>
        <n v="8000000378"/>
        <n v="8000000377"/>
        <n v="8000000384"/>
        <n v="8000000385"/>
        <n v="8000000386"/>
        <n v="8000000350"/>
        <n v="8000000338"/>
        <n v="8000000349"/>
        <n v="8000000367"/>
        <n v="8000000351"/>
        <n v="8000000354"/>
        <s v=" 8000000355"/>
        <n v="8000000356"/>
        <n v="8000000352"/>
        <n v="8000000357"/>
        <n v="8000000358"/>
        <n v="8000000359"/>
        <n v="8000000313"/>
        <n v="8000000348"/>
        <n v="8000000364"/>
        <n v="8000000365"/>
        <n v="8000000346"/>
        <n v="8000000360"/>
        <n v="8000000361"/>
        <n v="8000000362"/>
        <n v="8000000363"/>
        <n v="8000000321"/>
        <n v="8000000322"/>
        <n v="8000000323"/>
        <n v="8000000325"/>
        <n v="8000000324"/>
        <n v="8000000326"/>
        <n v="8000000368"/>
        <n v="8000000327"/>
        <n v="8000000391"/>
        <n v="8000000387"/>
        <n v="8000000394"/>
        <n v="8000000395"/>
        <n v="8000000393"/>
        <n v="8000000331"/>
        <n v="8000000332"/>
        <n v="8000000414"/>
        <n v="8000000417"/>
        <n v="8000000392"/>
        <n v="8000000398"/>
        <n v="8000000424"/>
        <n v="8000000396"/>
        <n v="8000000397"/>
        <n v="8000000440"/>
        <n v="8000000425"/>
        <n v="8000000399"/>
        <n v="8000000400"/>
        <n v="8000000415"/>
        <n v="8000000418"/>
        <n v="8000000419"/>
        <n v="8000000420"/>
        <n v="8000000389"/>
        <n v="8000000405"/>
        <n v="8000000406"/>
        <n v="8000000407"/>
        <n v="8000000408"/>
        <n v="8000000409"/>
        <n v="8000000410"/>
        <n v="8000000411"/>
        <n v="8000000412"/>
        <n v="8000000413"/>
        <n v="8000000476"/>
        <n v="8000000451"/>
        <n v="8000000452"/>
        <n v="8000000450"/>
        <s v="8000000432(s/nac)/8000000453"/>
        <n v="8000000437"/>
        <n v="8000000438"/>
        <n v="8000000455"/>
        <n v="8000000456"/>
        <n v="8000000422"/>
        <n v="8000000423"/>
        <n v="8000000427"/>
        <n v="8000000428"/>
        <n v="8000000429"/>
        <n v="8000000430"/>
        <n v="8000000431"/>
        <n v="8000000416"/>
        <n v="8000000421"/>
        <n v="8000000376"/>
        <n v="8000000379"/>
        <n v="8000000380"/>
        <n v="8000000388"/>
        <n v="8000000457"/>
        <n v="8000000458"/>
        <n v="8000000459"/>
        <n v="8000000469"/>
        <n v="8000000439"/>
        <n v="8000000442"/>
        <n v="8000000441"/>
        <n v="8000000443"/>
        <n v="8000000435"/>
        <n v="8000000444"/>
        <n v="8000000445"/>
        <n v="8000000436"/>
        <n v="8000000446"/>
        <n v="8000000447"/>
        <n v="8000000448"/>
        <n v="8000000466"/>
        <n v="8000000467"/>
        <n v="8000000470"/>
        <n v="8000000493"/>
        <n v="8000000500"/>
        <n v="8000000501"/>
        <n v="8000000401"/>
        <n v="8000000402"/>
        <n v="8000000403"/>
        <n v="8000000404"/>
        <n v="8000000471"/>
        <n v="8000000473"/>
        <n v="8000000472"/>
        <n v="8000000482"/>
        <n v="8000000483"/>
        <n v="8000000484"/>
        <n v="8000000485"/>
        <n v="8000000486"/>
        <n v="8000000487"/>
        <n v="8000000488"/>
        <n v="8000000489"/>
        <n v="8000000434"/>
        <n v="8000000511"/>
        <n v="8000000508"/>
        <n v="8000000498"/>
        <n v="8000000477"/>
        <n v="8000000478"/>
        <n v="8000000479"/>
        <n v="8000000480"/>
        <n v="8000000481"/>
        <n v="8000000502"/>
        <n v="8000000503"/>
        <n v="8000000504"/>
        <n v="8000000494"/>
        <n v="8000000507"/>
        <n v="8000000509"/>
        <n v="8000000505"/>
        <n v="8000000519"/>
        <n v="8000000546"/>
        <n v="8000000460"/>
        <n v="8000000461"/>
        <n v="8000000462"/>
        <n v="8000000463"/>
        <n v="8000000464"/>
        <n v="8000000515"/>
        <n v="8000000516"/>
        <n v="8000000506"/>
        <n v="8000000540"/>
        <n v="8000000510"/>
        <n v="8000000554"/>
        <n v="8000000542"/>
        <n v="8000000560"/>
        <n v="8000000468"/>
        <n v="8000000551"/>
        <n v="8000000552"/>
        <n v="8000000548"/>
        <n v="8000000495"/>
        <n v="8000000496"/>
        <n v="8000000582"/>
        <n v="8000000583"/>
        <n v="8000000522"/>
        <n v="8000000523"/>
        <n v="8000000524"/>
        <n v="8000000528"/>
        <n v="8000000529"/>
        <n v="8000000530"/>
        <n v="8000000531"/>
        <n v="8000000532"/>
        <n v="8000000533"/>
        <n v="8000000534"/>
        <n v="8000000543"/>
        <n v="8000000520"/>
        <n v="8000000521"/>
        <n v="8000000525"/>
        <n v="8000000526"/>
        <n v="8000000527"/>
        <n v="8000000535"/>
        <n v="8000000536"/>
        <n v="8000000537"/>
        <n v="8000000538"/>
        <n v="8000000539"/>
        <n v="8000000475"/>
        <n v="8000000564"/>
        <n v="8000000566"/>
        <n v="8000000561"/>
        <n v="8000000569"/>
        <n v="8000000579"/>
        <n v="8000000565"/>
        <n v="8000000567"/>
        <n v="8000000576"/>
        <n v="8000000570"/>
        <n v="8000000580"/>
        <n v="8000000559"/>
        <n v="8000000568"/>
        <n v="8000000563"/>
        <n v="8000000571"/>
        <n v="8000000581"/>
        <n v="8000000490"/>
        <n v="8000000595"/>
        <n v="8000000586"/>
        <n v="8000000553"/>
        <n v="8000000594"/>
        <n v="8000000593"/>
        <n v="8000000587"/>
        <n v="8000000492"/>
        <n v="8000000591"/>
        <n v="8000000588"/>
        <n v="8000000589"/>
        <n v="8000000590"/>
        <n v="8000000604"/>
        <n v="8000000572"/>
        <n v="8000000573"/>
        <n v="8000000648"/>
        <n v="8000000607"/>
        <n v="8000000584"/>
        <n v="8000000592"/>
        <n v="8000000599"/>
        <n v="8000000677"/>
        <n v="8000000651"/>
        <n v="8000000693"/>
        <n v="8000000649"/>
        <n v="8000000634"/>
        <n v="8000000666"/>
        <n v="8000000585"/>
        <n v="8000000597"/>
        <n v="8000000598"/>
        <n v="8000000512"/>
        <n v="8000000596"/>
        <n v="8000000606"/>
        <n v="8000000557"/>
        <n v="8000000549"/>
        <n v="8000000558"/>
        <n v="8000000550"/>
        <n v="8000000635"/>
        <n v="8000000636"/>
        <n v="8000000602"/>
        <n v="8000000603"/>
        <n v="8000000605"/>
        <n v="8000000638"/>
        <n v="8000000639"/>
        <n v="8000000640"/>
        <n v="8000000641"/>
        <n v="8000000642"/>
        <n v="8000000643"/>
        <n v="8000000644"/>
        <n v="8000000645"/>
        <n v="8000000646"/>
        <n v="8000000647"/>
        <n v="8000000555"/>
        <n v="8000000556"/>
        <n v="8000000652"/>
        <n v="8000000637"/>
        <n v="8000000656"/>
        <n v="8000000688"/>
        <n v="8000000694"/>
        <n v="8000000658"/>
        <n v="8000000654"/>
        <n v="8000000661"/>
        <n v="8000000575"/>
        <n v="8000000619"/>
        <n v="8000000622"/>
        <n v="8000000626"/>
        <n v="8000000630"/>
        <n v="8000000620"/>
        <n v="8000000623"/>
        <n v="8000000627"/>
        <n v="8000000631"/>
        <n v="8000000624"/>
        <n v="8000000628"/>
        <n v="8000000632"/>
        <n v="8000000621"/>
        <n v="8000000625"/>
        <n v="8000000629"/>
        <n v="8000000633"/>
        <n v="8000000577"/>
        <n v="8000000578"/>
        <n v="8000000650"/>
        <n v="8000000659"/>
        <n v="8000000691"/>
        <n v="8000000689"/>
        <n v="8000000690"/>
        <n v="8000000664"/>
        <n v="8000000655"/>
        <n v="8000000665"/>
        <n v="8000000660"/>
        <n v="8000000662"/>
        <n v="8000000692"/>
        <n v="8000000672"/>
        <n v="8000000667"/>
        <n v="8000000668"/>
        <n v="8000000669"/>
        <n v="8000000673"/>
        <n v="8000000674"/>
        <n v="8000000675"/>
        <n v="8000000676"/>
        <n v="8000000600"/>
        <n v="8000000601"/>
        <n v="8000000608"/>
        <n v="8000000653"/>
        <n v="8000000657"/>
        <n v="8000000789"/>
        <n v="8000000760"/>
        <n v="8000000761"/>
        <n v="8000000762"/>
        <n v="8000000776"/>
        <n v="8000000679"/>
        <n v="8000000725"/>
        <n v="8000000680"/>
        <n v="8000000681"/>
        <n v="8000000683"/>
        <n v="8000000684"/>
        <n v="8000000685"/>
        <n v="8000000686"/>
        <n v="8000000687"/>
        <n v="8000000726"/>
        <n v="8000000729"/>
        <n v="8000000736"/>
        <n v="8000000737"/>
        <n v="8000000741"/>
        <n v="8000000727"/>
        <n v="8000000728"/>
        <n v="8000000740"/>
        <n v="8000000742"/>
        <n v="8000000759"/>
        <n v="8000000764"/>
        <n v="8000000767"/>
        <n v="8000000769"/>
        <n v="8000000770"/>
        <n v="8000000702"/>
        <n v="8000000703"/>
        <n v="8000000704"/>
        <n v="8000000705"/>
        <n v="8000000717"/>
        <n v="8000000714"/>
        <n v="8000000715"/>
        <n v="8000000716"/>
        <n v="8000000706"/>
        <n v="8000000707"/>
        <n v="8000000784"/>
        <n v="8000000709"/>
        <n v="8000000730"/>
        <n v="8000000731"/>
        <n v="8000000732"/>
        <n v="8000000695"/>
        <n v="8000000699"/>
        <n v="8000000700"/>
        <n v="8000000696"/>
        <n v="8000000698"/>
        <n v="8000000747"/>
        <n v="8000000752"/>
        <n v="8000000754"/>
        <n v="8000000748"/>
        <n v="8000000753"/>
        <n v="8000000765"/>
        <n v="8000000758"/>
        <n v="8000000766"/>
        <n v="8000000768"/>
        <n v="8000000701"/>
        <n v="8000000713"/>
        <n v="8000000722"/>
        <n v="8000000720"/>
        <n v="8000000743"/>
        <n v="8000000744"/>
        <n v="8000000757"/>
        <n v="8000000798"/>
        <n v="8000000799"/>
        <n v="8000000721"/>
        <n v="8000000786"/>
        <n v="8000000801"/>
        <n v="8000000830"/>
        <n v="8000000889"/>
        <n v="8000000780"/>
        <n v="8000000793"/>
        <n v="8000000804"/>
        <n v="8000000821"/>
        <n v="8000000822"/>
        <n v="8000000824"/>
        <n v="8000000794"/>
        <n v="8000000805"/>
        <n v="8000000823"/>
        <n v="8000000825"/>
        <n v="8000000850"/>
        <n v="8000000790"/>
        <n v="8000000806"/>
        <n v="8000000861"/>
        <n v="8000000849"/>
        <n v="8000000854"/>
        <n v="8000000890"/>
        <n v="8000000884"/>
        <n v="8000000927"/>
        <n v="8000000891"/>
        <n v="8000000857"/>
        <n v="8000000856"/>
        <n v="8000000909"/>
        <n v="8000000910"/>
        <n v="8000000723"/>
        <n v="8000000777"/>
        <n v="8000000803"/>
        <n v="8000000724"/>
        <n v="8000000749"/>
        <n v="8000000782"/>
        <n v="8000000783"/>
        <n v="8000000746"/>
        <n v="8000000750"/>
        <n v="8000000772"/>
        <n v="8000000756"/>
        <n v="8000000751"/>
        <n v="8000000860"/>
        <n v="8000000892"/>
        <n v="8000000928"/>
        <n v="8000000855"/>
        <n v="8000000831"/>
        <n v="8000000941"/>
        <n v="8000000832"/>
        <n v="8000000733"/>
        <n v="8000000833"/>
        <n v="8000000874"/>
        <n v="8000000926"/>
        <n v="8000000929"/>
        <n v="8000000872"/>
        <n v="8000000922"/>
        <n v="8000000883"/>
        <n v="8000000917"/>
        <n v="8000000862"/>
        <n v="8000000903"/>
        <n v="8000000978"/>
        <n v="8000000918"/>
        <n v="8000000818"/>
        <n v="8000000911"/>
        <n v="8000000959"/>
        <n v="8000000863"/>
        <n v="8000000980"/>
        <n v="8000000919"/>
        <n v="8000000826"/>
        <n v="8000000871"/>
        <n v="8000000779"/>
        <n v="8000000778"/>
        <n v="8000000775"/>
        <n v="8000000787"/>
        <n v="8000000773"/>
        <n v="8000000781"/>
        <n v="8000000873"/>
        <n v="8000000820"/>
        <n v="8000000880"/>
        <n v="8000000867"/>
        <n v="8000000800"/>
        <n v="8000000838"/>
        <n v="8000000846"/>
        <n v="8000000842"/>
        <n v="8000000844"/>
        <n v="8000000839"/>
        <n v="8000000841"/>
        <n v="8000000843"/>
        <n v="8000000845"/>
        <n v="8000000875"/>
        <n v="8000000878"/>
        <n v="8000000902"/>
        <n v="8000000827"/>
        <n v="8000000847"/>
        <n v="8000000848"/>
        <n v="8000000988"/>
        <n v="8000000933"/>
        <n v="8000000934"/>
        <n v="8000000946"/>
        <n v="8000000792"/>
        <n v="8000000791"/>
        <n v="8000000788"/>
        <n v="8000000900"/>
        <n v="8000000864"/>
        <n v="8000000920"/>
        <n v="8000000944"/>
        <n v="8000000865"/>
        <n v="8000000989"/>
        <n v="8000000979"/>
        <n v="8000001027"/>
        <n v="8000000921"/>
        <n v="8000000797"/>
        <n v="8000000859"/>
        <n v="8000000945"/>
        <n v="8000000923"/>
        <n v="8000000924"/>
        <n v="8000000807"/>
        <n v="8000000802"/>
        <n v="8000000899"/>
        <n v="8000000837"/>
        <n v="8000000893"/>
        <n v="8000000908"/>
        <n v="8000001023"/>
        <n v="8000000974"/>
        <n v="8000000912"/>
        <n v="8000000881"/>
        <n v="8000000866"/>
        <n v="8000000925"/>
        <n v="8000000932"/>
        <n v="8000000815"/>
        <n v="8000000977"/>
        <n v="8000001024"/>
        <n v="8000001010"/>
        <n v="8000001061"/>
        <n v="8000001053"/>
        <n v="8000000981"/>
        <n v="8000000930"/>
        <n v="8000000931"/>
        <n v="8000000964"/>
        <n v="8000000819"/>
        <n v="8000000947"/>
        <n v="8000000943"/>
        <n v="8000000971"/>
        <n v="8000000876"/>
        <n v="8000000894"/>
        <n v="8000000904"/>
        <n v="8000000877"/>
        <n v="8000000895"/>
        <n v="8000000905"/>
        <n v="8000000901"/>
        <n v="8000000982"/>
        <n v="8000000983"/>
        <n v="8000000990"/>
        <n v="8000000991"/>
        <n v="8000000999"/>
        <n v="8000000984"/>
        <n v="8000000992"/>
        <n v="8000000993"/>
        <n v="8000000998"/>
        <n v="8000000985"/>
        <n v="8000000994"/>
        <n v="8000000995"/>
        <n v="8000001000"/>
        <n v="8000000935"/>
        <n v="8000000936"/>
        <n v="8000001026"/>
        <n v="8000001047"/>
        <n v="8000000906"/>
        <n v="8000000907"/>
        <n v="8000000896"/>
        <n v="8000000897"/>
        <n v="8000000898"/>
        <n v="8000000937"/>
        <n v="8000001009"/>
        <n v="8000001018"/>
        <n v="8000001046"/>
        <n v="8000001070"/>
        <n v="8000001016"/>
        <n v="8000001028"/>
        <n v="8000001045"/>
        <n v="8000001017"/>
        <n v="8000001031"/>
        <n v="8000001071"/>
        <n v="8000001094"/>
        <n v="8000001060"/>
        <n v="8000001086"/>
        <n v="8000001177"/>
        <n v="8000001124"/>
        <n v="8000001050"/>
        <n v="8000001080"/>
        <n v="8000001125"/>
        <n v="8000001178"/>
        <n v="8000001190"/>
        <n v="8000001186"/>
        <n v="8000001242"/>
        <n v="8000001114"/>
        <n v="8000001078"/>
        <n v="8000001095"/>
        <n v="8000001079"/>
        <n v="8000001138"/>
        <n v="8000001180"/>
        <n v="8000001022"/>
        <n v="8000000949"/>
        <n v="8000000950"/>
        <n v="8000001011"/>
        <n v="8000001044"/>
        <n v="8000000996"/>
        <n v="8000000955"/>
        <n v="8000001012"/>
        <n v="8000000956"/>
        <n v="8000001052"/>
        <n v="8000000957"/>
        <n v="8000000975"/>
        <n v="8000000952"/>
        <n v="8000000967"/>
        <n v="8000001020"/>
        <n v="8000000970"/>
        <n v="8000000966"/>
        <n v="8000000976"/>
        <n v="8000000969"/>
        <n v="8000001013"/>
        <n v="8000000953"/>
        <n v="8000001096"/>
        <n v="8000001109"/>
        <n v="8000001093"/>
        <n v="8000001126"/>
        <n v="8000001134"/>
        <n v="8000001097"/>
        <n v="8000001102"/>
        <n v="8000001116"/>
        <n v="8000001127"/>
        <n v="8000001143"/>
        <n v="8000001098"/>
        <n v="8000001110"/>
        <n v="8000001117"/>
        <n v="8000001128"/>
        <n v="8000001048"/>
        <n v="8000001032"/>
        <n v="8000001139"/>
        <n v="8000001118"/>
        <n v="8000001099"/>
        <n v="8000001111"/>
        <n v="8000001129"/>
        <n v="8000001136"/>
        <n v="8000001100"/>
        <n v="8000001119"/>
        <n v="8000001101"/>
        <n v="8000001112"/>
        <n v="8000001120"/>
        <n v="8000001130"/>
        <n v="8000000963"/>
        <n v="8000001113"/>
        <n v="8000001121"/>
        <n v="8000001137"/>
        <n v="8000001091"/>
        <n v="8000001092"/>
        <n v="8000001004"/>
        <n v="8000001021"/>
        <n v="8000001030"/>
        <n v="8000001051"/>
        <n v="8000001072"/>
        <n v="8000001087"/>
        <n v="8000001164"/>
        <n v="8000001150"/>
        <n v="8000001160"/>
        <n v="8000001147"/>
        <n v="8000001151"/>
        <n v="8000001161"/>
        <n v="8000001165"/>
        <n v="8000001166"/>
        <n v="8000001148"/>
        <n v="8000001152"/>
        <n v="8000001162"/>
        <n v="8000001163"/>
        <n v="8000001088"/>
        <n v="8000000987"/>
        <n v="8000001158"/>
        <n v="8000001171"/>
        <n v="8000001065"/>
        <n v="8000001067"/>
        <n v="8000001073"/>
        <n v="8000001081"/>
        <n v="8000001083"/>
        <n v="8000001066"/>
        <n v="8000001068"/>
        <n v="8000001089"/>
        <n v="8000001082"/>
        <n v="8000001084"/>
        <n v="8000001033"/>
        <n v="8000001034"/>
        <n v="8000001035"/>
        <n v="8000001036"/>
        <n v="8000001037"/>
        <n v="8000001038"/>
        <n v="8000001039"/>
        <n v="8000001054"/>
        <n v="8000001055"/>
        <n v="8000001056"/>
        <n v="8000001057"/>
        <n v="8000001122"/>
        <n v="8000001196"/>
        <n v="8000001240"/>
        <n v="8000001140"/>
        <n v="8000001236"/>
        <n v="8000001209"/>
        <n v="8000001247"/>
        <n v="8000001262"/>
        <n v="8000001194"/>
        <n v="8000001200"/>
        <n v="8000001218"/>
        <n v="8000001261"/>
        <n v="8000001260"/>
        <n v="8000000997"/>
        <n v="8000001191"/>
        <n v="8000001183"/>
        <n v="8000001197"/>
        <n v="8000001123"/>
        <n v="8000001141"/>
        <n v="8000001179"/>
        <n v="8000001167"/>
        <n v="8000001149"/>
        <n v="8000001001"/>
        <n v="8000001015"/>
        <n v="8000001174"/>
        <n v="8000001181"/>
        <n v="8000001298"/>
        <n v="8000001182"/>
        <n v="8000001217"/>
        <n v="8000001263"/>
        <n v="8000001059"/>
        <n v="8000001019"/>
        <n v="8000001029"/>
        <n v="8000001153"/>
        <n v="8000001168"/>
        <n v="8000001169"/>
        <n v="8000001175"/>
        <n v="8000001154"/>
        <n v="8000001170"/>
        <n v="8000001146"/>
        <n v="8000001176"/>
        <n v="8000001043"/>
        <n v="8000001064"/>
        <n v="8000001192"/>
        <n v="8000001271"/>
        <n v="8000001295"/>
        <n v="8000001230"/>
        <n v="8000001062"/>
        <n v="8000001063"/>
        <n v="8000001210"/>
        <n v="8000001198"/>
        <n v="8000001233"/>
        <n v="8000001184"/>
        <n v="8000001185"/>
        <n v="8000001202"/>
        <n v="8000001237"/>
        <n v="8000001264"/>
        <n v="8000001248"/>
        <n v="8000001234"/>
        <n v="8000001090"/>
        <n v="8000001074"/>
        <n v="8000001075"/>
        <n v="8000001076"/>
        <n v="8000001232"/>
        <n v="8000001115"/>
        <n v="8000001106"/>
        <n v="8000001107"/>
        <n v="8000001103"/>
        <n v="8000001085"/>
        <n v="8000001104"/>
        <n v="8000001131"/>
        <n v="8000001145"/>
        <n v="8000001173"/>
        <n v="8000001156"/>
        <n v="8000001155"/>
        <n v="8000001172"/>
        <n v="8000001159"/>
        <n v="8000001077"/>
        <n v="8000001241"/>
        <n v="8000001249"/>
        <n v="8000001250"/>
        <n v="8000001108"/>
        <n v="8000001211"/>
        <n v="8000001215"/>
        <n v="8000001231"/>
        <n v="8000001228"/>
        <n v="8000001229"/>
        <n v="8000001216"/>
        <n v="8000001219"/>
        <n v="8000001227"/>
        <n v="8000001133"/>
        <n v="8000001235"/>
        <n v="8000001251"/>
        <n v="8000001398"/>
        <n v="8000001435"/>
        <n v="8000001277"/>
        <n v="8000001518"/>
        <n v="8000001144"/>
        <n v="8000001575"/>
        <n v="8000001715"/>
        <n v="8000001791"/>
        <n v="8000001832"/>
        <n v="8000001399"/>
        <n v="8000001189"/>
        <n v="8000001267"/>
        <n v="8000001386"/>
        <n v="8000001284"/>
        <n v="8000001385"/>
        <n v="8000001203"/>
        <n v="8000001270"/>
        <n v="8000001289"/>
        <n v="8000001280"/>
        <n v="8000001272"/>
        <n v="8000001281"/>
        <n v="8000001299"/>
        <n v="8000001408"/>
        <n v="8000001290"/>
        <n v="8000001347"/>
        <n v="8000001431"/>
        <n v="8000001792"/>
        <n v="8000001545"/>
        <n v="8000001204"/>
        <n v="8000001392"/>
        <n v="8000001519"/>
        <n v="8000001257"/>
        <n v="8000001254"/>
        <n v="8000001266"/>
        <n v="8000001268"/>
        <n v="8000001312"/>
        <n v="8000001320"/>
        <n v="8000001339"/>
        <n v="8000001343"/>
        <n v="8000001334"/>
        <n v="8000001337"/>
        <n v="8000001205"/>
        <n v="8000001283"/>
        <n v="8000001207"/>
        <n v="8000001208"/>
        <n v="8000001273"/>
        <n v="8000001274"/>
        <n v="8000001282"/>
        <n v="8000001285"/>
        <n v="8000001286"/>
        <n v="8000001384"/>
        <n v="8000001287"/>
        <n v="8000001366"/>
        <n v="8000001324"/>
        <n v="8000001326"/>
        <n v="8000001354"/>
        <n v="8000001330"/>
        <n v="8000001332"/>
        <n v="8000001321"/>
        <n v="8000001340"/>
        <n v="8000001338"/>
        <n v="8000001315"/>
        <n v="8000001348"/>
        <n v="8000001214"/>
        <n v="8000001454"/>
        <n v="8000001450"/>
        <n v="8000001349"/>
        <n v="8000001364"/>
        <n v="8000001473"/>
        <n v="8000001490"/>
        <n v="8000001387"/>
        <n v="8000001520"/>
        <n v="8000001300"/>
        <n v="8000001291"/>
        <n v="8000001316"/>
        <n v="8000001350"/>
        <n v="8000001294"/>
        <n v="8000001258"/>
        <n v="8000001255"/>
        <n v="8000001252"/>
        <n v="8000001269"/>
        <n v="8000001259"/>
        <n v="8000001368"/>
        <n v="8000001634"/>
        <n v="8000001558"/>
        <n v="8000001405"/>
        <n v="8000001222"/>
        <n v="8000001313"/>
        <n v="8000001322"/>
        <n v="8000001341"/>
        <n v="8000001344"/>
        <n v="8000001335"/>
        <n v="8000001223"/>
        <n v="8000001224"/>
        <n v="8000001694"/>
        <n v="8000001695"/>
        <n v="8000001244"/>
        <n v="8000001245"/>
        <n v="8000001246"/>
        <n v="8000001552"/>
        <n v="8000001543"/>
        <n v="8000001239"/>
        <n v="8000001238"/>
        <n v="8000001461"/>
        <n v="8000001528"/>
        <n v="8000001526"/>
        <n v="8000001369"/>
        <n v="8000001544"/>
        <n v="8000001296"/>
        <n v="8000001292"/>
        <n v="8000001265"/>
        <n v="8000001423"/>
        <n v="8000001314"/>
        <n v="8000001323"/>
        <n v="8000001342"/>
        <n v="8000001336"/>
        <n v="8000001410"/>
        <n v="8000001424"/>
        <n v="8000001462"/>
        <n v="8000001317"/>
        <n v="8000001278"/>
        <n v="8000001279"/>
        <n v="8000001325"/>
        <n v="8000001327"/>
        <n v="8000001355"/>
        <n v="8000001331"/>
        <n v="8000001333"/>
        <n v="8000001415"/>
        <n v="8000001524"/>
        <n v="8000001521"/>
        <n v="8000001559"/>
        <n v="8000001302"/>
        <n v="8000001370"/>
        <n v="8000001304"/>
        <n v="8000001305"/>
        <n v="8000001306"/>
        <n v="8000001356"/>
        <n v="8000001308"/>
        <n v="8000001309"/>
        <n v="8000001630"/>
        <n v="8000001631"/>
        <n v="8000001532"/>
        <n v="8000001546"/>
        <n v="8000001553"/>
        <n v="8000001585"/>
        <n v="8000001547"/>
        <n v="8000001554"/>
        <n v="8000001586"/>
        <n v="8000001587"/>
        <n v="8000001592"/>
        <n v="8000001593"/>
        <n v="8000001578"/>
        <n v="8000001588"/>
        <n v="8000001566"/>
        <n v="8000001579"/>
        <n v="8000001589"/>
        <n v="8000001310"/>
        <n v="8000001311"/>
        <n v="8000001452"/>
        <n v="8000001476"/>
        <n v="8000001382"/>
        <n v="8000001381"/>
        <n v="8000001383"/>
        <n v="8000001522"/>
        <n v="8000001297"/>
        <n v="8000001455"/>
        <n v="8000001501"/>
        <n v="8000001581"/>
        <n v="8000001582"/>
        <n v="8000001504"/>
        <n v="8000001510"/>
        <n v="8000001583"/>
        <n v="8000001301"/>
        <n v="8000001437"/>
        <n v="8000001359"/>
        <n v="8000001318"/>
        <n v="8000001377"/>
        <n v="8000001374"/>
        <n v="8000001378"/>
        <n v="8000001375"/>
        <n v="8000001376"/>
        <n v="8000001438"/>
        <n v="8000001601"/>
        <n v="8000001560"/>
        <n v="8000001565"/>
        <n v="8000001580"/>
        <n v="8000001590"/>
        <n v="8000001678"/>
        <n v="8000001352"/>
        <n v="8000001361"/>
        <n v="8000001365"/>
        <n v="8000001414"/>
        <n v="8000001411"/>
        <n v="8000001426"/>
        <n v="8000001396"/>
        <n v="8000001456"/>
        <n v="8000001397"/>
        <n v="8000001463"/>
        <n v="8000001551"/>
        <n v="8000001425"/>
        <n v="8000001429"/>
        <n v="8000001436"/>
        <n v="8000001446"/>
        <n v="8000001453"/>
        <n v="8000001430"/>
        <n v="8000001448"/>
        <n v="8000001449"/>
        <n v="8000001393"/>
        <n v="8000001394"/>
        <n v="8000001395"/>
        <n v="8000001360"/>
        <n v="8000001537"/>
        <n v="8000001602"/>
        <n v="8000001379"/>
        <n v="8000001412"/>
        <n v="8000001388"/>
        <n v="8000001427"/>
        <n v="8000001432"/>
        <n v="8000001428"/>
        <n v="8000001597"/>
        <n v="8000001419"/>
        <n v="8000001433"/>
        <n v="8000001434"/>
        <n v="8000001459"/>
        <n v="8000001600"/>
        <n v="8000001391"/>
        <n v="8000001400"/>
        <n v="8000001573"/>
        <n v="8000001574"/>
        <n v="8000001402"/>
        <n v="8000001584"/>
        <n v="8000001404"/>
        <n v="8000001849"/>
        <n v="8000001850"/>
        <n v="8000001853"/>
        <n v="8000001854"/>
        <n v="8000001859"/>
        <n v="8000001403"/>
        <n v="8000001655"/>
        <n v="8000001407"/>
        <n v="8000001530"/>
        <n v="8000001594"/>
        <n v="8000001591"/>
        <n v="8000001409"/>
        <n v="8000001762"/>
        <n v="8000001713"/>
        <n v="8000001416"/>
        <n v="8000001417"/>
        <n v="8000001418"/>
        <n v="8000001420"/>
        <n v="8000001708"/>
        <n v="8000001742"/>
        <n v="8000001421"/>
        <n v="8000001439"/>
        <n v="8000001440"/>
        <n v="8000001576"/>
        <n v="8000001577"/>
        <n v="8000001794"/>
        <n v="8000001656"/>
        <n v="8000001441"/>
        <n v="8000001445"/>
        <n v="8000001442"/>
        <n v="8000001443"/>
        <n v="8000001529"/>
        <n v="8000001499"/>
        <n v="8000001497"/>
        <n v="8000001483"/>
        <n v="8000001707"/>
        <n v="8000001466"/>
        <n v="8000001468"/>
        <n v="8000001469"/>
        <n v="8000001491"/>
        <n v="8000001474"/>
        <n v="8000001711"/>
        <n v="8000001475"/>
        <n v="8000001603"/>
        <n v="8000001604"/>
        <n v="8000001668"/>
        <n v="8000001669"/>
        <n v="8000001539"/>
        <n v="8000001472"/>
        <n v="8000001513"/>
        <n v="8000001478"/>
        <n v="8000001502"/>
        <n v="8000001527"/>
        <n v="8000001564"/>
        <n v="8000001542"/>
        <n v="8000001610"/>
        <n v="8000001540"/>
        <n v="8000001570"/>
        <n v="8000001569"/>
        <n v="8000001666"/>
        <n v="8000001572"/>
        <n v="8000001598"/>
        <n v="8000001480"/>
        <n v="8000001481"/>
        <n v="8000001482"/>
        <n v="8000001712"/>
        <n v="8000001605"/>
        <n v="8000001503"/>
        <n v="8000001505"/>
        <n v="8000001506"/>
        <n v="8000001509"/>
        <n v="8000001636"/>
        <n v="8000001637"/>
        <n v="8000001514"/>
        <n v="8000001638"/>
        <n v="8000001639"/>
        <n v="8000001686"/>
        <n v="8000001515"/>
        <n v="8000001751"/>
        <n v="8000001687"/>
        <n v="8000001752"/>
        <n v="8000001511"/>
        <n v="8000001670"/>
        <n v="8000002028"/>
        <n v="8000001876"/>
        <n v="8000001878"/>
        <n v="8000001633"/>
        <n v="8000001682"/>
        <n v="8000001710"/>
        <n v="8000001681"/>
        <n v="8000001709"/>
        <n v="8000001657"/>
        <n v="8000001793"/>
        <n v="8000001833"/>
        <n v="8000001862"/>
        <n v="8000001538"/>
        <n v="8000001618"/>
        <n v="8000001619"/>
        <n v="8000001683"/>
        <n v="8000001684"/>
        <n v="8000001620"/>
        <n v="8000001621"/>
        <n v="8000001622"/>
        <n v="8000001623"/>
        <n v="8000001624"/>
        <n v="8000001625"/>
        <n v="8000001626"/>
        <n v="8000001627"/>
        <n v="8000001628"/>
        <n v="8000001629"/>
        <n v="8000001785"/>
        <n v="8000001789"/>
        <n v="8000001790"/>
        <n v="8000001798"/>
        <n v="8000001799"/>
        <n v="8000001800"/>
        <n v="8000001821"/>
        <n v="8000001830"/>
        <n v="8000001831"/>
        <n v="8000001834"/>
        <n v="8000001801"/>
        <n v="8000001599"/>
        <n v="8000001673"/>
        <n v="8000001561"/>
        <n v="8000001706"/>
        <n v="8000001562"/>
        <n v="8000001705"/>
        <n v="8000001671"/>
        <n v="8000001563"/>
        <n v="8000001645"/>
        <n v="8000001646"/>
        <n v="8000001647"/>
        <n v="8000001651"/>
        <n v="8000001652"/>
        <n v="8000001759"/>
        <n v="8000001648"/>
        <n v="8000001760"/>
        <n v="8000001650"/>
        <n v="8000001642"/>
        <n v="8000001685"/>
        <n v="8000001819"/>
        <n v="8000001567"/>
        <n v="8000001568"/>
        <n v="8000001595"/>
        <n v="8000001748"/>
        <n v="8000001596"/>
        <n v="8000001612"/>
        <n v="8000001672"/>
        <n v="8000001606"/>
        <n v="8000001607"/>
        <n v="8000001608"/>
        <n v="8000001795"/>
        <n v="8000001609"/>
        <n v="8000001802"/>
        <n v="8000001613"/>
        <n v="8000001729"/>
        <n v="8000001615"/>
        <n v="8000001674"/>
        <n v="8000001675"/>
        <n v="8000001690"/>
        <n v="8000001667"/>
        <n v="8000001749"/>
        <n v="8000001750"/>
        <n v="8000001717"/>
        <n v="8000001691"/>
        <n v="8000001865"/>
        <n v="8000001716"/>
        <n v="8000001782"/>
        <n v="8000001730"/>
        <n v="8000001731"/>
        <n v="8000002031"/>
        <n v="8000001680"/>
        <n v="8000001692"/>
        <n v="8000001693"/>
        <n v="8000001696"/>
        <n v="8000001753"/>
        <n v="8000001754"/>
        <n v="8000001755"/>
        <n v="8000001756"/>
        <n v="8000001757"/>
        <n v="8000001697"/>
        <n v="8000001698"/>
        <n v="8000001733"/>
        <n v="8000001734"/>
        <n v="8000001735"/>
        <n v="8000001736"/>
        <n v="8000001737"/>
        <n v="8000001738"/>
        <n v="8000001739"/>
        <n v="8000001740"/>
        <n v="8000001741"/>
        <n v="8000001699"/>
        <n v="8000001700"/>
        <n v="8000001809"/>
        <n v="8000001786"/>
        <n v="8000001804"/>
        <n v="8000001805"/>
        <n v="8000001825"/>
        <n v="8000001775"/>
        <n v="8000001776"/>
        <n v="8000001777"/>
        <n v="8000001778"/>
        <n v="8000001783"/>
        <n v="8000001732"/>
        <n v="8000001784"/>
        <n v="8000001780"/>
        <n v="8000001702"/>
        <n v="8000001796"/>
        <n v="8000001704"/>
        <n v="8000001895"/>
        <n v="8000001718"/>
        <n v="8000001810"/>
        <n v="8000001811"/>
        <n v="8000001812"/>
        <n v="8000001813"/>
        <n v="8000001814"/>
        <n v="8000001719"/>
        <n v="8000001720"/>
        <n v="8000001797"/>
        <n v="8000001721"/>
        <n v="8000001722"/>
        <n v="8000001990"/>
        <n v="8000001723"/>
        <n v="8000001714"/>
        <n v="8000001726"/>
        <n v="8000001724"/>
        <n v="8000001727"/>
        <n v="8000001725"/>
        <n v="8000001758"/>
        <n v="8000001728"/>
        <n v="8000001745"/>
        <n v="8000001746"/>
        <n v="8000001747"/>
        <n v="8000001933"/>
        <n v="8000001764"/>
        <n v="8000001822"/>
        <n v="8000001765"/>
        <n v="8000001766"/>
        <n v="8000002032"/>
        <n v="8000002033"/>
        <n v="8000002034"/>
        <n v="8000002035"/>
        <n v="8000002036"/>
        <n v="8000001769"/>
        <n v="8000001889"/>
        <n v="8000001890"/>
        <n v="8000001891"/>
        <n v="8000001772"/>
        <n v="8000001773"/>
        <n v="8000001787"/>
        <n v="8000001954"/>
        <n v="8000001781"/>
        <n v="8000001926"/>
        <n v="8000001927"/>
        <n v="8000001779"/>
        <n v="8000001788"/>
        <n v="8000001806"/>
        <n v="8000001807"/>
        <n v="8000001808"/>
        <n v="8000001815"/>
        <n v="8000001816"/>
        <n v="8000001817"/>
        <n v="8000001818"/>
        <n v="8000001884"/>
        <n v="8000001885"/>
        <n v="8000001886"/>
        <n v="8000001931"/>
        <n v="8000001909"/>
        <n v="8000001974"/>
        <n v="8000001826"/>
        <n v="8000001827"/>
        <n v="8000001824"/>
        <n v="8000001823"/>
        <n v="8000001828"/>
        <n v="8000001851"/>
        <n v="8000001857"/>
        <n v="8000001855"/>
        <n v="8000001858"/>
        <n v="8000001875"/>
        <n v="8000001879"/>
        <n v="8000001918"/>
        <n v="8000001911"/>
        <n v="8000001925"/>
        <n v="8000001920"/>
        <n v="8000001866"/>
        <n v="8000001803"/>
        <n v="8000001888"/>
        <n v="8000001840"/>
        <n v="8000001841"/>
        <n v="8000002014"/>
        <n v="8000001912"/>
        <n v="8000001913"/>
        <n v="8000001892"/>
        <n v="8000001934"/>
        <n v="8000001835"/>
        <n v="8000001836"/>
        <n v="8000001837"/>
        <n v="8000001847"/>
        <n v="8000001981"/>
        <n v="8000001846"/>
        <n v="8000001845"/>
        <n v="8000001838"/>
        <n v="8000001881"/>
        <n v="8000001882"/>
        <n v="8000001883"/>
        <n v="8000001839"/>
        <n v="8000001843"/>
        <n v="8000001982"/>
        <n v="8000001856"/>
        <n v="8000001945"/>
        <n v="8000001935"/>
        <n v="8000001936"/>
        <n v="8000001976"/>
        <n v="8000001977"/>
        <n v="8000001978"/>
        <n v="8000001864"/>
        <n v="8000001991"/>
        <n v="8000001868"/>
        <n v="8000001869"/>
        <n v="8000001870"/>
        <n v="8000001871"/>
        <n v="8000001872"/>
        <n v="8000001873"/>
        <n v="8000001874"/>
        <n v="8000001929"/>
        <n v="8000001930"/>
        <n v="8000001949"/>
        <n v="8000001986"/>
        <n v="8000001987"/>
        <n v="8000001988"/>
        <n v="8000001989"/>
        <n v="8000001880"/>
        <n v="8000001906"/>
        <n v="8000001907"/>
        <n v="8000001896"/>
        <n v="8000001897"/>
        <n v="8000001900"/>
        <n v="8000001983"/>
        <n v="8000001984"/>
        <n v="8000002024"/>
        <n v="8000001985"/>
        <n v="8000002025"/>
        <n v="8000002026"/>
        <n v="8000002037"/>
        <n v="8000002038"/>
        <n v="8000001901"/>
        <n v="8000001904"/>
        <n v="8000001903"/>
        <n v="8000001905"/>
        <n v="8000001959"/>
        <n v="8000001908"/>
        <n v="8000001970"/>
        <n v="8000001971"/>
        <n v="8000001955"/>
        <n v="8000001956"/>
        <n v="8000001957"/>
        <n v="8000001958"/>
        <n v="8000001914"/>
        <n v="8000001917"/>
        <n v="8000001921"/>
        <n v="8000001952"/>
        <n v="8000002011"/>
        <n v="8000002012"/>
        <n v="8000002010"/>
        <n v="8000002013"/>
        <n v="8000001950"/>
        <n v="8000001953"/>
        <n v="8000001951"/>
        <n v="8000001960"/>
        <n v="8000001972"/>
        <n v="8000001962"/>
        <n v="8000001963"/>
        <n v="8000001965"/>
        <n v="8000001966"/>
        <n v="8000001964"/>
        <n v="8000001928"/>
        <n v="8000001967"/>
        <n v="8000001961"/>
        <n v="8000001947"/>
        <n v="8000001973"/>
        <n v="8000001980"/>
        <n v="8000002018"/>
        <n v="8000002019"/>
        <n v="8000002000"/>
        <n v="8000002001"/>
        <n v="8000001997"/>
        <n v="8000002007"/>
        <n v="8000002009"/>
        <n v="8000002006"/>
        <n v="8000002004"/>
        <n v="8000002005"/>
        <n v="8000002003"/>
        <n v="8000002020"/>
        <n v="8000002021"/>
        <n v="8000002022"/>
        <n v="8000002023"/>
        <n v="8000002027"/>
        <n v="8000002029"/>
        <n v="8000002030"/>
      </sharedItems>
    </cacheField>
    <cacheField name="FCH. APROB. OC" numFmtId="15">
      <sharedItems containsNonDate="0" containsDate="1" containsString="0" containsBlank="1" minDate="2021-10-13T00:00:00" maxDate="2022-06-01T00:00:00"/>
    </cacheField>
    <cacheField name="FCH. PROVISION OC" numFmtId="15">
      <sharedItems containsNonDate="0" containsDate="1" containsString="0" containsBlank="1" minDate="1899-12-30T00:00:00" maxDate="2022-05-31T00:00:00"/>
    </cacheField>
    <cacheField name="FCH. INGRESO OC " numFmtId="15">
      <sharedItems containsNonDate="0" containsDate="1" containsString="0" containsBlank="1" minDate="1899-12-30T00:00:00" maxDate="2022-05-31T00:00:00"/>
    </cacheField>
    <cacheField name="ESTATUS OC" numFmtId="0">
      <sharedItems containsBlank="1"/>
    </cacheField>
    <cacheField name="CODIGO" numFmtId="0">
      <sharedItems containsBlank="1" containsMixedTypes="1" containsNumber="1" containsInteger="1" minValue="202925" maxValue="7000135"/>
    </cacheField>
    <cacheField name="PRODUCTO" numFmtId="0">
      <sharedItems count="170">
        <s v="CLORURO DE POTASIO ROJO GRANULAR"/>
        <s v="SULFATO DE POTASIO GRANULAR"/>
        <s v="SULFATO DE ZINC HEPTAHIDRATADO"/>
        <s v="SULFATO DE POTASIO SOLUBLE"/>
        <s v="AGROCOTE 38-3-3"/>
        <s v="NITRATO DE AMONIO"/>
        <s v="UREA PERLADA"/>
        <s v="CLORURO DE POTASIO BLANCO ESTANDAR"/>
        <s v="SAL DOBLE DE NITRATO DE CALCIO Y AMONIO"/>
        <s v="NITRATO DE MAGNESIO HEXAHIDRATADO"/>
        <s v="ÁCIDO FOSFÓRICO"/>
        <s v="POLISULFATO GRANULADO"/>
        <s v="SULFATO DE MAGNESIO HEPTAHIDRATADO "/>
        <s v="UREA GRANULADA"/>
        <s v="FOSFATO DIAMÓNICO GRANULAR"/>
        <s v="SULFATO DE AMONIO ESTÁNDAR"/>
        <s v="FOSFATO MONOAMÓNICO CRISTALIZADO"/>
        <s v="NITRATO DE CALCIO PREMIUM"/>
        <s v="POLISULFATO ESTÁNDAR"/>
        <s v="FOSFATO MONOAMÓNICO GRANULAR"/>
        <s v="NPK 15-15-15"/>
        <s v="NPK 12-32-16 "/>
        <s v="SUPERFOSFATO TRIPLE – TSP X 50KG"/>
        <s v="NUTRIVANT PLUS RICE 0-46-30-MG-B"/>
        <s v="NUTRIVANT STARTER 11-36-24 + MN + FV"/>
        <s v="NUTRIVANT PEAKVANT 0-49-32"/>
        <s v="NUTRIVANT PLUS FRUITS 12-5-27-8 CA "/>
        <s v="NITRATO DE POTASIO CRISTALIZADO (BIG BAG)"/>
        <s v="DURANIT DURASOP X 1TM"/>
        <s v="MICROMAX FE HBED X 1KG"/>
        <s v="MICROMAX ZN EDTA X 1KG"/>
        <s v="MICROMAX MN EDTA X 1KG"/>
        <s v="NITRATO DE POTASIO CRISTALIZADO"/>
        <s v="PEKACID"/>
        <s v="SULFATO DE AMONIO BLANCO ESTÁNDAR"/>
        <s v="OSMOCOTE PLUS 15-9-12 (6M)"/>
        <s v="OSMOCOTE PLUS 15-9-12 (9M)"/>
        <s v="OSMOCOTE CLASSIC 19-6-12 (4M)"/>
        <s v="SULFATO DE AMONIO MARRÓN ESTÁNDAR"/>
        <s v="SULFATO DE AMONIO BEIGE ESTÁNDAR"/>
        <s v="MICROELEMENTO SFERA STI (BIG BAG)"/>
        <s v="MICROELEMENTO SFERA Z20 X 20KG"/>
        <s v="MICROELEMENTO SFERA 1 A GRANEL"/>
        <s v="SULFATO DE MAGNESIO MONOHIDRATADO GRANULAR (KIESERITA)"/>
        <s v="MICROELEMENTO SFERA 4 A GRANEL"/>
        <s v="SULFATO DE POTASIO SOLUBLE ORG X 25KG - HORTISUL"/>
        <s v="SULFATO DE MAGNESIO HEPTAHIDRATADO ORG X 25KG - EPSOTOP"/>
        <s v="SULFATO DE AMONIO BLANCO GRANULAR"/>
        <s v="UREA ADBLUE (BIG BAG)"/>
        <s v="NYIELD ADITIVO"/>
        <s v="SUPERFOSFATO TRIPLE – TSP X BIGBAG"/>
        <s v="NITRATO DE CALCIO"/>
        <s v="MEZCLADORA"/>
        <s v="CR - MAG BIGBAG"/>
        <s v="MICROELEMENTO SFERA 1 - 50KG"/>
        <s v="MICROELEMENTO SFERA 4 - 50KG"/>
        <s v="FOSFATO MONOPOTASICO (MKP) X BIGBAG"/>
        <s v="TIOSULFATO DE POTASIO"/>
        <s v="TIOSULFATO DE AMONIO"/>
        <s v="TIOSULFATO DE CALCIO"/>
        <s v="SINOMECTINA 18EC X 1 LT"/>
        <s v="SINOMECTINA 18EC X 250 ML"/>
        <s v="SINODIFE 250 EC X 1 LT"/>
        <s v="SINOCLOPRID 350 SC X 1 LT"/>
        <s v="SINOCLOPRID 350 SC X 250 ML"/>
        <s v="SINOCLOPRID 350 SC X 200 LTS"/>
        <s v="SINOFENURON 50 EC X 1 LT"/>
        <s v="SINOCONAZOLE 250 EW X 1 LT"/>
        <s v="SINOFENURON 50 EC X 250 ML"/>
        <s v="WENTUN 500 WG X 100GR"/>
        <s v="KALKUS 250 WG X 100 GR"/>
        <s v="ADENTU 50 SG X 100 GR"/>
        <s v="ANTAZIMA 500 SC X 1 LT"/>
        <s v="ANTHODIM 120 EC X 1 LT"/>
        <s v="FITHOPLAY 200 SC X 1 LT"/>
        <s v="FITHOPLAY 200 SC X 250 ML"/>
        <s v="IPROL 500 WP X 200 GR"/>
        <s v="PYRIPOD 400 SC X 200 ML"/>
        <s v="ANTAMETRINA X 1 LT"/>
        <s v="ANTAMETRINA X 250 ML"/>
        <s v="UREA FOSFATADA X 25KG"/>
        <s v="POTASHPLUS A GRANEL"/>
        <s v="BROWN AGRONYL CR X 20KG"/>
        <s v="OSMOCOTE CLASSIC 14-14-14 (4M)"/>
        <s v="OSMOCOTE PLUS 15-9-12 (4M)"/>
        <s v="NATURDAI MIMETIC X 1L"/>
        <s v="NATURDAI MIMETIC X 5L"/>
        <s v="BIPOCLEAN X 25KG"/>
        <s v="VEGEX FOS SOAP X 1L"/>
        <s v="VEGEX FOS SOAP X 5L"/>
        <s v="VEGEX CRISOIL X 1L"/>
        <s v="VEGEX KUNEKA PLUS X 1L"/>
        <s v="VEGEX KUNEKA PLUS X 5L"/>
        <s v="VEGEX SOILNET X 1L"/>
        <s v="FOSFATO MONOAMÓNICO CRISTALIZADO (MX)"/>
        <s v="EVOLHUMIC- DRIP X 10LT"/>
        <s v="EVOLHUMIC- DRIP X 20LT"/>
        <s v="EVOLHUMIC- DRIP X 20LT (MUESTRA)"/>
        <s v="KICKUP X 10LT (MUESTRA)"/>
        <s v="STRUCTURE X 10LT (MUESTRA)"/>
        <s v="WOLFTRAX (MUESTRA)"/>
        <s v="VEGEX CRISOIL X 20L"/>
        <s v="YARAMILA HYDRAN"/>
        <s v="YARAMILA INTEGRADOR NPK 15-09-20"/>
        <s v="YARAMILA COMPLEX"/>
        <s v="KICKUP X 10LT"/>
        <s v="YARALIVA CALCINIT X 25KG"/>
        <s v="EVOLHUMIC- DRIP X 210LT"/>
        <s v="NITRATO DE POTASIO CRISTALIZADO ÁCIDO X25KG"/>
        <s v="BIPOCLEAN X 5KG"/>
        <s v="VEGEX KUNEKA PLUS X 20L"/>
        <s v="IDAI BROTAVERD X 1 LT"/>
        <s v="IDAI COBRE X 1 LT"/>
        <s v="VEGEX PROTOIL X 1L"/>
        <s v="NATURDAI S-SYSTEM X 1 LT"/>
        <s v="YARATERA CALCINIT X 25KG"/>
        <s v="YARALIVA CALCINIT X BIGBAG"/>
        <s v="FOSFATO MONOPOTASICO (MKP) X 25KG"/>
        <s v="ZINCODUR 25/17 BIGBAGS X1000KG"/>
        <s v="YARATERA REXOLIN X60 X5KG"/>
        <s v="YARAMILA KABAL PLUS NPK 10-30-10 X50KG"/>
        <s v="YARAMILA TRISTAR NKP 15-15-15 X50KG"/>
        <s v="YARAMILA KABAL NPK 10-20-20 X 50KG"/>
        <s v="YARALIVA NITRABOR A GRANEL"/>
        <s v="SULFATO DE POTASIO GRANULAR - FO PREMIUM"/>
        <s v="SULFATO FERROSO HEPTAHIDRATADO"/>
        <s v="VALUCID PK"/>
        <s v="IDAI COBRE X 20 LT"/>
        <s v="BOLSA YARAMILA TRISTAR X 50KG"/>
        <s v="BOLSA YARAMILA KABAL X 50KG"/>
        <s v="BOLSA YARAMILA KABAL PLUS X 50KG"/>
        <s v="ÁCIDO FÚLVICO EN POLVO X25KG"/>
        <s v="MICROMAX ZN EDTA X 5KG"/>
        <s v="SULFATO DE POTASIO SOLUBLE - SOLUSOP52"/>
        <s v="YARABELA NITROMAG X50KG"/>
        <s v="SACO YARATERA CALCINIT X 25KG"/>
        <s v="YARATERA REXOLIN ZN X 5KG"/>
        <s v="YARAVITA ZINTRAC "/>
        <s v="LIMUS X1LT"/>
        <s v="YARALIVA NITRABOR X25 KG"/>
        <s v="YARAREGA AZUTEK"/>
        <s v="YARATERA REXOLIN CXK X5KG"/>
        <s v="YARATERA REXOLIN MN13 X5KG"/>
        <s v="YARATERA REXOLIN Q48 X5KG"/>
        <s v="YARAVITA MAGTRAC X 10L"/>
        <s v="REPUESTOS"/>
        <s v="UREA (MUESTRA)"/>
        <s v="SULFATO MAGNESIO MONO. KIESERITA 1.25TM BB"/>
        <s v="YARAMILA INTEGRADOR NPK 15-09-20  "/>
        <s v="ALGARIUM 10L BIDON"/>
        <s v="YARAVITA CROP BOOST x 1 LT"/>
        <s v="YARAVITA CROP BOOST x 10 LT"/>
        <s v="YARAVITA BUD BUILDER x 10 LT"/>
        <s v="C-BIO CPS X 10 LT"/>
        <s v="ACIDO FOSFORICO 42.5%P2O5 25KG BIDON"/>
        <s v="NITRATO CALCIO POLVO SOL"/>
        <s v="CLORURO DE CALCIO"/>
        <s v="ALGANACT™ EVP9 Ld"/>
        <s v="ALGANACT™ EVP6 Ld"/>
        <s v="UREA PERLADA (MITSUI)"/>
        <s v="SULFATO DE MANGANESO MONOHIDRATADO x 25kg"/>
        <s v="NITRATO DE SULFATO DE AMONIO"/>
        <s v="ALGARIUM 1000L BIDON"/>
        <s v="ALGARIUM 20L BIDON"/>
        <s v="FOSFATO MONOAMÓNICO GRANULAR "/>
        <s v="SULFATO DE AMONIO ESTÁNDAR "/>
        <s v="SULFATO DE AMONIO ESTÁNDAR (MITSUI)"/>
        <s v="FOSFATO DIAMÓNICO GRANULAR (MITSUI)"/>
        <s v="NITRATO AMONIO ESTABILIZADO NP32-4 X 1.5 TM (MITSUI)"/>
        <s v="QUELATO MN EDTA 25KG SB"/>
      </sharedItems>
    </cacheField>
    <cacheField name="PROVEEDOR" numFmtId="0">
      <sharedItems count="73">
        <s v="NITRON GROUP CORPORATION"/>
        <s v="WITTRACO DÜNGEMITTEL GmbH"/>
        <s v="AMEROPA"/>
        <s v="KEYTRADE"/>
        <s v="EVERRIS INTERNATIONAL B.V."/>
        <s v="YARA"/>
        <s v="GAVILON"/>
        <s v="K+S KALI GMBH "/>
        <s v="K+S ASIA PACIFIC PTE LTD                        "/>
        <s v="AMEROPA (ZINSA)"/>
        <s v="ICL EUROPE COOPERATIEF U.A."/>
        <s v="NEW CHINA CHEMICALS CO., LTD."/>
        <s v="GAVILON FERTILIZER LLC"/>
        <s v="MANUCHAR NV"/>
        <s v="HELIOPOTASSE SA  "/>
        <s v="URALCHEM"/>
        <s v="SAMSUNG"/>
        <s v="TESSENDERLO"/>
        <s v="PHOSAGRO"/>
        <s v="STAR GRACE MINING CO.,LTD"/>
        <s v="ANAGRA"/>
        <s v="BLUELAND"/>
        <s v="ICL PREMIUM FERTILIZERS"/>
        <s v="ROTEM AMFERT NEGEV LTD (NovaPeak)"/>
        <s v="URALKALI"/>
        <s v="TGO Agriculture (USA) Inc. "/>
        <s v="NUTRICHEM PROCESSING LLP"/>
        <s v="MITSUI &amp; CO., Ltda"/>
        <s v="MANTTRA AMERICAS"/>
        <s v="TOYOTA TSUSHO CORPORATION"/>
        <s v="CERES PERÚ"/>
        <s v="CANPOTEX"/>
        <s v="EXPAN CHEMICALS NV "/>
        <s v="JM FERTILIZER"/>
        <s v="DOYLE EQUIPMENT MANUFACTURING CO"/>
        <s v="FERTINAGRO BIOTECH, S.L.        "/>
        <s v="TIMAB"/>
        <s v="NITRON GROUP LLC"/>
        <s v="INDAGRO"/>
        <s v="DREYMOOR"/>
        <s v="ANTALIEN"/>
        <s v="URALCHEM (MITSUI)"/>
        <s v="LUENGO COLOR, SLU"/>
        <s v="IDAI NATURE"/>
        <s v="PHOSAGRO (MITSUI)"/>
        <s v="ACTAGRO"/>
        <s v="HELMAG"/>
        <s v="EVA-FERT AG"/>
        <s v="NORBRIGHT"/>
        <s v="PPC ADOB Sp. z o.o. Sp. K."/>
        <s v="ACF MINERA"/>
        <s v="WEGROW AG"/>
        <s v="GAVILON PERÚ (MITSUI)"/>
        <s v="YARA PERÚ SRL"/>
        <s v="CHENGDU ROCCA CO.,LTD"/>
        <s v="COMPASS MINERALS"/>
        <s v="AGRIFERT"/>
        <s v="K+S Minerals and Agriculture GmbH"/>
        <s v="YARA SWITZERLAND LTD"/>
        <s v="VALUDOR Products LLC"/>
        <s v="SOLINC INDUSTRIAL CO., LIMITED"/>
        <s v="ACF BAQUEDANO S.A"/>
        <s v="ECOCHEM GROUP CO.LTD"/>
        <s v="MERRYCORN"/>
        <s v="SAUR EQUIPAMENTOS S.A."/>
        <s v="NPK SOLUCIONES PARA EL AGRO Y LA INDUSTRIA S.A. DE C.V. (MÉXICO)"/>
        <s v="PHOSAGRO "/>
        <s v="C&amp;B AGRI ENTERPRISE LTD"/>
        <s v="Al-Afaq for Agricultural Materials Trade Company"/>
        <s v="KINGENTA"/>
        <s v="ALGAIA R&amp;D Center"/>
        <s v="ROTEM AMFERT NEGEV LTD "/>
        <s v="K+S Minerals and Agriculture (Panama) S.A."/>
      </sharedItems>
    </cacheField>
    <cacheField name="CONTRATO" numFmtId="0">
      <sharedItems containsDate="1" containsBlank="1" containsMixedTypes="1" minDate="1900-01-06T17:58:04" maxDate="1900-01-01T14:02:05" count="915">
        <s v="NG-SC-01065"/>
        <n v="5515"/>
        <n v="740.19770000000005"/>
        <s v="KTS201710118.1"/>
        <s v="KTS201710117.0"/>
        <s v="KTS201710117.1"/>
        <s v="S32730/S32568/S32727/S32567"/>
        <s v="N/H"/>
        <s v="S/N"/>
        <s v="5515"/>
        <s v="NG-SC-01554"/>
        <n v="4000637283"/>
        <n v="4000635599"/>
        <n v="4000635601"/>
        <s v="KTS201710118.2"/>
        <s v="KTS201710118.3"/>
        <m/>
        <s v="KTS201710422.0"/>
        <s v="KTS201710422.1"/>
        <s v="KTS201710422.2"/>
        <s v="KTS201710423"/>
        <s v="KTS201710207"/>
        <s v="KTS201710247"/>
        <s v="KTS201710247.2"/>
        <s v="KTS201710247.3"/>
        <d v="2020-08-17T00:00:00"/>
        <s v="KTS201730091"/>
        <s v="KTS201730092"/>
        <s v="PS-2117"/>
        <s v="PS-2017"/>
        <n v="17020218"/>
        <n v="17020219"/>
        <n v="5579"/>
        <s v="SFG67368"/>
        <s v="NG-SC-01626"/>
        <s v="NG-SC-01627"/>
        <s v="NG-SC-01628"/>
        <s v="NG-CTR-669/017"/>
        <n v="740.20280000000002"/>
        <s v="170526-S32614-LEP"/>
        <n v="4602"/>
        <s v="KTS201710316"/>
        <s v="KTS201710317"/>
        <s v="108/17"/>
        <s v="108/17_A04"/>
        <s v="108/17_A03"/>
        <s v="KTS201710366"/>
        <s v="KTS201710367"/>
        <s v="SSFD170817EQ"/>
        <n v="4000645812"/>
        <n v="143274791"/>
        <s v="PS-3517"/>
        <s v="PS-3717"/>
        <s v="PS-3617"/>
        <s v="PS-3817"/>
        <s v="2017/320_2"/>
        <s v="2017/320_3"/>
        <s v="SG-MS-L-11903"/>
        <s v="NG CTR 716/17"/>
        <s v="PS-4417"/>
        <s v="PS-4517"/>
        <s v="KTS201710418"/>
        <n v="4000648684"/>
        <n v="3099069295"/>
        <s v="KTS201710437"/>
        <s v="NG CTR 723/017"/>
        <s v="NG CTR 724/017"/>
        <s v="108/17_A05"/>
        <s v="108/17_A07"/>
        <s v="108/17_A06"/>
        <s v="KTS201710451"/>
        <s v="SSFD170925EQ"/>
        <s v="-"/>
        <n v="1384459"/>
        <n v="4765"/>
        <s v="KTS201710452"/>
        <s v="KTS201710453"/>
        <s v="KTS201710476"/>
        <n v="300108327"/>
        <n v="300108329"/>
        <n v="300108525"/>
        <s v="SFG67652"/>
        <s v="S35383"/>
        <s v="PS-4817"/>
        <s v="UKT-EQUILIBRA-2017-1"/>
        <s v="108/17_A08"/>
        <s v="NG CTR 754/017"/>
        <s v="SG-MS-L-12030"/>
        <s v="SG-MS-L-12029"/>
        <s v="108/17_A09"/>
        <s v="108/17_A10"/>
        <s v="TGOA17SA083-DAP"/>
        <s v="TGOA17SA082-AS"/>
        <s v="S-01702052"/>
        <s v="S-01702054"/>
        <s v="S36072"/>
        <s v="KTS201710624.0"/>
        <s v="KTS201710624.1"/>
        <s v="KTS201710624.2"/>
        <s v="S-01702053"/>
        <s v="ROM17021248"/>
        <s v="KTS201710648"/>
        <s v="PF-0812-17"/>
        <s v="PF-0912-17"/>
        <n v="4000664176"/>
        <s v="171228-S37888-PP"/>
        <s v="SG-MS-L-12082"/>
        <n v="4921"/>
        <n v="4928"/>
        <s v="108/17_A11"/>
        <s v="108/17_A12"/>
        <n v="4975"/>
        <s v="108/17_A13"/>
        <s v="108/17_A14"/>
        <s v="108/17_A16"/>
        <s v="108/17_A17"/>
        <s v="NG CTR 813/018"/>
        <s v="108/17_A15"/>
        <s v="CE00027-340"/>
        <s v="ZVYN148"/>
        <s v="KTS201810156"/>
        <s v="KTS201810155"/>
        <n v="143294522"/>
        <n v="143294527"/>
        <n v="4000675734"/>
        <n v="4000675735"/>
        <s v="KTS 201810166.1"/>
        <s v="KTS 201810167.1"/>
        <s v="SG-MSL-12169-1"/>
        <s v="SC-000757"/>
        <n v="346"/>
        <s v="ZVYN154"/>
        <s v="ZVYN153"/>
        <s v="KTS201810282"/>
        <s v="KTS201810283"/>
        <s v="C-5173"/>
        <s v="C-5174"/>
        <s v="C-5175"/>
        <s v="C-5176"/>
        <n v="4000682110"/>
        <n v="4000684541"/>
        <n v="4000684543"/>
        <s v="S-01800800"/>
        <n v="5160"/>
        <s v="KTS 201810357"/>
        <s v="KTS 201810358"/>
        <s v="KTS201810384"/>
        <s v="KTS201810385"/>
        <s v="20601647649b"/>
        <s v="S-01801033"/>
        <s v="S-01801034"/>
        <s v="S-01801032"/>
        <s v="S-01801039"/>
        <s v="180629-S42488-MPI"/>
        <s v="C-5285 | S-01801104"/>
        <s v="KTS201810425"/>
        <s v="UKT-EQUILIBRA-2018-1"/>
        <s v="Equilibra 2018 - 01"/>
        <s v="N/A"/>
        <s v="180807-S43392-MPI"/>
        <s v="SG-MSL-12329-1"/>
        <s v="S-184318"/>
        <s v="PAT/EQUILIBRA/2018-277"/>
        <s v="C-5364 | S-01801332"/>
        <s v="C-5364 | S-01801333"/>
        <s v="C-5362 | S-01801329"/>
        <s v="C-5362 | S-01801330"/>
        <s v="KTS US 201830237"/>
        <s v="B7FE-18-1001-PNPE"/>
        <s v="B7FE-18-1002-PNPE"/>
        <s v="TGOA18SA072-TSP"/>
        <s v="2017/320"/>
        <s v="SC-002721"/>
        <s v="108/17_A18"/>
        <s v="108/17_A19"/>
        <s v="108/17_A20"/>
        <s v="108/17_A21"/>
        <s v="KTS201810527"/>
        <s v="KTS201810526"/>
        <s v="5303"/>
        <s v="S40356"/>
        <s v="300115811"/>
        <s v="300116190"/>
        <s v="300116466"/>
        <s v="300116673"/>
        <s v="1722"/>
        <s v="C-5464 | S-01801757"/>
        <s v="C-5465 | S-01801760"/>
        <s v="4000702287"/>
        <s v="4000702286"/>
        <s v="SG-MSL-12329-2"/>
        <s v="SG-MSL-12329-3"/>
        <s v="S-01801767"/>
        <s v="UKT-EQUILIBRA-2018-2"/>
        <s v="4000703021"/>
        <s v="4000703017"/>
        <s v="2/2018871-872"/>
        <s v="252/18"/>
        <s v="108/17_A22"/>
        <s v="108/17_A23"/>
        <s v="CE00090-458"/>
        <s v="CE00090-466"/>
        <s v="300116709"/>
        <s v="S-01801845"/>
        <s v="B7FE-18-1201-PNPE"/>
        <s v="B7FE-18-1202-PNPE"/>
        <s v="4000709468"/>
        <s v="C-5546"/>
        <s v="C-5547"/>
        <s v="C-5548"/>
        <s v="4000709583"/>
        <s v="2017/320_A5"/>
        <s v="5420"/>
        <s v="KTS 201810709"/>
        <s v="KTS 201810710"/>
        <s v="KTS 201810708"/>
        <s v="KTS 201810704"/>
        <s v="KTS 201810705"/>
        <s v="001/2019"/>
        <s v="1882"/>
        <s v="KTS 201910048"/>
        <s v="C-5592 | S-01900122"/>
        <s v="C-5593 | S-01900123"/>
        <s v="C-5596 | S-01900133"/>
        <s v="S-01900118"/>
        <s v="S-01900119"/>
        <s v="S-194658"/>
        <s v="S-194659"/>
        <s v="ROM19020210"/>
        <s v="ROM19020211"/>
        <s v="B7FE-19-0202-MSPE"/>
        <s v="S-01900141"/>
        <s v="5465"/>
        <s v="SG-MSL-12329-4A"/>
        <s v="SG-MSL-12329-4B"/>
        <s v="ROM19020213"/>
        <s v="C-5615 | S-01900230"/>
        <s v="PS-1719"/>
        <s v="PP-0119"/>
        <s v="030/19"/>
        <s v="2019-002"/>
        <s v="S45453"/>
        <s v="S45452"/>
        <s v="KTS 201910132"/>
        <s v="KTS 201910133.0"/>
        <s v="KTS 201910133.1"/>
        <s v="KTS 201910133.2"/>
        <s v="KTS 201910133.3"/>
        <s v="KTS 201910091"/>
        <s v="KTS 201910092"/>
        <s v="KTS 201910113"/>
        <s v="KTS 201910114"/>
        <s v="KTS 201910115"/>
        <s v="KTS 201910116"/>
        <s v="1960"/>
        <s v="CE00090-503"/>
        <s v="CE00090-502"/>
        <s v="OFV2019000041"/>
        <s v="C-5681 | S-01900457"/>
        <s v="KTS201910156"/>
        <s v="KTS201910157"/>
        <s v="KTS201910158"/>
        <s v="SC-005196"/>
        <s v="KTS 201910222"/>
        <s v="KTS 201910223"/>
        <s v="SG-MSL-12329-5"/>
        <s v="C-5736 S-01900693"/>
        <s v="C-5748 S-01900748"/>
        <s v="ROM19020781"/>
        <s v="ROM19020782"/>
        <s v="ROM19020783"/>
        <s v="ROM19020784"/>
        <s v="KTS 201910251"/>
        <s v="KTS 201910252"/>
        <s v="PAT/EQUILIBRA/2019-192"/>
        <s v="KTS 201910314"/>
        <s v="KTS 201910313"/>
        <s v="2017/320_A6"/>
        <s v="A1_005/19"/>
        <s v="KTS 201910316"/>
        <s v="S1000010"/>
        <s v="S1000009"/>
        <s v="S1000003"/>
        <s v="S1000006"/>
        <s v="S-195158"/>
        <s v="300120589"/>
        <s v="4000730006"/>
        <s v="PS-5119"/>
        <s v="SG-MSL-12329-6 "/>
        <s v="SG-MSL-12329-7"/>
        <s v="S1000094"/>
        <s v="S1000095"/>
        <s v="S1000105"/>
        <s v="S1000106"/>
        <s v="S-195245"/>
        <s v="S-195250 "/>
        <s v="EQUIPERU/SOPG/C269/19"/>
        <s v="S-195251 "/>
        <s v="EQUIPERU/NITCAL/C273/19"/>
        <s v="S1000103"/>
        <s v="ZVYN187"/>
        <s v="Nr.252/18_SA1"/>
        <s v="Nr.084/19_A1"/>
        <s v="2017/320_A7"/>
        <s v="4000733540"/>
        <s v="Annex N° 25"/>
        <s v="Annex N° 24"/>
        <s v="SG-MSL-12329-8 "/>
        <s v="B7FE-19-0701-MNPE"/>
        <s v="S1000198"/>
        <s v="S1000199"/>
        <s v="C-5877 S-01901318"/>
        <s v="2017/320_A8"/>
        <s v="EQUIPERU/MAGNIT/C321/19"/>
        <s v="S1000216"/>
        <s v="S1000217"/>
        <s v="PP-0219"/>
        <s v="S-195442"/>
        <s v="C-5912 S-01301475"/>
        <s v="SG-MSL-12329-9A"/>
        <s v="SG-MSL-12329-9B"/>
        <s v="EQUIPERU/SULMAG/C358/19"/>
        <s v="EQUIPERU/SULMAG/C359/19"/>
        <s v="EQUIPERU/SULMAG/C360/19"/>
        <s v="2/2019610/611"/>
        <s v="2017/320_A9"/>
        <s v="603/11433"/>
        <s v="Nr.108/17_A27"/>
        <s v="Nr.108/17_A26"/>
        <s v="3099104130"/>
        <s v="S1000281"/>
        <s v="243119"/>
        <s v="ROM19021588"/>
        <s v="ROM19021587"/>
        <s v="S1000298"/>
        <s v="S1000299"/>
        <s v="SG-MSL-12329-10"/>
        <s v="2017/320_A10"/>
        <s v="B7FE-19-0902-MNPE"/>
        <s v="2802"/>
        <s v="2651"/>
        <s v="2649"/>
        <s v="2650"/>
        <s v="158/19-1"/>
        <s v="158/19-2"/>
        <s v="C-5980 S-01901764"/>
        <s v="C-5981 S-01901765"/>
        <s v="SG-MSL-12329-12"/>
        <s v="SG-MSL-12329-11"/>
        <s v="SG-MSL-12329-13"/>
        <s v="SC-007775"/>
        <s v="SG-ZSL-12329-15"/>
        <s v="SG-ZSL-12329-14"/>
        <s v="3081"/>
        <s v="PEQUI1912"/>
        <s v="SC 200014"/>
        <s v="SG-MSL-12329-17"/>
        <s v="SG-MSL-12329-16"/>
        <s v="C-6067 | S-02000066"/>
        <s v="C-6069 | S-02000071"/>
        <s v="C-6070 | S-02000072"/>
        <s v="S5000050"/>
        <s v="S-02000105"/>
        <s v="SC-009024"/>
        <s v="SC-009025"/>
        <s v="SC-009405"/>
        <s v="OC4600016141_A "/>
        <s v="SC-009326"/>
        <s v="S5000097"/>
        <s v="S5000098"/>
        <s v="S5000093"/>
        <s v="B7FE-20-3008-ANPE"/>
        <s v="UKT-EQUILIBRA-2020-1"/>
        <s v="SC 200041 "/>
        <s v="PS-2920"/>
        <s v="S5000107"/>
        <s v="S5000106"/>
        <s v="S5000108"/>
        <s v="S5000109"/>
        <s v="S5000110"/>
        <s v="S5000111"/>
        <s v="S5000112"/>
        <s v="S5000113"/>
        <s v="C-6159 | S-02000502"/>
        <s v="4600016393"/>
        <s v="4600016394"/>
        <s v="4600016395"/>
        <s v="4600016391"/>
        <s v="4600016392"/>
        <s v="S1000547"/>
        <s v="S1000546"/>
        <s v="S5000118"/>
        <s v="S5000126"/>
        <s v="S5000127"/>
        <s v="S5000128"/>
        <s v="S5000129"/>
        <s v="SC 20053"/>
        <s v="S-206200"/>
        <s v="19JEQ001"/>
        <s v="SG-MSL-12329-18"/>
        <s v="SG-MSL-12329-19"/>
        <s v="SG-MSL-12329-20"/>
        <s v="B7FE-20-3009-PAPE"/>
        <s v="SG-MSL-12329-21"/>
        <s v="SG-MSL-12329-22"/>
        <s v="SG-MSL-12329-23"/>
        <s v="4600016470"/>
        <s v="4600016471"/>
        <s v="4600016472"/>
        <s v="4600016476"/>
        <s v="4600016488"/>
        <s v="4600016474"/>
        <s v="B7FE-20-3010-ZSPE"/>
        <s v="SC 20068"/>
        <s v="TGOA20SA040-AS"/>
        <s v="B7FE-20-3011-PNPE"/>
        <s v="C-6203 | S-02000731"/>
        <s v="C-6202 | S-02000727"/>
        <s v="S5000153"/>
        <s v="S5000154"/>
        <s v="S5000155"/>
        <s v="4600016473"/>
        <s v="4600016528"/>
        <s v="4600016529"/>
        <s v="SC20073"/>
        <s v="SC20074"/>
        <s v="SC20075"/>
        <s v="SG-ZSL-12329-24"/>
        <s v="SG-ZSL-12329-25"/>
        <s v="AL128/2020S"/>
        <s v="AL129/2020S"/>
        <s v="4600016591"/>
        <s v="4600016590"/>
        <s v="4600016595"/>
        <s v="4600016784"/>
        <s v="4600016783"/>
        <s v="4600016592"/>
        <s v="4600016594"/>
        <s v="4600016751"/>
        <s v="4600016593"/>
        <s v="4600016796"/>
        <s v="4600016792"/>
        <s v="4600016795"/>
        <s v="4600016793"/>
        <s v="4600016791"/>
        <s v="4600016794"/>
        <s v="4600016790"/>
        <s v="B7FE-20-3014-PAPE"/>
        <s v="S5000205"/>
        <s v="SC20102"/>
        <s v="4600016643"/>
        <s v="4600016642"/>
        <s v="4600016757"/>
        <s v="S5000204"/>
        <s v="PP-6420"/>
        <s v="TGOA20SA056-ASDAP"/>
        <s v="243/19"/>
        <s v="UKT-EQUILIBRA-2020-2"/>
        <s v="157/2020"/>
        <s v="S-02001320"/>
        <s v="4600016922"/>
        <s v="4600016923"/>
        <s v="ROM20021305-1"/>
        <s v="ROM20021305-2"/>
        <s v="4600016873"/>
        <s v="4600016868"/>
        <s v="4600016869"/>
        <s v="4600016870"/>
        <s v="4600016871"/>
        <s v="4600016872"/>
        <s v="SG-MSL-12329-26"/>
        <s v="7100054497"/>
        <s v="7100054499"/>
        <s v="7100054506"/>
        <s v="7100054518"/>
        <s v="ROM20021330"/>
        <s v="ROM20021331"/>
        <s v="ROM20021328"/>
        <s v="ROM20021329"/>
        <s v="SC-001003"/>
        <s v="SG-MNL-12329-27"/>
        <s v="ROM20021437"/>
        <s v="ROM20021438"/>
        <s v="ROM20021439"/>
        <s v="ROM20021433"/>
        <s v="2/2020555-556"/>
        <s v="S5000254"/>
        <s v="4600016928"/>
        <s v="4600016929"/>
        <s v="4600016930"/>
        <s v="4600016973/L200228A"/>
        <s v="4600016974/L200228B"/>
        <s v="4600016975/L200228C"/>
        <s v="4600016957"/>
        <s v="4600016925"/>
        <s v="4600016924"/>
        <s v="4600016988"/>
        <s v="4600016989/L200229C"/>
        <s v="4600017070"/>
        <s v="4600017071"/>
        <s v="4600017072"/>
        <s v="4600017073"/>
        <s v="4600017102"/>
        <s v="4600016990"/>
        <s v="SC-001313"/>
        <s v="SC-001314"/>
        <s v="SC-001409"/>
        <s v="7100061479"/>
        <s v="7100062014"/>
        <s v="B7FE-20-3016-MNPE"/>
        <s v="L200250"/>
        <s v="SC-001488"/>
        <s v="SC-001489"/>
        <s v="SC-001490"/>
        <s v="SC-001426"/>
        <s v="4600017090/L200239C"/>
        <s v="4600017093/L200239F"/>
        <s v="4600017088/L200239A"/>
        <s v="4600017089/L200239B"/>
        <s v="4600017091/L200239D"/>
        <s v="4600017092/L200239E"/>
        <s v="S5000285"/>
        <s v="TGOA20SA103-OCT"/>
        <s v="PEQUI2009"/>
        <s v="4600017265"/>
        <s v="2017/320_A11"/>
        <s v="2017/320_A12"/>
        <s v="N°243119_A5"/>
        <s v=" L200256A"/>
        <s v=" L200256B"/>
        <s v="SG-MSL-12329-28"/>
        <s v="SG-MSL-12329-29"/>
        <s v="SG-MSL-12329-30"/>
        <s v="L200275B"/>
        <s v="L200275A"/>
        <s v="L200275C"/>
        <n v="4600017291"/>
        <s v="61-2868"/>
        <s v="S5000293"/>
        <s v="S5000314"/>
        <s v="S5000315"/>
        <s v="S5000305"/>
        <s v="S5000306"/>
        <s v="SC 20150"/>
        <s v="7100068324 "/>
        <s v="4600017238"/>
        <s v="PS-9820"/>
        <s v="4600017094/L200240A"/>
        <s v="7100070430"/>
        <s v="2017/320_A13"/>
        <s v="4600017237"/>
        <s v="4600017239"/>
        <s v="S-02002080"/>
        <s v="L200300B"/>
        <s v="L200300A"/>
        <s v="SC 20170"/>
        <s v="7100076270"/>
        <s v="7100076281"/>
        <s v="L200306A"/>
        <s v="S5000342"/>
        <s v="S5000343"/>
        <s v="B7FE-20-3024-SZPE"/>
        <s v="4600017095/L200240B"/>
        <s v="4600017529"/>
        <s v="4600017530"/>
        <s v="4600017531 "/>
        <s v="S5000351"/>
        <s v="4600017356"/>
        <s v="4600017410"/>
        <s v="4600017468"/>
        <s v="4600017357"/>
        <s v="4600017411"/>
        <s v="4600017358"/>
        <s v="4600017469"/>
        <s v="4600017470"/>
        <s v="4600017471"/>
        <s v="4600017472"/>
        <s v="4600017473"/>
        <s v="4600017474"/>
        <s v="4600017475"/>
        <s v="SG-MSL-12329-31"/>
        <s v="SG-MSL-12329-32"/>
        <s v="7100082607"/>
        <s v="243/19_A2"/>
        <s v="UKT-EQUILIBRA-2020-3"/>
        <s v="7100084472"/>
        <s v="S5000390"/>
        <s v="S5000391"/>
        <s v="L210013A"/>
        <s v="L210013B"/>
        <s v="MF-393-20"/>
        <s v="MF-394-20"/>
        <s v="S5000400"/>
        <s v="L210026A-1"/>
        <s v="L210026A-2"/>
        <s v="L210026E"/>
        <s v="L210026C"/>
        <s v="7100095474"/>
        <s v="61-3122"/>
        <s v="2017/320_A14"/>
        <s v="4600017700"/>
        <s v="S-02100150"/>
        <s v="S-02100154"/>
        <s v="L210050"/>
        <s v="61-3137"/>
        <s v="4600017701"/>
        <s v="7100101938"/>
        <s v="B7FE-21-3030-MNPE"/>
        <s v="S-02100157"/>
        <s v="TGOA21SA038-MAR"/>
        <s v="2.100.152"/>
        <s v="PS-1521"/>
        <s v="PS-1621"/>
        <s v="PS-1721"/>
        <s v="UKT-EQUILIBRA-2021-1"/>
        <s v="S-02100268"/>
        <s v="UKT-EQUILIBRA-2021-2"/>
        <s v="7100109273"/>
        <s v="7100109285"/>
        <s v="S5000456"/>
        <s v="S5000457"/>
        <s v="S5000458"/>
        <s v="SLC-MGN210202"/>
        <s v="SLC-MGN210202B"/>
        <s v="S5000460"/>
        <s v="S5000459"/>
        <s v="S-02100323"/>
        <s v="S-02100324"/>
        <s v="SG-MSL-12329-34"/>
        <s v="SG-MSL-12329-33"/>
        <s v="SG-MSL-12329-35"/>
        <s v="7100115541"/>
        <s v="4600017807"/>
        <s v="4600017806"/>
        <s v="7100119063"/>
        <s v="7100119059"/>
        <s v="4600017838/L210069"/>
        <s v="L210070A"/>
        <s v="L210070B"/>
        <s v="S5000471"/>
        <s v="- "/>
        <s v="S-02100561"/>
        <s v="S-02100563"/>
        <s v="S-02100562"/>
        <s v="B7FE-21-3031-MNPE"/>
        <s v="S5000495"/>
        <s v="S5000507"/>
        <s v="S5000508"/>
        <s v="TGOA21SA047-AS"/>
        <s v="PP-4421"/>
        <s v="PP-4521"/>
        <s v="PS-4321"/>
        <s v="243/19_7"/>
        <s v="7100137788 "/>
        <s v="EQUIPERU/FERRUSUL/C132/2021"/>
        <s v="SG-MNL-12329-37"/>
        <s v="SG-MNL-12329-36"/>
        <s v="4600018365"/>
        <s v="4600018366"/>
        <s v="S-02100814"/>
        <s v="S-02100815"/>
        <s v="TGOA21SA055-JUN"/>
        <s v="4600018126/L210110B"/>
        <s v="4600018127/L210110A"/>
        <s v="4600018128/L210110C"/>
        <s v="4600018287"/>
        <s v="4600018266/L210119C "/>
        <s v="4600018264/L210119A"/>
        <s v="4600018265/L210119B"/>
        <s v="SC-21093"/>
        <s v="S5000570"/>
        <s v="S5000573"/>
        <s v="S5000574"/>
        <s v="S5000575"/>
        <s v="S5000564"/>
        <s v="4600018223"/>
        <s v="4600018267"/>
        <s v="4600018369"/>
        <s v="4600018225"/>
        <s v="4600018363"/>
        <s v="4600018370"/>
        <s v="4600018268"/>
        <s v="4600018269"/>
        <s v="SG-ZSL-12329-38"/>
        <s v="SC004952"/>
        <s v="4600018463"/>
        <n v="4600018459"/>
        <s v="4600018461"/>
        <s v="4600018460"/>
        <s v="4600018462"/>
        <s v="243/19_8"/>
        <s v="UKT-EQUILIBRA-2021-3"/>
        <s v="S-02101401"/>
        <s v="S-02101470"/>
        <s v="S-02101402"/>
        <s v="PS-6921"/>
        <s v="PS-6821"/>
        <s v="4600018713"/>
        <s v="4600018522"/>
        <s v="4600018486"/>
        <s v="4600018488"/>
        <s v="4600018523/L210197A "/>
        <s v="4600018487"/>
        <s v="4600018489-1"/>
        <s v="4600018489-2"/>
        <s v="4600018489-3"/>
        <s v="4600018524/L210197B"/>
        <s v="21JEQ001"/>
        <s v="4600018371"/>
        <s v="21L910"/>
        <s v="21L909"/>
        <s v="S5000614"/>
        <s v="S5000632"/>
        <s v="PAT/Mitsui/2021-651"/>
        <s v="SG-MSL-12329-39"/>
        <s v="7100168544"/>
        <s v="S5000643"/>
        <s v="EQUIPERU/IRON/C255/2021"/>
        <s v="EQUIPERU/IRON/C254/2021"/>
        <s v="S5000641"/>
        <s v="S5000642"/>
        <s v="S5000651"/>
        <s v="S5000652"/>
        <s v="21Y719 "/>
        <s v="21Y720 "/>
        <s v="21Y717 "/>
        <s v="21Y718 "/>
        <s v="4600018650 "/>
        <s v="4600018712"/>
        <s v="S-02101957"/>
        <s v="4600018859"/>
        <s v="4600018860"/>
        <s v="4600018651-2"/>
        <s v="4600018649"/>
        <s v="4600018909"/>
        <s v="4600018958"/>
        <s v="4600018645 / L210198A"/>
        <s v="4600018646 / L210198B"/>
        <s v="4600018831"/>
        <s v="4600018830"/>
        <s v="4600018652-2"/>
        <s v="4600018653"/>
        <s v="4600018651-1"/>
        <s v="4600018652-1"/>
        <s v="4600018651"/>
        <s v="4600018826-1"/>
        <s v="4600018825-1"/>
        <s v="4600018826"/>
        <s v="4600018825"/>
        <s v="4600018652"/>
        <s v="4600018827"/>
        <s v="4600018827-1"/>
        <s v="4600018828"/>
        <s v="4600018828-1"/>
        <s v="4600018829"/>
        <s v="               4600018909"/>
        <s v="4600018714"/>
        <s v="S5000702"/>
        <s v="S-02102031"/>
        <s v="S-02102030"/>
        <s v="S5000707"/>
        <s v="TGOA21SA058-OCT"/>
        <s v="MC/EA20210909SCS01"/>
        <s v="4600018647 / L210198C"/>
        <s v="S-02102058_A1"/>
        <s v="S-02102057"/>
        <s v="S-02102043"/>
        <s v="S-02102044"/>
        <s v="S5000695"/>
        <s v="S5000697"/>
        <s v="4600018829-1"/>
        <s v="4600019053"/>
        <s v="4600019051_A"/>
        <s v="4600019051_B"/>
        <s v="4600019048"/>
        <s v="4600018970"/>
        <s v="SG-MSL-12329-40"/>
        <s v="243/19_A9"/>
        <s v="UKT-EQUILIBRA-2021-4 "/>
        <s v="PS-10321"/>
        <s v="PS-10221"/>
        <n v="4600018988"/>
        <s v="4600019113"/>
        <s v="S5000720"/>
        <s v="PS-11721"/>
        <s v="PS-11821"/>
        <s v="4600018991"/>
        <s v="4600019191"/>
        <s v="4600018990_A"/>
        <s v="20210152"/>
        <s v="4600018987"/>
        <s v="4600018990"/>
        <s v="S5000724"/>
        <s v="S-02102443"/>
        <s v="4600019193 / L210256B "/>
        <s v="4600019192 / L210256A "/>
        <s v="4600019190"/>
        <s v="4600018986"/>
        <s v="4600019112"/>
        <s v="4600019187"/>
        <s v="4600019189"/>
        <s v="4600019188"/>
        <s v="21JEQ002"/>
        <s v="SG-MSL-12329-41"/>
        <s v="S-02102532"/>
        <s v="S-02102533"/>
        <s v="243/19_A10"/>
        <s v="084/19"/>
        <s v="4600019255 / L210264A"/>
        <s v="4600019256"/>
        <s v="L210229/ 4600019342"/>
        <s v="L210229/4600019342"/>
        <s v="L210229/4600019341"/>
        <s v="S5000738"/>
        <s v="21JEQ003"/>
        <s v="4600019287"/>
        <n v="4600019287"/>
        <s v="4600019286"/>
        <s v="4600019285"/>
        <s v="4600019258"/>
        <s v="4600019259"/>
        <s v="TGOA21SA061DEC"/>
        <s v="SG-MNL-12329-42"/>
        <s v="SG-MSL-12329-43"/>
        <s v="S5000748"/>
        <s v="PAT_EQUILIBRA PERU_2017-320"/>
        <s v="S5000743"/>
        <s v="S-02102672"/>
        <s v="S-02102673"/>
        <s v="4600019477"/>
        <s v="4600019404"/>
        <s v="4600019405"/>
        <s v="4600019464"/>
        <s v="4600019463"/>
        <s v="S-02102736"/>
        <s v="SG-MNL-12329-44"/>
        <s v="21JEQ005"/>
        <s v="4600019194 / L210256C"/>
        <s v="PS-13921"/>
        <s v="21JEQ004"/>
        <s v="4600019430"/>
        <s v="4600019431"/>
        <s v="4600019432"/>
        <s v="4600019522"/>
        <s v="4600019523"/>
        <s v="4600019524"/>
        <s v="4600019525"/>
        <s v="4600019526"/>
        <s v="4600019527"/>
        <s v="4600019505"/>
        <s v="4600019508"/>
        <s v="4600019512"/>
        <s v="4600019506"/>
        <s v="4600019509"/>
        <s v="4600019513"/>
        <s v="4600019507"/>
        <n v="4600019507"/>
        <s v="4600019511"/>
        <s v="4600019514"/>
        <s v="S5000783"/>
        <s v=" S5000787 "/>
        <s v="PAT_EQUILIBRA PERU_2022-071_A1"/>
        <s v="UKT-EQUILIBRA-2022-1"/>
        <s v="UKT-EQUILIBRA-2022-2"/>
        <s v="4600019194 / L210256C "/>
        <s v="EQUIPERU/MAGNIT/C058/2022"/>
        <s v="SG-MNL-12329-45"/>
        <s v="S5000831"/>
        <s v="4600019953"/>
        <s v="060/2022"/>
        <s v="S5000848"/>
        <s v="S-02200463"/>
        <s v="S5000862"/>
        <s v="S5000864"/>
        <s v="S5000863"/>
        <s v="EQUIPERU/CALNIT/C105/2022"/>
        <s v="EQUIPERU/CALNIT/C106/2022"/>
        <s v="S-02200559"/>
        <s v="4600019869"/>
        <s v="4600019870"/>
        <s v="088/2022"/>
        <s v="S5000875"/>
        <s v="4600019980"/>
        <s v="4600019979"/>
        <s v="EQ-MF-029/22"/>
        <s v="S5000878"/>
        <s v="S5000879"/>
        <s v="SG-MSL-12329-46"/>
        <s v="S5000880"/>
        <s v="SG-ZSL-12329-47"/>
        <s v="S5000882"/>
        <s v="S5000888 "/>
        <s v="S-02200754"/>
        <s v="4600019975"/>
        <s v="4600019976"/>
        <s v="4600019977"/>
        <s v="4600019978"/>
        <s v="SG-MNL-12329-48"/>
        <s v="S5000894"/>
        <s v="TGOA22SA006-MAY"/>
        <s v="4600020105"/>
        <s v="S-02200841"/>
        <s v="SG-MNL-12329-49"/>
        <s v="4600020049"/>
        <n v="4600020106"/>
        <s v="S5000913"/>
        <n v="4600020107"/>
        <n v="4600020108"/>
        <n v="4600020109"/>
        <s v="SG-MSL-12329-50"/>
        <s v="S-02201047"/>
        <s v="PP-6422"/>
        <s v="S-02201045"/>
        <n v="4600020186"/>
        <n v="4600020187"/>
      </sharedItems>
    </cacheField>
    <cacheField name="FECHA DE CONTRATO" numFmtId="0">
      <sharedItems containsDate="1" containsBlank="1" containsMixedTypes="1" minDate="2017-01-30T00:00:00" maxDate="2022-06-02T00:00:00"/>
    </cacheField>
    <cacheField name="COND. PAGO" numFmtId="0">
      <sharedItems containsBlank="1" containsMixedTypes="1" containsNumber="1" containsInteger="1" minValue="30" maxValue="180"/>
    </cacheField>
    <cacheField name="PLAZO PAGO" numFmtId="0">
      <sharedItems containsBlank="1"/>
    </cacheField>
    <cacheField name="FACTURA" numFmtId="0">
      <sharedItems containsBlank="1" containsMixedTypes="1" containsNumber="1" containsInteger="1" minValue="551" maxValue="4610000688"/>
    </cacheField>
    <cacheField name="FCH. EMISION FACT." numFmtId="0">
      <sharedItems containsNonDate="0" containsDate="1" containsString="0" containsBlank="1" minDate="2021-12-10T00:00:00" maxDate="2022-05-28T00:00:00"/>
    </cacheField>
    <cacheField name="FCH. VCTO FACT." numFmtId="0">
      <sharedItems containsDate="1" containsBlank="1" containsMixedTypes="1" minDate="1900-03-30T00:00:00" maxDate="2022-09-28T00:00:00"/>
    </cacheField>
    <cacheField name="ESTADO DE PAGO FACT." numFmtId="0">
      <sharedItems containsBlank="1"/>
    </cacheField>
    <cacheField name="INCOTERM" numFmtId="0">
      <sharedItems containsBlank="1"/>
    </cacheField>
    <cacheField name="TERMINO CFR" numFmtId="0">
      <sharedItems containsBlank="1"/>
    </cacheField>
    <cacheField name="CANTIDAD TM" numFmtId="0">
      <sharedItems containsString="0" containsBlank="1" containsNumber="1" minValue="9.0699999999999999E-3" maxValue="16115" count="688">
        <n v="200"/>
        <n v="300"/>
        <n v="3700"/>
        <n v="700"/>
        <n v="600"/>
        <n v="144"/>
        <n v="54"/>
        <n v="350"/>
        <n v="100"/>
        <n v="38.1"/>
        <n v="150"/>
        <n v="550"/>
        <n v="250"/>
        <n v="750"/>
        <n v="1350"/>
        <n v="900"/>
        <n v="1180"/>
        <n v="1000"/>
        <n v="1550"/>
        <n v="280"/>
        <n v="525.64"/>
        <n v="120"/>
        <n v="340"/>
        <n v="970"/>
        <n v="140"/>
        <n v="112.006"/>
        <n v="24"/>
        <n v="375"/>
        <n v="475"/>
        <m/>
        <n v="180"/>
        <n v="202.5"/>
        <n v="153.9"/>
        <n v="111.28"/>
        <n v="55.94"/>
        <n v="400"/>
        <n v="288"/>
        <n v="3100"/>
        <n v="4990"/>
        <n v="3080"/>
        <n v="1630"/>
        <n v="1540"/>
        <n v="1100"/>
        <n v="440"/>
        <n v="1320"/>
        <n v="880"/>
        <n v="1155"/>
        <n v="1870"/>
        <n v="715"/>
        <n v="1980"/>
        <n v="4345"/>
        <n v="3300"/>
        <n v="605"/>
        <n v="220"/>
        <n v="330"/>
        <n v="110.4"/>
        <n v="76.95"/>
        <n v="128.25"/>
        <n v="96"/>
        <n v="192"/>
        <n v="312"/>
        <n v="179.55"/>
        <n v="333.45"/>
        <n v="72"/>
        <n v="308"/>
        <n v="307.64499999999998"/>
        <n v="195.84"/>
        <n v="111.86"/>
        <n v="27.94"/>
        <n v="28"/>
        <n v="500"/>
        <n v="990"/>
        <n v="609"/>
        <n v="360"/>
        <n v="145"/>
        <n v="165.8"/>
        <n v="113"/>
        <n v="199.5"/>
        <n v="110"/>
        <n v="99.88"/>
        <n v="540"/>
        <n v="6"/>
        <n v="392.06200000000001"/>
        <n v="392.07600000000002"/>
        <n v="307.8"/>
        <n v="230.85"/>
        <n v="240"/>
        <n v="95.75"/>
        <n v="263.95"/>
        <n v="400.8"/>
        <n v="4.2"/>
        <n v="2.1"/>
        <n v="125"/>
        <n v="75"/>
        <n v="1500"/>
        <n v="1130"/>
        <n v="1030"/>
        <n v="380"/>
        <n v="1770"/>
        <n v="450"/>
        <n v="800"/>
        <n v="50"/>
        <n v="24.5"/>
        <n v="73.5"/>
        <n v="49.8"/>
        <n v="49"/>
        <n v="3150"/>
        <n v="4.5350000000000001"/>
        <n v="6.8025000000000002"/>
        <n v="195.68"/>
        <n v="195.71"/>
        <n v="195.62"/>
        <n v="99.96"/>
        <n v="520"/>
        <n v="940"/>
        <n v="2150"/>
        <n v="324.10000000000002"/>
        <n v="1650"/>
        <n v="200.70599999999999"/>
        <n v="51.3"/>
        <n v="256.5"/>
        <n v="25.65"/>
        <n v="282.14999999999998"/>
        <n v="399"/>
        <n v="239.22499999999999"/>
        <n v="1430"/>
        <n v="495"/>
        <n v="2800"/>
        <n v="3500"/>
        <n v="3400"/>
        <n v="2200"/>
        <n v="1400"/>
        <n v="1200"/>
        <n v="17.236509999999999"/>
        <n v="2500"/>
        <n v="159"/>
        <n v="216"/>
        <n v="504.14"/>
        <n v="1300"/>
        <n v="504"/>
        <n v="408"/>
        <n v="336"/>
        <n v="1"/>
        <n v="48"/>
        <n v="1540.5"/>
        <n v="52"/>
        <n v="650"/>
        <n v="162"/>
        <n v="351"/>
        <n v="675"/>
        <n v="594"/>
        <n v="1950"/>
        <n v="1700"/>
        <n v="630"/>
        <n v="2160"/>
        <n v="1170"/>
        <n v="720"/>
        <n v="265"/>
        <n v="291.5"/>
        <n v="243"/>
        <n v="152"/>
        <n v="425.6"/>
        <n v="588.10599999999999"/>
        <n v="88"/>
        <n v="57.75"/>
        <n v="0.18"/>
        <n v="0.24"/>
        <n v="0.3"/>
        <n v="230"/>
        <n v="1360.127"/>
        <n v="275"/>
        <n v="325"/>
        <n v="558.6"/>
        <n v="424.05599999999998"/>
        <n v="106.4"/>
        <n v="448"/>
        <n v="1092"/>
        <n v="3.82"/>
        <n v="1.86"/>
        <n v="2640"/>
        <n v="850"/>
        <n v="1275"/>
        <n v="1210"/>
        <n v="318.75"/>
        <n v="341.25"/>
        <n v="56"/>
        <n v="10.677770000000001"/>
        <n v="838"/>
        <n v="3200"/>
        <n v="2000"/>
        <n v="1072.25"/>
        <n v="295.64999999999998"/>
        <n v="1299.5999999999999"/>
        <n v="113.6"/>
        <n v="805.65"/>
        <n v="885"/>
        <n v="505.4"/>
        <n v="513"/>
        <n v="459"/>
        <n v="400.5"/>
        <n v="172.8"/>
        <n v="130"/>
        <n v="76"/>
        <n v="2970"/>
        <n v="1080"/>
        <n v="27.21"/>
        <n v="81"/>
        <n v="80"/>
        <n v="770"/>
        <n v="28.6"/>
        <n v="44"/>
        <n v="800.4"/>
        <n v="1800"/>
        <n v="280.08600000000001"/>
        <n v="560.11199999999997"/>
        <n v="294"/>
        <n v="612.5"/>
        <n v="196"/>
        <n v="98"/>
        <n v="2104"/>
        <n v="2340.65"/>
        <n v="1600"/>
        <n v="264"/>
        <n v="26"/>
        <n v="1530"/>
        <n v="430"/>
        <n v="2778.0619999999999"/>
        <n v="1150"/>
        <n v="2300"/>
        <n v="297"/>
        <n v="195.964"/>
        <n v="159.6"/>
        <n v="522"/>
        <n v="535"/>
        <n v="24.65"/>
        <n v="23.94"/>
        <n v="24.8"/>
        <n v="2090"/>
        <n v="660"/>
        <n v="0.25"/>
        <n v="1.5"/>
        <n v="2.5"/>
        <n v="0.6"/>
        <n v="2"/>
        <n v="0.2"/>
        <n v="0.1"/>
        <n v="825"/>
        <n v="604.06700000000001"/>
        <n v="106"/>
        <n v="168"/>
        <n v="270"/>
        <n v="85.5"/>
        <n v="370.5"/>
        <n v="570"/>
        <n v="499.7"/>
        <n v="104"/>
        <n v="111.9"/>
        <n v="167.8"/>
        <n v="139.88"/>
        <n v="139.72"/>
        <n v="139.74"/>
        <n v="55.86"/>
        <n v="55.88"/>
        <n v="0.5"/>
        <n v="16.329329999999999"/>
        <n v="1.81437"/>
        <n v="3.6280000000000001"/>
        <n v="14.51496"/>
        <n v="18.143689999999999"/>
        <n v="1759.5"/>
        <n v="514.79999999999995"/>
        <n v="486.2"/>
        <n v="858"/>
        <n v="114.4"/>
        <n v="1176"/>
        <n v="756"/>
        <n v="0.79200000000000004"/>
        <n v="1.2"/>
        <n v="1.5840000000000001"/>
        <n v="60"/>
        <n v="212.5"/>
        <n v="1010.487"/>
        <n v="1089.5129999999999"/>
        <n v="2900"/>
        <n v="2700"/>
        <n v="1850"/>
        <n v="2890"/>
        <n v="1900"/>
        <n v="155.4"/>
        <n v="362.6"/>
        <n v="207.2"/>
        <n v="310.8"/>
        <n v="84"/>
        <n v="1450"/>
        <n v="1050"/>
        <n v="3.456"/>
        <n v="2.5920000000000001"/>
        <n v="0.86399999999999999"/>
        <n v="0.98599999999999999"/>
        <n v="0.94299999999999995"/>
        <n v="329.4"/>
        <n v="115.2"/>
        <n v="320"/>
        <n v="149.85"/>
        <n v="324"/>
        <n v="139.80000000000001"/>
        <n v="139.63999999999999"/>
        <n v="167.82"/>
        <n v="500.4"/>
        <n v="108"/>
        <n v="369.2"/>
        <n v="224"/>
        <n v="5.415"/>
        <n v="391.35"/>
        <n v="233.65"/>
        <n v="1056"/>
        <n v="96.25"/>
        <n v="530"/>
        <n v="950"/>
        <n v="865"/>
        <n v="1052"/>
        <n v="4660"/>
        <n v="370"/>
        <n v="400.4"/>
        <n v="170.4"/>
        <n v="449.625"/>
        <n v="374.4"/>
        <n v="930"/>
        <n v="896"/>
        <n v="194.96"/>
        <n v="202.3"/>
        <n v="480"/>
        <n v="16"/>
        <n v="8"/>
        <n v="286"/>
        <n v="314.60000000000002"/>
        <n v="192.5"/>
        <n v="189"/>
        <n v="918.75"/>
        <n v="392"/>
        <n v="710.5"/>
        <n v="906.5"/>
        <n v="371.2"/>
        <n v="140.625"/>
        <n v="323.62"/>
        <n v="1546.38"/>
        <n v="2860"/>
        <n v="1270"/>
        <n v="1480"/>
        <n v="543.4"/>
        <n v="171.60000000000002"/>
        <n v="316.8"/>
        <n v="2050"/>
        <n v="171.6"/>
        <n v="4800"/>
        <n v="9.0699999999999999E-3"/>
        <n v="2.4"/>
        <n v="1.92"/>
        <n v="18.14"/>
        <n v="426"/>
        <n v="8.4"/>
        <n v="576"/>
        <n v="1250"/>
        <n v="1760"/>
        <n v="1067.28"/>
        <n v="885.03"/>
        <n v="2701"/>
        <n v="200.4"/>
        <n v="350.4"/>
        <n v="624"/>
        <n v="399.6"/>
        <n v="1718"/>
        <n v="5300"/>
        <n v="4400"/>
        <n v="2.88"/>
        <n v="5"/>
        <n v="5.76"/>
        <n v="2600"/>
        <n v="525"/>
        <n v="11.1815"/>
        <n v="1375"/>
        <n v="2450"/>
        <n v="251.71"/>
        <n v="251.68"/>
        <n v="251.72"/>
        <n v="251.76"/>
        <n v="1.7856000000000001"/>
        <n v="2.2000000000000002"/>
        <n v="0.89280000000000004"/>
        <n v="0.94247999999999998"/>
        <n v="1.00712"/>
        <n v="0.72072000000000003"/>
        <n v="0.99"/>
        <n v="384"/>
        <n v="25"/>
        <n v="272.5"/>
        <n v="308.01600000000002"/>
        <n v="165"/>
        <n v="405"/>
        <n v="647.5"/>
        <n v="155"/>
        <n v="1144"/>
        <n v="2400"/>
        <n v="691.6"/>
        <n v="319.2"/>
        <n v="301.2"/>
        <n v="50.4"/>
        <n v="52.51"/>
        <n v="225"/>
        <n v="3510"/>
        <n v="3060"/>
        <n v="552"/>
        <n v="456"/>
        <n v="840"/>
        <n v="250.8"/>
        <n v="432"/>
        <n v="748"/>
        <n v="792"/>
        <n v="154"/>
        <n v="396"/>
        <n v="4.45"/>
        <n v="292.60000000000002"/>
        <n v="240.13499999999999"/>
        <n v="425.06"/>
        <n v="106.34"/>
        <n v="251.5"/>
        <n v="2880"/>
        <n v="2280"/>
        <n v="960"/>
        <n v="1925"/>
        <n v="760"/>
        <n v="1493"/>
        <n v="336.7"/>
        <n v="625"/>
        <n v="143"/>
        <n v="252.7"/>
        <n v="56.17"/>
        <n v="84.24"/>
        <n v="252.45"/>
        <n v="140.38999999999999"/>
        <n v="212.8"/>
        <n v="85.8"/>
        <n v="53.2"/>
        <n v="186.2"/>
        <n v="159.79"/>
        <n v="133.15"/>
        <n v="79.89"/>
        <n v="213.64"/>
        <n v="185.86500000000001"/>
        <n v="266.75"/>
        <n v="26.675000000000001"/>
        <n v="79.275000000000006"/>
        <n v="26.425000000000001"/>
        <n v="401.48500000000001"/>
        <n v="802.95"/>
        <n v="401.52499999999998"/>
        <n v="575"/>
        <n v="588.97"/>
        <n v="4000"/>
        <n v="2250"/>
        <n v="2710"/>
        <n v="90"/>
        <n v="100.8"/>
        <n v="99.6"/>
        <n v="21"/>
        <n v="63"/>
        <n v="708"/>
        <n v="195"/>
        <n v="97.5"/>
        <n v="48.75"/>
        <n v="68.75"/>
        <n v="28.75"/>
        <n v="57.5"/>
        <n v="140.4"/>
        <n v="299"/>
        <n v="61.1"/>
        <n v="106.44"/>
        <n v="53.89"/>
        <n v="267.27999999999997"/>
        <n v="133.27500000000001"/>
        <n v="52.95"/>
        <n v="133.315"/>
        <n v="1.0771200000000001"/>
        <n v="5.2223999999999995"/>
        <n v="633.6"/>
        <n v="2100"/>
        <n v="453"/>
        <n v="67"/>
        <n v="1533"/>
        <n v="15.74"/>
        <n v="46.25"/>
        <n v="13.75"/>
        <n v="160"/>
        <n v="476.08600000000001"/>
        <n v="6750"/>
        <n v="5700"/>
        <n v="149.58000000000001"/>
        <n v="108.16"/>
        <n v="307.12"/>
        <n v="149.86000000000001"/>
        <n v="195.56"/>
        <n v="79.504999999999995"/>
        <n v="105"/>
        <n v="614.4"/>
        <n v="2650"/>
        <n v="1058"/>
        <n v="775"/>
        <n v="672"/>
        <n v="308.06400000000002"/>
        <n v="112.026"/>
        <n v="158.94999999999999"/>
        <n v="175"/>
        <n v="425"/>
        <n v="1060"/>
        <n v="640"/>
        <n v="196.03800000000001"/>
        <n v="795"/>
        <n v="215"/>
        <n v="100.1"/>
        <n v="32.25"/>
        <n v="182"/>
        <n v="9"/>
        <n v="504.29500000000002"/>
        <n v="892.80000000000007"/>
        <n v="86.4"/>
        <n v="234"/>
        <n v="392.09800000000001"/>
        <n v="2750"/>
        <n v="1720"/>
        <n v="307.92"/>
        <n v="139.82"/>
        <n v="155.12"/>
        <n v="2145"/>
        <n v="1620"/>
        <n v="2430"/>
        <n v="56.022181818181799"/>
        <n v="252.09981818181819"/>
        <n v="112.012"/>
        <n v="135"/>
        <n v="249.7"/>
        <n v="23.1"/>
        <n v="648"/>
        <n v="224.08199999999999"/>
        <n v="223.93600000000001"/>
        <n v="241.29"/>
        <n v="53.5"/>
        <n v="53.7"/>
        <n v="16115"/>
        <n v="8500"/>
        <n v="108.8"/>
        <n v="10.7"/>
        <n v="17.962"/>
        <n v="16.416"/>
        <n v="470"/>
        <n v="95.76"/>
        <n v="374.28"/>
        <n v="24.34"/>
        <n v="200.48"/>
        <n v="308.05399999999997"/>
        <n v="1003"/>
        <n v="1750"/>
        <n v="2225"/>
        <n v="890"/>
        <n v="420"/>
        <n v="5500"/>
        <n v="107.35"/>
        <n v="107.25"/>
        <n v="53.6"/>
        <n v="53.85"/>
        <n v="267.60000000000002"/>
        <n v="187"/>
        <n v="501"/>
        <n v="349"/>
        <n v="214.75"/>
        <n v="91.8"/>
        <n v="27"/>
        <n v="43.2"/>
        <n v="214.65"/>
        <n v="53.65"/>
        <n v="18"/>
        <n v="3000"/>
        <n v="6495"/>
        <n v="66"/>
        <n v="704"/>
        <n v="820.75"/>
        <n v="179.87"/>
        <n v="219.94"/>
        <n v="17.34"/>
        <n v="486"/>
        <n v="378"/>
        <n v="107.74"/>
        <n v="129.6"/>
        <n v="215.52"/>
        <n v="133"/>
        <n v="124.5"/>
        <n v="24.9"/>
        <n v="74.7"/>
        <n v="3"/>
        <n v="5000.3999999999996"/>
        <n v="528"/>
        <n v="1960"/>
        <n v="210"/>
        <n v="392.08199999999999"/>
        <n v="65"/>
        <n v="79.8"/>
        <n v="5.4"/>
        <n v="621"/>
        <n v="6.4"/>
        <n v="9.6"/>
        <n v="214.1"/>
        <n v="161.19999999999999"/>
        <n v="107.82"/>
        <n v="26.98"/>
        <n v="3.2"/>
        <n v="2.8"/>
        <n v="3.6"/>
        <n v="19.474"/>
        <n v="133.375"/>
        <n v="576.69000000000005"/>
        <n v="2523.31"/>
        <n v="4500"/>
        <n v="247.2"/>
        <n v="801.6"/>
        <n v="112"/>
        <n v="198"/>
        <n v="616"/>
        <n v="242"/>
        <n v="277.3"/>
        <n v="219.96"/>
        <n v="32.5"/>
        <n v="101.25"/>
        <n v="335.6"/>
        <n v="55.96"/>
        <n v="111.82"/>
        <n v="83.86"/>
        <n v="9325"/>
        <n v="26.984999999999999"/>
        <n v="107.64"/>
        <n v="222.1"/>
        <n v="214.15"/>
        <n v="601"/>
        <n v="1001"/>
        <n v="512.5"/>
        <n v="488"/>
        <n v="162.5"/>
        <n v="127.5"/>
        <n v="31.5"/>
        <n v="1340"/>
        <n v="1660"/>
        <n v="3094.8"/>
        <n v="2000.4"/>
        <n v="513.6"/>
        <n v="10.42"/>
        <n v="685"/>
        <n v="5.5620000000000003"/>
        <n v="3.96"/>
        <n v="3.9"/>
        <n v="0.02"/>
        <n v="462"/>
        <n v="176"/>
        <n v="372.4"/>
        <n v="363.33199999999999"/>
        <n v="27.948"/>
        <n v="188.7"/>
        <n v="26.96"/>
        <n v="134.84"/>
        <n v="107.7"/>
        <n v="377.54"/>
        <n v="27.1"/>
        <n v="188.9"/>
        <n v="547.20000000000005"/>
        <n v="1440"/>
        <n v="23.98"/>
        <n v="458.33"/>
        <n v="115"/>
        <n v="310"/>
        <n v="710"/>
        <n v="5000"/>
        <n v="42"/>
        <n v="3.3"/>
        <n v="2.2240000000000002"/>
        <n v="5.3376000000000001"/>
        <n v="6600"/>
        <n v="4600"/>
        <n v="1401.3"/>
        <n v="107.56"/>
        <n v="16.25"/>
        <n v="303.75"/>
      </sharedItems>
    </cacheField>
    <cacheField name="USD x TM" numFmtId="0">
      <sharedItems containsBlank="1" containsMixedTypes="1" containsNumber="1" minValue="0" maxValue="65945"/>
    </cacheField>
    <cacheField name="FLETE X TM" numFmtId="0">
      <sharedItems containsBlank="1" containsMixedTypes="1" containsNumber="1" minValue="30.11" maxValue="4809"/>
    </cacheField>
    <cacheField name="TOTAL USD" numFmtId="0">
      <sharedItems containsBlank="1" containsMixedTypes="1" containsNumber="1" minValue="0" maxValue="7695600" count="1659">
        <n v="48200"/>
        <n v="72300"/>
        <n v="891700"/>
        <n v="168700"/>
        <n v="144600"/>
        <n v="69840"/>
        <n v="29715.659999999996"/>
        <n v="176750"/>
        <n v="50000"/>
        <n v="39064.691999999995"/>
        <n v="39000"/>
        <n v="143000"/>
        <n v="65000"/>
        <n v="74400"/>
        <n v="186000"/>
        <n v="334800"/>
        <n v="173600"/>
        <n v="223200"/>
        <n v="305620"/>
        <n v="259000"/>
        <n v="401450"/>
        <n v="72520"/>
        <n v="136140.76"/>
        <n v="58200"/>
        <n v="82620"/>
        <n v="235710"/>
        <n v="34020"/>
        <n v="57123.06"/>
        <n v="12000"/>
        <n v="189375"/>
        <n v="239875"/>
        <n v="0"/>
        <n v="45900"/>
        <n v="43537.5"/>
        <n v="126250"/>
        <n v="139895.1"/>
        <n v="140664.6"/>
        <n v="31158.400000000001"/>
        <n v="15663.199999999999"/>
        <n v="54000"/>
        <n v="140832"/>
        <n v="682000"/>
        <n v="1097800"/>
        <n v="677600"/>
        <n v="358600"/>
        <n v="154000"/>
        <n v="369600"/>
        <n v="264000"/>
        <n v="105600"/>
        <n v="316800"/>
        <n v="332640"/>
        <n v="436590"/>
        <n v="706860"/>
        <n v="270270"/>
        <n v="748440"/>
        <n v="575169.375"/>
        <n v="436837.5"/>
        <n v="80086.875"/>
        <n v="29122.5"/>
        <n v="43683.75"/>
        <n v="135124.20000000001"/>
        <n v="26164.800000000003"/>
        <n v="14520"/>
        <n v="50400"/>
        <n v="66023.100000000006"/>
        <n v="110679.75"/>
        <n v="30240"/>
        <n v="92160"/>
        <n v="60480"/>
        <n v="99840"/>
        <n v="149924.25"/>
        <n v="280098"/>
        <n v="45000"/>
        <n v="34500"/>
        <n v="157080"/>
        <n v="155360.72499999998"/>
        <n v="54835.200000000004"/>
        <n v="31320.799999999999"/>
        <n v="7543.8"/>
        <n v="7560"/>
        <n v="115500"/>
        <n v="254100"/>
        <n v="46200"/>
        <n v="92400"/>
        <n v="363330"/>
        <n v="223503"/>
        <n v="92520"/>
        <n v="37265"/>
        <n v="51729.600000000006"/>
        <n v="35256"/>
        <n v="32917.5"/>
        <n v="41250"/>
        <n v="83600"/>
        <n v="27966.399999999998"/>
        <n v="153900"/>
        <n v="10920"/>
        <n v="10860"/>
        <n v="11340"/>
        <n v="9180"/>
        <n v="196423.06200000001"/>
        <n v="198390.45600000001"/>
        <n v="60000"/>
        <n v="249318"/>
        <n v="252396"/>
        <n v="145435.5"/>
        <n v="189297"/>
        <n v="130600"/>
        <n v="76000"/>
        <n v="75600"/>
        <n v="30640"/>
        <n v="83144.25"/>
        <n v="46080"/>
        <n v="505000"/>
        <n v="113025.60000000001"/>
        <n v="46656"/>
        <n v="54474"/>
        <n v="11445"/>
        <n v="255000"/>
        <n v="103125"/>
        <n v="62250"/>
        <n v="757500"/>
        <n v="103020"/>
        <n v="333300"/>
        <n v="342390"/>
        <n v="121200"/>
        <n v="312090"/>
        <n v="146300"/>
        <n v="231000"/>
        <n v="681450"/>
        <n v="173250"/>
        <n v="308000"/>
        <n v="38000"/>
        <n v="30747.5"/>
        <n v="92242.5"/>
        <n v="62499"/>
        <n v="61495"/>
        <n v="472500"/>
        <n v="225000"/>
        <n v="37500"/>
        <n v="15000"/>
        <n v="114000"/>
        <n v="10669.735250000002"/>
        <n v="16181.603925000001"/>
        <n v="15383.602650000003"/>
        <n v="45006.400000000001"/>
        <n v="45013.3"/>
        <n v="44992.6"/>
        <n v="22972.399999999998"/>
        <n v="22990.799999999999"/>
        <n v="169125"/>
        <n v="276750"/>
        <n v="230625"/>
        <n v="286425"/>
        <n v="190950"/>
        <n v="159125"/>
        <n v="238687.5"/>
        <n v="147810"/>
        <n v="267195"/>
        <n v="611137.5"/>
        <n v="92125.425000000003"/>
        <n v="134625"/>
        <n v="444262.5"/>
        <n v="40387.5"/>
        <n v="54040.090499999998"/>
        <n v="44938.799999999996"/>
        <n v="224694"/>
        <n v="272710.8"/>
        <n v="22469.399999999998"/>
        <n v="247163.4"/>
        <n v="131400"/>
        <n v="67431"/>
        <n v="75355.875"/>
        <n v="76800"/>
        <n v="455950"/>
        <n v="364760"/>
        <n v="592735"/>
        <n v="227975"/>
        <n v="638330"/>
        <n v="75240"/>
        <n v="50160"/>
        <n v="91960"/>
        <n v="737800"/>
        <n v="922250"/>
        <n v="895900"/>
        <n v="579700"/>
        <n v="382900"/>
        <n v="273500"/>
        <n v="328200"/>
        <n v="38747.398695839998"/>
        <n v="84100"/>
        <n v="84900"/>
        <n v="85400"/>
        <n v="525000"/>
        <n v="375000"/>
        <n v="220500"/>
        <n v="367500"/>
        <n v="62000"/>
        <n v="131175"/>
        <n v="131970"/>
        <n v="171720"/>
        <n v="257111.4"/>
        <n v="62700"/>
        <n v="55200"/>
        <n v="358800"/>
        <n v="138000"/>
        <n v="126900"/>
        <n v="78900"/>
        <n v="252504"/>
        <n v="95616"/>
        <n v="207264"/>
        <n v="98280"/>
        <n v="105840"/>
        <n v="134600"/>
        <n v="135200"/>
        <n v="46800"/>
        <n v="378"/>
        <n v="600"/>
        <n v="16500"/>
        <n v="39360"/>
        <n v="243399"/>
        <n v="218400"/>
        <n v="87360"/>
        <n v="8736"/>
        <n v="109200"/>
        <n v="86184"/>
        <n v="188487"/>
        <n v="68700"/>
        <n v="195600"/>
        <n v="196800"/>
        <n v="346275"/>
        <n v="207200"/>
        <n v="86100"/>
        <n v="90288"/>
        <n v="107568"/>
        <n v="603505"/>
        <n v="547365"/>
        <n v="224560"/>
        <n v="14560"/>
        <n v="290950"/>
        <n v="449650"/>
        <n v="154980"/>
        <n v="531360"/>
        <n v="287820"/>
        <n v="177120"/>
        <n v="518000"/>
        <n v="115200"/>
        <n v="115920"/>
        <n v="208290"/>
        <n v="209615"/>
        <n v="229119"/>
        <n v="196344"/>
        <n v="123728"/>
        <n v="386444.80000000005"/>
        <n v="388147.20000000001"/>
        <n v="308755.65000000002"/>
        <n v="64750"/>
        <n v="60720"/>
        <n v="17036.25"/>
        <n v="2334.6"/>
        <n v="1288.8"/>
        <n v="1611"/>
        <n v="101660"/>
        <n v="397800"/>
        <n v="150280"/>
        <n v="601176.13399999996"/>
        <n v="128500"/>
        <n v="138875"/>
        <n v="50500"/>
        <n v="205600"/>
        <n v="77100"/>
        <n v="167050"/>
        <n v="490450.80000000005"/>
        <n v="374441.44799999997"/>
        <n v="93951.200000000012"/>
        <n v="119168"/>
        <n v="295932"/>
        <n v="49545.4"/>
        <n v="9988.2000000000007"/>
        <n v="11277"/>
        <n v="409200"/>
        <n v="131750"/>
        <n v="197625"/>
        <n v="77200"/>
        <n v="67550"/>
        <n v="19300"/>
        <n v="48250"/>
        <n v="398640"/>
        <n v="548130"/>
        <n v="847110"/>
        <n v="697620"/>
        <n v="201768.75"/>
        <n v="216011.25"/>
        <n v="122400"/>
        <n v="252400"/>
        <n v="21000"/>
        <n v="116799.55"/>
        <n v="255171"/>
        <n v="974400"/>
        <n v="91350"/>
        <n v="45675"/>
        <n v="406250"/>
        <n v="93750"/>
        <n v="333000"/>
        <n v="555000"/>
        <n v="541125"/>
        <n v="124875"/>
        <n v="297549.375"/>
        <n v="249200"/>
        <n v="155750"/>
        <n v="92094.974999999991"/>
        <n v="400926.6"/>
        <n v="308500"/>
        <n v="138825"/>
        <n v="56600"/>
        <n v="60089.399999999994"/>
        <n v="34080"/>
        <n v="213850"/>
        <n v="274950"/>
        <n v="152750"/>
        <n v="246126.07499999998"/>
        <n v="458025"/>
        <n v="650100"/>
        <n v="591000"/>
        <n v="59100"/>
        <n v="261517.5"/>
        <n v="434644"/>
        <n v="437171"/>
        <n v="84192"/>
        <n v="106440"/>
        <n v="419040"/>
        <n v="424440"/>
        <n v="42444"/>
        <n v="408348"/>
        <n v="360774"/>
        <n v="144981"/>
        <n v="54300"/>
        <n v="108600"/>
        <n v="62208.000000000007"/>
        <n v="36790"/>
        <n v="21660"/>
        <n v="23832"/>
        <n v="31776"/>
        <n v="919215"/>
        <n v="72384"/>
        <n v="74304"/>
        <n v="279720"/>
        <n v="411570"/>
        <n v="137190"/>
        <n v="131040"/>
        <n v="65945"/>
        <n v="65195"/>
        <n v="31751"/>
        <n v="64476"/>
        <n v="38400"/>
        <n v="387450"/>
        <n v="143500"/>
        <n v="157850"/>
        <n v="354200"/>
        <n v="253000"/>
        <n v="506000"/>
        <n v="63210"/>
        <n v="9581"/>
        <n v="528000"/>
        <n v="534000"/>
        <n v="30360"/>
        <n v="30580"/>
        <n v="108054"/>
        <n v="57855"/>
        <n v="72000"/>
        <n v="144000"/>
        <n v="216000"/>
        <n v="139000"/>
        <n v="625500"/>
        <n v="149846.01"/>
        <n v="302460.48"/>
        <n v="156702"/>
        <n v="326462.5"/>
        <n v="104468"/>
        <n v="55664"/>
        <n v="253050"/>
        <n v="760596"/>
        <n v="180750"/>
        <n v="266500"/>
        <n v="623783.22499999998"/>
        <n v="426400"/>
        <n v="106600"/>
        <n v="133250"/>
        <n v="186550"/>
        <n v="90480"/>
        <n v="102168"/>
        <n v="8580"/>
        <n v="7280"/>
        <n v="56640"/>
        <n v="696150"/>
        <n v="195650"/>
        <n v="100100"/>
        <n v="1264018.21"/>
        <n v="518650"/>
        <n v="383350"/>
        <n v="361100"/>
        <n v="109900"/>
        <n v="78500"/>
        <n v="230472"/>
        <n v="167616"/>
        <n v="403218"/>
        <n v="107780.2"/>
        <n v="441719.6"/>
        <n v="443235.8"/>
        <n v="146991.6"/>
        <n v="58320"/>
        <n v="198360"/>
        <n v="208650"/>
        <n v="189000"/>
        <n v="177775"/>
        <n v="18487.5"/>
        <n v="10389.960000000001"/>
        <n v="19542.400000000001"/>
        <n v="417960"/>
        <n v="423360"/>
        <n v="312840"/>
        <n v="486640"/>
        <n v="278080"/>
        <n v="64000"/>
        <n v="681340"/>
        <n v="320000"/>
        <n v="215160"/>
        <n v="6370"/>
        <n v="1802.5"/>
        <n v="22800"/>
        <n v="34550"/>
        <n v="4047.5000000000005"/>
        <n v="8100"/>
        <n v="19920"/>
        <n v="23540"/>
        <n v="2812.5"/>
        <n v="7959.9999999999991"/>
        <n v="40600"/>
        <n v="19900"/>
        <n v="6250"/>
        <n v="4468.8"/>
        <n v="29100"/>
        <n v="6559.9999999999991"/>
        <n v="3808"/>
        <n v="1495"/>
        <n v="19400"/>
        <n v="20000"/>
        <n v="198825"/>
        <n v="185570"/>
        <n v="145580.147"/>
        <n v="406900"/>
        <n v="563400"/>
        <n v="313000"/>
        <n v="156500"/>
        <n v="125200"/>
        <n v="34000"/>
        <n v="76108"/>
        <n v="354144"/>
        <n v="144144"/>
        <n v="312480"/>
        <n v="119700"/>
        <n v="51300"/>
        <n v="221400"/>
        <n v="246000"/>
        <n v="10687.5"/>
        <n v="46312.5"/>
        <n v="71250"/>
        <n v="53600"/>
        <n v="20850"/>
        <n v="33750"/>
        <n v="62462.5"/>
        <n v="153360"/>
        <n v="129528"/>
        <n v="24948"/>
        <n v="55120"/>
        <n v="66800"/>
        <n v="25177.5"/>
        <n v="37755"/>
        <n v="31473"/>
        <n v="31437"/>
        <n v="31441.500000000004"/>
        <n v="15361.5"/>
        <n v="15367"/>
        <n v="1966.75"/>
        <n v="306900"/>
        <n v="502200"/>
        <n v="130950"/>
        <n v="203700"/>
        <n v="625650"/>
        <n v="71100"/>
        <n v="331800"/>
        <n v="38531.700000000004"/>
        <n v="4281.3"/>
        <n v="8540.6"/>
        <n v="37573.599999999999"/>
        <n v="41993"/>
        <n v="246330"/>
        <n v="82368"/>
        <n v="77792"/>
        <n v="137280"/>
        <n v="18304"/>
        <n v="290472"/>
        <n v="112896"/>
        <n v="209400"/>
        <n v="264250"/>
        <n v="237825"/>
        <n v="449225"/>
        <n v="413100"/>
        <n v="585900"/>
        <n v="14872"/>
        <n v="14787.614075067024"/>
        <n v="17471.229892761396"/>
        <n v="5665.4758713136725"/>
        <n v="5362.8140750670245"/>
        <n v="5571.2298927613938"/>
        <n v="76461.628150134042"/>
        <n v="16965.614075067024"/>
        <n v="20221.229892761396"/>
        <n v="17876.41407506703"/>
        <n v="56700"/>
        <n v="33440"/>
        <n v="57162.5"/>
        <n v="127656"/>
        <n v="278833.78278000001"/>
        <n v="300640.21721999999"/>
        <n v="800226"/>
        <n v="745038"/>
        <n v="248346"/>
        <n v="510489"/>
        <n v="424830"/>
        <n v="426300"/>
        <n v="88200"/>
        <n v="252000"/>
        <n v="798000"/>
        <n v="412000"/>
        <n v="212000"/>
        <n v="73800"/>
        <n v="274248"/>
        <n v="213360"/>
        <n v="234696"/>
        <n v="135975"/>
        <n v="320901"/>
        <n v="181300"/>
        <n v="275058"/>
        <n v="256000"/>
        <n v="557797.5"/>
        <n v="486285"/>
        <n v="414772.5"/>
        <n v="300352.5"/>
        <n v="288218.7"/>
        <n v="384291.6"/>
        <n v="224170.1"/>
        <e v="#REF!"/>
        <n v="164700"/>
        <n v="37440"/>
        <n v="104280"/>
        <n v="417120"/>
        <n v="208560"/>
        <n v="130350"/>
        <n v="66320.100000000006"/>
        <n v="170880"/>
        <n v="77172.75"/>
        <n v="317289.00000000006"/>
        <n v="290848.25000000006"/>
        <n v="164101.14000000001"/>
        <n v="43303.68"/>
        <n v="135360"/>
        <n v="31455.000000000004"/>
        <n v="31418.999999999996"/>
        <n v="37759.5"/>
        <n v="58046.399999999994"/>
        <n v="63320.399999999994"/>
        <n v="153300"/>
        <n v="442850"/>
        <n v="59616"/>
        <n v="180468"/>
        <n v="168000"/>
        <n v="192868"/>
        <n v="177954.4"/>
        <n v="46701"/>
        <n v="104610.23999999999"/>
        <n v="120096"/>
        <n v="61000.000000000007"/>
        <n v="263880"/>
        <n v="158328"/>
        <n v="105552"/>
        <n v="215250"/>
        <n v="61500"/>
        <n v="138375"/>
        <n v="120340.125"/>
        <n v="71847.375"/>
        <n v="232900"/>
        <n v="548000"/>
        <n v="465800"/>
        <n v="150700"/>
        <n v="289344"/>
        <n v="39168"/>
        <n v="195000"/>
        <n v="520000"/>
        <n v="130000"/>
        <n v="110250"/>
        <n v="724500"/>
        <n v="63000"/>
        <n v="94500"/>
        <n v="29837.5"/>
        <n v="221725"/>
        <n v="167877.5"/>
        <n v="38010"/>
        <n v="300912.5"/>
        <n v="37200"/>
        <n v="321780"/>
        <n v="427800"/>
        <n v="391344"/>
        <n v="426275"/>
        <n v="687350"/>
        <n v="110625"/>
        <n v="54575"/>
        <n v="95875"/>
        <n v="57120"/>
        <n v="40560"/>
        <n v="49649.599999999999"/>
        <n v="46008"/>
        <n v="301248.75"/>
        <n v="77330"/>
        <n v="95700"/>
        <n v="127295.99999999999"/>
        <n v="80700"/>
        <n v="227385"/>
        <n v="146700"/>
        <n v="218624"/>
        <n v="170800"/>
        <n v="53614"/>
        <n v="30761.5"/>
        <n v="150000"/>
        <n v="102161.5"/>
        <n v="445536"/>
        <n v="424320"/>
        <n v="14144"/>
        <n v="7072"/>
        <n v="35178"/>
        <n v="38695.800000000003"/>
        <n v="21560"/>
        <n v="21168"/>
        <n v="102900"/>
        <n v="198152.08000000002"/>
        <n v="364905.69500000001"/>
        <n v="465569.33500000002"/>
        <n v="14820"/>
        <n v="119808"/>
        <n v="118784"/>
        <n v="293280"/>
        <n v="360000"/>
        <n v="806520"/>
        <n v="720000"/>
        <n v="86328"/>
        <n v="35640"/>
        <n v="35928"/>
        <n v="93515.625"/>
        <n v="93137.83600000001"/>
        <n v="445048.16400000005"/>
        <n v="823108"/>
        <n v="284922"/>
        <n v="443212"/>
        <n v="327025"/>
        <n v="396550"/>
        <n v="198275"/>
        <n v="381100"/>
        <n v="56160"/>
        <n v="151500"/>
        <n v="303000"/>
        <n v="328250"/>
        <n v="64121.2"/>
        <n v="20248.800000000003"/>
        <n v="98841.600000000006"/>
        <n v="44874"/>
        <n v="191327.50000000003"/>
        <n v="103022.50000000001"/>
        <n v="117740.00000000001"/>
        <n v="73587.5"/>
        <n v="430556"/>
        <n v="338294"/>
        <n v="123016.00000000001"/>
        <n v="69222"/>
        <n v="709525.5"/>
        <n v="553776"/>
        <n v="96879"/>
        <n v="209904.5"/>
        <n v="435955.5"/>
        <n v="145318.5"/>
        <n v="354960"/>
        <n v="359040"/>
        <n v="95647.8"/>
        <n v="34892"/>
        <n v="62805.599999999991"/>
        <n v="15660"/>
        <n v="140070"/>
        <n v="144300"/>
        <n v="288600"/>
        <n v="154500"/>
        <n v="87859.199999999997"/>
        <n v="724992"/>
        <n v="211456"/>
        <n v="45312"/>
        <n v="33600"/>
        <n v="84600"/>
        <n v="9760.9953047999988"/>
        <n v="76107.996249600008"/>
        <n v="32538.988452960006"/>
        <n v="20500.013999999999"/>
        <n v="261564"/>
        <n v="45691.200000000004"/>
        <n v="51651.6"/>
        <n v="38052"/>
        <n v="512640"/>
        <n v="21360"/>
        <n v="540000"/>
        <n v="131616"/>
        <n v="288456"/>
        <n v="188760"/>
        <n v="316360"/>
        <n v="328500"/>
        <n v="420480"/>
        <n v="462528"/>
        <n v="280481.18400000001"/>
        <n v="103680"/>
        <n v="155520"/>
        <n v="229399.77599999998"/>
        <n v="390000"/>
        <n v="325000"/>
        <n v="403000"/>
        <n v="221000"/>
        <n v="1000906.8689999999"/>
        <n v="259398.29999999996"/>
        <n v="667024.19999999995"/>
        <n v="296455.19999999995"/>
        <n v="89523.289199999999"/>
        <n v="156531.73919999998"/>
        <n v="278755.152"/>
        <n v="178510.51080000002"/>
        <n v="455499.9"/>
        <n v="354277.7"/>
        <n v="869498.69800000009"/>
        <n v="1378000"/>
        <n v="1144000"/>
        <n v="338000"/>
        <n v="47042"/>
        <n v="82323.5"/>
        <n v="58802.5"/>
        <n v="70563"/>
        <n v="6336"/>
        <n v="11000"/>
        <n v="17395.2"/>
        <n v="314750.72200000001"/>
        <n v="423702.89500000002"/>
        <n v="96846.376000000004"/>
        <n v="96900"/>
        <n v="419900"/>
        <n v="172830"/>
        <n v="839800"/>
        <n v="345660"/>
        <n v="904400"/>
        <n v="129333.75"/>
        <n v="80063.75"/>
        <n v="110857.5"/>
        <n v="136000"/>
        <n v="408000"/>
        <n v="544000"/>
        <n v="34512"/>
        <n v="34896"/>
        <n v="280200"/>
        <n v="186800"/>
        <n v="326900"/>
        <n v="381600"/>
        <n v="106000"/>
        <n v="135333"/>
        <n v="375924.99999999994"/>
        <n v="390961.99999999994"/>
        <n v="240591.99999999997"/>
        <n v="360887.99999999994"/>
        <n v="125000"/>
        <n v="612500"/>
        <n v="184000"/>
        <n v="54117.65"/>
        <n v="54111.200000000004"/>
        <n v="54119.8"/>
        <n v="54128.4"/>
        <n v="27830"/>
        <n v="57420"/>
        <n v="28710"/>
        <n v="123200"/>
        <n v="255600"/>
        <n v="108000"/>
        <n v="165240"/>
        <n v="55080"/>
        <n v="73384.279762912789"/>
        <n v="5605.1748518204904"/>
        <n v="13576.153895004234"/>
        <n v="18212.139881456391"/>
        <n v="8134.6154022015235"/>
        <n v="7659.4154022015236"/>
        <n v="5362.6154022015207"/>
        <n v="9679.0154022015231"/>
        <n v="349440"/>
        <n v="7133"/>
        <n v="30958.75"/>
        <n v="6191.75"/>
        <n v="86684.5"/>
        <n v="136218.5"/>
        <n v="53496.719999999994"/>
        <n v="61917.5"/>
        <n v="92565"/>
        <n v="51218.75"/>
        <n v="61215"/>
        <n v="85525"/>
        <n v="84475"/>
        <n v="34150"/>
        <n v="33552"/>
        <n v="140147.28"/>
        <n v="347985"/>
        <n v="117480"/>
        <n v="150810"/>
        <n v="37120"/>
        <n v="95000"/>
        <n v="179131.5"/>
        <n v="97650"/>
        <n v="123552"/>
        <n v="92664"/>
        <n v="244800"/>
        <n v="67800"/>
        <n v="594776"/>
        <n v="276108"/>
        <n v="142044"/>
        <n v="91783.2"/>
        <n v="134636.4"/>
        <n v="23184"/>
        <n v="14702.8"/>
        <n v="121220"/>
        <n v="52367.040000000001"/>
        <n v="54549"/>
        <n v="18183"/>
        <n v="73095"/>
        <n v="778800"/>
        <n v="85860"/>
        <n v="183691.2"/>
        <n v="21500"/>
        <n v="356213"/>
        <n v="874341"/>
        <n v="762246"/>
        <n v="249100"/>
        <n v="508400"/>
        <n v="254200"/>
        <n v="432140"/>
        <n v="482980"/>
        <n v="271084"/>
        <n v="108433.60000000001"/>
        <n v="27108.400000000001"/>
        <n v="347814"/>
        <n v="477480"/>
        <n v="399000"/>
        <n v="362880"/>
        <n v="221500"/>
        <n v="453000"/>
        <n v="48488"/>
        <n v="60610"/>
        <n v="263700"/>
        <n v="238400"/>
        <n v="44500"/>
        <n v="58240"/>
        <n v="112609.20000000001"/>
        <n v="130800"/>
        <n v="102600"/>
        <n v="36600"/>
        <n v="88800"/>
        <n v="111051.36"/>
        <n v="99153"/>
        <n v="16525.5"/>
        <n v="95186.880000000005"/>
        <n v="60593.5"/>
        <n v="110170"/>
        <n v="152960"/>
        <n v="267240"/>
        <n v="275400"/>
        <n v="278256"/>
        <n v="284328"/>
        <n v="39490"/>
        <n v="109032"/>
        <n v="53438"/>
        <n v="142560"/>
        <n v="173985.27986499999"/>
        <n v="244906.2"/>
        <n v="267170.39999999997"/>
        <n v="247832.2"/>
        <n v="270362.39999999997"/>
        <n v="118700"/>
        <n v="82967.5"/>
        <n v="69158.880000000005"/>
        <n v="122417.28"/>
        <n v="30625.920000000002"/>
        <n v="62880"/>
        <n v="39433"/>
        <n v="59102.5"/>
        <n v="49288"/>
        <n v="123220"/>
        <n v="24644"/>
        <n v="101580"/>
        <n v="135440"/>
        <n v="118510.00000000001"/>
        <n v="152370"/>
        <n v="247018"/>
        <n v="629568"/>
        <n v="498408"/>
        <n v="209856"/>
        <n v="420805"/>
        <n v="63450"/>
        <n v="611000"/>
        <n v="51700"/>
        <n v="178600"/>
        <n v="279400"/>
        <n v="379222"/>
        <n v="76200"/>
        <n v="88900"/>
        <n v="79200"/>
        <n v="118702.5"/>
        <n v="277777.5"/>
        <n v="299145"/>
        <n v="27542.5"/>
        <n v="137712.5"/>
        <n v="132204"/>
        <n v="22034"/>
        <n v="42842.799999999996"/>
        <n v="33662.200000000004"/>
        <n v="15301"/>
        <n v="105628.59999999999"/>
        <n v="23479.06"/>
        <n v="35212.32"/>
        <n v="105524.09999999999"/>
        <n v="58683.02"/>
        <n v="173857.6"/>
        <n v="171729.6"/>
        <n v="213415"/>
        <n v="358479"/>
        <n v="33319"/>
        <n v="19991.399999999998"/>
        <n v="85864.8"/>
        <n v="42932.4"/>
        <n v="155849.4"/>
        <n v="108844.56000000001"/>
        <n v="98949.6"/>
        <n v="170291.04"/>
        <n v="80136.959999999992"/>
        <n v="138996"/>
        <n v="43614.680499999995"/>
        <n v="36061.014499999997"/>
        <n v="21636.608700000001"/>
        <n v="63818.540800000002"/>
        <n v="51053.398200000003"/>
        <n v="72633.357499999998"/>
        <n v="7263.3357500000011"/>
        <n v="23937.879000000001"/>
        <n v="7979.2929999999997"/>
        <n v="213814.85159999999"/>
        <n v="11755"/>
        <n v="149940"/>
        <n v="291342.37799999997"/>
        <n v="144822.03699999998"/>
        <n v="94040"/>
        <n v="135182.5"/>
        <n v="12495"/>
        <n v="296829.09995213302"/>
        <n v="549000"/>
        <n v="308812.5"/>
        <n v="137250"/>
        <n v="16470"/>
        <n v="45292.5"/>
        <n v="144700"/>
        <n v="253225"/>
        <n v="980342.5"/>
        <n v="32557.5"/>
        <n v="578800"/>
        <n v="86068.800000000003"/>
        <n v="51600"/>
        <n v="17337.599999999999"/>
        <n v="17131.2"/>
        <n v="6510"/>
        <n v="19845"/>
        <n v="37125"/>
        <n v="83544"/>
        <n v="117000"/>
        <n v="175500"/>
        <n v="204165"/>
        <n v="102082.5"/>
        <n v="5362.5"/>
        <n v="7562.5"/>
        <n v="3162.5"/>
        <n v="76187.5"/>
        <n v="17550"/>
        <n v="37375"/>
        <n v="7637.5"/>
        <n v="32043.761999999999"/>
        <n v="16223.584500000001"/>
        <n v="73320.249599999996"/>
        <n v="36253.465499999998"/>
        <n v="14525.244000000001"/>
        <n v="36264.346299999997"/>
        <n v="135216"/>
        <n v="181440"/>
        <n v="60864"/>
        <n v="171708"/>
        <n v="42927"/>
        <n v="153844"/>
        <n v="115383"/>
        <n v="76922"/>
        <n v="499993"/>
        <n v="271251"/>
        <n v="331529"/>
        <n v="45208.5"/>
        <n v="256181.5"/>
        <n v="7718.9933498727341"/>
        <n v="30692.806650127262"/>
        <n v="209088"/>
        <n v="205286.39999999999"/>
        <n v="378000"/>
        <n v="529200"/>
        <n v="781200"/>
        <n v="277200"/>
        <n v="120720"/>
        <n v="301800"/>
        <n v="241440"/>
        <n v="60360"/>
        <n v="633780"/>
        <n v="470519.99999999994"/>
        <n v="418239.99999999994"/>
        <n v="575080"/>
        <n v="261399.99999999997"/>
        <n v="236828.39999999997"/>
        <n v="759800"/>
        <n v="493869.99999999994"/>
        <n v="25453.3"/>
        <n v="582386.69999999995"/>
        <n v="94975"/>
        <n v="132965"/>
        <n v="138600"/>
        <n v="58500"/>
        <n v="21442.799999999999"/>
        <n v="206640"/>
        <n v="9840"/>
        <n v="86400"/>
        <n v="172800"/>
        <n v="80640"/>
        <n v="150474.4"/>
        <n v="149985"/>
        <n v="20673.75"/>
        <n v="6297.5"/>
        <n v="165264"/>
        <n v="211680"/>
        <n v="72320"/>
        <n v="204716.98"/>
        <n v="182430"/>
        <n v="2092.5"/>
        <n v="1767"/>
        <n v="155"/>
        <n v="32907.600000000006"/>
        <n v="23795.200000000001"/>
        <n v="67566.399999999994"/>
        <n v="32969.200000000004"/>
        <n v="47325.520000000004"/>
        <n v="21871.825499999999"/>
        <n v="33075"/>
        <n v="196608"/>
        <n v="261747"/>
        <n v="348996"/>
        <n v="87249"/>
        <n v="218122.5"/>
        <n v="433200"/>
        <n v="635360"/>
        <n v="765320"/>
        <n v="305550.40000000002"/>
        <n v="188511"/>
        <n v="30258.75"/>
        <n v="401280"/>
        <n v="290304"/>
        <n v="215208"/>
        <n v="130311.07200000001"/>
        <n v="47386.998"/>
        <n v="90450"/>
        <n v="195312"/>
        <n v="150240"/>
        <n v="149280"/>
        <n v="208992"/>
        <n v="298560"/>
        <n v="194064"/>
        <n v="131560"/>
        <n v="101800"/>
        <n v="43727.145000000004"/>
        <n v="83820"/>
        <n v="41965"/>
        <n v="476135"/>
        <n v="84078"/>
        <n v="181552.5"/>
        <n v="72621"/>
        <n v="36310.5"/>
        <n v="84724.5"/>
        <n v="42362.25"/>
        <n v="180644.75"/>
        <n v="81581.5"/>
        <n v="58272.5"/>
        <n v="104890.5"/>
        <n v="99063.25"/>
        <n v="52445.25"/>
        <n v="69927"/>
        <n v="81600"/>
        <n v="34864.799999999996"/>
        <n v="16350"/>
        <n v="67680"/>
        <n v="417450"/>
        <n v="473110"/>
        <n v="389620"/>
        <n v="111320"/>
        <n v="324115"/>
        <n v="270300"/>
        <n v="586500"/>
        <n v="163200"/>
        <n v="84296.340000000011"/>
        <n v="93015"/>
        <n v="25800"/>
        <n v="175440"/>
        <n v="22722.699999999997"/>
        <n v="24500"/>
        <n v="22897.5"/>
        <n v="83174"/>
        <n v="23764"/>
        <n v="126720"/>
        <n v="42120"/>
        <n v="128595.22500000001"/>
        <n v="35800"/>
        <n v="325872"/>
        <n v="31536.000000000004"/>
        <n v="634529.28000000003"/>
        <n v="158632.32000000001"/>
        <n v="294602.88"/>
        <n v="198899.28"/>
        <n v="264528"/>
        <n v="168336"/>
        <n v="312624"/>
        <n v="305760"/>
        <n v="399840"/>
        <n v="106002"/>
        <n v="34800"/>
        <n v="161000"/>
        <n v="179580.88400000002"/>
        <n v="40200"/>
        <n v="222071.7"/>
        <n v="555179.25"/>
        <n v="1017828.625"/>
        <n v="795756.92500000005"/>
        <n v="319000"/>
        <n v="274340"/>
        <n v="52635"/>
        <n v="23925"/>
        <n v="47850"/>
        <n v="1274400"/>
        <n v="8184"/>
        <n v="78519.600000000006"/>
        <n v="35654.1"/>
        <n v="39555.599999999999"/>
        <n v="557700"/>
        <n v="286000"/>
        <n v="28600"/>
        <n v="71500"/>
        <n v="57200"/>
        <n v="6497.5"/>
        <n v="48096"/>
        <n v="48600"/>
        <n v="437400"/>
        <n v="656100"/>
        <n v="24300"/>
        <n v="239400"/>
        <n v="957600"/>
        <n v="25938.270181818174"/>
        <n v="116722.21581818182"/>
        <n v="54661.856"/>
        <n v="79650"/>
        <n v="95580"/>
        <n v="147015"/>
        <n v="65340"/>
        <n v="81675"/>
        <n v="47790"/>
        <n v="61176.5"/>
        <n v="25500"/>
        <n v="353280"/>
        <n v="274320"/>
        <n v="15240"/>
        <n v="368640"/>
        <n v="289560"/>
        <n v="79671.5"/>
        <n v="239014.5"/>
        <n v="199178.75"/>
        <n v="278850.25"/>
        <n v="354992"/>
        <n v="131300"/>
        <n v="333200"/>
        <n v="44800"/>
        <n v="16516.5"/>
        <n v="226200"/>
        <n v="104400"/>
        <n v="52200"/>
        <n v="31320"/>
        <n v="55680"/>
        <n v="117990"/>
        <n v="149040"/>
        <n v="110920.59"/>
        <n v="108608.96000000001"/>
        <n v="135465.0318"/>
        <n v="14875.675000000001"/>
        <n v="15070.904999999999"/>
        <n v="1192500"/>
        <n v="1669500"/>
        <n v="4995.6499999999996"/>
        <n v="2635"/>
        <n v="119339.45599999999"/>
        <n v="335874.24"/>
        <n v="328570.31999999995"/>
        <n v="152500"/>
        <n v="117600"/>
        <n v="23808"/>
        <n v="32831.999999999971"/>
        <n v="32670.399999999943"/>
        <n v="102930"/>
        <n v="76650"/>
        <n v="105120"/>
        <n v="26812.800000000003"/>
        <n v="104798.39999999999"/>
        <n v="6815.2"/>
        <n v="53127.199999999997"/>
        <n v="65010"/>
        <n v="234036"/>
        <n v="156917.20000000001"/>
        <n v="470751.6"/>
        <n v="117687.9"/>
        <n v="549210.19999999995"/>
        <n v="157107.53999999998"/>
        <n v="17200"/>
        <n v="104650"/>
        <n v="48150"/>
        <n v="309465"/>
        <n v="785565"/>
        <n v="477528.30000000005"/>
        <n v="749880"/>
        <n v="624900"/>
        <n v="1093575"/>
        <n v="657394.79999999993"/>
        <n v="345000"/>
        <n v="567684"/>
        <n v="485806.5"/>
        <n v="194322.6"/>
        <n v="91702.8"/>
        <n v="573296.5"/>
        <n v="1297460.5"/>
        <n v="1146593"/>
        <n v="2968845"/>
        <n v="425378"/>
        <n v="321040"/>
        <n v="381235"/>
        <n v="918343.99999999988"/>
        <n v="758632"/>
        <n v="479135.99999999994"/>
        <n v="31493.269499999999"/>
        <n v="31328.797500000001"/>
        <n v="16959.04"/>
        <n v="88000"/>
        <n v="16992.3675"/>
        <n v="78388.068000000014"/>
        <n v="54547.9"/>
        <n v="127400"/>
        <n v="20169"/>
        <n v="268464"/>
        <n v="160500"/>
        <n v="74900"/>
        <n v="107214"/>
        <n v="62400"/>
        <n v="45400"/>
        <n v="248837"/>
        <n v="127737"/>
        <n v="69312.709999999992"/>
        <n v="53784"/>
        <n v="67230"/>
        <n v="22858.2"/>
        <n v="6723"/>
        <n v="10756.800000000001"/>
        <n v="68797.4715"/>
        <n v="19791.484999999997"/>
        <n v="183750"/>
        <n v="75813"/>
        <n v="404336"/>
        <n v="91980"/>
        <n v="1091250"/>
        <n v="1309500"/>
        <n v="2835067.5"/>
        <n v="145200"/>
        <n v="37422"/>
        <n v="49896"/>
        <n v="87318"/>
        <n v="404800"/>
        <n v="145464"/>
        <n v="142128"/>
        <n v="280400"/>
        <n v="665950"/>
        <n v="455650"/>
        <n v="490700"/>
        <n v="350500"/>
        <n v="712800"/>
        <n v="237600"/>
        <n v="465000"/>
        <n v="525280"/>
        <n v="42629.19"/>
        <n v="50146.32"/>
        <n v="84999.999994559999"/>
        <n v="121014"/>
        <n v="94122"/>
        <n v="73953"/>
        <n v="108945"/>
        <n v="43578"/>
        <n v="145260"/>
        <n v="34383.066200000001"/>
        <n v="174312"/>
        <n v="36315"/>
        <n v="79893"/>
        <n v="34862.400000000001"/>
        <n v="66442.660800000012"/>
        <n v="114600"/>
        <n v="201628"/>
        <n v="241953.6"/>
        <n v="199101"/>
        <n v="98977.5"/>
        <n v="79182"/>
        <n v="19795.5"/>
        <n v="59386.5"/>
        <n v="3926214.0719999997"/>
        <n v="399168"/>
        <n v="415645.99999999994"/>
        <n v="1058008"/>
        <n v="631566"/>
        <n v="234000"/>
        <n v="52290"/>
        <n v="274457.40000000002"/>
        <n v="267750"/>
        <n v="13585"/>
        <n v="15535"/>
        <n v="275760"/>
        <n v="277560"/>
        <n v="294144"/>
        <n v="314568"/>
        <n v="715008"/>
        <n v="224903"/>
        <n v="134941.79999999999"/>
        <n v="179922.40000000002"/>
        <n v="468000"/>
        <n v="79000"/>
        <n v="69125"/>
        <n v="92070"/>
        <n v="9207"/>
        <n v="634500"/>
        <n v="44480"/>
        <n v="72630"/>
        <n v="167049"/>
        <n v="96000"/>
        <n v="8640"/>
        <n v="68385.680999999997"/>
        <n v="51461.487999999998"/>
        <n v="56451.3174"/>
        <n v="17541.856400000001"/>
        <n v="79936.2"/>
        <n v="14638.32"/>
        <n v="103917.06"/>
        <n v="87929.82"/>
        <n v="31974.48"/>
        <n v="27520"/>
        <n v="20160"/>
        <n v="51200"/>
        <n v="28800"/>
        <n v="57199.998710400003"/>
        <n v="26104.35"/>
        <n v="169401.60000000001"/>
        <n v="630768"/>
        <n v="102432"/>
        <n v="500500"/>
        <n v="657800"/>
        <n v="271700"/>
        <n v="114400"/>
        <n v="290804"/>
        <n v="218103"/>
        <n v="1744824"/>
        <n v="727010"/>
        <n v="419259.39690000005"/>
        <n v="1816783.2"/>
        <n v="785600"/>
        <n v="19729.0245"/>
        <n v="117072"/>
        <n v="195120"/>
        <n v="476000"/>
        <n v="224000"/>
        <n v="91800"/>
        <n v="4257810"/>
        <n v="196064.91599999976"/>
        <n v="774489.88800000004"/>
        <n v="579708"/>
        <n v="66780"/>
        <n v="111300"/>
        <n v="89040"/>
        <n v="44520"/>
        <n v="22260"/>
        <n v="139833.54"/>
        <n v="77960.3"/>
        <n v="78785.3"/>
        <n v="445620.56"/>
        <n v="175450"/>
        <n v="191400"/>
        <n v="393000"/>
        <n v="1154088"/>
        <n v="976536"/>
        <n v="665820"/>
        <n v="1260000"/>
        <n v="140000"/>
        <n v="515916"/>
        <n v="573240"/>
        <n v="458592"/>
        <n v="269000"/>
        <n v="672.5"/>
        <n v="74823.858999999997"/>
        <n v="61824.157200000001"/>
        <n v="66950"/>
        <n v="159872.4"/>
        <n v="53760"/>
        <n v="106110"/>
        <n v="116553.88"/>
        <n v="19434.907999999999"/>
        <n v="38841.7952"/>
        <n v="29129.6096"/>
        <n v="39968.1"/>
        <n v="95923.44"/>
        <n v="71942.58"/>
        <n v="42913.711758928839"/>
        <n v="3498792.8499999996"/>
        <n v="2.3010033114707151"/>
        <n v="569712"/>
        <n v="9018.9267"/>
        <n v="36662.184000000001"/>
        <n v="276000"/>
        <n v="135600"/>
        <n v="532100"/>
        <n v="1242000"/>
        <n v="1248750"/>
        <n v="925296"/>
        <n v="2584000"/>
        <n v="2081916"/>
        <n v="988000"/>
        <n v="848188"/>
        <n v="1927700"/>
        <n v="195825.57"/>
        <n v="172604.9"/>
        <n v="451132"/>
        <n v="861252"/>
        <n v="984288"/>
        <n v="902264"/>
        <n v="492964.24"/>
        <n v="1604167.5"/>
        <n v="534722.5"/>
        <n v="1563035"/>
        <n v="823472.65"/>
        <n v="1124425"/>
        <n v="356304"/>
        <n v="557296"/>
        <n v="100558.8"/>
        <n v="80447.039999999994"/>
        <n v="47961.72"/>
        <n v="60335.28"/>
        <n v="66577.14"/>
        <n v="78671.520000000004"/>
        <n v="15019.02"/>
        <n v="479375"/>
        <n v="463937.5"/>
        <n v="367837.5"/>
        <n v="90877.5"/>
        <m/>
        <n v="1704218.9999999998"/>
        <n v="1446003.9999999998"/>
        <n v="284036.5"/>
        <n v="258214.99999999997"/>
        <n v="75312.5"/>
        <n v="314300"/>
        <n v="416740"/>
        <n v="516260"/>
        <n v="3183001.8000000003"/>
        <n v="2057411.4000000001"/>
        <n v="529008"/>
        <n v="133999.99999999991"/>
        <n v="1293600"/>
        <n v="1940400"/>
        <n v="678150"/>
        <n v="193050"/>
        <n v="762300"/>
        <n v="12943.739999999991"/>
        <n v="23958"/>
        <n v="20670"/>
        <n v="10752"/>
        <n v="10"/>
        <n v="436081.8"/>
        <n v="156615.36000000002"/>
        <n v="77715.44"/>
        <n v="56229.36"/>
        <n v="202278.12"/>
        <n v="415200"/>
        <n v="207600"/>
        <n v="242200"/>
        <n v="553600"/>
        <n v="877500"/>
        <n v="438750"/>
        <n v="263250"/>
        <n v="679536"/>
        <n v="811087.2"/>
        <n v="179200"/>
        <n v="852120"/>
        <n v="394500"/>
        <n v="723250"/>
        <n v="51287.817599999995"/>
        <n v="147149.46"/>
        <n v="11318.94"/>
        <n v="217500"/>
        <n v="1087500"/>
        <n v="145600"/>
        <n v="203271.2"/>
        <n v="137549.72"/>
        <n v="199729.2"/>
        <n v="408083.00000000006"/>
        <n v="533647"/>
        <n v="31391.000000000004"/>
        <n v="117099.67199999998"/>
        <n v="16546.9696"/>
        <n v="158008.20879999999"/>
        <n v="102971.97"/>
        <n v="442273.00840000005"/>
        <n v="103898.5866"/>
        <n v="110614.68"/>
        <n v="40223.519999999997"/>
        <n v="30167.64"/>
        <n v="243000"/>
        <n v="40500"/>
        <n v="162000"/>
        <n v="67500"/>
        <n v="160650"/>
        <n v="13550"/>
        <n v="94450"/>
        <n v="13500"/>
        <n v="60050"/>
        <n v="421025"/>
        <n v="252615"/>
        <n v="492480.00000000006"/>
        <n v="3"/>
        <n v="684000"/>
        <n v="570000"/>
        <n v="1116000"/>
        <n v="2015000"/>
        <n v="8785.5526000000009"/>
        <n v="112560"/>
        <n v="187600"/>
        <n v="75040"/>
        <n v="37520"/>
        <n v="1542750"/>
        <n v="152320"/>
        <n v="130200"/>
        <n v="38133.549999999996"/>
        <n v="3210000"/>
        <n v="372810"/>
        <n v="192240"/>
        <n v="151200"/>
        <n v="903600"/>
        <n v="1150600"/>
        <n v="2755487.9999999995"/>
        <n v="3444359.9999999995"/>
        <n v="1148120"/>
        <n v="183600"/>
        <n v="252450"/>
        <n v="438209.31300000002"/>
        <n v="163800"/>
        <n v="191100"/>
        <n v="112125"/>
        <n v="202500"/>
        <n v="251100"/>
        <n v="617700"/>
        <n v="84296.08"/>
        <n v="233505.8"/>
        <n v="219800"/>
        <n v="131880"/>
        <n v="87920"/>
        <n v="43960"/>
        <n v="175840"/>
        <n v="715500"/>
        <n v="1012000"/>
        <n v="787500"/>
        <n v="193500"/>
        <n v="850000"/>
        <n v="1740000"/>
        <n v="5115000"/>
        <n v="1023000"/>
        <n v="2096000"/>
        <n v="357900"/>
        <n v="954400"/>
        <n v="2028100"/>
        <n v="596500"/>
        <n v="141365"/>
        <n v="282730"/>
        <n v="23100"/>
        <n v="7115.1312870000002"/>
        <n v="4795.1672673600006"/>
        <n v="11508.401441664"/>
        <n v="311850"/>
        <n v="425250"/>
        <n v="226800"/>
        <n v="77444.100000000006"/>
        <n v="129073.5"/>
        <n v="696000"/>
        <n v="534500"/>
        <n v="1042800"/>
        <n v="7695600"/>
        <n v="1488300"/>
        <n v="1260132.5"/>
        <n v="586300"/>
        <n v="127250"/>
        <n v="50900"/>
        <n v="76350"/>
        <n v="254500"/>
        <n v="359373"/>
        <n v="958328.00000000012"/>
        <n v="2156238"/>
        <n v="5510386"/>
        <n v="396900"/>
        <n v="854000"/>
        <n v="5075000"/>
        <n v="1753176"/>
        <n v="2062560"/>
        <n v="476442"/>
        <n v="948024"/>
        <n v="2460000"/>
        <n v="126556.56"/>
        <n v="126040.9592"/>
        <n v="179760"/>
        <n v="359520"/>
        <n v="24780"/>
        <n v="966000"/>
        <n v="99775"/>
        <n v="220000"/>
        <n v="216500"/>
        <n v="17400"/>
        <n v="16320"/>
        <n v="1050000"/>
        <n v="108640"/>
        <n v="415000"/>
        <n v="207500"/>
        <n v="876318.75"/>
        <n v="2175000"/>
      </sharedItems>
    </cacheField>
    <cacheField name="CNT" numFmtId="0">
      <sharedItems containsBlank="1" containsMixedTypes="1" containsNumber="1" minValue="1" maxValue="60" count="58">
        <s v="--"/>
        <n v="2"/>
        <n v="5"/>
        <m/>
        <n v="6"/>
        <n v="4"/>
        <n v="12"/>
        <n v="3"/>
        <n v="13"/>
        <n v="7"/>
        <n v="11"/>
        <n v="1"/>
        <n v="33"/>
        <n v="21"/>
        <n v="8"/>
        <n v="14"/>
        <n v="9"/>
        <s v="-"/>
        <n v="60"/>
        <n v="20"/>
        <n v="10"/>
        <n v="18"/>
        <n v="17"/>
        <n v="50"/>
        <n v="25"/>
        <n v="27"/>
        <n v="16"/>
        <n v="22"/>
        <n v="40"/>
        <n v="39"/>
        <n v="3.9720279720279716"/>
        <n v="19"/>
        <n v="30"/>
        <n v="15"/>
        <n v="42"/>
        <n v="34"/>
        <n v="28"/>
        <n v="32"/>
        <n v="24"/>
        <n v="29"/>
        <n v="37"/>
        <s v=" "/>
        <n v="8.9896428571428579"/>
        <n v="8.9885714285714293"/>
        <n v="8.99"/>
        <n v="8.9914285714285711"/>
        <n v="26"/>
        <n v="11.999999999999998"/>
        <n v="23"/>
        <n v="36"/>
        <n v="31"/>
        <n v="55"/>
        <n v="12.5"/>
        <n v="4.166666666666667"/>
        <n v="3.4"/>
        <n v="1.6"/>
        <n v="1.0270833333333333"/>
        <s v="N/A"/>
      </sharedItems>
    </cacheField>
    <cacheField name="TIPO DE CARGA 1" numFmtId="0">
      <sharedItems containsBlank="1"/>
    </cacheField>
    <cacheField name="TIPO DE CARGA 2" numFmtId="0">
      <sharedItems containsBlank="1"/>
    </cacheField>
    <cacheField name="PRESENTACIÓN" numFmtId="0">
      <sharedItems containsBlank="1"/>
    </cacheField>
    <cacheField name="PESO DE BIG BAG TM" numFmtId="0">
      <sharedItems containsBlank="1" containsMixedTypes="1" containsNumber="1" minValue="0.8" maxValue="1.5"/>
    </cacheField>
    <cacheField name="MARCA" numFmtId="0">
      <sharedItems containsBlank="1"/>
    </cacheField>
    <cacheField name="MES EMBARQUE PROGRAMADO" numFmtId="0">
      <sharedItems containsBlank="1"/>
    </cacheField>
    <cacheField name="AÑO EMBARQUE" numFmtId="0">
      <sharedItems containsString="0" containsBlank="1" containsNumber="1" containsInteger="1" minValue="2022" maxValue="2022" count="2">
        <m/>
        <n v="2022"/>
      </sharedItems>
    </cacheField>
    <cacheField name="ETD INICIAL" numFmtId="15">
      <sharedItems containsNonDate="0" containsDate="1" containsString="0" containsBlank="1" minDate="1899-12-30T00:00:00" maxDate="2022-08-06T00:00:00"/>
    </cacheField>
    <cacheField name="ETD FINAL" numFmtId="15">
      <sharedItems containsDate="1" containsBlank="1" containsMixedTypes="1" minDate="2020-10-20T00:00:00" maxDate="2022-08-09T00:00:00"/>
    </cacheField>
    <cacheField name="ETA INICIAL" numFmtId="15">
      <sharedItems containsDate="1" containsBlank="1" containsMixedTypes="1" minDate="2021-08-19T00:00:00" maxDate="2022-09-15T00:00:00"/>
    </cacheField>
    <cacheField name="ETA FINAL" numFmtId="15">
      <sharedItems containsDate="1" containsBlank="1" containsMixedTypes="1" minDate="2017-05-26T00:00:00" maxDate="2022-09-15T00:00:00" count="891">
        <d v="2017-06-14T00:00:00"/>
        <d v="2017-06-21T00:00:00"/>
        <d v="2017-06-23T00:00:00"/>
        <d v="2017-06-26T00:00:00"/>
        <d v="2017-07-01T00:00:00"/>
        <d v="2017-07-06T00:00:00"/>
        <d v="2017-05-29T00:00:00"/>
        <d v="2017-06-07T00:00:00"/>
        <d v="2017-06-04T00:00:00"/>
        <d v="2017-06-24T00:00:00"/>
        <d v="2017-05-26T00:00:00"/>
        <d v="2017-06-01T00:00:00"/>
        <d v="2017-06-03T00:00:00"/>
        <d v="2017-06-08T00:00:00"/>
        <d v="2017-06-11T00:00:00"/>
        <d v="2017-06-22T00:00:00"/>
        <d v="2017-06-29T00:00:00"/>
        <d v="2017-06-27T00:00:00"/>
        <d v="2017-07-30T00:00:00"/>
        <d v="2017-08-07T00:00:00"/>
        <d v="2017-07-13T00:00:00"/>
        <d v="2017-08-17T00:00:00"/>
        <m/>
        <d v="2017-12-07T00:00:00"/>
        <d v="2017-08-14T00:00:00"/>
        <d v="2017-10-07T00:00:00"/>
        <d v="2017-10-27T00:00:00"/>
        <d v="2017-11-22T00:00:00"/>
        <d v="2017-12-11T00:00:00"/>
        <d v="2017-06-30T00:00:00"/>
        <d v="2017-07-03T00:00:00"/>
        <d v="2017-08-11T00:00:00"/>
        <d v="2017-09-19T00:00:00"/>
        <d v="2017-07-21T00:00:00"/>
        <d v="2017-07-15T00:00:00"/>
        <d v="2017-07-23T00:00:00"/>
        <d v="2017-07-26T00:00:00"/>
        <d v="2017-07-28T00:00:00"/>
        <d v="2017-08-30T00:00:00"/>
        <d v="2017-09-01T00:00:00"/>
        <d v="2017-09-05T00:00:00"/>
        <d v="2017-09-10T00:00:00"/>
        <d v="2017-09-08T00:00:00"/>
        <d v="2017-08-04T00:00:00"/>
        <d v="2017-08-21T00:00:00"/>
        <d v="2017-10-13T00:00:00"/>
        <d v="2017-11-08T00:00:00"/>
        <d v="2017-08-18T00:00:00"/>
        <d v="2017-08-24T00:00:00"/>
        <d v="2017-10-30T00:00:00"/>
        <d v="2017-09-03T00:00:00"/>
        <d v="2017-10-19T00:00:00"/>
        <d v="2017-11-02T00:00:00"/>
        <d v="2017-09-24T00:00:00"/>
        <d v="2017-09-29T00:00:00"/>
        <d v="2017-10-01T00:00:00"/>
        <d v="2017-10-09T00:00:00"/>
        <d v="2017-09-14T00:00:00"/>
        <d v="2017-09-22T00:00:00"/>
        <d v="2017-11-03T00:00:00"/>
        <d v="2017-11-13T00:00:00"/>
        <d v="2017-12-01T00:00:00"/>
        <d v="2017-10-06T00:00:00"/>
        <d v="2017-12-14T00:00:00"/>
        <d v="2017-12-12T00:00:00"/>
        <d v="2017-11-10T00:00:00"/>
        <d v="2017-11-20T00:00:00"/>
        <d v="2017-10-23T00:00:00"/>
        <d v="2017-11-05T00:00:00"/>
        <d v="2017-11-17T00:00:00"/>
        <d v="2017-11-12T00:00:00"/>
        <d v="2017-12-21T00:00:00"/>
        <d v="2017-12-20T00:00:00"/>
        <d v="2017-09-27T00:00:00"/>
        <d v="2017-11-24T00:00:00"/>
        <d v="2018-02-05T00:00:00"/>
        <d v="2018-02-02T00:00:00"/>
        <d v="2018-02-26T00:00:00"/>
        <d v="2018-01-18T00:00:00"/>
        <d v="2017-11-07T00:00:00"/>
        <d v="2018-03-09T00:00:00"/>
        <d v="2017-12-27T00:00:00"/>
        <d v="2017-12-31T00:00:00"/>
        <d v="2018-01-08T00:00:00"/>
        <d v="2017-11-26T00:00:00"/>
        <d v="2017-12-03T00:00:00"/>
        <d v="2017-12-05T00:00:00"/>
        <d v="2017-10-11T00:00:00"/>
        <d v="2017-12-08T00:00:00"/>
        <d v="2017-12-17T00:00:00"/>
        <d v="2018-01-26T00:00:00"/>
        <d v="2017-12-25T00:00:00"/>
        <d v="2017-11-29T00:00:00"/>
        <d v="2017-10-25T00:00:00"/>
        <d v="2017-12-15T00:00:00"/>
        <d v="2017-12-18T00:00:00"/>
        <d v="2018-01-05T00:00:00"/>
        <d v="2018-01-29T00:00:00"/>
        <d v="2018-02-23T00:00:00"/>
        <d v="2018-01-07T00:00:00"/>
        <d v="2018-01-12T00:00:00"/>
        <d v="2018-01-14T00:00:00"/>
        <d v="2018-01-16T00:00:00"/>
        <d v="2018-01-21T00:00:00"/>
        <d v="2018-02-16T00:00:00"/>
        <d v="2018-02-07T00:00:00"/>
        <d v="2018-02-11T00:00:00"/>
        <d v="2018-05-08T00:00:00"/>
        <d v="2018-05-07T00:00:00"/>
        <d v="2017-12-22T00:00:00"/>
        <d v="2017-12-19T00:00:00"/>
        <d v="2018-03-12T00:00:00"/>
        <d v="2018-03-15T00:00:00"/>
        <d v="2018-03-19T00:00:00"/>
        <d v="2018-03-18T00:00:00"/>
        <d v="2018-03-21T00:00:00"/>
        <d v="2018-04-01T00:00:00"/>
        <d v="2018-04-11T00:00:00"/>
        <d v="2018-04-04T00:00:00"/>
        <d v="2018-04-25T00:00:00"/>
        <d v="2018-04-28T00:00:00"/>
        <d v="2018-04-02T00:00:00"/>
        <d v="2018-04-20T00:00:00"/>
        <d v="2018-05-17T00:00:00"/>
        <d v="2018-05-14T00:00:00"/>
        <d v="2018-05-09T00:00:00"/>
        <d v="2018-02-20T00:00:00"/>
        <d v="2018-02-22T00:00:00"/>
        <d v="2018-02-24T00:00:00"/>
        <d v="2018-06-07T00:00:00"/>
        <d v="2018-06-15T00:00:00"/>
        <d v="2018-06-18T00:00:00"/>
        <d v="2018-05-11T00:00:00"/>
        <d v="2018-05-23T00:00:00"/>
        <d v="2018-08-10T00:00:00"/>
        <d v="2018-08-13T00:00:00"/>
        <d v="2018-05-21T00:00:00"/>
        <d v="2018-07-15T00:00:00"/>
        <d v="2018-03-28T00:00:00"/>
        <d v="2018-05-06T00:00:00"/>
        <d v="2018-04-26T00:00:00"/>
        <d v="2018-05-28T00:00:00"/>
        <d v="2018-06-06T00:00:00"/>
        <d v="2018-04-21T00:00:00"/>
        <d v="2018-06-29T00:00:00"/>
        <d v="2018-06-20T00:00:00"/>
        <d v="2018-03-11T00:00:00"/>
        <d v="2018-06-16T00:00:00"/>
        <d v="2018-05-24T00:00:00"/>
        <d v="2018-05-27T00:00:00"/>
        <d v="2018-06-04T00:00:00"/>
        <d v="2018-06-19T00:00:00"/>
        <d v="2018-06-25T00:00:00"/>
        <d v="2018-06-22T00:00:00"/>
        <d v="2018-06-28T00:00:00"/>
        <d v="2018-07-01T00:00:00"/>
        <d v="2018-06-13T00:00:00"/>
        <d v="2018-07-22T00:00:00"/>
        <d v="2018-08-17T00:00:00"/>
        <d v="2018-08-16T00:00:00"/>
        <d v="2018-08-19T00:00:00"/>
        <d v="2018-08-23T00:00:00"/>
        <d v="2018-08-04T00:00:00"/>
        <d v="2018-07-27T00:00:00"/>
        <d v="2018-06-30T00:00:00"/>
        <d v="2018-06-26T00:00:00"/>
        <d v="2018-07-09T00:00:00"/>
        <d v="2018-07-16T00:00:00"/>
        <d v="2018-09-26T00:00:00"/>
        <d v="2018-07-19T00:00:00"/>
        <d v="2018-07-21T00:00:00"/>
        <d v="2018-07-29T00:00:00"/>
        <d v="2018-08-01T00:00:00"/>
        <d v="2018-09-04T00:00:00"/>
        <d v="2018-10-01T00:00:00"/>
        <d v="2018-10-02T00:00:00"/>
        <d v="2018-10-19T00:00:00"/>
        <d v="2018-10-25T00:00:00"/>
        <d v="2018-11-05T00:00:00"/>
        <d v="2018-09-22T00:00:00"/>
        <d v="2018-09-09T00:00:00"/>
        <d v="2018-10-11T00:00:00"/>
        <d v="2018-08-25T00:00:00"/>
        <d v="2018-09-05T00:00:00"/>
        <d v="2018-11-15T00:00:00"/>
        <d v="2018-09-01T00:00:00"/>
        <d v="2018-09-07T00:00:00"/>
        <d v="2018-09-10T00:00:00"/>
        <d v="2018-10-09T00:00:00"/>
        <d v="2018-10-03T00:00:00"/>
        <d v="2018-10-28T00:00:00"/>
        <d v="2018-09-08T00:00:00"/>
        <d v="2018-09-03T00:00:00"/>
        <d v="2018-09-21T00:00:00"/>
        <d v="2018-09-25T00:00:00"/>
        <d v="2018-09-18T00:00:00"/>
        <d v="2018-09-23T00:00:00"/>
        <d v="2018-11-19T00:00:00"/>
        <d v="2018-10-17T00:00:00"/>
        <d v="2018-11-21T00:00:00"/>
        <d v="2018-09-20T00:00:00"/>
        <d v="2018-09-28T00:00:00"/>
        <d v="2018-09-30T00:00:00"/>
        <d v="2018-10-27T00:00:00"/>
        <d v="2018-11-12T00:00:00"/>
        <d v="2018-11-02T00:00:00"/>
        <d v="2018-10-29T00:00:00"/>
        <d v="2018-12-17T00:00:00"/>
        <d v="2019-01-03T00:00:00"/>
        <d v="2018-11-10T00:00:00"/>
        <d v="2018-10-24T00:00:00"/>
        <d v="2018-10-30T00:00:00"/>
        <d v="2018-12-07T00:00:00"/>
        <d v="2018-12-09T00:00:00"/>
        <d v="2018-12-05T00:00:00"/>
        <d v="2018-12-27T00:00:00"/>
        <d v="2018-11-27T00:00:00"/>
        <d v="2018-12-11T00:00:00"/>
        <d v="2018-12-03T00:00:00"/>
        <d v="2018-12-10T00:00:00"/>
        <d v="2018-12-28T00:00:00"/>
        <d v="2018-12-26T00:00:00"/>
        <d v="2019-01-23T00:00:00"/>
        <d v="2018-12-25T00:00:00"/>
        <d v="2018-11-26T00:00:00"/>
        <d v="2018-11-14T00:00:00"/>
        <d v="2018-11-11T00:00:00"/>
        <d v="2018-11-16T00:00:00"/>
        <d v="2018-11-24T00:00:00"/>
        <d v="2018-11-28T00:00:00"/>
        <d v="2019-01-04T00:00:00"/>
        <d v="2019-01-25T00:00:00"/>
        <d v="2019-02-08T00:00:00"/>
        <d v="2019-02-17T00:00:00"/>
        <d v="2019-01-05T00:00:00"/>
        <d v="2018-12-16T00:00:00"/>
        <d v="2018-12-24T00:00:00"/>
        <d v="2018-12-21T00:00:00"/>
        <d v="2019-01-30T00:00:00"/>
        <d v="2018-12-20T00:00:00"/>
        <d v="2018-12-29T00:00:00"/>
        <d v="2019-01-11T00:00:00"/>
        <d v="2019-03-02T00:00:00"/>
        <d v="2019-02-22T00:00:00"/>
        <d v="2019-04-12T00:00:00"/>
        <d v="2019-02-02T00:00:00"/>
        <d v="2019-02-28T00:00:00"/>
        <d v="2018-12-31T00:00:00"/>
        <d v="2018-12-22T00:00:00"/>
        <d v="2019-02-01T00:00:00"/>
        <d v="2019-02-04T00:00:00"/>
        <d v="2018-12-01T00:00:00"/>
        <d v="2018-12-30T00:00:00"/>
        <d v="2019-01-01T00:00:00"/>
        <d v="2019-02-11T00:00:00"/>
        <d v="2019-02-14T00:00:00"/>
        <d v="2019-02-07T00:00:00"/>
        <d v="2019-03-10T00:00:00"/>
        <d v="2019-03-24T00:00:00"/>
        <d v="2019-03-18T00:00:00"/>
        <d v="2019-02-15T00:00:00"/>
        <d v="2019-03-04T00:00:00"/>
        <d v="2019-03-14T00:00:00"/>
        <d v="2019-02-13T00:00:00"/>
        <d v="2019-03-08T00:00:00"/>
        <d v="2019-04-17T00:00:00"/>
        <d v="2019-05-05T00:00:00"/>
        <d v="2019-02-20T00:00:00"/>
        <d v="2019-02-24T00:00:00"/>
        <d v="2019-02-16T00:00:00"/>
        <d v="2019-02-21T00:00:00"/>
        <d v="2019-05-22T00:00:00"/>
        <d v="2019-03-01T00:00:00"/>
        <d v="2019-03-05T00:00:00"/>
        <d v="2019-02-19T00:00:00"/>
        <d v="2019-02-27T00:00:00"/>
        <d v="2019-03-31T00:00:00"/>
        <d v="2019-04-15T00:00:00"/>
        <d v="2019-04-08T00:00:00"/>
        <d v="2019-04-01T00:00:00"/>
        <d v="2019-04-06T00:00:00"/>
        <d v="2019-04-23T00:00:00"/>
        <d v="2019-04-30T00:00:00"/>
        <d v="2019-04-22T00:00:00"/>
        <d v="2019-05-13T00:00:00"/>
        <d v="2019-04-28T00:00:00"/>
        <d v="2019-05-03T00:00:00"/>
        <d v="2019-05-06T00:00:00"/>
        <d v="2019-04-24T00:00:00"/>
        <d v="2019-05-08T00:00:00"/>
        <d v="2019-05-11T00:00:00"/>
        <d v="2019-04-18T00:00:00"/>
        <d v="2019-06-14T00:00:00"/>
        <d v="2019-06-17T00:00:00"/>
        <d v="2019-03-27T00:00:00"/>
        <d v="2019-04-26T00:00:00"/>
        <d v="2019-05-01T00:00:00"/>
        <d v="2019-05-09T00:00:00"/>
        <d v="2019-07-12T00:00:00"/>
        <d v="2019-05-26T00:00:00"/>
        <d v="2019-05-27T00:00:00"/>
        <d v="2019-05-14T00:00:00"/>
        <d v="2019-06-07T00:00:00"/>
        <d v="2019-05-04T00:00:00"/>
        <d v="2019-05-17T00:00:00"/>
        <d v="2019-05-21T00:00:00"/>
        <d v="2019-06-04T00:00:00"/>
        <d v="2019-06-18T00:00:00"/>
        <d v="2019-04-05T00:00:00"/>
        <d v="2019-06-21T00:00:00"/>
        <d v="2019-05-20T00:00:00"/>
        <d v="2019-06-01T00:00:00"/>
        <d v="2019-06-05T00:00:00"/>
        <d v="2019-05-19T00:00:00"/>
        <d v="2019-05-25T00:00:00"/>
        <d v="2019-06-03T00:00:00"/>
        <d v="2019-05-31T00:00:00"/>
        <d v="2019-06-08T00:00:00"/>
        <d v="2019-06-25T00:00:00"/>
        <d v="2019-07-23T00:00:00"/>
        <d v="2019-08-09T00:00:00"/>
        <d v="2019-08-18T00:00:00"/>
        <d v="2019-06-28T00:00:00"/>
        <d v="2019-07-26T00:00:00"/>
        <d v="2019-09-18T00:00:00"/>
        <d v="2019-07-11T00:00:00"/>
        <d v="2019-08-14T00:00:00"/>
        <d v="2019-07-21T00:00:00"/>
        <d v="2019-07-27T00:00:00"/>
        <d v="2019-07-31T00:00:00"/>
        <d v="2019-09-14T00:00:00"/>
        <d v="2019-07-29T00:00:00"/>
        <d v="2019-08-17T00:00:00"/>
        <d v="2019-07-30T00:00:00"/>
        <d v="2019-07-15T00:00:00"/>
        <d v="2019-07-17T00:00:00"/>
        <d v="2019-07-19T00:00:00"/>
        <d v="2019-07-22T00:00:00"/>
        <d v="2019-09-04T00:00:00"/>
        <d v="2019-09-08T00:00:00"/>
        <d v="2019-08-07T00:00:00"/>
        <d v="2019-08-01T00:00:00"/>
        <d v="2019-08-30T00:00:00"/>
        <d v="2019-08-15T00:00:00"/>
        <d v="2019-08-21T00:00:00"/>
        <d v="2019-09-10T00:00:00"/>
        <d v="2019-10-01T00:00:00"/>
        <d v="2019-07-25T00:00:00"/>
        <d v="2019-10-05T00:00:00"/>
        <d v="2019-10-12T00:00:00"/>
        <d v="2019-09-01T00:00:00"/>
        <d v="2019-09-03T00:00:00"/>
        <d v="2019-09-09T00:00:00"/>
        <d v="2019-09-11T00:00:00"/>
        <d v="2019-09-06T00:00:00"/>
        <d v="2019-09-13T00:00:00"/>
        <d v="2019-09-26T00:00:00"/>
        <d v="2019-09-28T00:00:00"/>
        <d v="2019-10-04T00:00:00"/>
        <d v="2019-10-06T00:00:00"/>
        <d v="2019-10-08T00:00:00"/>
        <d v="2019-09-29T00:00:00"/>
        <d v="2019-10-30T00:00:00"/>
        <d v="2019-11-01T00:00:00"/>
        <d v="2019-10-22T00:00:00"/>
        <d v="2019-09-16T00:00:00"/>
        <d v="2019-11-29T00:00:00"/>
        <d v="2019-10-17T00:00:00"/>
        <d v="2019-10-11T00:00:00"/>
        <d v="2019-10-19T00:00:00"/>
        <d v="2019-11-19T00:00:00"/>
        <d v="2019-12-11T00:00:00"/>
        <d v="2019-10-18T00:00:00"/>
        <d v="2019-11-05T00:00:00"/>
        <d v="2020-03-20T00:00:00"/>
        <d v="2019-12-17T00:00:00"/>
        <d v="2020-02-25T00:00:00"/>
        <d v="2020-01-15T00:00:00"/>
        <d v="2019-10-15T00:00:00"/>
        <d v="2019-11-02T00:00:00"/>
        <d v="2019-11-08T00:00:00"/>
        <d v="2019-11-20T00:00:00"/>
        <d v="2019-09-21T00:00:00"/>
        <d v="2019-09-27T00:00:00"/>
        <d v="2019-12-03T00:00:00"/>
        <d v="2019-12-06T00:00:00"/>
        <d v="2019-11-16T00:00:00"/>
        <d v="2019-12-04T00:00:00"/>
        <d v="2019-11-23T00:00:00"/>
        <d v="2019-12-02T00:00:00"/>
        <d v="2019-12-07T00:00:00"/>
        <d v="2019-12-09T00:00:00"/>
        <d v="2020-01-01T00:00:00"/>
        <d v="2019-12-31T00:00:00"/>
        <d v="2019-12-18T00:00:00"/>
        <d v="2020-02-04T00:00:00"/>
        <d v="2019-12-27T00:00:00"/>
        <d v="2019-12-20T00:00:00"/>
        <d v="2020-01-07T00:00:00"/>
        <d v="2019-12-08T00:00:00"/>
        <d v="2019-12-10T00:00:00"/>
        <d v="2019-12-13T00:00:00"/>
        <d v="2019-12-16T00:00:00"/>
        <d v="2020-01-03T00:00:00"/>
        <d v="2020-01-08T00:00:00"/>
        <d v="2020-02-11T00:00:00"/>
        <d v="2019-12-21T00:00:00"/>
        <d v="2020-01-04T00:00:00"/>
        <d v="2020-01-14T00:00:00"/>
        <d v="2020-02-12T00:00:00"/>
        <d v="2020-01-18T00:00:00"/>
        <d v="2020-01-31T00:00:00"/>
        <d v="2020-02-05T00:00:00"/>
        <d v="2020-02-08T00:00:00"/>
        <d v="2020-01-16T00:00:00"/>
        <d v="2019-10-03T00:00:00"/>
        <d v="2020-02-07T00:00:00"/>
        <d v="2020-02-13T00:00:00"/>
        <d v="2020-05-19T00:00:00"/>
        <d v="2020-05-06T00:00:00"/>
        <d v="2020-04-24T00:00:00"/>
        <d v="2020-05-01T00:00:00"/>
        <d v="2020-03-26T00:00:00"/>
        <d v="2020-03-27T00:00:00"/>
        <d v="2020-03-18T00:00:00"/>
        <d v="2020-03-01T00:00:00"/>
        <d v="2020-03-30T00:00:00"/>
        <d v="2020-04-22T00:00:00"/>
        <d v="2020-04-16T00:00:00"/>
        <d v="2020-04-03T00:00:00"/>
        <d v="2020-04-05T00:00:00"/>
        <d v="2020-04-10T00:00:00"/>
        <d v="2020-04-07T00:00:00"/>
        <d v="2020-04-25T00:00:00"/>
        <d v="2020-04-30T00:00:00"/>
        <d v="2020-05-05T00:00:00"/>
        <d v="2020-04-14T00:00:00"/>
        <d v="2020-04-18T00:00:00"/>
        <d v="2020-02-14T00:00:00"/>
        <d v="2020-02-21T00:00:00"/>
        <d v="2020-05-08T00:00:00"/>
        <d v="2020-04-21T00:00:00"/>
        <d v="2020-04-23T00:00:00"/>
        <d v="2020-04-27T00:00:00"/>
        <d v="2020-05-02T00:00:00"/>
        <d v="2020-04-04T00:00:00"/>
        <d v="2020-03-12T00:00:00"/>
        <d v="2020-03-21T00:00:00"/>
        <d v="2020-03-11T00:00:00"/>
        <d v="2020-04-19T00:00:00"/>
        <d v="2020-05-17T00:00:00"/>
        <d v="2020-06-03T00:00:00"/>
        <d v="2020-05-30T00:00:00"/>
        <d v="2020-06-21T00:00:00"/>
        <d v="2020-07-14T00:00:00"/>
        <d v="2020-05-27T00:00:00"/>
        <d v="2020-06-12T00:00:00"/>
        <d v="2020-06-20T00:00:00"/>
        <d v="2020-06-22T00:00:00"/>
        <d v="2020-06-16T00:00:00"/>
        <d v="2020-05-22T00:00:00"/>
        <d v="2020-06-05T00:00:00"/>
        <d v="2020-07-03T00:00:00"/>
        <d v="2020-07-04T00:00:00"/>
        <d v="2020-07-20T00:00:00"/>
        <d v="2020-07-28T00:00:00"/>
        <d v="2020-07-06T00:00:00"/>
        <d v="2020-07-24T00:00:00"/>
        <d v="2020-06-19T00:00:00"/>
        <d v="2020-05-07T00:00:00"/>
        <d v="2020-05-14T00:00:00"/>
        <d v="2020-05-21T00:00:00"/>
        <d v="2020-04-29T00:00:00"/>
        <d v="2020-07-01T00:00:00"/>
        <d v="2020-07-23T00:00:00"/>
        <d v="2020-06-24T00:00:00"/>
        <d v="2020-06-10T00:00:00"/>
        <d v="2020-07-13T00:00:00"/>
        <d v="2020-07-17T00:00:00"/>
        <d v="2020-06-26T00:00:00"/>
        <d v="2020-08-28T00:00:00"/>
        <d v="2020-06-14T00:00:00"/>
        <d v="2020-07-22T00:00:00"/>
        <d v="2020-08-13T00:00:00"/>
        <d v="2020-07-15T00:00:00"/>
        <d v="2020-05-20T00:00:00"/>
        <d v="2020-05-13T00:00:00"/>
        <d v="2020-06-08T00:00:00"/>
        <d v="2020-06-23T00:00:00"/>
        <d v="2020-07-19T00:00:00"/>
        <d v="2020-07-08T00:00:00"/>
        <d v="2020-06-29T00:00:00"/>
        <d v="2020-07-02T00:00:00"/>
        <d v="2020-07-05T00:00:00"/>
        <d v="2020-07-09T00:00:00"/>
        <d v="2020-07-25T00:00:00"/>
        <d v="2020-05-31T00:00:00"/>
        <d v="2020-09-12T00:00:00"/>
        <d v="2020-07-29T00:00:00"/>
        <d v="2020-08-12T00:00:00"/>
        <d v="2020-06-04T00:00:00"/>
        <d v="2020-08-18T00:00:00"/>
        <d v="2020-10-10T00:00:00"/>
        <d v="2020-06-18T00:00:00"/>
        <d v="2020-09-18T00:00:00"/>
        <d v="2020-09-06T00:00:00"/>
        <d v="2020-09-23T00:00:00"/>
        <d v="2020-10-23T00:00:00"/>
        <d v="2020-09-19T00:00:00"/>
        <d v="2020-09-04T00:00:00"/>
        <d v="2020-07-31T00:00:00"/>
        <d v="2020-08-22T00:00:00"/>
        <d v="2020-08-20T00:00:00"/>
        <d v="2020-08-21T00:00:00"/>
        <d v="2020-07-27T00:00:00"/>
        <d v="2020-09-10T00:00:00"/>
        <d v="2020-09-13T00:00:00"/>
        <d v="2020-09-15T00:00:00"/>
        <d v="2020-09-21T00:00:00"/>
        <d v="2020-08-07T00:00:00"/>
        <d v="2020-08-19T00:00:00"/>
        <d v="2020-10-02T00:00:00"/>
        <d v="2020-10-16T00:00:00"/>
        <d v="2020-08-05T00:00:00"/>
        <d v="2020-09-25T00:00:00"/>
        <d v="2020-11-03T00:00:00"/>
        <d v="2020-10-08T00:00:00"/>
        <d v="2020-10-07T00:00:00"/>
        <d v="2020-10-14T00:00:00"/>
        <d v="2020-10-30T00:00:00"/>
        <d v="2020-11-05T00:00:00"/>
        <d v="2020-10-17T00:00:00"/>
        <d v="2020-11-14T00:00:00"/>
        <d v="2020-12-08T00:00:00"/>
        <d v="2020-11-19T00:00:00"/>
        <d v="2020-11-28T00:00:00"/>
        <d v="2020-12-19T00:00:00"/>
        <d v="2021-01-02T00:00:00"/>
        <d v="2021-02-27T00:00:00"/>
        <d v="2020-11-17T00:00:00"/>
        <d v="2020-11-11T00:00:00"/>
        <d v="2020-11-18T00:00:00"/>
        <d v="2020-11-12T00:00:00"/>
        <d v="2020-11-26T00:00:00"/>
        <d v="2020-12-18T00:00:00"/>
        <d v="2020-09-30T00:00:00"/>
        <d v="2020-10-15T00:00:00"/>
        <d v="2020-09-16T00:00:00"/>
        <d v="2020-09-24T00:00:00"/>
        <d v="2020-09-09T00:00:00"/>
        <d v="2020-11-21T00:00:00"/>
        <d v="2020-12-02T00:00:00"/>
        <d v="2020-11-27T00:00:00"/>
        <d v="2020-12-21T00:00:00"/>
        <d v="2020-10-09T00:00:00"/>
        <d v="2020-11-04T00:00:00"/>
        <d v="2020-12-11T00:00:00"/>
        <d v="2020-12-12T00:00:00"/>
        <d v="2020-12-15T00:00:00"/>
        <d v="2020-12-17T00:00:00"/>
        <d v="2020-11-06T00:00:00"/>
        <d v="2020-11-01T00:00:00"/>
        <d v="2020-11-09T00:00:00"/>
        <d v="2020-12-30T00:00:00"/>
        <d v="2021-02-21T00:00:00"/>
        <d v="2020-12-06T00:00:00"/>
        <d v="2021-02-19T00:00:00"/>
        <d v="2021-01-23T00:00:00"/>
        <d v="2021-02-26T00:00:00"/>
        <d v="2021-03-19T00:00:00"/>
        <d v="2021-01-10T00:00:00"/>
        <d v="2021-02-05T00:00:00"/>
        <d v="2021-03-20T00:00:00"/>
        <d v="2020-11-24T00:00:00"/>
        <d v="2021-01-01T00:00:00"/>
        <d v="2020-12-03T00:00:00"/>
        <d v="2020-12-10T00:00:00"/>
        <d v="2020-12-25T00:00:00"/>
        <d v="2021-05-17T00:00:00"/>
        <d v="2021-01-29T00:00:00"/>
        <d v="2021-01-28T00:00:00"/>
        <d v="2020-10-28T00:00:00"/>
        <d v="2020-11-20T00:00:00"/>
        <d v="2021-01-08T00:00:00"/>
        <d v="2021-03-31T00:00:00"/>
        <d v="2021-05-01T00:00:00"/>
        <d v="2021-02-09T00:00:00"/>
        <d v="2021-01-07T00:00:00"/>
        <d v="2021-01-06T00:00:00"/>
        <d v="2021-01-21T00:00:00"/>
        <d v="2021-02-12T00:00:00"/>
        <d v="2020-12-28T00:00:00"/>
        <d v="2021-02-17T00:00:00"/>
        <d v="2021-03-11T00:00:00"/>
        <d v="2020-12-22T00:00:00"/>
        <d v="2020-12-24T00:00:00"/>
        <d v="2021-01-12T00:00:00"/>
        <d v="2020-12-09T00:00:00"/>
        <d v="2020-12-16T00:00:00"/>
        <d v="2021-01-15T00:00:00"/>
        <d v="2021-02-10T00:00:00"/>
        <d v="2021-01-25T00:00:00"/>
        <d v="2021-01-31T00:00:00"/>
        <d v="2021-02-03T00:00:00"/>
        <d v="2021-02-24T00:00:00"/>
        <d v="2021-02-16T00:00:00"/>
        <d v="2021-05-29T00:00:00"/>
        <d v="2021-08-04T00:00:00"/>
        <d v="2021-04-10T00:00:00"/>
        <d v="2021-08-19T00:00:00"/>
        <d v="2021-04-04T00:00:00"/>
        <d v="2021-10-29T00:00:00"/>
        <d v="2021-11-12T00:00:00"/>
        <d v="2022-01-14T00:00:00"/>
        <d v="2022-01-28T00:00:00"/>
        <d v="2021-06-13T00:00:00"/>
        <d v="2021-03-26T00:00:00"/>
        <d v="2021-03-10T00:00:00"/>
        <d v="2021-06-09T00:00:00"/>
        <d v="2021-04-23T00:00:00"/>
        <d v="2021-06-20T00:00:00"/>
        <d v="2021-01-27T00:00:00"/>
        <d v="2021-04-28T00:00:00"/>
        <d v="2021-04-14T00:00:00"/>
        <d v="2021-04-02T00:00:00"/>
        <d v="2021-05-12T00:00:00"/>
        <d v="2021-07-07T00:00:00"/>
        <d v="2021-04-26T00:00:00"/>
        <d v="2021-05-20T00:00:00"/>
        <d v="2021-07-22T00:00:00"/>
        <d v="2022-01-07T00:00:00"/>
        <d v="2021-09-14T00:00:00"/>
        <d v="2021-06-23T00:00:00"/>
        <d v="2021-03-21T00:00:00"/>
        <d v="2021-03-24T00:00:00"/>
        <d v="2021-03-27T00:00:00"/>
        <d v="2021-05-15T00:00:00"/>
        <d v="2021-05-27T00:00:00"/>
        <d v="2021-06-05T00:00:00"/>
        <d v="2021-06-07T00:00:00"/>
        <d v="2021-04-17T00:00:00"/>
        <d v="2021-04-30T00:00:00"/>
        <d v="2021-04-08T00:00:00"/>
        <d v="2021-04-15T00:00:00"/>
        <d v="2021-04-21T00:00:00"/>
        <d v="2021-05-31T00:00:00"/>
        <d v="2021-04-16T00:00:00"/>
        <d v="2021-06-19T00:00:00"/>
        <d v="2021-06-02T00:00:00"/>
        <d v="2021-06-12T00:00:00"/>
        <d v="2021-06-16T00:00:00"/>
        <d v="2021-05-16T00:00:00"/>
        <d v="2021-05-26T00:00:00"/>
        <d v="2021-08-10T00:00:00"/>
        <d v="2021-07-30T00:00:00"/>
        <d v="2021-08-26T00:00:00"/>
        <d v="2021-05-14T00:00:00"/>
        <d v="2021-05-02T00:00:00"/>
        <d v="2021-05-18T00:00:00"/>
        <d v="2021-05-28T00:00:00"/>
        <d v="2021-05-06T00:00:00"/>
        <d v="2022-08-05T00:00:00"/>
        <d v="2021-09-29T00:00:00"/>
        <d v="2021-06-27T00:00:00"/>
        <d v="2021-02-20T00:00:00"/>
        <d v="2021-10-13T00:00:00"/>
        <d v="2021-10-14T00:00:00"/>
        <d v="2021-03-25T00:00:00"/>
        <d v="2021-09-26T00:00:00"/>
        <d v="2021-06-04T00:00:00"/>
        <d v="2021-08-15T00:00:00"/>
        <d v="2021-09-03T00:00:00"/>
        <d v="2021-09-10T00:00:00"/>
        <d v="2021-05-07T00:00:00"/>
        <d v="2021-07-21T00:00:00"/>
        <d v="2021-07-12T00:00:00"/>
        <d v="2021-07-16T00:00:00"/>
        <d v="2021-08-14T00:00:00"/>
        <d v="2021-05-22T00:00:00"/>
        <d v="2021-11-04T00:00:00"/>
        <d v="2021-09-01T00:00:00"/>
        <d v="2022-08-09T00:00:00"/>
        <d v="2021-09-13T00:00:00"/>
        <d v="2021-09-20T00:00:00"/>
        <d v="2021-09-30T00:00:00"/>
        <d v="2021-10-06T00:00:00"/>
        <d v="2021-06-17T00:00:00"/>
        <d v="2021-08-03T00:00:00"/>
        <d v="2021-07-14T00:00:00"/>
        <d v="2021-08-09T00:00:00"/>
        <d v="2021-08-21T00:00:00"/>
        <d v="2021-10-21T00:00:00"/>
        <d v="2021-09-09T00:00:00"/>
        <d v="2021-12-01T00:00:00"/>
        <d v="2021-06-08T00:00:00"/>
        <d v="2021-06-15T00:00:00"/>
        <d v="2021-07-02T00:00:00"/>
        <d v="2021-07-08T00:00:00"/>
        <d v="2021-08-13T00:00:00"/>
        <d v="2021-07-20T00:00:00"/>
        <d v="2021-08-02T00:00:00"/>
        <d v="2021-08-05T00:00:00"/>
        <d v="2021-09-24T00:00:00"/>
        <d v="2021-06-30T00:00:00"/>
        <d v="2021-07-28T00:00:00"/>
        <d v="2021-10-05T00:00:00"/>
        <d v="2021-07-23T00:00:00"/>
        <d v="2021-08-12T00:00:00"/>
        <d v="2021-08-20T00:00:00"/>
        <d v="2021-10-10T00:00:00"/>
        <d v="2021-11-25T00:00:00"/>
        <d v="2021-10-15T00:00:00"/>
        <d v="2021-10-22T00:00:00"/>
        <d v="2021-09-22T00:00:00"/>
        <d v="2021-10-08T00:00:00"/>
        <d v="2022-02-11T00:00:00"/>
        <d v="2022-02-16T00:00:00"/>
        <d v="2022-02-17T00:00:00"/>
        <d v="2022-02-19T00:00:00"/>
        <d v="2022-02-22T00:00:00"/>
        <d v="2022-02-26T00:00:00"/>
        <s v="-"/>
        <d v="2022-02-07T00:00:00"/>
        <d v="2021-12-14T00:00:00"/>
        <d v="2021-09-12T00:00:00"/>
        <d v="2021-09-27T00:00:00"/>
        <d v="2021-10-03T00:00:00"/>
        <d v="2021-11-14T00:00:00"/>
        <d v="2021-11-11T00:00:00"/>
        <d v="2021-11-16T00:00:00"/>
        <d v="2021-11-20T00:00:00"/>
        <d v="2021-11-23T00:00:00"/>
        <d v="2021-10-26T00:00:00"/>
        <d v="2022-03-02T00:00:00"/>
        <d v="2021-08-24T00:00:00"/>
        <d v="2021-11-09T00:00:00"/>
        <d v="2021-12-09T00:00:00"/>
        <d v="2021-10-20T00:00:00"/>
        <d v="2022-02-24T00:00:00"/>
        <d v="2022-04-03T00:00:00"/>
        <d v="2021-09-23T00:00:00"/>
        <d v="2021-09-04T00:00:00"/>
        <d v="2021-08-31T00:00:00"/>
        <d v="2021-09-02T00:00:00"/>
        <d v="2021-09-15T00:00:00"/>
        <d v="2021-10-01T00:00:00"/>
        <d v="2021-12-04T00:00:00"/>
        <d v="2021-11-30T00:00:00"/>
        <d v="2021-11-05T00:00:00"/>
        <d v="2022-04-05T00:00:00"/>
        <d v="2021-12-20T00:00:00"/>
        <d v="2021-12-25T00:00:00"/>
        <d v="2021-12-28T00:00:00"/>
        <d v="2022-01-01T00:00:00"/>
        <d v="2022-03-12T00:00:00"/>
        <d v="2022-05-27T00:00:00"/>
        <d v="2022-03-15T00:00:00"/>
        <d v="2022-04-08T00:00:00"/>
        <d v="2022-02-02T00:00:00"/>
        <d v="2021-10-28T00:00:00"/>
        <d v="2021-11-06T00:00:00"/>
        <d v="2021-11-13T00:00:00"/>
        <d v="2021-11-19T00:00:00"/>
        <d v="2021-11-24T00:00:00"/>
        <d v="2021-11-26T00:00:00"/>
        <d v="2021-12-02T00:00:00"/>
        <d v="2021-12-15T00:00:00"/>
        <d v="2021-12-11T00:00:00"/>
        <d v="2021-12-16T00:00:00"/>
        <d v="2021-12-17T00:00:00"/>
        <d v="2022-01-13T00:00:00"/>
        <d v="2022-01-15T00:00:00"/>
        <d v="2022-01-19T00:00:00"/>
        <d v="2022-01-22T00:00:00"/>
        <d v="2022-01-29T00:00:00"/>
        <d v="2022-02-05T00:00:00"/>
        <d v="2022-01-30T00:00:00"/>
        <d v="2021-11-15T00:00:00"/>
        <d v="2021-11-18T00:00:00"/>
        <d v="2021-12-22T00:00:00"/>
        <d v="2022-02-23T00:00:00"/>
        <d v="2021-10-19T00:00:00"/>
        <d v="2022-01-27T00:00:00"/>
        <d v="2021-12-23T00:00:00"/>
        <d v="2021-12-30T00:00:00"/>
        <d v="2022-03-29T00:00:00"/>
        <d v="2021-12-26T00:00:00"/>
        <d v="2022-04-20T00:00:00"/>
        <d v="2021-12-21T00:00:00"/>
        <d v="2021-11-03T00:00:00"/>
        <d v="2021-12-10T00:00:00"/>
        <d v="2021-12-12T00:00:00"/>
        <d v="2021-12-24T00:00:00"/>
        <d v="2022-03-22T00:00:00"/>
        <d v="2022-07-17T00:00:00"/>
        <d v="2022-08-30T00:00:00"/>
        <d v="2022-01-11T00:00:00"/>
        <d v="2022-01-18T00:00:00"/>
        <d v="2022-02-01T00:00:00"/>
        <d v="2022-02-08T00:00:00"/>
        <d v="2022-02-12T00:00:00"/>
        <d v="2022-02-15T00:00:00"/>
        <d v="2022-03-01T00:00:00"/>
        <d v="2022-04-21T00:00:00"/>
        <d v="2022-05-02T00:00:00"/>
        <d v="2022-01-08T00:00:00"/>
        <d v="2022-03-04T00:00:00"/>
        <d v="2022-07-28T00:00:00"/>
        <d v="2022-03-31T00:00:00"/>
        <d v="2022-05-20T00:00:00"/>
        <d v="2022-06-17T00:00:00"/>
        <d v="2022-07-07T00:00:00"/>
        <d v="2022-07-15T00:00:00"/>
        <d v="2022-03-17T00:00:00"/>
        <d v="2022-04-11T00:00:00"/>
        <d v="2022-04-16T00:00:00"/>
        <d v="2022-05-12T00:00:00"/>
        <d v="2022-07-22T00:00:00"/>
        <d v="2022-06-10T00:00:00"/>
        <d v="2022-07-21T00:00:00"/>
        <d v="2022-08-19T00:00:00"/>
        <d v="2022-04-13T00:00:00"/>
        <d v="2022-02-04T00:00:00"/>
        <d v="2022-02-14T00:00:00"/>
        <d v="2022-05-04T00:00:00"/>
        <d v="2022-04-24T00:00:00"/>
        <d v="2022-05-03T00:00:00"/>
        <d v="2022-04-30T00:00:00"/>
        <d v="2022-02-09T00:00:00"/>
        <d v="2022-03-09T00:00:00"/>
        <d v="2022-05-06T00:00:00"/>
        <d v="2022-04-15T00:00:00"/>
        <d v="2022-04-10T00:00:00"/>
        <d v="2022-04-27T00:00:00"/>
        <d v="2022-06-19T00:00:00"/>
        <d v="2022-03-10T00:00:00"/>
        <d v="2022-03-16T00:00:00"/>
        <d v="2022-07-14T00:00:00"/>
        <d v="2022-09-13T00:00:00"/>
        <d v="2022-07-09T00:00:00"/>
        <d v="2022-04-22T00:00:00"/>
        <d v="2022-04-23T00:00:00"/>
        <d v="2022-04-26T00:00:00"/>
        <d v="2022-05-05T00:00:00"/>
        <d v="2022-04-17T00:00:00"/>
        <d v="2022-07-19T00:00:00"/>
        <d v="2022-07-06T00:00:00"/>
        <d v="2022-07-02T00:00:00"/>
        <d v="2022-06-06T00:00:00"/>
        <d v="2022-06-11T00:00:00"/>
        <d v="2022-06-15T00:00:00"/>
        <d v="2022-06-07T00:00:00"/>
        <d v="2022-05-18T00:00:00"/>
        <d v="2022-05-21T00:00:00"/>
        <d v="2022-05-23T00:00:00"/>
        <d v="2022-05-25T00:00:00"/>
        <d v="2022-06-30T00:00:00"/>
        <d v="2022-07-30T00:00:00"/>
        <d v="2022-05-17T00:00:00"/>
        <d v="2022-06-02T00:00:00"/>
        <d v="2022-06-03T00:00:00"/>
        <d v="2022-06-08T00:00:00"/>
        <d v="2022-06-22T00:00:00"/>
        <d v="2022-06-24T00:00:00"/>
        <d v="2022-06-29T00:00:00"/>
        <d v="2022-07-01T00:00:00"/>
        <d v="2022-07-08T00:00:00"/>
        <d v="2022-08-01T00:00:00"/>
        <d v="2022-08-25T00:00:00"/>
        <d v="2022-07-05T00:00:00"/>
        <d v="2022-07-31T00:00:00"/>
        <d v="2022-06-20T00:00:00"/>
        <d v="2022-06-01T00:00:00"/>
        <d v="2022-05-24T00:00:00"/>
        <d v="2022-07-23T00:00:00"/>
        <d v="2022-07-13T00:00:00"/>
        <d v="2022-07-16T00:00:00"/>
        <d v="2022-07-20T00:00:00"/>
        <d v="2022-07-24T00:00:00"/>
        <d v="2022-07-27T00:00:00"/>
        <d v="2022-08-02T00:00:00"/>
        <d v="2022-06-21T00:00:00"/>
        <d v="2022-06-26T00:00:00"/>
        <d v="2022-08-24T00:00:00"/>
        <d v="2022-08-31T00:00:00"/>
        <d v="2022-09-07T00:00:00"/>
        <d v="2022-08-28T00:00:00"/>
        <d v="2022-09-14T00:00:00"/>
        <d v="2022-08-07T00:00:00"/>
        <d v="2022-08-12T00:00:00"/>
        <d v="2022-08-15T00:00:00"/>
      </sharedItems>
    </cacheField>
    <cacheField name="INGRESO ALM ESTIMADO" numFmtId="0">
      <sharedItems containsNonDate="0" containsDate="1" containsString="0" containsBlank="1" minDate="2021-06-23T00:00:00" maxDate="2022-09-24T00:00:00"/>
    </cacheField>
    <cacheField name="FCH. INICIO INGRESO ALM" numFmtId="0">
      <sharedItems containsDate="1" containsString="0" containsBlank="1" containsMixedTypes="1" minDate="2022-04-20T00:00:00" maxDate="2022-06-02T00:00:00"/>
    </cacheField>
    <cacheField name="FCH. FIN INGRESO ALM" numFmtId="15">
      <sharedItems containsNonDate="0" containsDate="1" containsString="0" containsBlank="1" minDate="2017-05-30T00:00:00" maxDate="2022-09-22T00:00:00" count="966">
        <d v="2017-06-19T00:00:00"/>
        <d v="2017-06-22T00:00:00"/>
        <d v="2017-06-26T00:00:00"/>
        <d v="2017-06-29T00:00:00"/>
        <d v="2017-07-02T00:00:00"/>
        <d v="2017-07-08T00:00:00"/>
        <d v="2017-06-02T00:00:00"/>
        <d v="2017-06-12T00:00:00"/>
        <d v="2017-06-06T00:00:00"/>
        <d v="2017-07-04T00:00:00"/>
        <d v="2017-05-30T00:00:00"/>
        <d v="2017-06-03T00:00:00"/>
        <d v="2017-06-05T00:00:00"/>
        <d v="2017-06-10T00:00:00"/>
        <d v="2017-06-09T00:00:00"/>
        <d v="2017-06-21T00:00:00"/>
        <d v="2017-06-28T00:00:00"/>
        <d v="2017-06-30T00:00:00"/>
        <d v="2017-07-13T00:00:00"/>
        <d v="2017-08-09T00:00:00"/>
        <d v="2017-08-12T00:00:00"/>
        <d v="2017-07-17T00:00:00"/>
        <d v="2017-08-18T00:00:00"/>
        <m/>
        <d v="2017-12-14T00:00:00"/>
        <d v="2017-08-15T00:00:00"/>
        <d v="2017-10-09T00:00:00"/>
        <d v="2017-10-30T00:00:00"/>
        <d v="2017-11-25T00:00:00"/>
        <d v="2017-12-13T00:00:00"/>
        <d v="2017-12-15T00:00:00"/>
        <d v="2017-07-07T00:00:00"/>
        <d v="2017-08-21T00:00:00"/>
        <d v="2017-09-27T00:00:00"/>
        <d v="2017-07-24T00:00:00"/>
        <d v="2017-07-14T00:00:00"/>
        <d v="2017-07-22T00:00:00"/>
        <d v="2017-07-26T00:00:00"/>
        <d v="2017-07-29T00:00:00"/>
        <d v="2017-07-30T00:00:00"/>
        <d v="2017-08-31T00:00:00"/>
        <d v="2017-09-04T00:00:00"/>
        <d v="2017-09-06T00:00:00"/>
        <d v="2017-09-11T00:00:00"/>
        <d v="2017-09-08T00:00:00"/>
        <d v="2017-08-04T00:00:00"/>
        <d v="2017-08-24T00:00:00"/>
        <d v="2017-10-16T00:00:00"/>
        <d v="2017-11-09T00:00:00"/>
        <d v="2017-08-28T00:00:00"/>
        <d v="2017-09-01T00:00:00"/>
        <d v="2017-11-03T00:00:00"/>
        <d v="2017-11-04T00:00:00"/>
        <d v="2017-09-13T00:00:00"/>
        <d v="2017-10-20T00:00:00"/>
        <d v="2017-09-29T00:00:00"/>
        <d v="2017-10-24T00:00:00"/>
        <d v="2017-10-04T00:00:00"/>
        <d v="2017-10-11T00:00:00"/>
        <d v="2017-09-12T00:00:00"/>
        <d v="2017-09-18T00:00:00"/>
        <d v="2017-09-21T00:00:00"/>
        <d v="2017-09-23T00:00:00"/>
        <d v="2017-11-16T00:00:00"/>
        <d v="2017-12-05T00:00:00"/>
        <d v="2017-11-06T00:00:00"/>
        <d v="2017-11-11T00:00:00"/>
        <d v="2017-12-18T00:00:00"/>
        <d v="2017-12-19T00:00:00"/>
        <d v="2017-11-15T00:00:00"/>
        <d v="2017-11-23T00:00:00"/>
        <d v="2017-12-04T00:00:00"/>
        <d v="2017-10-26T00:00:00"/>
        <d v="2017-11-08T00:00:00"/>
        <d v="2017-11-21T00:00:00"/>
        <d v="2017-11-17T00:00:00"/>
        <d v="2017-12-26T00:00:00"/>
        <d v="2017-12-22T00:00:00"/>
        <d v="2017-11-29T00:00:00"/>
        <d v="2018-02-07T00:00:00"/>
        <d v="2018-02-06T00:00:00"/>
        <d v="2018-03-01T00:00:00"/>
        <d v="2018-01-31T00:00:00"/>
        <d v="2018-01-04T00:00:00"/>
        <d v="2018-03-10T00:00:00"/>
        <d v="2017-12-29T00:00:00"/>
        <d v="2018-01-03T00:00:00"/>
        <d v="2018-01-12T00:00:00"/>
        <d v="2017-12-03T00:00:00"/>
        <d v="2017-12-07T00:00:00"/>
        <d v="2017-10-13T00:00:00"/>
        <d v="2017-12-11T00:00:00"/>
        <d v="2017-12-20T00:00:00"/>
        <d v="2018-01-29T00:00:00"/>
        <d v="2017-11-28T00:00:00"/>
        <d v="2017-11-30T00:00:00"/>
        <d v="2017-10-27T00:00:00"/>
        <d v="2018-01-08T00:00:00"/>
        <d v="2018-02-01T00:00:00"/>
        <d v="2018-02-28T00:00:00"/>
        <d v="2018-01-15T00:00:00"/>
        <d v="2018-01-13T00:00:00"/>
        <d v="2018-01-18T00:00:00"/>
        <d v="2018-01-19T00:00:00"/>
        <d v="2018-01-21T00:00:00"/>
        <d v="2018-02-20T00:00:00"/>
        <d v="2018-02-16T00:00:00"/>
        <d v="2018-02-09T00:00:00"/>
        <d v="2018-02-13T00:00:00"/>
        <d v="2018-05-10T00:00:00"/>
        <d v="2017-12-16T00:00:00"/>
        <d v="2017-12-23T00:00:00"/>
        <d v="2017-12-25T00:00:00"/>
        <d v="2017-12-28T00:00:00"/>
        <d v="2018-03-11T00:00:00"/>
        <d v="2018-03-13T00:00:00"/>
        <d v="2018-03-16T00:00:00"/>
        <d v="2018-03-21T00:00:00"/>
        <d v="2018-03-17T00:00:00"/>
        <d v="2018-03-20T00:00:00"/>
        <d v="2018-03-22T00:00:00"/>
        <d v="2018-04-04T00:00:00"/>
        <d v="2018-04-13T00:00:00"/>
        <d v="2018-04-06T00:00:00"/>
        <d v="2018-05-01T00:00:00"/>
        <d v="2018-05-05T00:00:00"/>
        <d v="2018-04-23T00:00:00"/>
        <d v="2018-05-21T00:00:00"/>
        <d v="2018-05-31T00:00:00"/>
        <d v="2018-05-16T00:00:00"/>
        <d v="2018-02-22T00:00:00"/>
        <d v="2018-02-25T00:00:00"/>
        <d v="2018-03-03T00:00:00"/>
        <d v="2018-06-15T00:00:00"/>
        <d v="2018-04-07T00:00:00"/>
        <d v="2018-06-19T00:00:00"/>
        <d v="2018-06-20T00:00:00"/>
        <d v="2018-05-15T00:00:00"/>
        <d v="2018-05-29T00:00:00"/>
        <d v="2018-06-21T00:00:00"/>
        <d v="2018-08-14T00:00:00"/>
        <d v="2018-08-16T00:00:00"/>
        <d v="2018-05-25T00:00:00"/>
        <d v="2018-05-24T00:00:00"/>
        <d v="2018-07-18T00:00:00"/>
        <d v="2018-03-31T00:00:00"/>
        <d v="2018-05-09T00:00:00"/>
        <d v="2018-05-23T00:00:00"/>
        <d v="2018-05-12T00:00:00"/>
        <d v="2018-05-18T00:00:00"/>
        <d v="2018-04-28T00:00:00"/>
        <d v="2018-06-08T00:00:00"/>
        <d v="2018-04-25T00:00:00"/>
        <d v="2018-05-30T00:00:00"/>
        <d v="2018-07-06T00:00:00"/>
        <d v="2018-06-26T00:00:00"/>
        <d v="2018-06-01T00:00:00"/>
        <d v="2018-05-26T00:00:00"/>
        <d v="2018-06-03T00:00:00"/>
        <d v="2018-06-06T00:00:00"/>
        <d v="2018-05-14T00:00:00"/>
        <d v="2018-06-28T00:00:00"/>
        <d v="2018-06-24T00:00:00"/>
        <d v="2018-06-30T00:00:00"/>
        <d v="2018-07-02T00:00:00"/>
        <d v="2018-07-25T00:00:00"/>
        <d v="2018-08-20T00:00:00"/>
        <d v="2018-08-25T00:00:00"/>
        <d v="2018-08-27T00:00:00"/>
        <d v="2018-08-07T00:00:00"/>
        <d v="2018-07-31T00:00:00"/>
        <d v="2018-07-03T00:00:00"/>
        <d v="2018-06-16T00:00:00"/>
        <d v="2018-07-11T00:00:00"/>
        <d v="2018-10-05T00:00:00"/>
        <d v="2018-07-20T00:00:00"/>
        <d v="2018-07-28T00:00:00"/>
        <d v="2018-07-30T00:00:00"/>
        <d v="2018-08-02T00:00:00"/>
        <d v="2018-09-07T00:00:00"/>
        <d v="2018-10-03T00:00:00"/>
        <d v="2018-10-26T00:00:00"/>
        <d v="2018-10-27T00:00:00"/>
        <d v="2018-11-07T00:00:00"/>
        <d v="2018-09-28T00:00:00"/>
        <d v="2018-09-12T00:00:00"/>
        <d v="2018-10-15T00:00:00"/>
        <d v="2018-08-29T00:00:00"/>
        <d v="2018-09-06T00:00:00"/>
        <d v="2018-11-17T00:00:00"/>
        <d v="2018-09-03T00:00:00"/>
        <d v="2018-09-05T00:00:00"/>
        <d v="2018-09-08T00:00:00"/>
        <d v="2018-09-11T00:00:00"/>
        <d v="2018-11-10T00:00:00"/>
        <d v="2018-10-11T00:00:00"/>
        <d v="2018-10-31T00:00:00"/>
        <d v="2018-09-20T00:00:00"/>
        <d v="2018-09-23T00:00:00"/>
        <d v="2018-09-22T00:00:00"/>
        <d v="2018-09-24T00:00:00"/>
        <d v="2018-12-06T00:00:00"/>
        <d v="2018-10-20T00:00:00"/>
        <d v="2018-11-22T00:00:00"/>
        <d v="2018-09-21T00:00:00"/>
        <d v="2018-09-27T00:00:00"/>
        <d v="2018-09-30T00:00:00"/>
        <d v="2018-10-01T00:00:00"/>
        <d v="2018-11-02T00:00:00"/>
        <d v="2018-11-14T00:00:00"/>
        <d v="2018-11-03T00:00:00"/>
        <d v="2018-12-20T00:00:00"/>
        <d v="2019-01-07T00:00:00"/>
        <d v="2018-11-13T00:00:00"/>
        <d v="2018-11-21T00:00:00"/>
        <d v="2018-11-23T00:00:00"/>
        <d v="2018-10-24T00:00:00"/>
        <d v="2018-11-01T00:00:00"/>
        <d v="2018-11-15T00:00:00"/>
        <d v="2018-12-10T00:00:00"/>
        <d v="2018-12-12T00:00:00"/>
        <d v="2019-01-02T00:00:00"/>
        <d v="2018-11-28T00:00:00"/>
        <d v="2018-12-14T00:00:00"/>
        <d v="2018-12-05T00:00:00"/>
        <d v="2018-12-21T00:00:00"/>
        <d v="2018-12-27T00:00:00"/>
        <d v="2019-01-24T00:00:00"/>
        <d v="2019-01-08T00:00:00"/>
        <d v="2018-12-13T00:00:00"/>
        <d v="2018-11-16T00:00:00"/>
        <d v="2018-11-26T00:00:00"/>
        <d v="2018-11-29T00:00:00"/>
        <d v="2019-01-28T00:00:00"/>
        <d v="2019-02-11T00:00:00"/>
        <d v="2019-02-19T00:00:00"/>
        <d v="2018-12-24T00:00:00"/>
        <d v="2018-12-28T00:00:00"/>
        <d v="2018-12-26T00:00:00"/>
        <d v="2018-12-30T00:00:00"/>
        <d v="2018-12-22T00:00:00"/>
        <d v="2019-01-14T00:00:00"/>
        <d v="2019-03-04T00:00:00"/>
        <d v="2019-02-26T00:00:00"/>
        <d v="2019-04-13T00:00:00"/>
        <d v="2019-02-04T00:00:00"/>
        <d v="2019-03-02T00:00:00"/>
        <d v="2019-02-02T00:00:00"/>
        <d v="2019-02-06T00:00:00"/>
        <d v="2019-01-01T00:00:00"/>
        <d v="2019-02-12T00:00:00"/>
        <d v="2019-02-16T00:00:00"/>
        <d v="2019-02-05T00:00:00"/>
        <d v="2019-02-09T00:00:00"/>
        <d v="2019-03-12T00:00:00"/>
        <d v="2019-03-26T00:00:00"/>
        <d v="2019-03-19T00:00:00"/>
        <d v="2019-03-06T00:00:00"/>
        <d v="2019-03-14T00:00:00"/>
        <d v="2019-02-21T00:00:00"/>
        <d v="2019-03-07T00:00:00"/>
        <d v="2019-04-22T00:00:00"/>
        <d v="2019-05-07T00:00:00"/>
        <d v="2019-02-22T00:00:00"/>
        <d v="2019-02-18T00:00:00"/>
        <d v="2019-02-27T00:00:00"/>
        <d v="2019-02-28T00:00:00"/>
        <d v="2019-03-09T00:00:00"/>
        <d v="2019-03-05T00:00:00"/>
        <d v="2019-06-15T00:00:00"/>
        <d v="2019-02-17T00:00:00"/>
        <d v="2019-04-03T00:00:00"/>
        <d v="2019-04-15T00:00:00"/>
        <d v="2019-04-17T00:00:00"/>
        <d v="2019-04-09T00:00:00"/>
        <d v="2019-04-07T00:00:00"/>
        <d v="2019-04-25T00:00:00"/>
        <d v="2019-05-02T00:00:00"/>
        <d v="2019-05-03T00:00:00"/>
        <d v="2019-05-14T00:00:00"/>
        <d v="2019-04-30T00:00:00"/>
        <d v="2019-05-08T00:00:00"/>
        <d v="2019-05-09T00:00:00"/>
        <d v="2019-05-24T00:00:00"/>
        <d v="2019-05-11T00:00:00"/>
        <d v="2019-04-24T00:00:00"/>
        <d v="2019-05-04T00:00:00"/>
        <d v="2019-06-17T00:00:00"/>
        <d v="2019-06-18T00:00:00"/>
        <d v="2019-04-02T00:00:00"/>
        <d v="2019-04-27T00:00:00"/>
        <d v="2019-04-29T00:00:00"/>
        <d v="2019-07-15T00:00:00"/>
        <d v="2019-05-29T00:00:00"/>
        <d v="2019-06-03T00:00:00"/>
        <d v="2019-05-15T00:00:00"/>
        <d v="2019-06-13T00:00:00"/>
        <d v="2019-05-21T00:00:00"/>
        <d v="2019-05-23T00:00:00"/>
        <d v="2019-06-05T00:00:00"/>
        <d v="2019-06-20T00:00:00"/>
        <d v="2019-05-06T00:00:00"/>
        <d v="2019-06-04T00:00:00"/>
        <d v="2019-04-16T00:00:00"/>
        <d v="2019-06-08T00:00:00"/>
        <d v="2019-06-22T00:00:00"/>
        <d v="2019-05-25T00:00:00"/>
        <d v="2019-05-30T00:00:00"/>
        <d v="2019-06-07T00:00:00"/>
        <d v="2019-06-06T00:00:00"/>
        <d v="2019-06-02T00:00:00"/>
        <d v="2019-06-27T00:00:00"/>
        <d v="2019-07-24T00:00:00"/>
        <d v="2019-07-26T00:00:00"/>
        <d v="2019-08-13T00:00:00"/>
        <d v="2019-08-19T00:00:00"/>
        <d v="2019-07-01T00:00:00"/>
        <d v="2019-07-30T00:00:00"/>
        <d v="2019-09-19T00:00:00"/>
        <d v="2019-08-15T00:00:00"/>
        <d v="2019-07-22T00:00:00"/>
        <d v="2019-07-25T00:00:00"/>
        <d v="2019-07-27T00:00:00"/>
        <d v="2019-08-07T00:00:00"/>
        <d v="2019-07-28T00:00:00"/>
        <d v="2019-09-17T00:00:00"/>
        <d v="2019-08-06T00:00:00"/>
        <d v="2019-08-02T00:00:00"/>
        <d v="2019-07-18T00:00:00"/>
        <d v="2019-08-04T00:00:00"/>
        <d v="2019-08-12T00:00:00"/>
        <d v="2019-07-31T00:00:00"/>
        <d v="2019-09-06T00:00:00"/>
        <d v="2019-08-16T00:00:00"/>
        <d v="2019-08-22T00:00:00"/>
        <d v="2019-09-11T00:00:00"/>
        <d v="2019-08-08T00:00:00"/>
        <d v="2019-08-03T00:00:00"/>
        <d v="2019-08-01T00:00:00"/>
        <d v="2019-09-14T00:00:00"/>
        <d v="2019-09-03T00:00:00"/>
        <d v="2019-08-17T00:00:00"/>
        <d v="2019-08-23T00:00:00"/>
        <d v="2019-09-21T00:00:00"/>
        <d v="2019-09-13T00:00:00"/>
        <d v="2019-10-04T00:00:00"/>
        <d v="2019-10-12T00:00:00"/>
        <d v="2019-10-16T00:00:00"/>
        <d v="2019-09-05T00:00:00"/>
        <d v="2019-09-09T00:00:00"/>
        <d v="2019-10-14T00:00:00"/>
        <d v="2019-09-28T00:00:00"/>
        <d v="2019-10-03T00:00:00"/>
        <d v="2019-10-06T00:00:00"/>
        <d v="2019-10-07T00:00:00"/>
        <d v="2019-11-04T00:00:00"/>
        <d v="2019-11-06T00:00:00"/>
        <d v="2019-10-24T00:00:00"/>
        <d v="2019-12-05T00:00:00"/>
        <d v="2019-10-23T00:00:00"/>
        <d v="2019-10-15T00:00:00"/>
        <d v="2019-10-28T00:00:00"/>
        <d v="2019-10-25T00:00:00"/>
        <d v="2019-11-26T00:00:00"/>
        <d v="2019-10-05T00:00:00"/>
        <d v="2019-10-09T00:00:00"/>
        <d v="2019-12-18T00:00:00"/>
        <d v="2019-11-22T00:00:00"/>
        <d v="2019-11-18T00:00:00"/>
        <d v="2020-03-27T00:00:00"/>
        <d v="2019-12-19T00:00:00"/>
        <d v="2020-03-03T00:00:00"/>
        <d v="2019-12-12T00:00:00"/>
        <d v="2020-01-22T00:00:00"/>
        <d v="2019-10-18T00:00:00"/>
        <d v="2019-11-09T00:00:00"/>
        <d v="2019-11-14T00:00:00"/>
        <d v="2019-09-20T00:00:00"/>
        <d v="2019-11-08T00:00:00"/>
        <d v="2019-09-22T00:00:00"/>
        <d v="2019-12-09T00:00:00"/>
        <d v="2019-12-11T00:00:00"/>
        <d v="2019-12-03T00:00:00"/>
        <d v="2019-12-06T00:00:00"/>
        <d v="2019-12-08T00:00:00"/>
        <d v="2019-12-10T00:00:00"/>
        <d v="2019-12-13T00:00:00"/>
        <d v="2020-01-09T00:00:00"/>
        <d v="2020-01-03T00:00:00"/>
        <d v="2019-12-21T00:00:00"/>
        <d v="2019-12-24T00:00:00"/>
        <d v="2020-02-08T00:00:00"/>
        <d v="2019-12-30T00:00:00"/>
        <d v="2020-01-10T00:00:00"/>
        <d v="2019-12-15T00:00:00"/>
        <d v="2019-12-17T00:00:00"/>
        <d v="2020-01-08T00:00:00"/>
        <d v="2020-01-13T00:00:00"/>
        <d v="2019-12-31T00:00:00"/>
        <d v="2020-02-20T00:00:00"/>
        <d v="2020-02-07T00:00:00"/>
        <d v="2020-01-07T00:00:00"/>
        <d v="2020-01-18T00:00:00"/>
        <d v="2020-02-13T00:00:00"/>
        <d v="2020-01-21T00:00:00"/>
        <d v="2020-02-02T00:00:00"/>
        <d v="2020-02-06T00:00:00"/>
        <d v="2020-02-10T00:00:00"/>
        <d v="2020-02-16T00:00:00"/>
        <d v="2019-11-27T00:00:00"/>
        <d v="2020-02-12T00:00:00"/>
        <d v="2020-05-27T00:00:00"/>
        <d v="2020-05-21T00:00:00"/>
        <d v="2020-04-27T00:00:00"/>
        <d v="2020-05-07T00:00:00"/>
        <d v="2020-03-25T00:00:00"/>
        <d v="2020-03-30T00:00:00"/>
        <d v="2020-04-01T00:00:00"/>
        <d v="2020-03-20T00:00:00"/>
        <d v="2020-03-05T00:00:00"/>
        <d v="2020-03-19T00:00:00"/>
        <d v="2020-04-03T00:00:00"/>
        <d v="2020-04-24T00:00:00"/>
        <d v="2020-04-21T00:00:00"/>
        <d v="2020-04-04T00:00:00"/>
        <d v="2020-04-09T00:00:00"/>
        <d v="2020-04-14T00:00:00"/>
        <d v="2020-04-19T00:00:00"/>
        <d v="2020-04-28T00:00:00"/>
        <d v="2020-05-03T00:00:00"/>
        <d v="2020-05-10T00:00:00"/>
        <d v="2020-04-11T00:00:00"/>
        <d v="2020-04-16T00:00:00"/>
        <d v="2020-04-20T00:00:00"/>
        <d v="2020-02-27T00:00:00"/>
        <d v="2020-03-02T00:00:00"/>
        <d v="2020-02-24T00:00:00"/>
        <d v="2020-05-12T00:00:00"/>
        <d v="2020-04-22T00:00:00"/>
        <d v="2020-04-26T00:00:00"/>
        <d v="2020-04-30T00:00:00"/>
        <d v="2020-05-04T00:00:00"/>
        <d v="2020-04-06T00:00:00"/>
        <d v="2020-03-18T00:00:00"/>
        <d v="2020-03-26T00:00:00"/>
        <d v="2020-05-28T00:00:00"/>
        <d v="2020-06-08T00:00:00"/>
        <d v="2020-05-06T00:00:00"/>
        <d v="2020-05-26T00:00:00"/>
        <d v="2020-06-03T00:00:00"/>
        <d v="2020-06-26T00:00:00"/>
        <d v="2020-07-21T00:00:00"/>
        <d v="2020-06-02T00:00:00"/>
        <d v="2020-06-06T00:00:00"/>
        <d v="2020-06-19T00:00:00"/>
        <d v="2020-06-20T00:00:00"/>
        <d v="2020-06-22T00:00:00"/>
        <d v="2020-07-03T00:00:00"/>
        <d v="2020-06-11T00:00:00"/>
        <d v="2020-07-10T00:00:00"/>
        <d v="2020-07-08T00:00:00"/>
        <d v="2020-07-12T00:00:00"/>
        <d v="2020-07-22T00:00:00"/>
        <d v="2020-07-25T00:00:00"/>
        <d v="2020-07-30T00:00:00"/>
        <d v="2020-07-23T00:00:00"/>
        <d v="2020-07-09T00:00:00"/>
        <d v="2020-06-10T00:00:00"/>
        <d v="2020-06-23T00:00:00"/>
        <d v="2020-05-11T00:00:00"/>
        <d v="2020-05-16T00:00:00"/>
        <d v="2020-05-29T00:00:00"/>
        <d v="2020-05-08T00:00:00"/>
        <d v="2020-05-02T00:00:00"/>
        <d v="2020-07-24T00:00:00"/>
        <d v="2020-08-17T00:00:00"/>
        <d v="2020-06-25T00:00:00"/>
        <d v="2020-08-01T00:00:00"/>
        <d v="2020-06-27T00:00:00"/>
        <d v="2020-06-16T00:00:00"/>
        <d v="2020-08-07T00:00:00"/>
        <d v="2020-07-20T00:00:00"/>
        <d v="2020-08-03T00:00:00"/>
        <d v="2020-07-11T00:00:00"/>
        <d v="2020-07-27T00:00:00"/>
        <d v="2020-09-04T00:00:00"/>
        <d v="2020-08-25T00:00:00"/>
        <d v="2020-07-17T00:00:00"/>
        <d v="2020-06-04T00:00:00"/>
        <d v="2020-06-09T00:00:00"/>
        <d v="2020-05-30T00:00:00"/>
        <d v="2020-05-22T00:00:00"/>
        <d v="2020-06-12T00:00:00"/>
        <d v="2020-06-24T00:00:00"/>
        <d v="2020-07-16T00:00:00"/>
        <d v="2020-07-01T00:00:00"/>
        <d v="2020-07-04T00:00:00"/>
        <d v="2020-07-06T00:00:00"/>
        <d v="2020-07-18T00:00:00"/>
        <d v="2020-07-26T00:00:00"/>
        <d v="2020-07-02T00:00:00"/>
        <d v="2020-09-17T00:00:00"/>
        <d v="2020-08-20T00:00:00"/>
        <d v="2020-08-27T00:00:00"/>
        <d v="2020-09-15T00:00:00"/>
        <d v="2020-10-15T00:00:00"/>
        <d v="2020-08-14T00:00:00"/>
        <d v="2020-07-31T00:00:00"/>
        <d v="2020-08-21T00:00:00"/>
        <d v="2020-07-13T00:00:00"/>
        <d v="2020-10-07T00:00:00"/>
        <d v="2020-08-31T00:00:00"/>
        <d v="2020-08-04T00:00:00"/>
        <d v="2020-09-09T00:00:00"/>
        <d v="2020-09-29T00:00:00"/>
        <d v="2020-10-30T00:00:00"/>
        <d v="2020-10-01T00:00:00"/>
        <d v="2020-09-14T00:00:00"/>
        <d v="2020-08-22T00:00:00"/>
        <d v="2020-08-24T00:00:00"/>
        <d v="2020-09-01T00:00:00"/>
        <d v="2020-07-29T00:00:00"/>
        <d v="2020-09-11T00:00:00"/>
        <d v="2020-09-13T00:00:00"/>
        <d v="2020-09-18T00:00:00"/>
        <d v="2020-09-19T00:00:00"/>
        <d v="2020-09-23T00:00:00"/>
        <d v="2020-08-09T00:00:00"/>
        <d v="2020-08-28T00:00:00"/>
        <d v="2020-10-13T00:00:00"/>
        <d v="2020-10-21T00:00:00"/>
        <d v="2020-08-11T00:00:00"/>
        <d v="2020-08-12T00:00:00"/>
        <d v="2020-09-26T00:00:00"/>
        <d v="2020-10-05T00:00:00"/>
        <d v="2020-11-11T00:00:00"/>
        <d v="2020-10-12T00:00:00"/>
        <d v="2020-10-16T00:00:00"/>
        <d v="2020-10-20T00:00:00"/>
        <d v="2020-10-17T00:00:00"/>
        <d v="2020-11-09T00:00:00"/>
        <d v="2020-11-20T00:00:00"/>
        <d v="2020-11-17T00:00:00"/>
        <d v="2020-12-17T00:00:00"/>
        <d v="2020-11-26T00:00:00"/>
        <d v="2020-10-22T00:00:00"/>
        <d v="2020-11-13T00:00:00"/>
        <d v="2020-12-02T00:00:00"/>
        <d v="2020-12-26T00:00:00"/>
        <d v="2021-01-08T00:00:00"/>
        <d v="2021-01-06T00:00:00"/>
        <d v="2021-03-03T00:00:00"/>
        <d v="2020-11-27T00:00:00"/>
        <d v="2020-11-16T00:00:00"/>
        <d v="2020-11-23T00:00:00"/>
        <d v="2020-12-07T00:00:00"/>
        <d v="2020-12-29T00:00:00"/>
        <d v="2020-10-10T00:00:00"/>
        <d v="2020-10-03T00:00:00"/>
        <d v="2020-09-22T00:00:00"/>
        <d v="2020-09-30T00:00:00"/>
        <d v="2020-09-21T00:00:00"/>
        <d v="2020-10-26T00:00:00"/>
        <d v="2020-10-08T00:00:00"/>
        <d v="2020-09-08T00:00:00"/>
        <d v="2020-10-06T00:00:00"/>
        <d v="2020-09-25T00:00:00"/>
        <d v="2020-11-24T00:00:00"/>
        <d v="2020-12-01T00:00:00"/>
        <d v="2020-12-03T00:00:00"/>
        <d v="2020-11-28T00:00:00"/>
        <d v="2020-12-04T00:00:00"/>
        <d v="2020-12-09T00:00:00"/>
        <d v="2020-12-22T00:00:00"/>
        <d v="2020-12-12T00:00:00"/>
        <d v="2020-12-16T00:00:00"/>
        <d v="2020-12-10T00:00:00"/>
        <d v="2020-12-21T00:00:00"/>
        <d v="2020-11-12T00:00:00"/>
        <d v="2020-12-23T00:00:00"/>
        <d v="2020-11-02T00:00:00"/>
        <d v="2020-11-04T00:00:00"/>
        <d v="2020-11-08T00:00:00"/>
        <d v="2020-11-15T00:00:00"/>
        <d v="2021-01-14T00:00:00"/>
        <d v="2021-02-26T00:00:00"/>
        <d v="2021-02-23T00:00:00"/>
        <d v="2021-01-26T00:00:00"/>
        <d v="2021-03-25T00:00:00"/>
        <d v="2021-01-13T00:00:00"/>
        <d v="2021-01-18T00:00:00"/>
        <d v="2021-02-08T00:00:00"/>
        <d v="2021-04-03T00:00:00"/>
        <d v="2021-03-24T00:00:00"/>
        <d v="2021-01-12T00:00:00"/>
        <d v="2020-12-19T00:00:00"/>
        <d v="2020-10-24T00:00:00"/>
        <d v="2020-12-18T00:00:00"/>
        <d v="2021-05-19T00:00:00"/>
        <d v="2021-01-04T00:00:00"/>
        <d v="2021-02-03T00:00:00"/>
        <d v="2021-03-26T00:00:00"/>
        <d v="2021-02-12T00:00:00"/>
        <d v="2020-12-14T00:00:00"/>
        <d v="2020-12-25T00:00:00"/>
        <d v="2020-12-27T00:00:00"/>
        <d v="2020-11-30T00:00:00"/>
        <d v="2021-04-13T00:00:00"/>
        <d v="2021-05-14T00:00:00"/>
        <d v="2021-02-16T00:00:00"/>
        <d v="2021-01-07T00:00:00"/>
        <d v="2021-02-01T00:00:00"/>
        <d v="2021-02-17T00:00:00"/>
        <d v="2021-01-19T00:00:00"/>
        <d v="2021-03-13T00:00:00"/>
        <d v="2021-02-22T00:00:00"/>
        <d v="2020-12-30T00:00:00"/>
        <d v="2021-01-05T00:00:00"/>
        <d v="2021-01-30T00:00:00"/>
        <d v="2021-02-15T00:00:00"/>
        <d v="2020-12-11T00:00:00"/>
        <d v="2020-12-28T00:00:00"/>
        <d v="2021-01-11T00:00:00"/>
        <d v="2021-01-16T00:00:00"/>
        <d v="2021-01-21T00:00:00"/>
        <d v="2021-03-05T00:00:00"/>
        <d v="2021-03-11T00:00:00"/>
        <d v="2021-03-12T00:00:00"/>
        <d v="2021-02-02T00:00:00"/>
        <d v="2021-02-11T00:00:00"/>
        <d v="2021-03-04T00:00:00"/>
        <d v="2021-02-19T00:00:00"/>
        <d v="2021-06-19T00:00:00"/>
        <d v="2021-08-09T00:00:00"/>
        <d v="2021-04-26T00:00:00"/>
        <d v="2021-09-29T00:00:00"/>
        <d v="2021-04-14T00:00:00"/>
        <d v="2021-11-04T00:00:00"/>
        <d v="2021-11-18T00:00:00"/>
        <d v="2022-01-19T00:00:00"/>
        <d v="2022-02-01T00:00:00"/>
        <d v="2021-07-07T00:00:00"/>
        <d v="2021-03-31T00:00:00"/>
        <d v="2021-06-22T00:00:00"/>
        <d v="2021-04-29T00:00:00"/>
        <d v="2021-06-25T00:00:00"/>
        <d v="2021-05-03T00:00:00"/>
        <d v="2021-04-20T00:00:00"/>
        <d v="2021-04-08T00:00:00"/>
        <d v="2021-04-16T00:00:00"/>
        <d v="2021-05-18T00:00:00"/>
        <d v="2021-07-13T00:00:00"/>
        <d v="2021-06-01T00:00:00"/>
        <d v="2021-07-27T00:00:00"/>
        <d v="2022-01-11T00:00:00"/>
        <d v="2021-02-05T00:00:00"/>
        <d v="2021-07-01T00:00:00"/>
        <d v="2021-09-28T00:00:00"/>
        <d v="2021-03-21T00:00:00"/>
        <d v="2021-03-23T00:00:00"/>
        <d v="2021-03-28T00:00:00"/>
        <d v="2021-05-26T00:00:00"/>
        <d v="2021-05-29T00:00:00"/>
        <d v="2021-06-16T00:00:00"/>
        <d v="2021-06-05T00:00:00"/>
        <d v="2021-06-08T00:00:00"/>
        <d v="2021-04-21T00:00:00"/>
        <d v="2021-05-05T00:00:00"/>
        <d v="2021-05-21T00:00:00"/>
        <d v="2021-04-09T00:00:00"/>
        <d v="2021-04-19T00:00:00"/>
        <d v="2021-04-23T00:00:00"/>
        <d v="2021-06-26T00:00:00"/>
        <d v="2021-04-22T00:00:00"/>
        <d v="2021-06-09T00:00:00"/>
        <d v="2021-06-21T00:00:00"/>
        <d v="2021-05-20T00:00:00"/>
        <d v="2021-08-13T00:00:00"/>
        <d v="2021-06-04T00:00:00"/>
        <d v="2021-06-18T00:00:00"/>
        <d v="2021-08-03T00:00:00"/>
        <d v="2021-08-31T00:00:00"/>
        <d v="2021-06-28T00:00:00"/>
        <d v="2021-05-17T00:00:00"/>
        <d v="2021-05-07T00:00:00"/>
        <d v="2021-05-22T00:00:00"/>
        <d v="2021-06-03T00:00:00"/>
        <d v="2021-05-12T00:00:00"/>
        <d v="2021-07-16T00:00:00"/>
        <d v="2022-08-09T00:00:00"/>
        <d v="2021-10-04T00:00:00"/>
        <d v="2021-04-30T00:00:00"/>
        <d v="2021-02-25T00:00:00"/>
        <d v="2021-10-19T00:00:00"/>
        <d v="2021-10-26T00:00:00"/>
        <d v="2021-10-14T00:00:00"/>
        <d v="2021-09-25T00:00:00"/>
        <d v="2021-06-11T00:00:00"/>
        <d v="2021-08-17T00:00:00"/>
        <d v="2021-09-09T00:00:00"/>
        <d v="2021-09-14T00:00:00"/>
        <d v="2021-09-21T00:00:00"/>
        <d v="2021-05-13T00:00:00"/>
        <d v="2021-05-06T00:00:00"/>
        <d v="2021-07-23T00:00:00"/>
        <d v="2021-05-24T00:00:00"/>
        <d v="2021-07-15T00:00:00"/>
        <d v="2021-08-18T00:00:00"/>
        <d v="2021-05-04T00:00:00"/>
        <d v="2021-06-30T00:00:00"/>
        <d v="2021-11-12T00:00:00"/>
        <d v="2021-10-01T00:00:00"/>
        <d v="2021-06-06T00:00:00"/>
        <d v="2021-06-20T00:00:00"/>
        <d v="2022-08-13T00:00:00"/>
        <d v="2022-08-15T00:00:00"/>
        <d v="2021-09-18T00:00:00"/>
        <d v="2021-09-27T00:00:00"/>
        <d v="2021-10-03T00:00:00"/>
        <d v="2021-10-12T00:00:00"/>
        <d v="2021-09-26T00:00:00"/>
        <d v="2021-10-13T00:00:00"/>
        <d v="2021-08-06T00:00:00"/>
        <d v="2021-08-25T00:00:00"/>
        <d v="2021-07-21T00:00:00"/>
        <d v="2021-06-24T00:00:00"/>
        <d v="2021-09-03T00:00:00"/>
        <d v="2021-11-03T00:00:00"/>
        <d v="2021-11-10T00:00:00"/>
        <d v="2021-09-04T00:00:00"/>
        <d v="2021-11-09T00:00:00"/>
        <d v="2021-09-08T00:00:00"/>
        <d v="2021-07-02T00:00:00"/>
        <d v="2021-06-15T00:00:00"/>
        <d v="2021-07-14T00:00:00"/>
        <d v="2021-09-16T00:00:00"/>
        <d v="2021-12-09T00:00:00"/>
        <d v="2021-10-05T00:00:00"/>
        <d v="2021-10-11T00:00:00"/>
        <d v="2021-10-25T00:00:00"/>
        <d v="2021-06-14T00:00:00"/>
        <d v="2021-06-17T00:00:00"/>
        <d v="2021-08-14T00:00:00"/>
        <d v="2021-07-12T00:00:00"/>
        <d v="2021-07-19T00:00:00"/>
        <d v="2021-07-09T00:00:00"/>
        <d v="2021-08-12T00:00:00"/>
        <d v="2021-07-20T00:00:00"/>
        <d v="2021-08-19T00:00:00"/>
        <d v="2021-07-28T00:00:00"/>
        <d v="2021-08-04T00:00:00"/>
        <d v="2021-08-07T00:00:00"/>
        <d v="2021-07-03T00:00:00"/>
        <d v="2021-07-04T00:00:00"/>
        <d v="2021-09-30T00:00:00"/>
        <d v="2021-09-15T00:00:00"/>
        <d v="2021-08-11T00:00:00"/>
        <d v="2021-08-16T00:00:00"/>
        <d v="2021-08-21T00:00:00"/>
        <d v="2021-08-26T00:00:00"/>
        <d v="2021-10-15T00:00:00"/>
        <d v="2021-12-10T00:00:00"/>
        <d v="2021-10-29T00:00:00"/>
        <d v="2022-02-11T00:00:00"/>
        <d v="2022-02-16T00:00:00"/>
        <d v="2022-02-17T00:00:00"/>
        <d v="2022-02-19T00:00:00"/>
        <d v="2022-02-22T00:00:00"/>
        <d v="2022-02-26T00:00:00"/>
        <d v="2022-03-05T00:00:00"/>
        <d v="2021-12-23T00:00:00"/>
        <d v="2021-10-08T00:00:00"/>
        <d v="2021-11-15T00:00:00"/>
        <d v="2021-11-26T00:00:00"/>
        <d v="2021-12-01T00:00:00"/>
        <d v="2021-11-17T00:00:00"/>
        <d v="2021-11-22T00:00:00"/>
        <d v="2021-11-24T00:00:00"/>
        <d v="2021-11-29T00:00:00"/>
        <d v="2021-11-05T00:00:00"/>
        <d v="2022-03-08T00:00:00"/>
        <d v="2022-03-07T00:00:00"/>
        <d v="2021-09-10T00:00:00"/>
        <d v="2021-09-06T00:00:00"/>
        <d v="2021-08-27T00:00:00"/>
        <d v="2021-11-21T00:00:00"/>
        <d v="2021-11-16T00:00:00"/>
        <d v="2021-12-14T00:00:00"/>
        <d v="2021-10-23T00:00:00"/>
        <d v="2021-10-20T00:00:00"/>
        <d v="2022-03-02T00:00:00"/>
        <d v="2022-04-06T00:00:00"/>
        <d v="2021-10-07T00:00:00"/>
        <d v="2021-10-22T00:00:00"/>
        <d v="2021-10-06T00:00:00"/>
        <d v="2021-10-18T00:00:00"/>
        <d v="2021-12-07T00:00:00"/>
        <d v="2021-12-04T00:00:00"/>
        <d v="2021-11-11T00:00:00"/>
        <d v="2022-05-03T00:00:00"/>
        <d v="2021-12-22T00:00:00"/>
        <d v="2021-12-26T00:00:00"/>
        <d v="2021-12-29T00:00:00"/>
        <d v="2022-01-02T00:00:00"/>
        <d v="2021-12-25T00:00:00"/>
        <d v="2022-01-03T00:00:00"/>
        <d v="2022-03-15T00:00:00"/>
        <d v="2022-06-02T00:00:00"/>
        <d v="2022-03-17T00:00:00"/>
        <d v="2022-04-18T00:00:00"/>
        <d v="2022-01-21T00:00:00"/>
        <d v="2021-10-28T00:00:00"/>
        <d v="2022-02-05T00:00:00"/>
        <d v="2022-02-04T00:00:00"/>
        <d v="2022-03-04T00:00:00"/>
        <d v="2021-11-06T00:00:00"/>
        <d v="2021-11-13T00:00:00"/>
        <d v="2021-11-19T00:00:00"/>
        <d v="2021-12-02T00:00:00"/>
        <d v="2021-12-15T00:00:00"/>
        <d v="2021-12-11T00:00:00"/>
        <d v="2021-12-16T00:00:00"/>
        <d v="2021-12-17T00:00:00"/>
        <d v="2021-12-20T00:00:00"/>
        <d v="2022-01-13T00:00:00"/>
        <d v="2022-01-15T00:00:00"/>
        <d v="2022-01-22T00:00:00"/>
        <d v="2022-01-28T00:00:00"/>
        <d v="2022-01-29T00:00:00"/>
        <d v="2022-02-07T00:00:00"/>
        <d v="2021-11-08T00:00:00"/>
        <d v="2022-02-08T00:00:00"/>
        <d v="2021-11-23T00:00:00"/>
        <d v="2021-11-27T00:00:00"/>
        <d v="2021-12-27T00:00:00"/>
        <d v="2022-03-31T00:00:00"/>
        <d v="2021-10-27T00:00:00"/>
        <d v="2022-02-03T00:00:00"/>
        <d v="2021-10-21T00:00:00"/>
        <d v="2021-12-30T00:00:00"/>
        <d v="2022-01-04T00:00:00"/>
        <d v="2021-12-18T00:00:00"/>
        <d v="2022-04-02T00:00:00"/>
        <d v="2022-01-08T00:00:00"/>
        <d v="2021-11-02T00:00:00"/>
        <d v="2022-04-27T00:00:00"/>
        <d v="2022-04-07T00:00:00"/>
        <d v="2021-12-21T00:00:00"/>
        <d v="2021-12-13T00:00:00"/>
        <d v="2022-05-04T00:00:00"/>
        <d v="2021-12-06T00:00:00"/>
        <d v="2021-12-05T00:00:00"/>
        <d v="2022-03-28T00:00:00"/>
        <d v="2022-07-22T00:00:00"/>
        <d v="2021-12-19T00:00:00"/>
        <d v="2022-04-09T00:00:00"/>
        <d v="2022-09-03T00:00:00"/>
        <d v="2022-01-25T00:00:00"/>
        <d v="2021-12-28T00:00:00"/>
        <d v="2022-01-06T00:00:00"/>
        <d v="2022-01-10T00:00:00"/>
        <d v="2022-02-24T00:00:00"/>
        <d v="2022-04-01T00:00:00"/>
        <d v="2022-05-07T00:00:00"/>
        <d v="2022-04-25T00:00:00"/>
        <d v="2022-02-10T00:00:00"/>
        <d v="2022-02-14T00:00:00"/>
        <d v="2022-02-12T00:00:00"/>
        <d v="2022-04-30T00:00:00"/>
        <d v="2022-02-15T00:00:00"/>
        <d v="2022-01-09T00:00:00"/>
        <d v="2022-03-09T00:00:00"/>
        <d v="2022-08-01T00:00:00"/>
        <d v="2022-08-02T00:00:00"/>
        <d v="2022-02-02T00:00:00"/>
        <d v="2022-02-18T00:00:00"/>
        <d v="2022-05-24T00:00:00"/>
        <d v="2022-06-21T00:00:00"/>
        <d v="2022-07-12T00:00:00"/>
        <d v="2022-07-19T00:00:00"/>
        <d v="2022-03-24T00:00:00"/>
        <d v="2022-04-08T00:00:00"/>
        <d v="2022-04-13T00:00:00"/>
        <d v="2022-04-22T00:00:00"/>
        <d v="2022-05-20T00:00:00"/>
        <d v="2022-07-26T00:00:00"/>
        <d v="2022-06-14T00:00:00"/>
        <d v="2022-07-25T00:00:00"/>
        <d v="2022-08-23T00:00:00"/>
        <d v="2022-01-31T00:00:00"/>
        <d v="2022-04-20T00:00:00"/>
        <d v="2022-05-13T00:00:00"/>
        <d v="2022-02-09T00:00:00"/>
        <d v="2022-03-01T00:00:00"/>
        <d v="2022-03-03T00:00:00"/>
        <d v="2022-03-21T00:00:00"/>
        <d v="2022-03-30T00:00:00"/>
        <d v="2022-04-19T00:00:00"/>
        <d v="2022-03-25T00:00:00"/>
        <d v="2022-03-10T00:00:00"/>
        <d v="2022-05-11T00:00:00"/>
        <d v="2022-05-30T00:00:00"/>
        <d v="2022-05-18T00:00:00"/>
        <d v="2022-05-14T00:00:00"/>
        <d v="2022-05-16T00:00:00"/>
        <d v="2022-04-16T00:00:00"/>
        <d v="2022-04-28T00:00:00"/>
        <d v="2022-06-22T00:00:00"/>
        <d v="2022-03-18T00:00:00"/>
        <d v="2022-07-18T00:00:00"/>
        <d v="2022-09-16T00:00:00"/>
        <d v="2022-07-13T00:00:00"/>
        <d v="2022-04-21T00:00:00"/>
        <d v="2022-04-23T00:00:00"/>
        <d v="2022-04-26T00:00:00"/>
        <d v="2022-07-01T00:00:00"/>
        <d v="2022-07-09T00:00:00"/>
        <d v="2022-07-06T00:00:00"/>
        <d v="2022-06-08T00:00:00"/>
        <d v="2022-06-13T00:00:00"/>
        <d v="2022-06-17T00:00:00"/>
        <d v="2022-05-06T00:00:00"/>
        <d v="2022-05-12T00:00:00"/>
        <d v="2022-06-10T00:00:00"/>
        <d v="2022-05-21T00:00:00"/>
        <d v="2022-05-23T00:00:00"/>
        <d v="2022-05-25T00:00:00"/>
        <d v="2022-07-04T00:00:00"/>
        <d v="2022-08-03T00:00:00"/>
        <d v="2022-06-06T00:00:00"/>
        <d v="2022-05-05T00:00:00"/>
        <d v="2022-05-27T00:00:00"/>
        <d v="2022-06-03T00:00:00"/>
        <d v="2022-06-15T00:00:00"/>
        <d v="2022-06-24T00:00:00"/>
        <d v="2022-06-29T00:00:00"/>
        <d v="2022-07-08T00:00:00"/>
        <d v="2022-08-04T00:00:00"/>
        <d v="2022-08-08T00:00:00"/>
        <d v="2022-08-29T00:00:00"/>
        <d v="2022-06-09T00:00:00"/>
        <d v="2022-06-19T00:00:00"/>
        <d v="2022-07-11T00:00:00"/>
        <d v="2022-06-07T00:00:00"/>
        <d v="2022-06-04T00:00:00"/>
        <d v="2022-09-17T00:00:00"/>
        <d v="2022-07-23T00:00:00"/>
        <d v="2022-07-27T00:00:00"/>
        <d v="2022-07-21T00:00:00"/>
        <d v="2022-07-30T00:00:00"/>
        <d v="2022-07-20T00:00:00"/>
        <d v="2022-08-05T00:00:00"/>
        <d v="2022-08-11T00:00:00"/>
        <d v="2022-06-27T00:00:00"/>
        <d v="2022-08-06T00:00:00"/>
        <d v="2022-06-30T00:00:00"/>
        <d v="2022-08-28T00:00:00"/>
        <d v="2022-09-04T00:00:00"/>
        <d v="2022-09-11T00:00:00"/>
        <d v="2022-09-21T00:00:00"/>
        <d v="2022-08-12T00:00:00"/>
        <d v="2022-09-19T00:00:00"/>
        <d v="2022-08-18T00:00:00"/>
        <d v="2022-08-20T00:00:00"/>
        <d v="2022-09-02T00:00:00"/>
        <d v="2022-06-28T00:00:00"/>
      </sharedItems>
    </cacheField>
    <cacheField name="MES INGRESO ALM" numFmtId="0">
      <sharedItems containsString="0" containsBlank="1" containsNumber="1" containsInteger="1" minValue="1" maxValue="12"/>
    </cacheField>
    <cacheField name="AÑO INGRESO ALM" numFmtId="0">
      <sharedItems containsString="0" containsBlank="1" containsNumber="1" containsInteger="1" minValue="1900" maxValue="2022"/>
    </cacheField>
    <cacheField name="TIPO DE CONFIRMACION" numFmtId="15">
      <sharedItems containsBlank="1" count="4">
        <m/>
        <s v="INFORMADO POR EL PROVEEDOR"/>
        <s v="ESTIMADO POR COMEX"/>
        <s v="SEGÚN TRACKING DE LA LINEA"/>
      </sharedItems>
    </cacheField>
    <cacheField name="PAIS ORIGEN" numFmtId="0">
      <sharedItems containsBlank="1" count="22">
        <m/>
        <s v="CHINA"/>
        <s v="BELGICA"/>
        <s v=" MEXICO"/>
        <s v="MEXICO"/>
        <s v="NORUEGA"/>
        <s v="TAIWAN"/>
        <s v="IRLANDA"/>
        <s v="REINO UNIDO"/>
        <s v="COLOMBIA"/>
        <s v="JORDANIA"/>
        <s v="EGYPTO"/>
        <s v="RUSIA"/>
        <s v="EUROPA"/>
        <s v="BOLIVIA"/>
        <s v="ITALIA"/>
        <s v="ALGERIA"/>
        <s v="INDONESIA"/>
        <s v="CHILE"/>
        <s v="VIETNAM"/>
        <s v="ISRAEL"/>
        <s v="ALEMANIA"/>
      </sharedItems>
    </cacheField>
    <cacheField name="PTO ORIGEN" numFmtId="0">
      <sharedItems containsBlank="1"/>
    </cacheField>
    <cacheField name="PTO LLEGADA " numFmtId="0">
      <sharedItems containsBlank="1" count="6">
        <s v="PAITA"/>
        <s v="SALAVERRY"/>
        <s v="CALLAO"/>
        <s v="PISCO"/>
        <s v="MATARANI"/>
        <m/>
      </sharedItems>
    </cacheField>
    <cacheField name="TERMINAL MARITIMO" numFmtId="0">
      <sharedItems containsBlank="1" containsMixedTypes="1" containsNumber="1" containsInteger="1" minValue="53" maxValue="53"/>
    </cacheField>
    <cacheField name="ALMACÉN DESTINO" numFmtId="0">
      <sharedItems containsBlank="1" count="15">
        <m/>
        <s v="RANSA"/>
        <s v="EQUILIBRA"/>
        <s v="SAVAR"/>
        <s v="TISUR"/>
        <s v="EQ / RANSA"/>
        <s v="SAVAR/RANSA"/>
        <s v="TISUR / EQ"/>
        <s v="RANSA "/>
        <s v="HUACHO"/>
        <s v="SAVAR / RANSA"/>
        <s v="HUACHO/SAVAR"/>
        <s v="-"/>
        <s v="RANSA /EQUILIBRA"/>
        <s v="DESAGUADERO"/>
      </sharedItems>
    </cacheField>
    <cacheField name="BLS" numFmtId="0">
      <sharedItems containsBlank="1" containsMixedTypes="1" containsNumber="1" containsInteger="1" minValue="0" maxValue="774876182802" count="1440">
        <s v=" x|"/>
        <n v="10"/>
        <n v="11"/>
        <n v="24"/>
        <s v="12"/>
        <n v="0"/>
        <s v="HLCUTS1170439840"/>
        <s v="MAEU960230955"/>
        <s v="MAEU960230923"/>
        <s v="HLCUTPE170437035"/>
        <s v="MSCUWB149455"/>
        <n v="12"/>
        <n v="13"/>
        <n v="14"/>
        <n v="15"/>
        <n v="18"/>
        <n v="21"/>
        <n v="2"/>
        <n v="4"/>
        <n v="6"/>
        <n v="8"/>
        <s v="KKLUBOM1700085"/>
        <n v="22"/>
        <n v="23"/>
        <s v="HLCUEUR170500688"/>
        <s v="MSCUJL431069"/>
        <s v="MSCUJL431093"/>
        <s v="MAEU960630797"/>
        <s v="MAEU960987996"/>
        <m/>
        <s v="RAC08TJ03"/>
        <s v="MAEU961085873"/>
        <s v="HLCUTPE170811229"/>
        <s v="MAEU962016647"/>
        <s v="MAEU962221976"/>
        <s v="HLCUTPE171005205"/>
        <s v="HLCUTPE171028535"/>
        <s v="SUDU27999A66P8G5"/>
        <s v="SUDU27999A66P95E"/>
        <s v="SUDUC7ANRES1006X"/>
        <s v="SUDUC7ANRES1008X"/>
        <s v="GSSW17SHA2456A"/>
        <s v="GSSW17SHA2706A"/>
        <s v="MSCUUB987990"/>
        <n v="7"/>
        <n v="9"/>
        <s v="TA001A"/>
        <s v="TA001B"/>
        <s v="TA001C"/>
        <s v="TA001D"/>
        <n v="1"/>
        <n v="3"/>
        <n v="5"/>
        <s v="ASNKG01"/>
        <s v="ASNKG02"/>
        <s v="ASNKG03"/>
        <s v="ASNKG04"/>
        <s v="ASNKG05"/>
        <s v="HLCUME3170629101"/>
        <s v="MAEU961235173"/>
        <s v="MAEU575220136"/>
        <s v="EGLV100750212680"/>
        <s v="SUDU27297A6I29JF"/>
        <s v="SUDU27297A6I2RFA"/>
        <s v="MSCURP236699"/>
        <s v="MSCURP236665"/>
        <s v="HLCURIX170910743"/>
        <s v="HLCURIX170910805"/>
        <s v="SUDU27297A6WQS64"/>
        <s v="SUDU27297A6WQKYB"/>
        <s v="MAEU575220133"/>
        <s v="GSSW17SHA3020A"/>
        <s v="HLCUEUR170813782"/>
        <s v="MSCUKX065598"/>
        <s v="SUDUC7ANRES1801X"/>
        <s v="SUDUC7ANRES1803X"/>
        <s v="SUDUC7ANRES1802X"/>
        <s v="SUDUC7ANRES1800X"/>
        <s v="SUDU87880A2AI007"/>
        <s v="MOS0147592"/>
        <s v="SUDU87880A2FV009"/>
        <s v="MOS0147635"/>
        <s v="SUDU87880A25R005"/>
        <s v="MOS0147428A"/>
        <s v="MAEU962162581"/>
        <s v="NNGT70101700"/>
        <s v="HLCUCA4171059931"/>
        <s v="HLCUANR171015857"/>
        <s v="HLCUANR171024002"/>
        <s v="RAC08TJ04"/>
        <s v="SUDU77HFAES0010X"/>
        <s v="MSCUOJ614186"/>
        <s v="HLCUHAM170990375"/>
        <s v="RAC08TJ02"/>
        <s v="HLCUME3170949215"/>
        <s v="SUDU27297A7NDHL2"/>
        <s v="SUDU27297A7UFV9P"/>
        <s v="SUDU27297A7UFFP0"/>
        <s v="WUAN70044500"/>
        <s v="MAEU962616590"/>
        <s v="SEAUSLD621411"/>
        <s v="HLCURIX171010844"/>
        <s v="HLCURIX171211302"/>
        <s v="HLCURIX171211313"/>
        <s v="HLCURIX180110307"/>
        <s v="GSSW17SHA3764A"/>
        <s v="GSSW17SHA3553A"/>
        <s v="2212-0464-710.013"/>
        <s v="HLCUGDY180114473"/>
        <s v="MSCUUG374764"/>
        <s v="MAEU962638489"/>
        <s v="MAEU962449117"/>
        <s v="HLCUTPE171140293"/>
        <s v="SEAUSLD633311"/>
        <s v="SUDU77ASHES0078X"/>
        <s v="SUDU77999A3DV002"/>
        <s v="SUDU77ASHES0087X"/>
        <s v="SUDU77999A3GG002"/>
        <s v="ZGSVA03E"/>
        <s v="ZGSVA03F"/>
        <s v="ZGSVA03A"/>
        <s v="ZGSVA03B"/>
        <s v="HBL-EM17000214"/>
        <s v="HCLE 132777"/>
        <s v="HLCUANR171067748"/>
        <s v="HLCUANR171067843"/>
        <s v="HLCUANR171130982"/>
        <s v="HLCUANR171242346"/>
        <s v="HLCUANR180143609"/>
        <s v="HLCUANR180143525"/>
        <s v="MSCUUG470877"/>
        <n v="16"/>
        <n v="17"/>
        <s v="HLCURIX171211295"/>
        <s v="HLCUME3180113263"/>
        <s v="HLCUME3180100660"/>
        <s v="SUDU27297A8WR1H5"/>
        <s v="HLCUME3180109560"/>
        <s v="SUDU28297A8XZH7B"/>
        <s v="GSSW17SHA4264A"/>
        <s v="MAEU963198257"/>
        <s v="HLCURIX180310716"/>
        <s v="HLCURIX180311211"/>
        <s v="ZD06"/>
        <s v="ZD07"/>
        <s v="ZD08"/>
        <s v="ZD09"/>
        <s v="ZD10"/>
        <s v="ZA06"/>
        <s v="ZA07"/>
        <s v="ZA08"/>
        <s v="HCLE 135420"/>
        <s v="MAEU963769920"/>
        <s v="MAEU963600679"/>
        <s v="MAEU963546543"/>
        <s v="MAEU963805110"/>
        <s v="MAEU963885919"/>
        <s v="MAEU963885823"/>
        <s v="GSSW18SIN2030G"/>
        <s v="GSSW18SIN2030M"/>
        <s v="GSSW18SIN2030L"/>
        <s v="GSSW18SIN2030N"/>
        <s v="HLCUTS1180330004"/>
        <s v="MAEU596300629"/>
        <s v="MAEU596300630"/>
        <s v="18TRYPEC18000003706/MSCUUC742337_x000a_"/>
        <s v="18TRYPEP18000003441/MSCUUC732114_x000a_"/>
        <s v="HLCUEUR180132947"/>
        <s v="GSSW18SHA2411A"/>
        <s v="OA805BAYCLL002"/>
        <n v="100850020189"/>
        <n v="102800004445"/>
        <s v="HLCURIX180510025"/>
        <s v="HLCURIX180412245"/>
        <s v="MSCUPC698672"/>
        <s v="MSCUPC656571"/>
        <s v="HLCURIX180510226"/>
        <s v="HLCURIX180510248"/>
        <s v="HLCURIX180611724"/>
        <s v="HLCURIX180611735"/>
        <s v="EGLV152820210527"/>
        <s v="YCHG000312"/>
        <s v="HLCURIX180510014"/>
        <s v="COSU8008021080"/>
        <s v="SLD829629"/>
        <s v="SF809BAYCLL008"/>
        <s v="MAEU964310533"/>
        <s v="MAEU964310528"/>
        <s v="MAEU964314631"/>
        <s v="MAEU575995570"/>
        <s v="MSCUKX917269"/>
        <s v="SUDUC8ANRES0521X"/>
        <s v="EGLV152820210519"/>
        <s v="HLCUSCL180365875"/>
        <s v="HLCUSCL180423532"/>
        <s v="MAEU964800259"/>
        <s v="MAEU964591255"/>
        <s v="MAEU578116108"/>
        <s v="MSCUPC926438"/>
        <s v="AOA/COM/053/2018C"/>
        <s v="AOA/COM/053/2018B"/>
        <s v="AOA/COM/053/2018A"/>
        <s v="COSU8008020530"/>
        <s v="RIXPAI05"/>
        <s v="RIXSVY05"/>
        <s v="RIXCLL05"/>
        <s v="RIXPAI02"/>
        <s v="RIXSVY02"/>
        <s v="RIXCLL02"/>
        <s v="RIXPIO02"/>
        <s v="RIXMRI02"/>
        <s v="MAEU964680585"/>
        <s v="HLCUSCL180619539"/>
        <s v="HLCUSCL180641039"/>
        <s v="MAEU589086152"/>
        <s v="MAEU589086206"/>
        <s v="MAEU589086215"/>
        <s v="MAEU589086216"/>
        <s v="MEDUB6023189"/>
        <s v="MEDUSJ087510"/>
        <s v="NNGT80040100"/>
        <s v="MAEU964825065"/>
        <s v="SUDUA8BASES0292X"/>
        <s v="MAEU964680596"/>
        <s v="SUDUA8BASES0334X"/>
        <s v="SUDUA8HAM000339X"/>
        <s v="014-48894941"/>
        <s v="12A"/>
        <s v="12B"/>
        <s v="12C"/>
        <s v="12D"/>
        <s v="AMC0656167"/>
        <s v="AMC0658308"/>
        <s v="AMC0662778"/>
        <s v="AMC0665774"/>
        <s v="MEDUMB407275"/>
        <s v="AMC0659099"/>
        <s v="AMC0660313"/>
        <s v="AMC0662768"/>
        <s v="HLCUCA4180778068"/>
        <s v="MAEU965712867"/>
        <s v="MAEU605986136"/>
        <s v="ONEYTS8QV0363700"/>
        <s v="ONEYTS8QV0364800"/>
        <s v="MEDUCO091481"/>
        <s v="SM18004NKG00616"/>
        <s v="SM18004NKG00617"/>
        <s v="SM18004NKG00618"/>
        <s v="SM18004NKG00619"/>
        <s v="SM18004NKG001A"/>
        <s v="SM18004NKG001D"/>
        <s v="SM18004NKG001B"/>
        <s v="SM18004NKG001C"/>
        <s v="SM18004NKG003A"/>
        <s v="SM18004NKG003B"/>
        <s v="CS825TXGCLL015"/>
        <s v="GSSW18SHA3933A"/>
        <s v="MAEU578420925"/>
        <s v="1865303/ONEYRICUJ2445300"/>
        <s v="PTLD/PERU-02"/>
        <s v="10"/>
        <n v="25"/>
        <s v="17"/>
        <s v="GSSW18SHA4341A"/>
        <s v="ONEYDL8XA0088300"/>
        <s v="ONEYTS8NO0535700"/>
        <n v="19"/>
        <s v="HLCUCA41808APMU1"/>
        <s v="HLCUCA4180940465"/>
        <s v="SUDU28297AD3Q071"/>
        <s v="SUDU28297AD3Q073"/>
        <s v="MAEU581804602"/>
        <s v="MAEU581806620"/>
        <s v="1003973/1"/>
        <s v="1003972/1"/>
        <s v="1004132/1/HLCUSCL181100083 "/>
        <s v="RH180903A"/>
        <s v="RH180903B"/>
        <s v="RH180903C"/>
        <s v="RH180903D"/>
        <s v="MOS0152254"/>
        <s v="APLU719486063"/>
        <s v="ONEYTS8NG0353600"/>
        <s v="MSCUVX598815"/>
        <s v="MSCUVX599904"/>
        <s v="PTLD/PERU-01"/>
        <s v="SGU0166414"/>
        <s v="SGU0166413"/>
        <s v="GSSW18SHA4953A"/>
        <s v="MAEU966711028"/>
        <s v="MAEU966676443"/>
        <s v="ONEYTS8NG0352500"/>
        <s v="ONEYTS8NG0373800"/>
        <s v="SORD34359"/>
        <s v="SORD34351"/>
        <s v="HCLE 145237/EGLV400842305039"/>
        <s v="1003998/1/SNG0251045"/>
        <s v="IBC0458989"/>
        <s v="ZD13"/>
        <s v="ZD14"/>
        <s v="ZD15"/>
        <s v="SUDU78HFA000504X"/>
        <s v="SUDU78HFA000600X"/>
        <s v="SUDU78HFA000639X"/>
        <s v="MAEU606262507"/>
        <s v="COSU6178131420"/>
        <s v="SUDU28297ADVJ4PP"/>
        <s v="SUDU28297ADVJX2B"/>
        <s v="HBG1285381"/>
        <s v="SUDUA8HAM012904X"/>
        <s v="AC834BAYCLL003"/>
        <s v="ONEYDL8XA0137500"/>
        <s v="HBG1284639"/>
        <s v="SUDUA8HAM012532X"/>
        <s v="18.CRC.0363/MEDUCO230063"/>
        <s v="19.CRC.0015/MAEU967775605"/>
        <s v="19.CRC.0007/MAEU967723094"/>
        <s v="19.CRC.0016/MAEU967766676"/>
        <s v="19.CRC.0018/HLCUGOT190119895"/>
        <s v="18.CRC.0377/MEDUCO238132"/>
        <s v="19.CRC.0006/MEDUHO023517"/>
        <s v="14A"/>
        <s v="14B"/>
        <s v="SGU0168009"/>
        <s v="SGU0168010"/>
        <s v="COSU8008024730"/>
        <s v="MAEU606267617"/>
        <s v="USEZGNKG01E"/>
        <s v="USEZGNKG01F"/>
        <s v="ZGSUNSHINE01E"/>
        <s v="ZGSUNSHINE01F"/>
        <s v="ZGSUNSHINE01G"/>
        <s v="1005095/1/EGLV731900023320"/>
        <s v="1005241/1/EGLV731900033619"/>
        <s v="1004882/1/HLCUSCL190246955"/>
        <s v="HBG1295485"/>
        <s v="HLCUCA41812AQUN1"/>
        <s v="HLCUCA4181297150"/>
        <s v="HLCUCA4181297267"/>
        <s v="HLCUSCL190215000"/>
        <s v="SUDU89880A4SW003"/>
        <s v="SUDU89880A4SW004"/>
        <s v="YMLUC500000710"/>
        <s v="AMC0705886"/>
        <s v="AMC0715963"/>
        <s v="MEDUG1539824"/>
        <s v="MAEU967457002"/>
        <s v="HLCUTA11901BIGF2"/>
        <s v="HLCUTA11901BIGA7"/>
        <s v="6A"/>
        <s v="6B"/>
        <s v="HDMUQSPE8179929"/>
        <n v="29"/>
        <n v="30"/>
        <n v="31"/>
        <n v="32"/>
        <n v="33"/>
        <s v="GSSW19SHA2304A"/>
        <s v="CKBB90003000"/>
        <s v="SUDU29297AFF3MGH"/>
        <s v="SUDU29297AFDAK7Z"/>
        <s v="SUDU29297AFV08S9"/>
        <s v="CJ190202"/>
        <s v="CJ190203"/>
        <s v="GF190107A"/>
        <s v="GF190107B"/>
        <s v="ONEYTA8RP2708700"/>
        <s v="HLCUTA11902AVPW0"/>
        <s v="GSSW19SHA2287A"/>
        <s v="HLCUTS1190865426"/>
        <s v="HLCUTS1190865404"/>
        <s v="EGLV141900081035"/>
        <s v="SUDUN9471AFPPY1B"/>
        <s v="GF190108C"/>
        <s v="ONEYTS8NG0533600"/>
        <s v="HLCUTS1190858048"/>
        <s v="EGLV144900027396"/>
        <s v="EGLV144900027183"/>
        <s v="EGLV142900373301"/>
        <s v="HLCUWUH190228301"/>
        <s v="HLCUANR190320938"/>
        <s v="HLCUANR190320916"/>
        <s v="HLCUANR190352340"/>
        <s v="HLCUANR190352402"/>
        <s v="HLCUANR190451420"/>
        <s v="HLCUANR190451380"/>
        <s v="190400727/0402"/>
        <n v="26"/>
        <n v="27"/>
        <n v="28"/>
        <n v="20"/>
        <s v="NAM3534959"/>
        <s v="NAM3479654"/>
        <s v="NAM3479930"/>
        <s v="GSSW19SHA2480BCDEFG"/>
        <s v="ONEYDL8CC0976800"/>
        <s v="ONEYDL8CC0982500"/>
        <s v="SUDUN94946781217"/>
        <s v="SUDUN94946781230"/>
        <s v="ONEYTS8NG0562800"/>
        <s v="HLCUTS1190857670"/>
        <s v="0019A79638"/>
        <s v="ONEYTPEV17992900"/>
        <s v="ONEYTPEV21147300"/>
        <s v="ONEYTPEV22803300"/>
        <s v="ONEYTPEV21265400"/>
        <s v="HLCUTA11902AWII5"/>
        <s v="HLCUTA11902AWIJ6"/>
        <s v="GSSW19SHA2382A"/>
        <s v="COSU8008027170"/>
        <s v="INTRA/GUA-PAI19502001/HLCUGU2190356543"/>
        <s v="PAEM007487/IBC0496813"/>
        <s v="HLCUME3190418752"/>
        <s v="GSSW19SHA2744A"/>
        <s v="GSSW19SHA2744B"/>
        <s v="HLCUTA11904ASCE1"/>
        <s v="1"/>
        <s v="2"/>
        <s v="4"/>
        <s v="5"/>
        <s v="CHVWANHU190101-5"/>
        <s v="CHVWANHU190101-6"/>
        <s v="CHVWANHU190101-7"/>
        <s v="ZGOSO190401D"/>
        <s v="ZGOSO190401E"/>
        <s v="ZGOSO190401F"/>
        <s v="ZGOSO190401G"/>
        <s v="0019A99830"/>
        <s v="ONEYKHHV03204800"/>
        <s v="GSSW19SHA2923B"/>
        <s v="SUDU29297AH9T743"/>
        <s v="SUDU29999AHTAE0U"/>
        <s v="SUDU29999AI6PVVS"/>
        <s v="SUDUN9462AHBODSJ"/>
        <s v="SUDUN9998AHX7USK"/>
        <s v="SUDUN9462AIXY631"/>
        <s v="HLCUCA4190598058"/>
        <s v="MEDUHO392763"/>
        <s v="HLCUTS1191102845"/>
        <s v="190401708/0408"/>
        <s v="MEDUKB145010"/>
        <s v="GSSW19SHA3168A"/>
        <s v="MEDUH1059474"/>
        <s v="SUDU89880A5O6001"/>
        <s v="GSSW19SHA3276A"/>
        <s v="GSSW19SHA3278A"/>
        <s v="GSSW19SHA3275A"/>
        <s v="ONEYTPEV41145300"/>
        <s v="HLCUTPE190628271"/>
        <s v="HLCUTPE190628293 "/>
        <s v="HLCUDL2190724195"/>
        <s v="TXWA004885"/>
        <s v="SUDU79HFA001376X"/>
        <s v="HBG1329891"/>
        <s v="HLCUANR190630040"/>
        <s v="HLCUANR190630030"/>
        <s v="HLCUANR190646986"/>
        <s v="HLCUANR190646825"/>
        <s v="GSSW19SHA3467B"/>
        <s v="SUDUN94941561909"/>
        <s v="ONEYKHHV05754600"/>
        <s v="ONEYKHHV05755700"/>
        <s v="GGZ0996338"/>
        <s v="HLCUSZX1907AZWO5"/>
        <s v="ONEYTS9QJ0372500"/>
        <s v="GSSW19SHA3485A"/>
        <s v="ONEYDL8XA0393900"/>
        <s v="GSSW19SHA3462A"/>
        <s v="ONEYTA9RP0581500"/>
        <s v="GSSW19SHA3495B"/>
        <s v="55719-07061"/>
        <s v="MEDUSG938146"/>
        <s v="SUDUB9SCL0338781"/>
        <s v="MEDUCH201120"/>
        <s v="MOS0155771"/>
        <s v="HBG1340523"/>
        <s v="ZGGID190812E"/>
        <s v="ZGGID190812F"/>
        <s v="ZGGID190812G"/>
        <s v="ZGGID190812H"/>
        <s v="ZGGID190812I"/>
        <s v="ZGGID190801E"/>
        <s v="ZGGID190801F"/>
        <s v="ZGGID190801G"/>
        <s v="ZGGID190801H"/>
        <s v="ZGGID190801I"/>
        <s v="ZGGID190802B"/>
        <s v="ZGGID190802C"/>
        <s v="ZGGID190802D"/>
        <s v="ZGGID190802E"/>
        <s v="ZGGID190802F"/>
        <s v="SGU0175733"/>
        <s v="SGU0175735"/>
        <s v="4356-0464-908.011/ONEYDL9CT0716700"/>
        <s v="ONEYTA9PU9055400"/>
        <s v="SUDUN9537ALRT621"/>
        <s v="GSSW19SHA3846A"/>
        <s v="HLCUME3190876122"/>
        <s v="MOS0155471A"/>
        <s v="GSSW19SHA3801A"/>
        <s v="GSSW19SHA3859B"/>
        <s v="GSSW19SHA3859A"/>
        <s v="ONEYTS8NG0858900"/>
        <s v="ONEYTS8NG0861300"/>
        <s v="SUDUC9ANR019754X"/>
        <s v="SUDUC9ANR020042X"/>
        <s v="SF918BAYCLL010"/>
        <s v="ONEYTS9QJ0552500"/>
        <s v="HLCUME3190931501"/>
        <s v="SUDU29297AJBHXP9"/>
        <s v="SUDU29297AJBH004"/>
        <s v="SUDU2929MEMOH004"/>
        <s v=" 4356-0464-909.013/ONEYDL9CT0879300"/>
        <s v="4356-0464-911.016/ONEYDL9CT0845300"/>
        <s v="SF918BAYCLL027/028"/>
        <s v="MEDUQ0035590"/>
        <s v="GSSW19SHA4572B"/>
        <s v="19.CRC.0011"/>
        <s v="19.CRC.0344/MAEU585554520"/>
        <s v="19.CRC.0345/MAEU585555096"/>
        <s v="INTRA/GUA-CLL19502002/HLCUGU2190858667"/>
        <s v="SUDU89880A6J3008"/>
        <s v="SUDU89880A6M3004"/>
        <s v="SGU0176790"/>
        <s v="SGU0176786"/>
        <s v="HLCUJK1190930798"/>
        <s v="HLCUJK1190930754"/>
        <n v="1159507427"/>
        <s v="EO920TXGCLL002"/>
        <s v="ONEYTS9TI2707400"/>
        <s v="ONEYTPEV71865800"/>
        <s v="HLCUTPE191001386"/>
        <s v="HLCUTPE191001459"/>
        <s v="4356-0464-911.014/ ONEYDL9CT0825800"/>
        <s v="4356-0464-911.017/ ONEYDL9CT0847500"/>
        <s v=" MOS0157010 "/>
        <s v="MOS0157012"/>
        <s v="RAC46TJ22"/>
        <s v="190404152/0408"/>
        <s v="SGU0177977"/>
        <s v="SGU0177978"/>
        <s v="HLCUME3191128520"/>
        <s v="SUDU29MEX032583X"/>
        <s v="SF921BAYCLL001"/>
        <s v="4352-0464-911.012/ ONEYTA9PTD808400"/>
        <s v="4356-0464-911.015/ ONEYDL9CT0840500"/>
        <s v="JY201910"/>
        <s v="0019C86402"/>
        <s v="KEL/PAI/1911007"/>
        <s v="0019C99184"/>
        <s v="ONEYKHHV10120300"/>
        <s v="SF921TXGCLL010"/>
        <s v="4369-0464-911.011/ TXGH001894"/>
        <s v="0019D01433"/>
        <s v="ONEYKHHV10522900"/>
        <s v="ONEYKHHV10523300"/>
        <s v="ERJJ01D"/>
        <s v="ERJJ01E"/>
        <s v="ERJJ01B"/>
        <s v="ERJJ01C"/>
        <s v="MEDUBZ086019"/>
        <s v="HBG1370832"/>
        <s v="04532292632"/>
        <s v="032019122294"/>
        <s v="HLCUBSC2001BHRB0"/>
        <s v="ONEYTS9NC7284600"/>
        <s v="BABYQCLA02"/>
        <s v="SUDUN94945670890"/>
        <s v="SUDUN0471APKTADA"/>
        <s v="OOLU2636720650"/>
        <s v="HLCUME3200233433"/>
        <s v="HLCUME3200233433/HLCUME3200336620"/>
        <s v="SUDU20MEX003513X"/>
        <s v="HLCUME3200171384"/>
        <s v="MEDUCH610734"/>
        <s v="HLCUSCL200208114"/>
        <s v="HLCUSCL200342937"/>
        <s v="HLCUSCL200242621"/>
        <s v="HLCUTA11912ASDR2"/>
        <s v="PAI1"/>
        <s v="SAL1"/>
        <s v="CAL1"/>
        <s v="MAT1"/>
        <s v="PAI3"/>
        <s v="SAL3"/>
        <s v="CAL3"/>
        <s v="MAT3"/>
        <s v="PAI2"/>
        <s v="SAL2"/>
        <s v="CAL2"/>
        <s v="MAT2"/>
        <s v="VCR-PERU31"/>
        <s v="VCR-PERU32"/>
        <s v="VCR-PERU33"/>
        <s v="HLCUBO2200128069"/>
        <s v="HLCUBO2200128058"/>
        <s v="HLCUBO2200134064"/>
        <s v="HLCUBO2200102874"/>
        <s v="267047.100."/>
        <s v="ZGSFE200302B"/>
        <s v="ZGSFE200302C"/>
        <s v="ZGSFE200303"/>
        <s v="ZGSFE200302D"/>
        <s v="ZGSFE200302E"/>
        <s v="ZGSFE200302F"/>
        <s v="COSU6258506500"/>
        <s v="MEDUC1058352"/>
        <s v="MEDUC1059582"/>
        <s v="BGA0261569"/>
        <n v="202"/>
        <n v="203"/>
        <n v="201"/>
        <s v="HLCUSCL200389306"/>
        <s v="HLCUSCL200389299"/>
        <s v="COSU6260842440"/>
        <s v="TWN0394360"/>
        <s v="001AA75410"/>
        <s v="EGLV001000250943 "/>
        <s v="ONEYTPEA32935700"/>
        <s v="HLCUBSC2004ARYZ0"/>
        <s v="9MOP"/>
        <s v="10MOP"/>
        <s v="11MOP"/>
        <s v="12MOP"/>
        <s v="GSSW20SHA2895A"/>
        <s v="SUDUC0ANR007012X"/>
        <s v="SUDUC0ANR007604X"/>
        <s v="SUDUC0ANR008307X"/>
        <s v="SUDUC0ANR008266X"/>
        <s v="GSSW20SHA3036A"/>
        <s v="GSSW20SHA2902A"/>
        <s v="GSSW20SHA3042A"/>
        <s v="GSSW20SHA2904A"/>
        <s v="GSSW20SHA3038A"/>
        <s v="GSSW20SHA3035A"/>
        <s v="GGZ1089860"/>
        <s v="SUDUN0459AR0MU2S"/>
        <s v="SUDUN0998ARLJ851"/>
        <s v="IBC0597444"/>
        <s v="SUDU20MEX010324X"/>
        <s v="SUDU20MEX011470X"/>
        <s v="BCN/CAL/04344"/>
        <s v="MEDUC1063675"/>
        <s v="HLCUBO2200404651"/>
        <s v="HLCUBO2200408451"/>
        <s v="HLCUBO2200406328"/>
        <s v="BGA0263589"/>
        <s v="GSSW20SHA3083A"/>
        <s v="GSSW20SHA3040A"/>
        <s v="GSSW20SHA3106A"/>
        <s v="CNN0119309"/>
        <s v="CNN0119308 "/>
        <s v="EGLV155000031546"/>
        <s v="MEDUND178707"/>
        <s v="HBG1408383"/>
        <s v="HLCUTA12004BHJC4"/>
        <s v="HLCUTA12004BHHB2"/>
        <s v="GSSW20SHA3039A"/>
        <s v="GSSW20SHA3107A"/>
        <s v="GSSW20SHA3053A"/>
        <s v="EGLV142000597408"/>
        <s v="GSSW20SHA3159A"/>
        <s v="GSSW20SHA3125A"/>
        <s v="SUDUN94945671909"/>
        <s v="SUDUN0471ARFV5T7"/>
        <s v="PABYQCAL04"/>
        <s v="GSSW20SHA3109A"/>
        <s v="CNN0119278"/>
        <s v="CNN0119414"/>
        <s v="HLCUCA4200595510"/>
        <s v="GSSW20SHA3045A"/>
        <s v="PATJCLL01"/>
        <s v="GSSW20SHA3108A"/>
        <s v="INTRA/GUA-CLL20502001"/>
        <s v="INTRA/GUA-CLL20502002"/>
        <s v=" BGA0264107"/>
        <s v="HLCUBO2200420313 "/>
        <s v="HLCUBO2200420251"/>
        <s v="BGA0264105"/>
        <s v="BGA0264147"/>
        <s v="EGLV711000022501"/>
        <s v="GSSW20SHA3053B"/>
        <s v="PER-01"/>
        <s v="EGLV153005004991"/>
        <s v="HLCUTS12005AQTP6"/>
        <s v="HLCUSS5200508360"/>
        <s v="JJ06"/>
        <s v="JJ07"/>
        <s v="JJ08"/>
        <s v="1008237/1"/>
        <s v="SUDU20MEX014529X"/>
        <s v="SUDU20297ANFJ5ZU"/>
        <s v="GSSW20SHA3562A"/>
        <s v="001AB28014"/>
        <s v="TWN0401140"/>
        <s v="TWN0401141"/>
        <s v="HLCUBO2200501914"/>
        <s v=" BGA0264959"/>
        <s v="MEDUC1066157"/>
        <s v="GSSW20SHA3160A"/>
        <s v="GSSW20SHA3138A"/>
        <s v="GSSW20SHA3128A"/>
        <s v="ONEYTA0DJ4586800"/>
        <s v="GSSW20SHA3045B"/>
        <s v="GSSW20SHA3569B"/>
        <s v="PATJCLL09"/>
        <s v="YSTJPAA53"/>
        <s v="GSSW20SHA3218B"/>
        <s v="BGA0265352 "/>
        <s v="BGA0265356"/>
        <s v="EGLV711000026361"/>
        <s v=" BGA0267283 "/>
        <s v=" BGA0267277 "/>
        <s v="BGA0265397 "/>
        <s v="HLCUBO2200519956"/>
        <s v="RTM1004612"/>
        <s v="MEDUC1069490"/>
        <s v="HLCUSCL200716708"/>
        <s v="HLCUSCL200642613"/>
        <s v="HLCUBO2200715655"/>
        <s v="HLCUBO2200700220"/>
        <s v="BGA0267275"/>
        <s v="BGA0267271"/>
        <s v="MEDUC1070894"/>
        <s v="BGA0267278"/>
        <s v="BGA0267274"/>
        <s v="200101988/0301"/>
        <s v="CNN0119796"/>
        <s v="EGLV155000070053"/>
        <s v="HLCUSZX2007BMRU9"/>
        <s v="SUDUN0998AT7MURZ"/>
        <s v="GSSW20SHA3556A"/>
        <s v="SUDUN0494ASP2550"/>
        <s v="LYK0141142"/>
        <s v="LYK0141141"/>
        <s v="HLCUOSL200612030 "/>
        <s v="COSU6271237730"/>
        <s v="KLP0135430"/>
        <s v="SUDUC0ANR011890X"/>
        <s v="SUDUC0ANR011891X"/>
        <s v="JJ09"/>
        <s v="JJ10"/>
        <s v="JJ11"/>
        <s v="MOP8"/>
        <s v="MOP9"/>
        <s v="MOP6"/>
        <s v="MOP7"/>
        <s v="BGA0269114"/>
        <s v="BGA0269115"/>
        <s v="SUDUN0998ATTOY2G"/>
        <s v="SUDUN0998ATW9YTU"/>
        <s v="BGA0268081"/>
        <s v="HLCUBO2200715783"/>
        <s v="BGA0268079"/>
        <s v="HLCUBO2200715699"/>
        <s v="HLCUBO2200715688"/>
        <s v="HLCUBO2200715845"/>
        <s v="SUDUN0471AT2Y3KM"/>
        <s v="SUDUN0471ATJLKZD"/>
        <s v="SUDUN0471ATR3LGX"/>
        <s v="ONEYTA9RP3362500"/>
        <s v="HBG1434866"/>
        <s v="HBG1434436A"/>
        <s v="HBG1434436B"/>
        <s v="HBG1434645"/>
        <s v="HBG1434658"/>
        <s v="SUDUN0998AUC0K6F"/>
        <s v="SUDUN0998AUC1TWU"/>
        <s v="HLCUCA42008AQNR8"/>
        <s v="HLCUCA42008ARZV6"/>
        <s v="ONEYTPEA70568400"/>
        <s v="ONEYTPEA70552400"/>
        <s v="SUDUN0471ATV4K9L"/>
        <s v="SUDUN0471AU7CSMP"/>
        <s v="HLCUCA42009ASBL5"/>
        <s v="HLCUCA4201041030"/>
        <s v="HLCUCA42010ASHQ8"/>
        <s v="HLCUCA42010ASHT0"/>
        <s v="HLCUCA4201240775"/>
        <s v="HLCUCA42008APPF4"/>
        <s v="MEDUAL620906"/>
        <s v="MEDUAL627083"/>
        <s v="MEDUAL614388"/>
        <s v="MEDUAL632075"/>
        <s v="MEDUAL641290"/>
        <s v="KLP0136399"/>
        <s v="LYK0141593"/>
        <s v=" LYK0141595 "/>
        <s v=" LYK0141595 / RTM1021302"/>
        <s v="HLCUOSL200713952"/>
        <s v="LYK0141727"/>
        <s v="LYK0141728"/>
        <s v="LYK0141728 / RTM1021343"/>
        <s v="HLCUOSL200810115"/>
        <s v="HLCUOSL200812947"/>
        <s v="HLCUOSL200714290"/>
        <s v="EGLV711000044792"/>
        <s v="HLCUBO2200737039"/>
        <s v="LYK0141702 "/>
        <s v="LYK0141698"/>
        <s v="BGA0270558"/>
        <s v="HLCUBO2200826390 "/>
        <s v=" HLCUBO2200824646"/>
        <s v=" HLCUBO2200822187 "/>
        <s v="HLCUBO2200715644"/>
        <s v=" LYK0141703 "/>
        <n v="104"/>
        <n v="105"/>
        <n v="106"/>
        <n v="107"/>
        <n v="108"/>
        <n v="213"/>
        <n v="214"/>
        <n v="215"/>
        <n v="216"/>
        <n v="217"/>
        <n v="301"/>
        <n v="302"/>
        <n v="303"/>
        <n v="304"/>
        <s v="HBG1436614"/>
        <s v="HBG1436682"/>
        <s v="TJCLL22"/>
        <s v="GSSW20SHA4456A"/>
        <n v="501"/>
        <n v="502"/>
        <n v="503"/>
        <n v="504"/>
        <n v="601"/>
        <n v="602"/>
        <n v="701"/>
        <n v="702"/>
        <n v="703"/>
        <n v="704"/>
        <s v="TJCLL71"/>
        <n v="401"/>
        <n v="402"/>
        <n v="403"/>
        <s v="HLCUOSL200812885"/>
        <s v="HLCUOSL200812925"/>
        <s v="LYK0141999"/>
        <s v="LYK0142001"/>
        <s v="LYK0142000"/>
        <s v=" LYK0142002 "/>
        <s v="MEDUNC562356"/>
        <s v="MEDUNC563685"/>
        <s v="HLCUKLJ200913073"/>
        <s v="IPJJ01F"/>
        <s v="IPJJ01G"/>
        <s v="GF201020C"/>
        <s v="GF201020E"/>
        <s v="GF201020A"/>
        <s v="GF201020D"/>
        <s v="GF201020B"/>
        <s v="IPJJ03C"/>
        <s v="IPJJ03D"/>
        <s v="IPJJ03A"/>
        <s v="IPJJ03B"/>
        <s v="EM2CL-1036927"/>
        <s v="MEDUPR774043"/>
        <s v="MOS0162492"/>
        <s v="MOS0163477"/>
        <s v="PAITA 2"/>
        <s v="SALAVERRY 2"/>
        <s v="CALLAO 2"/>
        <s v="PISCO 2"/>
        <s v="MATARANI 2"/>
        <s v="PAITA 1"/>
        <s v="SALAVERRY 1"/>
        <s v="CALLAO 1"/>
        <s v="PISCO 1"/>
        <s v="MATARANI 1"/>
        <s v="GSSW20SHA4457A"/>
        <s v="GSSW20SHA4477A"/>
        <s v="XZHBYQCLL11"/>
        <s v="GSSW20SHA4459A"/>
        <s v=" MEDUAL670000"/>
        <s v="SUDU70999ADK5006"/>
        <s v="SUDU71999AE0M008"/>
        <s v="SUDU71999MEMO008"/>
        <s v="MEDUAL660860"/>
        <s v="MEDUAL680181"/>
        <s v="SUDU71999AE0M009"/>
        <s v="HLCUALY201105447"/>
        <s v="RTM1031207"/>
        <s v="GSSW20SHA4477B"/>
        <s v="SUDUI0617A6556MB"/>
        <s v="GSSW20SHA4474B"/>
        <s v="GSSW20SHA4429B"/>
        <s v="MEDUNC570276"/>
        <s v="MEDUNC570417"/>
        <s v="MEDUNC570425"/>
        <s v="GSSW20SHA4460A"/>
        <s v="HBG1447523A"/>
        <s v="HLCUBO2200929754"/>
        <s v="SUDUC0ANR020156X"/>
        <s v="MAEU209831882"/>
        <s v="SUDUC0ANR020186X"/>
        <s v="SUDUC0ANR020191X"/>
        <s v="HLCUANR201067660"/>
        <s v=" LYK0142522"/>
        <s v="HBG1446069"/>
        <s v="SGU0190036"/>
        <s v="BGA0272540"/>
        <s v="EGLV711000050610"/>
        <s v="SUDU20MEX037415X"/>
        <s v="HLCUALY210119227"/>
        <s v="SUDU71724AF1T012"/>
        <s v="ELTJCLL47"/>
        <s v="HBG1458603"/>
        <s v="HBG1458638"/>
        <s v="GSSW20SHA4822A"/>
        <s v="MEDUNC578220"/>
        <s v="MEDUNC578261"/>
        <s v="MEDUNC578089"/>
        <s v="MEDUNC578246"/>
        <s v="MEDUNC578253"/>
        <s v="MEDUNC582883"/>
        <s v="HLCUKLJ201213020"/>
        <s v="GSSW20SHA5220A"/>
        <s v="ELTJCLL48"/>
        <s v=" LYK0142523"/>
        <s v="BGA0277001"/>
        <s v="BGA0277000"/>
        <s v="HLCUBO2201132799"/>
        <s v="SUDUI0617A6GFLJ3"/>
        <s v="BGA0274612"/>
        <s v="HLCUBO2201100410"/>
        <s v="HLCUBO2201113912"/>
        <s v="HLCUBO2201032545"/>
        <s v="HLCUBO2201100392"/>
        <n v="711000057100"/>
        <s v="BGA0276071"/>
        <s v="BGA0276073"/>
        <s v="BGA0276317"/>
        <s v="HLCUBO2201120289"/>
        <s v="HLCUBO2201120351"/>
        <s v="HLCUBO2201120413"/>
        <n v="711000061883"/>
        <s v="HLCUSCL201175133"/>
        <s v="XZHBYQCLL12"/>
        <s v="GSSW20SHA5212B"/>
        <s v="GSSW20SHA5237A"/>
        <s v="HBG1463036"/>
        <s v="HBG1465545"/>
        <s v="XZHBYQPAT02"/>
        <s v="GSSW20SHA5444A"/>
        <s v="SUDU71999AFBS004"/>
        <s v="SUDU71724AGCS031"/>
        <s v="TC03TJ2101"/>
        <s v="FL2101TC29"/>
        <s v="GSSW21SHA2178A"/>
        <s v="SUDU71999AHDK006"/>
        <s v="SUDU71999AHJS001"/>
        <s v="SUDU71724AHX6005"/>
        <s v="SUDU71724AIFI001"/>
        <s v="SUDU71999AFG5002"/>
        <s v="COSU6292324120"/>
        <s v="HBG1472637"/>
        <s v="KSBYQCLL03"/>
        <s v="MAEU911837030"/>
        <s v="BGA0279123"/>
        <s v="HLCUME3210255140"/>
        <s v="HLCUME3210388124"/>
        <s v="HLCUME3210353630"/>
        <s v="HLCUME3210237366"/>
        <s v="HLCUME3210346876"/>
        <s v="HLCUME3210421550"/>
        <s v="HLCUME3210612245"/>
        <s v="HLCUME3210356090"/>
        <s v="HLCUME3210431607 "/>
        <s v="HLCUME3210642054"/>
        <s v="SUDU71999AIGU001"/>
        <s v="GSSW21SHA3856A"/>
        <s v="HLCUBO2210102316"/>
        <s v="HBG1508123"/>
        <s v="FL2101TC28"/>
        <s v="2A"/>
        <s v="2B"/>
        <s v="2C"/>
        <s v="VK03C"/>
        <s v="VKJJ01-7"/>
        <s v="VKJJ01-8"/>
        <s v="VKJJ01-9"/>
        <s v="VK03E"/>
        <s v="VK01F"/>
        <s v="210400341/0403"/>
        <s v="MAEU208361971"/>
        <s v="MAEU208362072"/>
        <s v="MAEU209831943"/>
        <s v="1MOP"/>
        <s v="2MOP"/>
        <s v="3MOP"/>
        <s v="4MOP"/>
        <s v="5MOP"/>
        <s v="2021TJCA012"/>
        <s v="HLCUME3210259174"/>
        <s v="HLCUME3210454960"/>
        <s v="VKJJ03F"/>
        <s v="VKJJ03G"/>
        <s v="VKJJ03H"/>
        <s v="HLCUFRA210213282"/>
        <s v="HLCUFRA210209271"/>
        <s v="MAEU210534771"/>
        <s v="SUDUI1617A7GZ5MB"/>
        <s v="HLCUEUR210406145"/>
        <s v="HLCUEUR210407517"/>
        <s v="MAEU210534586"/>
        <s v="SUDUI1617A7KTZKS"/>
        <s v="2021TJCA009"/>
        <s v="FL2101TC30"/>
        <s v="MAEU912021379"/>
        <s v="MAEU912021369"/>
        <s v="MAEU209547377"/>
        <s v="MEDUSV519690"/>
        <s v="MEDUSV519633"/>
        <s v="3A"/>
        <s v="3B"/>
        <s v="3C"/>
        <s v="00517/BON/21"/>
        <s v="BEBYQCLL01"/>
        <s v="264056BAY009"/>
        <s v="GSSW21SHA2934A"/>
        <s v="HBG1494147"/>
        <s v="VKJJ01-6"/>
        <s v="VK03D"/>
        <s v="VKJJ01-11"/>
        <s v="VKJJ01-12"/>
        <s v="VKJJ01-10"/>
        <s v="HLCUBO2210134606"/>
        <s v="HLCUBO2210134599"/>
        <s v="HBG1513397"/>
        <s v="HLCUFRA210647687"/>
        <s v="LYK0144813"/>
        <s v="LYK0144842"/>
        <s v="LYK0144848"/>
        <s v="HGKAOCLL01"/>
        <s v="HGKAOPAI01"/>
        <s v="BGA0288354"/>
        <s v="HLCUBO2210441072"/>
        <s v="SUDU21MEX025032X"/>
        <s v="SUDU21MEX024141X"/>
        <s v="SUDU21MEX023434X"/>
        <s v="2021TJCA030/051"/>
        <s v="HGHKTJPAI10"/>
        <s v="210101269/0202"/>
        <s v="YMLUC236085494"/>
        <s v="357442800DEN"/>
        <s v="356286692DEN"/>
        <s v="VKJJ02-3"/>
        <s v="VKJJ02-4"/>
        <s v="VKJJ02-5"/>
        <s v="VKJJ02-6"/>
        <s v="MAEU210687879"/>
        <s v="MAEU210688001"/>
        <s v="MAEU211289582"/>
        <s v="MAEU210046393"/>
        <s v="SUDU21159AT02X59"/>
        <s v="HLCUBO2210411548"/>
        <s v="HBG1556972"/>
        <s v="AQTJPAI08"/>
        <s v="FL2101TC20"/>
        <s v="264056XGG023"/>
        <s v="PAI 2"/>
        <s v="CAL 2"/>
        <s v="MAT 2"/>
        <s v="PAI 1"/>
        <s v="SAL 1"/>
        <s v="CAL 1"/>
        <s v="PIS 1"/>
        <s v="MAT 1"/>
        <s v="IPYTEZJG0204C"/>
        <s v="IPYTEZJG0204D"/>
        <s v="IPYTEZJG0204E"/>
        <s v="IPYTEZJG0204F"/>
        <s v="IPDAPZJG02B"/>
        <s v="IPDAPZJG02A"/>
        <s v="IPDAPZJG02C"/>
        <s v="IPYTEZJG01"/>
        <s v="TJGYIP010203JA"/>
        <s v="TJGYIP010203J"/>
        <s v="TJGYIP010203D"/>
        <s v="TJGYIP010203C"/>
        <s v="TJGYIP010203Q"/>
        <s v="TJGYIP010203N"/>
        <s v="TJGYIP010203M"/>
        <s v="LYK0146015 "/>
        <s v="LYK0146010 "/>
        <s v="HLCUOSL210412832 "/>
        <s v="HLCURTM210663451"/>
        <s v="HLCUOSL210511637"/>
        <s v="LYK0146693"/>
        <s v="LYK0146697"/>
        <s v="FL2101TC70"/>
        <s v="HLCUBO2210441050"/>
        <s v="MAEU912547899"/>
        <s v="GSSW21SHA4008B"/>
        <s v="GSSW21SHA4254B"/>
        <s v="GSSW21SHA4306A"/>
        <s v="GSSW21SHA4008A"/>
        <s v="GSSW21SHA4031A"/>
        <s v="GSSW21SHA4254A"/>
        <s v="LYK0147318"/>
        <s v="HLCUBO2210546907"/>
        <s v="BGA0290097"/>
        <s v="BGA0291729"/>
        <s v="SEAU211030231"/>
        <s v="LYK0147319"/>
        <s v="HLCUOSL210811715"/>
        <s v="264056BAY021"/>
        <s v="IPBFZJG01"/>
        <s v="IPBFZJG02"/>
        <s v="IPBFZJG03"/>
        <s v="HLCUGDY210854142"/>
        <s v="PAI 01"/>
        <s v="CAL 02"/>
        <s v="MAT 03"/>
        <s v="HLCUBO2210610435"/>
        <s v="BGA0292075"/>
        <s v="BGA0293812"/>
        <s v="BGA0291559"/>
        <s v="HLCUBO2210610307"/>
        <s v="BGA0292082"/>
        <s v="MAEU912556029"/>
        <s v="HLCUKLJ210712956  "/>
        <s v="7B"/>
        <s v="MAEU212169954"/>
        <s v="MAEU212235485"/>
        <s v="HLCULIV210898683"/>
        <s v="HLCUBO2210546995"/>
        <s v="HLCUBO2210664248"/>
        <s v="BGA0291553"/>
        <s v="HLCUBO2210722480"/>
        <s v="HLCUBO2210749270"/>
        <s v="BGA0293488"/>
        <s v="HLCUANR210885836"/>
        <s v="BGA0293137"/>
        <s v="BGA0296087"/>
        <s v="MEDUC1117760"/>
        <s v="BGA0296092 "/>
        <s v="HLCUANR210878184"/>
        <s v="75B039XGG048"/>
        <s v="HLCUBO2210549101"/>
        <s v="MAEU912745575"/>
        <s v="MEDUX1318633"/>
        <n v="155100083211"/>
        <s v="EGLV155100087454 "/>
        <n v="7610"/>
        <n v="7613"/>
        <n v="7671"/>
        <n v="7673"/>
        <n v="7674"/>
        <n v="7675"/>
        <s v="-"/>
        <s v="TCLCS003 "/>
        <s v="HLCUKLJ210913542"/>
        <s v="75B039XGG038"/>
        <s v="HBG1546920"/>
        <s v="GSSW21SHA4470A "/>
        <s v="GSSW21SHA4825B"/>
        <s v="264056XGG055"/>
        <s v="HLCUKLJ210913213"/>
        <s v="HLCUKLJ210913202"/>
        <s v="HLCUKLJ210913480"/>
        <s v="HLCUKLJ210913470"/>
        <s v="EGVL155100092423"/>
        <s v="MAEU912884873"/>
        <s v="MAEU912879997"/>
        <s v="MAEU912890339"/>
        <s v="EGLV155100144971"/>
        <s v="EGLV155100144997"/>
        <s v="75B039XGG072"/>
        <s v="75B039XGG073"/>
        <s v="264056XGG103"/>
        <s v="75B039XGG049"/>
        <s v="BGA0296287 "/>
        <s v="BGA0297059"/>
        <s v="BGA0298242 "/>
        <s v="BBG3YZ01"/>
        <s v="HLCURTM2108AUVR8"/>
        <s v="HLCURTM210930649"/>
        <s v="BGA0296414"/>
        <s v="BGA0296302 "/>
        <s v="HLCURTM210961300"/>
        <s v="HLCURTM211026180"/>
        <s v="210403755/0408"/>
        <s v="LYK0148897"/>
        <s v="LYK0148894"/>
        <s v="HLCUANR211252934"/>
        <s v="HLCUANR211262499"/>
        <s v="BGA0296923"/>
        <s v="HLCUBO2210755231"/>
        <s v="SUDU21159AV9K8U1 "/>
        <s v="BGA0296416 "/>
        <s v="BGA0296922"/>
        <s v="BGA0298976 "/>
        <s v="HLCUBO2210853468"/>
        <s v="BGA0300440"/>
        <s v="BGA0298977"/>
        <s v="BGA0298972"/>
        <s v="BGA0298975"/>
        <s v="SUDU21159AVTTVU7"/>
        <s v=" BGA0298973 "/>
        <s v="BGA0298974"/>
        <s v=" BGA0300577 "/>
        <s v="  HLCULIV210899419  "/>
        <s v="MEDUIG015700"/>
        <s v="HLCUME3211064984"/>
        <s v="SUDU21MEX035189X"/>
        <s v="QTJCLL56 "/>
        <s v="ZGEVR211004A"/>
        <s v="ZGEVR211004B"/>
        <s v="ZGEVR211005E"/>
        <s v="ZGEVR211004C"/>
        <s v="ZGEVR211001-C"/>
        <s v="ZGEVR211001-D"/>
        <s v="ZGEVR211001-E"/>
        <s v="ZGEVR211001-F"/>
        <s v="PJ07B"/>
        <s v="PJ01C"/>
        <s v="75B039XGG071"/>
        <s v="HLCUOSL211012448"/>
        <s v="MEDUM5707440"/>
        <s v="HLCUME3220161756"/>
        <s v="HLCUME3220165483"/>
        <s v="SUDU21MEX041172X"/>
        <s v="BK3ZJGHRSJ01B"/>
        <s v="BK3ZJGHRSJ01C"/>
        <s v="BBG3YZ0405D"/>
        <s v="BBG3YZ0405I"/>
        <s v="TCLCS001 "/>
        <s v="TCLCS002 "/>
        <s v="TCLCS004 "/>
        <s v="CG/012/2021-1"/>
        <s v="CG/012/2021-2"/>
        <n v="7272"/>
        <s v="CG/012/2021-3"/>
        <s v="CG/013/2021-1"/>
        <n v="7315"/>
        <s v="CG/014/2021-1"/>
        <s v="CG/014/2021-2"/>
        <n v="7340"/>
        <s v="CG/014/2021-3"/>
        <n v="7341"/>
        <n v="7372"/>
        <n v="7373"/>
        <n v="7374"/>
        <n v="7375"/>
        <n v="7427"/>
        <n v="7552"/>
        <n v="7554"/>
        <n v="7592"/>
        <n v="7607"/>
        <n v="7616"/>
        <n v="7627"/>
        <n v="7629"/>
        <n v="7631"/>
        <s v="SUDU21159AW40A1L"/>
        <s v="BGA0304379"/>
        <s v="BGA0304393"/>
        <s v="SUDU21159AWKCF68"/>
        <s v="HLCUBO2210928935"/>
        <s v="HLCUBO2210957562"/>
        <s v="HLCUBO2210958080"/>
        <s v="Y08005XGG051"/>
        <s v="ZGEVR211007B"/>
        <s v="ZGEVR211007A"/>
        <s v="  ZGEVR211007C  "/>
        <s v="MAEU213775769"/>
        <s v="MAEU213775510"/>
        <s v="SUDU71HFA002217X"/>
        <s v="SUDU71HFA002480X"/>
        <s v="MW11TC12E"/>
        <s v="BGA0302128"/>
        <s v="LYK0150468"/>
        <s v="BGA0302146"/>
        <s v="GSSW21SHA5458B"/>
        <s v="HLCUANR211145039"/>
        <s v="HLCUANR211215217"/>
        <s v="HLCUANR211137323"/>
        <s v="HLCUANR220222243"/>
        <s v="HLCUBO2210957752"/>
        <s v="HLCUBO2211052597"/>
        <s v="BGA0302142"/>
        <n v="774876182802"/>
        <s v="BGA0302150"/>
        <s v="BGA0302139"/>
        <s v="TCLCK001"/>
        <n v="1265659673"/>
        <s v="HLCUME3220269215"/>
        <s v="HLCUANR211120076"/>
        <s v="HLCUANR211119940"/>
        <s v="SUDU21159AWUUSV3"/>
        <s v="HLCUBO2210954754"/>
        <s v="LYK0152208"/>
        <s v="HLCUBO2211052352 "/>
        <s v="HLCUBO2211052470"/>
        <s v="HLCUBO2211052510"/>
        <s v="HLCUBO2211052290"/>
        <s v="QTJCLL24"/>
        <s v="Y08005XGG052"/>
        <s v="LYK0151447"/>
        <s v="HLCUOSL220410685"/>
        <s v="SAL 2"/>
        <s v="MW11TC12M"/>
        <s v="HLCUBO2211166018"/>
        <s v="HLCUBO2211247810"/>
        <s v="HLCUBO2211247853"/>
        <s v="HLCUBO2211247897"/>
        <s v="BGA0308127"/>
        <s v="BGA0308128"/>
        <s v="BGA0308129"/>
        <s v="BGA0308130"/>
        <s v="HLCUBO2211115270"/>
        <s v="BGA0308126"/>
        <s v="HLCUBO2211115280"/>
        <s v="HLCUBO2220217195    "/>
        <s v="QTJCLL57 "/>
        <s v="QTJCLL66 "/>
        <s v="GE015WDZJG01-E"/>
        <s v="GE015WDZJG01-F"/>
        <s v="GE015WDZJG01-G"/>
        <s v="GE015WDZJG01-H"/>
        <s v="GE015YTEZJG06E"/>
        <s v="GE015YTEZJG06F"/>
        <s v="GE015YTEZJG06G"/>
        <s v="Y08005XGG055"/>
        <s v="Y08005XGG111"/>
        <s v="902050XGG028"/>
        <s v="SUSA-1"/>
        <s v="SUCA-1"/>
        <s v="MAEU913447694"/>
        <s v="EM3CL-1113024"/>
        <n v="1103283"/>
        <s v="35G3TZ333GD"/>
        <s v="HLCUBO2220216974"/>
        <s v="BGA0314882"/>
        <s v="HLCUBO2211247960"/>
        <s v="HLCUBO2220158670"/>
        <s v="HLCUBO2220110629"/>
        <s v="CDC0132497"/>
        <s v="CDC0132746"/>
        <s v="CDC0133366"/>
        <s v="CDC0133512"/>
        <s v="CDC0133663"/>
        <s v="HLCUTA12112BCVK1 "/>
        <s v="HLCUTA12201FOFO6 "/>
        <n v="913751184"/>
        <s v="HLCUTA12202FHFS6"/>
        <s v="SUDU22051AZ1194T"/>
        <s v="SUDUN2FAN000148A"/>
        <s v="902050XGG072"/>
        <s v="HLCUANR211155214"/>
        <s v="HLCUANR220222086"/>
        <n v="7637"/>
        <s v="HLCUBO2220158648"/>
        <s v="BGA0314676"/>
        <s v="GE015YTEZJG04"/>
        <s v="GE015YTEZJG03"/>
        <s v="GE015YTEZJG02"/>
        <s v="GE015YTEZJG01"/>
        <s v="HLCUANR2201AQNU8"/>
        <s v="HLCUANR2201AQOB5"/>
        <s v="HLCUANR220249910"/>
        <s v="HLCUANR220249900"/>
        <s v="HLCUANR220287775"/>
        <s v="HLCUANR220287742"/>
        <s v="HLCUBO2211262132"/>
        <s v="HLCUBO2220110684"/>
        <s v="BGA0313547"/>
        <s v="HLCUBO2211269862"/>
        <s v="HLCUBO2220167188"/>
        <s v="BGA0319322"/>
        <s v="BGA0318123"/>
        <s v="HLCUBO2220167904"/>
        <s v="HLCUBO2220212867"/>
        <s v="HLCUBO2220167926"/>
        <s v="HLCUBO2220354219"/>
        <s v="HLCUBO2220354190"/>
        <s v="HLCUBO2220167524"/>
        <s v="BGA0320028"/>
        <s v="HLCUBO2220217034"/>
        <s v="MEDUAF258688"/>
        <s v="MEDUQE080591"/>
        <s v="MEDUQE080583"/>
        <n v="596852542"/>
        <n v="596852543"/>
        <n v="596852545"/>
        <n v="596852731"/>
        <n v="913775401"/>
        <n v="5177147942"/>
        <s v="HLCUANR2203AQCZ4"/>
        <s v="CG/005/2022-A"/>
        <n v="7836"/>
        <s v="CG/005/2022-B"/>
        <s v="CG/006/2022"/>
        <s v="XGGPS026"/>
        <s v="EQU177/B"/>
        <s v="EQU177/A"/>
        <s v="EQU216/C"/>
        <s v="N/A"/>
        <s v="EQU217/D"/>
        <s v="MEDULV425300"/>
        <s v="AOA/COM/035/2022"/>
        <s v="SXHTJCLL52"/>
        <s v="GSSW22SHA2489A"/>
        <s v="HHKDLCAL01"/>
        <s v="04901/BON/22"/>
        <s v="04902/BON/22"/>
        <s v="04903/BON/22"/>
        <s v="04904/BON/22"/>
        <s v="HLCUBO2220434755"/>
        <s v="HLCUBO2220367280"/>
        <s v="HLCUANR220446327"/>
        <s v="EQL-333-01"/>
        <s v="EQL-334-02"/>
        <s v="EQL-346-03"/>
        <s v="EQL-347-04"/>
        <s v="RATJCLL03"/>
        <s v="HLCUBO2220461946"/>
        <s v="HLCUBO2220455772"/>
        <n v="8008"/>
        <n v="8028"/>
        <s v="CG/013/2022-A"/>
        <s v="CG/013/2022-B"/>
        <n v="8121"/>
        <n v="8136"/>
        <n v="8137"/>
        <s v="85W026XGG093"/>
        <n v="609051162"/>
        <s v="HLCUDUB220404766"/>
        <s v="HLCUBO2220462145"/>
        <s v="BGA0329553"/>
        <s v="HLCUBO2220519470"/>
        <s v="BGA0327768"/>
        <s v="BGA0327900"/>
        <s v="BGA0327765"/>
        <s v="BGA0331211"/>
        <s v="HLCUANR220554951"/>
        <s v="BGA0331181"/>
      </sharedItems>
    </cacheField>
    <cacheField name="FECHA B/L" numFmtId="0">
      <sharedItems containsDate="1" containsBlank="1" containsMixedTypes="1" minDate="2017-04-10T00:00:00" maxDate="2022-06-03T00:00:00"/>
    </cacheField>
    <cacheField name="NAVE ORIGEN" numFmtId="0">
      <sharedItems containsBlank="1"/>
    </cacheField>
    <cacheField name="NAVE DESTINO" numFmtId="0">
      <sharedItems containsBlank="1" count="403">
        <s v="MV VELVET"/>
        <s v="MARY V.2503E"/>
        <s v="MAGARI"/>
        <s v="SEALAND LOS ANGELES "/>
        <s v="SVENDBORG MAERSK "/>
        <s v="APL HOUSTON"/>
        <s v="MSC BRANKA"/>
        <s v="MV VULLY"/>
        <s v="MV FEDERAL SPEY"/>
        <s v="MOL PACE"/>
        <s v="HS LISZT"/>
        <s v="CMA CGM MEKONG"/>
        <s v="SEALAND PHILADELPHIA"/>
        <s v="SEALAND GUAYAQUIL "/>
        <s v="SEALAND MANZANILLO"/>
        <m/>
        <s v="MV RUI AN CHENG"/>
        <s v="SOROE MAERSK"/>
        <s v="CSCL WINTER"/>
        <s v="KMARIN AQUA "/>
        <s v="CAP SAN TAINARO"/>
        <s v="CALLAO EXPRESS "/>
        <s v="BULK HERO"/>
        <s v="MV.CLARKE QUAY"/>
        <s v="MSC ANZU"/>
        <s v="KS FLORA"/>
        <s v="MV TIZIANA"/>
        <s v="CNP ILO"/>
        <s v="LUNA MAERSK "/>
        <s v="ARKADIA"/>
        <s v="VALPARAISO EXPRESS"/>
        <s v="SEALAND LOS ANGELES"/>
        <s v="CALLAO EXPRESS"/>
        <s v="JPO LIBRA"/>
        <s v="SEALAND BALBOA "/>
        <s v="BIWA ARROW"/>
        <s v="MSC ADELAIDE"/>
        <s v="SAN CLEMENTE"/>
        <s v="ALINDA"/>
        <s v="CARTAGENA EXPRESS"/>
        <s v="SEALAND MANZANILLO "/>
        <s v="CMA CGM TANYA"/>
        <s v="GUAYAQUIL EXPRESS"/>
        <s v="COSCO ANTWERP"/>
        <s v="SEA TRANSPORT"/>
        <s v="JULIANA"/>
        <s v="MV TUJU ARROW"/>
        <s v="TANCHOU ARROW "/>
        <s v="CARSTEN MAERSK "/>
        <s v="MV NORTHERN DANCER"/>
        <s v="CMA CGM Niagara"/>
        <s v="CAP SAN SOUNIO"/>
        <s v="MV SUPERNOVA"/>
        <s v="MSC SASHA/MSC VIDISHA"/>
        <s v="MV BLUEBILL"/>
        <s v="NANDU ARROW"/>
        <s v="MV BUNA ARROW"/>
        <s v=" MV MUSKY"/>
        <s v="MSC YASHI B "/>
        <s v="CARSTEN MAERSK "/>
        <s v="SOROE MAERSK "/>
        <s v="MARINER"/>
        <s v="MV STAR MAINE"/>
        <s v="ALS APOLLO 1803"/>
        <s v="MARINER 1805"/>
        <s v="MSC YASHI B"/>
        <s v="MV MISAGO ARROW "/>
        <s v="MV AARGAU"/>
        <s v="MV OCEAN AMBITIOUS "/>
        <s v="MIZAR"/>
        <s v="EVER LYRIC"/>
        <s v="MSC SHREYA B"/>
        <s v="NORTHERN JUVENILE"/>
        <s v="EXPRESS BERLIN"/>
        <s v="CAROLINE MAERSK"/>
        <s v="MV SAGA FRAM "/>
        <s v=" SEALAND LOS ANGELES "/>
        <s v="MSC AVNI"/>
        <s v="LOUISIANA TRADER "/>
        <s v="SATIE"/>
        <s v="E.R. TIANSHAN"/>
        <s v="MSC GAYANE"/>
        <s v="MV NORD NANAMI "/>
        <s v="ROTTERDAM"/>
        <s v="MV IONIC HALO"/>
        <s v="LAURA MAERSK"/>
        <s v="SVENDBORG MAERSK"/>
        <s v="MOL BELLWETHER"/>
        <s v="SEALAND LOS ANGELES    "/>
        <s v="WAN HAI 512"/>
        <s v="MV ECO SPLENDOR "/>
        <s v="SPIRIT OF MELBOURNE"/>
        <s v="GLASGOW EXPRESS"/>
        <s v="CELINA STAR"/>
        <s v="MSC NITYA B"/>
        <s v="DOMINGO"/>
        <s v="MSC RENEE"/>
        <s v="SEALAND BALBOA"/>
        <s v="MSC FAUSTINA"/>
        <s v="AS FORTUNA"/>
        <s v="MV SMEW"/>
        <s v="CS SONOMA"/>
        <s v="FINCH ARROW"/>
        <s v="CHASTINE MAERSK"/>
        <s v="MSC MARIA SAVERIA  "/>
        <s v="MV STRATEGIC HARMONY"/>
        <s v="ULTRA PROSPERITY"/>
        <s v="OSPREY ARROW"/>
        <s v="ALIOTH 142S "/>
        <s v="MV INDIAN BULKER"/>
        <s v="CARSTEN MAERSK"/>
        <s v="POLYNESIA"/>
        <s v="PRINCESSE OUI"/>
        <s v="CMA CGM CALCUTT"/>
        <s v="ALIOTH 148S"/>
        <s v="MSC ANTONELLA"/>
        <s v="MV PORT ALBERNI"/>
        <s v="MV STAR MAJESTY "/>
        <s v="MIZAR 151S"/>
        <s v="DUBLIN EXPRESS"/>
        <s v="DUBLIN EXPRESS    "/>
        <s v="LOUSIANA TRADER"/>
        <s v="LIVERPOOL EXPRESS"/>
        <s v="MV ALYCIA"/>
        <s v="CLIFFORD MAERSK"/>
        <s v="XIN YA ZHOU"/>
        <s v="ARIS CONFIDENCE "/>
        <s v="MV CRESTY"/>
        <s v="MV GULLWING"/>
        <s v="CERINTHUS"/>
        <s v="MSC SHUBA B"/>
        <s v="KOTA CARUM 051W"/>
        <s v="MV COQUIMBO"/>
        <s v="MV UNI SUNSHINE"/>
        <s v="MELBOURNE STRAIT "/>
        <s v="LOUISIANA TRADER"/>
        <s v="CAUTIN"/>
        <s v="MSC LAUREN"/>
        <s v="COSCO PRINCE RUPERT"/>
        <s v="MAULLIN"/>
        <s v="CORNELIUS MAERSK"/>
        <s v="CORCOVADO"/>
        <s v="MV AMELIE"/>
        <s v="ADRIAN SCHULTE"/>
        <s v="MV GLARUS"/>
        <s v="TENCA ARROW"/>
        <s v="WAN HAI"/>
        <s v="SUSAN MAERSK"/>
        <s v="MV TN DAWN"/>
        <s v="ALIOTH"/>
        <s v="CYPRESS ARROW"/>
        <s v="LLOYD DON PASQUALE"/>
        <s v="LEDA MAERSK"/>
        <s v="DIMITRI C"/>
        <s v="MV STRATEGIC EQUITY"/>
        <s v="CMA CGM JEAN GABRIEL"/>
        <s v="SAN CRISTOBAL"/>
        <s v="MOL BREEZE"/>
        <s v="EVER EXCEL"/>
        <s v="ALIOTH "/>
        <s v="MAIPO"/>
        <s v="WAN HAI 613   "/>
        <s v="CELINE STAR"/>
        <s v="JAVA STAR"/>
        <s v="MV TS GOLF"/>
        <s v="MV OCEAN SATOKO"/>
        <s v="KOTA CEPAT"/>
        <s v="MV MACAW ARROW"/>
        <s v="LAUST MAERSK"/>
        <s v="SPIRIT LISBON"/>
        <s v="SAFMARINE MAKUTU"/>
        <s v="EF ELDRA"/>
        <s v="MSC BIANCA "/>
        <s v="CRISTINA STAR"/>
        <s v="MV CHINA SPIRIT"/>
        <s v="MSC KATIE"/>
        <s v="MV TUJU ARROW "/>
        <s v="MSC AZOV"/>
        <s v="LUNA MAERSK"/>
        <s v="MV CARLOTA BOLTEN "/>
        <s v="MATAQUITO"/>
        <s v="CMA CGM TIGRIS"/>
        <s v="MAERSK SKARSTIND"/>
        <s v="CMA CGM FORT ST PIERRE"/>
        <s v="SANTOS EXPRESS"/>
        <s v="MV PELICAN ARROW"/>
        <s v="MOL BRIGHTNESS"/>
        <s v="SEROJA TIGA"/>
        <s v="MSC CAPELLA"/>
        <s v="MSC ZEBRA"/>
        <s v="INTERLINK PROBITY"/>
        <s v="CMA CGM FORT ST GEORGES"/>
        <s v="GRANDE ISLAND"/>
        <s v="MERIDIAN"/>
        <s v="CORELLA ARROW"/>
        <s v="MAPOCHO"/>
        <s v="LARS MAERSK "/>
        <s v="SAGA FJORD "/>
        <s v="LEXA MAERSK"/>
        <s v="SAFMARINE NOMAZWE"/>
        <s v="POLAR"/>
        <s v="SAGA FJORD"/>
        <s v="MOL PROSPERITY "/>
        <s v="JAPIN ARROW"/>
        <s v="LICA MAERSK"/>
        <s v="SAN FRANCISCO BRIDGE "/>
        <s v="MV GREENWING "/>
        <s v="MSC NATASHA"/>
        <s v="XIN OU ZHOU"/>
        <s v="MV ROJEN"/>
        <s v="MV EARTH OCEAN"/>
        <s v="COSCO SHIPPING DANUBE"/>
        <s v="RONG AN CHENG "/>
        <s v="SAGA FLORA"/>
        <s v="AGIOS MINAS"/>
        <s v="CRISTINA STAR "/>
        <s v="KOTA CEPAT "/>
        <s v="LIMARI"/>
        <s v="ELIZABETH RIVER"/>
        <s v="MSC EARTH"/>
        <s v="-"/>
        <s v="MV BANGLAR ARJAN "/>
        <s v="MINSTREL"/>
        <s v="EWX COSCO"/>
        <s v="MSC NORA"/>
        <s v="MEHUIN"/>
        <s v="MV FEDERAL SKEENA"/>
        <s v="MV WOODY"/>
        <s v="MV INDIGO SW "/>
        <s v="POLAR MEXICO"/>
        <s v="MV SAN FELICE "/>
        <s v="E.R. FRANCE"/>
        <s v="MSC ELMA"/>
        <s v="MV MYKONOS BAY "/>
        <s v="LONG BEACH TRADER"/>
        <s v="CMA CGM MUMBAI"/>
        <s v="KOTA CEPAT "/>
        <s v="CMA CGM ESTELLE"/>
        <s v="MV FEDERAL YELLOWSTONE"/>
        <s v="MV EMU ARROW"/>
        <s v="POLAR COSTA RICA"/>
        <s v="POLAR ARGENTINA"/>
        <s v="MV TR CROWN"/>
        <s v="APL ESPLANADE"/>
        <s v="POHORJE"/>
        <s v="MSC MADHU B"/>
        <s v=" RHL AUDACIA"/>
        <s v="MSC CHLOE"/>
        <s v="MV RAVEN ARROW"/>
        <s v="MAERSK NORTHWOOD"/>
        <s v="MV PANAMANA"/>
        <s v="CMA CGM MUNDRA"/>
        <s v="CAPE PIONEER"/>
        <s v=" LOUISIANA TRADER"/>
        <s v="MV SINGAPORE SPIRIT"/>
        <s v="CMA CGM TAGE"/>
        <s v="BALTIC SOUTH"/>
        <s v="E.R. BERLIN "/>
        <s v="MV WESTERN BOHEME"/>
        <s v="MV DORYSIA"/>
        <s v="POLAR ECUADOR"/>
        <s v="MV PETREL ARROW"/>
        <s v="YM UBERTY"/>
        <s v="MSC ALTAMIRA"/>
        <s v="FOUMA"/>
        <s v="MV YANGTZE SPIRIT"/>
        <s v="MSC VITA"/>
        <s v="MSC ARICA"/>
        <s v="MARY"/>
        <s v="MV PETREL ARROW "/>
        <s v="CARDIFF"/>
        <s v="MV POLAR ECUADOR"/>
        <s v="MV SPAR LYNX"/>
        <s v="MSC KANOKO"/>
        <s v="SEASPAN BRAVO"/>
        <s v="MOL BEYOND"/>
        <s v="MSC MARGRIT"/>
        <s v="SEASPAN BEAUTY"/>
        <s v="MSC PERLE"/>
        <s v="MSC ALGECIRAS"/>
        <s v=" ALIOTH"/>
        <s v="MV PRETTY SIGHT"/>
        <s v="ASIA PEARL II"/>
        <s v="MV STAR JAPAN"/>
        <s v="TOKYO SPIRIT"/>
        <s v="MV INTERLINK PARITY"/>
        <s v="ALEXIS"/>
        <s v="MV CIELO DI IYO"/>
        <s v="MV XING ZUN HAI"/>
        <s v="MSC KANOKO "/>
        <s v="MSC MANU"/>
        <s v="POLAR BRASIL"/>
        <s v="MSC BIANCA"/>
        <s v="POLAR PERU"/>
        <s v="CMA CGM JEAN GABRIEL "/>
        <s v="MV EARTH HARMONY"/>
        <s v="JULIANA 20046S"/>
        <s v="POLAR CHILE"/>
        <s v=" CMA CGM SAMBHAR"/>
        <s v="MV ELISAR"/>
        <s v="SISKIN ARROW"/>
        <s v="MSC JAPAN"/>
        <s v="MAERSK BULAN"/>
        <s v="MV BERGE TRONADOR "/>
        <s v="MV XING ZUN HAI "/>
        <s v="TS JASMINE"/>
        <s v="MV MSXT FLORA"/>
        <s v="MV PENGUIN ARROW"/>
        <s v="MAERSK BRANI"/>
        <s v="MV KOUSHUN"/>
        <s v="CMA CGM SAMBHAR"/>
        <s v="X-PRESS MACHU PICHU"/>
        <s v="CMA CGM SAMBHAR "/>
        <s v="MV INTERLINK CAPACITY"/>
        <s v="MV VITA KOUAN"/>
        <s v="MV OCEAN APPLAUD "/>
        <s v="MV JINLING CONFIDENCE "/>
        <s v="NORTHERN DEMOCRAT"/>
        <s v="MAERSK NEWARK"/>
        <s v="A.P.MOLLER"/>
        <s v="SALLY MAERSK"/>
        <s v="MSC ELOISE"/>
        <s v="MV CL CENTURY"/>
        <s v="MV  BELITA"/>
        <s v="NEW ABLE"/>
        <s v="CMA CGM OHIO"/>
        <s v="DIMITRIS C"/>
        <s v="HG HONGKONG"/>
        <s v="POLAR COLOMBIA"/>
        <s v="EVER LOADING"/>
        <s v="MSC MELINE NX125A"/>
        <s v="CSCL SAN JOSE"/>
        <s v="MV AQUAPROSPER"/>
        <s v="MV IKAN PANDAN"/>
        <s v="MV STAR HIDRA"/>
        <s v="CMA CGM ARKANSAS"/>
        <s v="MV CAPETAN VASSILIS II"/>
        <s v="MV KOTOR"/>
        <s v="MV COMMON CALYPSO"/>
        <s v="AS PATRIA"/>
        <s v="MSC JAPÓN"/>
        <s v="MV GLOBAL LAGUNA"/>
        <s v="KAI TONG 16"/>
        <s v="EVER LEGEND"/>
        <s v="CAMION"/>
        <s v="TCLC QUANZHOU"/>
        <s v="MV FEDERAL DEE "/>
        <s v="MV ACER ARROW "/>
        <s v="MV MATSU ARROW"/>
        <s v="COSCO SHIPPING VOLGA"/>
        <s v="EVER LIVEN"/>
        <s v="NEW ABLE "/>
        <s v="MV BBG KINDNESS"/>
        <s v=" CMA CGM ARKANSAS"/>
        <s v=" CMA CGM JEAN GABRIEL"/>
        <s v=" GUAYAQUIL EXPRESS"/>
        <s v=" MSC AINO"/>
        <s v="MV QING YUN SHAN "/>
        <s v="MV DORIC SHOGUN"/>
        <s v="JENS MAERSK"/>
        <s v=" DIMITRIS C"/>
        <s v=" VALPARAISO  EXPRESS"/>
        <s v="ROYAL CHIBA"/>
        <s v="MV CHIOS FREEDOM "/>
        <s v="MAERSK SALINA"/>
        <s v="MAERSK SARAT"/>
        <s v="CHANG HANG JIN HAI "/>
        <s v="FEDEX"/>
        <s v="DHL"/>
        <s v="_x0009_DIMITRIS C"/>
        <s v="MV EQUINOX STAR"/>
        <s v="MV MAESTRO DIAMOND"/>
        <s v=" DIMITRIS C "/>
        <s v=" CMA CGM OHIO "/>
        <s v=" GUAYAQUIL EXPRESS "/>
        <s v="GW ELENI"/>
        <s v="GLOBAL SPLENDOUR"/>
        <s v="MV OBROVAC"/>
        <s v="VAYENGA MAERSK"/>
        <s v="MV EXPLORER AFRICA "/>
        <s v="UPS"/>
        <s v="CMA CGM CARL ANTOINE"/>
        <s v="SEASPAN BRILLIANCE"/>
        <s v="KUALA LUMPUR EXPRESS"/>
        <s v="CORNELIUS MAERSK "/>
        <s v="COPIAPO"/>
        <s v="_x0009_JEPPESEN MAERSK"/>
        <s v="GLOBAL ANDES"/>
        <s v="CARTAGENA EXPRESS   "/>
        <s v=" JEPPESEN MAERSK"/>
        <s v=" JENS MAERSK"/>
        <s v="MAERSK BULAN "/>
        <s v="MV BBC NEPTUNE"/>
        <s v="ATLANTIC MONTERREY"/>
        <s v=" CAPE AKRITAS"/>
        <s v="MV INGWAR SELMER"/>
        <s v="SHENG XIANG HAI"/>
        <s v="MV GINKGO ARROW"/>
        <s v="MV HONG KONG"/>
        <s v="CL DIYIN HE"/>
        <s v="MV ROBERTA"/>
        <s v="EMMA A"/>
        <s v="HAMMONIA BALTICA"/>
      </sharedItems>
    </cacheField>
    <cacheField name="NAVIERA" numFmtId="0">
      <sharedItems containsBlank="1" count="47">
        <s v="*CHARTER*"/>
        <s v="K-LINE"/>
        <s v="HAPAG LLOYD"/>
        <s v="MAERSK LINE"/>
        <s v="MSC"/>
        <m/>
        <s v="HAMBURG SUD"/>
        <s v="G2 OCEAN"/>
        <s v="EVERGREEN LINE"/>
        <s v="CMA CGM"/>
        <s v="PACIFIC INTERNATIONAL LINES"/>
        <s v="SEALAND"/>
        <s v="BLUE ANCHOR LINE"/>
        <s v="HELVETIA CONTAINER LINE"/>
        <s v="COSCO"/>
        <s v="AIR CANADA"/>
        <s v="ONE"/>
        <s v="EMPYREAN LINE"/>
        <s v="APL"/>
        <s v="YAN MING"/>
        <s v="HYUNDAI"/>
        <s v="PIL"/>
        <s v="WAN HAI"/>
        <s v="HANSEÁTICA (AG.C)"/>
        <s v="SEA FAIR (AG.C)"/>
        <s v="ONE/ K+N"/>
        <s v="AG. CARGA"/>
        <s v="MSC / AG. CARGA"/>
        <s v="HAPAG LLOYD / AG. CARGA"/>
        <s v="CMA CGM (IFS)"/>
        <s v="APL/ K+N"/>
        <s v="LAN CARGO"/>
        <s v="OOCL"/>
        <s v="AGENTE DE CARGA"/>
        <s v="MSC "/>
        <s v="MSL (AG. CARGA)"/>
        <s v="YANG MING MARINE"/>
        <s v="CHRISTAL LINE"/>
        <s v="TRANSPORTES Y LOGISTICA ALPORT LTD"/>
        <s v="-"/>
        <s v="TRANS. CERRO GORDO LTDA."/>
        <s v="VANGUARD LOGISTICS SERVICES PERU"/>
        <s v="TRANSPORTES Y LOGISTICA ALPORT LIMITADA"/>
        <s v="DHL"/>
        <s v="CAMION"/>
        <s v="N/A"/>
        <s v="MAERSK"/>
      </sharedItems>
    </cacheField>
    <cacheField name="AGENTE MARITIMO" numFmtId="0">
      <sharedItems containsBlank="1"/>
    </cacheField>
    <cacheField name="DIRECCIONAMIENTO" numFmtId="0">
      <sharedItems containsBlank="1"/>
    </cacheField>
    <cacheField name="EMISIÓN DE BL" numFmtId="0">
      <sharedItems containsBlank="1"/>
    </cacheField>
    <cacheField name="NRO. MANIFIESTO" numFmtId="0">
      <sharedItems containsBlank="1"/>
    </cacheField>
    <cacheField name="FCH. INICIO DESCARGA MN" numFmtId="0">
      <sharedItems containsNonDate="0" containsString="0" containsBlank="1"/>
    </cacheField>
    <cacheField name="FCH. TERM. DESCARGA MN" numFmtId="0">
      <sharedItems containsNonDate="0" containsString="0" containsBlank="1"/>
    </cacheField>
    <cacheField name="FCH. VB" numFmtId="0">
      <sharedItems containsDate="1" containsBlank="1" containsMixedTypes="1" minDate="2022-04-13T00:00:00" maxDate="2022-05-28T00:00:00" count="11">
        <m/>
        <d v="2022-04-13T00:00:00"/>
        <d v="2022-05-19T00:00:00"/>
        <d v="2022-05-18T00:00:00"/>
        <d v="2022-05-12T00:00:00"/>
        <d v="2022-05-20T00:00:00"/>
        <d v="2022-05-10T00:00:00"/>
        <d v="2022-05-17T00:00:00"/>
        <d v="2022-05-27T00:00:00"/>
        <s v="N/A"/>
        <d v="2022-05-25T00:00:00"/>
      </sharedItems>
    </cacheField>
    <cacheField name="VCTO. DÍAS LIBRES SE" numFmtId="0">
      <sharedItems containsDate="1" containsBlank="1" containsMixedTypes="1" minDate="2017-06-12T00:00:00" maxDate="2022-07-29T00:00:00"/>
    </cacheField>
    <cacheField name="FCH. VCTO. ALM. ADUANERO" numFmtId="0">
      <sharedItems containsBlank="1"/>
    </cacheField>
    <cacheField name="N° DAM" numFmtId="0">
      <sharedItems containsBlank="1" count="139">
        <m/>
        <s v="145-2022-10-000206-00"/>
        <s v="145-2022-10-000116-00"/>
        <s v="_x0009_145-2022-10-000139-00"/>
        <s v="_x0009_145-2022-10-000147-00"/>
        <s v="_x0009_145-2022-10-000162-00"/>
        <s v="_x0009_145-2022-10-000167-00"/>
        <s v="_x0009_145-2022-10-000180-00"/>
        <s v="118-2022-10-040680-00"/>
        <s v="_x0009_118-2022-10-074526-00"/>
        <s v="118-2022-10-074558-00"/>
        <s v="_x0009_118-2022-10-072158-00"/>
        <s v="145-2022-10-000280-01-9-00"/>
        <s v="118-2022-10-121104-01-6-00"/>
        <s v="_x0009_145-2022-10-000214-00"/>
        <s v="046-2022-10-001454-01-2-00"/>
        <s v="046-2022-10-000665-00"/>
        <s v="118-2022-10-124472-01-6-00"/>
        <s v="_x0009_082-2022-10-000019-00"/>
        <s v="082-2022-10-000018-00"/>
        <s v="_x0009_118-2022-10-040685-00"/>
        <s v="145-2022-10-000101-00"/>
        <s v="145-2022-10-000104-00"/>
        <s v="127-2022-10-000073-00"/>
        <s v="118-2022-10-073813-01-1-00"/>
        <s v="_x0009_118-2022-10-035023-00"/>
        <s v="_x0009_118-2022-10-040692-00"/>
        <s v="046-2022-10-000838-01-1-00"/>
        <s v="082-2022-10-000020-00"/>
        <s v="046-2022-10-001046-01-1-00"/>
        <s v="046-2022-10-000839-01-8-00"/>
        <s v="118-2022-10-121106-00"/>
        <s v="127-2022-10-000083-00"/>
        <s v="_x0009_118-2022-10-102143-00"/>
        <s v="118-2022-10-074133-01-2-00"/>
        <s v="_x0009_046-2022-10-000275-00"/>
        <s v="_x0009_046-2022-10-000483-00"/>
        <s v="118-2022-10-121298-00"/>
        <s v="118-2022-10-121355-00"/>
        <s v="046-2022-10-000319-00"/>
        <s v="_x0009_082-2022-10-000031-00"/>
        <s v="_x0009_118-2022-10-058656-00"/>
        <s v="145-2022-10-000156-00"/>
        <s v="_x0009_046-2022-10-000317-00"/>
        <s v="_x0009_118-2022-10-058657-00"/>
        <s v=" :_x0009_145-2022-10-000157-00"/>
        <s v="127-2022-10-000086-00"/>
        <s v="_x0009_127-2022-10-000087-00"/>
        <s v="127-2022-10-000194-00"/>
        <s v="082-2022-10-000098-01-4-00"/>
        <s v="127-2022-10-000404-01-1-00"/>
        <s v="118-2022-10-053609-00"/>
        <s v="118-2022-10-080674-00"/>
        <s v="145-2022-10-000282-01-1-00"/>
        <s v="118-2022-10-034900-00"/>
        <s v="118-2022-10-035014-00"/>
        <s v="_x0009_046-2022-10-000418-00"/>
        <s v="145-2022-10-000129-00"/>
        <s v="118-2022-10-177561-01-3-00"/>
        <s v="118-2022-10-097365-00"/>
        <s v="118-2022-10-114110-01-4-00"/>
        <s v="118-2022-10-128044-01-9-00"/>
        <s v="118-2022-10-134041-01-8-00"/>
        <s v="046-2022-10-001320-01-6-00"/>
        <s v="127-2022-10-000193-00"/>
        <s v="145-2022-10-000080-00"/>
        <s v="118-2022-10-116488-01-4-00"/>
        <s v="118-2022-10-129548-01-0-00"/>
        <s v="_x0009_145-2022-10-000089-00"/>
        <s v="_x0009_046-2022-10-000420-00"/>
        <s v="_x0009_118-2022-10-044930-00"/>
        <s v="145-2022-10-000129-01-9-00"/>
        <s v="046-2022-10-000318-00"/>
        <s v="_x0009_082-2022-10-000032-00"/>
        <s v="046-2022-10-000320-00"/>
        <s v="082-2022-10-000033-00"/>
        <s v="046-2022-10-000837-01-5-00"/>
        <s v="118-2022-10-109757-01-3-00"/>
        <s v="046-2022-10-001223-01-0-00"/>
        <s v="118-2022-10-145681-01-3-00"/>
        <s v="046-2022-10-001224-01-7-00"/>
        <s v="118-2022-10-154755-01-6-00"/>
        <s v="_x0009_046-2022-10-000276-00"/>
        <s v="046-2022-10-000277-00"/>
        <s v="_x0009_145-2022-10-000119-00"/>
        <s v="046-2022-10-000494-00"/>
        <s v="118-2022-10-077474-00"/>
        <s v="118-2022-10-072363-00"/>
        <s v="046-2022-10-000552-00"/>
        <s v="046-2022-10-000697-00"/>
        <s v="_x0009_046-2022-10-000773-00"/>
        <s v="046-2022-10-000980-01-2-00"/>
        <s v="046-2022-10-000981-01-9-00"/>
        <s v="118-2022-10-131910-01-5-00"/>
        <s v="118-2022-10-102150-00"/>
        <s v="_x0009_046-2022-10-000612-00"/>
        <s v="046-2022-10-001374-01-9-00"/>
        <s v="046-2022-10-001204-01-6-00"/>
        <s v="046-2022-10-001463-01-1-00"/>
        <s v="046-2022-10-001323-01-5-00"/>
        <s v="046-2022-10-001324-01-1-00"/>
        <s v="046-2022-10-001322-01-9-00"/>
        <s v="046-2022-10-001321-01-2-00"/>
        <s v="118-2022-10-133999-01-3-00"/>
        <s v="046-2022-10-000918-01-5-00"/>
        <s v="082-2022-10-000084-01-3-00"/>
        <s v="118-2022-10-149043-01-1-00"/>
        <s v="082-2022-10-000085-01-1-00"/>
        <s v="118-2022-10-149044-01-8-00"/>
        <s v="145-2022-10-000235-00"/>
        <s v="145-2022-10-000231-00"/>
        <s v="145-2022-10-000232-00"/>
        <s v="145-2022-10-000326-01-9-00"/>
        <s v="145-2022-10-000333-01-5-00"/>
        <s v="145-2022-10-000338-01-7-00"/>
        <s v="145-2022-10-000339-01-3-00"/>
        <s v="145-2022-10-000344-01-7-00"/>
        <s v="145-2022-10-000346-01-1-00"/>
        <s v="118-2022-10-159374-01-0-00"/>
        <s v="046-2022-10-000975-01-9-00"/>
        <s v="046-2022-10-001195-01-7-00"/>
        <s v="046-2022-10-001196-01-3-00"/>
        <s v="145-2022-10-000404-01-1-00"/>
        <s v="145-2022-10-000420-01-5-00"/>
        <s v="145-2022-10-000429-01-2-00"/>
        <s v="145-2022-10-000442-01-9-00"/>
        <s v="046-2022-10-001368-01-9-00"/>
        <s v="145-2022-10-000478-01-3-00"/>
        <s v="145-2022-10-000364-01-8-00"/>
        <s v="145-2022-10-000373-01-7-00"/>
        <s v="145-2022-10-000413-01-9-00"/>
        <s v="145-2022-10-000431-01-7-00"/>
        <s v="145-2022-10-000423-01-4-00"/>
        <s v="145-2022-10-000470-00"/>
        <s v="145-2022-10-000482-01-0-00"/>
        <s v="046-2022-10-001370-01-3-00"/>
        <s v="046-2022-10-001487-01-8-00"/>
        <s v="046-2022-10-001419-01-2-00"/>
        <s v="118-2022-10-177660-01-1-00"/>
      </sharedItems>
    </cacheField>
    <cacheField name="FCH. DAM" numFmtId="0">
      <sharedItems containsNonDate="0" containsDate="1" containsString="0" containsBlank="1" minDate="2022-01-25T00:00:00" maxDate="2022-05-31T00:00:00" count="68">
        <m/>
        <d v="2022-03-07T00:00:00"/>
        <d v="2022-02-09T00:00:00"/>
        <d v="2022-02-14T00:00:00"/>
        <d v="2022-02-16T00:00:00"/>
        <d v="2022-02-18T00:00:00"/>
        <d v="2022-02-21T00:00:00"/>
        <d v="2022-02-24T00:00:00"/>
        <d v="2022-02-02T00:00:00"/>
        <d v="2022-02-26T00:00:00"/>
        <d v="2022-03-30T00:00:00"/>
        <d v="2022-04-01T00:00:00"/>
        <d v="2022-03-10T00:00:00"/>
        <d v="2022-05-25T00:00:00"/>
        <d v="2022-03-12T00:00:00"/>
        <d v="2022-04-06T00:00:00"/>
        <d v="2022-01-31T00:00:00"/>
        <d v="2022-02-03T00:00:00"/>
        <d v="2022-02-04T00:00:00"/>
        <d v="2022-01-25T00:00:00"/>
        <d v="2022-02-25T00:00:00"/>
        <d v="2022-01-27T00:00:00"/>
        <d v="2022-03-26T00:00:00"/>
        <d v="2022-04-14T00:00:00"/>
        <d v="2022-03-19T00:00:00"/>
        <d v="2022-02-22T00:00:00"/>
        <d v="2022-02-07T00:00:00"/>
        <d v="2022-02-10T00:00:00"/>
        <d v="2022-02-15T00:00:00"/>
        <d v="2022-02-17T00:00:00"/>
        <d v="2022-04-22T00:00:00"/>
        <d v="2022-04-29T00:00:00"/>
        <d v="2022-03-03T00:00:00"/>
        <d v="2022-02-11T00:00:00"/>
        <d v="2022-05-18T00:00:00"/>
        <d v="2022-03-16T00:00:00"/>
        <d v="2022-03-29T00:00:00"/>
        <d v="2022-04-08T00:00:00"/>
        <d v="2022-04-12T00:00:00"/>
        <d v="2022-05-11T00:00:00"/>
        <d v="2022-01-26T00:00:00"/>
        <d v="2022-03-31T00:00:00"/>
        <d v="2022-05-03T00:00:00"/>
        <d v="2022-04-21T00:00:00"/>
        <d v="2022-04-28T00:00:00"/>
        <d v="2022-03-01T00:00:00"/>
        <d v="2022-03-15T00:00:00"/>
        <d v="2022-03-22T00:00:00"/>
        <d v="2022-04-11T00:00:00"/>
        <d v="2022-03-08T00:00:00"/>
        <d v="2022-05-17T00:00:00"/>
        <d v="2022-05-02T00:00:00"/>
        <d v="2022-05-26T00:00:00"/>
        <d v="2022-04-13T00:00:00"/>
        <d v="2022-04-23T00:00:00"/>
        <d v="2022-03-14T00:00:00"/>
        <d v="2022-04-18T00:00:00"/>
        <d v="2022-04-20T00:00:00"/>
        <d v="2022-04-25T00:00:00"/>
        <d v="2022-04-26T00:00:00"/>
        <d v="2022-04-30T00:00:00"/>
        <d v="2022-05-12T00:00:00"/>
        <d v="2022-05-19T00:00:00"/>
        <d v="2022-05-24T00:00:00"/>
        <d v="2022-05-16T00:00:00"/>
        <d v="2022-05-28T00:00:00"/>
        <d v="2022-05-30T00:00:00"/>
        <d v="2022-05-21T00:00:00"/>
      </sharedItems>
      <fieldGroup par="87" base="68">
        <rangePr groupBy="days" startDate="2022-01-25T00:00:00" endDate="2022-05-31T00:00:00"/>
        <groupItems count="368">
          <s v="(en blanco)"/>
          <s v="1-Ene"/>
          <s v="2-Ene"/>
          <s v="3-Ene"/>
          <s v="4-Ene"/>
          <s v="5-Ene"/>
          <s v="6-Ene"/>
          <s v="7-Ene"/>
          <s v="8-Ene"/>
          <s v="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br"/>
          <s v="2-Abr"/>
          <s v="3-Abr"/>
          <s v="4-Abr"/>
          <s v="5-Abr"/>
          <s v="6-Abr"/>
          <s v="7-Abr"/>
          <s v="8-Abr"/>
          <s v="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go"/>
          <s v="2-Ago"/>
          <s v="3-Ago"/>
          <s v="4-Ago"/>
          <s v="5-Ago"/>
          <s v="6-Ago"/>
          <s v="7-Ago"/>
          <s v="8-Ago"/>
          <s v="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1-Set"/>
          <s v="2-Set"/>
          <s v="3-Set"/>
          <s v="4-Set"/>
          <s v="5-Set"/>
          <s v="6-Set"/>
          <s v="7-Set"/>
          <s v="8-Set"/>
          <s v="9-Set"/>
          <s v="10-Set"/>
          <s v="11-Set"/>
          <s v="12-Set"/>
          <s v="13-Set"/>
          <s v="14-Set"/>
          <s v="15-Set"/>
          <s v="16-Set"/>
          <s v="17-Set"/>
          <s v="18-Set"/>
          <s v="19-Set"/>
          <s v="20-Set"/>
          <s v="21-Set"/>
          <s v="22-Set"/>
          <s v="23-Set"/>
          <s v="24-Set"/>
          <s v="25-Set"/>
          <s v="26-Set"/>
          <s v="27-Set"/>
          <s v="28-Set"/>
          <s v="29-Set"/>
          <s v="30-Set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ic"/>
          <s v="2-Dic"/>
          <s v="3-Dic"/>
          <s v="4-Dic"/>
          <s v="5-Dic"/>
          <s v="6-Dic"/>
          <s v="7-Dic"/>
          <s v="8-Dic"/>
          <s v="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31/05/2022"/>
        </groupItems>
      </fieldGroup>
    </cacheField>
    <cacheField name="TIPO DESPACHO" numFmtId="0">
      <sharedItems containsBlank="1"/>
    </cacheField>
    <cacheField name="CANAL" numFmtId="0">
      <sharedItems containsBlank="1"/>
    </cacheField>
    <cacheField name="FCH. LEVANTE DAM" numFmtId="0">
      <sharedItems containsNonDate="0" containsDate="1" containsString="0" containsBlank="1" minDate="2022-02-11T00:00:00" maxDate="2022-05-04T00:00:00" count="3">
        <m/>
        <d v="2022-02-11T00:00:00"/>
        <d v="2022-05-03T00:00:00"/>
      </sharedItems>
      <fieldGroup par="88" base="71">
        <rangePr groupBy="days" startDate="2022-02-11T00:00:00" endDate="2022-05-04T00:00:00"/>
        <groupItems count="368">
          <s v="(en blanco)"/>
          <s v="1-Ene"/>
          <s v="2-Ene"/>
          <s v="3-Ene"/>
          <s v="4-Ene"/>
          <s v="5-Ene"/>
          <s v="6-Ene"/>
          <s v="7-Ene"/>
          <s v="8-Ene"/>
          <s v="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br"/>
          <s v="2-Abr"/>
          <s v="3-Abr"/>
          <s v="4-Abr"/>
          <s v="5-Abr"/>
          <s v="6-Abr"/>
          <s v="7-Abr"/>
          <s v="8-Abr"/>
          <s v="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go"/>
          <s v="2-Ago"/>
          <s v="3-Ago"/>
          <s v="4-Ago"/>
          <s v="5-Ago"/>
          <s v="6-Ago"/>
          <s v="7-Ago"/>
          <s v="8-Ago"/>
          <s v="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1-Set"/>
          <s v="2-Set"/>
          <s v="3-Set"/>
          <s v="4-Set"/>
          <s v="5-Set"/>
          <s v="6-Set"/>
          <s v="7-Set"/>
          <s v="8-Set"/>
          <s v="9-Set"/>
          <s v="10-Set"/>
          <s v="11-Set"/>
          <s v="12-Set"/>
          <s v="13-Set"/>
          <s v="14-Set"/>
          <s v="15-Set"/>
          <s v="16-Set"/>
          <s v="17-Set"/>
          <s v="18-Set"/>
          <s v="19-Set"/>
          <s v="20-Set"/>
          <s v="21-Set"/>
          <s v="22-Set"/>
          <s v="23-Set"/>
          <s v="24-Set"/>
          <s v="25-Set"/>
          <s v="26-Set"/>
          <s v="27-Set"/>
          <s v="28-Set"/>
          <s v="29-Set"/>
          <s v="30-Set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ic"/>
          <s v="2-Dic"/>
          <s v="3-Dic"/>
          <s v="4-Dic"/>
          <s v="5-Dic"/>
          <s v="6-Dic"/>
          <s v="7-Dic"/>
          <s v="8-Dic"/>
          <s v="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4/05/2022"/>
        </groupItems>
      </fieldGroup>
    </cacheField>
    <cacheField name="DOCS ENTREGADOS" numFmtId="0">
      <sharedItems containsBlank="1"/>
    </cacheField>
    <cacheField name="LICENCIA ANUAL SUCAMEC / IQBF" numFmtId="0">
      <sharedItems containsBlank="1"/>
    </cacheField>
    <cacheField name="NRO. EXP. IMPO_x000a_SUCAMEC / IQBF" numFmtId="0">
      <sharedItems containsBlank="1" containsMixedTypes="1" containsNumber="1" containsInteger="1" minValue="202200120239" maxValue="202200150639"/>
    </cacheField>
    <cacheField name="SUCE _x000a_SUCAMEC / IQBF" numFmtId="0">
      <sharedItems containsBlank="1" containsMixedTypes="1" containsNumber="1" containsInteger="1" minValue="2022247338" maxValue="2022301356"/>
    </cacheField>
    <cacheField name="FCHA. INSPECCION SUCAMEC / IQBF" numFmtId="0">
      <sharedItems containsDate="1" containsBlank="1" containsMixedTypes="1" minDate="2022-05-06T00:00:00" maxDate="2022-05-27T00:00:00"/>
    </cacheField>
    <cacheField name="FCHA. RESOL. SUCAMEC / IQBF" numFmtId="0">
      <sharedItems containsDate="1" containsBlank="1" containsMixedTypes="1" minDate="2022-05-11T00:00:00" maxDate="2022-05-21T00:00:00"/>
    </cacheField>
    <cacheField name="ESTATUS SUCAMEC / IQBF" numFmtId="0">
      <sharedItems containsBlank="1" count="5">
        <m/>
        <s v="N/A"/>
        <s v="VIGENTE "/>
        <s v="LIBERADO"/>
        <s v="PENDIENTE"/>
      </sharedItems>
    </cacheField>
    <cacheField name="OBSERVACIÓN" numFmtId="0">
      <sharedItems containsBlank="1" containsMixedTypes="1" containsNumber="1" containsInteger="1" minValue="4520053033" maxValue="4520055191"/>
    </cacheField>
    <cacheField name="MOTIVOS DE DEMORAS" numFmtId="0">
      <sharedItems containsBlank="1"/>
    </cacheField>
    <cacheField name="OBSERVACION 2" numFmtId="0">
      <sharedItems containsBlank="1"/>
    </cacheField>
    <cacheField name="CONSIDERAR PARA LOS KPI's" numFmtId="0">
      <sharedItems containsNonDate="0" containsString="0" containsBlank="1"/>
    </cacheField>
    <cacheField name="RÉG" numFmtId="0">
      <sharedItems containsBlank="1"/>
    </cacheField>
    <cacheField name="CODIFICACION DESPACHO" numFmtId="0">
      <sharedItems containsNonDate="0" containsString="0" containsBlank="1"/>
    </cacheField>
    <cacheField name="RATIO DESCARGA ALM. REF" numFmtId="0">
      <sharedItems containsNonDate="0" containsString="0" containsBlank="1"/>
    </cacheField>
    <cacheField name="RATIO DESCARGA ALM. REAL" numFmtId="0">
      <sharedItems containsNonDate="0" containsString="0" containsBlank="1"/>
    </cacheField>
    <cacheField name="Meses" numFmtId="0" databaseField="0">
      <fieldGroup base="68">
        <rangePr groupBy="months" startDate="2022-01-25T00:00:00" endDate="2022-05-31T00:00:00"/>
        <groupItems count="14">
          <s v="&lt;25/01/2022"/>
          <s v="Ene"/>
          <s v="Feb"/>
          <s v="Mar"/>
          <s v="Abr"/>
          <s v="May"/>
          <s v="Jun"/>
          <s v="Jul"/>
          <s v="Ago"/>
          <s v="Set"/>
          <s v="Oct"/>
          <s v="Nov"/>
          <s v="Dic"/>
          <s v="&gt;31/05/2022"/>
        </groupItems>
      </fieldGroup>
    </cacheField>
    <cacheField name="Meses2" numFmtId="0" databaseField="0">
      <fieldGroup base="71">
        <rangePr groupBy="months" startDate="2022-02-11T00:00:00" endDate="2022-05-04T00:00:00"/>
        <groupItems count="14">
          <s v="&lt;11/02/2022"/>
          <s v="Ene"/>
          <s v="Feb"/>
          <s v="Mar"/>
          <s v="Abr"/>
          <s v="May"/>
          <s v="Jun"/>
          <s v="Jul"/>
          <s v="Ago"/>
          <s v="Set"/>
          <s v="Oct"/>
          <s v="Nov"/>
          <s v="Dic"/>
          <s v="&gt;4/05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33">
  <r>
    <n v="2017"/>
    <s v="G-S"/>
    <x v="0"/>
    <x v="0"/>
    <m/>
    <m/>
    <x v="0"/>
    <m/>
    <x v="0"/>
    <m/>
    <m/>
    <m/>
    <s v="CERRADO"/>
    <n v="206597"/>
    <x v="0"/>
    <x v="0"/>
    <x v="0"/>
    <d v="2017-01-30T00:00:00"/>
    <s v="CAD"/>
    <m/>
    <s v="I-8811"/>
    <m/>
    <d v="2017-05-18T00:00:00"/>
    <s v="CANCELADO"/>
    <s v="CFR"/>
    <m/>
    <x v="0"/>
    <n v="241"/>
    <m/>
    <x v="0"/>
    <x v="0"/>
    <s v="Granel"/>
    <m/>
    <s v="Granel Sólido"/>
    <m/>
    <m/>
    <s v="MAYO"/>
    <x v="0"/>
    <m/>
    <m/>
    <m/>
    <x v="0"/>
    <m/>
    <m/>
    <x v="0"/>
    <n v="6"/>
    <n v="2017"/>
    <x v="0"/>
    <x v="0"/>
    <s v="ST. PETERSBURG / RUSSIA"/>
    <x v="0"/>
    <m/>
    <x v="0"/>
    <x v="0"/>
    <d v="2017-05-12T00:00:00"/>
    <s v="MV VELVET"/>
    <x v="0"/>
    <x v="0"/>
    <m/>
    <m/>
    <m/>
    <m/>
    <m/>
    <m/>
    <x v="0"/>
    <m/>
    <m/>
    <x v="0"/>
    <x v="0"/>
    <m/>
    <m/>
    <x v="0"/>
    <e v="#REF!"/>
    <m/>
    <m/>
    <m/>
    <m/>
    <m/>
    <x v="0"/>
    <n v="4520054999"/>
    <m/>
    <m/>
    <m/>
    <s v="NACIONALIZADO"/>
    <m/>
    <m/>
    <m/>
  </r>
  <r>
    <n v="2017"/>
    <s v="G-S"/>
    <x v="0"/>
    <x v="0"/>
    <m/>
    <m/>
    <x v="1"/>
    <m/>
    <x v="1"/>
    <m/>
    <m/>
    <m/>
    <s v="CERRADO"/>
    <n v="206597"/>
    <x v="0"/>
    <x v="0"/>
    <x v="0"/>
    <d v="2017-01-30T00:00:00"/>
    <s v="CAD"/>
    <m/>
    <s v="I-8812"/>
    <m/>
    <d v="2017-05-18T00:00:00"/>
    <s v="CANCELADO"/>
    <s v="CFR"/>
    <m/>
    <x v="1"/>
    <n v="241"/>
    <m/>
    <x v="1"/>
    <x v="0"/>
    <s v="Granel"/>
    <m/>
    <s v="Granel Sólido"/>
    <m/>
    <m/>
    <s v="MAYO"/>
    <x v="0"/>
    <m/>
    <m/>
    <m/>
    <x v="1"/>
    <m/>
    <m/>
    <x v="1"/>
    <n v="6"/>
    <n v="2017"/>
    <x v="0"/>
    <x v="0"/>
    <s v="ST. PETERSBURG / RUSSIA"/>
    <x v="1"/>
    <m/>
    <x v="0"/>
    <x v="1"/>
    <d v="2017-05-12T00:00:00"/>
    <s v="MV VELVET"/>
    <x v="0"/>
    <x v="0"/>
    <m/>
    <m/>
    <m/>
    <m/>
    <m/>
    <m/>
    <x v="0"/>
    <m/>
    <m/>
    <x v="0"/>
    <x v="0"/>
    <m/>
    <m/>
    <x v="0"/>
    <e v="#REF!"/>
    <m/>
    <m/>
    <m/>
    <m/>
    <m/>
    <x v="0"/>
    <n v="4520055000"/>
    <m/>
    <m/>
    <m/>
    <s v="NACIONALIZADO"/>
    <m/>
    <m/>
    <m/>
  </r>
  <r>
    <n v="2017"/>
    <s v="G-S"/>
    <x v="0"/>
    <x v="0"/>
    <m/>
    <m/>
    <x v="2"/>
    <m/>
    <x v="2"/>
    <m/>
    <m/>
    <m/>
    <s v="CERRADO"/>
    <n v="206597"/>
    <x v="0"/>
    <x v="0"/>
    <x v="0"/>
    <d v="2017-01-30T00:00:00"/>
    <s v="CAD"/>
    <m/>
    <s v="I-8813"/>
    <m/>
    <d v="2017-05-18T00:00:00"/>
    <s v="CANCELADO"/>
    <s v="CFR"/>
    <m/>
    <x v="2"/>
    <n v="241"/>
    <m/>
    <x v="2"/>
    <x v="0"/>
    <s v="Granel"/>
    <m/>
    <s v="Granel Sólido"/>
    <m/>
    <m/>
    <s v="MAYO"/>
    <x v="0"/>
    <m/>
    <m/>
    <m/>
    <x v="2"/>
    <m/>
    <m/>
    <x v="2"/>
    <n v="6"/>
    <n v="2017"/>
    <x v="0"/>
    <x v="0"/>
    <s v="ST. PETERSBURG / RUSSIA"/>
    <x v="2"/>
    <m/>
    <x v="0"/>
    <x v="2"/>
    <d v="2017-05-12T00:00:00"/>
    <s v="MV VELVET"/>
    <x v="0"/>
    <x v="0"/>
    <m/>
    <m/>
    <m/>
    <m/>
    <m/>
    <m/>
    <x v="0"/>
    <m/>
    <m/>
    <x v="0"/>
    <x v="0"/>
    <m/>
    <m/>
    <x v="0"/>
    <e v="#REF!"/>
    <m/>
    <m/>
    <m/>
    <m/>
    <m/>
    <x v="0"/>
    <n v="4520055001"/>
    <m/>
    <m/>
    <m/>
    <s v="NACIONALIZADO"/>
    <m/>
    <m/>
    <m/>
  </r>
  <r>
    <n v="2017"/>
    <s v="G-S"/>
    <x v="0"/>
    <x v="0"/>
    <m/>
    <m/>
    <x v="3"/>
    <m/>
    <x v="3"/>
    <m/>
    <m/>
    <m/>
    <s v="CERRADO"/>
    <n v="206597"/>
    <x v="0"/>
    <x v="0"/>
    <x v="0"/>
    <d v="2017-01-30T00:00:00"/>
    <s v="CAD"/>
    <m/>
    <s v="I-8814"/>
    <m/>
    <d v="2017-05-18T00:00:00"/>
    <s v="CANCELADO"/>
    <s v="CFR"/>
    <m/>
    <x v="3"/>
    <n v="241"/>
    <m/>
    <x v="3"/>
    <x v="0"/>
    <s v="Granel"/>
    <m/>
    <s v="Granel Sólido"/>
    <m/>
    <m/>
    <s v="MAYO"/>
    <x v="0"/>
    <m/>
    <m/>
    <m/>
    <x v="3"/>
    <m/>
    <m/>
    <x v="3"/>
    <n v="6"/>
    <n v="2017"/>
    <x v="0"/>
    <x v="0"/>
    <s v="ST. PETERSBURG / RUSSIA"/>
    <x v="3"/>
    <m/>
    <x v="0"/>
    <x v="3"/>
    <d v="2017-05-12T00:00:00"/>
    <s v="MV VELVET"/>
    <x v="0"/>
    <x v="0"/>
    <m/>
    <m/>
    <m/>
    <m/>
    <m/>
    <m/>
    <x v="0"/>
    <m/>
    <m/>
    <x v="0"/>
    <x v="0"/>
    <m/>
    <m/>
    <x v="0"/>
    <e v="#REF!"/>
    <m/>
    <m/>
    <m/>
    <m/>
    <m/>
    <x v="0"/>
    <n v="4520055002"/>
    <m/>
    <m/>
    <m/>
    <s v="NACIONALIZADO"/>
    <m/>
    <m/>
    <m/>
  </r>
  <r>
    <n v="2017"/>
    <s v="G-S"/>
    <x v="0"/>
    <x v="0"/>
    <m/>
    <m/>
    <x v="4"/>
    <m/>
    <x v="4"/>
    <m/>
    <m/>
    <m/>
    <s v="CERRADO"/>
    <n v="206597"/>
    <x v="0"/>
    <x v="0"/>
    <x v="0"/>
    <m/>
    <s v="CAD"/>
    <m/>
    <s v="I-8815"/>
    <m/>
    <d v="2017-05-18T00:00:00"/>
    <s v="CANCELADO"/>
    <s v="CFR"/>
    <m/>
    <x v="4"/>
    <n v="241"/>
    <m/>
    <x v="4"/>
    <x v="0"/>
    <s v="Granel"/>
    <m/>
    <s v="Granel Sólido"/>
    <m/>
    <m/>
    <s v="MAYO"/>
    <x v="0"/>
    <m/>
    <m/>
    <m/>
    <x v="4"/>
    <m/>
    <m/>
    <x v="4"/>
    <n v="7"/>
    <n v="2017"/>
    <x v="0"/>
    <x v="0"/>
    <s v="ST. PETERSBURG / RUSSIA"/>
    <x v="4"/>
    <m/>
    <x v="0"/>
    <x v="4"/>
    <d v="2017-05-12T00:00:00"/>
    <s v="MV VELVET"/>
    <x v="0"/>
    <x v="0"/>
    <m/>
    <m/>
    <m/>
    <m/>
    <m/>
    <m/>
    <x v="0"/>
    <m/>
    <m/>
    <x v="0"/>
    <x v="0"/>
    <m/>
    <m/>
    <x v="0"/>
    <e v="#REF!"/>
    <m/>
    <m/>
    <m/>
    <m/>
    <m/>
    <x v="0"/>
    <n v="4520055003"/>
    <m/>
    <m/>
    <m/>
    <s v="NACIONALIZADO"/>
    <m/>
    <m/>
    <m/>
  </r>
  <r>
    <n v="2017"/>
    <s v="G-S"/>
    <x v="0"/>
    <x v="0"/>
    <m/>
    <m/>
    <x v="5"/>
    <m/>
    <x v="5"/>
    <m/>
    <m/>
    <m/>
    <s v="CERRADO"/>
    <n v="206599"/>
    <x v="1"/>
    <x v="1"/>
    <x v="1"/>
    <d v="2017-02-07T00:00:00"/>
    <s v="CAD"/>
    <m/>
    <s v="INV-796-A"/>
    <m/>
    <d v="2017-04-24T00:00:00"/>
    <s v="CANCELADO"/>
    <s v="CFR"/>
    <m/>
    <x v="5"/>
    <n v="485"/>
    <m/>
    <x v="5"/>
    <x v="0"/>
    <s v="Contenedor 20'"/>
    <m/>
    <s v="Bigbag"/>
    <m/>
    <m/>
    <s v="ABRIL"/>
    <x v="0"/>
    <m/>
    <m/>
    <m/>
    <x v="5"/>
    <m/>
    <m/>
    <x v="5"/>
    <n v="7"/>
    <n v="2017"/>
    <x v="0"/>
    <x v="0"/>
    <s v="NHAVA / INDIA"/>
    <x v="2"/>
    <m/>
    <x v="0"/>
    <x v="5"/>
    <d v="2017-04-10T00:00:00"/>
    <s v="JPO TAURUS"/>
    <x v="1"/>
    <x v="1"/>
    <m/>
    <m/>
    <m/>
    <m/>
    <m/>
    <m/>
    <x v="0"/>
    <d v="2017-07-20T00:00:00"/>
    <m/>
    <x v="0"/>
    <x v="0"/>
    <m/>
    <m/>
    <x v="0"/>
    <e v="#REF!"/>
    <m/>
    <m/>
    <m/>
    <m/>
    <m/>
    <x v="0"/>
    <n v="4520054674"/>
    <m/>
    <m/>
    <m/>
    <s v="NACIONALIZADO"/>
    <m/>
    <m/>
    <m/>
  </r>
  <r>
    <n v="2017"/>
    <s v="S-P"/>
    <x v="0"/>
    <x v="0"/>
    <m/>
    <m/>
    <x v="6"/>
    <m/>
    <x v="6"/>
    <m/>
    <m/>
    <m/>
    <s v="CERRADO"/>
    <n v="207498"/>
    <x v="2"/>
    <x v="2"/>
    <x v="2"/>
    <d v="2017-03-27T00:00:00"/>
    <n v="90"/>
    <s v="días BL"/>
    <s v="707789"/>
    <m/>
    <d v="2017-07-13T00:00:00"/>
    <s v="CANCELADO"/>
    <s v="CFR"/>
    <m/>
    <x v="6"/>
    <n v="550.29"/>
    <m/>
    <x v="6"/>
    <x v="0"/>
    <s v="Contenedor 20'"/>
    <m/>
    <s v="25 kg"/>
    <m/>
    <m/>
    <s v="ABRIL"/>
    <x v="0"/>
    <m/>
    <m/>
    <m/>
    <x v="6"/>
    <m/>
    <m/>
    <x v="6"/>
    <n v="6"/>
    <n v="2017"/>
    <x v="0"/>
    <x v="0"/>
    <s v="XINGANG / CHINA"/>
    <x v="0"/>
    <m/>
    <x v="0"/>
    <x v="6"/>
    <d v="2017-04-14T00:00:00"/>
    <s v="TEXAS TRADER"/>
    <x v="2"/>
    <x v="2"/>
    <m/>
    <m/>
    <m/>
    <m/>
    <m/>
    <m/>
    <x v="0"/>
    <d v="2017-06-12T00:00:00"/>
    <m/>
    <x v="0"/>
    <x v="0"/>
    <m/>
    <m/>
    <x v="0"/>
    <e v="#REF!"/>
    <m/>
    <m/>
    <m/>
    <m/>
    <m/>
    <x v="0"/>
    <n v="4520053033"/>
    <m/>
    <m/>
    <m/>
    <s v="NACIONALIZADO"/>
    <m/>
    <m/>
    <m/>
  </r>
  <r>
    <n v="2017"/>
    <s v="S-S"/>
    <x v="0"/>
    <x v="0"/>
    <m/>
    <m/>
    <x v="7"/>
    <m/>
    <x v="7"/>
    <m/>
    <m/>
    <m/>
    <s v="CERRADO"/>
    <n v="206971"/>
    <x v="3"/>
    <x v="3"/>
    <x v="3"/>
    <d v="2017-02-16T00:00:00"/>
    <n v="90"/>
    <s v="días BL"/>
    <s v="KTI20170570"/>
    <m/>
    <d v="2017-07-25T00:00:00"/>
    <s v="CANCELADO"/>
    <s v="CPT"/>
    <m/>
    <x v="7"/>
    <n v="505"/>
    <m/>
    <x v="7"/>
    <x v="0"/>
    <s v="Contenedor 20'"/>
    <m/>
    <s v="25 kg"/>
    <m/>
    <m/>
    <s v="ABRIL"/>
    <x v="0"/>
    <m/>
    <m/>
    <m/>
    <x v="7"/>
    <m/>
    <m/>
    <x v="7"/>
    <n v="6"/>
    <n v="2017"/>
    <x v="0"/>
    <x v="0"/>
    <s v="KAOHSIUNG / TAIWAN"/>
    <x v="0"/>
    <m/>
    <x v="0"/>
    <x v="7"/>
    <d v="2017-04-26T00:00:00"/>
    <s v="SVENDBORG MAERSK "/>
    <x v="3"/>
    <x v="3"/>
    <m/>
    <m/>
    <m/>
    <m/>
    <m/>
    <m/>
    <x v="0"/>
    <d v="2017-06-21T00:00:00"/>
    <m/>
    <x v="0"/>
    <x v="0"/>
    <m/>
    <m/>
    <x v="0"/>
    <e v="#REF!"/>
    <m/>
    <m/>
    <m/>
    <m/>
    <m/>
    <x v="0"/>
    <n v="4520055143"/>
    <m/>
    <m/>
    <m/>
    <s v="NACIONALIZADO"/>
    <m/>
    <m/>
    <m/>
  </r>
  <r>
    <n v="2017"/>
    <s v="S-S"/>
    <x v="0"/>
    <x v="0"/>
    <m/>
    <m/>
    <x v="8"/>
    <m/>
    <x v="8"/>
    <m/>
    <m/>
    <m/>
    <s v="CERRADO"/>
    <n v="206971"/>
    <x v="3"/>
    <x v="3"/>
    <x v="4"/>
    <d v="2017-02-16T00:00:00"/>
    <n v="90"/>
    <s v="días BL"/>
    <s v="KTI20170569"/>
    <m/>
    <d v="2017-07-25T00:00:00"/>
    <s v="CANCELADO"/>
    <s v="CPT"/>
    <m/>
    <x v="8"/>
    <n v="500"/>
    <m/>
    <x v="8"/>
    <x v="0"/>
    <s v="Contenedor 20'"/>
    <m/>
    <s v="25 kg"/>
    <m/>
    <m/>
    <s v="ABRIL"/>
    <x v="0"/>
    <m/>
    <m/>
    <m/>
    <x v="8"/>
    <m/>
    <m/>
    <x v="8"/>
    <n v="6"/>
    <n v="2017"/>
    <x v="0"/>
    <x v="0"/>
    <s v="KAOHSIUNG / TAIWAN"/>
    <x v="2"/>
    <m/>
    <x v="0"/>
    <x v="8"/>
    <d v="2017-04-26T00:00:00"/>
    <s v="SVENDBORG MAERSK "/>
    <x v="4"/>
    <x v="3"/>
    <m/>
    <m/>
    <m/>
    <m/>
    <m/>
    <m/>
    <x v="0"/>
    <d v="2017-06-18T00:00:00"/>
    <m/>
    <x v="0"/>
    <x v="0"/>
    <m/>
    <m/>
    <x v="0"/>
    <e v="#REF!"/>
    <m/>
    <m/>
    <m/>
    <m/>
    <m/>
    <x v="0"/>
    <n v="4520055144"/>
    <m/>
    <m/>
    <m/>
    <s v="NACIONALIZADO"/>
    <m/>
    <m/>
    <m/>
  </r>
  <r>
    <n v="2017"/>
    <s v="S-S"/>
    <x v="0"/>
    <x v="0"/>
    <m/>
    <m/>
    <x v="9"/>
    <m/>
    <x v="9"/>
    <m/>
    <m/>
    <m/>
    <s v="CERRADO"/>
    <n v="206971"/>
    <x v="3"/>
    <x v="3"/>
    <x v="5"/>
    <d v="2017-02-16T00:00:00"/>
    <n v="90"/>
    <s v="días BL"/>
    <s v="20170714"/>
    <m/>
    <d v="2017-08-22T00:00:00"/>
    <s v="CANCELADO"/>
    <s v="CPT"/>
    <m/>
    <x v="8"/>
    <n v="500"/>
    <m/>
    <x v="8"/>
    <x v="0"/>
    <s v="Contenedor 20'"/>
    <m/>
    <s v="25 kg"/>
    <m/>
    <m/>
    <s v="MAYO"/>
    <x v="0"/>
    <m/>
    <m/>
    <m/>
    <x v="9"/>
    <m/>
    <m/>
    <x v="9"/>
    <n v="7"/>
    <n v="2017"/>
    <x v="0"/>
    <x v="0"/>
    <s v="KAOHSIUNG / TAIWAN"/>
    <x v="2"/>
    <m/>
    <x v="0"/>
    <x v="9"/>
    <d v="2017-05-24T00:00:00"/>
    <s v="APL HOUSTON"/>
    <x v="5"/>
    <x v="2"/>
    <m/>
    <m/>
    <m/>
    <m/>
    <m/>
    <m/>
    <x v="0"/>
    <d v="2017-07-08T00:00:00"/>
    <m/>
    <x v="0"/>
    <x v="0"/>
    <m/>
    <m/>
    <x v="0"/>
    <e v="#REF!"/>
    <m/>
    <m/>
    <m/>
    <m/>
    <m/>
    <x v="0"/>
    <n v="4520055191"/>
    <m/>
    <m/>
    <m/>
    <s v="NACIONALIZADO"/>
    <m/>
    <m/>
    <m/>
  </r>
  <r>
    <n v="2017"/>
    <s v="E-S"/>
    <x v="0"/>
    <x v="0"/>
    <m/>
    <m/>
    <x v="10"/>
    <m/>
    <x v="10"/>
    <m/>
    <m/>
    <m/>
    <s v="CERRADO"/>
    <n v="204825"/>
    <x v="4"/>
    <x v="4"/>
    <x v="6"/>
    <d v="2017-05-01T00:00:00"/>
    <n v="90"/>
    <s v="días BL"/>
    <s v="I33468/I33467"/>
    <m/>
    <d v="2017-08-17T00:00:00"/>
    <s v="CANCELADO"/>
    <s v="CIF"/>
    <m/>
    <x v="9"/>
    <n v="1025.32"/>
    <m/>
    <x v="9"/>
    <x v="1"/>
    <s v="Contenedor 40'"/>
    <m/>
    <s v="Granel Sólido"/>
    <m/>
    <m/>
    <s v="MAYO"/>
    <x v="0"/>
    <m/>
    <m/>
    <m/>
    <x v="2"/>
    <m/>
    <m/>
    <x v="9"/>
    <n v="7"/>
    <n v="2017"/>
    <x v="0"/>
    <x v="0"/>
    <s v="CHARLESTON / USA"/>
    <x v="2"/>
    <m/>
    <x v="0"/>
    <x v="10"/>
    <d v="2017-05-19T00:00:00"/>
    <s v="MSC MARINA"/>
    <x v="6"/>
    <x v="4"/>
    <m/>
    <m/>
    <m/>
    <m/>
    <m/>
    <m/>
    <x v="0"/>
    <d v="2017-06-30T00:00:00"/>
    <m/>
    <x v="0"/>
    <x v="0"/>
    <m/>
    <m/>
    <x v="0"/>
    <e v="#REF!"/>
    <m/>
    <m/>
    <m/>
    <m/>
    <m/>
    <x v="0"/>
    <n v="4520054099"/>
    <m/>
    <m/>
    <m/>
    <s v="NACIONALIZADO"/>
    <m/>
    <m/>
    <m/>
  </r>
  <r>
    <n v="2017"/>
    <s v="G-C"/>
    <x v="0"/>
    <x v="0"/>
    <m/>
    <m/>
    <x v="11"/>
    <m/>
    <x v="11"/>
    <m/>
    <m/>
    <m/>
    <s v="CERRADO"/>
    <n v="206573"/>
    <x v="5"/>
    <x v="5"/>
    <x v="7"/>
    <d v="2017-04-12T00:00:00"/>
    <n v="30"/>
    <s v="días FACT."/>
    <s v="14061"/>
    <m/>
    <d v="2017-06-19T00:00:00"/>
    <s v="CANCELADO"/>
    <s v="CFR"/>
    <m/>
    <x v="10"/>
    <n v="260"/>
    <m/>
    <x v="10"/>
    <x v="0"/>
    <s v="Granel"/>
    <m/>
    <s v="Granel Sólido"/>
    <m/>
    <m/>
    <s v="MAYO"/>
    <x v="0"/>
    <m/>
    <m/>
    <m/>
    <x v="10"/>
    <m/>
    <m/>
    <x v="10"/>
    <n v="5"/>
    <n v="2017"/>
    <x v="0"/>
    <x v="0"/>
    <s v="RIGA / LETONIA"/>
    <x v="1"/>
    <m/>
    <x v="0"/>
    <x v="11"/>
    <d v="2017-04-27T00:00:00"/>
    <s v="MV VULLY"/>
    <x v="7"/>
    <x v="0"/>
    <m/>
    <m/>
    <m/>
    <m/>
    <m/>
    <m/>
    <x v="0"/>
    <m/>
    <m/>
    <x v="0"/>
    <x v="0"/>
    <m/>
    <m/>
    <x v="0"/>
    <e v="#REF!"/>
    <m/>
    <m/>
    <m/>
    <m/>
    <m/>
    <x v="0"/>
    <n v="4520054655"/>
    <m/>
    <m/>
    <m/>
    <s v="NACIONALIZADO"/>
    <m/>
    <m/>
    <m/>
  </r>
  <r>
    <n v="2017"/>
    <s v="G-C"/>
    <x v="0"/>
    <x v="0"/>
    <m/>
    <m/>
    <x v="12"/>
    <m/>
    <x v="12"/>
    <m/>
    <m/>
    <m/>
    <s v="CERRADO"/>
    <n v="206573"/>
    <x v="5"/>
    <x v="5"/>
    <x v="7"/>
    <d v="2017-04-12T00:00:00"/>
    <n v="30"/>
    <s v="días FACT."/>
    <s v="14062"/>
    <m/>
    <d v="2017-06-19T00:00:00"/>
    <s v="CANCELADO"/>
    <s v="CFR"/>
    <m/>
    <x v="11"/>
    <n v="260"/>
    <m/>
    <x v="11"/>
    <x v="0"/>
    <s v="Granel"/>
    <m/>
    <s v="Granel Sólido"/>
    <m/>
    <m/>
    <s v="MAYO"/>
    <x v="0"/>
    <m/>
    <m/>
    <m/>
    <x v="11"/>
    <m/>
    <m/>
    <x v="11"/>
    <n v="6"/>
    <n v="2017"/>
    <x v="0"/>
    <x v="0"/>
    <s v="RIGA / LETONIA"/>
    <x v="2"/>
    <m/>
    <x v="0"/>
    <x v="12"/>
    <d v="2017-04-27T00:00:00"/>
    <s v="MV VULLY"/>
    <x v="7"/>
    <x v="0"/>
    <m/>
    <m/>
    <m/>
    <m/>
    <m/>
    <m/>
    <x v="0"/>
    <m/>
    <m/>
    <x v="0"/>
    <x v="0"/>
    <m/>
    <m/>
    <x v="0"/>
    <e v="#REF!"/>
    <m/>
    <m/>
    <m/>
    <m/>
    <m/>
    <x v="0"/>
    <n v="4520054656"/>
    <m/>
    <m/>
    <m/>
    <s v="NACIONALIZADO"/>
    <m/>
    <m/>
    <m/>
  </r>
  <r>
    <n v="2017"/>
    <s v="G-C"/>
    <x v="0"/>
    <x v="0"/>
    <m/>
    <m/>
    <x v="13"/>
    <m/>
    <x v="13"/>
    <m/>
    <m/>
    <m/>
    <s v="CERRADO"/>
    <n v="206573"/>
    <x v="5"/>
    <x v="5"/>
    <x v="7"/>
    <d v="2017-04-12T00:00:00"/>
    <n v="30"/>
    <s v="días FACT."/>
    <s v="14063"/>
    <m/>
    <d v="2017-06-19T00:00:00"/>
    <s v="CANCELADO"/>
    <s v="CFR"/>
    <m/>
    <x v="10"/>
    <n v="260"/>
    <m/>
    <x v="10"/>
    <x v="0"/>
    <s v="Granel"/>
    <m/>
    <s v="Granel Sólido"/>
    <m/>
    <m/>
    <m/>
    <x v="0"/>
    <m/>
    <m/>
    <m/>
    <x v="12"/>
    <m/>
    <m/>
    <x v="12"/>
    <n v="6"/>
    <n v="2017"/>
    <x v="0"/>
    <x v="0"/>
    <s v="RIGA / LETONIA"/>
    <x v="3"/>
    <m/>
    <x v="0"/>
    <x v="13"/>
    <d v="2017-04-27T00:00:00"/>
    <s v="MV VULLY"/>
    <x v="7"/>
    <x v="0"/>
    <m/>
    <m/>
    <m/>
    <m/>
    <m/>
    <m/>
    <x v="0"/>
    <m/>
    <m/>
    <x v="0"/>
    <x v="0"/>
    <m/>
    <m/>
    <x v="0"/>
    <e v="#REF!"/>
    <m/>
    <m/>
    <m/>
    <m/>
    <m/>
    <x v="0"/>
    <n v="4520054658"/>
    <m/>
    <m/>
    <m/>
    <s v="NACIONALIZADO"/>
    <m/>
    <m/>
    <m/>
  </r>
  <r>
    <n v="2017"/>
    <s v="G-C"/>
    <x v="0"/>
    <x v="0"/>
    <m/>
    <m/>
    <x v="14"/>
    <m/>
    <x v="14"/>
    <m/>
    <m/>
    <m/>
    <s v="CERRADO"/>
    <n v="206573"/>
    <x v="5"/>
    <x v="5"/>
    <x v="7"/>
    <d v="2017-04-12T00:00:00"/>
    <n v="30"/>
    <s v="días FACT."/>
    <s v="14064"/>
    <m/>
    <d v="2017-06-19T00:00:00"/>
    <s v="CANCELADO"/>
    <s v="CFR"/>
    <m/>
    <x v="12"/>
    <n v="260"/>
    <m/>
    <x v="12"/>
    <x v="0"/>
    <s v="Granel"/>
    <m/>
    <s v="Granel Sólido"/>
    <m/>
    <m/>
    <s v="MAYO"/>
    <x v="0"/>
    <m/>
    <m/>
    <m/>
    <x v="7"/>
    <m/>
    <m/>
    <x v="13"/>
    <n v="6"/>
    <n v="2017"/>
    <x v="0"/>
    <x v="0"/>
    <s v="RIGA / LETONIA"/>
    <x v="4"/>
    <m/>
    <x v="0"/>
    <x v="14"/>
    <d v="2017-04-27T00:00:00"/>
    <s v="MV VULLY"/>
    <x v="7"/>
    <x v="0"/>
    <m/>
    <m/>
    <m/>
    <m/>
    <m/>
    <m/>
    <x v="0"/>
    <m/>
    <m/>
    <x v="0"/>
    <x v="0"/>
    <m/>
    <m/>
    <x v="0"/>
    <e v="#REF!"/>
    <m/>
    <m/>
    <m/>
    <m/>
    <m/>
    <x v="0"/>
    <n v="4520054661"/>
    <m/>
    <m/>
    <m/>
    <s v="NACIONALIZADO"/>
    <m/>
    <m/>
    <m/>
  </r>
  <r>
    <n v="2017"/>
    <s v="G-C"/>
    <x v="0"/>
    <x v="0"/>
    <m/>
    <m/>
    <x v="15"/>
    <m/>
    <x v="15"/>
    <m/>
    <m/>
    <m/>
    <s v="CERRADO"/>
    <n v="206573"/>
    <x v="5"/>
    <x v="6"/>
    <x v="8"/>
    <d v="2017-05-08T00:00:00"/>
    <s v="CAD"/>
    <m/>
    <s v="11456"/>
    <m/>
    <d v="2017-05-26T00:00:00"/>
    <s v="CANCELADO"/>
    <s v="CFR"/>
    <m/>
    <x v="1"/>
    <n v="248"/>
    <m/>
    <x v="13"/>
    <x v="0"/>
    <s v="Granel"/>
    <m/>
    <s v="Granel Sólido"/>
    <m/>
    <m/>
    <s v="MAYO"/>
    <x v="0"/>
    <m/>
    <m/>
    <m/>
    <x v="13"/>
    <m/>
    <m/>
    <x v="14"/>
    <n v="6"/>
    <n v="2017"/>
    <x v="0"/>
    <x v="0"/>
    <s v="RIGA / LETONIA"/>
    <x v="0"/>
    <m/>
    <x v="0"/>
    <x v="11"/>
    <d v="2017-05-12T00:00:00"/>
    <s v="MV FEDERAL SPEY"/>
    <x v="8"/>
    <x v="0"/>
    <m/>
    <m/>
    <m/>
    <m/>
    <m/>
    <m/>
    <x v="0"/>
    <m/>
    <m/>
    <x v="0"/>
    <x v="0"/>
    <m/>
    <m/>
    <x v="0"/>
    <e v="#REF!"/>
    <m/>
    <m/>
    <m/>
    <m/>
    <m/>
    <x v="0"/>
    <n v="4520055037"/>
    <m/>
    <m/>
    <m/>
    <s v="NACIONALIZADO"/>
    <m/>
    <m/>
    <m/>
  </r>
  <r>
    <n v="2017"/>
    <s v="G-C"/>
    <x v="0"/>
    <x v="0"/>
    <m/>
    <m/>
    <x v="16"/>
    <m/>
    <x v="16"/>
    <m/>
    <m/>
    <m/>
    <s v="CERRADO"/>
    <n v="206573"/>
    <x v="5"/>
    <x v="6"/>
    <x v="8"/>
    <d v="2017-05-08T00:00:00"/>
    <s v="CAD"/>
    <m/>
    <s v="11458"/>
    <m/>
    <d v="2017-05-26T00:00:00"/>
    <s v="CANCELADO"/>
    <s v="CFR"/>
    <m/>
    <x v="13"/>
    <n v="248"/>
    <m/>
    <x v="14"/>
    <x v="0"/>
    <s v="Granel"/>
    <m/>
    <s v="Granel Sólido"/>
    <m/>
    <m/>
    <s v="MAYO"/>
    <x v="0"/>
    <m/>
    <m/>
    <m/>
    <x v="14"/>
    <m/>
    <m/>
    <x v="15"/>
    <n v="6"/>
    <n v="2017"/>
    <x v="0"/>
    <x v="0"/>
    <s v="RIGA / LETONIA"/>
    <x v="1"/>
    <m/>
    <x v="0"/>
    <x v="14"/>
    <d v="2017-05-12T00:00:00"/>
    <s v="MV FEDERAL SPEY"/>
    <x v="8"/>
    <x v="0"/>
    <m/>
    <m/>
    <m/>
    <m/>
    <m/>
    <m/>
    <x v="0"/>
    <m/>
    <m/>
    <x v="0"/>
    <x v="0"/>
    <m/>
    <m/>
    <x v="0"/>
    <e v="#REF!"/>
    <m/>
    <m/>
    <m/>
    <m/>
    <m/>
    <x v="0"/>
    <n v="4520055038"/>
    <m/>
    <m/>
    <m/>
    <s v="NACIONALIZADO"/>
    <m/>
    <m/>
    <m/>
  </r>
  <r>
    <n v="2017"/>
    <s v="G-C"/>
    <x v="0"/>
    <x v="0"/>
    <m/>
    <m/>
    <x v="17"/>
    <m/>
    <x v="17"/>
    <m/>
    <m/>
    <m/>
    <s v="CERRADO"/>
    <n v="206573"/>
    <x v="5"/>
    <x v="6"/>
    <x v="8"/>
    <d v="2017-05-08T00:00:00"/>
    <s v="CAD"/>
    <m/>
    <s v="11465"/>
    <m/>
    <d v="2017-05-26T00:00:00"/>
    <s v="CANCELADO"/>
    <s v="CFR"/>
    <m/>
    <x v="14"/>
    <n v="248"/>
    <m/>
    <x v="15"/>
    <x v="0"/>
    <s v="Granel"/>
    <m/>
    <s v="Granel Sólido"/>
    <m/>
    <m/>
    <s v="MAYO"/>
    <x v="0"/>
    <m/>
    <m/>
    <m/>
    <x v="15"/>
    <m/>
    <m/>
    <x v="16"/>
    <n v="6"/>
    <n v="2017"/>
    <x v="0"/>
    <x v="0"/>
    <s v="RIGA / LETONIA"/>
    <x v="2"/>
    <m/>
    <x v="0"/>
    <x v="15"/>
    <d v="2017-05-12T00:00:00"/>
    <s v="MV FEDERAL SPEY"/>
    <x v="8"/>
    <x v="0"/>
    <m/>
    <m/>
    <m/>
    <m/>
    <m/>
    <m/>
    <x v="0"/>
    <m/>
    <m/>
    <x v="0"/>
    <x v="0"/>
    <m/>
    <m/>
    <x v="0"/>
    <e v="#REF!"/>
    <m/>
    <m/>
    <m/>
    <m/>
    <m/>
    <x v="0"/>
    <n v="4520055039"/>
    <m/>
    <m/>
    <m/>
    <s v="NACIONALIZADO"/>
    <m/>
    <m/>
    <m/>
  </r>
  <r>
    <n v="2017"/>
    <s v="G-C"/>
    <x v="0"/>
    <x v="0"/>
    <m/>
    <m/>
    <x v="18"/>
    <m/>
    <x v="18"/>
    <m/>
    <m/>
    <m/>
    <s v="CERRADO"/>
    <n v="206573"/>
    <x v="5"/>
    <x v="6"/>
    <x v="8"/>
    <d v="2017-05-08T00:00:00"/>
    <s v="CAD"/>
    <m/>
    <s v="11467"/>
    <m/>
    <d v="2017-05-26T00:00:00"/>
    <s v="CANCELADO"/>
    <s v="CFR"/>
    <m/>
    <x v="3"/>
    <n v="248"/>
    <m/>
    <x v="16"/>
    <x v="0"/>
    <s v="Granel"/>
    <m/>
    <s v="Granel Sólido"/>
    <m/>
    <m/>
    <s v="MAYO"/>
    <x v="0"/>
    <m/>
    <m/>
    <m/>
    <x v="16"/>
    <m/>
    <m/>
    <x v="3"/>
    <n v="6"/>
    <n v="2017"/>
    <x v="0"/>
    <x v="0"/>
    <s v="RIGA / LETONIA"/>
    <x v="3"/>
    <m/>
    <x v="0"/>
    <x v="16"/>
    <d v="2017-05-12T00:00:00"/>
    <s v="MV FEDERAL SPEY"/>
    <x v="8"/>
    <x v="0"/>
    <m/>
    <m/>
    <m/>
    <m/>
    <m/>
    <m/>
    <x v="0"/>
    <m/>
    <m/>
    <x v="0"/>
    <x v="0"/>
    <m/>
    <m/>
    <x v="0"/>
    <e v="#REF!"/>
    <m/>
    <m/>
    <m/>
    <m/>
    <m/>
    <x v="0"/>
    <n v="4520055040"/>
    <m/>
    <m/>
    <m/>
    <s v="NACIONALIZADO"/>
    <m/>
    <m/>
    <m/>
  </r>
  <r>
    <n v="2017"/>
    <s v="G-C"/>
    <x v="0"/>
    <x v="0"/>
    <m/>
    <m/>
    <x v="19"/>
    <m/>
    <x v="19"/>
    <m/>
    <m/>
    <m/>
    <s v="CERRADO"/>
    <n v="206573"/>
    <x v="5"/>
    <x v="6"/>
    <x v="8"/>
    <d v="2017-05-08T00:00:00"/>
    <s v="CAD"/>
    <m/>
    <s v="11468"/>
    <m/>
    <d v="2017-05-26T00:00:00"/>
    <s v="CANCELADO"/>
    <s v="CFR"/>
    <m/>
    <x v="15"/>
    <n v="248"/>
    <m/>
    <x v="17"/>
    <x v="0"/>
    <s v="Granel"/>
    <m/>
    <s v="Granel Sólido"/>
    <m/>
    <m/>
    <s v="MAYO"/>
    <x v="0"/>
    <m/>
    <m/>
    <m/>
    <x v="4"/>
    <m/>
    <m/>
    <x v="4"/>
    <n v="7"/>
    <n v="2017"/>
    <x v="0"/>
    <x v="0"/>
    <s v="RIGA / LETONIA"/>
    <x v="4"/>
    <m/>
    <x v="0"/>
    <x v="3"/>
    <d v="2017-05-12T00:00:00"/>
    <s v="MV FEDERAL SPEY"/>
    <x v="8"/>
    <x v="0"/>
    <m/>
    <m/>
    <m/>
    <m/>
    <m/>
    <m/>
    <x v="0"/>
    <m/>
    <m/>
    <x v="0"/>
    <x v="0"/>
    <m/>
    <m/>
    <x v="0"/>
    <e v="#REF!"/>
    <m/>
    <m/>
    <m/>
    <m/>
    <m/>
    <x v="0"/>
    <n v="4520055041"/>
    <m/>
    <m/>
    <m/>
    <s v="NACIONALIZADO"/>
    <m/>
    <m/>
    <m/>
  </r>
  <r>
    <n v="2017"/>
    <s v="G-S"/>
    <x v="0"/>
    <x v="0"/>
    <m/>
    <m/>
    <x v="20"/>
    <m/>
    <x v="20"/>
    <m/>
    <m/>
    <m/>
    <s v="CERRADO"/>
    <n v="207951"/>
    <x v="6"/>
    <x v="6"/>
    <x v="8"/>
    <d v="2017-05-08T00:00:00"/>
    <s v="CAD"/>
    <m/>
    <s v="11457"/>
    <m/>
    <d v="2017-05-26T00:00:00"/>
    <s v="CANCELADO"/>
    <s v="CFR"/>
    <m/>
    <x v="16"/>
    <n v="259"/>
    <m/>
    <x v="18"/>
    <x v="0"/>
    <s v="Granel"/>
    <m/>
    <s v="Granel Sólido"/>
    <m/>
    <m/>
    <s v="MAYO"/>
    <x v="0"/>
    <m/>
    <m/>
    <m/>
    <x v="13"/>
    <m/>
    <m/>
    <x v="14"/>
    <n v="6"/>
    <n v="2017"/>
    <x v="0"/>
    <x v="0"/>
    <s v="RIGA / LETONIA"/>
    <x v="0"/>
    <m/>
    <x v="0"/>
    <x v="17"/>
    <d v="2017-05-12T00:00:00"/>
    <s v="MV FEDERAL SPEY"/>
    <x v="8"/>
    <x v="0"/>
    <m/>
    <m/>
    <m/>
    <m/>
    <m/>
    <m/>
    <x v="0"/>
    <m/>
    <m/>
    <x v="0"/>
    <x v="0"/>
    <m/>
    <m/>
    <x v="0"/>
    <e v="#REF!"/>
    <m/>
    <m/>
    <m/>
    <m/>
    <m/>
    <x v="0"/>
    <n v="4520055042"/>
    <m/>
    <m/>
    <m/>
    <s v="NACIONALIZADO"/>
    <m/>
    <m/>
    <m/>
  </r>
  <r>
    <n v="2017"/>
    <s v="G-S"/>
    <x v="0"/>
    <x v="0"/>
    <m/>
    <m/>
    <x v="21"/>
    <m/>
    <x v="21"/>
    <m/>
    <m/>
    <m/>
    <s v="CERRADO"/>
    <n v="207951"/>
    <x v="6"/>
    <x v="6"/>
    <x v="8"/>
    <d v="2017-05-08T00:00:00"/>
    <s v="CAD"/>
    <m/>
    <s v="11459"/>
    <m/>
    <d v="2017-05-26T00:00:00"/>
    <s v="CANCELADO"/>
    <s v="CFR"/>
    <m/>
    <x v="17"/>
    <n v="259"/>
    <m/>
    <x v="19"/>
    <x v="0"/>
    <s v="Granel"/>
    <m/>
    <s v="Granel Sólido"/>
    <m/>
    <m/>
    <s v="MAYO"/>
    <x v="0"/>
    <m/>
    <m/>
    <m/>
    <x v="14"/>
    <m/>
    <m/>
    <x v="15"/>
    <n v="6"/>
    <n v="2017"/>
    <x v="0"/>
    <x v="0"/>
    <s v="RIGA / LETONIA"/>
    <x v="1"/>
    <m/>
    <x v="0"/>
    <x v="18"/>
    <d v="2017-05-12T00:00:00"/>
    <s v="MV FEDERAL SPEY"/>
    <x v="8"/>
    <x v="0"/>
    <m/>
    <m/>
    <m/>
    <m/>
    <m/>
    <m/>
    <x v="0"/>
    <m/>
    <m/>
    <x v="0"/>
    <x v="0"/>
    <m/>
    <m/>
    <x v="0"/>
    <e v="#REF!"/>
    <m/>
    <m/>
    <m/>
    <m/>
    <m/>
    <x v="0"/>
    <n v="4520055043"/>
    <m/>
    <m/>
    <m/>
    <s v="NACIONALIZADO"/>
    <m/>
    <m/>
    <m/>
  </r>
  <r>
    <n v="2017"/>
    <s v="G-S"/>
    <x v="0"/>
    <x v="0"/>
    <m/>
    <m/>
    <x v="22"/>
    <m/>
    <x v="22"/>
    <m/>
    <m/>
    <m/>
    <s v="CERRADO"/>
    <n v="207951"/>
    <x v="6"/>
    <x v="6"/>
    <x v="8"/>
    <d v="2017-05-08T00:00:00"/>
    <s v="CAD"/>
    <m/>
    <s v="11470"/>
    <m/>
    <d v="2017-05-26T00:00:00"/>
    <s v="CANCELADO"/>
    <s v="CFR"/>
    <m/>
    <x v="18"/>
    <n v="259"/>
    <m/>
    <x v="20"/>
    <x v="0"/>
    <s v="Granel"/>
    <m/>
    <s v="Granel Sólido"/>
    <m/>
    <m/>
    <s v="MAYO"/>
    <x v="0"/>
    <m/>
    <m/>
    <m/>
    <x v="15"/>
    <m/>
    <m/>
    <x v="16"/>
    <n v="6"/>
    <n v="2017"/>
    <x v="0"/>
    <x v="0"/>
    <s v="RIGA / LETONIA"/>
    <x v="2"/>
    <m/>
    <x v="0"/>
    <x v="19"/>
    <d v="2017-05-12T00:00:00"/>
    <s v="MV FEDERAL SPEY"/>
    <x v="8"/>
    <x v="0"/>
    <m/>
    <m/>
    <m/>
    <m/>
    <m/>
    <m/>
    <x v="0"/>
    <m/>
    <m/>
    <x v="0"/>
    <x v="0"/>
    <m/>
    <m/>
    <x v="0"/>
    <e v="#REF!"/>
    <m/>
    <m/>
    <m/>
    <m/>
    <m/>
    <x v="0"/>
    <n v="4520055044"/>
    <m/>
    <m/>
    <m/>
    <s v="NACIONALIZADO"/>
    <m/>
    <m/>
    <m/>
  </r>
  <r>
    <n v="2017"/>
    <s v="G-S"/>
    <x v="0"/>
    <x v="0"/>
    <m/>
    <m/>
    <x v="23"/>
    <m/>
    <x v="23"/>
    <m/>
    <m/>
    <m/>
    <s v="CERRADO"/>
    <n v="207951"/>
    <x v="6"/>
    <x v="6"/>
    <x v="8"/>
    <d v="2017-05-08T00:00:00"/>
    <s v="CAD"/>
    <m/>
    <s v="11464"/>
    <m/>
    <d v="2017-05-26T00:00:00"/>
    <s v="CANCELADO"/>
    <s v="CFR"/>
    <m/>
    <x v="19"/>
    <n v="259"/>
    <m/>
    <x v="21"/>
    <x v="0"/>
    <s v="Granel"/>
    <m/>
    <s v="Granel Sólido"/>
    <m/>
    <m/>
    <s v="MAYO"/>
    <x v="0"/>
    <m/>
    <m/>
    <m/>
    <x v="16"/>
    <m/>
    <m/>
    <x v="3"/>
    <n v="6"/>
    <n v="2017"/>
    <x v="0"/>
    <x v="0"/>
    <s v="RIGA / LETONIA"/>
    <x v="3"/>
    <m/>
    <x v="0"/>
    <x v="20"/>
    <d v="2017-05-12T00:00:00"/>
    <s v="MV FEDERAL SPEY"/>
    <x v="8"/>
    <x v="0"/>
    <m/>
    <m/>
    <m/>
    <m/>
    <m/>
    <m/>
    <x v="0"/>
    <m/>
    <m/>
    <x v="0"/>
    <x v="0"/>
    <m/>
    <m/>
    <x v="0"/>
    <e v="#REF!"/>
    <m/>
    <m/>
    <m/>
    <m/>
    <m/>
    <x v="0"/>
    <n v="4520055045"/>
    <m/>
    <m/>
    <m/>
    <s v="NACIONALIZADO"/>
    <m/>
    <m/>
    <m/>
  </r>
  <r>
    <n v="2017"/>
    <s v="G-S"/>
    <x v="0"/>
    <x v="0"/>
    <m/>
    <m/>
    <x v="24"/>
    <m/>
    <x v="24"/>
    <m/>
    <m/>
    <m/>
    <s v="CERRADO"/>
    <n v="207951"/>
    <x v="6"/>
    <x v="6"/>
    <x v="8"/>
    <d v="2017-05-08T00:00:00"/>
    <s v="CAD"/>
    <m/>
    <s v="11466"/>
    <m/>
    <d v="2017-05-26T00:00:00"/>
    <s v="CANCELADO"/>
    <s v="CFR"/>
    <m/>
    <x v="20"/>
    <n v="259"/>
    <m/>
    <x v="22"/>
    <x v="0"/>
    <s v="Granel"/>
    <m/>
    <s v="Granel Sólido"/>
    <m/>
    <m/>
    <s v="MAYO"/>
    <x v="0"/>
    <m/>
    <m/>
    <m/>
    <x v="4"/>
    <m/>
    <m/>
    <x v="4"/>
    <n v="7"/>
    <n v="2017"/>
    <x v="0"/>
    <x v="0"/>
    <s v="RIGA / LETONIA"/>
    <x v="4"/>
    <m/>
    <x v="0"/>
    <x v="1"/>
    <d v="2017-05-12T00:00:00"/>
    <s v="MV FEDERAL SPEY"/>
    <x v="8"/>
    <x v="0"/>
    <m/>
    <m/>
    <m/>
    <m/>
    <m/>
    <m/>
    <x v="0"/>
    <m/>
    <m/>
    <x v="0"/>
    <x v="0"/>
    <m/>
    <m/>
    <x v="0"/>
    <e v="#REF!"/>
    <m/>
    <m/>
    <m/>
    <m/>
    <m/>
    <x v="0"/>
    <n v="4520055046"/>
    <m/>
    <m/>
    <m/>
    <s v="NACIONALIZADO"/>
    <m/>
    <m/>
    <m/>
  </r>
  <r>
    <n v="2017"/>
    <s v="G-S"/>
    <x v="0"/>
    <x v="0"/>
    <m/>
    <m/>
    <x v="25"/>
    <m/>
    <x v="25"/>
    <m/>
    <m/>
    <m/>
    <s v="CERRADO"/>
    <n v="206599"/>
    <x v="1"/>
    <x v="1"/>
    <x v="9"/>
    <d v="2017-02-07T00:00:00"/>
    <s v="CAD"/>
    <m/>
    <s v="INV-796-B"/>
    <m/>
    <d v="2017-04-24T00:00:00"/>
    <s v="CANCELADO"/>
    <s v="CFR"/>
    <m/>
    <x v="21"/>
    <n v="485"/>
    <m/>
    <x v="23"/>
    <x v="2"/>
    <s v="Contenedor 20'"/>
    <m/>
    <s v="Bigbag"/>
    <m/>
    <m/>
    <s v="ABRIL"/>
    <x v="0"/>
    <m/>
    <m/>
    <m/>
    <x v="16"/>
    <m/>
    <m/>
    <x v="17"/>
    <n v="6"/>
    <n v="2017"/>
    <x v="0"/>
    <x v="0"/>
    <s v="NHAVA / INDIA"/>
    <x v="2"/>
    <m/>
    <x v="0"/>
    <x v="21"/>
    <d v="2017-04-10T00:00:00"/>
    <s v="JPO TAURUS"/>
    <x v="9"/>
    <x v="1"/>
    <m/>
    <m/>
    <m/>
    <m/>
    <m/>
    <m/>
    <x v="0"/>
    <d v="2017-07-13T00:00:00"/>
    <m/>
    <x v="0"/>
    <x v="0"/>
    <m/>
    <m/>
    <x v="0"/>
    <e v="#REF!"/>
    <m/>
    <m/>
    <m/>
    <m/>
    <m/>
    <x v="0"/>
    <n v="4520054825"/>
    <m/>
    <m/>
    <m/>
    <s v="NACIONALIZADO"/>
    <m/>
    <m/>
    <m/>
  </r>
  <r>
    <n v="2017"/>
    <s v="G-S"/>
    <x v="0"/>
    <x v="0"/>
    <m/>
    <m/>
    <x v="26"/>
    <m/>
    <x v="26"/>
    <m/>
    <m/>
    <m/>
    <s v="CERRADO"/>
    <n v="207791"/>
    <x v="7"/>
    <x v="0"/>
    <x v="10"/>
    <d v="2017-05-11T00:00:00"/>
    <s v="CAD"/>
    <m/>
    <s v="I-8816"/>
    <m/>
    <d v="2017-05-18T00:00:00"/>
    <s v="CANCELADO"/>
    <s v="CFR"/>
    <m/>
    <x v="22"/>
    <n v="243"/>
    <m/>
    <x v="24"/>
    <x v="0"/>
    <s v="Granel"/>
    <m/>
    <s v="Granel Sólido"/>
    <m/>
    <m/>
    <s v="MAYO"/>
    <x v="0"/>
    <m/>
    <m/>
    <m/>
    <x v="0"/>
    <m/>
    <m/>
    <x v="0"/>
    <n v="6"/>
    <n v="2017"/>
    <x v="0"/>
    <x v="0"/>
    <s v="ST. PETERSBURG / RUSSIA"/>
    <x v="0"/>
    <m/>
    <x v="0"/>
    <x v="16"/>
    <d v="2017-05-12T00:00:00"/>
    <s v="MV VELVET"/>
    <x v="0"/>
    <x v="0"/>
    <m/>
    <m/>
    <m/>
    <m/>
    <m/>
    <m/>
    <x v="0"/>
    <m/>
    <m/>
    <x v="0"/>
    <x v="0"/>
    <m/>
    <m/>
    <x v="0"/>
    <e v="#REF!"/>
    <m/>
    <m/>
    <m/>
    <m/>
    <m/>
    <x v="0"/>
    <n v="4520055015"/>
    <m/>
    <m/>
    <m/>
    <s v="NACIONALIZADO"/>
    <m/>
    <m/>
    <m/>
  </r>
  <r>
    <n v="2017"/>
    <s v="G-S"/>
    <x v="0"/>
    <x v="0"/>
    <m/>
    <m/>
    <x v="27"/>
    <m/>
    <x v="27"/>
    <m/>
    <m/>
    <m/>
    <s v="CERRADO"/>
    <n v="207791"/>
    <x v="7"/>
    <x v="0"/>
    <x v="10"/>
    <d v="2017-05-11T00:00:00"/>
    <s v="CAD"/>
    <m/>
    <s v="I-8817"/>
    <m/>
    <d v="2017-05-18T00:00:00"/>
    <s v="CANCELADO"/>
    <s v="CFR"/>
    <m/>
    <x v="23"/>
    <n v="243"/>
    <m/>
    <x v="25"/>
    <x v="0"/>
    <s v="Granel"/>
    <m/>
    <s v="Granel Sólido"/>
    <m/>
    <m/>
    <s v="MAYO"/>
    <x v="0"/>
    <m/>
    <m/>
    <m/>
    <x v="1"/>
    <m/>
    <m/>
    <x v="1"/>
    <n v="6"/>
    <n v="2017"/>
    <x v="0"/>
    <x v="0"/>
    <s v="ST. PETERSBURG / RUSSIA"/>
    <x v="1"/>
    <m/>
    <x v="0"/>
    <x v="22"/>
    <d v="2017-05-12T00:00:00"/>
    <s v="MV VELVET"/>
    <x v="0"/>
    <x v="0"/>
    <m/>
    <m/>
    <m/>
    <m/>
    <m/>
    <m/>
    <x v="0"/>
    <m/>
    <m/>
    <x v="0"/>
    <x v="0"/>
    <m/>
    <m/>
    <x v="0"/>
    <e v="#REF!"/>
    <m/>
    <m/>
    <m/>
    <m/>
    <m/>
    <x v="0"/>
    <n v="4520055016"/>
    <m/>
    <m/>
    <m/>
    <s v="NACIONALIZADO"/>
    <m/>
    <m/>
    <m/>
  </r>
  <r>
    <n v="2017"/>
    <s v="G-S"/>
    <x v="0"/>
    <x v="0"/>
    <m/>
    <m/>
    <x v="28"/>
    <m/>
    <x v="28"/>
    <m/>
    <m/>
    <m/>
    <s v="CERRADO"/>
    <n v="207791"/>
    <x v="7"/>
    <x v="0"/>
    <x v="10"/>
    <d v="2017-05-11T00:00:00"/>
    <s v="CAD"/>
    <m/>
    <s v="I-8818"/>
    <m/>
    <d v="2017-05-18T00:00:00"/>
    <s v="CANCELADO"/>
    <s v="CFR"/>
    <m/>
    <x v="24"/>
    <n v="243"/>
    <m/>
    <x v="26"/>
    <x v="0"/>
    <s v="Granel"/>
    <m/>
    <s v="Granel Sólido"/>
    <m/>
    <m/>
    <s v="MAYO"/>
    <x v="0"/>
    <m/>
    <m/>
    <m/>
    <x v="4"/>
    <m/>
    <m/>
    <x v="4"/>
    <n v="7"/>
    <n v="2017"/>
    <x v="0"/>
    <x v="0"/>
    <s v="ST. PETERSBURG / RUSSIA"/>
    <x v="4"/>
    <m/>
    <x v="0"/>
    <x v="23"/>
    <d v="2017-05-12T00:00:00"/>
    <s v="MV VELVET"/>
    <x v="0"/>
    <x v="0"/>
    <m/>
    <m/>
    <m/>
    <m/>
    <m/>
    <m/>
    <x v="0"/>
    <m/>
    <m/>
    <x v="0"/>
    <x v="0"/>
    <m/>
    <m/>
    <x v="0"/>
    <e v="#REF!"/>
    <m/>
    <m/>
    <m/>
    <m/>
    <m/>
    <x v="0"/>
    <n v="4520055018"/>
    <m/>
    <m/>
    <m/>
    <s v="NACIONALIZADO"/>
    <m/>
    <m/>
    <m/>
  </r>
  <r>
    <n v="2017"/>
    <s v="G-S"/>
    <x v="0"/>
    <x v="0"/>
    <m/>
    <m/>
    <x v="29"/>
    <m/>
    <x v="29"/>
    <m/>
    <m/>
    <m/>
    <s v="CERRADO"/>
    <n v="206599"/>
    <x v="1"/>
    <x v="7"/>
    <x v="11"/>
    <d v="2017-05-12T00:00:00"/>
    <s v="CAD"/>
    <m/>
    <n v="4200559328"/>
    <m/>
    <d v="2017-07-12T00:00:00"/>
    <s v="CANCELADO"/>
    <s v="CPT"/>
    <m/>
    <x v="25"/>
    <n v="510"/>
    <m/>
    <x v="27"/>
    <x v="0"/>
    <s v="Contenedor 20'"/>
    <m/>
    <s v="Granel Sólido"/>
    <m/>
    <m/>
    <s v="MAYO"/>
    <x v="0"/>
    <m/>
    <m/>
    <m/>
    <x v="17"/>
    <m/>
    <m/>
    <x v="18"/>
    <n v="7"/>
    <n v="2017"/>
    <x v="0"/>
    <x v="0"/>
    <s v="HAMBURGO / ALEMANIA"/>
    <x v="0"/>
    <m/>
    <x v="0"/>
    <x v="24"/>
    <d v="2017-05-29T00:00:00"/>
    <s v="CALLAO EXPRESS"/>
    <x v="10"/>
    <x v="2"/>
    <m/>
    <m/>
    <m/>
    <m/>
    <m/>
    <m/>
    <x v="0"/>
    <d v="2017-07-15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S"/>
    <x v="0"/>
    <x v="0"/>
    <m/>
    <m/>
    <x v="30"/>
    <m/>
    <x v="30"/>
    <m/>
    <m/>
    <m/>
    <s v="CERRADO"/>
    <n v="206971"/>
    <x v="3"/>
    <x v="8"/>
    <x v="12"/>
    <m/>
    <s v="CAD"/>
    <m/>
    <n v="4610000641"/>
    <m/>
    <d v="2017-06-20T00:00:00"/>
    <s v="CANCELADO"/>
    <s v="CPT"/>
    <m/>
    <x v="26"/>
    <n v="500"/>
    <m/>
    <x v="28"/>
    <x v="0"/>
    <s v="Contenedor 20'"/>
    <m/>
    <s v="25 kg"/>
    <m/>
    <m/>
    <s v="JUNIO"/>
    <x v="0"/>
    <m/>
    <m/>
    <m/>
    <x v="18"/>
    <m/>
    <m/>
    <x v="19"/>
    <n v="8"/>
    <n v="2017"/>
    <x v="0"/>
    <x v="0"/>
    <s v="JAKARTA / INDONESIA"/>
    <x v="2"/>
    <m/>
    <x v="0"/>
    <x v="25"/>
    <d v="2017-06-10T00:00:00"/>
    <s v="MSC CARLA"/>
    <x v="11"/>
    <x v="4"/>
    <m/>
    <m/>
    <m/>
    <m/>
    <m/>
    <m/>
    <x v="0"/>
    <d v="2017-08-20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S"/>
    <x v="0"/>
    <x v="0"/>
    <m/>
    <m/>
    <x v="31"/>
    <m/>
    <x v="31"/>
    <m/>
    <m/>
    <m/>
    <s v="CERRADO"/>
    <n v="206971"/>
    <x v="3"/>
    <x v="8"/>
    <x v="13"/>
    <m/>
    <s v="CAD"/>
    <m/>
    <n v="4610000688"/>
    <m/>
    <d v="2017-06-20T00:00:00"/>
    <s v="CANCELADO"/>
    <s v="CPT"/>
    <m/>
    <x v="26"/>
    <n v="500"/>
    <m/>
    <x v="28"/>
    <x v="0"/>
    <s v="Contenedor 20'"/>
    <m/>
    <s v="25 kg"/>
    <m/>
    <m/>
    <s v="JUNIO"/>
    <x v="0"/>
    <m/>
    <m/>
    <m/>
    <x v="19"/>
    <m/>
    <m/>
    <x v="20"/>
    <n v="8"/>
    <n v="2017"/>
    <x v="0"/>
    <x v="0"/>
    <s v="JAKARTA / INDONESIA"/>
    <x v="0"/>
    <m/>
    <x v="0"/>
    <x v="26"/>
    <d v="2017-06-12T00:00:00"/>
    <s v="TG ATHENA"/>
    <x v="12"/>
    <x v="4"/>
    <m/>
    <m/>
    <m/>
    <m/>
    <m/>
    <m/>
    <x v="0"/>
    <d v="2017-08-30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S"/>
    <x v="0"/>
    <x v="0"/>
    <m/>
    <m/>
    <x v="32"/>
    <m/>
    <x v="32"/>
    <m/>
    <m/>
    <m/>
    <s v="CERRADO"/>
    <n v="206971"/>
    <x v="3"/>
    <x v="3"/>
    <x v="14"/>
    <d v="2017-02-16T00:00:00"/>
    <s v="CAD"/>
    <m/>
    <n v="20170756"/>
    <m/>
    <d v="2017-06-12T00:00:00"/>
    <s v="CANCELADO"/>
    <s v="CPT"/>
    <m/>
    <x v="27"/>
    <n v="505"/>
    <m/>
    <x v="29"/>
    <x v="0"/>
    <s v="Contenedor 20'"/>
    <m/>
    <s v="25 kg"/>
    <m/>
    <m/>
    <s v="MAYO"/>
    <x v="0"/>
    <m/>
    <m/>
    <m/>
    <x v="20"/>
    <m/>
    <m/>
    <x v="21"/>
    <n v="7"/>
    <n v="2017"/>
    <x v="0"/>
    <x v="0"/>
    <s v="KAOHSIUNG / TAIWAN"/>
    <x v="0"/>
    <m/>
    <x v="0"/>
    <x v="27"/>
    <d v="2017-05-31T00:00:00"/>
    <s v="SUSAN MAERSK"/>
    <x v="13"/>
    <x v="3"/>
    <m/>
    <m/>
    <m/>
    <m/>
    <m/>
    <m/>
    <x v="0"/>
    <d v="2017-07-27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S"/>
    <x v="0"/>
    <x v="0"/>
    <m/>
    <m/>
    <x v="33"/>
    <m/>
    <x v="33"/>
    <m/>
    <m/>
    <m/>
    <s v="CERRADO"/>
    <n v="206971"/>
    <x v="3"/>
    <x v="3"/>
    <x v="15"/>
    <d v="2017-02-16T00:00:00"/>
    <s v="CAD"/>
    <m/>
    <s v="KTI20170837"/>
    <m/>
    <d v="2017-06-16T00:00:00"/>
    <s v="CANCELADO"/>
    <s v="CPT"/>
    <m/>
    <x v="28"/>
    <n v="505"/>
    <m/>
    <x v="30"/>
    <x v="0"/>
    <s v="Contenedor 20'"/>
    <m/>
    <s v="25 kg"/>
    <m/>
    <m/>
    <s v="JUNIO"/>
    <x v="0"/>
    <m/>
    <m/>
    <m/>
    <x v="21"/>
    <m/>
    <m/>
    <x v="22"/>
    <n v="8"/>
    <n v="2017"/>
    <x v="0"/>
    <x v="0"/>
    <s v="KAOHSIUNG / TAIWAN"/>
    <x v="0"/>
    <m/>
    <x v="0"/>
    <x v="28"/>
    <d v="2017-06-29T00:00:00"/>
    <s v="JULES VERNE "/>
    <x v="14"/>
    <x v="3"/>
    <m/>
    <m/>
    <m/>
    <m/>
    <m/>
    <m/>
    <x v="0"/>
    <d v="2017-08-30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P"/>
    <x v="0"/>
    <x v="1"/>
    <s v="N/A"/>
    <m/>
    <x v="34"/>
    <m/>
    <x v="34"/>
    <m/>
    <m/>
    <m/>
    <m/>
    <m/>
    <x v="2"/>
    <x v="9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17"/>
    <s v="S-S"/>
    <x v="0"/>
    <x v="0"/>
    <m/>
    <m/>
    <x v="35"/>
    <m/>
    <x v="35"/>
    <m/>
    <m/>
    <m/>
    <s v="CERRADO"/>
    <n v="207578"/>
    <x v="8"/>
    <x v="3"/>
    <x v="17"/>
    <d v="2017-08-31T00:00:00"/>
    <s v="CAD"/>
    <m/>
    <s v="KTI20171283"/>
    <m/>
    <d v="2017-11-06T00:00:00"/>
    <s v="CANCELADO"/>
    <s v="CPT"/>
    <m/>
    <x v="30"/>
    <n v="255"/>
    <m/>
    <x v="32"/>
    <x v="0"/>
    <s v="Granel - BB"/>
    <m/>
    <s v="25 kg"/>
    <m/>
    <m/>
    <s v="OCTUBRE"/>
    <x v="0"/>
    <m/>
    <m/>
    <m/>
    <x v="23"/>
    <m/>
    <m/>
    <x v="24"/>
    <n v="12"/>
    <n v="2017"/>
    <x v="0"/>
    <x v="0"/>
    <s v="TIAJIN / CHINA"/>
    <x v="2"/>
    <m/>
    <x v="0"/>
    <x v="30"/>
    <d v="2017-10-25T00:00:00"/>
    <s v="MV RUI AN CHENG"/>
    <x v="16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S"/>
    <x v="0"/>
    <x v="0"/>
    <m/>
    <m/>
    <x v="36"/>
    <m/>
    <x v="36"/>
    <m/>
    <m/>
    <m/>
    <s v="CERRADO"/>
    <n v="207578"/>
    <x v="8"/>
    <x v="3"/>
    <x v="18"/>
    <d v="2017-08-31T00:00:00"/>
    <s v="CAD"/>
    <m/>
    <s v="KTI20171283"/>
    <m/>
    <d v="2017-11-06T00:00:00"/>
    <s v="CANCELADO"/>
    <s v="CPT"/>
    <m/>
    <x v="30"/>
    <n v="255"/>
    <m/>
    <x v="32"/>
    <x v="0"/>
    <s v="Granel - BB"/>
    <m/>
    <s v="25 kg"/>
    <m/>
    <m/>
    <s v="OCTUBRE"/>
    <x v="0"/>
    <m/>
    <m/>
    <m/>
    <x v="23"/>
    <m/>
    <m/>
    <x v="24"/>
    <n v="12"/>
    <n v="2017"/>
    <x v="0"/>
    <x v="0"/>
    <s v="TIAJIN / CHINA"/>
    <x v="2"/>
    <m/>
    <x v="0"/>
    <x v="30"/>
    <d v="2017-10-25T00:00:00"/>
    <s v="MV RUI AN CHENG"/>
    <x v="16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S"/>
    <x v="0"/>
    <x v="0"/>
    <m/>
    <m/>
    <x v="37"/>
    <m/>
    <x v="37"/>
    <m/>
    <m/>
    <m/>
    <s v="CERRADO"/>
    <n v="207578"/>
    <x v="8"/>
    <x v="3"/>
    <x v="19"/>
    <d v="2017-08-31T00:00:00"/>
    <s v="CAD"/>
    <m/>
    <s v="KTI20171283"/>
    <m/>
    <d v="2017-11-06T00:00:00"/>
    <s v="CANCELADO"/>
    <s v="CPT"/>
    <m/>
    <x v="30"/>
    <n v="255"/>
    <m/>
    <x v="32"/>
    <x v="0"/>
    <s v="Granel - BB"/>
    <m/>
    <s v="25 kg"/>
    <m/>
    <m/>
    <s v="OCTUBRE"/>
    <x v="0"/>
    <m/>
    <m/>
    <m/>
    <x v="23"/>
    <m/>
    <m/>
    <x v="24"/>
    <n v="12"/>
    <n v="2017"/>
    <x v="0"/>
    <x v="0"/>
    <s v="TIAJIN / CHINA"/>
    <x v="2"/>
    <m/>
    <x v="0"/>
    <x v="30"/>
    <d v="2017-10-25T00:00:00"/>
    <s v="MV RUI AN CHENG"/>
    <x v="16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S"/>
    <x v="0"/>
    <x v="0"/>
    <m/>
    <m/>
    <x v="38"/>
    <m/>
    <x v="38"/>
    <m/>
    <m/>
    <m/>
    <s v="CERRADO"/>
    <n v="207578"/>
    <x v="8"/>
    <x v="3"/>
    <x v="20"/>
    <d v="2017-08-31T00:00:00"/>
    <s v="CAD"/>
    <m/>
    <s v="KTI20171284"/>
    <m/>
    <d v="2017-11-06T00:00:00"/>
    <s v="CANCELADO"/>
    <s v="CPT"/>
    <m/>
    <x v="31"/>
    <n v="215"/>
    <m/>
    <x v="33"/>
    <x v="0"/>
    <s v="Granel - BB"/>
    <m/>
    <s v="25 kg"/>
    <m/>
    <m/>
    <s v="OCTUBRE"/>
    <x v="0"/>
    <m/>
    <m/>
    <m/>
    <x v="23"/>
    <m/>
    <m/>
    <x v="24"/>
    <n v="12"/>
    <n v="2017"/>
    <x v="0"/>
    <x v="0"/>
    <s v="TIAJIN / CHINA"/>
    <x v="2"/>
    <m/>
    <x v="0"/>
    <x v="30"/>
    <d v="2017-10-25T00:00:00"/>
    <s v="MV RUI AN CHENG"/>
    <x v="16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S"/>
    <x v="0"/>
    <x v="0"/>
    <s v="URGENTE"/>
    <m/>
    <x v="39"/>
    <m/>
    <x v="39"/>
    <m/>
    <m/>
    <m/>
    <s v="CERRADO"/>
    <n v="207579"/>
    <x v="9"/>
    <x v="3"/>
    <x v="21"/>
    <d v="2017-03-27T00:00:00"/>
    <s v="CAD"/>
    <m/>
    <s v="KTI20170871"/>
    <m/>
    <d v="2017-07-13T00:00:00"/>
    <s v="CANCELADO"/>
    <s v="CPT"/>
    <m/>
    <x v="10"/>
    <n v="260"/>
    <m/>
    <x v="10"/>
    <x v="0"/>
    <s v="Contenedor 20'"/>
    <m/>
    <s v="25 kg"/>
    <m/>
    <m/>
    <s v="JUNIO"/>
    <x v="0"/>
    <m/>
    <m/>
    <m/>
    <x v="24"/>
    <m/>
    <m/>
    <x v="25"/>
    <n v="8"/>
    <n v="2017"/>
    <x v="0"/>
    <x v="0"/>
    <s v="XINGANG / CHINA"/>
    <x v="2"/>
    <m/>
    <x v="0"/>
    <x v="31"/>
    <d v="2017-06-29T00:00:00"/>
    <s v="MSC MELATILDE"/>
    <x v="17"/>
    <x v="3"/>
    <m/>
    <m/>
    <m/>
    <m/>
    <m/>
    <m/>
    <x v="0"/>
    <d v="2017-08-28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S"/>
    <x v="0"/>
    <x v="0"/>
    <m/>
    <m/>
    <x v="40"/>
    <m/>
    <x v="40"/>
    <m/>
    <m/>
    <m/>
    <s v="CERRADO"/>
    <n v="206971"/>
    <x v="3"/>
    <x v="3"/>
    <x v="22"/>
    <d v="2017-04-25T00:00:00"/>
    <n v="90"/>
    <s v="días BL"/>
    <n v="20171109"/>
    <m/>
    <d v="2017-12-04T00:00:00"/>
    <s v="CANCELADO"/>
    <s v="CPT"/>
    <m/>
    <x v="12"/>
    <n v="505"/>
    <m/>
    <x v="34"/>
    <x v="0"/>
    <s v="Contenedor 20'"/>
    <m/>
    <s v="25 kg"/>
    <m/>
    <m/>
    <s v="SEPTIEMBRE"/>
    <x v="0"/>
    <m/>
    <m/>
    <m/>
    <x v="25"/>
    <m/>
    <m/>
    <x v="26"/>
    <n v="10"/>
    <n v="2017"/>
    <x v="0"/>
    <x v="0"/>
    <s v="KEELUNG / TAIWAN"/>
    <x v="2"/>
    <m/>
    <x v="0"/>
    <x v="32"/>
    <d v="2017-09-05T00:00:00"/>
    <s v="YM WREATH"/>
    <x v="18"/>
    <x v="2"/>
    <m/>
    <m/>
    <m/>
    <m/>
    <m/>
    <m/>
    <x v="0"/>
    <d v="2017-10-21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S"/>
    <x v="0"/>
    <x v="0"/>
    <m/>
    <m/>
    <x v="41"/>
    <m/>
    <x v="41"/>
    <m/>
    <m/>
    <m/>
    <s v="CERRADO"/>
    <n v="206971"/>
    <x v="3"/>
    <x v="3"/>
    <x v="22"/>
    <d v="2017-04-25T00:00:00"/>
    <n v="90"/>
    <s v="días BL"/>
    <s v="20171109A"/>
    <m/>
    <d v="2017-12-21T00:00:00"/>
    <s v="CANCELADO"/>
    <s v="CPT"/>
    <m/>
    <x v="12"/>
    <n v="505"/>
    <m/>
    <x v="34"/>
    <x v="0"/>
    <s v="Contenedor 20'"/>
    <m/>
    <s v="25 kg"/>
    <m/>
    <m/>
    <s v="SEPTIEMBRE"/>
    <x v="0"/>
    <m/>
    <m/>
    <m/>
    <x v="26"/>
    <m/>
    <m/>
    <x v="27"/>
    <n v="10"/>
    <n v="2017"/>
    <x v="0"/>
    <x v="0"/>
    <s v="KAOHSIUNG / TAIWAN"/>
    <x v="2"/>
    <m/>
    <x v="0"/>
    <x v="33"/>
    <d v="2017-09-22T00:00:00"/>
    <s v="KMARIN AQUA"/>
    <x v="19"/>
    <x v="3"/>
    <m/>
    <m/>
    <m/>
    <m/>
    <m/>
    <m/>
    <x v="0"/>
    <d v="2017-11-10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S"/>
    <x v="0"/>
    <x v="0"/>
    <m/>
    <m/>
    <x v="42"/>
    <m/>
    <x v="42"/>
    <m/>
    <m/>
    <m/>
    <s v="CERRADO"/>
    <n v="206971"/>
    <x v="3"/>
    <x v="3"/>
    <x v="23"/>
    <d v="2017-04-25T00:00:00"/>
    <n v="90"/>
    <s v="días BL"/>
    <n v="20171226"/>
    <m/>
    <d v="2018-01-09T00:00:00"/>
    <s v="CANCELADO"/>
    <s v="CPT"/>
    <m/>
    <x v="12"/>
    <n v="505"/>
    <m/>
    <x v="34"/>
    <x v="0"/>
    <s v="Contenedor 20'"/>
    <m/>
    <s v="25 kg"/>
    <m/>
    <m/>
    <s v="OCTUBRE"/>
    <x v="0"/>
    <m/>
    <m/>
    <m/>
    <x v="27"/>
    <m/>
    <m/>
    <x v="28"/>
    <n v="11"/>
    <n v="2017"/>
    <x v="0"/>
    <x v="0"/>
    <s v="KAOHSIUNG / TAIWAN"/>
    <x v="0"/>
    <m/>
    <x v="0"/>
    <x v="34"/>
    <d v="2017-10-11T00:00:00"/>
    <s v="SALLY MAERSK"/>
    <x v="3"/>
    <x v="3"/>
    <m/>
    <m/>
    <m/>
    <m/>
    <m/>
    <m/>
    <x v="0"/>
    <d v="2017-12-06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S"/>
    <x v="0"/>
    <x v="0"/>
    <m/>
    <m/>
    <x v="43"/>
    <m/>
    <x v="43"/>
    <m/>
    <m/>
    <m/>
    <s v="CERRADO"/>
    <n v="206971"/>
    <x v="3"/>
    <x v="3"/>
    <x v="24"/>
    <d v="2017-04-25T00:00:00"/>
    <n v="90"/>
    <s v="días BL"/>
    <s v="20171226A"/>
    <m/>
    <d v="2018-01-30T00:00:00"/>
    <s v="CANCELADO"/>
    <s v="CPT"/>
    <m/>
    <x v="12"/>
    <n v="505"/>
    <m/>
    <x v="34"/>
    <x v="0"/>
    <s v="Contenedor 20'"/>
    <m/>
    <s v="25 kg"/>
    <m/>
    <m/>
    <s v="NOVIEMBRE '17"/>
    <x v="0"/>
    <m/>
    <m/>
    <m/>
    <x v="28"/>
    <m/>
    <m/>
    <x v="29"/>
    <n v="12"/>
    <n v="2017"/>
    <x v="0"/>
    <x v="0"/>
    <s v="KAOHSIUNG / TAIWAN"/>
    <x v="0"/>
    <m/>
    <x v="0"/>
    <x v="35"/>
    <d v="2017-11-01T00:00:00"/>
    <s v="SHANGHAI EXPRESS"/>
    <x v="10"/>
    <x v="2"/>
    <m/>
    <m/>
    <m/>
    <m/>
    <m/>
    <m/>
    <x v="0"/>
    <d v="2017-12-24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S"/>
    <x v="0"/>
    <x v="0"/>
    <m/>
    <m/>
    <x v="44"/>
    <m/>
    <x v="44"/>
    <m/>
    <m/>
    <m/>
    <s v="CERRADO"/>
    <n v="206971"/>
    <x v="3"/>
    <x v="3"/>
    <x v="25"/>
    <d v="2017-04-25T00:00:00"/>
    <n v="90"/>
    <s v="días BL"/>
    <s v="20171226B"/>
    <m/>
    <d v="2018-02-05T00:00:00"/>
    <s v="CANCELADO"/>
    <s v="CPT"/>
    <m/>
    <x v="12"/>
    <n v="505"/>
    <m/>
    <x v="34"/>
    <x v="0"/>
    <s v="Contenedor 20'"/>
    <m/>
    <s v="25 kg"/>
    <m/>
    <m/>
    <s v="NOVIEMBRE '17"/>
    <x v="0"/>
    <m/>
    <m/>
    <m/>
    <x v="28"/>
    <m/>
    <m/>
    <x v="30"/>
    <n v="12"/>
    <n v="2017"/>
    <x v="0"/>
    <x v="0"/>
    <s v="KAOHSIUNG / TAIWAN"/>
    <x v="0"/>
    <m/>
    <x v="0"/>
    <x v="36"/>
    <d v="2017-11-07T00:00:00"/>
    <s v="CMA CGM THALASSA"/>
    <x v="10"/>
    <x v="2"/>
    <m/>
    <m/>
    <m/>
    <m/>
    <m/>
    <m/>
    <x v="0"/>
    <d v="2017-12-25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P"/>
    <x v="0"/>
    <x v="0"/>
    <m/>
    <m/>
    <x v="45"/>
    <m/>
    <x v="45"/>
    <m/>
    <m/>
    <m/>
    <s v="CERRADO"/>
    <n v="206766"/>
    <x v="10"/>
    <x v="3"/>
    <x v="26"/>
    <d v="2017-04-26T00:00:00"/>
    <s v="CAD"/>
    <m/>
    <s v="KTI20170782"/>
    <m/>
    <d v="2017-06-12T00:00:00"/>
    <s v="CANCELADO"/>
    <s v="CPT"/>
    <m/>
    <x v="32"/>
    <n v="909"/>
    <m/>
    <x v="35"/>
    <x v="4"/>
    <s v="Contenedor 20'"/>
    <m/>
    <s v="Bidones 50kg"/>
    <m/>
    <m/>
    <s v="JUNIO"/>
    <x v="0"/>
    <m/>
    <m/>
    <m/>
    <x v="29"/>
    <m/>
    <m/>
    <x v="5"/>
    <n v="7"/>
    <n v="2017"/>
    <x v="0"/>
    <x v="0"/>
    <s v="VERACRUZ / MEXICO"/>
    <x v="2"/>
    <m/>
    <x v="0"/>
    <x v="37"/>
    <d v="2017-06-10T00:00:00"/>
    <s v="CAP RICARDA"/>
    <x v="20"/>
    <x v="6"/>
    <m/>
    <m/>
    <m/>
    <m/>
    <m/>
    <m/>
    <x v="0"/>
    <d v="2017-07-14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P"/>
    <x v="0"/>
    <x v="0"/>
    <m/>
    <m/>
    <x v="46"/>
    <m/>
    <x v="46"/>
    <m/>
    <m/>
    <m/>
    <s v="CERRADO"/>
    <n v="206766"/>
    <x v="10"/>
    <x v="3"/>
    <x v="27"/>
    <d v="2017-04-26T00:00:00"/>
    <s v="CAD"/>
    <m/>
    <s v="KTI20170789"/>
    <m/>
    <d v="2017-06-16T00:00:00"/>
    <s v="CANCELADO"/>
    <s v="CPT"/>
    <m/>
    <x v="32"/>
    <n v="914"/>
    <m/>
    <x v="36"/>
    <x v="4"/>
    <s v="Contenedor 20'"/>
    <m/>
    <s v="Bidones 50kg"/>
    <m/>
    <m/>
    <s v="JUNIO"/>
    <x v="0"/>
    <m/>
    <m/>
    <m/>
    <x v="30"/>
    <m/>
    <m/>
    <x v="31"/>
    <n v="7"/>
    <n v="2017"/>
    <x v="0"/>
    <x v="0"/>
    <s v="VERACRUZ / MEXICO"/>
    <x v="0"/>
    <m/>
    <x v="0"/>
    <x v="38"/>
    <d v="2017-06-10T00:00:00"/>
    <s v="CAP RICARDA"/>
    <x v="15"/>
    <x v="6"/>
    <m/>
    <m/>
    <m/>
    <m/>
    <m/>
    <m/>
    <x v="0"/>
    <d v="2017-07-17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E-S"/>
    <x v="0"/>
    <x v="0"/>
    <m/>
    <m/>
    <x v="47"/>
    <m/>
    <x v="47"/>
    <m/>
    <m/>
    <m/>
    <s v="CERRADO"/>
    <n v="207522"/>
    <x v="11"/>
    <x v="10"/>
    <x v="28"/>
    <d v="2017-05-04T00:00:00"/>
    <n v="90"/>
    <s v="días BL"/>
    <s v="300000959"/>
    <m/>
    <d v="2017-08-30T00:00:00"/>
    <s v="CANCELADO"/>
    <s v="CFR"/>
    <m/>
    <x v="33"/>
    <n v="280"/>
    <m/>
    <x v="37"/>
    <x v="5"/>
    <s v="Contenedor 20'"/>
    <m/>
    <s v="Bidones 50kg"/>
    <m/>
    <m/>
    <s v="MAYO"/>
    <x v="0"/>
    <m/>
    <m/>
    <m/>
    <x v="2"/>
    <m/>
    <m/>
    <x v="16"/>
    <n v="6"/>
    <n v="2017"/>
    <x v="0"/>
    <x v="0"/>
    <s v="AMBERES / BELGICA"/>
    <x v="2"/>
    <m/>
    <x v="0"/>
    <x v="39"/>
    <d v="2017-06-01T00:00:00"/>
    <s v="CALLAO EXPRESS "/>
    <x v="21"/>
    <x v="6"/>
    <m/>
    <m/>
    <m/>
    <m/>
    <m/>
    <m/>
    <x v="0"/>
    <d v="2017-07-07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E-S"/>
    <x v="0"/>
    <x v="0"/>
    <m/>
    <m/>
    <x v="48"/>
    <m/>
    <x v="48"/>
    <m/>
    <m/>
    <m/>
    <s v="CERRADO"/>
    <n v="207522"/>
    <x v="11"/>
    <x v="10"/>
    <x v="29"/>
    <d v="2017-05-04T00:00:00"/>
    <n v="90"/>
    <s v="días BL"/>
    <s v="300000960"/>
    <m/>
    <d v="2017-08-30T00:00:00"/>
    <s v="CANCELADO"/>
    <s v="CFR"/>
    <m/>
    <x v="34"/>
    <n v="280"/>
    <m/>
    <x v="38"/>
    <x v="1"/>
    <s v="Contenedor 20'"/>
    <m/>
    <s v="Bidones 50kg"/>
    <m/>
    <m/>
    <s v="MAYO"/>
    <x v="0"/>
    <m/>
    <m/>
    <m/>
    <x v="17"/>
    <m/>
    <m/>
    <x v="17"/>
    <n v="6"/>
    <n v="2017"/>
    <x v="0"/>
    <x v="0"/>
    <s v="AMBERES / BELGICA"/>
    <x v="0"/>
    <m/>
    <x v="0"/>
    <x v="40"/>
    <d v="2017-06-01T00:00:00"/>
    <s v="CALLAO EXPRESS "/>
    <x v="10"/>
    <x v="6"/>
    <m/>
    <m/>
    <m/>
    <m/>
    <m/>
    <m/>
    <x v="0"/>
    <d v="2017-07-12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S"/>
    <x v="0"/>
    <x v="0"/>
    <m/>
    <m/>
    <x v="49"/>
    <m/>
    <x v="49"/>
    <m/>
    <m/>
    <m/>
    <s v="CERRADO"/>
    <n v="206914"/>
    <x v="12"/>
    <x v="11"/>
    <x v="30"/>
    <d v="2017-05-02T00:00:00"/>
    <n v="30"/>
    <s v="días BL"/>
    <n v="17020218"/>
    <m/>
    <d v="2017-07-31T00:00:00"/>
    <s v="CANCELADO"/>
    <s v="CIF"/>
    <m/>
    <x v="35"/>
    <n v="135"/>
    <m/>
    <x v="39"/>
    <x v="0"/>
    <s v="Granel - BB"/>
    <m/>
    <s v="25 kg"/>
    <m/>
    <m/>
    <s v="JUNIO"/>
    <x v="0"/>
    <m/>
    <m/>
    <m/>
    <x v="31"/>
    <m/>
    <m/>
    <x v="32"/>
    <n v="8"/>
    <n v="2017"/>
    <x v="0"/>
    <x v="0"/>
    <s v="TIAJIN / CHINA"/>
    <x v="2"/>
    <m/>
    <x v="0"/>
    <x v="41"/>
    <d v="2017-07-03T00:00:00"/>
    <s v="BULK HERO"/>
    <x v="22"/>
    <x v="0"/>
    <m/>
    <m/>
    <m/>
    <m/>
    <m/>
    <m/>
    <x v="0"/>
    <d v="2017-08-25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S"/>
    <x v="0"/>
    <x v="0"/>
    <m/>
    <m/>
    <x v="50"/>
    <m/>
    <x v="50"/>
    <m/>
    <m/>
    <m/>
    <s v="CERRADO"/>
    <n v="206914"/>
    <x v="12"/>
    <x v="11"/>
    <x v="31"/>
    <d v="2017-05-02T00:00:00"/>
    <n v="30"/>
    <s v="días BL"/>
    <s v="ROM-17020219"/>
    <m/>
    <d v="2017-08-23T00:00:00"/>
    <s v="CANCELADO"/>
    <s v="CIF"/>
    <m/>
    <x v="35"/>
    <n v="135"/>
    <m/>
    <x v="39"/>
    <x v="0"/>
    <s v="Granel - BB"/>
    <m/>
    <s v="25 kg"/>
    <m/>
    <m/>
    <s v="JULIO"/>
    <x v="0"/>
    <m/>
    <m/>
    <m/>
    <x v="32"/>
    <m/>
    <m/>
    <x v="33"/>
    <n v="9"/>
    <n v="2017"/>
    <x v="0"/>
    <x v="0"/>
    <s v="XINGANG / CHINA"/>
    <x v="2"/>
    <m/>
    <x v="0"/>
    <x v="42"/>
    <d v="2017-07-27T00:00:00"/>
    <s v="MV.CLARKE QUAY"/>
    <x v="23"/>
    <x v="7"/>
    <m/>
    <m/>
    <m/>
    <m/>
    <m/>
    <m/>
    <x v="0"/>
    <d v="2017-10-03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51"/>
    <m/>
    <x v="51"/>
    <m/>
    <m/>
    <m/>
    <s v="CERRADO"/>
    <n v="206599"/>
    <x v="1"/>
    <x v="1"/>
    <x v="32"/>
    <d v="2017-05-10T00:00:00"/>
    <s v="CAD"/>
    <m/>
    <s v="INV-830"/>
    <m/>
    <d v="2017-06-09T00:00:00"/>
    <s v="CANCELADO"/>
    <s v="CFR"/>
    <m/>
    <x v="36"/>
    <n v="489"/>
    <m/>
    <x v="40"/>
    <x v="6"/>
    <s v="Contenedor 20'"/>
    <m/>
    <s v="Bigbag"/>
    <m/>
    <m/>
    <s v="MAYO"/>
    <x v="0"/>
    <m/>
    <m/>
    <m/>
    <x v="33"/>
    <m/>
    <m/>
    <x v="34"/>
    <n v="7"/>
    <n v="2017"/>
    <x v="0"/>
    <x v="0"/>
    <s v="NHAVA / INDIA"/>
    <x v="2"/>
    <m/>
    <x v="0"/>
    <x v="43"/>
    <d v="2017-05-24T00:00:00"/>
    <s v="MSC SOLA"/>
    <x v="24"/>
    <x v="4"/>
    <m/>
    <m/>
    <m/>
    <m/>
    <m/>
    <m/>
    <x v="0"/>
    <d v="2017-08-04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52"/>
    <m/>
    <x v="52"/>
    <m/>
    <m/>
    <m/>
    <s v="CERRADO"/>
    <n v="207951"/>
    <x v="6"/>
    <x v="12"/>
    <x v="33"/>
    <d v="2017-06-05T00:00:00"/>
    <s v="CAD"/>
    <m/>
    <s v="I393282A"/>
    <m/>
    <d v="2017-06-20T00:00:00"/>
    <s v="CANCELADO"/>
    <s v="CFR"/>
    <m/>
    <x v="37"/>
    <n v="220"/>
    <m/>
    <x v="41"/>
    <x v="0"/>
    <s v="Granel"/>
    <m/>
    <s v="Granel Sólido"/>
    <m/>
    <m/>
    <s v="JUNIO"/>
    <x v="0"/>
    <m/>
    <m/>
    <m/>
    <x v="20"/>
    <m/>
    <m/>
    <x v="35"/>
    <n v="7"/>
    <n v="2017"/>
    <x v="0"/>
    <x v="0"/>
    <s v="KOTKA / FINLANDIA"/>
    <x v="0"/>
    <m/>
    <x v="0"/>
    <x v="19"/>
    <d v="2017-06-17T00:00:00"/>
    <s v="KS FLORA"/>
    <x v="25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53"/>
    <m/>
    <x v="53"/>
    <m/>
    <m/>
    <m/>
    <s v="CERRADO"/>
    <n v="207951"/>
    <x v="6"/>
    <x v="12"/>
    <x v="33"/>
    <d v="2017-06-05T00:00:00"/>
    <s v="CAD"/>
    <m/>
    <s v="I393282B"/>
    <m/>
    <d v="2017-06-20T00:00:00"/>
    <s v="CANCELADO"/>
    <s v="CFR"/>
    <m/>
    <x v="38"/>
    <n v="220"/>
    <m/>
    <x v="42"/>
    <x v="0"/>
    <s v="Granel"/>
    <m/>
    <s v="Granel Sólido"/>
    <m/>
    <m/>
    <s v="JUNIO"/>
    <x v="0"/>
    <m/>
    <m/>
    <m/>
    <x v="34"/>
    <m/>
    <m/>
    <x v="36"/>
    <n v="7"/>
    <n v="2017"/>
    <x v="0"/>
    <x v="0"/>
    <s v="KOTKA / FINLANDIA"/>
    <x v="1"/>
    <m/>
    <x v="0"/>
    <x v="44"/>
    <d v="2017-06-17T00:00:00"/>
    <s v="KS FLORA"/>
    <x v="25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54"/>
    <m/>
    <x v="54"/>
    <m/>
    <m/>
    <m/>
    <s v="CERRADO"/>
    <n v="207951"/>
    <x v="6"/>
    <x v="12"/>
    <x v="33"/>
    <d v="2017-06-05T00:00:00"/>
    <s v="CAD"/>
    <m/>
    <s v="I393282C"/>
    <m/>
    <d v="2017-06-20T00:00:00"/>
    <s v="CANCELADO"/>
    <s v="CFR"/>
    <m/>
    <x v="39"/>
    <n v="220"/>
    <m/>
    <x v="43"/>
    <x v="0"/>
    <s v="Granel"/>
    <m/>
    <s v="Granel Sólido"/>
    <m/>
    <m/>
    <s v="JUNIO"/>
    <x v="0"/>
    <m/>
    <m/>
    <m/>
    <x v="35"/>
    <m/>
    <m/>
    <x v="37"/>
    <n v="7"/>
    <n v="2017"/>
    <x v="0"/>
    <x v="0"/>
    <s v="KOTKA / FINLANDIA"/>
    <x v="2"/>
    <m/>
    <x v="0"/>
    <x v="20"/>
    <d v="2017-06-17T00:00:00"/>
    <s v="KS FLORA"/>
    <x v="25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55"/>
    <m/>
    <x v="55"/>
    <m/>
    <m/>
    <m/>
    <s v="CERRADO"/>
    <n v="207951"/>
    <x v="6"/>
    <x v="12"/>
    <x v="33"/>
    <d v="2017-06-05T00:00:00"/>
    <s v="CAD"/>
    <m/>
    <s v="I393282D"/>
    <m/>
    <d v="2017-06-20T00:00:00"/>
    <s v="CANCELADO"/>
    <s v="CFR"/>
    <m/>
    <x v="40"/>
    <n v="220"/>
    <m/>
    <x v="44"/>
    <x v="0"/>
    <s v="Granel"/>
    <m/>
    <s v="Granel Sólido"/>
    <m/>
    <m/>
    <s v="JUNIO"/>
    <x v="0"/>
    <m/>
    <m/>
    <m/>
    <x v="36"/>
    <m/>
    <m/>
    <x v="38"/>
    <n v="7"/>
    <n v="2017"/>
    <x v="0"/>
    <x v="0"/>
    <s v="KOTKA / FINLANDIA"/>
    <x v="3"/>
    <m/>
    <x v="0"/>
    <x v="45"/>
    <d v="2017-06-17T00:00:00"/>
    <s v="KS FLORA"/>
    <x v="25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56"/>
    <m/>
    <x v="56"/>
    <m/>
    <m/>
    <m/>
    <s v="CERRADO"/>
    <n v="207951"/>
    <x v="6"/>
    <x v="12"/>
    <x v="33"/>
    <d v="2017-06-05T00:00:00"/>
    <s v="CAD"/>
    <m/>
    <s v="I393282E"/>
    <m/>
    <d v="2017-06-20T00:00:00"/>
    <s v="CANCELADO"/>
    <s v="CFR"/>
    <m/>
    <x v="3"/>
    <n v="220"/>
    <m/>
    <x v="45"/>
    <x v="0"/>
    <s v="Granel"/>
    <m/>
    <s v="Granel Sólido"/>
    <m/>
    <m/>
    <s v="JUNIO"/>
    <x v="0"/>
    <m/>
    <m/>
    <m/>
    <x v="37"/>
    <m/>
    <m/>
    <x v="39"/>
    <n v="7"/>
    <n v="2017"/>
    <x v="0"/>
    <x v="0"/>
    <s v="KOTKA / FINLANDIA"/>
    <x v="4"/>
    <m/>
    <x v="0"/>
    <x v="1"/>
    <d v="2017-06-17T00:00:00"/>
    <s v="KS FLORA"/>
    <x v="25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57"/>
    <m/>
    <x v="57"/>
    <m/>
    <m/>
    <m/>
    <s v="CERRADO"/>
    <n v="207485"/>
    <x v="13"/>
    <x v="0"/>
    <x v="34"/>
    <d v="2017-05-23T00:00:00"/>
    <s v="CAD"/>
    <m/>
    <s v="I-9623"/>
    <m/>
    <d v="2017-08-04T00:00:00"/>
    <s v="CANCELADO"/>
    <s v="CFR"/>
    <m/>
    <x v="41"/>
    <n v="240"/>
    <m/>
    <x v="46"/>
    <x v="0"/>
    <s v="Granel"/>
    <m/>
    <s v="Granel Sólido"/>
    <m/>
    <m/>
    <s v="JULIO"/>
    <x v="0"/>
    <m/>
    <m/>
    <m/>
    <x v="38"/>
    <m/>
    <m/>
    <x v="40"/>
    <n v="8"/>
    <n v="2017"/>
    <x v="0"/>
    <x v="0"/>
    <s v="NANJING / CHINA"/>
    <x v="0"/>
    <m/>
    <x v="0"/>
    <x v="46"/>
    <d v="2017-07-21T00:00:00"/>
    <s v="MV TIZIANA"/>
    <x v="26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58"/>
    <m/>
    <x v="58"/>
    <m/>
    <m/>
    <m/>
    <s v="CERRADO"/>
    <n v="207485"/>
    <x v="13"/>
    <x v="0"/>
    <x v="34"/>
    <d v="2017-05-23T00:00:00"/>
    <s v="CAD"/>
    <m/>
    <s v="I-9624"/>
    <m/>
    <d v="2017-08-04T00:00:00"/>
    <s v="CANCELADO"/>
    <s v="CFR"/>
    <m/>
    <x v="42"/>
    <n v="240"/>
    <m/>
    <x v="47"/>
    <x v="0"/>
    <s v="Granel"/>
    <m/>
    <s v="Granel Sólido"/>
    <m/>
    <m/>
    <s v="JULIO"/>
    <x v="0"/>
    <m/>
    <m/>
    <m/>
    <x v="39"/>
    <m/>
    <m/>
    <x v="41"/>
    <n v="9"/>
    <n v="2017"/>
    <x v="0"/>
    <x v="0"/>
    <s v="NANJING / CHINA"/>
    <x v="1"/>
    <m/>
    <x v="0"/>
    <x v="47"/>
    <d v="2017-07-21T00:00:00"/>
    <s v="MV TIZIANA"/>
    <x v="26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59"/>
    <m/>
    <x v="59"/>
    <m/>
    <m/>
    <m/>
    <s v="CERRADO"/>
    <n v="207485"/>
    <x v="13"/>
    <x v="0"/>
    <x v="34"/>
    <d v="2017-05-23T00:00:00"/>
    <s v="CAD"/>
    <m/>
    <s v="I-9625"/>
    <m/>
    <d v="2017-08-04T00:00:00"/>
    <s v="CANCELADO"/>
    <s v="CFR"/>
    <m/>
    <x v="43"/>
    <n v="240"/>
    <m/>
    <x v="48"/>
    <x v="0"/>
    <s v="Granel"/>
    <m/>
    <s v="Granel Sólido"/>
    <m/>
    <m/>
    <s v="JULIO"/>
    <x v="0"/>
    <m/>
    <m/>
    <m/>
    <x v="40"/>
    <m/>
    <m/>
    <x v="42"/>
    <n v="9"/>
    <n v="2017"/>
    <x v="0"/>
    <x v="0"/>
    <s v="NANJING / CHINA"/>
    <x v="2"/>
    <m/>
    <x v="0"/>
    <x v="48"/>
    <d v="2017-07-21T00:00:00"/>
    <s v="MV TIZIANA"/>
    <x v="26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60"/>
    <m/>
    <x v="60"/>
    <m/>
    <m/>
    <m/>
    <s v="CERRADO"/>
    <n v="207485"/>
    <x v="13"/>
    <x v="0"/>
    <x v="34"/>
    <d v="2017-05-23T00:00:00"/>
    <s v="CAD"/>
    <m/>
    <s v="I-9626"/>
    <m/>
    <d v="2017-08-04T00:00:00"/>
    <s v="CANCELADO"/>
    <s v="CFR"/>
    <m/>
    <x v="44"/>
    <n v="240"/>
    <m/>
    <x v="49"/>
    <x v="0"/>
    <s v="Granel"/>
    <m/>
    <s v="Granel Sólido"/>
    <m/>
    <m/>
    <s v="JULIO"/>
    <x v="0"/>
    <m/>
    <m/>
    <m/>
    <x v="41"/>
    <m/>
    <m/>
    <x v="43"/>
    <n v="9"/>
    <n v="2017"/>
    <x v="0"/>
    <x v="0"/>
    <s v="NANJING / CHINA"/>
    <x v="4"/>
    <m/>
    <x v="0"/>
    <x v="49"/>
    <d v="2017-07-21T00:00:00"/>
    <s v="MV TIZIANA"/>
    <x v="26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61"/>
    <m/>
    <x v="61"/>
    <m/>
    <m/>
    <m/>
    <s v="CERRADO"/>
    <n v="206569"/>
    <x v="14"/>
    <x v="0"/>
    <x v="35"/>
    <d v="2017-05-23T00:00:00"/>
    <s v="CAD"/>
    <m/>
    <s v="I-9613"/>
    <m/>
    <d v="2017-08-04T00:00:00"/>
    <s v="CANCELADO"/>
    <s v="CFR"/>
    <m/>
    <x v="45"/>
    <n v="378"/>
    <m/>
    <x v="50"/>
    <x v="0"/>
    <s v="Granel"/>
    <m/>
    <s v="Granel Sólido"/>
    <m/>
    <m/>
    <s v="JULIO"/>
    <x v="0"/>
    <m/>
    <m/>
    <m/>
    <x v="38"/>
    <m/>
    <m/>
    <x v="40"/>
    <n v="8"/>
    <n v="2017"/>
    <x v="0"/>
    <x v="0"/>
    <s v="NANJING / CHINA"/>
    <x v="0"/>
    <m/>
    <x v="0"/>
    <x v="50"/>
    <d v="2017-07-26T00:00:00"/>
    <s v="MV TIZIANA"/>
    <x v="26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62"/>
    <m/>
    <x v="62"/>
    <m/>
    <m/>
    <m/>
    <s v="CERRADO"/>
    <n v="206569"/>
    <x v="14"/>
    <x v="0"/>
    <x v="35"/>
    <d v="2017-05-23T00:00:00"/>
    <s v="CAD"/>
    <m/>
    <s v="I-9614"/>
    <m/>
    <d v="2017-08-04T00:00:00"/>
    <s v="CANCELADO"/>
    <s v="CFR"/>
    <m/>
    <x v="46"/>
    <n v="378"/>
    <m/>
    <x v="51"/>
    <x v="0"/>
    <s v="Granel"/>
    <m/>
    <s v="Granel Sólido"/>
    <m/>
    <m/>
    <s v="JULIO"/>
    <x v="0"/>
    <m/>
    <m/>
    <m/>
    <x v="39"/>
    <m/>
    <m/>
    <x v="41"/>
    <n v="9"/>
    <n v="2017"/>
    <x v="0"/>
    <x v="0"/>
    <s v="NANJING / CHINA"/>
    <x v="1"/>
    <m/>
    <x v="0"/>
    <x v="17"/>
    <d v="2017-07-26T00:00:00"/>
    <s v="MV TIZIANA"/>
    <x v="26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63"/>
    <m/>
    <x v="63"/>
    <m/>
    <m/>
    <m/>
    <s v="CERRADO"/>
    <n v="206569"/>
    <x v="14"/>
    <x v="0"/>
    <x v="35"/>
    <d v="2017-05-23T00:00:00"/>
    <s v="CAD"/>
    <m/>
    <s v="I-9615"/>
    <m/>
    <d v="2017-08-04T00:00:00"/>
    <s v="CANCELADO"/>
    <s v="CFR"/>
    <m/>
    <x v="47"/>
    <n v="378"/>
    <m/>
    <x v="52"/>
    <x v="0"/>
    <s v="Granel"/>
    <m/>
    <s v="Granel Sólido"/>
    <m/>
    <m/>
    <s v="JULIO"/>
    <x v="0"/>
    <m/>
    <m/>
    <m/>
    <x v="40"/>
    <m/>
    <m/>
    <x v="42"/>
    <n v="9"/>
    <n v="2017"/>
    <x v="0"/>
    <x v="0"/>
    <s v="NANJING / CHINA"/>
    <x v="2"/>
    <m/>
    <x v="0"/>
    <x v="51"/>
    <d v="2017-07-26T00:00:00"/>
    <s v="MV TIZIANA"/>
    <x v="26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64"/>
    <m/>
    <x v="64"/>
    <m/>
    <m/>
    <m/>
    <s v="CERRADO"/>
    <n v="206569"/>
    <x v="14"/>
    <x v="0"/>
    <x v="35"/>
    <d v="2017-05-23T00:00:00"/>
    <s v="CAD"/>
    <m/>
    <s v="I-9616"/>
    <m/>
    <d v="2017-08-04T00:00:00"/>
    <s v="CANCELADO"/>
    <s v="CFR"/>
    <m/>
    <x v="48"/>
    <n v="378"/>
    <m/>
    <x v="53"/>
    <x v="0"/>
    <s v="Granel"/>
    <m/>
    <s v="Granel Sólido"/>
    <m/>
    <m/>
    <s v="JULIO"/>
    <x v="0"/>
    <m/>
    <m/>
    <m/>
    <x v="42"/>
    <m/>
    <m/>
    <x v="44"/>
    <n v="9"/>
    <n v="2017"/>
    <x v="0"/>
    <x v="0"/>
    <s v="NANJING / CHINA"/>
    <x v="3"/>
    <m/>
    <x v="0"/>
    <x v="18"/>
    <d v="2017-07-26T00:00:00"/>
    <s v="MV TIZIANA"/>
    <x v="26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65"/>
    <m/>
    <x v="65"/>
    <m/>
    <m/>
    <m/>
    <s v="CERRADO"/>
    <n v="206569"/>
    <x v="14"/>
    <x v="0"/>
    <x v="35"/>
    <d v="2017-05-23T00:00:00"/>
    <s v="CAD"/>
    <m/>
    <s v="I-9617"/>
    <m/>
    <d v="2017-08-04T00:00:00"/>
    <s v="CANCELADO"/>
    <s v="CFR"/>
    <m/>
    <x v="49"/>
    <n v="378"/>
    <m/>
    <x v="54"/>
    <x v="0"/>
    <s v="Granel"/>
    <m/>
    <s v="Granel Sólido"/>
    <m/>
    <m/>
    <s v="JULIO"/>
    <x v="0"/>
    <m/>
    <m/>
    <m/>
    <x v="41"/>
    <m/>
    <m/>
    <x v="43"/>
    <n v="9"/>
    <n v="2017"/>
    <x v="0"/>
    <x v="0"/>
    <s v="NANJING / CHINA"/>
    <x v="4"/>
    <m/>
    <x v="0"/>
    <x v="52"/>
    <d v="2017-07-26T00:00:00"/>
    <s v="MV TIZIANA"/>
    <x v="26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66"/>
    <m/>
    <x v="66"/>
    <m/>
    <m/>
    <m/>
    <s v="CERRADO"/>
    <n v="206571"/>
    <x v="15"/>
    <x v="0"/>
    <x v="36"/>
    <d v="2017-05-23T00:00:00"/>
    <s v="CAD"/>
    <m/>
    <s v="I-9618"/>
    <m/>
    <d v="2017-08-04T00:00:00"/>
    <s v="CANCELADO"/>
    <s v="CFR"/>
    <m/>
    <x v="50"/>
    <n v="132.375"/>
    <m/>
    <x v="55"/>
    <x v="0"/>
    <s v="Granel"/>
    <m/>
    <s v="Granel Sólido"/>
    <m/>
    <m/>
    <s v="JULIO"/>
    <x v="0"/>
    <m/>
    <m/>
    <m/>
    <x v="38"/>
    <m/>
    <m/>
    <x v="40"/>
    <n v="8"/>
    <n v="2017"/>
    <x v="0"/>
    <x v="0"/>
    <s v="NANJING / CHINA"/>
    <x v="0"/>
    <m/>
    <x v="0"/>
    <x v="53"/>
    <d v="2017-07-23T00:00:00"/>
    <s v="MV TIZIANA"/>
    <x v="26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67"/>
    <m/>
    <x v="67"/>
    <m/>
    <m/>
    <m/>
    <s v="CERRADO"/>
    <n v="203616"/>
    <x v="15"/>
    <x v="0"/>
    <x v="36"/>
    <d v="2017-05-23T00:00:00"/>
    <s v="CAD"/>
    <m/>
    <s v="I-9619"/>
    <m/>
    <d v="2017-08-04T00:00:00"/>
    <s v="CANCELADO"/>
    <s v="CFR"/>
    <m/>
    <x v="51"/>
    <n v="132.375"/>
    <m/>
    <x v="56"/>
    <x v="0"/>
    <s v="Granel"/>
    <m/>
    <s v="Granel Sólido"/>
    <m/>
    <m/>
    <s v="JULIO"/>
    <x v="0"/>
    <m/>
    <m/>
    <m/>
    <x v="39"/>
    <m/>
    <m/>
    <x v="41"/>
    <n v="9"/>
    <n v="2017"/>
    <x v="0"/>
    <x v="0"/>
    <s v="NANJING / CHINA"/>
    <x v="1"/>
    <m/>
    <x v="0"/>
    <x v="54"/>
    <d v="2017-07-23T00:00:00"/>
    <s v="MV TIZIANA"/>
    <x v="26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68"/>
    <m/>
    <x v="68"/>
    <m/>
    <m/>
    <m/>
    <s v="CERRADO"/>
    <n v="203616"/>
    <x v="15"/>
    <x v="0"/>
    <x v="36"/>
    <d v="2017-05-23T00:00:00"/>
    <s v="CAD"/>
    <m/>
    <s v="I-9620"/>
    <m/>
    <d v="2017-08-04T00:00:00"/>
    <s v="CANCELADO"/>
    <s v="CFR"/>
    <m/>
    <x v="52"/>
    <n v="132.375"/>
    <m/>
    <x v="57"/>
    <x v="0"/>
    <s v="Granel"/>
    <m/>
    <s v="Granel Sólido"/>
    <m/>
    <m/>
    <s v="JULIO"/>
    <x v="0"/>
    <m/>
    <m/>
    <m/>
    <x v="40"/>
    <m/>
    <m/>
    <x v="42"/>
    <n v="9"/>
    <n v="2017"/>
    <x v="0"/>
    <x v="0"/>
    <s v="NANJING / CHINA"/>
    <x v="2"/>
    <m/>
    <x v="0"/>
    <x v="55"/>
    <d v="2017-07-23T00:00:00"/>
    <s v="MV TIZIANA"/>
    <x v="26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69"/>
    <m/>
    <x v="69"/>
    <m/>
    <m/>
    <m/>
    <s v="CERRADO"/>
    <n v="203616"/>
    <x v="15"/>
    <x v="0"/>
    <x v="36"/>
    <d v="2017-05-23T00:00:00"/>
    <s v="CAD"/>
    <m/>
    <s v="I-9621"/>
    <m/>
    <d v="2017-08-04T00:00:00"/>
    <s v="CANCELADO"/>
    <s v="CFR"/>
    <m/>
    <x v="53"/>
    <n v="132.375"/>
    <m/>
    <x v="58"/>
    <x v="0"/>
    <s v="Granel"/>
    <m/>
    <s v="Granel Sólido"/>
    <m/>
    <m/>
    <s v="JULIO"/>
    <x v="0"/>
    <m/>
    <m/>
    <m/>
    <x v="42"/>
    <m/>
    <m/>
    <x v="44"/>
    <n v="9"/>
    <n v="2017"/>
    <x v="0"/>
    <x v="0"/>
    <s v="NANJING / CHINA"/>
    <x v="3"/>
    <m/>
    <x v="0"/>
    <x v="56"/>
    <d v="2017-07-23T00:00:00"/>
    <s v="MV TIZIANA"/>
    <x v="26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70"/>
    <m/>
    <x v="70"/>
    <m/>
    <m/>
    <m/>
    <s v="CERRADO"/>
    <n v="203616"/>
    <x v="15"/>
    <x v="0"/>
    <x v="36"/>
    <d v="2017-05-23T00:00:00"/>
    <s v="CAD"/>
    <m/>
    <s v="I-9622"/>
    <m/>
    <d v="2017-08-04T00:00:00"/>
    <s v="CANCELADO"/>
    <s v="CFR"/>
    <m/>
    <x v="54"/>
    <n v="132.375"/>
    <m/>
    <x v="59"/>
    <x v="0"/>
    <s v="Granel"/>
    <m/>
    <s v="Granel Sólido"/>
    <m/>
    <m/>
    <s v="JULIO"/>
    <x v="0"/>
    <m/>
    <m/>
    <m/>
    <x v="41"/>
    <m/>
    <m/>
    <x v="43"/>
    <n v="9"/>
    <n v="2017"/>
    <x v="0"/>
    <x v="0"/>
    <s v="NANJING / CHINA"/>
    <x v="4"/>
    <m/>
    <x v="0"/>
    <x v="57"/>
    <d v="2017-07-23T00:00:00"/>
    <s v="MV TIZIANA"/>
    <x v="26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P"/>
    <x v="0"/>
    <x v="0"/>
    <m/>
    <m/>
    <x v="71"/>
    <m/>
    <x v="71"/>
    <m/>
    <m/>
    <m/>
    <s v="CERRADO"/>
    <n v="206766"/>
    <x v="10"/>
    <x v="0"/>
    <x v="37"/>
    <d v="2017-05-30T00:00:00"/>
    <s v="CAD"/>
    <m/>
    <n v="9296"/>
    <m/>
    <d v="2017-07-03T00:00:00"/>
    <s v="CANCELADO"/>
    <s v="CFR"/>
    <m/>
    <x v="32"/>
    <n v="878"/>
    <m/>
    <x v="60"/>
    <x v="4"/>
    <s v="Contenedor 20'"/>
    <m/>
    <s v="Bidones 50kg"/>
    <m/>
    <m/>
    <s v="JUNIO"/>
    <x v="0"/>
    <m/>
    <m/>
    <m/>
    <x v="43"/>
    <m/>
    <m/>
    <x v="45"/>
    <n v="8"/>
    <n v="2017"/>
    <x v="0"/>
    <x v="0"/>
    <s v="VERACRUZ / MEXICO"/>
    <x v="4"/>
    <m/>
    <x v="0"/>
    <x v="58"/>
    <d v="2017-06-23T00:00:00"/>
    <s v="FRISIA LISSABON"/>
    <x v="27"/>
    <x v="2"/>
    <m/>
    <m/>
    <m/>
    <m/>
    <m/>
    <m/>
    <x v="0"/>
    <d v="2017-08-18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P"/>
    <x v="0"/>
    <x v="0"/>
    <m/>
    <m/>
    <x v="72"/>
    <m/>
    <x v="72"/>
    <m/>
    <m/>
    <m/>
    <s v="CERRADO"/>
    <n v="207578"/>
    <x v="2"/>
    <x v="2"/>
    <x v="38"/>
    <d v="2017-05-30T00:00:00"/>
    <n v="90"/>
    <s v="días BL"/>
    <n v="709196"/>
    <m/>
    <d v="2017-10-09T00:00:00"/>
    <s v="CANCELADO"/>
    <s v="CFR"/>
    <m/>
    <x v="55"/>
    <n v="237"/>
    <m/>
    <x v="61"/>
    <x v="5"/>
    <s v="Contenedor 20'"/>
    <m/>
    <s v="25 kg"/>
    <m/>
    <m/>
    <s v="JUNIO"/>
    <x v="0"/>
    <m/>
    <m/>
    <m/>
    <x v="44"/>
    <m/>
    <m/>
    <x v="46"/>
    <n v="8"/>
    <n v="2017"/>
    <x v="0"/>
    <x v="0"/>
    <s v="YUZHNY / UCRANIA"/>
    <x v="2"/>
    <m/>
    <x v="0"/>
    <x v="59"/>
    <d v="2017-07-11T00:00:00"/>
    <s v="MAERSK BOGOR"/>
    <x v="4"/>
    <x v="3"/>
    <m/>
    <m/>
    <m/>
    <m/>
    <m/>
    <m/>
    <x v="0"/>
    <d v="2017-09-05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S"/>
    <x v="0"/>
    <x v="0"/>
    <m/>
    <m/>
    <x v="73"/>
    <m/>
    <x v="73"/>
    <m/>
    <m/>
    <m/>
    <s v="CERRADO"/>
    <n v="206966"/>
    <x v="16"/>
    <x v="13"/>
    <x v="39"/>
    <d v="2017-05-26T00:00:00"/>
    <n v="90"/>
    <s v="días BL"/>
    <s v="6SIT2017004000"/>
    <m/>
    <m/>
    <s v="CANCELADO"/>
    <s v="CFR"/>
    <m/>
    <x v="26"/>
    <n v="605"/>
    <m/>
    <x v="62"/>
    <x v="0"/>
    <s v="Contenedor 20'"/>
    <m/>
    <s v="25 kg"/>
    <m/>
    <m/>
    <s v="AGOSTO"/>
    <x v="0"/>
    <m/>
    <m/>
    <m/>
    <x v="45"/>
    <m/>
    <m/>
    <x v="47"/>
    <n v="10"/>
    <n v="2017"/>
    <x v="0"/>
    <x v="0"/>
    <s v="NANJING / CHINA"/>
    <x v="2"/>
    <m/>
    <x v="0"/>
    <x v="60"/>
    <d v="2017-08-24T00:00:00"/>
    <s v="KAITONG99 "/>
    <x v="28"/>
    <x v="3"/>
    <m/>
    <m/>
    <m/>
    <m/>
    <m/>
    <m/>
    <x v="0"/>
    <d v="2017-10-27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S"/>
    <x v="0"/>
    <x v="0"/>
    <m/>
    <m/>
    <x v="74"/>
    <m/>
    <x v="74"/>
    <m/>
    <m/>
    <m/>
    <s v="CERRADO"/>
    <n v="206971"/>
    <x v="3"/>
    <x v="14"/>
    <x v="40"/>
    <d v="2017-06-16T00:00:00"/>
    <s v="CAD"/>
    <m/>
    <n v="17090009"/>
    <m/>
    <d v="2017-07-06T00:00:00"/>
    <s v="CANCELADO"/>
    <s v="CIF"/>
    <m/>
    <x v="8"/>
    <n v="504"/>
    <m/>
    <x v="63"/>
    <x v="5"/>
    <s v="Contenedor 20'"/>
    <m/>
    <s v="25 kg"/>
    <m/>
    <m/>
    <s v="SEPTIEMBRE"/>
    <x v="0"/>
    <m/>
    <m/>
    <m/>
    <x v="46"/>
    <m/>
    <m/>
    <x v="48"/>
    <n v="11"/>
    <n v="2017"/>
    <x v="0"/>
    <x v="0"/>
    <s v="NHAVA / INDIA"/>
    <x v="4"/>
    <m/>
    <x v="0"/>
    <x v="61"/>
    <d v="2017-09-06T00:00:00"/>
    <s v="ITAL MODERNA"/>
    <x v="29"/>
    <x v="8"/>
    <m/>
    <m/>
    <m/>
    <m/>
    <m/>
    <m/>
    <x v="0"/>
    <d v="2017-11-22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P"/>
    <x v="0"/>
    <x v="0"/>
    <m/>
    <m/>
    <x v="75"/>
    <m/>
    <x v="75"/>
    <m/>
    <m/>
    <m/>
    <s v="CERRADO"/>
    <n v="206766"/>
    <x v="10"/>
    <x v="3"/>
    <x v="41"/>
    <d v="2017-06-07T00:00:00"/>
    <s v="CAD"/>
    <m/>
    <s v="KTI20170918"/>
    <m/>
    <d v="2017-07-24T00:00:00"/>
    <s v="CANCELADO"/>
    <s v="CPT"/>
    <m/>
    <x v="56"/>
    <n v="858"/>
    <m/>
    <x v="64"/>
    <x v="7"/>
    <s v="Contenedor 20'"/>
    <m/>
    <s v="Bidones 50kg"/>
    <m/>
    <m/>
    <s v="JULIO"/>
    <x v="0"/>
    <m/>
    <m/>
    <m/>
    <x v="47"/>
    <m/>
    <m/>
    <x v="32"/>
    <n v="8"/>
    <n v="2017"/>
    <x v="0"/>
    <x v="0"/>
    <s v="VERACRUZ / MEXICO"/>
    <x v="2"/>
    <m/>
    <x v="0"/>
    <x v="62"/>
    <d v="2017-07-14T00:00:00"/>
    <s v="MONTE CERVANTES"/>
    <x v="30"/>
    <x v="6"/>
    <m/>
    <m/>
    <m/>
    <m/>
    <m/>
    <m/>
    <x v="0"/>
    <d v="2017-09-01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P"/>
    <x v="0"/>
    <x v="0"/>
    <m/>
    <m/>
    <x v="76"/>
    <m/>
    <x v="76"/>
    <m/>
    <m/>
    <m/>
    <s v="CERRADO"/>
    <n v="206766"/>
    <x v="10"/>
    <x v="3"/>
    <x v="42"/>
    <d v="2017-06-07T00:00:00"/>
    <s v="CAD"/>
    <m/>
    <s v="KTI20170919"/>
    <m/>
    <d v="2017-07-24T00:00:00"/>
    <s v="CANCELADO"/>
    <s v="CPT"/>
    <m/>
    <x v="57"/>
    <n v="863"/>
    <m/>
    <x v="65"/>
    <x v="2"/>
    <s v="Contenedor 20'"/>
    <m/>
    <s v="Bidones 50kg"/>
    <m/>
    <m/>
    <s v="JULIO"/>
    <x v="0"/>
    <m/>
    <m/>
    <m/>
    <x v="24"/>
    <m/>
    <m/>
    <x v="22"/>
    <n v="8"/>
    <n v="2017"/>
    <x v="0"/>
    <x v="0"/>
    <s v="VERACRUZ / MEXICO"/>
    <x v="0"/>
    <m/>
    <x v="0"/>
    <x v="63"/>
    <d v="2017-07-14T00:00:00"/>
    <s v="MONTE CERVANTES"/>
    <x v="30"/>
    <x v="6"/>
    <m/>
    <m/>
    <m/>
    <m/>
    <m/>
    <m/>
    <x v="0"/>
    <d v="2017-09-01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P"/>
    <x v="0"/>
    <x v="0"/>
    <m/>
    <m/>
    <x v="77"/>
    <m/>
    <x v="77"/>
    <m/>
    <m/>
    <m/>
    <s v="CERRADO"/>
    <n v="207374"/>
    <x v="17"/>
    <x v="15"/>
    <x v="43"/>
    <d v="2017-06-06T00:00:00"/>
    <s v="CAD"/>
    <m/>
    <s v="493/17 ZMU"/>
    <m/>
    <d v="2017-07-24T00:00:00"/>
    <s v="CANCELADO"/>
    <s v="CFR"/>
    <m/>
    <x v="58"/>
    <n v="315"/>
    <m/>
    <x v="66"/>
    <x v="5"/>
    <s v="Contenedor 20'"/>
    <m/>
    <s v="Bidones 50kg"/>
    <m/>
    <m/>
    <s v="JULIO"/>
    <x v="0"/>
    <m/>
    <m/>
    <m/>
    <x v="48"/>
    <m/>
    <m/>
    <x v="49"/>
    <n v="8"/>
    <n v="2017"/>
    <x v="0"/>
    <x v="0"/>
    <s v="TALLIN / ESTONIA"/>
    <x v="2"/>
    <m/>
    <x v="0"/>
    <x v="64"/>
    <d v="2017-07-21T00:00:00"/>
    <s v="MSC MALIN"/>
    <x v="6"/>
    <x v="4"/>
    <m/>
    <m/>
    <m/>
    <m/>
    <m/>
    <m/>
    <x v="0"/>
    <d v="2017-09-14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P"/>
    <x v="0"/>
    <x v="0"/>
    <m/>
    <m/>
    <x v="78"/>
    <m/>
    <x v="78"/>
    <m/>
    <m/>
    <m/>
    <s v="CERRADO"/>
    <n v="207374"/>
    <x v="17"/>
    <x v="15"/>
    <x v="43"/>
    <d v="2017-06-06T00:00:00"/>
    <s v="CAD"/>
    <m/>
    <s v="494/17 ZMU"/>
    <m/>
    <d v="2017-07-24T00:00:00"/>
    <s v="CANCELADO"/>
    <s v="CFR"/>
    <m/>
    <x v="36"/>
    <n v="320"/>
    <m/>
    <x v="67"/>
    <x v="6"/>
    <s v="Contenedor 20'"/>
    <m/>
    <s v="Bidones 50kg"/>
    <m/>
    <m/>
    <s v="JULIO"/>
    <x v="0"/>
    <m/>
    <m/>
    <m/>
    <x v="38"/>
    <m/>
    <m/>
    <x v="50"/>
    <n v="9"/>
    <n v="2017"/>
    <x v="0"/>
    <x v="0"/>
    <s v="TALLIN / ESTONIA"/>
    <x v="0"/>
    <m/>
    <x v="0"/>
    <x v="65"/>
    <d v="2017-07-21T00:00:00"/>
    <s v="MSC MALIN"/>
    <x v="31"/>
    <x v="4"/>
    <m/>
    <m/>
    <m/>
    <m/>
    <m/>
    <m/>
    <x v="0"/>
    <d v="2017-09-20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P"/>
    <x v="0"/>
    <x v="0"/>
    <m/>
    <m/>
    <x v="79"/>
    <m/>
    <x v="79"/>
    <m/>
    <m/>
    <m/>
    <s v="CERRADO"/>
    <n v="207374"/>
    <x v="17"/>
    <x v="15"/>
    <x v="44"/>
    <d v="2017-06-06T00:00:00"/>
    <s v="CAD"/>
    <m/>
    <s v="507/17 ZMU"/>
    <m/>
    <d v="2017-08-25T00:00:00"/>
    <s v="CANCELADO"/>
    <s v="CFR"/>
    <m/>
    <x v="59"/>
    <n v="315"/>
    <m/>
    <x v="68"/>
    <x v="0"/>
    <s v="Contenedor 20'"/>
    <m/>
    <s v="25 kg"/>
    <m/>
    <m/>
    <s v="SEPTIEMBRE"/>
    <x v="0"/>
    <m/>
    <m/>
    <m/>
    <x v="26"/>
    <m/>
    <m/>
    <x v="51"/>
    <n v="11"/>
    <n v="2017"/>
    <x v="0"/>
    <x v="0"/>
    <s v="RIGA / LETONIA"/>
    <x v="2"/>
    <m/>
    <x v="0"/>
    <x v="66"/>
    <d v="2017-09-16T00:00:00"/>
    <s v="EMPIRE"/>
    <x v="32"/>
    <x v="2"/>
    <m/>
    <m/>
    <m/>
    <m/>
    <m/>
    <m/>
    <x v="0"/>
    <d v="2017-11-10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P"/>
    <x v="0"/>
    <x v="0"/>
    <m/>
    <m/>
    <x v="80"/>
    <m/>
    <x v="80"/>
    <m/>
    <m/>
    <m/>
    <s v="CERRADO"/>
    <n v="207374"/>
    <x v="17"/>
    <x v="15"/>
    <x v="45"/>
    <d v="2017-06-06T00:00:00"/>
    <s v="CAD"/>
    <m/>
    <s v="506/17 ZMU"/>
    <m/>
    <d v="2017-08-25T00:00:00"/>
    <s v="CANCELADO"/>
    <s v="CFR"/>
    <m/>
    <x v="60"/>
    <n v="320"/>
    <m/>
    <x v="69"/>
    <x v="8"/>
    <s v="Contenedor 20'"/>
    <m/>
    <s v="25 kg"/>
    <m/>
    <m/>
    <s v="SEPTIEMBRE"/>
    <x v="0"/>
    <m/>
    <m/>
    <m/>
    <x v="49"/>
    <m/>
    <m/>
    <x v="52"/>
    <n v="11"/>
    <n v="2017"/>
    <x v="0"/>
    <x v="0"/>
    <s v="RIGA / LETONIA"/>
    <x v="0"/>
    <m/>
    <x v="0"/>
    <x v="67"/>
    <d v="2017-09-16T00:00:00"/>
    <s v="EMPIRE"/>
    <x v="10"/>
    <x v="2"/>
    <m/>
    <m/>
    <m/>
    <m/>
    <m/>
    <m/>
    <x v="0"/>
    <d v="2017-11-19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P"/>
    <x v="0"/>
    <x v="0"/>
    <m/>
    <m/>
    <x v="81"/>
    <m/>
    <x v="81"/>
    <m/>
    <m/>
    <m/>
    <s v="CERRADO"/>
    <n v="206766"/>
    <x v="10"/>
    <x v="3"/>
    <x v="46"/>
    <d v="2017-07-10T00:00:00"/>
    <s v="CAD"/>
    <m/>
    <n v="20171013"/>
    <m/>
    <d v="2017-08-14T00:00:00"/>
    <s v="CANCELADO"/>
    <s v="CPT"/>
    <m/>
    <x v="61"/>
    <n v="835"/>
    <m/>
    <x v="70"/>
    <x v="9"/>
    <s v="Contenedor 20'"/>
    <m/>
    <s v="Bidones 50kg"/>
    <m/>
    <m/>
    <s v="AGOSTO"/>
    <x v="0"/>
    <m/>
    <m/>
    <m/>
    <x v="41"/>
    <m/>
    <m/>
    <x v="53"/>
    <n v="9"/>
    <n v="2017"/>
    <x v="0"/>
    <x v="0"/>
    <s v="VERACRUZ / MEXICO"/>
    <x v="2"/>
    <m/>
    <x v="0"/>
    <x v="68"/>
    <d v="2017-08-11T00:00:00"/>
    <s v="MSC ORIANE"/>
    <x v="33"/>
    <x v="6"/>
    <m/>
    <m/>
    <m/>
    <m/>
    <m/>
    <m/>
    <x v="0"/>
    <d v="2017-09-24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P"/>
    <x v="0"/>
    <x v="0"/>
    <m/>
    <m/>
    <x v="82"/>
    <m/>
    <x v="82"/>
    <m/>
    <m/>
    <m/>
    <s v="CERRADO"/>
    <n v="206766"/>
    <x v="10"/>
    <x v="3"/>
    <x v="47"/>
    <d v="2017-07-10T00:00:00"/>
    <s v="CAD"/>
    <m/>
    <n v="20171014"/>
    <m/>
    <d v="2017-08-25T00:00:00"/>
    <s v="CANCELADO"/>
    <s v="CPT"/>
    <m/>
    <x v="62"/>
    <n v="840"/>
    <m/>
    <x v="71"/>
    <x v="8"/>
    <s v="Contenedor 20'"/>
    <m/>
    <s v="Bidones 50kg"/>
    <m/>
    <m/>
    <s v="AGOSTO"/>
    <x v="0"/>
    <m/>
    <m/>
    <m/>
    <x v="50"/>
    <m/>
    <m/>
    <x v="42"/>
    <n v="9"/>
    <n v="2017"/>
    <x v="0"/>
    <x v="0"/>
    <s v="VERACRUZ / MEXICO"/>
    <x v="0"/>
    <m/>
    <x v="0"/>
    <x v="69"/>
    <d v="2017-08-11T00:00:00"/>
    <s v="MSC ORIANE"/>
    <x v="20"/>
    <x v="6"/>
    <m/>
    <m/>
    <m/>
    <m/>
    <m/>
    <m/>
    <x v="0"/>
    <d v="2017-09-22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S"/>
    <x v="0"/>
    <x v="0"/>
    <m/>
    <m/>
    <x v="83"/>
    <m/>
    <x v="83"/>
    <m/>
    <m/>
    <m/>
    <s v="CERRADO"/>
    <n v="206966"/>
    <x v="16"/>
    <x v="13"/>
    <x v="39"/>
    <d v="2017-05-26T00:00:00"/>
    <n v="90"/>
    <s v="días BL"/>
    <s v="6SIT2017003999"/>
    <m/>
    <m/>
    <s v="CANCELADO"/>
    <s v="CFR"/>
    <m/>
    <x v="63"/>
    <n v="625"/>
    <m/>
    <x v="72"/>
    <x v="0"/>
    <s v="Contenedor 20'"/>
    <m/>
    <s v="25 kg"/>
    <m/>
    <m/>
    <s v="AGOSTO"/>
    <x v="0"/>
    <m/>
    <m/>
    <m/>
    <x v="51"/>
    <m/>
    <m/>
    <x v="54"/>
    <n v="10"/>
    <n v="2017"/>
    <x v="0"/>
    <x v="0"/>
    <s v="NANJING / CHINA"/>
    <x v="0"/>
    <m/>
    <x v="0"/>
    <x v="70"/>
    <d v="2017-08-24T00:00:00"/>
    <s v="KAITONG99 "/>
    <x v="34"/>
    <x v="3"/>
    <m/>
    <m/>
    <m/>
    <m/>
    <m/>
    <m/>
    <x v="0"/>
    <d v="2017-11-17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S"/>
    <x v="0"/>
    <x v="0"/>
    <m/>
    <m/>
    <x v="84"/>
    <m/>
    <x v="84"/>
    <m/>
    <m/>
    <m/>
    <s v="CERRADO"/>
    <n v="206914"/>
    <x v="12"/>
    <x v="16"/>
    <x v="48"/>
    <d v="2017-08-17T00:00:00"/>
    <s v="CAD"/>
    <m/>
    <n v="293953"/>
    <m/>
    <m/>
    <s v="CANCELADO"/>
    <s v="CFR"/>
    <m/>
    <x v="1"/>
    <n v="115"/>
    <m/>
    <x v="73"/>
    <x v="0"/>
    <s v="Granel - BB"/>
    <m/>
    <s v="25 kg"/>
    <m/>
    <m/>
    <s v="SEPTIEMBRE"/>
    <x v="0"/>
    <m/>
    <m/>
    <m/>
    <x v="52"/>
    <m/>
    <m/>
    <x v="48"/>
    <n v="11"/>
    <n v="2017"/>
    <x v="0"/>
    <x v="0"/>
    <s v="TIAJIN / CHINA"/>
    <x v="2"/>
    <m/>
    <x v="0"/>
    <x v="71"/>
    <d v="2017-09-19T00:00:00"/>
    <s v="BIWA ARROW"/>
    <x v="35"/>
    <x v="5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85"/>
    <m/>
    <x v="85"/>
    <m/>
    <m/>
    <m/>
    <s v="CERRADO"/>
    <n v="209979"/>
    <x v="1"/>
    <x v="7"/>
    <x v="49"/>
    <d v="2017-08-02T00:00:00"/>
    <s v="CAD"/>
    <m/>
    <n v="4200567071"/>
    <m/>
    <d v="2017-09-04T00:00:00"/>
    <s v="CANCELADO"/>
    <s v="CPT"/>
    <m/>
    <x v="64"/>
    <n v="510"/>
    <m/>
    <x v="74"/>
    <x v="10"/>
    <s v="Contenedor 20'"/>
    <m/>
    <s v="Granel Sólido"/>
    <m/>
    <m/>
    <s v="AGOSTO"/>
    <x v="0"/>
    <m/>
    <m/>
    <m/>
    <x v="53"/>
    <m/>
    <m/>
    <x v="55"/>
    <n v="9"/>
    <n v="2017"/>
    <x v="0"/>
    <x v="0"/>
    <s v="HAMBURGO / ALEMANIA"/>
    <x v="0"/>
    <m/>
    <x v="0"/>
    <x v="72"/>
    <d v="2017-08-27T00:00:00"/>
    <s v="CMA CGM NIAGARA"/>
    <x v="10"/>
    <x v="2"/>
    <m/>
    <m/>
    <m/>
    <m/>
    <m/>
    <m/>
    <x v="0"/>
    <d v="2017-10-14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86"/>
    <m/>
    <x v="86"/>
    <m/>
    <m/>
    <m/>
    <s v="CERRADO"/>
    <n v="206599"/>
    <x v="1"/>
    <x v="17"/>
    <x v="50"/>
    <d v="2017-08-04T00:00:00"/>
    <n v="60"/>
    <s v="días BL"/>
    <n v="3300007923"/>
    <m/>
    <d v="2017-11-26T00:00:00"/>
    <s v="CANCELADO"/>
    <s v="CIF"/>
    <m/>
    <x v="65"/>
    <n v="505"/>
    <m/>
    <x v="75"/>
    <x v="10"/>
    <s v="Contenedor 20'"/>
    <m/>
    <s v="Granel Sólido"/>
    <m/>
    <m/>
    <s v="SEPTIEMBRE"/>
    <x v="0"/>
    <m/>
    <m/>
    <m/>
    <x v="51"/>
    <m/>
    <m/>
    <x v="56"/>
    <n v="10"/>
    <n v="2017"/>
    <x v="0"/>
    <x v="0"/>
    <s v="AMBERES / BELGICA"/>
    <x v="2"/>
    <m/>
    <x v="0"/>
    <x v="73"/>
    <d v="2017-09-28T00:00:00"/>
    <s v="MSC ADELAIDE"/>
    <x v="36"/>
    <x v="4"/>
    <m/>
    <m/>
    <m/>
    <m/>
    <m/>
    <m/>
    <x v="0"/>
    <d v="2017-11-03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E-S"/>
    <x v="0"/>
    <x v="0"/>
    <m/>
    <m/>
    <x v="87"/>
    <m/>
    <x v="87"/>
    <m/>
    <m/>
    <m/>
    <s v="CERRADO"/>
    <n v="207522"/>
    <x v="11"/>
    <x v="10"/>
    <x v="51"/>
    <d v="2017-08-14T00:00:00"/>
    <n v="90"/>
    <s v="días BL"/>
    <n v="300002291"/>
    <m/>
    <d v="2017-12-04T00:00:00"/>
    <s v="CANCELADO"/>
    <s v="CFR"/>
    <m/>
    <x v="66"/>
    <n v="280"/>
    <m/>
    <x v="76"/>
    <x v="9"/>
    <s v="Contenedor 20'"/>
    <m/>
    <s v="Granel Sólido"/>
    <m/>
    <m/>
    <s v="AGOSTO"/>
    <x v="0"/>
    <m/>
    <m/>
    <m/>
    <x v="54"/>
    <m/>
    <m/>
    <x v="57"/>
    <n v="10"/>
    <n v="2017"/>
    <x v="0"/>
    <x v="0"/>
    <s v="AMBERES / BELGICA"/>
    <x v="2"/>
    <m/>
    <x v="0"/>
    <x v="74"/>
    <d v="2017-09-05T00:00:00"/>
    <s v="SAN CLEMENTE"/>
    <x v="37"/>
    <x v="6"/>
    <m/>
    <m/>
    <m/>
    <m/>
    <m/>
    <m/>
    <x v="0"/>
    <d v="2017-10-14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E-S"/>
    <x v="0"/>
    <x v="0"/>
    <m/>
    <m/>
    <x v="88"/>
    <m/>
    <x v="88"/>
    <m/>
    <m/>
    <m/>
    <s v="CERRADO"/>
    <n v="207522"/>
    <x v="11"/>
    <x v="10"/>
    <x v="52"/>
    <d v="2017-08-14T00:00:00"/>
    <n v="90"/>
    <s v="días BL"/>
    <n v="300002290"/>
    <m/>
    <d v="2017-12-04T00:00:00"/>
    <s v="CANCELADO"/>
    <s v="CFR"/>
    <m/>
    <x v="67"/>
    <n v="280"/>
    <m/>
    <x v="77"/>
    <x v="5"/>
    <s v="Contenedor 20'"/>
    <m/>
    <s v="Granel Sólido"/>
    <m/>
    <m/>
    <s v="AGOSTO"/>
    <x v="0"/>
    <m/>
    <m/>
    <m/>
    <x v="55"/>
    <m/>
    <m/>
    <x v="57"/>
    <n v="10"/>
    <n v="2017"/>
    <x v="0"/>
    <x v="0"/>
    <s v="AMBERES / BELGICA"/>
    <x v="0"/>
    <m/>
    <x v="0"/>
    <x v="75"/>
    <d v="2017-09-05T00:00:00"/>
    <s v="SAN CLEMENTE"/>
    <x v="10"/>
    <x v="6"/>
    <m/>
    <m/>
    <m/>
    <m/>
    <m/>
    <m/>
    <x v="0"/>
    <d v="2017-10-16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E-S"/>
    <x v="0"/>
    <x v="0"/>
    <m/>
    <m/>
    <x v="89"/>
    <m/>
    <x v="89"/>
    <m/>
    <m/>
    <m/>
    <s v="CERRADO"/>
    <n v="209971"/>
    <x v="18"/>
    <x v="10"/>
    <x v="53"/>
    <d v="2017-08-14T00:00:00"/>
    <n v="90"/>
    <s v="días BL"/>
    <n v="300002289"/>
    <m/>
    <d v="2017-12-04T00:00:00"/>
    <s v="CANCELADO"/>
    <s v="CFR"/>
    <m/>
    <x v="68"/>
    <n v="270"/>
    <m/>
    <x v="78"/>
    <x v="11"/>
    <s v="Contenedor 20'"/>
    <m/>
    <s v="Granel Sólido"/>
    <m/>
    <m/>
    <s v="AGOSTO"/>
    <x v="0"/>
    <m/>
    <m/>
    <m/>
    <x v="54"/>
    <m/>
    <m/>
    <x v="57"/>
    <n v="10"/>
    <n v="2017"/>
    <x v="0"/>
    <x v="0"/>
    <s v="AMBERES / BELGICA"/>
    <x v="2"/>
    <m/>
    <x v="0"/>
    <x v="76"/>
    <d v="2017-09-05T00:00:00"/>
    <s v="SAN CLEMENTE"/>
    <x v="37"/>
    <x v="6"/>
    <m/>
    <m/>
    <m/>
    <m/>
    <m/>
    <m/>
    <x v="0"/>
    <d v="2017-10-14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E-S"/>
    <x v="0"/>
    <x v="0"/>
    <m/>
    <m/>
    <x v="90"/>
    <m/>
    <x v="90"/>
    <m/>
    <m/>
    <m/>
    <s v="CERRADO"/>
    <n v="209971"/>
    <x v="18"/>
    <x v="10"/>
    <x v="54"/>
    <d v="2017-08-14T00:00:00"/>
    <n v="90"/>
    <s v="días BL"/>
    <n v="300002365"/>
    <m/>
    <d v="2017-12-11T00:00:00"/>
    <s v="CANCELADO"/>
    <s v="CFR"/>
    <m/>
    <x v="69"/>
    <n v="270"/>
    <m/>
    <x v="79"/>
    <x v="11"/>
    <s v="Contenedor 20'"/>
    <m/>
    <s v="Granel Sólido"/>
    <m/>
    <m/>
    <s v="AGOSTO"/>
    <x v="0"/>
    <m/>
    <m/>
    <m/>
    <x v="56"/>
    <m/>
    <m/>
    <x v="58"/>
    <n v="10"/>
    <n v="2017"/>
    <x v="0"/>
    <x v="0"/>
    <s v="AMBERES / BELGICA"/>
    <x v="0"/>
    <m/>
    <x v="0"/>
    <x v="77"/>
    <d v="2017-09-12T00:00:00"/>
    <s v="CARTAGENA EXPRESS"/>
    <x v="10"/>
    <x v="6"/>
    <m/>
    <m/>
    <m/>
    <m/>
    <m/>
    <m/>
    <x v="0"/>
    <d v="2017-10-20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C"/>
    <x v="0"/>
    <x v="0"/>
    <m/>
    <m/>
    <x v="91"/>
    <m/>
    <x v="91"/>
    <m/>
    <m/>
    <m/>
    <s v="CERRADO"/>
    <n v="206573"/>
    <x v="5"/>
    <x v="5"/>
    <x v="8"/>
    <d v="2017-08-11T00:00:00"/>
    <n v="30"/>
    <s v="días BL"/>
    <s v="F200-00015596"/>
    <m/>
    <d v="2017-09-15T00:00:00"/>
    <s v="CANCELADO"/>
    <s v="CFR"/>
    <m/>
    <x v="70"/>
    <n v="231"/>
    <m/>
    <x v="80"/>
    <x v="0"/>
    <s v="Granel"/>
    <m/>
    <s v="Granel Sólido"/>
    <m/>
    <m/>
    <s v="AGOSTO"/>
    <x v="0"/>
    <m/>
    <m/>
    <m/>
    <x v="41"/>
    <m/>
    <m/>
    <x v="59"/>
    <n v="9"/>
    <n v="2017"/>
    <x v="0"/>
    <x v="0"/>
    <s v="RIGA / LETONIA"/>
    <x v="0"/>
    <m/>
    <x v="0"/>
    <x v="50"/>
    <d v="2017-08-17T00:00:00"/>
    <s v="ALINDA"/>
    <x v="38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C"/>
    <x v="0"/>
    <x v="0"/>
    <m/>
    <m/>
    <x v="92"/>
    <m/>
    <x v="92"/>
    <m/>
    <m/>
    <m/>
    <s v="CERRADO"/>
    <n v="206573"/>
    <x v="5"/>
    <x v="5"/>
    <x v="8"/>
    <d v="2017-08-11T00:00:00"/>
    <n v="30"/>
    <s v="días FACT."/>
    <s v="F200-00015599"/>
    <m/>
    <d v="2017-09-15T00:00:00"/>
    <s v="CANCELADO"/>
    <s v="CFR"/>
    <m/>
    <x v="42"/>
    <n v="231"/>
    <m/>
    <x v="81"/>
    <x v="0"/>
    <s v="Granel"/>
    <m/>
    <s v="Granel Sólido"/>
    <m/>
    <m/>
    <s v="AGOSTO"/>
    <x v="0"/>
    <m/>
    <m/>
    <m/>
    <x v="57"/>
    <m/>
    <m/>
    <x v="60"/>
    <n v="9"/>
    <n v="2017"/>
    <x v="0"/>
    <x v="0"/>
    <s v="RIGA / LETONIA"/>
    <x v="1"/>
    <m/>
    <x v="0"/>
    <x v="17"/>
    <d v="2017-08-17T00:00:00"/>
    <s v="ALINDA"/>
    <x v="38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C"/>
    <x v="0"/>
    <x v="0"/>
    <m/>
    <m/>
    <x v="93"/>
    <m/>
    <x v="93"/>
    <m/>
    <m/>
    <m/>
    <s v="CERRADO"/>
    <n v="206573"/>
    <x v="5"/>
    <x v="5"/>
    <x v="8"/>
    <d v="2017-08-11T00:00:00"/>
    <n v="30"/>
    <s v="días FACT."/>
    <s v="F200-00015598"/>
    <m/>
    <d v="2017-09-15T00:00:00"/>
    <s v="CANCELADO"/>
    <s v="CFR"/>
    <m/>
    <x v="0"/>
    <n v="231"/>
    <m/>
    <x v="82"/>
    <x v="0"/>
    <s v="Granel"/>
    <m/>
    <s v="Granel Sólido"/>
    <m/>
    <m/>
    <s v="AGOSTO"/>
    <x v="0"/>
    <m/>
    <m/>
    <m/>
    <x v="32"/>
    <m/>
    <m/>
    <x v="61"/>
    <n v="9"/>
    <n v="2017"/>
    <x v="0"/>
    <x v="0"/>
    <s v="RIGA / LETONIA"/>
    <x v="2"/>
    <m/>
    <x v="0"/>
    <x v="51"/>
    <d v="2017-08-17T00:00:00"/>
    <s v="ALINDA"/>
    <x v="38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C"/>
    <x v="0"/>
    <x v="0"/>
    <m/>
    <m/>
    <x v="94"/>
    <m/>
    <x v="94"/>
    <m/>
    <m/>
    <m/>
    <s v="CERRADO"/>
    <n v="206573"/>
    <x v="5"/>
    <x v="5"/>
    <x v="8"/>
    <d v="2017-08-11T00:00:00"/>
    <n v="30"/>
    <s v="días FACT."/>
    <s v="F200-00015597"/>
    <m/>
    <d v="2017-09-15T00:00:00"/>
    <s v="CANCELADO"/>
    <s v="CFR"/>
    <m/>
    <x v="35"/>
    <n v="231"/>
    <m/>
    <x v="83"/>
    <x v="0"/>
    <s v="Granel"/>
    <m/>
    <s v="Granel Sólido"/>
    <m/>
    <m/>
    <s v="AGOSTO"/>
    <x v="0"/>
    <m/>
    <m/>
    <m/>
    <x v="58"/>
    <m/>
    <m/>
    <x v="62"/>
    <n v="9"/>
    <n v="2017"/>
    <x v="0"/>
    <x v="0"/>
    <s v="RIGA / LETONIA"/>
    <x v="3"/>
    <m/>
    <x v="0"/>
    <x v="18"/>
    <d v="2017-08-17T00:00:00"/>
    <s v="ALINDA"/>
    <x v="38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95"/>
    <m/>
    <x v="95"/>
    <m/>
    <m/>
    <m/>
    <s v="CERRADO"/>
    <n v="209973"/>
    <x v="19"/>
    <x v="18"/>
    <x v="55"/>
    <d v="2017-08-11T00:00:00"/>
    <s v="CAD"/>
    <m/>
    <s v="PATR-501468"/>
    <m/>
    <d v="2017-10-10T00:00:00"/>
    <s v="CANCELADO"/>
    <s v="CFR"/>
    <m/>
    <x v="71"/>
    <n v="367"/>
    <m/>
    <x v="84"/>
    <x v="12"/>
    <s v="Contenedor 40'"/>
    <m/>
    <s v="Bigbag"/>
    <m/>
    <m/>
    <s v="SEPTIEMBRE"/>
    <x v="0"/>
    <m/>
    <m/>
    <m/>
    <x v="59"/>
    <m/>
    <m/>
    <x v="48"/>
    <n v="11"/>
    <n v="2017"/>
    <x v="0"/>
    <x v="0"/>
    <s v="ST. PETERSBURG / RUSSIA"/>
    <x v="2"/>
    <m/>
    <x v="0"/>
    <x v="78"/>
    <d v="2017-10-01T00:00:00"/>
    <s v="SONDERBORG STRAIT"/>
    <x v="20"/>
    <x v="6"/>
    <m/>
    <m/>
    <m/>
    <m/>
    <m/>
    <m/>
    <x v="0"/>
    <d v="2017-11-17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96"/>
    <m/>
    <x v="96"/>
    <m/>
    <m/>
    <m/>
    <s v="CERRADO"/>
    <n v="209973"/>
    <x v="19"/>
    <x v="18"/>
    <x v="55"/>
    <d v="2017-08-11T00:00:00"/>
    <s v="CAD"/>
    <m/>
    <s v="PATR-501438"/>
    <m/>
    <d v="2017-10-09T00:00:00"/>
    <s v="CANCELADO"/>
    <s v="CFR"/>
    <m/>
    <x v="72"/>
    <n v="367"/>
    <m/>
    <x v="85"/>
    <x v="13"/>
    <s v="Contenedor 40'"/>
    <m/>
    <s v="Bigbag"/>
    <m/>
    <m/>
    <s v="SEPTIEMBRE"/>
    <x v="0"/>
    <m/>
    <m/>
    <m/>
    <x v="60"/>
    <m/>
    <m/>
    <x v="63"/>
    <n v="11"/>
    <n v="2017"/>
    <x v="0"/>
    <x v="0"/>
    <s v="ST. PETERSBURG / RUSSIA"/>
    <x v="0"/>
    <m/>
    <x v="0"/>
    <x v="79"/>
    <d v="2017-09-29T00:00:00"/>
    <s v="STEFAN SIBUM "/>
    <x v="10"/>
    <x v="9"/>
    <m/>
    <m/>
    <m/>
    <m/>
    <m/>
    <m/>
    <x v="0"/>
    <d v="2017-11-27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E-S"/>
    <x v="0"/>
    <x v="0"/>
    <m/>
    <m/>
    <x v="97"/>
    <m/>
    <x v="97"/>
    <m/>
    <m/>
    <m/>
    <s v="CERRADO"/>
    <n v="209974"/>
    <x v="20"/>
    <x v="18"/>
    <x v="55"/>
    <d v="2017-08-11T00:00:00"/>
    <s v="CAD"/>
    <m/>
    <s v="PATR-501697"/>
    <m/>
    <d v="2017-11-08T00:00:00"/>
    <s v="CANCELADO"/>
    <s v="CFR"/>
    <m/>
    <x v="73"/>
    <n v="257"/>
    <m/>
    <x v="86"/>
    <x v="6"/>
    <s v="Contenedor 40'"/>
    <m/>
    <s v="Bigbag"/>
    <m/>
    <m/>
    <s v="OCTUBRE"/>
    <x v="0"/>
    <m/>
    <m/>
    <m/>
    <x v="61"/>
    <m/>
    <m/>
    <x v="64"/>
    <n v="12"/>
    <n v="2017"/>
    <x v="0"/>
    <x v="0"/>
    <s v="ST. PETERSBURG / RUSSIA"/>
    <x v="2"/>
    <m/>
    <x v="0"/>
    <x v="80"/>
    <d v="2017-10-29T00:00:00"/>
    <s v=" KATHARINA SCHEPERS "/>
    <x v="37"/>
    <x v="6"/>
    <m/>
    <m/>
    <m/>
    <m/>
    <m/>
    <m/>
    <x v="0"/>
    <d v="2017-12-15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E-S"/>
    <x v="0"/>
    <x v="0"/>
    <m/>
    <m/>
    <x v="98"/>
    <m/>
    <x v="98"/>
    <m/>
    <m/>
    <m/>
    <s v="CERRADO"/>
    <n v="209974"/>
    <x v="20"/>
    <x v="18"/>
    <x v="55"/>
    <d v="2017-08-11T00:00:00"/>
    <s v="CAD"/>
    <m/>
    <s v="PATR-501705"/>
    <m/>
    <d v="2017-11-08T00:00:00"/>
    <s v="CANCELADO"/>
    <s v="CFR"/>
    <m/>
    <x v="74"/>
    <n v="257"/>
    <m/>
    <x v="87"/>
    <x v="2"/>
    <s v="Contenedor 40'"/>
    <m/>
    <s v="Bigbag"/>
    <m/>
    <m/>
    <s v="OCTUBRE"/>
    <x v="0"/>
    <m/>
    <m/>
    <m/>
    <x v="28"/>
    <m/>
    <m/>
    <x v="29"/>
    <n v="12"/>
    <n v="2017"/>
    <x v="0"/>
    <x v="0"/>
    <s v="ST. PETERSBURG / RUSSIA"/>
    <x v="0"/>
    <m/>
    <x v="0"/>
    <x v="81"/>
    <d v="2017-10-29T00:00:00"/>
    <s v="A LA MARINE "/>
    <x v="10"/>
    <x v="9"/>
    <m/>
    <m/>
    <m/>
    <m/>
    <m/>
    <m/>
    <x v="0"/>
    <d v="2018-01-01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E-S"/>
    <x v="0"/>
    <x v="0"/>
    <m/>
    <m/>
    <x v="99"/>
    <m/>
    <x v="99"/>
    <m/>
    <m/>
    <m/>
    <s v="CERRADO"/>
    <n v="209976"/>
    <x v="21"/>
    <x v="18"/>
    <x v="56"/>
    <d v="2017-08-11T00:00:00"/>
    <s v="CAD"/>
    <m/>
    <s v="PATR-501292"/>
    <m/>
    <d v="2017-09-14T00:00:00"/>
    <s v="CANCELADO"/>
    <s v="CFR"/>
    <m/>
    <x v="75"/>
    <n v="312"/>
    <m/>
    <x v="88"/>
    <x v="4"/>
    <s v="Contenedor 40'"/>
    <m/>
    <s v="Bigbag"/>
    <m/>
    <m/>
    <s v="SEPTIEMBRE"/>
    <x v="0"/>
    <m/>
    <m/>
    <m/>
    <x v="62"/>
    <m/>
    <m/>
    <x v="58"/>
    <n v="10"/>
    <n v="2017"/>
    <x v="0"/>
    <x v="0"/>
    <s v="ST. PETERSBURG / RUSSIA"/>
    <x v="2"/>
    <m/>
    <x v="0"/>
    <x v="82"/>
    <d v="2017-09-04T00:00:00"/>
    <s v="CARTAGENA EXPRESS"/>
    <x v="39"/>
    <x v="6"/>
    <m/>
    <m/>
    <m/>
    <m/>
    <m/>
    <m/>
    <x v="0"/>
    <d v="2017-10-20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E-S"/>
    <x v="0"/>
    <x v="0"/>
    <m/>
    <m/>
    <x v="100"/>
    <m/>
    <x v="100"/>
    <m/>
    <m/>
    <m/>
    <s v="CERRADO"/>
    <n v="209976"/>
    <x v="21"/>
    <x v="18"/>
    <x v="56"/>
    <d v="2017-08-11T00:00:00"/>
    <s v="CAD"/>
    <m/>
    <s v="PATR-501391"/>
    <m/>
    <d v="2017-10-03T00:00:00"/>
    <s v="CANCELADO"/>
    <s v="CFR"/>
    <m/>
    <x v="76"/>
    <n v="312"/>
    <m/>
    <x v="89"/>
    <x v="5"/>
    <s v="Contenedor 40'"/>
    <m/>
    <s v="Bigbag"/>
    <m/>
    <m/>
    <s v="SEPTIEMBRE"/>
    <x v="0"/>
    <m/>
    <m/>
    <m/>
    <x v="49"/>
    <m/>
    <m/>
    <x v="65"/>
    <n v="11"/>
    <n v="2017"/>
    <x v="0"/>
    <x v="0"/>
    <s v="ST. PETERSBURG / RUSSIA"/>
    <x v="0"/>
    <m/>
    <x v="0"/>
    <x v="83"/>
    <d v="2017-09-24T00:00:00"/>
    <s v="VLADIMIR"/>
    <x v="10"/>
    <x v="9"/>
    <m/>
    <m/>
    <m/>
    <m/>
    <m/>
    <m/>
    <x v="0"/>
    <d v="2017-11-20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S"/>
    <x v="0"/>
    <x v="0"/>
    <m/>
    <m/>
    <x v="101"/>
    <m/>
    <x v="101"/>
    <m/>
    <m/>
    <m/>
    <s v="CERRADO"/>
    <n v="206914"/>
    <x v="12"/>
    <x v="19"/>
    <x v="57"/>
    <d v="2017-08-22T00:00:00"/>
    <n v="60"/>
    <s v="días BL"/>
    <s v="SG-MS-L-11903"/>
    <m/>
    <d v="2017-11-29T00:00:00"/>
    <s v="CANCELADO"/>
    <s v="CFR"/>
    <m/>
    <x v="77"/>
    <n v="165"/>
    <m/>
    <x v="90"/>
    <x v="9"/>
    <s v="Contenedor 40'"/>
    <m/>
    <s v="25 kg"/>
    <m/>
    <m/>
    <s v="OCT-NOV '17"/>
    <x v="0"/>
    <m/>
    <m/>
    <m/>
    <x v="46"/>
    <m/>
    <m/>
    <x v="66"/>
    <n v="11"/>
    <n v="2017"/>
    <x v="0"/>
    <x v="0"/>
    <s v="DALIAN / CHINA"/>
    <x v="0"/>
    <m/>
    <x v="0"/>
    <x v="84"/>
    <d v="2017-09-30T00:00:00"/>
    <s v="MAGLEBY MAERSK"/>
    <x v="40"/>
    <x v="3"/>
    <m/>
    <m/>
    <m/>
    <m/>
    <m/>
    <m/>
    <x v="0"/>
    <d v="2017-11-23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102"/>
    <m/>
    <x v="102"/>
    <m/>
    <m/>
    <m/>
    <s v="CERRADO"/>
    <n v="209977"/>
    <x v="22"/>
    <x v="0"/>
    <x v="58"/>
    <d v="2017-08-23T00:00:00"/>
    <s v="CAD"/>
    <m/>
    <n v="10597"/>
    <m/>
    <d v="2017-11-10T00:00:00"/>
    <s v="CANCELADO"/>
    <s v="CFR"/>
    <m/>
    <x v="78"/>
    <n v="375"/>
    <m/>
    <x v="91"/>
    <x v="5"/>
    <s v="Contenedor 20'"/>
    <m/>
    <s v="50 kg"/>
    <m/>
    <m/>
    <s v="OCTUBRE"/>
    <x v="0"/>
    <m/>
    <m/>
    <m/>
    <x v="63"/>
    <m/>
    <m/>
    <x v="67"/>
    <n v="12"/>
    <n v="2017"/>
    <x v="0"/>
    <x v="0"/>
    <s v="FANGCHENG / CHINA"/>
    <x v="2"/>
    <m/>
    <x v="0"/>
    <x v="85"/>
    <d v="2017-10-27T00:00:00"/>
    <s v="JIN LONG"/>
    <x v="15"/>
    <x v="10"/>
    <m/>
    <m/>
    <m/>
    <m/>
    <m/>
    <m/>
    <x v="0"/>
    <d v="2017-12-28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103"/>
    <m/>
    <x v="103"/>
    <m/>
    <m/>
    <m/>
    <s v="CERRADO"/>
    <n v="209977"/>
    <x v="22"/>
    <x v="0"/>
    <x v="58"/>
    <d v="2017-08-23T00:00:00"/>
    <s v="CAD"/>
    <m/>
    <n v="10598"/>
    <m/>
    <d v="2017-11-17T00:00:00"/>
    <s v="CANCELADO"/>
    <s v="CFR"/>
    <m/>
    <x v="53"/>
    <n v="380"/>
    <m/>
    <x v="92"/>
    <x v="14"/>
    <s v="Contenedor 20'"/>
    <m/>
    <s v="50 kg"/>
    <m/>
    <m/>
    <s v="OCTUBRE"/>
    <x v="0"/>
    <m/>
    <m/>
    <m/>
    <x v="64"/>
    <m/>
    <m/>
    <x v="68"/>
    <n v="12"/>
    <n v="2017"/>
    <x v="0"/>
    <x v="0"/>
    <s v="FANGCHENG / CHINA"/>
    <x v="0"/>
    <m/>
    <x v="0"/>
    <x v="86"/>
    <d v="2017-11-01T00:00:00"/>
    <s v="HUI JIN QIAO"/>
    <x v="10"/>
    <x v="2"/>
    <m/>
    <m/>
    <m/>
    <m/>
    <m/>
    <m/>
    <x v="0"/>
    <d v="2017-12-26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E-S"/>
    <x v="0"/>
    <x v="0"/>
    <m/>
    <m/>
    <x v="104"/>
    <m/>
    <x v="104"/>
    <m/>
    <m/>
    <m/>
    <s v="CERRADO"/>
    <n v="207522"/>
    <x v="11"/>
    <x v="10"/>
    <x v="59"/>
    <d v="2017-09-04T00:00:00"/>
    <n v="90"/>
    <s v="días BL"/>
    <n v="300002954"/>
    <m/>
    <d v="2018-01-15T00:00:00"/>
    <s v="CANCELADO"/>
    <s v="CFR"/>
    <m/>
    <x v="66"/>
    <n v="280"/>
    <m/>
    <x v="76"/>
    <x v="9"/>
    <s v="Contenedor 20'"/>
    <m/>
    <s v="Granel Sólido"/>
    <m/>
    <m/>
    <s v="OCTUBRE"/>
    <x v="0"/>
    <m/>
    <m/>
    <m/>
    <x v="65"/>
    <m/>
    <m/>
    <x v="69"/>
    <n v="11"/>
    <n v="2017"/>
    <x v="0"/>
    <x v="0"/>
    <s v="AMBERES / BELGICA"/>
    <x v="2"/>
    <m/>
    <x v="0"/>
    <x v="87"/>
    <d v="2017-10-17T00:00:00"/>
    <s v="CMA CGM TANYA"/>
    <x v="41"/>
    <x v="2"/>
    <m/>
    <m/>
    <m/>
    <m/>
    <m/>
    <m/>
    <x v="0"/>
    <d v="2017-11-24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E-S"/>
    <x v="0"/>
    <x v="0"/>
    <m/>
    <m/>
    <x v="105"/>
    <m/>
    <x v="105"/>
    <m/>
    <m/>
    <m/>
    <s v="CERRADO"/>
    <n v="207522"/>
    <x v="11"/>
    <x v="10"/>
    <x v="60"/>
    <d v="2017-09-04T00:00:00"/>
    <n v="90"/>
    <s v="días BL"/>
    <n v="300003215"/>
    <m/>
    <d v="2018-01-22T00:00:00"/>
    <s v="CANCELADO"/>
    <s v="CFR"/>
    <m/>
    <x v="79"/>
    <n v="280"/>
    <m/>
    <x v="93"/>
    <x v="5"/>
    <s v="Contenedor 20'"/>
    <m/>
    <s v="Granel Sólido"/>
    <m/>
    <m/>
    <s v="OCTUBRE"/>
    <x v="0"/>
    <m/>
    <m/>
    <m/>
    <x v="66"/>
    <m/>
    <m/>
    <x v="70"/>
    <n v="11"/>
    <n v="2017"/>
    <x v="0"/>
    <x v="0"/>
    <s v="AMBERES / BELGICA"/>
    <x v="0"/>
    <m/>
    <x v="0"/>
    <x v="88"/>
    <d v="2017-10-24T00:00:00"/>
    <s v="GUAYAQUIL EXPRESS"/>
    <x v="10"/>
    <x v="2"/>
    <m/>
    <m/>
    <m/>
    <m/>
    <m/>
    <m/>
    <x v="0"/>
    <d v="2017-12-04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S"/>
    <x v="0"/>
    <x v="0"/>
    <m/>
    <m/>
    <x v="106"/>
    <m/>
    <x v="106"/>
    <m/>
    <m/>
    <m/>
    <s v="CERRADO"/>
    <n v="207578"/>
    <x v="8"/>
    <x v="3"/>
    <x v="61"/>
    <d v="2017-08-28T00:00:00"/>
    <n v="90"/>
    <s v="días BL"/>
    <s v="KTI20171285"/>
    <m/>
    <d v="2018-01-23T00:00:00"/>
    <s v="CANCELADO"/>
    <s v="CFR"/>
    <m/>
    <x v="80"/>
    <n v="285"/>
    <m/>
    <x v="94"/>
    <x v="0"/>
    <s v="Granel - BB"/>
    <m/>
    <s v="25 kg"/>
    <m/>
    <m/>
    <s v="OCTUBRE"/>
    <x v="0"/>
    <m/>
    <m/>
    <m/>
    <x v="23"/>
    <m/>
    <m/>
    <x v="24"/>
    <n v="12"/>
    <n v="2017"/>
    <x v="0"/>
    <x v="0"/>
    <s v="TIAJIN / CHINA"/>
    <x v="2"/>
    <m/>
    <x v="0"/>
    <x v="89"/>
    <d v="2017-10-25T00:00:00"/>
    <s v="MV RUI AN CHENG"/>
    <x v="16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E-S"/>
    <x v="0"/>
    <x v="0"/>
    <m/>
    <m/>
    <x v="107"/>
    <m/>
    <x v="107"/>
    <m/>
    <m/>
    <m/>
    <s v="CERRADO"/>
    <n v="204383"/>
    <x v="23"/>
    <x v="10"/>
    <x v="16"/>
    <m/>
    <n v="90"/>
    <s v="días BL"/>
    <n v="201775387"/>
    <m/>
    <d v="2017-12-28T00:00:00"/>
    <s v="CANCELADO"/>
    <s v="CIF"/>
    <m/>
    <x v="81"/>
    <n v="1820"/>
    <m/>
    <x v="95"/>
    <x v="0"/>
    <s v="Contenedor 20'"/>
    <m/>
    <s v="25 kg"/>
    <m/>
    <m/>
    <s v="SEPTIEMBRE"/>
    <x v="0"/>
    <m/>
    <m/>
    <m/>
    <x v="61"/>
    <m/>
    <m/>
    <x v="71"/>
    <n v="12"/>
    <n v="2017"/>
    <x v="0"/>
    <x v="0"/>
    <s v="HAIFA / ISRAEL"/>
    <x v="2"/>
    <m/>
    <x v="0"/>
    <x v="90"/>
    <d v="2017-09-29T00:00:00"/>
    <s v="SEASPAN JAKARTA"/>
    <x v="37"/>
    <x v="6"/>
    <m/>
    <m/>
    <m/>
    <m/>
    <m/>
    <m/>
    <x v="0"/>
    <d v="2017-12-15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E-S"/>
    <x v="0"/>
    <x v="0"/>
    <m/>
    <m/>
    <x v="108"/>
    <m/>
    <x v="108"/>
    <m/>
    <m/>
    <m/>
    <s v="CERRADO"/>
    <n v="204386"/>
    <x v="24"/>
    <x v="10"/>
    <x v="16"/>
    <m/>
    <n v="90"/>
    <s v="días BL"/>
    <n v="201775387"/>
    <m/>
    <d v="2017-12-28T00:00:00"/>
    <s v="CANCELADO"/>
    <s v="CIF"/>
    <m/>
    <x v="81"/>
    <n v="1810"/>
    <m/>
    <x v="96"/>
    <x v="0"/>
    <s v="Contenedor 20'"/>
    <m/>
    <s v="25 kg"/>
    <m/>
    <m/>
    <s v="SEPTIEMBRE"/>
    <x v="0"/>
    <m/>
    <m/>
    <m/>
    <x v="61"/>
    <m/>
    <m/>
    <x v="71"/>
    <n v="12"/>
    <n v="2017"/>
    <x v="0"/>
    <x v="0"/>
    <s v="HAIFA / ISRAEL"/>
    <x v="2"/>
    <m/>
    <x v="0"/>
    <x v="90"/>
    <d v="2017-09-29T00:00:00"/>
    <s v="SEASPAN JAKARTA"/>
    <x v="37"/>
    <x v="6"/>
    <m/>
    <m/>
    <m/>
    <m/>
    <m/>
    <m/>
    <x v="0"/>
    <d v="2017-12-15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E-S"/>
    <x v="0"/>
    <x v="0"/>
    <m/>
    <m/>
    <x v="109"/>
    <m/>
    <x v="109"/>
    <m/>
    <m/>
    <m/>
    <s v="CERRADO"/>
    <n v="204382"/>
    <x v="25"/>
    <x v="10"/>
    <x v="16"/>
    <m/>
    <n v="90"/>
    <s v="días BL"/>
    <n v="201775387"/>
    <m/>
    <d v="2017-12-28T00:00:00"/>
    <s v="CANCELADO"/>
    <s v="CIF"/>
    <m/>
    <x v="81"/>
    <n v="1890"/>
    <m/>
    <x v="97"/>
    <x v="0"/>
    <s v="Contenedor 20'"/>
    <m/>
    <s v="25 kg"/>
    <m/>
    <m/>
    <s v="SEPTIEMBRE"/>
    <x v="0"/>
    <m/>
    <m/>
    <m/>
    <x v="61"/>
    <m/>
    <m/>
    <x v="71"/>
    <n v="12"/>
    <n v="2017"/>
    <x v="0"/>
    <x v="0"/>
    <s v="HAIFA / ISRAEL"/>
    <x v="2"/>
    <m/>
    <x v="0"/>
    <x v="90"/>
    <d v="2017-09-29T00:00:00"/>
    <s v="SEASPAN JAKARTA"/>
    <x v="37"/>
    <x v="6"/>
    <m/>
    <m/>
    <m/>
    <m/>
    <m/>
    <m/>
    <x v="0"/>
    <d v="2017-12-15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E-S"/>
    <x v="0"/>
    <x v="0"/>
    <m/>
    <m/>
    <x v="110"/>
    <m/>
    <x v="110"/>
    <m/>
    <m/>
    <m/>
    <s v="CERRADO"/>
    <n v="204384"/>
    <x v="26"/>
    <x v="10"/>
    <x v="16"/>
    <m/>
    <n v="90"/>
    <s v="días BL"/>
    <n v="201775387"/>
    <m/>
    <d v="2017-12-28T00:00:00"/>
    <s v="CANCELADO"/>
    <s v="CIF"/>
    <m/>
    <x v="81"/>
    <n v="1530"/>
    <m/>
    <x v="98"/>
    <x v="0"/>
    <s v="Contenedor 20'"/>
    <m/>
    <s v="25 kg"/>
    <m/>
    <m/>
    <s v="SEPTIEMBRE"/>
    <x v="0"/>
    <m/>
    <m/>
    <m/>
    <x v="61"/>
    <m/>
    <m/>
    <x v="71"/>
    <n v="12"/>
    <n v="2017"/>
    <x v="0"/>
    <x v="0"/>
    <s v="HAIFA / ISRAEL"/>
    <x v="2"/>
    <m/>
    <x v="0"/>
    <x v="90"/>
    <d v="2017-09-29T00:00:00"/>
    <s v="SEASPAN JAKARTA"/>
    <x v="37"/>
    <x v="6"/>
    <m/>
    <m/>
    <m/>
    <m/>
    <m/>
    <m/>
    <x v="0"/>
    <d v="2017-12-15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111"/>
    <m/>
    <x v="111"/>
    <m/>
    <m/>
    <m/>
    <s v="CERRADO"/>
    <n v="209979"/>
    <x v="1"/>
    <x v="7"/>
    <x v="62"/>
    <d v="2017-08-30T00:00:00"/>
    <s v="CAD"/>
    <m/>
    <n v="4200569168"/>
    <m/>
    <d v="2017-10-02T00:00:00"/>
    <s v="CANCELADO"/>
    <s v="CPT"/>
    <m/>
    <x v="82"/>
    <n v="501"/>
    <m/>
    <x v="99"/>
    <x v="15"/>
    <s v="Contenedor 20'"/>
    <m/>
    <s v="Granel Sólido"/>
    <m/>
    <m/>
    <s v="SEPTIEMBRE"/>
    <x v="0"/>
    <m/>
    <m/>
    <m/>
    <x v="51"/>
    <m/>
    <m/>
    <x v="56"/>
    <n v="10"/>
    <n v="2017"/>
    <x v="0"/>
    <x v="0"/>
    <s v="HAMBURGO / ALEMANIA"/>
    <x v="2"/>
    <m/>
    <x v="0"/>
    <x v="91"/>
    <d v="2017-09-29T00:00:00"/>
    <s v="MSC ADELAIDE"/>
    <x v="36"/>
    <x v="4"/>
    <m/>
    <m/>
    <m/>
    <m/>
    <m/>
    <m/>
    <x v="0"/>
    <d v="2017-11-08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112"/>
    <m/>
    <x v="112"/>
    <m/>
    <m/>
    <m/>
    <s v="CERRADO"/>
    <n v="209979"/>
    <x v="1"/>
    <x v="7"/>
    <x v="63"/>
    <d v="2017-08-30T00:00:00"/>
    <s v="CAD"/>
    <m/>
    <n v="4200569416"/>
    <m/>
    <d v="2017-10-09T00:00:00"/>
    <s v="CANCELADO"/>
    <s v="CPT"/>
    <m/>
    <x v="83"/>
    <n v="506"/>
    <m/>
    <x v="100"/>
    <x v="15"/>
    <s v="Contenedor 20'"/>
    <m/>
    <s v="Granel Sólido"/>
    <m/>
    <m/>
    <s v="SEPTIEMBRE"/>
    <x v="0"/>
    <m/>
    <m/>
    <m/>
    <x v="67"/>
    <m/>
    <m/>
    <x v="72"/>
    <n v="10"/>
    <n v="2017"/>
    <x v="0"/>
    <x v="0"/>
    <s v="HAMBURGO / ALEMANIA"/>
    <x v="0"/>
    <m/>
    <x v="0"/>
    <x v="92"/>
    <d v="2017-09-25T00:00:00"/>
    <s v="CAP SAN SOUNIO"/>
    <x v="10"/>
    <x v="2"/>
    <m/>
    <m/>
    <m/>
    <m/>
    <m/>
    <m/>
    <x v="0"/>
    <d v="2017-11-11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S"/>
    <x v="0"/>
    <x v="0"/>
    <s v="URGENTE"/>
    <m/>
    <x v="113"/>
    <m/>
    <x v="113"/>
    <m/>
    <m/>
    <m/>
    <s v="CERRADO"/>
    <n v="207579"/>
    <x v="9"/>
    <x v="3"/>
    <x v="64"/>
    <d v="2017-09-07T00:00:00"/>
    <s v="CAD"/>
    <m/>
    <s v="KTI20171282"/>
    <m/>
    <d v="2017-11-06T00:00:00"/>
    <s v="CANCELADO"/>
    <s v="CFR"/>
    <m/>
    <x v="0"/>
    <n v="300"/>
    <m/>
    <x v="101"/>
    <x v="0"/>
    <s v="Granel - BB"/>
    <m/>
    <s v="25 kg"/>
    <m/>
    <m/>
    <s v="OCTUBRE"/>
    <x v="0"/>
    <m/>
    <m/>
    <m/>
    <x v="23"/>
    <m/>
    <m/>
    <x v="24"/>
    <n v="12"/>
    <n v="2017"/>
    <x v="0"/>
    <x v="0"/>
    <s v="TIAJIN / CHINA"/>
    <x v="2"/>
    <m/>
    <x v="0"/>
    <x v="93"/>
    <d v="2017-10-25T00:00:00"/>
    <s v="MV RUI AN CHENG"/>
    <x v="16"/>
    <x v="0"/>
    <m/>
    <m/>
    <m/>
    <m/>
    <m/>
    <m/>
    <x v="0"/>
    <d v="2017-12-21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P"/>
    <x v="0"/>
    <x v="0"/>
    <m/>
    <m/>
    <x v="114"/>
    <m/>
    <x v="114"/>
    <m/>
    <m/>
    <m/>
    <s v="CERRADO"/>
    <n v="206766"/>
    <x v="10"/>
    <x v="0"/>
    <x v="65"/>
    <d v="2017-09-01T00:00:00"/>
    <s v="CAD"/>
    <m/>
    <n v="10454"/>
    <m/>
    <d v="2017-10-24T00:00:00"/>
    <s v="CANCELADO"/>
    <s v="CFR"/>
    <m/>
    <x v="84"/>
    <n v="810"/>
    <m/>
    <x v="102"/>
    <x v="6"/>
    <s v="Contenedor 20'"/>
    <m/>
    <s v="Bidones 50kg"/>
    <m/>
    <m/>
    <s v="OCTUBRE"/>
    <x v="0"/>
    <m/>
    <m/>
    <m/>
    <x v="26"/>
    <m/>
    <m/>
    <x v="51"/>
    <n v="11"/>
    <n v="2017"/>
    <x v="0"/>
    <x v="0"/>
    <s v="VERACRUZ / MEXICO"/>
    <x v="2"/>
    <m/>
    <x v="0"/>
    <x v="94"/>
    <d v="2017-10-24T00:00:00"/>
    <s v="FRISIA LISSABON"/>
    <x v="32"/>
    <x v="2"/>
    <m/>
    <m/>
    <m/>
    <m/>
    <m/>
    <m/>
    <x v="0"/>
    <d v="2017-11-10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P"/>
    <x v="0"/>
    <x v="0"/>
    <m/>
    <m/>
    <x v="115"/>
    <m/>
    <x v="115"/>
    <m/>
    <m/>
    <m/>
    <s v="CERRADO"/>
    <n v="206766"/>
    <x v="10"/>
    <x v="0"/>
    <x v="65"/>
    <d v="2017-09-01T00:00:00"/>
    <s v="CAD"/>
    <m/>
    <n v="10453"/>
    <m/>
    <d v="2017-10-24T00:00:00"/>
    <s v="CANCELADO"/>
    <s v="CFR"/>
    <m/>
    <x v="84"/>
    <n v="820"/>
    <m/>
    <x v="103"/>
    <x v="6"/>
    <s v="Contenedor 20'"/>
    <m/>
    <s v="Bidones 50kg"/>
    <m/>
    <m/>
    <s v="OCTUBRE"/>
    <x v="0"/>
    <m/>
    <m/>
    <m/>
    <x v="68"/>
    <m/>
    <m/>
    <x v="73"/>
    <n v="11"/>
    <n v="2017"/>
    <x v="0"/>
    <x v="0"/>
    <s v="VERACRUZ / MEXICO"/>
    <x v="0"/>
    <m/>
    <x v="0"/>
    <x v="95"/>
    <d v="2017-10-06T00:00:00"/>
    <s v="MONTE SARMIENTO"/>
    <x v="20"/>
    <x v="6"/>
    <m/>
    <m/>
    <m/>
    <m/>
    <m/>
    <m/>
    <x v="0"/>
    <d v="2017-11-19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P"/>
    <x v="0"/>
    <x v="0"/>
    <m/>
    <m/>
    <x v="116"/>
    <m/>
    <x v="116"/>
    <m/>
    <m/>
    <m/>
    <s v="CERRADO"/>
    <n v="206766"/>
    <x v="10"/>
    <x v="0"/>
    <x v="65"/>
    <d v="2017-09-01T00:00:00"/>
    <s v="CAD"/>
    <m/>
    <n v="10547"/>
    <m/>
    <d v="2017-10-27T00:00:00"/>
    <s v="CANCELADO"/>
    <s v="CFR"/>
    <m/>
    <x v="61"/>
    <n v="810"/>
    <m/>
    <x v="104"/>
    <x v="9"/>
    <s v="Contenedor 20'"/>
    <m/>
    <s v="Bidones 50kg"/>
    <m/>
    <m/>
    <s v="OCTUBRE"/>
    <x v="0"/>
    <m/>
    <m/>
    <m/>
    <x v="69"/>
    <m/>
    <m/>
    <x v="74"/>
    <n v="11"/>
    <n v="2017"/>
    <x v="0"/>
    <x v="0"/>
    <s v="VERACRUZ / MEXICO"/>
    <x v="2"/>
    <m/>
    <x v="0"/>
    <x v="96"/>
    <d v="2017-10-20T00:00:00"/>
    <s v="MONTE CERVANTES"/>
    <x v="42"/>
    <x v="6"/>
    <m/>
    <m/>
    <m/>
    <m/>
    <m/>
    <m/>
    <x v="0"/>
    <d v="2017-12-01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P"/>
    <x v="0"/>
    <x v="0"/>
    <m/>
    <m/>
    <x v="117"/>
    <m/>
    <x v="117"/>
    <m/>
    <m/>
    <m/>
    <s v="CERRADO"/>
    <n v="206766"/>
    <x v="10"/>
    <x v="0"/>
    <x v="65"/>
    <d v="2017-09-01T00:00:00"/>
    <s v="CAD"/>
    <m/>
    <n v="10548"/>
    <m/>
    <d v="2017-10-27T00:00:00"/>
    <s v="CANCELADO"/>
    <s v="CFR"/>
    <m/>
    <x v="85"/>
    <n v="820"/>
    <m/>
    <x v="105"/>
    <x v="16"/>
    <s v="Contenedor 20'"/>
    <m/>
    <s v="Bidones 50kg"/>
    <m/>
    <m/>
    <s v="OCTUBRE"/>
    <x v="0"/>
    <m/>
    <m/>
    <m/>
    <x v="70"/>
    <m/>
    <m/>
    <x v="75"/>
    <n v="11"/>
    <n v="2017"/>
    <x v="0"/>
    <x v="0"/>
    <s v="VERACRUZ / MEXICO"/>
    <x v="0"/>
    <m/>
    <x v="0"/>
    <x v="97"/>
    <d v="2017-10-20T00:00:00"/>
    <s v="MONTE CERVANTES"/>
    <x v="41"/>
    <x v="6"/>
    <m/>
    <m/>
    <m/>
    <m/>
    <m/>
    <m/>
    <x v="0"/>
    <d v="2017-12-05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S"/>
    <x v="0"/>
    <x v="0"/>
    <m/>
    <m/>
    <x v="118"/>
    <m/>
    <x v="118"/>
    <m/>
    <m/>
    <m/>
    <s v="CERRADO"/>
    <n v="206966"/>
    <x v="16"/>
    <x v="0"/>
    <x v="66"/>
    <d v="2017-09-01T00:00:00"/>
    <s v="CAD"/>
    <m/>
    <n v="10673"/>
    <m/>
    <d v="2017-11-16T00:00:00"/>
    <s v="CANCELADO"/>
    <s v="CFR"/>
    <m/>
    <x v="0"/>
    <n v="653"/>
    <m/>
    <x v="106"/>
    <x v="14"/>
    <s v="Contenedor 20'"/>
    <m/>
    <s v="25 kg"/>
    <m/>
    <m/>
    <s v="SEPT-OCT"/>
    <x v="0"/>
    <m/>
    <m/>
    <m/>
    <x v="71"/>
    <m/>
    <m/>
    <x v="76"/>
    <n v="12"/>
    <n v="2017"/>
    <x v="0"/>
    <x v="0"/>
    <s v="YICHANG / CHINA"/>
    <x v="2"/>
    <m/>
    <x v="0"/>
    <x v="98"/>
    <d v="2017-10-31T00:00:00"/>
    <s v="WU HAN CHANG HONG"/>
    <x v="43"/>
    <x v="10"/>
    <m/>
    <m/>
    <m/>
    <m/>
    <m/>
    <m/>
    <x v="0"/>
    <d v="2018-01-11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S"/>
    <x v="0"/>
    <x v="0"/>
    <m/>
    <m/>
    <x v="119"/>
    <m/>
    <x v="119"/>
    <m/>
    <m/>
    <m/>
    <s v="CERRADO"/>
    <n v="206966"/>
    <x v="16"/>
    <x v="0"/>
    <x v="66"/>
    <d v="2017-09-01T00:00:00"/>
    <s v="CAD"/>
    <m/>
    <n v="10723"/>
    <m/>
    <d v="2017-11-23T00:00:00"/>
    <s v="CANCELADO"/>
    <s v="CFR"/>
    <m/>
    <x v="0"/>
    <n v="653"/>
    <m/>
    <x v="106"/>
    <x v="0"/>
    <s v="Contenedor 20'"/>
    <m/>
    <s v="25 kg"/>
    <m/>
    <m/>
    <s v="SEPT-OCT"/>
    <x v="0"/>
    <m/>
    <m/>
    <m/>
    <x v="72"/>
    <m/>
    <m/>
    <x v="77"/>
    <n v="12"/>
    <n v="2017"/>
    <x v="0"/>
    <x v="0"/>
    <s v="YICHANG / CHINA"/>
    <x v="0"/>
    <m/>
    <x v="0"/>
    <x v="99"/>
    <d v="2017-10-27T00:00:00"/>
    <s v="YUGANGJI9"/>
    <x v="40"/>
    <x v="3"/>
    <m/>
    <m/>
    <m/>
    <m/>
    <m/>
    <m/>
    <x v="0"/>
    <d v="2018-01-03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C"/>
    <x v="0"/>
    <x v="0"/>
    <m/>
    <m/>
    <x v="120"/>
    <m/>
    <x v="120"/>
    <m/>
    <m/>
    <m/>
    <s v="CERRADO"/>
    <n v="209975"/>
    <x v="27"/>
    <x v="20"/>
    <x v="16"/>
    <m/>
    <s v="CAD"/>
    <m/>
    <s v="000012"/>
    <m/>
    <d v="2017-09-22T00:00:00"/>
    <s v="CANCELADO"/>
    <s v="CFR"/>
    <m/>
    <x v="8"/>
    <n v="760"/>
    <m/>
    <x v="107"/>
    <x v="5"/>
    <s v="Contenedor 20'"/>
    <m/>
    <s v="Bigbag"/>
    <m/>
    <m/>
    <s v="SEPTIEMBRE"/>
    <x v="0"/>
    <m/>
    <m/>
    <m/>
    <x v="73"/>
    <m/>
    <m/>
    <x v="55"/>
    <n v="9"/>
    <n v="2017"/>
    <x v="0"/>
    <x v="0"/>
    <s v="IQUIQUE / CHILE"/>
    <x v="2"/>
    <m/>
    <x v="0"/>
    <x v="100"/>
    <d v="2017-09-21T00:00:00"/>
    <s v="MAERSK WESTPORT"/>
    <x v="15"/>
    <x v="11"/>
    <m/>
    <m/>
    <m/>
    <m/>
    <m/>
    <m/>
    <x v="0"/>
    <d v="2017-10-11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P"/>
    <x v="0"/>
    <x v="0"/>
    <m/>
    <m/>
    <x v="121"/>
    <m/>
    <x v="121"/>
    <m/>
    <m/>
    <m/>
    <s v="CERRADO"/>
    <n v="207374"/>
    <x v="17"/>
    <x v="15"/>
    <x v="67"/>
    <d v="2017-09-12T00:00:00"/>
    <s v="CAD"/>
    <m/>
    <s v="825/17 ZMU"/>
    <m/>
    <d v="2017-10-03T00:00:00"/>
    <s v="CANCELADO"/>
    <s v="CFR"/>
    <m/>
    <x v="86"/>
    <n v="315"/>
    <m/>
    <x v="108"/>
    <x v="0"/>
    <s v="Contenedor 20'"/>
    <m/>
    <s v="25 kg"/>
    <m/>
    <m/>
    <s v="SEPTIEMBRE"/>
    <x v="0"/>
    <m/>
    <m/>
    <m/>
    <x v="74"/>
    <m/>
    <m/>
    <x v="78"/>
    <n v="11"/>
    <n v="2017"/>
    <x v="0"/>
    <x v="0"/>
    <s v="TALLIN / ESTONIA"/>
    <x v="2"/>
    <m/>
    <x v="0"/>
    <x v="101"/>
    <d v="2017-10-17T00:00:00"/>
    <s v="EMPIRE"/>
    <x v="15"/>
    <x v="2"/>
    <m/>
    <m/>
    <m/>
    <m/>
    <m/>
    <m/>
    <x v="0"/>
    <d v="2017-12-15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P"/>
    <x v="0"/>
    <x v="2"/>
    <m/>
    <m/>
    <x v="122"/>
    <m/>
    <x v="34"/>
    <m/>
    <m/>
    <m/>
    <m/>
    <m/>
    <x v="17"/>
    <x v="15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17"/>
    <s v="S-P"/>
    <x v="0"/>
    <x v="0"/>
    <m/>
    <m/>
    <x v="123"/>
    <m/>
    <x v="34"/>
    <m/>
    <m/>
    <m/>
    <m/>
    <n v="207374"/>
    <x v="17"/>
    <x v="15"/>
    <x v="68"/>
    <d v="2017-09-12T00:00:00"/>
    <s v="CAD"/>
    <m/>
    <s v="827/17 ZMU 01"/>
    <m/>
    <d v="2017-10-03T00:00:00"/>
    <s v="CANCELADO"/>
    <s v="CFR"/>
    <m/>
    <x v="87"/>
    <n v="320"/>
    <m/>
    <x v="109"/>
    <x v="5"/>
    <s v="Contenedor 20'"/>
    <m/>
    <s v="25 kg"/>
    <m/>
    <m/>
    <s v="DICIEMBRE"/>
    <x v="0"/>
    <m/>
    <m/>
    <m/>
    <x v="75"/>
    <m/>
    <m/>
    <x v="79"/>
    <n v="2"/>
    <n v="2018"/>
    <x v="0"/>
    <x v="0"/>
    <s v="RIGA / LETONIA"/>
    <x v="0"/>
    <m/>
    <x v="0"/>
    <x v="102"/>
    <d v="2017-12-25T00:00:00"/>
    <s v="EMPIRE"/>
    <x v="44"/>
    <x v="2"/>
    <m/>
    <m/>
    <m/>
    <m/>
    <m/>
    <m/>
    <x v="0"/>
    <d v="2018-02-22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P"/>
    <x v="0"/>
    <x v="0"/>
    <m/>
    <m/>
    <x v="124"/>
    <m/>
    <x v="34"/>
    <m/>
    <m/>
    <m/>
    <m/>
    <n v="207374"/>
    <x v="17"/>
    <x v="15"/>
    <x v="69"/>
    <d v="2017-09-12T00:00:00"/>
    <s v="CAD"/>
    <m/>
    <s v="826/17 ZMU "/>
    <m/>
    <d v="2017-10-03T00:00:00"/>
    <s v="CANCELADO"/>
    <s v="CFR"/>
    <m/>
    <x v="88"/>
    <n v="315"/>
    <m/>
    <x v="110"/>
    <x v="10"/>
    <s v="Contenedor 20'"/>
    <m/>
    <s v="25 kg"/>
    <m/>
    <m/>
    <s v="DICIEMBRE"/>
    <x v="0"/>
    <m/>
    <m/>
    <m/>
    <x v="76"/>
    <m/>
    <m/>
    <x v="80"/>
    <n v="2"/>
    <n v="2018"/>
    <x v="0"/>
    <x v="0"/>
    <s v="RIGA / LETONIA"/>
    <x v="2"/>
    <m/>
    <x v="0"/>
    <x v="103"/>
    <d v="2017-12-29T00:00:00"/>
    <s v="EMPIRE"/>
    <x v="37"/>
    <x v="2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P"/>
    <x v="0"/>
    <x v="0"/>
    <m/>
    <m/>
    <x v="125"/>
    <m/>
    <x v="34"/>
    <m/>
    <m/>
    <m/>
    <m/>
    <n v="207374"/>
    <x v="17"/>
    <x v="15"/>
    <x v="68"/>
    <d v="2017-09-12T00:00:00"/>
    <s v="CAD"/>
    <m/>
    <s v="827/17 ZMU 02"/>
    <m/>
    <d v="2017-10-03T00:00:00"/>
    <s v="CANCELADO"/>
    <s v="CFR"/>
    <m/>
    <x v="5"/>
    <n v="320"/>
    <m/>
    <x v="111"/>
    <x v="4"/>
    <s v="Contenedor 20'"/>
    <m/>
    <s v="25 kg"/>
    <m/>
    <m/>
    <s v="NOVIEMBRE '17"/>
    <x v="0"/>
    <m/>
    <m/>
    <m/>
    <x v="77"/>
    <m/>
    <m/>
    <x v="81"/>
    <n v="3"/>
    <n v="2018"/>
    <x v="0"/>
    <x v="0"/>
    <s v="RIGA / LETONIA"/>
    <x v="0"/>
    <m/>
    <x v="0"/>
    <x v="104"/>
    <d v="2018-01-12T00:00:00"/>
    <s v="EMOTION"/>
    <x v="45"/>
    <x v="2"/>
    <m/>
    <m/>
    <m/>
    <m/>
    <m/>
    <m/>
    <x v="0"/>
    <d v="2018-03-18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S"/>
    <x v="0"/>
    <x v="0"/>
    <m/>
    <m/>
    <x v="126"/>
    <m/>
    <x v="34"/>
    <m/>
    <m/>
    <m/>
    <m/>
    <n v="206971"/>
    <x v="3"/>
    <x v="3"/>
    <x v="70"/>
    <d v="2017-09-14T00:00:00"/>
    <s v="CAD"/>
    <m/>
    <s v="KTI20171317"/>
    <m/>
    <d v="2017-11-16T00:00:00"/>
    <s v="CANCELADO"/>
    <s v="CFR"/>
    <m/>
    <x v="17"/>
    <n v="505"/>
    <m/>
    <x v="112"/>
    <x v="0"/>
    <s v="Granel - BB"/>
    <m/>
    <s v="25 kg"/>
    <m/>
    <m/>
    <s v="OCTUBRE"/>
    <x v="0"/>
    <m/>
    <m/>
    <m/>
    <x v="78"/>
    <m/>
    <m/>
    <x v="82"/>
    <n v="1"/>
    <n v="2018"/>
    <x v="0"/>
    <x v="0"/>
    <s v="KAOHSIUNG / TAIWAN"/>
    <x v="2"/>
    <m/>
    <x v="0"/>
    <x v="105"/>
    <d v="2017-11-05T00:00:00"/>
    <s v="MV TUJU ARROW"/>
    <x v="46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S"/>
    <x v="0"/>
    <x v="0"/>
    <s v="URGENTE"/>
    <m/>
    <x v="127"/>
    <m/>
    <x v="122"/>
    <m/>
    <m/>
    <m/>
    <s v="CERRADO"/>
    <n v="207579"/>
    <x v="9"/>
    <x v="16"/>
    <x v="71"/>
    <d v="2017-09-25T00:00:00"/>
    <s v="CAD"/>
    <m/>
    <s v="299254-01"/>
    <m/>
    <d v="2017-11-16T00:00:00"/>
    <s v="CANCELADO"/>
    <s v="CFR"/>
    <m/>
    <x v="89"/>
    <n v="282"/>
    <m/>
    <x v="113"/>
    <x v="0"/>
    <s v="Granel - BB"/>
    <m/>
    <s v="25 kg"/>
    <m/>
    <m/>
    <s v="NOVIEMBRE '17"/>
    <x v="0"/>
    <m/>
    <m/>
    <m/>
    <x v="71"/>
    <m/>
    <m/>
    <x v="83"/>
    <n v="1"/>
    <n v="2018"/>
    <x v="0"/>
    <x v="0"/>
    <s v="TIAJIN / CHINA"/>
    <x v="2"/>
    <m/>
    <x v="0"/>
    <x v="106"/>
    <d v="2017-11-08T00:00:00"/>
    <s v="TANCHOU ARROW "/>
    <x v="47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E-S"/>
    <x v="0"/>
    <x v="0"/>
    <m/>
    <m/>
    <x v="128"/>
    <m/>
    <x v="123"/>
    <m/>
    <m/>
    <m/>
    <s v="CERRADO"/>
    <n v="204582"/>
    <x v="28"/>
    <x v="21"/>
    <x v="72"/>
    <d v="2017-09-11T00:00:00"/>
    <n v="90"/>
    <s v="días BL"/>
    <s v="001-550"/>
    <m/>
    <d v="2018-01-14T00:00:00"/>
    <s v="CANCELADO"/>
    <s v="CFR"/>
    <m/>
    <x v="58"/>
    <n v="486"/>
    <m/>
    <x v="114"/>
    <x v="5"/>
    <s v="Contenedor 20'"/>
    <m/>
    <s v="Bigbag"/>
    <m/>
    <m/>
    <s v="OCTUBRE"/>
    <x v="0"/>
    <m/>
    <m/>
    <m/>
    <x v="79"/>
    <m/>
    <m/>
    <x v="66"/>
    <n v="11"/>
    <n v="2017"/>
    <x v="0"/>
    <x v="0"/>
    <s v="VALENCIA / ESPAÑA"/>
    <x v="2"/>
    <m/>
    <x v="0"/>
    <x v="107"/>
    <d v="2017-10-16T00:00:00"/>
    <s v="DIMITRIS C"/>
    <x v="15"/>
    <x v="12"/>
    <m/>
    <m/>
    <m/>
    <m/>
    <m/>
    <m/>
    <x v="0"/>
    <d v="2017-11-21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E-S"/>
    <x v="0"/>
    <x v="0"/>
    <m/>
    <m/>
    <x v="129"/>
    <m/>
    <x v="124"/>
    <m/>
    <m/>
    <m/>
    <s v="CERRADO"/>
    <n v="209980"/>
    <x v="29"/>
    <x v="22"/>
    <x v="73"/>
    <d v="2017-09-08T00:00:00"/>
    <n v="30"/>
    <s v="días BL"/>
    <n v="50414960"/>
    <m/>
    <d v="2018-05-02T00:00:00"/>
    <s v="CANCELADO"/>
    <s v="CIF"/>
    <m/>
    <x v="90"/>
    <n v="12970"/>
    <m/>
    <x v="115"/>
    <x v="17"/>
    <s v="Contenedor 20'"/>
    <m/>
    <s v="1 kg"/>
    <m/>
    <m/>
    <s v="SEPTIEMBRE"/>
    <x v="0"/>
    <m/>
    <m/>
    <m/>
    <x v="80"/>
    <m/>
    <m/>
    <x v="84"/>
    <n v="3"/>
    <n v="2018"/>
    <x v="0"/>
    <x v="0"/>
    <s v="GDYNIA / POLONIA"/>
    <x v="2"/>
    <m/>
    <x v="0"/>
    <x v="108"/>
    <d v="2018-02-01T00:00:00"/>
    <s v="MILAN EXPRESS"/>
    <x v="20"/>
    <x v="2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E-S"/>
    <x v="0"/>
    <x v="0"/>
    <m/>
    <m/>
    <x v="130"/>
    <m/>
    <x v="125"/>
    <m/>
    <m/>
    <m/>
    <s v="CERRADO"/>
    <n v="209981"/>
    <x v="30"/>
    <x v="22"/>
    <x v="73"/>
    <d v="2017-09-08T00:00:00"/>
    <n v="30"/>
    <s v="días BL"/>
    <n v="50414960"/>
    <m/>
    <d v="2018-05-02T00:00:00"/>
    <s v="CANCELADO"/>
    <s v="CIF"/>
    <m/>
    <x v="91"/>
    <n v="5450"/>
    <m/>
    <x v="116"/>
    <x v="17"/>
    <s v="Contenedor 20'"/>
    <m/>
    <s v="1 kg"/>
    <m/>
    <m/>
    <s v="SEPTIEMBRE"/>
    <x v="0"/>
    <m/>
    <m/>
    <m/>
    <x v="80"/>
    <m/>
    <m/>
    <x v="84"/>
    <n v="3"/>
    <n v="2018"/>
    <x v="0"/>
    <x v="0"/>
    <s v="GDYNIA / POLONIA"/>
    <x v="2"/>
    <m/>
    <x v="0"/>
    <x v="108"/>
    <d v="2018-02-01T00:00:00"/>
    <s v="MILAN EXPRESS"/>
    <x v="20"/>
    <x v="2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E-S"/>
    <x v="0"/>
    <x v="0"/>
    <m/>
    <m/>
    <x v="131"/>
    <m/>
    <x v="126"/>
    <m/>
    <m/>
    <m/>
    <s v="CERRADO"/>
    <n v="209982"/>
    <x v="31"/>
    <x v="22"/>
    <x v="73"/>
    <d v="2017-09-08T00:00:00"/>
    <n v="30"/>
    <s v="días BL"/>
    <n v="50414960"/>
    <m/>
    <d v="2018-05-02T00:00:00"/>
    <s v="CANCELADO"/>
    <s v="CIF"/>
    <m/>
    <x v="91"/>
    <n v="5450"/>
    <m/>
    <x v="116"/>
    <x v="17"/>
    <s v="Contenedor 20'"/>
    <m/>
    <s v="1 kg"/>
    <m/>
    <m/>
    <s v="SEPTIEMBRE"/>
    <x v="0"/>
    <m/>
    <m/>
    <m/>
    <x v="80"/>
    <m/>
    <m/>
    <x v="84"/>
    <n v="3"/>
    <n v="2018"/>
    <x v="0"/>
    <x v="0"/>
    <s v="GDYNIA / POLONIA"/>
    <x v="2"/>
    <m/>
    <x v="0"/>
    <x v="108"/>
    <d v="2018-02-01T00:00:00"/>
    <s v="MILAN EXPRESS"/>
    <x v="20"/>
    <x v="2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S"/>
    <x v="0"/>
    <x v="0"/>
    <m/>
    <m/>
    <x v="132"/>
    <m/>
    <x v="127"/>
    <m/>
    <m/>
    <m/>
    <s v="CERRADO"/>
    <n v="206971"/>
    <x v="3"/>
    <x v="14"/>
    <x v="74"/>
    <d v="2017-09-22T00:00:00"/>
    <s v="CAD"/>
    <m/>
    <n v="17100034"/>
    <m/>
    <d v="2017-11-09T00:00:00"/>
    <s v="CANCELADO"/>
    <s v="CIF"/>
    <m/>
    <x v="70"/>
    <n v="510"/>
    <m/>
    <x v="117"/>
    <x v="0"/>
    <s v="Contenedor 20'"/>
    <m/>
    <s v="25 kg"/>
    <m/>
    <m/>
    <s v="OCTUBRE"/>
    <x v="0"/>
    <m/>
    <m/>
    <m/>
    <x v="81"/>
    <m/>
    <m/>
    <x v="85"/>
    <n v="12"/>
    <n v="2017"/>
    <x v="0"/>
    <x v="0"/>
    <s v="NHAVA / INDIA"/>
    <x v="0"/>
    <m/>
    <x v="0"/>
    <x v="109"/>
    <d v="2017-10-24T00:00:00"/>
    <s v="CONTI ANNAPURNA"/>
    <x v="13"/>
    <x v="4"/>
    <m/>
    <m/>
    <m/>
    <m/>
    <m/>
    <m/>
    <x v="0"/>
    <d v="2018-01-10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C"/>
    <x v="0"/>
    <x v="0"/>
    <m/>
    <m/>
    <x v="133"/>
    <m/>
    <x v="34"/>
    <m/>
    <m/>
    <m/>
    <m/>
    <n v="207580"/>
    <x v="32"/>
    <x v="3"/>
    <x v="75"/>
    <d v="2017-09-15T00:00:00"/>
    <s v="CAD"/>
    <m/>
    <n v="20171315"/>
    <m/>
    <d v="2017-11-17T00:00:00"/>
    <s v="CANCELADO"/>
    <s v="CPT"/>
    <m/>
    <x v="92"/>
    <n v="825"/>
    <m/>
    <x v="118"/>
    <x v="2"/>
    <s v="Contenedor 20'"/>
    <m/>
    <s v="25 kg"/>
    <m/>
    <m/>
    <s v="OCTUBRE"/>
    <x v="0"/>
    <m/>
    <m/>
    <m/>
    <x v="82"/>
    <m/>
    <m/>
    <x v="86"/>
    <n v="1"/>
    <n v="2018"/>
    <x v="0"/>
    <x v="0"/>
    <s v="AQABA / JORDANIA"/>
    <x v="2"/>
    <m/>
    <x v="0"/>
    <x v="110"/>
    <d v="2017-11-05T00:00:00"/>
    <s v="CECILIE MAERSK"/>
    <x v="48"/>
    <x v="3"/>
    <m/>
    <m/>
    <m/>
    <m/>
    <m/>
    <m/>
    <x v="0"/>
    <d v="2018-01-14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C"/>
    <x v="0"/>
    <x v="0"/>
    <m/>
    <m/>
    <x v="134"/>
    <m/>
    <x v="34"/>
    <m/>
    <m/>
    <m/>
    <m/>
    <n v="207580"/>
    <x v="32"/>
    <x v="3"/>
    <x v="76"/>
    <d v="2017-09-15T00:00:00"/>
    <s v="CAD"/>
    <m/>
    <n v="20171295"/>
    <m/>
    <d v="2017-11-08T00:00:00"/>
    <s v="CANCELADO"/>
    <s v="CPT"/>
    <m/>
    <x v="93"/>
    <n v="830"/>
    <m/>
    <x v="119"/>
    <x v="0"/>
    <s v="Contenedor 20'"/>
    <m/>
    <s v="25 kg"/>
    <m/>
    <m/>
    <s v="OCTUBRE"/>
    <x v="0"/>
    <m/>
    <m/>
    <m/>
    <x v="81"/>
    <m/>
    <m/>
    <x v="85"/>
    <n v="12"/>
    <n v="2017"/>
    <x v="0"/>
    <x v="0"/>
    <s v="AQABA / JORDANIA"/>
    <x v="0"/>
    <m/>
    <x v="0"/>
    <x v="111"/>
    <d v="2017-10-22T00:00:00"/>
    <s v="CLAES MAERSK "/>
    <x v="13"/>
    <x v="3"/>
    <m/>
    <m/>
    <m/>
    <m/>
    <m/>
    <m/>
    <x v="0"/>
    <d v="2018-01-10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S"/>
    <x v="0"/>
    <x v="0"/>
    <m/>
    <m/>
    <x v="135"/>
    <m/>
    <x v="34"/>
    <m/>
    <m/>
    <m/>
    <m/>
    <n v="206971"/>
    <x v="3"/>
    <x v="3"/>
    <x v="77"/>
    <d v="2017-09-27T00:00:00"/>
    <s v="CAD"/>
    <m/>
    <n v="20171400"/>
    <m/>
    <d v="2017-12-15T00:00:00"/>
    <s v="CANCELADO"/>
    <s v="CFR"/>
    <m/>
    <x v="94"/>
    <n v="505"/>
    <m/>
    <x v="120"/>
    <x v="18"/>
    <s v="Contenedor 20'"/>
    <m/>
    <s v="25 kg"/>
    <m/>
    <m/>
    <s v="DICIEMBRE"/>
    <x v="0"/>
    <m/>
    <m/>
    <m/>
    <x v="83"/>
    <m/>
    <m/>
    <x v="87"/>
    <n v="1"/>
    <n v="2018"/>
    <x v="0"/>
    <x v="0"/>
    <s v="KAOHSIUNG / TAIWAN"/>
    <x v="0"/>
    <m/>
    <x v="0"/>
    <x v="112"/>
    <d v="2017-12-05T00:00:00"/>
    <s v="TIANJIN V-004E"/>
    <x v="15"/>
    <x v="2"/>
    <m/>
    <m/>
    <m/>
    <m/>
    <m/>
    <m/>
    <x v="0"/>
    <d v="2018-01-22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C"/>
    <x v="0"/>
    <x v="0"/>
    <m/>
    <m/>
    <x v="136"/>
    <m/>
    <x v="128"/>
    <m/>
    <m/>
    <m/>
    <s v="CERRADO"/>
    <n v="206573"/>
    <x v="5"/>
    <x v="6"/>
    <x v="8"/>
    <d v="2017-09-27T00:00:00"/>
    <s v="CAD"/>
    <m/>
    <s v="F001-15937"/>
    <m/>
    <d v="2017-11-09T00:00:00"/>
    <s v="CANCELADO"/>
    <s v="CFR"/>
    <m/>
    <x v="22"/>
    <n v="303"/>
    <m/>
    <x v="121"/>
    <x v="0"/>
    <s v="Granel"/>
    <m/>
    <s v="Granel Sólido"/>
    <m/>
    <m/>
    <s v="OCTUBRE"/>
    <x v="0"/>
    <m/>
    <m/>
    <m/>
    <x v="74"/>
    <m/>
    <m/>
    <x v="28"/>
    <n v="11"/>
    <n v="2017"/>
    <x v="0"/>
    <x v="0"/>
    <s v="RIGA / LETONIA"/>
    <x v="0"/>
    <m/>
    <x v="0"/>
    <x v="2"/>
    <d v="2017-10-24T00:00:00"/>
    <s v="MV NORTHERN DANCER"/>
    <x v="49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C"/>
    <x v="0"/>
    <x v="0"/>
    <m/>
    <m/>
    <x v="137"/>
    <m/>
    <x v="129"/>
    <m/>
    <m/>
    <m/>
    <s v="CERRADO"/>
    <n v="206573"/>
    <x v="5"/>
    <x v="6"/>
    <x v="8"/>
    <d v="2017-09-27T00:00:00"/>
    <s v="CAD"/>
    <m/>
    <s v="F001-15939"/>
    <m/>
    <d v="2017-11-09T00:00:00"/>
    <s v="CANCELADO"/>
    <s v="CFR"/>
    <m/>
    <x v="42"/>
    <n v="303"/>
    <m/>
    <x v="122"/>
    <x v="0"/>
    <s v="Granel"/>
    <m/>
    <s v="Granel Sólido"/>
    <m/>
    <m/>
    <s v="OCTUBRE"/>
    <x v="0"/>
    <m/>
    <m/>
    <m/>
    <x v="84"/>
    <m/>
    <m/>
    <x v="78"/>
    <n v="11"/>
    <n v="2017"/>
    <x v="0"/>
    <x v="0"/>
    <s v="RIGA / LETONIA"/>
    <x v="1"/>
    <m/>
    <x v="0"/>
    <x v="11"/>
    <d v="2017-10-24T00:00:00"/>
    <s v="MV NORTHERN DANCER"/>
    <x v="49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C"/>
    <x v="0"/>
    <x v="0"/>
    <m/>
    <m/>
    <x v="138"/>
    <m/>
    <x v="130"/>
    <m/>
    <m/>
    <m/>
    <s v="CERRADO"/>
    <n v="206573"/>
    <x v="5"/>
    <x v="6"/>
    <x v="8"/>
    <d v="2017-09-27T00:00:00"/>
    <s v="CAD"/>
    <m/>
    <s v="F001-15940"/>
    <m/>
    <d v="2017-11-09T00:00:00"/>
    <s v="CANCELADO"/>
    <s v="CFR"/>
    <m/>
    <x v="95"/>
    <n v="303"/>
    <m/>
    <x v="123"/>
    <x v="0"/>
    <s v="Granel"/>
    <m/>
    <s v="Granel Sólido"/>
    <m/>
    <m/>
    <s v="OCTUBRE"/>
    <x v="0"/>
    <m/>
    <m/>
    <m/>
    <x v="61"/>
    <m/>
    <m/>
    <x v="88"/>
    <n v="12"/>
    <n v="2017"/>
    <x v="0"/>
    <x v="0"/>
    <s v="RIGA / LETONIA"/>
    <x v="2"/>
    <m/>
    <x v="0"/>
    <x v="12"/>
    <d v="2017-10-24T00:00:00"/>
    <s v="MV NORTHERN DANCER"/>
    <x v="49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C"/>
    <x v="0"/>
    <x v="0"/>
    <m/>
    <m/>
    <x v="139"/>
    <m/>
    <x v="131"/>
    <m/>
    <m/>
    <m/>
    <s v="CERRADO"/>
    <n v="206573"/>
    <x v="5"/>
    <x v="6"/>
    <x v="8"/>
    <d v="2017-09-27T00:00:00"/>
    <s v="CAD"/>
    <m/>
    <s v="F001-15943"/>
    <m/>
    <d v="2017-11-09T00:00:00"/>
    <s v="CANCELADO"/>
    <s v="CFR"/>
    <m/>
    <x v="35"/>
    <n v="303"/>
    <m/>
    <x v="124"/>
    <x v="0"/>
    <s v="Granel"/>
    <m/>
    <s v="Granel Sólido"/>
    <m/>
    <m/>
    <s v="OCTUBRE"/>
    <x v="0"/>
    <m/>
    <m/>
    <m/>
    <x v="85"/>
    <m/>
    <m/>
    <x v="71"/>
    <n v="12"/>
    <n v="2017"/>
    <x v="0"/>
    <x v="0"/>
    <s v="RIGA / LETONIA"/>
    <x v="3"/>
    <m/>
    <x v="0"/>
    <x v="13"/>
    <d v="2017-10-24T00:00:00"/>
    <s v="MV NORTHERN DANCER"/>
    <x v="49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C"/>
    <x v="0"/>
    <x v="0"/>
    <m/>
    <m/>
    <x v="140"/>
    <m/>
    <x v="132"/>
    <m/>
    <m/>
    <m/>
    <s v="CERRADO"/>
    <n v="206573"/>
    <x v="5"/>
    <x v="6"/>
    <x v="8"/>
    <d v="2017-09-27T00:00:00"/>
    <s v="CAD"/>
    <m/>
    <s v="F001-15942"/>
    <m/>
    <d v="2017-11-09T00:00:00"/>
    <s v="CANCELADO"/>
    <s v="CFR"/>
    <m/>
    <x v="96"/>
    <n v="303"/>
    <m/>
    <x v="125"/>
    <x v="0"/>
    <s v="Granel"/>
    <m/>
    <s v="Granel Sólido"/>
    <m/>
    <m/>
    <s v="OCTUBRE"/>
    <x v="0"/>
    <m/>
    <m/>
    <m/>
    <x v="86"/>
    <m/>
    <m/>
    <x v="89"/>
    <n v="12"/>
    <n v="2017"/>
    <x v="0"/>
    <x v="0"/>
    <s v="RIGA / LETONIA"/>
    <x v="4"/>
    <m/>
    <x v="0"/>
    <x v="14"/>
    <d v="2017-10-24T00:00:00"/>
    <s v="MV NORTHERN DANCER"/>
    <x v="49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141"/>
    <m/>
    <x v="133"/>
    <m/>
    <m/>
    <m/>
    <s v="CERRADO"/>
    <n v="206569"/>
    <x v="14"/>
    <x v="6"/>
    <x v="8"/>
    <d v="2017-09-27T00:00:00"/>
    <s v="CAD"/>
    <m/>
    <s v="F001-15948"/>
    <m/>
    <d v="2017-11-09T00:00:00"/>
    <s v="CANCELADO"/>
    <s v="CFR"/>
    <m/>
    <x v="97"/>
    <n v="385"/>
    <m/>
    <x v="126"/>
    <x v="0"/>
    <s v="Granel"/>
    <m/>
    <s v="Granel Sólido"/>
    <m/>
    <m/>
    <s v="OCTUBRE"/>
    <x v="0"/>
    <m/>
    <m/>
    <m/>
    <x v="74"/>
    <m/>
    <m/>
    <x v="28"/>
    <n v="11"/>
    <n v="2017"/>
    <x v="0"/>
    <x v="0"/>
    <s v="UST-LUGA / RUSIA"/>
    <x v="0"/>
    <m/>
    <x v="0"/>
    <x v="19"/>
    <d v="2017-10-24T00:00:00"/>
    <s v="MV NORTHERN DANCER"/>
    <x v="49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142"/>
    <m/>
    <x v="134"/>
    <m/>
    <m/>
    <m/>
    <s v="CERRADO"/>
    <n v="206569"/>
    <x v="14"/>
    <x v="6"/>
    <x v="8"/>
    <d v="2017-09-27T00:00:00"/>
    <s v="CAD"/>
    <m/>
    <s v="F001-15949"/>
    <m/>
    <d v="2017-11-09T00:00:00"/>
    <s v="CANCELADO"/>
    <s v="CFR"/>
    <m/>
    <x v="4"/>
    <n v="385"/>
    <m/>
    <x v="127"/>
    <x v="0"/>
    <s v="Granel"/>
    <m/>
    <s v="Granel Sólido"/>
    <m/>
    <m/>
    <s v="OCTUBRE"/>
    <x v="0"/>
    <m/>
    <m/>
    <m/>
    <x v="84"/>
    <m/>
    <m/>
    <x v="78"/>
    <n v="11"/>
    <n v="2017"/>
    <x v="0"/>
    <x v="0"/>
    <s v="UST-LUGA / RUSIA"/>
    <x v="1"/>
    <m/>
    <x v="0"/>
    <x v="44"/>
    <d v="2017-10-24T00:00:00"/>
    <s v="MV NORTHERN DANCER"/>
    <x v="49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143"/>
    <m/>
    <x v="135"/>
    <m/>
    <m/>
    <m/>
    <s v="CERRADO"/>
    <n v="206569"/>
    <x v="14"/>
    <x v="6"/>
    <x v="8"/>
    <d v="2017-09-27T00:00:00"/>
    <s v="CAD"/>
    <m/>
    <s v="F001-15950"/>
    <m/>
    <d v="2017-11-09T00:00:00"/>
    <s v="CANCELADO"/>
    <s v="CFR"/>
    <m/>
    <x v="98"/>
    <n v="385"/>
    <m/>
    <x v="128"/>
    <x v="0"/>
    <s v="Granel"/>
    <m/>
    <s v="Granel Sólido"/>
    <m/>
    <m/>
    <s v="OCTUBRE"/>
    <x v="0"/>
    <m/>
    <m/>
    <m/>
    <x v="61"/>
    <m/>
    <m/>
    <x v="88"/>
    <n v="12"/>
    <n v="2017"/>
    <x v="0"/>
    <x v="0"/>
    <s v="UST-LUGA / RUSIA"/>
    <x v="2"/>
    <m/>
    <x v="0"/>
    <x v="20"/>
    <d v="2017-10-24T00:00:00"/>
    <s v="MV NORTHERN DANCER"/>
    <x v="49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144"/>
    <m/>
    <x v="136"/>
    <m/>
    <m/>
    <m/>
    <s v="CERRADO"/>
    <n v="206569"/>
    <x v="14"/>
    <x v="6"/>
    <x v="8"/>
    <d v="2017-09-27T00:00:00"/>
    <s v="CAD"/>
    <m/>
    <s v="F001-15953"/>
    <m/>
    <d v="2017-11-09T00:00:00"/>
    <s v="CANCELADO"/>
    <s v="CFR"/>
    <m/>
    <x v="99"/>
    <n v="385"/>
    <m/>
    <x v="129"/>
    <x v="0"/>
    <s v="Granel"/>
    <m/>
    <s v="Granel Sólido"/>
    <m/>
    <m/>
    <s v="OCTUBRE"/>
    <x v="0"/>
    <m/>
    <m/>
    <m/>
    <x v="85"/>
    <m/>
    <m/>
    <x v="71"/>
    <n v="12"/>
    <n v="2017"/>
    <x v="0"/>
    <x v="0"/>
    <s v="UST-LUGA / RUSIA"/>
    <x v="3"/>
    <m/>
    <x v="0"/>
    <x v="45"/>
    <d v="2017-10-24T00:00:00"/>
    <s v="MV NORTHERN DANCER"/>
    <x v="49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145"/>
    <m/>
    <x v="137"/>
    <m/>
    <m/>
    <m/>
    <s v="CERRADO"/>
    <n v="206569"/>
    <x v="14"/>
    <x v="6"/>
    <x v="8"/>
    <d v="2017-09-27T00:00:00"/>
    <s v="CAD"/>
    <m/>
    <s v="F001-15952"/>
    <m/>
    <d v="2017-11-09T00:00:00"/>
    <s v="CANCELADO"/>
    <s v="CFR"/>
    <m/>
    <x v="100"/>
    <n v="385"/>
    <m/>
    <x v="130"/>
    <x v="0"/>
    <s v="Granel"/>
    <m/>
    <s v="Granel Sólido"/>
    <m/>
    <m/>
    <s v="OCTUBRE"/>
    <x v="0"/>
    <m/>
    <m/>
    <m/>
    <x v="86"/>
    <m/>
    <m/>
    <x v="89"/>
    <n v="12"/>
    <n v="2017"/>
    <x v="0"/>
    <x v="0"/>
    <s v="UST-LUGA / RUSIA"/>
    <x v="4"/>
    <m/>
    <x v="0"/>
    <x v="1"/>
    <d v="2017-10-24T00:00:00"/>
    <s v="MV NORTHERN DANCER"/>
    <x v="49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C"/>
    <x v="0"/>
    <x v="0"/>
    <m/>
    <m/>
    <x v="146"/>
    <m/>
    <x v="138"/>
    <m/>
    <m/>
    <m/>
    <s v="CERRADO"/>
    <n v="209975"/>
    <x v="27"/>
    <x v="20"/>
    <x v="16"/>
    <m/>
    <s v="CAD"/>
    <m/>
    <s v="000013"/>
    <m/>
    <d v="2017-10-09T00:00:00"/>
    <s v="CANCELADO"/>
    <s v="CFR"/>
    <m/>
    <x v="101"/>
    <n v="760"/>
    <m/>
    <x v="131"/>
    <x v="0"/>
    <s v="Contenedor 20'"/>
    <m/>
    <s v="Bigbag"/>
    <m/>
    <m/>
    <s v="OCTUBRE"/>
    <x v="0"/>
    <m/>
    <m/>
    <m/>
    <x v="87"/>
    <m/>
    <m/>
    <x v="90"/>
    <n v="10"/>
    <n v="2017"/>
    <x v="0"/>
    <x v="0"/>
    <s v="IQUIQUE / CHILE"/>
    <x v="2"/>
    <m/>
    <x v="0"/>
    <x v="113"/>
    <d v="2017-10-06T00:00:00"/>
    <s v="MERIDIAN"/>
    <x v="15"/>
    <x v="11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E-S"/>
    <x v="0"/>
    <x v="0"/>
    <m/>
    <m/>
    <x v="147"/>
    <m/>
    <x v="139"/>
    <m/>
    <m/>
    <m/>
    <s v="CERRADO"/>
    <n v="204207"/>
    <x v="33"/>
    <x v="23"/>
    <x v="78"/>
    <d v="2017-09-25T00:00:00"/>
    <n v="90"/>
    <s v="días BL"/>
    <n v="201752573"/>
    <m/>
    <d v="2018-01-18T00:00:00"/>
    <s v="CANCELADO"/>
    <s v="CIF"/>
    <m/>
    <x v="102"/>
    <n v="1255"/>
    <m/>
    <x v="132"/>
    <x v="0"/>
    <s v="Contenedor 20'"/>
    <m/>
    <s v="25 kg"/>
    <m/>
    <m/>
    <s v="OCTUBRE"/>
    <x v="0"/>
    <m/>
    <m/>
    <m/>
    <x v="88"/>
    <m/>
    <m/>
    <x v="91"/>
    <n v="12"/>
    <n v="2017"/>
    <x v="0"/>
    <x v="0"/>
    <s v="ASDOD / ISRAEL"/>
    <x v="2"/>
    <m/>
    <x v="0"/>
    <x v="114"/>
    <d v="2017-10-20T00:00:00"/>
    <s v="SEAGO PIRAEUS"/>
    <x v="39"/>
    <x v="6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E-S"/>
    <x v="0"/>
    <x v="0"/>
    <m/>
    <m/>
    <x v="148"/>
    <m/>
    <x v="140"/>
    <m/>
    <m/>
    <m/>
    <s v="CERRADO"/>
    <n v="204207"/>
    <x v="33"/>
    <x v="23"/>
    <x v="79"/>
    <d v="2017-09-25T00:00:00"/>
    <n v="90"/>
    <s v="días BL"/>
    <n v="201752610"/>
    <m/>
    <d v="2018-01-25T00:00:00"/>
    <s v="CANCELADO"/>
    <s v="CIF"/>
    <m/>
    <x v="103"/>
    <n v="1255"/>
    <m/>
    <x v="133"/>
    <x v="0"/>
    <s v="Contenedor 20'"/>
    <m/>
    <s v="25 kg"/>
    <m/>
    <m/>
    <s v="OCTUBRE"/>
    <x v="0"/>
    <m/>
    <m/>
    <m/>
    <x v="89"/>
    <m/>
    <m/>
    <x v="92"/>
    <n v="12"/>
    <n v="2017"/>
    <x v="0"/>
    <x v="0"/>
    <s v="ASDOD / ISRAEL"/>
    <x v="0"/>
    <m/>
    <x v="0"/>
    <x v="115"/>
    <d v="2017-10-27T00:00:00"/>
    <s v="SEAGO ISTANBUL"/>
    <x v="30"/>
    <x v="6"/>
    <m/>
    <m/>
    <m/>
    <m/>
    <m/>
    <m/>
    <x v="0"/>
    <d v="2017-12-22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E-S"/>
    <x v="0"/>
    <x v="0"/>
    <m/>
    <m/>
    <x v="149"/>
    <m/>
    <x v="141"/>
    <m/>
    <m/>
    <m/>
    <s v="CERRADO"/>
    <n v="204207"/>
    <x v="33"/>
    <x v="23"/>
    <x v="80"/>
    <d v="2017-09-25T00:00:00"/>
    <n v="90"/>
    <s v="días BL"/>
    <n v="201752921"/>
    <m/>
    <d v="2018-03-14T00:00:00"/>
    <s v="CANCELADO"/>
    <s v="CIF"/>
    <m/>
    <x v="104"/>
    <n v="1255"/>
    <m/>
    <x v="134"/>
    <x v="1"/>
    <s v="Contenedor 20'"/>
    <m/>
    <s v="25 kg"/>
    <m/>
    <m/>
    <s v="DICIEMBRE "/>
    <x v="0"/>
    <m/>
    <m/>
    <m/>
    <x v="90"/>
    <m/>
    <m/>
    <x v="93"/>
    <n v="1"/>
    <n v="2018"/>
    <x v="0"/>
    <x v="0"/>
    <s v="ASDOD / ISRAEL"/>
    <x v="2"/>
    <m/>
    <x v="0"/>
    <x v="116"/>
    <d v="2017-12-08T00:00:00"/>
    <s v="SEAGO FELIXSTOWE"/>
    <x v="50"/>
    <x v="6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E-S"/>
    <x v="0"/>
    <x v="0"/>
    <m/>
    <m/>
    <x v="150"/>
    <m/>
    <x v="142"/>
    <m/>
    <m/>
    <m/>
    <s v="CERRADO"/>
    <n v="204207"/>
    <x v="33"/>
    <x v="23"/>
    <x v="16"/>
    <d v="2017-09-25T00:00:00"/>
    <n v="150"/>
    <s v="días BL"/>
    <n v="201752710"/>
    <m/>
    <d v="2018-04-02T00:00:00"/>
    <s v="CANCELADO"/>
    <s v="CIF"/>
    <m/>
    <x v="105"/>
    <n v="1255"/>
    <m/>
    <x v="135"/>
    <x v="1"/>
    <s v="Contenedor 20'"/>
    <m/>
    <s v="25 kg"/>
    <m/>
    <m/>
    <s v="NOVIEMBRE '17"/>
    <x v="0"/>
    <m/>
    <m/>
    <m/>
    <x v="91"/>
    <m/>
    <m/>
    <x v="85"/>
    <n v="12"/>
    <n v="2017"/>
    <x v="0"/>
    <x v="0"/>
    <s v="ASDOD / ISRAEL"/>
    <x v="0"/>
    <m/>
    <x v="0"/>
    <x v="117"/>
    <d v="2017-11-03T00:00:00"/>
    <s v="SEAGO FELIXSTOWE"/>
    <x v="51"/>
    <x v="6"/>
    <m/>
    <m/>
    <m/>
    <m/>
    <m/>
    <m/>
    <x v="0"/>
    <d v="2018-01-08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151"/>
    <m/>
    <x v="143"/>
    <m/>
    <m/>
    <m/>
    <s v="CERRADO"/>
    <n v="203616"/>
    <x v="34"/>
    <x v="12"/>
    <x v="81"/>
    <d v="2017-09-28T00:00:00"/>
    <s v="CAD"/>
    <m/>
    <s v="I435032A"/>
    <m/>
    <d v="2017-11-13T00:00:00"/>
    <s v="CANCELADO"/>
    <s v="CFR"/>
    <m/>
    <x v="106"/>
    <n v="150"/>
    <m/>
    <x v="136"/>
    <x v="0"/>
    <s v="Granel"/>
    <m/>
    <s v="Granel Sólido"/>
    <m/>
    <m/>
    <s v="OCTUBRE"/>
    <x v="0"/>
    <m/>
    <m/>
    <m/>
    <x v="84"/>
    <m/>
    <m/>
    <x v="94"/>
    <n v="11"/>
    <n v="2017"/>
    <x v="0"/>
    <x v="0"/>
    <s v="NANJING / CHINA"/>
    <x v="0"/>
    <m/>
    <x v="0"/>
    <x v="118"/>
    <d v="2017-10-20T00:00:00"/>
    <s v="MV SUPERNOVA"/>
    <x v="52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152"/>
    <m/>
    <x v="144"/>
    <m/>
    <m/>
    <m/>
    <s v="CERRADO"/>
    <n v="203616"/>
    <x v="34"/>
    <x v="12"/>
    <x v="81"/>
    <d v="2017-09-28T00:00:00"/>
    <s v="CAD"/>
    <m/>
    <s v="I435032B"/>
    <m/>
    <d v="2017-11-13T00:00:00"/>
    <s v="CANCELADO"/>
    <s v="CFR"/>
    <m/>
    <x v="94"/>
    <n v="150"/>
    <m/>
    <x v="137"/>
    <x v="0"/>
    <s v="Granel"/>
    <m/>
    <s v="Granel Sólido"/>
    <m/>
    <m/>
    <s v="OCTUBRE"/>
    <x v="0"/>
    <m/>
    <m/>
    <m/>
    <x v="92"/>
    <m/>
    <m/>
    <x v="95"/>
    <n v="11"/>
    <n v="2017"/>
    <x v="0"/>
    <x v="0"/>
    <s v="NANJING / CHINA"/>
    <x v="1"/>
    <m/>
    <x v="0"/>
    <x v="119"/>
    <d v="2017-10-20T00:00:00"/>
    <s v="MV SUPERNOVA"/>
    <x v="52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153"/>
    <m/>
    <x v="145"/>
    <m/>
    <m/>
    <m/>
    <s v="CERRADO"/>
    <n v="203616"/>
    <x v="34"/>
    <x v="12"/>
    <x v="81"/>
    <d v="2017-09-28T00:00:00"/>
    <s v="CAD"/>
    <m/>
    <s v="I435032C"/>
    <m/>
    <d v="2017-11-13T00:00:00"/>
    <s v="CANCELADO"/>
    <s v="CFR"/>
    <m/>
    <x v="12"/>
    <n v="150"/>
    <m/>
    <x v="138"/>
    <x v="0"/>
    <s v="Granel"/>
    <m/>
    <s v="Granel Sólido"/>
    <m/>
    <m/>
    <s v="OCTUBRE"/>
    <x v="0"/>
    <m/>
    <m/>
    <m/>
    <x v="85"/>
    <m/>
    <m/>
    <x v="88"/>
    <n v="12"/>
    <n v="2017"/>
    <x v="0"/>
    <x v="0"/>
    <s v="NANJING / CHINA"/>
    <x v="2"/>
    <m/>
    <x v="0"/>
    <x v="120"/>
    <d v="2017-10-20T00:00:00"/>
    <s v="MV SUPERNOVA"/>
    <x v="52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154"/>
    <m/>
    <x v="146"/>
    <m/>
    <m/>
    <m/>
    <s v="CERRADO"/>
    <n v="203616"/>
    <x v="34"/>
    <x v="12"/>
    <x v="81"/>
    <d v="2017-09-28T00:00:00"/>
    <s v="CAD"/>
    <m/>
    <s v="I435032D"/>
    <m/>
    <d v="2017-11-13T00:00:00"/>
    <s v="CANCELADO"/>
    <s v="CFR"/>
    <m/>
    <x v="8"/>
    <n v="150"/>
    <m/>
    <x v="139"/>
    <x v="0"/>
    <s v="Granel"/>
    <m/>
    <s v="Granel Sólido"/>
    <m/>
    <m/>
    <s v="OCTUBRE"/>
    <x v="0"/>
    <m/>
    <m/>
    <m/>
    <x v="86"/>
    <m/>
    <m/>
    <x v="64"/>
    <n v="12"/>
    <n v="2017"/>
    <x v="0"/>
    <x v="0"/>
    <s v="NANJING / CHINA"/>
    <x v="4"/>
    <m/>
    <x v="0"/>
    <x v="121"/>
    <d v="2017-10-20T00:00:00"/>
    <s v="MV SUPERNOVA"/>
    <x v="52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C"/>
    <x v="0"/>
    <x v="0"/>
    <m/>
    <m/>
    <x v="155"/>
    <m/>
    <x v="147"/>
    <m/>
    <m/>
    <m/>
    <s v="CERRADO"/>
    <n v="209975"/>
    <x v="27"/>
    <x v="20"/>
    <x v="16"/>
    <m/>
    <s v="CAD"/>
    <m/>
    <s v="000014"/>
    <m/>
    <d v="2017-10-26T00:00:00"/>
    <s v="CANCELADO"/>
    <s v="CFR"/>
    <m/>
    <x v="10"/>
    <n v="760"/>
    <m/>
    <x v="140"/>
    <x v="0"/>
    <s v="Contenedor 20'"/>
    <m/>
    <s v="Bigbag"/>
    <m/>
    <m/>
    <s v="OCTUBRE"/>
    <x v="0"/>
    <m/>
    <m/>
    <m/>
    <x v="93"/>
    <m/>
    <m/>
    <x v="96"/>
    <n v="10"/>
    <n v="2017"/>
    <x v="0"/>
    <x v="0"/>
    <s v="IQUIQUE / CHILE"/>
    <x v="2"/>
    <m/>
    <x v="0"/>
    <x v="122"/>
    <d v="2017-10-20T00:00:00"/>
    <s v="KIEL TRADER"/>
    <x v="15"/>
    <x v="11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E-S"/>
    <x v="0"/>
    <x v="0"/>
    <m/>
    <m/>
    <x v="156"/>
    <m/>
    <x v="148"/>
    <m/>
    <m/>
    <m/>
    <s v="CERRADO"/>
    <n v="204378"/>
    <x v="35"/>
    <x v="4"/>
    <x v="82"/>
    <m/>
    <n v="90"/>
    <s v="días BL"/>
    <s v="I35909"/>
    <m/>
    <d v="2018-02-21T00:00:00"/>
    <s v="CANCELADO"/>
    <s v="CFR"/>
    <m/>
    <x v="107"/>
    <n v="2352.753087100331"/>
    <m/>
    <x v="141"/>
    <x v="17"/>
    <s v="Contenedor 20'"/>
    <m/>
    <s v="50 Lb"/>
    <m/>
    <m/>
    <s v="NOVIEMBRE '17"/>
    <x v="0"/>
    <m/>
    <m/>
    <m/>
    <x v="63"/>
    <m/>
    <m/>
    <x v="77"/>
    <n v="12"/>
    <n v="2017"/>
    <x v="0"/>
    <x v="0"/>
    <s v="CHARLESTON / USA"/>
    <x v="2"/>
    <m/>
    <x v="0"/>
    <x v="123"/>
    <d v="2017-11-23T00:00:00"/>
    <s v="MSC BARCELONA"/>
    <x v="15"/>
    <x v="13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E-S"/>
    <x v="0"/>
    <x v="0"/>
    <m/>
    <m/>
    <x v="157"/>
    <m/>
    <x v="148"/>
    <m/>
    <m/>
    <m/>
    <s v="CERRADO"/>
    <n v="204377"/>
    <x v="36"/>
    <x v="4"/>
    <x v="82"/>
    <m/>
    <n v="90"/>
    <s v="días BL"/>
    <s v="I35909"/>
    <m/>
    <d v="2018-02-21T00:00:00"/>
    <s v="CANCELADO"/>
    <s v="CFR"/>
    <m/>
    <x v="108"/>
    <n v="2378.7730871003309"/>
    <m/>
    <x v="142"/>
    <x v="17"/>
    <s v="Contenedor 20'"/>
    <m/>
    <s v="50 Lb"/>
    <m/>
    <m/>
    <s v="NOVIEMBRE '17"/>
    <x v="0"/>
    <m/>
    <m/>
    <m/>
    <x v="63"/>
    <m/>
    <m/>
    <x v="77"/>
    <n v="12"/>
    <n v="2017"/>
    <x v="0"/>
    <x v="0"/>
    <s v="CHARLESTON / USA"/>
    <x v="2"/>
    <m/>
    <x v="0"/>
    <x v="123"/>
    <d v="2017-11-23T00:00:00"/>
    <s v="MSC BARCELONA"/>
    <x v="15"/>
    <x v="13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E-S"/>
    <x v="0"/>
    <x v="0"/>
    <m/>
    <m/>
    <x v="158"/>
    <m/>
    <x v="148"/>
    <m/>
    <m/>
    <m/>
    <s v="CERRADO"/>
    <n v="204379"/>
    <x v="37"/>
    <x v="4"/>
    <x v="82"/>
    <m/>
    <n v="90"/>
    <s v="días BL"/>
    <s v="I35909"/>
    <m/>
    <d v="2018-02-21T00:00:00"/>
    <s v="CANCELADO"/>
    <s v="CFR"/>
    <m/>
    <x v="108"/>
    <n v="2261.463087100331"/>
    <m/>
    <x v="143"/>
    <x v="17"/>
    <s v="Contenedor 20'"/>
    <m/>
    <s v="50 Lb"/>
    <m/>
    <m/>
    <s v="NOVIEMBRE '17"/>
    <x v="0"/>
    <m/>
    <m/>
    <m/>
    <x v="63"/>
    <m/>
    <m/>
    <x v="77"/>
    <n v="12"/>
    <n v="2017"/>
    <x v="0"/>
    <x v="0"/>
    <s v="CHARLESTON / USA"/>
    <x v="2"/>
    <m/>
    <x v="0"/>
    <x v="123"/>
    <d v="2017-11-23T00:00:00"/>
    <s v="MSC BARCELONA"/>
    <x v="15"/>
    <x v="13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E-S"/>
    <x v="0"/>
    <x v="0"/>
    <m/>
    <m/>
    <x v="159"/>
    <m/>
    <x v="149"/>
    <m/>
    <m/>
    <m/>
    <s v="CERRADO"/>
    <n v="207522"/>
    <x v="11"/>
    <x v="10"/>
    <x v="83"/>
    <d v="2017-09-28T00:00:00"/>
    <n v="90"/>
    <s v="días BL"/>
    <n v="300003899"/>
    <m/>
    <d v="2018-02-21T00:00:00"/>
    <s v="CANCELADO"/>
    <s v="CFR"/>
    <m/>
    <x v="109"/>
    <n v="230"/>
    <m/>
    <x v="144"/>
    <x v="9"/>
    <s v="Contenedor 20'"/>
    <m/>
    <s v="Granel Sólido"/>
    <m/>
    <m/>
    <s v="NOVIEMBRE '17"/>
    <x v="0"/>
    <m/>
    <m/>
    <m/>
    <x v="94"/>
    <m/>
    <m/>
    <x v="68"/>
    <n v="12"/>
    <n v="2017"/>
    <x v="0"/>
    <x v="0"/>
    <s v="AMBERES / BELGICA"/>
    <x v="2"/>
    <m/>
    <x v="0"/>
    <x v="124"/>
    <d v="2017-11-23T00:00:00"/>
    <s v="VALPARAISO EXPRESS"/>
    <x v="30"/>
    <x v="2"/>
    <m/>
    <m/>
    <m/>
    <m/>
    <m/>
    <m/>
    <x v="0"/>
    <d v="2017-12-29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E-S"/>
    <x v="0"/>
    <x v="0"/>
    <m/>
    <m/>
    <x v="160"/>
    <m/>
    <x v="150"/>
    <m/>
    <m/>
    <m/>
    <s v="CERRADO"/>
    <n v="207522"/>
    <x v="11"/>
    <x v="10"/>
    <x v="83"/>
    <d v="2017-09-28T00:00:00"/>
    <n v="90"/>
    <s v="días BL"/>
    <n v="300003900"/>
    <m/>
    <d v="2018-02-21T00:00:00"/>
    <s v="CANCELADO"/>
    <s v="CFR"/>
    <m/>
    <x v="110"/>
    <n v="230"/>
    <m/>
    <x v="145"/>
    <x v="9"/>
    <s v="Contenedor 20'"/>
    <m/>
    <s v="Granel Sólido"/>
    <m/>
    <m/>
    <s v="NOVIEMBRE '17"/>
    <x v="0"/>
    <m/>
    <m/>
    <m/>
    <x v="95"/>
    <m/>
    <m/>
    <x v="92"/>
    <n v="12"/>
    <n v="2017"/>
    <x v="0"/>
    <x v="0"/>
    <s v="AMBERES / BELGICA"/>
    <x v="0"/>
    <m/>
    <x v="0"/>
    <x v="125"/>
    <d v="2017-11-23T00:00:00"/>
    <s v="VALPARAISO EXPRESS"/>
    <x v="10"/>
    <x v="2"/>
    <m/>
    <m/>
    <m/>
    <m/>
    <m/>
    <m/>
    <x v="0"/>
    <d v="2017-12-31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E-S"/>
    <x v="0"/>
    <x v="0"/>
    <m/>
    <m/>
    <x v="161"/>
    <m/>
    <x v="34"/>
    <m/>
    <m/>
    <m/>
    <m/>
    <n v="207522"/>
    <x v="11"/>
    <x v="10"/>
    <x v="83"/>
    <d v="2017-09-28T00:00:00"/>
    <s v="CAD"/>
    <m/>
    <n v="300004820"/>
    <m/>
    <d v="2017-12-22T00:00:00"/>
    <s v="CANCELADO"/>
    <s v="CFR"/>
    <m/>
    <x v="110"/>
    <n v="230"/>
    <m/>
    <x v="145"/>
    <x v="9"/>
    <s v="Contenedor 20'"/>
    <m/>
    <s v="Granel Sólido"/>
    <m/>
    <m/>
    <s v="DICIEMBRE"/>
    <x v="0"/>
    <m/>
    <m/>
    <m/>
    <x v="96"/>
    <m/>
    <m/>
    <x v="97"/>
    <n v="1"/>
    <n v="2018"/>
    <x v="0"/>
    <x v="0"/>
    <s v="AMBERES / BELGICA"/>
    <x v="2"/>
    <m/>
    <x v="0"/>
    <x v="126"/>
    <d v="2017-12-14T00:00:00"/>
    <s v="CAP SAN TAINARO"/>
    <x v="20"/>
    <x v="2"/>
    <m/>
    <m/>
    <m/>
    <m/>
    <m/>
    <m/>
    <x v="0"/>
    <d v="2018-01-19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E-S"/>
    <x v="0"/>
    <x v="0"/>
    <m/>
    <m/>
    <x v="162"/>
    <m/>
    <x v="34"/>
    <m/>
    <m/>
    <m/>
    <m/>
    <n v="207522"/>
    <x v="11"/>
    <x v="10"/>
    <x v="83"/>
    <d v="2017-09-28T00:00:00"/>
    <s v="CAD"/>
    <m/>
    <n v="300005261"/>
    <m/>
    <d v="2018-01-11T00:00:00"/>
    <s v="CANCELADO"/>
    <s v="CFR"/>
    <m/>
    <x v="111"/>
    <n v="230"/>
    <m/>
    <x v="146"/>
    <x v="9"/>
    <s v="Contenedor 20'"/>
    <m/>
    <s v="Granel Sólido"/>
    <m/>
    <m/>
    <s v="DICIEMBRE"/>
    <x v="0"/>
    <m/>
    <m/>
    <m/>
    <x v="97"/>
    <m/>
    <m/>
    <x v="98"/>
    <n v="2"/>
    <n v="2018"/>
    <x v="0"/>
    <x v="0"/>
    <s v="AMBERES / BELGICA"/>
    <x v="0"/>
    <m/>
    <x v="0"/>
    <x v="127"/>
    <d v="2018-01-03T00:00:00"/>
    <s v="CMA CGM NIAGARA"/>
    <x v="45"/>
    <x v="2"/>
    <m/>
    <m/>
    <m/>
    <m/>
    <m/>
    <m/>
    <x v="0"/>
    <d v="2018-02-14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E-S"/>
    <x v="0"/>
    <x v="0"/>
    <m/>
    <m/>
    <x v="163"/>
    <m/>
    <x v="34"/>
    <m/>
    <m/>
    <m/>
    <m/>
    <n v="207522"/>
    <x v="11"/>
    <x v="10"/>
    <x v="83"/>
    <d v="2017-09-28T00:00:00"/>
    <s v="CAD"/>
    <m/>
    <n v="301000027"/>
    <m/>
    <d v="2018-01-31T00:00:00"/>
    <s v="CANCELADO"/>
    <s v="CFR"/>
    <m/>
    <x v="79"/>
    <n v="230"/>
    <m/>
    <x v="147"/>
    <x v="5"/>
    <s v="Contenedor 20'"/>
    <m/>
    <s v="Granel Sólido"/>
    <m/>
    <m/>
    <s v="ENERO"/>
    <x v="0"/>
    <m/>
    <m/>
    <m/>
    <x v="98"/>
    <m/>
    <m/>
    <x v="99"/>
    <n v="2"/>
    <n v="2018"/>
    <x v="0"/>
    <x v="0"/>
    <s v="AMBERES / BELGICA"/>
    <x v="2"/>
    <m/>
    <x v="0"/>
    <x v="128"/>
    <d v="2018-01-31T00:00:00"/>
    <s v="CAP SAN SOUNIO"/>
    <x v="51"/>
    <x v="2"/>
    <m/>
    <m/>
    <m/>
    <m/>
    <m/>
    <m/>
    <x v="0"/>
    <d v="2018-03-09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E-S"/>
    <x v="0"/>
    <x v="0"/>
    <m/>
    <m/>
    <x v="164"/>
    <m/>
    <x v="34"/>
    <m/>
    <m/>
    <m/>
    <m/>
    <n v="207522"/>
    <x v="11"/>
    <x v="10"/>
    <x v="83"/>
    <d v="2017-09-28T00:00:00"/>
    <s v="CAD"/>
    <m/>
    <n v="301000026"/>
    <m/>
    <d v="2018-01-31T00:00:00"/>
    <s v="CANCELADO"/>
    <s v="CFR"/>
    <m/>
    <x v="112"/>
    <n v="230"/>
    <m/>
    <x v="148"/>
    <x v="5"/>
    <s v="Contenedor 20'"/>
    <m/>
    <s v="Granel Sólido"/>
    <m/>
    <m/>
    <s v="ENERO"/>
    <x v="0"/>
    <m/>
    <m/>
    <m/>
    <x v="77"/>
    <m/>
    <m/>
    <x v="99"/>
    <n v="2"/>
    <n v="2018"/>
    <x v="0"/>
    <x v="0"/>
    <s v="AMBERES / BELGICA"/>
    <x v="0"/>
    <m/>
    <x v="0"/>
    <x v="129"/>
    <d v="2018-01-31T00:00:00"/>
    <s v="CAP SAN SOUNIO"/>
    <x v="45"/>
    <x v="2"/>
    <m/>
    <m/>
    <m/>
    <m/>
    <m/>
    <m/>
    <x v="0"/>
    <d v="2018-03-12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S"/>
    <x v="0"/>
    <x v="0"/>
    <m/>
    <m/>
    <x v="165"/>
    <m/>
    <x v="34"/>
    <m/>
    <m/>
    <m/>
    <m/>
    <n v="206971"/>
    <x v="3"/>
    <x v="14"/>
    <x v="74"/>
    <d v="2017-09-22T00:00:00"/>
    <s v="CAD"/>
    <m/>
    <n v="17110020"/>
    <m/>
    <d v="2017-11-22T00:00:00"/>
    <s v="CANCELADO"/>
    <s v="CIF"/>
    <m/>
    <x v="70"/>
    <n v="510"/>
    <m/>
    <x v="117"/>
    <x v="19"/>
    <s v="Contenedor 20'"/>
    <m/>
    <s v="25 kg"/>
    <m/>
    <m/>
    <s v="NOVIEMBRE '17"/>
    <x v="0"/>
    <m/>
    <m/>
    <m/>
    <x v="99"/>
    <m/>
    <m/>
    <x v="100"/>
    <n v="1"/>
    <n v="2018"/>
    <x v="0"/>
    <x v="0"/>
    <s v="NHAVA / INDIA"/>
    <x v="0"/>
    <m/>
    <x v="0"/>
    <x v="130"/>
    <d v="2017-11-08T00:00:00"/>
    <s v="MSC SOLA "/>
    <x v="53"/>
    <x v="4"/>
    <m/>
    <m/>
    <m/>
    <m/>
    <m/>
    <m/>
    <x v="0"/>
    <d v="2018-01-24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C"/>
    <x v="0"/>
    <x v="0"/>
    <m/>
    <m/>
    <x v="166"/>
    <m/>
    <x v="34"/>
    <m/>
    <m/>
    <m/>
    <m/>
    <n v="206573"/>
    <x v="5"/>
    <x v="6"/>
    <x v="8"/>
    <d v="2017-11-03T00:00:00"/>
    <s v="CAD"/>
    <m/>
    <s v="F001-17242"/>
    <m/>
    <d v="2017-12-22T00:00:00"/>
    <s v="CANCELADO"/>
    <s v="CFR"/>
    <m/>
    <x v="11"/>
    <n v="307.5"/>
    <m/>
    <x v="149"/>
    <x v="0"/>
    <s v="Granel"/>
    <m/>
    <s v="Granel Sólido"/>
    <m/>
    <m/>
    <s v="DICIEMBRE"/>
    <x v="0"/>
    <m/>
    <m/>
    <m/>
    <x v="100"/>
    <m/>
    <m/>
    <x v="101"/>
    <n v="1"/>
    <n v="2018"/>
    <x v="0"/>
    <x v="0"/>
    <s v="RIGA / LETONIA"/>
    <x v="0"/>
    <m/>
    <x v="0"/>
    <x v="13"/>
    <d v="2017-12-09T00:00:00"/>
    <s v="MV BLUEBILL"/>
    <x v="5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C"/>
    <x v="0"/>
    <x v="0"/>
    <m/>
    <m/>
    <x v="167"/>
    <m/>
    <x v="34"/>
    <m/>
    <m/>
    <m/>
    <m/>
    <n v="206573"/>
    <x v="5"/>
    <x v="6"/>
    <x v="8"/>
    <d v="2017-11-03T00:00:00"/>
    <s v="CAD"/>
    <m/>
    <s v="F001-17243"/>
    <m/>
    <d v="2017-12-22T00:00:00"/>
    <s v="CANCELADO"/>
    <s v="CFR"/>
    <m/>
    <x v="15"/>
    <n v="307.5"/>
    <m/>
    <x v="150"/>
    <x v="0"/>
    <s v="Granel"/>
    <m/>
    <s v="Granel Sólido"/>
    <m/>
    <m/>
    <s v="DICIEMBRE"/>
    <x v="0"/>
    <m/>
    <m/>
    <m/>
    <x v="101"/>
    <m/>
    <m/>
    <x v="100"/>
    <n v="1"/>
    <n v="2018"/>
    <x v="0"/>
    <x v="0"/>
    <s v="RIGA / LETONIA"/>
    <x v="1"/>
    <m/>
    <x v="0"/>
    <x v="14"/>
    <d v="2017-12-09T00:00:00"/>
    <s v="MV BLUEBILL"/>
    <x v="5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C"/>
    <x v="0"/>
    <x v="0"/>
    <m/>
    <m/>
    <x v="168"/>
    <m/>
    <x v="34"/>
    <m/>
    <m/>
    <m/>
    <m/>
    <n v="206573"/>
    <x v="5"/>
    <x v="6"/>
    <x v="8"/>
    <d v="2017-11-03T00:00:00"/>
    <s v="CAD"/>
    <m/>
    <s v="F001-17245"/>
    <m/>
    <d v="2017-12-22T00:00:00"/>
    <s v="CANCELADO"/>
    <s v="CFR"/>
    <m/>
    <x v="15"/>
    <n v="307.5"/>
    <m/>
    <x v="150"/>
    <x v="0"/>
    <s v="Granel"/>
    <m/>
    <s v="Granel Sólido"/>
    <m/>
    <m/>
    <s v="DICIEMBRE"/>
    <x v="0"/>
    <m/>
    <m/>
    <m/>
    <x v="102"/>
    <m/>
    <m/>
    <x v="102"/>
    <n v="1"/>
    <n v="2018"/>
    <x v="0"/>
    <x v="0"/>
    <s v="RIGA / LETONIA"/>
    <x v="2"/>
    <m/>
    <x v="0"/>
    <x v="131"/>
    <d v="2017-12-09T00:00:00"/>
    <s v="MV BLUEBILL"/>
    <x v="5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C"/>
    <x v="0"/>
    <x v="0"/>
    <m/>
    <m/>
    <x v="169"/>
    <m/>
    <x v="34"/>
    <m/>
    <m/>
    <m/>
    <m/>
    <n v="206573"/>
    <x v="5"/>
    <x v="6"/>
    <x v="8"/>
    <d v="2017-11-03T00:00:00"/>
    <s v="CAD"/>
    <m/>
    <s v="F001-17246"/>
    <m/>
    <d v="2017-12-22T00:00:00"/>
    <s v="CANCELADO"/>
    <s v="CFR"/>
    <m/>
    <x v="13"/>
    <n v="307.5"/>
    <m/>
    <x v="151"/>
    <x v="0"/>
    <s v="Granel"/>
    <m/>
    <s v="Granel Sólido"/>
    <m/>
    <m/>
    <s v="DICIEMBRE"/>
    <x v="0"/>
    <m/>
    <m/>
    <m/>
    <x v="78"/>
    <m/>
    <m/>
    <x v="103"/>
    <n v="1"/>
    <n v="2018"/>
    <x v="0"/>
    <x v="0"/>
    <s v="RIGA / LETONIA"/>
    <x v="3"/>
    <m/>
    <x v="0"/>
    <x v="132"/>
    <d v="2017-12-09T00:00:00"/>
    <s v="MV BLUEBILL"/>
    <x v="5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C"/>
    <x v="0"/>
    <x v="0"/>
    <m/>
    <m/>
    <x v="170"/>
    <m/>
    <x v="34"/>
    <m/>
    <m/>
    <m/>
    <m/>
    <n v="206573"/>
    <x v="5"/>
    <x v="6"/>
    <x v="8"/>
    <d v="2017-11-03T00:00:00"/>
    <s v="CAD"/>
    <m/>
    <s v="F001-17247"/>
    <m/>
    <d v="2017-12-22T00:00:00"/>
    <s v="CANCELADO"/>
    <s v="CFR"/>
    <m/>
    <x v="15"/>
    <n v="307.5"/>
    <m/>
    <x v="150"/>
    <x v="0"/>
    <s v="Granel"/>
    <m/>
    <s v="Granel Sólido"/>
    <m/>
    <m/>
    <s v="DICIEMBRE"/>
    <x v="0"/>
    <m/>
    <m/>
    <m/>
    <x v="103"/>
    <m/>
    <m/>
    <x v="104"/>
    <n v="1"/>
    <n v="2018"/>
    <x v="0"/>
    <x v="0"/>
    <s v="RIGA / LETONIA"/>
    <x v="4"/>
    <m/>
    <x v="0"/>
    <x v="15"/>
    <d v="2017-12-09T00:00:00"/>
    <s v="MV BLUEBILL"/>
    <x v="5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171"/>
    <m/>
    <x v="34"/>
    <m/>
    <m/>
    <m/>
    <m/>
    <n v="207951"/>
    <x v="6"/>
    <x v="6"/>
    <x v="8"/>
    <d v="2017-11-03T00:00:00"/>
    <s v="CAD"/>
    <m/>
    <s v="F001-17264"/>
    <m/>
    <d v="2017-12-22T00:00:00"/>
    <s v="CANCELADO"/>
    <s v="CFR"/>
    <m/>
    <x v="15"/>
    <n v="318.25"/>
    <m/>
    <x v="152"/>
    <x v="0"/>
    <s v="Granel"/>
    <m/>
    <s v="Granel Sólido"/>
    <m/>
    <m/>
    <s v="DICIEMBRE"/>
    <x v="0"/>
    <m/>
    <m/>
    <m/>
    <x v="100"/>
    <m/>
    <m/>
    <x v="101"/>
    <n v="1"/>
    <n v="2018"/>
    <x v="0"/>
    <x v="0"/>
    <s v="RIGA / LETONIA"/>
    <x v="0"/>
    <m/>
    <x v="0"/>
    <x v="19"/>
    <d v="2017-12-09T00:00:00"/>
    <s v="MV BLUEBILL"/>
    <x v="5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172"/>
    <m/>
    <x v="34"/>
    <m/>
    <m/>
    <m/>
    <m/>
    <n v="207951"/>
    <x v="6"/>
    <x v="6"/>
    <x v="8"/>
    <d v="2017-11-03T00:00:00"/>
    <s v="CAD"/>
    <m/>
    <s v="F001-17265"/>
    <m/>
    <d v="2017-12-22T00:00:00"/>
    <s v="CANCELADO"/>
    <s v="CFR"/>
    <m/>
    <x v="4"/>
    <n v="318.25"/>
    <m/>
    <x v="153"/>
    <x v="0"/>
    <s v="Granel"/>
    <m/>
    <s v="Granel Sólido"/>
    <m/>
    <m/>
    <s v="DICIEMBRE"/>
    <x v="0"/>
    <m/>
    <m/>
    <m/>
    <x v="101"/>
    <m/>
    <m/>
    <x v="100"/>
    <n v="1"/>
    <n v="2018"/>
    <x v="0"/>
    <x v="0"/>
    <s v="RIGA / LETONIA"/>
    <x v="1"/>
    <m/>
    <x v="0"/>
    <x v="44"/>
    <d v="2017-12-09T00:00:00"/>
    <s v="MV BLUEBILL"/>
    <x v="5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173"/>
    <m/>
    <x v="34"/>
    <m/>
    <m/>
    <m/>
    <m/>
    <n v="207951"/>
    <x v="6"/>
    <x v="6"/>
    <x v="8"/>
    <d v="2017-11-03T00:00:00"/>
    <s v="CAD"/>
    <m/>
    <s v="F001-17266"/>
    <m/>
    <d v="2017-12-22T00:00:00"/>
    <s v="CANCELADO"/>
    <s v="CFR"/>
    <m/>
    <x v="70"/>
    <n v="318.25"/>
    <m/>
    <x v="154"/>
    <x v="0"/>
    <s v="Granel"/>
    <m/>
    <s v="Granel Sólido"/>
    <m/>
    <m/>
    <s v="DICIEMBRE"/>
    <x v="0"/>
    <m/>
    <m/>
    <m/>
    <x v="102"/>
    <m/>
    <m/>
    <x v="102"/>
    <n v="1"/>
    <n v="2018"/>
    <x v="0"/>
    <x v="0"/>
    <s v="RIGA / LETONIA"/>
    <x v="2"/>
    <m/>
    <x v="0"/>
    <x v="20"/>
    <d v="2017-12-09T00:00:00"/>
    <s v="MV BLUEBILL"/>
    <x v="5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174"/>
    <m/>
    <x v="34"/>
    <m/>
    <m/>
    <m/>
    <m/>
    <n v="207951"/>
    <x v="6"/>
    <x v="6"/>
    <x v="8"/>
    <d v="2017-11-03T00:00:00"/>
    <s v="CAD"/>
    <m/>
    <s v="F001-17267"/>
    <m/>
    <d v="2017-12-22T00:00:00"/>
    <s v="CANCELADO"/>
    <s v="CFR"/>
    <m/>
    <x v="13"/>
    <n v="318.25"/>
    <m/>
    <x v="155"/>
    <x v="0"/>
    <s v="Granel"/>
    <m/>
    <s v="Granel Sólido"/>
    <m/>
    <m/>
    <s v="DICIEMBRE"/>
    <x v="0"/>
    <m/>
    <m/>
    <m/>
    <x v="103"/>
    <m/>
    <m/>
    <x v="104"/>
    <n v="1"/>
    <n v="2018"/>
    <x v="0"/>
    <x v="0"/>
    <s v="RIGA / LETONIA"/>
    <x v="4"/>
    <m/>
    <x v="0"/>
    <x v="45"/>
    <d v="2017-12-09T00:00:00"/>
    <s v="MV BLUEBILL"/>
    <x v="5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175"/>
    <m/>
    <x v="34"/>
    <m/>
    <m/>
    <m/>
    <m/>
    <n v="206597"/>
    <x v="0"/>
    <x v="24"/>
    <x v="84"/>
    <d v="2017-12-07T00:00:00"/>
    <s v="CAD"/>
    <m/>
    <s v="17-11-9613-1"/>
    <m/>
    <d v="2017-12-11T00:00:00"/>
    <s v="CANCELADO"/>
    <s v="CFR"/>
    <m/>
    <x v="113"/>
    <n v="284.25"/>
    <m/>
    <x v="156"/>
    <x v="0"/>
    <s v="Granel"/>
    <m/>
    <s v="Granel Sólido"/>
    <m/>
    <m/>
    <s v="DICIEMBRE"/>
    <x v="0"/>
    <m/>
    <m/>
    <m/>
    <x v="100"/>
    <m/>
    <m/>
    <x v="101"/>
    <n v="1"/>
    <n v="2018"/>
    <x v="0"/>
    <x v="0"/>
    <s v="ST. PETERSBURG / RUSSIA"/>
    <x v="0"/>
    <m/>
    <x v="0"/>
    <x v="1"/>
    <d v="2017-12-15T00:00:00"/>
    <s v="MV BLUEBILL"/>
    <x v="5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176"/>
    <m/>
    <x v="34"/>
    <m/>
    <m/>
    <m/>
    <m/>
    <n v="206597"/>
    <x v="0"/>
    <x v="24"/>
    <x v="84"/>
    <d v="2017-12-07T00:00:00"/>
    <s v="CAD"/>
    <m/>
    <s v="17-11-9613-2"/>
    <m/>
    <d v="2017-12-11T00:00:00"/>
    <s v="CANCELADO"/>
    <s v="CFR"/>
    <m/>
    <x v="114"/>
    <n v="284.25"/>
    <m/>
    <x v="157"/>
    <x v="0"/>
    <s v="Granel"/>
    <m/>
    <s v="Granel Sólido"/>
    <m/>
    <m/>
    <s v="DICIEMBRE"/>
    <x v="0"/>
    <m/>
    <m/>
    <m/>
    <x v="101"/>
    <m/>
    <m/>
    <x v="100"/>
    <n v="1"/>
    <n v="2018"/>
    <x v="0"/>
    <x v="0"/>
    <s v="ST. PETERSBURG / RUSSIA"/>
    <x v="1"/>
    <m/>
    <x v="0"/>
    <x v="2"/>
    <d v="2017-12-15T00:00:00"/>
    <s v="MV BLUEBILL"/>
    <x v="5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177"/>
    <m/>
    <x v="34"/>
    <m/>
    <m/>
    <m/>
    <m/>
    <n v="206597"/>
    <x v="0"/>
    <x v="24"/>
    <x v="84"/>
    <d v="2017-12-07T00:00:00"/>
    <s v="CAD"/>
    <m/>
    <s v="17-11-9613-3"/>
    <m/>
    <d v="2017-12-11T00:00:00"/>
    <s v="CANCELADO"/>
    <s v="CFR"/>
    <m/>
    <x v="115"/>
    <n v="284.25"/>
    <m/>
    <x v="158"/>
    <x v="0"/>
    <s v="Granel"/>
    <m/>
    <s v="Granel Sólido"/>
    <m/>
    <m/>
    <s v="DICIEMBRE"/>
    <x v="0"/>
    <m/>
    <m/>
    <m/>
    <x v="102"/>
    <m/>
    <m/>
    <x v="102"/>
    <n v="1"/>
    <n v="2018"/>
    <x v="0"/>
    <x v="0"/>
    <s v="ST. PETERSBURG / RUSSIA"/>
    <x v="2"/>
    <m/>
    <x v="0"/>
    <x v="11"/>
    <d v="2017-12-15T00:00:00"/>
    <s v="MV BLUEBILL"/>
    <x v="5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178"/>
    <m/>
    <x v="34"/>
    <m/>
    <m/>
    <m/>
    <m/>
    <n v="206597"/>
    <x v="0"/>
    <x v="24"/>
    <x v="84"/>
    <d v="2017-12-07T00:00:00"/>
    <s v="CAD"/>
    <m/>
    <s v="17-11-9313-4"/>
    <m/>
    <d v="2017-12-11T00:00:00"/>
    <s v="CANCELADO"/>
    <s v="CFR"/>
    <m/>
    <x v="116"/>
    <n v="284.25"/>
    <m/>
    <x v="159"/>
    <x v="0"/>
    <s v="Granel"/>
    <m/>
    <s v="Granel Sólido"/>
    <m/>
    <m/>
    <s v="DICIEMBRE"/>
    <x v="0"/>
    <m/>
    <m/>
    <m/>
    <x v="78"/>
    <m/>
    <m/>
    <x v="103"/>
    <n v="1"/>
    <n v="2018"/>
    <x v="0"/>
    <x v="0"/>
    <s v="ST. PETERSBURG / RUSSIA"/>
    <x v="3"/>
    <m/>
    <x v="0"/>
    <x v="12"/>
    <d v="2017-12-15T00:00:00"/>
    <s v="MV BLUEBILL"/>
    <x v="5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179"/>
    <m/>
    <x v="34"/>
    <m/>
    <m/>
    <m/>
    <m/>
    <n v="207791"/>
    <x v="7"/>
    <x v="24"/>
    <x v="84"/>
    <d v="2017-12-07T00:00:00"/>
    <s v="CAD"/>
    <m/>
    <s v="17-11-1958-1"/>
    <m/>
    <d v="2017-12-11T00:00:00"/>
    <s v="CANCELADO"/>
    <s v="CFR"/>
    <m/>
    <x v="70"/>
    <n v="269.25"/>
    <m/>
    <x v="160"/>
    <x v="0"/>
    <s v="Granel"/>
    <m/>
    <s v="Granel Sólido"/>
    <m/>
    <m/>
    <s v="DICIEMBRE"/>
    <x v="0"/>
    <m/>
    <m/>
    <m/>
    <x v="100"/>
    <m/>
    <m/>
    <x v="101"/>
    <n v="1"/>
    <n v="2018"/>
    <x v="0"/>
    <x v="0"/>
    <s v="ST. PETERSBURG / RUSSIA"/>
    <x v="0"/>
    <m/>
    <x v="0"/>
    <x v="13"/>
    <d v="2017-12-15T00:00:00"/>
    <s v="MV BLUEBILL"/>
    <x v="5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180"/>
    <m/>
    <x v="34"/>
    <m/>
    <m/>
    <m/>
    <m/>
    <n v="207791"/>
    <x v="7"/>
    <x v="24"/>
    <x v="84"/>
    <d v="2017-12-07T00:00:00"/>
    <s v="CAD"/>
    <m/>
    <s v="17-11-1958-2"/>
    <m/>
    <d v="2017-12-11T00:00:00"/>
    <s v="CANCELADO"/>
    <s v="CFR"/>
    <m/>
    <x v="117"/>
    <n v="269.25"/>
    <m/>
    <x v="161"/>
    <x v="0"/>
    <s v="Granel"/>
    <m/>
    <s v="Granel Sólido"/>
    <m/>
    <m/>
    <s v="DICIEMBRE"/>
    <x v="0"/>
    <m/>
    <m/>
    <m/>
    <x v="101"/>
    <m/>
    <m/>
    <x v="100"/>
    <n v="1"/>
    <n v="2018"/>
    <x v="0"/>
    <x v="0"/>
    <s v="ST. PETERSBURG / RUSSIA"/>
    <x v="1"/>
    <m/>
    <x v="0"/>
    <x v="14"/>
    <d v="2017-12-15T00:00:00"/>
    <s v="MV BLUEBILL"/>
    <x v="5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181"/>
    <m/>
    <x v="34"/>
    <m/>
    <m/>
    <m/>
    <m/>
    <n v="207791"/>
    <x v="7"/>
    <x v="24"/>
    <x v="84"/>
    <d v="2017-12-07T00:00:00"/>
    <s v="CAD"/>
    <m/>
    <s v="17-11-1958-3"/>
    <m/>
    <d v="2017-12-11T00:00:00"/>
    <s v="CANCELADO"/>
    <s v="CFR"/>
    <m/>
    <x v="10"/>
    <n v="269.25"/>
    <m/>
    <x v="162"/>
    <x v="0"/>
    <s v="Granel"/>
    <m/>
    <s v="Granel Sólido"/>
    <m/>
    <m/>
    <s v="DICIEMBRE"/>
    <x v="0"/>
    <m/>
    <m/>
    <m/>
    <x v="78"/>
    <m/>
    <m/>
    <x v="103"/>
    <n v="1"/>
    <n v="2018"/>
    <x v="0"/>
    <x v="0"/>
    <s v="ST. PETERSBURG / RUSSIA"/>
    <x v="3"/>
    <m/>
    <x v="0"/>
    <x v="131"/>
    <d v="2017-12-15T00:00:00"/>
    <s v="MV BLUEBILL"/>
    <x v="5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182"/>
    <m/>
    <x v="34"/>
    <m/>
    <m/>
    <m/>
    <m/>
    <n v="207791"/>
    <x v="7"/>
    <x v="24"/>
    <x v="84"/>
    <d v="2017-12-07T00:00:00"/>
    <s v="CAD"/>
    <m/>
    <s v="17-11-1958-4"/>
    <m/>
    <d v="2017-12-11T00:00:00"/>
    <s v="CANCELADO"/>
    <s v="CFR"/>
    <m/>
    <x v="118"/>
    <n v="269.25"/>
    <m/>
    <x v="163"/>
    <x v="0"/>
    <s v="Granel"/>
    <m/>
    <s v="Granel Sólido"/>
    <m/>
    <m/>
    <s v="DICIEMBRE"/>
    <x v="0"/>
    <m/>
    <m/>
    <m/>
    <x v="103"/>
    <m/>
    <m/>
    <x v="104"/>
    <n v="1"/>
    <n v="2018"/>
    <x v="0"/>
    <x v="0"/>
    <s v="ST. PETERSBURG / RUSSIA"/>
    <x v="4"/>
    <m/>
    <x v="0"/>
    <x v="132"/>
    <d v="2017-12-15T00:00:00"/>
    <s v="MV BLUEBILL"/>
    <x v="5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P"/>
    <x v="0"/>
    <x v="0"/>
    <m/>
    <m/>
    <x v="183"/>
    <m/>
    <x v="34"/>
    <m/>
    <m/>
    <m/>
    <m/>
    <n v="207374"/>
    <x v="17"/>
    <x v="15"/>
    <x v="85"/>
    <d v="2017-11-08T00:00:00"/>
    <s v="CAD"/>
    <m/>
    <s v="1007/17 ZMU"/>
    <m/>
    <d v="2017-12-18T00:00:00"/>
    <s v="CANCELADO"/>
    <s v="CFR"/>
    <m/>
    <x v="60"/>
    <n v="320"/>
    <m/>
    <x v="69"/>
    <x v="8"/>
    <s v="Contenedor 20'"/>
    <m/>
    <s v="25 kg"/>
    <m/>
    <m/>
    <s v="DICIEMBRE"/>
    <x v="0"/>
    <m/>
    <m/>
    <m/>
    <x v="75"/>
    <m/>
    <m/>
    <x v="79"/>
    <n v="2"/>
    <n v="2018"/>
    <x v="0"/>
    <x v="0"/>
    <s v="RIGA / LETONIA"/>
    <x v="0"/>
    <m/>
    <x v="0"/>
    <x v="133"/>
    <d v="2017-12-22T00:00:00"/>
    <s v="EMPIRE"/>
    <x v="44"/>
    <x v="2"/>
    <m/>
    <m/>
    <m/>
    <m/>
    <m/>
    <m/>
    <x v="0"/>
    <d v="2018-02-22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P"/>
    <x v="0"/>
    <x v="0"/>
    <m/>
    <m/>
    <x v="184"/>
    <m/>
    <x v="34"/>
    <m/>
    <m/>
    <m/>
    <m/>
    <n v="206766"/>
    <x v="10"/>
    <x v="0"/>
    <x v="86"/>
    <d v="2017-11-09T00:00:00"/>
    <s v="CAD"/>
    <m/>
    <n v="20213"/>
    <m/>
    <d v="2018-01-18T00:00:00"/>
    <s v="CANCELADO"/>
    <s v="CFR"/>
    <m/>
    <x v="119"/>
    <n v="876"/>
    <m/>
    <x v="164"/>
    <x v="1"/>
    <s v="Contenedor 20'"/>
    <m/>
    <s v="Bidones 50kg"/>
    <m/>
    <m/>
    <s v="DICIEMBRE "/>
    <x v="0"/>
    <m/>
    <m/>
    <m/>
    <x v="104"/>
    <m/>
    <m/>
    <x v="105"/>
    <n v="2"/>
    <n v="2018"/>
    <x v="0"/>
    <x v="0"/>
    <s v="VERACRUZ / MEXICO"/>
    <x v="2"/>
    <m/>
    <x v="0"/>
    <x v="134"/>
    <d v="2018-01-05T00:00:00"/>
    <s v="VIRGINIA TRADER"/>
    <x v="39"/>
    <x v="2"/>
    <m/>
    <m/>
    <m/>
    <m/>
    <m/>
    <m/>
    <x v="0"/>
    <d v="2018-02-27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P"/>
    <x v="0"/>
    <x v="0"/>
    <m/>
    <m/>
    <x v="185"/>
    <m/>
    <x v="34"/>
    <m/>
    <m/>
    <m/>
    <m/>
    <n v="206766"/>
    <x v="10"/>
    <x v="0"/>
    <x v="86"/>
    <d v="2017-11-09T00:00:00"/>
    <s v="CAD"/>
    <m/>
    <n v="20265"/>
    <m/>
    <d v="2018-01-18T00:00:00"/>
    <s v="CANCELADO"/>
    <s v="CFR"/>
    <m/>
    <x v="120"/>
    <n v="876"/>
    <m/>
    <x v="165"/>
    <x v="20"/>
    <s v="Contenedor 20'"/>
    <m/>
    <s v="Bidones 50kg"/>
    <m/>
    <m/>
    <s v="DICIEMBRE "/>
    <x v="0"/>
    <m/>
    <m/>
    <m/>
    <x v="76"/>
    <m/>
    <m/>
    <x v="80"/>
    <n v="2"/>
    <n v="2018"/>
    <x v="0"/>
    <x v="0"/>
    <s v="VERACRUZ / MEXICO"/>
    <x v="2"/>
    <m/>
    <x v="0"/>
    <x v="135"/>
    <d v="2018-01-05T00:00:00"/>
    <s v="BLACKPOOL TOWER"/>
    <x v="37"/>
    <x v="2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P"/>
    <x v="0"/>
    <x v="0"/>
    <m/>
    <m/>
    <x v="186"/>
    <m/>
    <x v="34"/>
    <m/>
    <m/>
    <m/>
    <m/>
    <n v="206766"/>
    <x v="10"/>
    <x v="0"/>
    <x v="86"/>
    <d v="2017-11-09T00:00:00"/>
    <s v="CAD"/>
    <m/>
    <n v="20215"/>
    <m/>
    <d v="2018-01-18T00:00:00"/>
    <s v="CANCELADO"/>
    <s v="CFR"/>
    <m/>
    <x v="84"/>
    <n v="886"/>
    <m/>
    <x v="166"/>
    <x v="6"/>
    <s v="Contenedor 20'"/>
    <m/>
    <s v="Bidones 50kg"/>
    <m/>
    <m/>
    <s v="DICIEMBRE "/>
    <x v="0"/>
    <m/>
    <m/>
    <m/>
    <x v="97"/>
    <m/>
    <m/>
    <x v="98"/>
    <n v="2"/>
    <n v="2018"/>
    <x v="0"/>
    <x v="0"/>
    <s v="VERACRUZ / MEXICO"/>
    <x v="0"/>
    <m/>
    <x v="0"/>
    <x v="136"/>
    <d v="2018-01-05T00:00:00"/>
    <s v="MSC ORIANE"/>
    <x v="50"/>
    <x v="6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P"/>
    <x v="0"/>
    <x v="0"/>
    <m/>
    <m/>
    <x v="187"/>
    <m/>
    <x v="34"/>
    <m/>
    <m/>
    <m/>
    <m/>
    <n v="206766"/>
    <x v="10"/>
    <x v="0"/>
    <x v="86"/>
    <d v="2017-11-09T00:00:00"/>
    <s v="CAD"/>
    <m/>
    <n v="20310"/>
    <m/>
    <d v="2018-01-26T00:00:00"/>
    <s v="CANCELADO"/>
    <s v="CFR"/>
    <m/>
    <x v="121"/>
    <n v="876"/>
    <m/>
    <x v="167"/>
    <x v="11"/>
    <s v="Contenedor 20'"/>
    <m/>
    <s v="Bidones 50kg"/>
    <m/>
    <m/>
    <s v="DIC-ENE"/>
    <x v="0"/>
    <m/>
    <m/>
    <m/>
    <x v="105"/>
    <m/>
    <m/>
    <x v="106"/>
    <n v="2"/>
    <n v="2018"/>
    <x v="0"/>
    <x v="0"/>
    <s v="VERACRUZ / MEXICO"/>
    <x v="2"/>
    <m/>
    <x v="0"/>
    <x v="137"/>
    <d v="2018-01-13T00:00:00"/>
    <s v="VIRGINIA TRADER"/>
    <x v="39"/>
    <x v="2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P"/>
    <x v="0"/>
    <x v="0"/>
    <m/>
    <m/>
    <x v="188"/>
    <m/>
    <x v="34"/>
    <m/>
    <m/>
    <m/>
    <m/>
    <n v="206766"/>
    <x v="10"/>
    <x v="0"/>
    <x v="86"/>
    <d v="2017-11-09T00:00:00"/>
    <s v="CAD"/>
    <m/>
    <n v="20310"/>
    <m/>
    <d v="2018-01-26T00:00:00"/>
    <s v="CANCELADO"/>
    <s v="CFR"/>
    <m/>
    <x v="122"/>
    <n v="876"/>
    <m/>
    <x v="168"/>
    <x v="10"/>
    <s v="Contenedor 20'"/>
    <m/>
    <s v="Bidones 50kg"/>
    <m/>
    <m/>
    <s v="DIC-ENE"/>
    <x v="0"/>
    <m/>
    <m/>
    <m/>
    <x v="104"/>
    <m/>
    <m/>
    <x v="105"/>
    <n v="2"/>
    <n v="2018"/>
    <x v="0"/>
    <x v="0"/>
    <s v="VERACRUZ / MEXICO"/>
    <x v="2"/>
    <m/>
    <x v="0"/>
    <x v="137"/>
    <d v="2018-01-13T00:00:00"/>
    <s v="VIRGINIA TRADER"/>
    <x v="30"/>
    <x v="6"/>
    <m/>
    <m/>
    <m/>
    <m/>
    <m/>
    <m/>
    <x v="0"/>
    <d v="2018-02-27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P"/>
    <x v="0"/>
    <x v="0"/>
    <m/>
    <m/>
    <x v="189"/>
    <m/>
    <x v="34"/>
    <m/>
    <m/>
    <m/>
    <m/>
    <n v="206766"/>
    <x v="10"/>
    <x v="0"/>
    <x v="86"/>
    <d v="2017-11-09T00:00:00"/>
    <s v="CAD"/>
    <m/>
    <n v="20309"/>
    <m/>
    <d v="2018-01-26T00:00:00"/>
    <s v="CANCELADO"/>
    <s v="CFR"/>
    <m/>
    <x v="84"/>
    <n v="886"/>
    <m/>
    <x v="166"/>
    <x v="6"/>
    <s v="Contenedor 20'"/>
    <m/>
    <s v="Bidones 50kg"/>
    <m/>
    <m/>
    <s v="DIC-ENE"/>
    <x v="0"/>
    <m/>
    <m/>
    <m/>
    <x v="75"/>
    <m/>
    <m/>
    <x v="107"/>
    <n v="2"/>
    <n v="2018"/>
    <x v="0"/>
    <x v="0"/>
    <s v="VERACRUZ / MEXICO"/>
    <x v="0"/>
    <m/>
    <x v="0"/>
    <x v="138"/>
    <d v="2018-01-13T00:00:00"/>
    <s v="MONTE SARMIENTO"/>
    <x v="45"/>
    <x v="6"/>
    <m/>
    <m/>
    <m/>
    <m/>
    <m/>
    <m/>
    <x v="0"/>
    <d v="2018-02-27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S"/>
    <x v="0"/>
    <x v="0"/>
    <m/>
    <m/>
    <x v="190"/>
    <m/>
    <x v="34"/>
    <m/>
    <m/>
    <m/>
    <m/>
    <n v="206914"/>
    <x v="12"/>
    <x v="19"/>
    <x v="87"/>
    <d v="2017-11-20T00:00:00"/>
    <n v="60"/>
    <s v="días BL"/>
    <s v="SG-MS-L-12030"/>
    <m/>
    <d v="2018-02-17T00:00:00"/>
    <s v="CANCELADO"/>
    <s v="CFR"/>
    <m/>
    <x v="15"/>
    <n v="146"/>
    <m/>
    <x v="169"/>
    <x v="0"/>
    <s v="Granel - BB"/>
    <m/>
    <s v="25 kg"/>
    <m/>
    <m/>
    <s v="DICIEMBRE "/>
    <x v="0"/>
    <m/>
    <m/>
    <m/>
    <x v="106"/>
    <m/>
    <m/>
    <x v="108"/>
    <n v="2"/>
    <n v="2018"/>
    <x v="0"/>
    <x v="0"/>
    <s v="BAYUQUAN / CHINA"/>
    <x v="2"/>
    <m/>
    <x v="0"/>
    <x v="139"/>
    <d v="2017-12-19T00:00:00"/>
    <s v="NANDU ARROW"/>
    <x v="55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S"/>
    <x v="0"/>
    <x v="0"/>
    <m/>
    <m/>
    <x v="191"/>
    <m/>
    <x v="34"/>
    <m/>
    <m/>
    <m/>
    <m/>
    <n v="206914"/>
    <x v="12"/>
    <x v="19"/>
    <x v="88"/>
    <d v="2017-11-20T00:00:00"/>
    <n v="60"/>
    <s v="días BL"/>
    <s v="SG-MS-L-12029"/>
    <m/>
    <d v="2018-03-05T00:00:00"/>
    <s v="CANCELADO"/>
    <s v="CFR"/>
    <m/>
    <x v="123"/>
    <n v="169"/>
    <m/>
    <x v="170"/>
    <x v="15"/>
    <s v="Contenedor 40'"/>
    <m/>
    <s v="25 kg"/>
    <m/>
    <m/>
    <s v="DICIEMBRE"/>
    <x v="0"/>
    <m/>
    <m/>
    <m/>
    <x v="75"/>
    <m/>
    <m/>
    <x v="107"/>
    <n v="2"/>
    <n v="2018"/>
    <x v="0"/>
    <x v="0"/>
    <s v="DALIAN / CHINA"/>
    <x v="0"/>
    <m/>
    <x v="0"/>
    <x v="140"/>
    <d v="2017-12-30T00:00:00"/>
    <s v="MAERSK MC-KINNEY MOLLER"/>
    <x v="13"/>
    <x v="3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P"/>
    <x v="0"/>
    <x v="0"/>
    <m/>
    <m/>
    <x v="192"/>
    <m/>
    <x v="34"/>
    <m/>
    <m/>
    <m/>
    <m/>
    <n v="207374"/>
    <x v="17"/>
    <x v="15"/>
    <x v="89"/>
    <d v="2017-11-22T00:00:00"/>
    <s v="CAD"/>
    <m/>
    <s v="195/18 ZMU"/>
    <m/>
    <d v="2018-03-27T00:00:00"/>
    <s v="CANCELADO"/>
    <s v="CFR"/>
    <m/>
    <x v="124"/>
    <n v="315"/>
    <m/>
    <x v="171"/>
    <x v="20"/>
    <s v="Contenedor 20'"/>
    <m/>
    <s v="25 kg"/>
    <m/>
    <m/>
    <s v="MARZO"/>
    <x v="0"/>
    <m/>
    <m/>
    <m/>
    <x v="107"/>
    <m/>
    <m/>
    <x v="109"/>
    <n v="5"/>
    <n v="2018"/>
    <x v="0"/>
    <x v="0"/>
    <s v="RIGA / LETONIA"/>
    <x v="2"/>
    <m/>
    <x v="0"/>
    <x v="141"/>
    <d v="2018-03-18T00:00:00"/>
    <s v="EMPIRE"/>
    <x v="51"/>
    <x v="2"/>
    <m/>
    <m/>
    <m/>
    <m/>
    <m/>
    <m/>
    <x v="0"/>
    <d v="2018-05-26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P"/>
    <x v="0"/>
    <x v="0"/>
    <m/>
    <m/>
    <x v="193"/>
    <m/>
    <x v="34"/>
    <m/>
    <m/>
    <m/>
    <m/>
    <n v="207374"/>
    <x v="17"/>
    <x v="15"/>
    <x v="90"/>
    <d v="2017-11-22T00:00:00"/>
    <s v="CAD"/>
    <m/>
    <s v="202/18 ZMU"/>
    <m/>
    <d v="2018-04-06T00:00:00"/>
    <s v="CANCELADO"/>
    <s v="CFR"/>
    <m/>
    <x v="86"/>
    <n v="320"/>
    <m/>
    <x v="172"/>
    <x v="20"/>
    <s v="Contenedor 20'"/>
    <m/>
    <s v="25 kg"/>
    <m/>
    <m/>
    <s v="MARZO"/>
    <x v="0"/>
    <m/>
    <m/>
    <m/>
    <x v="108"/>
    <m/>
    <m/>
    <x v="109"/>
    <n v="5"/>
    <n v="2018"/>
    <x v="0"/>
    <x v="0"/>
    <s v="RIGA / LETONIA"/>
    <x v="0"/>
    <m/>
    <x v="0"/>
    <x v="142"/>
    <d v="2018-03-24T00:00:00"/>
    <s v="EMOTION"/>
    <x v="45"/>
    <x v="2"/>
    <m/>
    <m/>
    <m/>
    <m/>
    <m/>
    <m/>
    <x v="0"/>
    <d v="2018-05-27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194"/>
    <m/>
    <x v="151"/>
    <m/>
    <m/>
    <m/>
    <s v="CERRADO"/>
    <n v="206569"/>
    <x v="14"/>
    <x v="25"/>
    <x v="91"/>
    <d v="2017-11-29T00:00:00"/>
    <s v="CAD"/>
    <m/>
    <s v="TGOA-DAP-171113-06"/>
    <m/>
    <d v="2017-12-12T00:00:00"/>
    <s v="CANCELADO"/>
    <s v="CFR"/>
    <m/>
    <x v="42"/>
    <n v="414.5"/>
    <m/>
    <x v="173"/>
    <x v="0"/>
    <s v="Granel"/>
    <m/>
    <s v="Granel Sólido"/>
    <m/>
    <m/>
    <s v="NOVIEMBRE '17"/>
    <x v="0"/>
    <m/>
    <m/>
    <m/>
    <x v="94"/>
    <m/>
    <m/>
    <x v="110"/>
    <n v="12"/>
    <n v="2017"/>
    <x v="0"/>
    <x v="0"/>
    <s v="YANGZHONG / CHINA"/>
    <x v="0"/>
    <m/>
    <x v="0"/>
    <x v="143"/>
    <d v="2017-11-11T00:00:00"/>
    <s v="MV BUNA ARROW"/>
    <x v="56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195"/>
    <m/>
    <x v="152"/>
    <m/>
    <m/>
    <m/>
    <s v="CERRADO"/>
    <n v="206569"/>
    <x v="14"/>
    <x v="25"/>
    <x v="91"/>
    <d v="2017-11-29T00:00:00"/>
    <s v="CAD"/>
    <m/>
    <s v="TGOA-DAP-171113-07"/>
    <m/>
    <d v="2017-12-12T00:00:00"/>
    <s v="CANCELADO"/>
    <s v="CFR"/>
    <m/>
    <x v="45"/>
    <n v="414.5"/>
    <m/>
    <x v="174"/>
    <x v="0"/>
    <s v="Granel"/>
    <m/>
    <s v="Granel Sólido"/>
    <m/>
    <m/>
    <s v="NOVIEMBRE '17"/>
    <x v="0"/>
    <m/>
    <m/>
    <m/>
    <x v="89"/>
    <m/>
    <m/>
    <x v="67"/>
    <n v="12"/>
    <n v="2017"/>
    <x v="0"/>
    <x v="0"/>
    <s v="YANGZHONG / CHINA"/>
    <x v="1"/>
    <m/>
    <x v="0"/>
    <x v="144"/>
    <d v="2017-11-11T00:00:00"/>
    <s v="MV BUNA ARROW"/>
    <x v="56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196"/>
    <m/>
    <x v="153"/>
    <m/>
    <m/>
    <m/>
    <s v="CERRADO"/>
    <n v="206569"/>
    <x v="14"/>
    <x v="25"/>
    <x v="91"/>
    <d v="2017-11-29T00:00:00"/>
    <s v="CAD"/>
    <m/>
    <s v="TGOA-DAP-171113-08"/>
    <m/>
    <d v="2017-12-12T00:00:00"/>
    <s v="CANCELADO"/>
    <s v="CFR"/>
    <m/>
    <x v="125"/>
    <n v="414.5"/>
    <m/>
    <x v="175"/>
    <x v="0"/>
    <s v="Granel"/>
    <m/>
    <s v="Granel Sólido"/>
    <m/>
    <m/>
    <s v="NOVIEMBRE '17"/>
    <x v="0"/>
    <m/>
    <m/>
    <m/>
    <x v="72"/>
    <m/>
    <m/>
    <x v="111"/>
    <n v="12"/>
    <n v="2017"/>
    <x v="0"/>
    <x v="0"/>
    <s v="YANGZHONG / CHINA"/>
    <x v="2"/>
    <m/>
    <x v="0"/>
    <x v="145"/>
    <d v="2017-11-11T00:00:00"/>
    <s v="MV BUNA ARROW"/>
    <x v="56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197"/>
    <m/>
    <x v="154"/>
    <m/>
    <m/>
    <m/>
    <s v="CERRADO"/>
    <n v="206569"/>
    <x v="14"/>
    <x v="25"/>
    <x v="91"/>
    <d v="2017-11-29T00:00:00"/>
    <s v="CAD"/>
    <m/>
    <s v="TGOA-DAP-171113-09"/>
    <m/>
    <d v="2017-12-12T00:00:00"/>
    <s v="CANCELADO"/>
    <s v="CFR"/>
    <m/>
    <x v="11"/>
    <n v="414.5"/>
    <m/>
    <x v="176"/>
    <x v="0"/>
    <s v="Granel"/>
    <m/>
    <s v="Granel Sólido"/>
    <m/>
    <m/>
    <s v="NOVIEMBRE '17"/>
    <x v="0"/>
    <m/>
    <m/>
    <m/>
    <x v="109"/>
    <m/>
    <m/>
    <x v="112"/>
    <n v="12"/>
    <n v="2017"/>
    <x v="0"/>
    <x v="0"/>
    <s v="YANGZHONG / CHINA"/>
    <x v="3"/>
    <m/>
    <x v="0"/>
    <x v="146"/>
    <d v="2017-11-11T00:00:00"/>
    <s v="MV BUNA ARROW"/>
    <x v="56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198"/>
    <m/>
    <x v="155"/>
    <m/>
    <m/>
    <m/>
    <s v="CERRADO"/>
    <n v="206569"/>
    <x v="14"/>
    <x v="25"/>
    <x v="91"/>
    <d v="2017-11-29T00:00:00"/>
    <s v="CAD"/>
    <m/>
    <s v="TGOA-DAP-171113-10"/>
    <m/>
    <d v="2017-12-12T00:00:00"/>
    <s v="CANCELADO"/>
    <s v="CFR"/>
    <m/>
    <x v="41"/>
    <n v="414.5"/>
    <m/>
    <x v="177"/>
    <x v="0"/>
    <s v="Granel"/>
    <m/>
    <s v="Granel Sólido"/>
    <m/>
    <m/>
    <s v="NOVIEMBRE '17"/>
    <x v="0"/>
    <m/>
    <m/>
    <m/>
    <x v="81"/>
    <m/>
    <m/>
    <x v="113"/>
    <n v="12"/>
    <n v="2017"/>
    <x v="0"/>
    <x v="0"/>
    <s v="YANGZHONG / CHINA"/>
    <x v="4"/>
    <m/>
    <x v="0"/>
    <x v="147"/>
    <d v="2017-11-11T00:00:00"/>
    <s v="MV BUNA ARROW"/>
    <x v="56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199"/>
    <m/>
    <x v="156"/>
    <m/>
    <m/>
    <m/>
    <s v="CERRADO"/>
    <n v="203616"/>
    <x v="34"/>
    <x v="25"/>
    <x v="92"/>
    <d v="2017-11-29T00:00:00"/>
    <s v="CAD"/>
    <m/>
    <s v="TGOA-AS-171111-06"/>
    <m/>
    <d v="2017-12-12T00:00:00"/>
    <s v="CANCELADO"/>
    <s v="CFR"/>
    <m/>
    <x v="126"/>
    <n v="152"/>
    <m/>
    <x v="178"/>
    <x v="0"/>
    <s v="Granel"/>
    <m/>
    <s v="Granel Sólido"/>
    <m/>
    <m/>
    <s v="NOVIEMBRE '17"/>
    <x v="0"/>
    <m/>
    <m/>
    <m/>
    <x v="110"/>
    <m/>
    <m/>
    <x v="111"/>
    <n v="12"/>
    <n v="2017"/>
    <x v="0"/>
    <x v="0"/>
    <s v="YANGZHONG / CHINA"/>
    <x v="2"/>
    <m/>
    <x v="0"/>
    <x v="148"/>
    <d v="2017-11-13T00:00:00"/>
    <s v="MV BUNA ARROW"/>
    <x v="56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200"/>
    <m/>
    <x v="157"/>
    <m/>
    <m/>
    <m/>
    <s v="CERRADO"/>
    <n v="203616"/>
    <x v="34"/>
    <x v="25"/>
    <x v="92"/>
    <d v="2017-11-29T00:00:00"/>
    <s v="CAD"/>
    <m/>
    <s v="TGOA-AS-171111-07"/>
    <m/>
    <d v="2017-12-12T00:00:00"/>
    <s v="CANCELADO"/>
    <s v="CFR"/>
    <m/>
    <x v="54"/>
    <n v="152"/>
    <m/>
    <x v="179"/>
    <x v="0"/>
    <s v="Granel"/>
    <m/>
    <s v="Granel Sólido"/>
    <m/>
    <m/>
    <s v="NOVIEMBRE '17"/>
    <x v="0"/>
    <m/>
    <m/>
    <m/>
    <x v="71"/>
    <m/>
    <m/>
    <x v="112"/>
    <n v="12"/>
    <n v="2017"/>
    <x v="0"/>
    <x v="0"/>
    <s v="YANGZHONG / CHINA"/>
    <x v="3"/>
    <m/>
    <x v="0"/>
    <x v="149"/>
    <d v="2017-11-13T00:00:00"/>
    <s v="MV BUNA ARROW"/>
    <x v="56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201"/>
    <m/>
    <x v="158"/>
    <m/>
    <m/>
    <m/>
    <s v="CERRADO"/>
    <n v="203616"/>
    <x v="34"/>
    <x v="25"/>
    <x v="92"/>
    <d v="2017-11-29T00:00:00"/>
    <s v="CAD"/>
    <m/>
    <s v="TGOA-AS-171111-08"/>
    <m/>
    <d v="2017-12-12T00:00:00"/>
    <s v="CANCELADO"/>
    <s v="CFR"/>
    <m/>
    <x v="52"/>
    <n v="152"/>
    <m/>
    <x v="180"/>
    <x v="0"/>
    <s v="Granel"/>
    <m/>
    <s v="Granel Sólido"/>
    <m/>
    <m/>
    <s v="NOVIEMBRE '17"/>
    <x v="0"/>
    <m/>
    <m/>
    <m/>
    <x v="81"/>
    <m/>
    <m/>
    <x v="113"/>
    <n v="12"/>
    <n v="2017"/>
    <x v="0"/>
    <x v="0"/>
    <s v="YANGZHONG / CHINA"/>
    <x v="4"/>
    <m/>
    <x v="0"/>
    <x v="150"/>
    <d v="2017-11-13T00:00:00"/>
    <s v="MV BUNA ARROW"/>
    <x v="56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202"/>
    <m/>
    <x v="34"/>
    <m/>
    <m/>
    <m/>
    <m/>
    <n v="207951"/>
    <x v="6"/>
    <x v="0"/>
    <x v="93"/>
    <d v="2017-12-21T00:00:00"/>
    <n v="90"/>
    <s v="días BL"/>
    <s v="I20496"/>
    <m/>
    <d v="2018-05-07T00:00:00"/>
    <s v="CANCELADO"/>
    <s v="CFR"/>
    <m/>
    <x v="127"/>
    <n v="263.5"/>
    <m/>
    <x v="181"/>
    <x v="0"/>
    <s v="Granel"/>
    <m/>
    <s v="Granel Sólido"/>
    <m/>
    <m/>
    <s v="ENERO"/>
    <x v="0"/>
    <m/>
    <m/>
    <m/>
    <x v="80"/>
    <m/>
    <m/>
    <x v="114"/>
    <n v="3"/>
    <n v="2018"/>
    <x v="0"/>
    <x v="0"/>
    <s v="KOTKA / FINLANDIA"/>
    <x v="0"/>
    <m/>
    <x v="0"/>
    <x v="51"/>
    <d v="2018-02-04T00:00:00"/>
    <s v=" MV MUSKY"/>
    <x v="57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203"/>
    <m/>
    <x v="34"/>
    <m/>
    <m/>
    <m/>
    <m/>
    <n v="207951"/>
    <x v="6"/>
    <x v="0"/>
    <x v="93"/>
    <d v="2017-12-21T00:00:00"/>
    <n v="90"/>
    <s v="días BL"/>
    <s v="I20497"/>
    <m/>
    <d v="2018-05-07T00:00:00"/>
    <s v="CANCELADO"/>
    <s v="CFR"/>
    <m/>
    <x v="128"/>
    <n v="263.5"/>
    <m/>
    <x v="182"/>
    <x v="0"/>
    <s v="Granel"/>
    <m/>
    <s v="Granel Sólido"/>
    <m/>
    <m/>
    <s v="ENERO"/>
    <x v="0"/>
    <m/>
    <m/>
    <m/>
    <x v="111"/>
    <m/>
    <m/>
    <x v="115"/>
    <n v="3"/>
    <n v="2018"/>
    <x v="0"/>
    <x v="0"/>
    <s v="KOTKA / FINLANDIA"/>
    <x v="1"/>
    <m/>
    <x v="0"/>
    <x v="18"/>
    <d v="2018-02-04T00:00:00"/>
    <s v=" MV MUSKY"/>
    <x v="57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204"/>
    <m/>
    <x v="34"/>
    <m/>
    <m/>
    <m/>
    <m/>
    <n v="207951"/>
    <x v="6"/>
    <x v="0"/>
    <x v="93"/>
    <d v="2017-12-21T00:00:00"/>
    <n v="90"/>
    <s v="días BL"/>
    <s v="I20498"/>
    <m/>
    <d v="2018-05-07T00:00:00"/>
    <s v="CANCELADO"/>
    <s v="CFR"/>
    <m/>
    <x v="129"/>
    <n v="263.5"/>
    <m/>
    <x v="183"/>
    <x v="0"/>
    <s v="Granel"/>
    <m/>
    <s v="Granel Sólido"/>
    <m/>
    <m/>
    <s v="ENERO"/>
    <x v="0"/>
    <m/>
    <m/>
    <m/>
    <x v="112"/>
    <m/>
    <m/>
    <x v="116"/>
    <n v="3"/>
    <n v="2018"/>
    <x v="0"/>
    <x v="0"/>
    <s v="KOTKA / FINLANDIA"/>
    <x v="2"/>
    <m/>
    <x v="0"/>
    <x v="52"/>
    <d v="2018-02-04T00:00:00"/>
    <s v=" MV MUSKY"/>
    <x v="57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205"/>
    <m/>
    <x v="34"/>
    <m/>
    <m/>
    <m/>
    <m/>
    <n v="207951"/>
    <x v="6"/>
    <x v="0"/>
    <x v="93"/>
    <d v="2017-12-21T00:00:00"/>
    <n v="90"/>
    <s v="días BL"/>
    <s v="I20499"/>
    <m/>
    <d v="2018-05-07T00:00:00"/>
    <s v="CANCELADO"/>
    <s v="CFR"/>
    <m/>
    <x v="130"/>
    <n v="263.5"/>
    <m/>
    <x v="184"/>
    <x v="0"/>
    <s v="Granel"/>
    <m/>
    <s v="Granel Sólido"/>
    <m/>
    <m/>
    <s v="ENERO"/>
    <x v="0"/>
    <m/>
    <m/>
    <m/>
    <x v="113"/>
    <m/>
    <m/>
    <x v="117"/>
    <n v="3"/>
    <n v="2018"/>
    <x v="0"/>
    <x v="0"/>
    <s v="KOTKA / FINLANDIA"/>
    <x v="4"/>
    <m/>
    <x v="0"/>
    <x v="19"/>
    <d v="2018-02-04T00:00:00"/>
    <s v=" MV MUSKY"/>
    <x v="57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206"/>
    <m/>
    <x v="34"/>
    <m/>
    <m/>
    <m/>
    <m/>
    <n v="207485"/>
    <x v="13"/>
    <x v="0"/>
    <x v="94"/>
    <d v="2017-12-21T00:00:00"/>
    <n v="90"/>
    <s v="días BL"/>
    <n v="20787"/>
    <m/>
    <d v="2018-05-07T00:00:00"/>
    <s v="CANCELADO"/>
    <s v="CFR"/>
    <m/>
    <x v="131"/>
    <n v="273.5"/>
    <m/>
    <x v="185"/>
    <x v="0"/>
    <s v="Granel"/>
    <m/>
    <s v="Granel Sólido"/>
    <m/>
    <m/>
    <s v="ENERO"/>
    <x v="0"/>
    <m/>
    <m/>
    <m/>
    <x v="80"/>
    <m/>
    <m/>
    <x v="114"/>
    <n v="3"/>
    <n v="2018"/>
    <x v="0"/>
    <x v="0"/>
    <s v="UST-LUGA / RUSIA"/>
    <x v="0"/>
    <m/>
    <x v="0"/>
    <x v="2"/>
    <d v="2018-02-04T00:00:00"/>
    <s v=" MV MUSKY"/>
    <x v="57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207"/>
    <m/>
    <x v="34"/>
    <m/>
    <m/>
    <m/>
    <m/>
    <n v="207485"/>
    <x v="13"/>
    <x v="0"/>
    <x v="94"/>
    <d v="2017-12-21T00:00:00"/>
    <n v="90"/>
    <s v="días BL"/>
    <n v="20788"/>
    <m/>
    <d v="2018-05-07T00:00:00"/>
    <s v="CANCELADO"/>
    <s v="CFR"/>
    <m/>
    <x v="17"/>
    <n v="273.5"/>
    <m/>
    <x v="186"/>
    <x v="0"/>
    <s v="Granel"/>
    <m/>
    <s v="Granel Sólido"/>
    <m/>
    <m/>
    <s v="ENERO"/>
    <x v="0"/>
    <m/>
    <m/>
    <m/>
    <x v="111"/>
    <m/>
    <m/>
    <x v="115"/>
    <n v="3"/>
    <n v="2018"/>
    <x v="0"/>
    <x v="0"/>
    <s v="UST-LUGA / RUSIA"/>
    <x v="1"/>
    <m/>
    <x v="0"/>
    <x v="11"/>
    <d v="2018-02-04T00:00:00"/>
    <s v=" MV MUSKY"/>
    <x v="57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208"/>
    <m/>
    <x v="34"/>
    <m/>
    <m/>
    <m/>
    <m/>
    <n v="207485"/>
    <x v="13"/>
    <x v="0"/>
    <x v="94"/>
    <d v="2017-12-21T00:00:00"/>
    <n v="90"/>
    <s v="días BL"/>
    <n v="20789"/>
    <m/>
    <d v="2018-05-07T00:00:00"/>
    <s v="CANCELADO"/>
    <s v="CFR"/>
    <m/>
    <x v="132"/>
    <n v="273.5"/>
    <m/>
    <x v="187"/>
    <x v="0"/>
    <s v="Granel"/>
    <m/>
    <s v="Granel Sólido"/>
    <m/>
    <m/>
    <s v="ENERO"/>
    <x v="0"/>
    <m/>
    <m/>
    <m/>
    <x v="112"/>
    <m/>
    <m/>
    <x v="116"/>
    <n v="3"/>
    <n v="2018"/>
    <x v="0"/>
    <x v="0"/>
    <s v="UST-LUGA / RUSIA"/>
    <x v="2"/>
    <m/>
    <x v="0"/>
    <x v="12"/>
    <d v="2018-02-04T00:00:00"/>
    <s v=" MV MUSKY"/>
    <x v="57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1"/>
    <m/>
    <m/>
    <x v="209"/>
    <m/>
    <x v="34"/>
    <m/>
    <m/>
    <m/>
    <m/>
    <m/>
    <x v="13"/>
    <x v="0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17"/>
    <s v="E-S"/>
    <x v="0"/>
    <x v="0"/>
    <m/>
    <m/>
    <x v="210"/>
    <m/>
    <x v="34"/>
    <m/>
    <m/>
    <m/>
    <m/>
    <n v="204378"/>
    <x v="35"/>
    <x v="4"/>
    <x v="95"/>
    <m/>
    <n v="90"/>
    <s v="días BL"/>
    <s v="I36790"/>
    <m/>
    <d v="2018-05-11T00:00:00"/>
    <s v="CANCELADO"/>
    <s v="CFR"/>
    <m/>
    <x v="133"/>
    <n v="2247.9839999999999"/>
    <m/>
    <x v="188"/>
    <x v="0"/>
    <s v="Contenedor 20'"/>
    <m/>
    <s v="50 Lb"/>
    <m/>
    <m/>
    <s v="DICIEMBRE"/>
    <x v="0"/>
    <m/>
    <m/>
    <m/>
    <x v="112"/>
    <m/>
    <m/>
    <x v="118"/>
    <n v="3"/>
    <n v="2018"/>
    <x v="0"/>
    <x v="0"/>
    <s v="CHARLESTON / USA"/>
    <x v="2"/>
    <m/>
    <x v="0"/>
    <x v="151"/>
    <d v="2018-02-08T00:00:00"/>
    <s v="MSC MARTA"/>
    <x v="58"/>
    <x v="13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C"/>
    <x v="0"/>
    <x v="0"/>
    <m/>
    <m/>
    <x v="211"/>
    <m/>
    <x v="34"/>
    <m/>
    <m/>
    <m/>
    <m/>
    <n v="207580"/>
    <x v="32"/>
    <x v="3"/>
    <x v="96"/>
    <d v="2017-12-14T00:00:00"/>
    <s v="CAD"/>
    <m/>
    <n v="20180169"/>
    <m/>
    <d v="2018-02-22T00:00:00"/>
    <s v="CANCELADO"/>
    <s v="CPT"/>
    <m/>
    <x v="8"/>
    <n v="836"/>
    <m/>
    <x v="92"/>
    <x v="5"/>
    <s v="Contenedor 20'"/>
    <m/>
    <s v="25 kg"/>
    <m/>
    <m/>
    <s v="DICIEMBRE"/>
    <x v="0"/>
    <m/>
    <m/>
    <m/>
    <x v="114"/>
    <m/>
    <m/>
    <x v="119"/>
    <n v="3"/>
    <n v="2018"/>
    <x v="0"/>
    <x v="0"/>
    <s v="AQABA / JORDANIA"/>
    <x v="2"/>
    <m/>
    <x v="0"/>
    <x v="152"/>
    <d v="2018-02-05T00:00:00"/>
    <s v="SEROJA EMPAT "/>
    <x v="59"/>
    <x v="3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C"/>
    <x v="0"/>
    <x v="0"/>
    <m/>
    <m/>
    <x v="212"/>
    <m/>
    <x v="34"/>
    <m/>
    <m/>
    <m/>
    <m/>
    <n v="207580"/>
    <x v="32"/>
    <x v="3"/>
    <x v="96"/>
    <d v="2017-12-14T00:00:00"/>
    <s v="CAD"/>
    <m/>
    <n v="20180071"/>
    <m/>
    <d v="2018-02-01T00:00:00"/>
    <s v="CANCELADO"/>
    <s v="CPT"/>
    <m/>
    <x v="8"/>
    <n v="841"/>
    <m/>
    <x v="189"/>
    <x v="5"/>
    <s v="Contenedor 20'"/>
    <m/>
    <s v="25 kg"/>
    <m/>
    <m/>
    <s v="DICIEMBRE"/>
    <x v="0"/>
    <m/>
    <m/>
    <m/>
    <x v="115"/>
    <m/>
    <m/>
    <x v="120"/>
    <n v="3"/>
    <n v="2018"/>
    <x v="0"/>
    <x v="0"/>
    <s v="AQABA / JORDANIA"/>
    <x v="0"/>
    <m/>
    <x v="0"/>
    <x v="153"/>
    <d v="2018-01-21T00:00:00"/>
    <s v="CLAES MAERSK "/>
    <x v="13"/>
    <x v="3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C"/>
    <x v="0"/>
    <x v="0"/>
    <m/>
    <m/>
    <x v="213"/>
    <m/>
    <x v="34"/>
    <m/>
    <m/>
    <m/>
    <m/>
    <n v="207580"/>
    <x v="32"/>
    <x v="3"/>
    <x v="97"/>
    <d v="2017-12-14T00:00:00"/>
    <s v="CAD"/>
    <m/>
    <n v="20180170"/>
    <m/>
    <d v="2018-02-22T00:00:00"/>
    <s v="CANCELADO"/>
    <s v="CPT"/>
    <m/>
    <x v="8"/>
    <n v="849"/>
    <m/>
    <x v="190"/>
    <x v="5"/>
    <s v="Contenedor 20'"/>
    <m/>
    <s v="25 kg"/>
    <m/>
    <m/>
    <s v="ENERO"/>
    <x v="0"/>
    <m/>
    <m/>
    <m/>
    <x v="116"/>
    <m/>
    <m/>
    <x v="121"/>
    <n v="4"/>
    <n v="2018"/>
    <x v="0"/>
    <x v="0"/>
    <s v="AQABA / JORDANIA"/>
    <x v="2"/>
    <m/>
    <x v="0"/>
    <x v="154"/>
    <d v="2018-02-05T00:00:00"/>
    <s v="CLAES MAERSK "/>
    <x v="60"/>
    <x v="3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C"/>
    <x v="0"/>
    <x v="0"/>
    <m/>
    <m/>
    <x v="214"/>
    <m/>
    <x v="34"/>
    <m/>
    <m/>
    <m/>
    <m/>
    <n v="207580"/>
    <x v="32"/>
    <x v="3"/>
    <x v="97"/>
    <d v="2017-12-14T00:00:00"/>
    <s v="CAD"/>
    <m/>
    <n v="20180171"/>
    <m/>
    <d v="2018-02-22T00:00:00"/>
    <s v="CANCELADO"/>
    <s v="CPT"/>
    <m/>
    <x v="8"/>
    <n v="854"/>
    <m/>
    <x v="191"/>
    <x v="5"/>
    <s v="Contenedor 20'"/>
    <m/>
    <s v="25 kg"/>
    <m/>
    <m/>
    <s v="ENERO"/>
    <x v="0"/>
    <m/>
    <m/>
    <m/>
    <x v="117"/>
    <m/>
    <m/>
    <x v="122"/>
    <n v="4"/>
    <n v="2018"/>
    <x v="0"/>
    <x v="0"/>
    <s v="AQABA / JORDANIA"/>
    <x v="0"/>
    <m/>
    <x v="0"/>
    <x v="155"/>
    <d v="2018-02-11T00:00:00"/>
    <s v="CECILIE MAERSK"/>
    <x v="61"/>
    <x v="3"/>
    <m/>
    <m/>
    <m/>
    <m/>
    <m/>
    <m/>
    <x v="0"/>
    <d v="2018-04-17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C"/>
    <x v="0"/>
    <x v="0"/>
    <m/>
    <m/>
    <x v="215"/>
    <m/>
    <x v="34"/>
    <m/>
    <m/>
    <m/>
    <m/>
    <n v="207580"/>
    <x v="32"/>
    <x v="3"/>
    <x v="98"/>
    <d v="2017-12-14T00:00:00"/>
    <s v="CAD"/>
    <m/>
    <n v="20180210"/>
    <m/>
    <d v="2018-03-06T00:00:00"/>
    <s v="CANCELADO"/>
    <s v="CPT"/>
    <m/>
    <x v="8"/>
    <n v="849"/>
    <m/>
    <x v="190"/>
    <x v="5"/>
    <s v="Contenedor 40'"/>
    <m/>
    <s v="25 kg"/>
    <m/>
    <m/>
    <s v="FEBRERO"/>
    <x v="0"/>
    <m/>
    <m/>
    <m/>
    <x v="116"/>
    <m/>
    <m/>
    <x v="121"/>
    <n v="4"/>
    <n v="2018"/>
    <x v="0"/>
    <x v="0"/>
    <s v="AQABA / JORDANIA"/>
    <x v="2"/>
    <m/>
    <x v="0"/>
    <x v="156"/>
    <d v="2018-02-19T00:00:00"/>
    <s v="SEROJA ENAM"/>
    <x v="17"/>
    <x v="3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C"/>
    <x v="0"/>
    <x v="0"/>
    <m/>
    <m/>
    <x v="216"/>
    <m/>
    <x v="34"/>
    <m/>
    <m/>
    <m/>
    <m/>
    <n v="207580"/>
    <x v="32"/>
    <x v="3"/>
    <x v="98"/>
    <d v="2017-12-14T00:00:00"/>
    <s v="CAD"/>
    <m/>
    <n v="20180209"/>
    <m/>
    <d v="2018-03-06T00:00:00"/>
    <s v="CANCELADO"/>
    <s v="CPT"/>
    <m/>
    <x v="8"/>
    <n v="854"/>
    <m/>
    <x v="191"/>
    <x v="5"/>
    <s v="Contenedor 20'"/>
    <m/>
    <s v="25 kg"/>
    <m/>
    <m/>
    <s v="FEBRERO"/>
    <x v="0"/>
    <m/>
    <m/>
    <m/>
    <x v="118"/>
    <m/>
    <m/>
    <x v="123"/>
    <n v="4"/>
    <n v="2018"/>
    <x v="0"/>
    <x v="0"/>
    <s v="AQABA / JORDANIA"/>
    <x v="0"/>
    <m/>
    <x v="0"/>
    <x v="157"/>
    <d v="2018-02-19T00:00:00"/>
    <s v="SEROJA ENAM "/>
    <x v="34"/>
    <x v="3"/>
    <m/>
    <m/>
    <m/>
    <m/>
    <m/>
    <m/>
    <x v="0"/>
    <d v="2018-04-10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217"/>
    <m/>
    <x v="34"/>
    <m/>
    <m/>
    <m/>
    <m/>
    <n v="203616"/>
    <x v="38"/>
    <x v="0"/>
    <x v="99"/>
    <d v="2017-12-21T00:00:00"/>
    <n v="90"/>
    <s v="días BL"/>
    <s v="I-20907"/>
    <m/>
    <d v="2018-06-28T00:00:00"/>
    <s v="CANCELADO"/>
    <s v="CFR"/>
    <m/>
    <x v="128"/>
    <n v="150"/>
    <m/>
    <x v="192"/>
    <x v="0"/>
    <s v="Granel"/>
    <m/>
    <s v="Granel Sólido"/>
    <m/>
    <m/>
    <s v="ENERO"/>
    <x v="0"/>
    <m/>
    <m/>
    <m/>
    <x v="119"/>
    <m/>
    <m/>
    <x v="124"/>
    <n v="5"/>
    <n v="2018"/>
    <x v="0"/>
    <x v="0"/>
    <s v="NANJING / CHINA"/>
    <x v="0"/>
    <m/>
    <x v="0"/>
    <x v="158"/>
    <d v="2018-03-17T00:00:00"/>
    <s v="MV STAR MAINE"/>
    <x v="62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218"/>
    <m/>
    <x v="34"/>
    <m/>
    <m/>
    <m/>
    <m/>
    <n v="203616"/>
    <x v="38"/>
    <x v="0"/>
    <x v="99"/>
    <d v="2017-12-21T00:00:00"/>
    <n v="90"/>
    <s v="días BL"/>
    <s v="I-20909"/>
    <m/>
    <d v="2018-06-28T00:00:00"/>
    <s v="CANCELADO"/>
    <s v="CFR"/>
    <m/>
    <x v="134"/>
    <n v="150"/>
    <m/>
    <x v="193"/>
    <x v="0"/>
    <s v="Granel"/>
    <m/>
    <s v="Granel Sólido"/>
    <m/>
    <m/>
    <s v="ENERO"/>
    <x v="0"/>
    <m/>
    <m/>
    <m/>
    <x v="120"/>
    <m/>
    <m/>
    <x v="125"/>
    <n v="5"/>
    <n v="2018"/>
    <x v="0"/>
    <x v="0"/>
    <s v="NANJING / CHINA"/>
    <x v="1"/>
    <m/>
    <x v="0"/>
    <x v="159"/>
    <d v="2018-03-17T00:00:00"/>
    <s v="MV STAR MAINE"/>
    <x v="62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219"/>
    <m/>
    <x v="34"/>
    <m/>
    <m/>
    <m/>
    <m/>
    <n v="203616"/>
    <x v="39"/>
    <x v="0"/>
    <x v="99"/>
    <d v="2017-12-21T00:00:00"/>
    <n v="90"/>
    <s v="días BL"/>
    <s v="I-20908"/>
    <m/>
    <d v="2018-08-21T00:00:00"/>
    <s v="CANCELADO"/>
    <s v="CFR"/>
    <m/>
    <x v="94"/>
    <n v="147"/>
    <m/>
    <x v="194"/>
    <x v="0"/>
    <s v="Granel"/>
    <m/>
    <s v="Granel Sólido"/>
    <m/>
    <m/>
    <s v="ENERO"/>
    <x v="0"/>
    <m/>
    <m/>
    <m/>
    <x v="119"/>
    <m/>
    <m/>
    <x v="124"/>
    <n v="5"/>
    <n v="2018"/>
    <x v="0"/>
    <x v="0"/>
    <s v="NANJING / CHINA"/>
    <x v="0"/>
    <m/>
    <x v="0"/>
    <x v="160"/>
    <d v="2018-03-17T00:00:00"/>
    <s v="MV STAR MAINE"/>
    <x v="62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220"/>
    <m/>
    <x v="34"/>
    <m/>
    <m/>
    <m/>
    <m/>
    <n v="203616"/>
    <x v="39"/>
    <x v="0"/>
    <x v="99"/>
    <d v="2017-12-21T00:00:00"/>
    <n v="90"/>
    <s v="días BL"/>
    <s v="I-20910"/>
    <m/>
    <d v="2018-08-21T00:00:00"/>
    <s v="CANCELADO"/>
    <s v="CFR"/>
    <m/>
    <x v="134"/>
    <n v="147"/>
    <m/>
    <x v="195"/>
    <x v="0"/>
    <s v="Granel"/>
    <m/>
    <s v="Granel Sólido"/>
    <m/>
    <m/>
    <s v="ENERO"/>
    <x v="0"/>
    <m/>
    <m/>
    <m/>
    <x v="120"/>
    <m/>
    <m/>
    <x v="125"/>
    <n v="5"/>
    <n v="2018"/>
    <x v="0"/>
    <x v="0"/>
    <s v="NANJING / CHINA"/>
    <x v="1"/>
    <m/>
    <x v="0"/>
    <x v="161"/>
    <d v="2018-03-17T00:00:00"/>
    <s v="MV STAR MAINE"/>
    <x v="62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S"/>
    <x v="0"/>
    <x v="0"/>
    <s v="URGENTE"/>
    <m/>
    <x v="221"/>
    <m/>
    <x v="34"/>
    <m/>
    <m/>
    <m/>
    <m/>
    <n v="207579"/>
    <x v="9"/>
    <x v="11"/>
    <x v="100"/>
    <d v="2017-12-27T00:00:00"/>
    <n v="30"/>
    <s v="días BL"/>
    <s v="ROM17021248"/>
    <m/>
    <d v="2018-03-14T00:00:00"/>
    <s v="CANCELADO"/>
    <s v="CIF"/>
    <m/>
    <x v="0"/>
    <n v="310"/>
    <m/>
    <x v="196"/>
    <x v="14"/>
    <s v="Contenedor 20'"/>
    <m/>
    <s v="25 kg"/>
    <m/>
    <m/>
    <s v="FEBRERO"/>
    <x v="0"/>
    <m/>
    <m/>
    <m/>
    <x v="121"/>
    <m/>
    <m/>
    <x v="121"/>
    <n v="4"/>
    <n v="2018"/>
    <x v="0"/>
    <x v="0"/>
    <s v="XINGANG / CHINA"/>
    <x v="0"/>
    <m/>
    <x v="0"/>
    <x v="162"/>
    <d v="2018-02-10T00:00:00"/>
    <s v="TEXAS TRADER"/>
    <x v="45"/>
    <x v="2"/>
    <m/>
    <m/>
    <m/>
    <m/>
    <m/>
    <m/>
    <x v="0"/>
    <d v="2018-04-15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C"/>
    <x v="0"/>
    <x v="0"/>
    <m/>
    <m/>
    <x v="222"/>
    <m/>
    <x v="34"/>
    <m/>
    <m/>
    <m/>
    <m/>
    <n v="207580"/>
    <x v="32"/>
    <x v="3"/>
    <x v="101"/>
    <d v="2017-12-27T00:00:00"/>
    <n v="90"/>
    <s v="días BL"/>
    <n v="20180238"/>
    <m/>
    <d v="2018-05-28T00:00:00"/>
    <s v="CANCELADO"/>
    <s v="CFR"/>
    <m/>
    <x v="135"/>
    <n v="825"/>
    <m/>
    <x v="197"/>
    <x v="4"/>
    <s v="Contenedor 20'"/>
    <m/>
    <s v="25 kg"/>
    <m/>
    <m/>
    <s v="ENE-FEB"/>
    <x v="0"/>
    <m/>
    <m/>
    <m/>
    <x v="122"/>
    <m/>
    <m/>
    <x v="126"/>
    <n v="4"/>
    <n v="2018"/>
    <x v="0"/>
    <x v="0"/>
    <s v="LIANYUNGANG / CHINA"/>
    <x v="2"/>
    <m/>
    <x v="0"/>
    <x v="163"/>
    <d v="2018-02-27T00:00:00"/>
    <s v="EASLINE QINGDAO"/>
    <x v="63"/>
    <x v="3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C"/>
    <x v="0"/>
    <x v="0"/>
    <m/>
    <m/>
    <x v="223"/>
    <m/>
    <x v="34"/>
    <m/>
    <m/>
    <m/>
    <m/>
    <n v="207580"/>
    <x v="32"/>
    <x v="3"/>
    <x v="101"/>
    <d v="2017-12-27T00:00:00"/>
    <n v="90"/>
    <s v="días BL"/>
    <n v="20180239"/>
    <m/>
    <d v="2018-05-28T00:00:00"/>
    <s v="CANCELADO"/>
    <s v="CPT"/>
    <m/>
    <x v="135"/>
    <n v="830"/>
    <m/>
    <x v="198"/>
    <x v="4"/>
    <s v="Contenedor 20'"/>
    <m/>
    <s v="25 kg"/>
    <m/>
    <m/>
    <s v="ENE-FEB"/>
    <x v="0"/>
    <m/>
    <m/>
    <m/>
    <x v="117"/>
    <m/>
    <m/>
    <x v="122"/>
    <n v="4"/>
    <n v="2018"/>
    <x v="0"/>
    <x v="0"/>
    <s v="LIANYUNGANG / CHINA"/>
    <x v="0"/>
    <m/>
    <x v="0"/>
    <x v="164"/>
    <d v="2018-02-27T00:00:00"/>
    <s v="EASLINE QINGDAO"/>
    <x v="64"/>
    <x v="3"/>
    <m/>
    <m/>
    <m/>
    <m/>
    <m/>
    <m/>
    <x v="0"/>
    <d v="2018-04-25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P"/>
    <x v="0"/>
    <x v="0"/>
    <m/>
    <m/>
    <x v="224"/>
    <m/>
    <x v="159"/>
    <m/>
    <m/>
    <m/>
    <s v="CERRADO"/>
    <n v="207498"/>
    <x v="2"/>
    <x v="26"/>
    <x v="102"/>
    <d v="2017-12-28T00:00:00"/>
    <s v="CAD"/>
    <m/>
    <s v="0812-17"/>
    <m/>
    <d v="2018-04-11T00:00:00"/>
    <s v="CANCELADO"/>
    <s v="CFR"/>
    <m/>
    <x v="136"/>
    <n v="795"/>
    <m/>
    <x v="199"/>
    <x v="16"/>
    <s v="Contenedor 20'"/>
    <m/>
    <s v="25 kg"/>
    <m/>
    <m/>
    <s v="ABRIL"/>
    <x v="0"/>
    <m/>
    <m/>
    <m/>
    <x v="123"/>
    <m/>
    <m/>
    <x v="127"/>
    <n v="5"/>
    <n v="2018"/>
    <x v="0"/>
    <x v="0"/>
    <s v="ESTAMBUL / TURQUÍA"/>
    <x v="2"/>
    <m/>
    <x v="0"/>
    <x v="165"/>
    <d v="2018-04-02T00:00:00"/>
    <s v="MSC CORDOBA"/>
    <x v="65"/>
    <x v="4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P"/>
    <x v="0"/>
    <x v="0"/>
    <m/>
    <m/>
    <x v="225"/>
    <m/>
    <x v="160"/>
    <m/>
    <m/>
    <m/>
    <s v="CERRADO"/>
    <n v="207498"/>
    <x v="2"/>
    <x v="26"/>
    <x v="103"/>
    <d v="2017-12-28T00:00:00"/>
    <s v="CAD"/>
    <m/>
    <s v="0912-17"/>
    <m/>
    <d v="2018-04-12T00:00:00"/>
    <s v="CANCELADO"/>
    <s v="CFR"/>
    <m/>
    <x v="136"/>
    <n v="795"/>
    <m/>
    <x v="199"/>
    <x v="16"/>
    <s v="Contenedor 20'"/>
    <m/>
    <s v="25 kg"/>
    <m/>
    <m/>
    <s v="ABRIL"/>
    <x v="0"/>
    <m/>
    <m/>
    <m/>
    <x v="124"/>
    <m/>
    <m/>
    <x v="128"/>
    <n v="5"/>
    <n v="2018"/>
    <x v="0"/>
    <x v="0"/>
    <s v="ESTAMBUL / TURQUÍA"/>
    <x v="0"/>
    <m/>
    <x v="0"/>
    <x v="166"/>
    <d v="2018-04-02T00:00:00"/>
    <s v="MSC MONTEREY"/>
    <x v="34"/>
    <x v="4"/>
    <m/>
    <m/>
    <m/>
    <m/>
    <m/>
    <m/>
    <x v="0"/>
    <d v="2018-06-06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S"/>
    <x v="0"/>
    <x v="0"/>
    <m/>
    <m/>
    <x v="226"/>
    <m/>
    <x v="161"/>
    <m/>
    <m/>
    <m/>
    <s v="CERRADO"/>
    <n v="209979"/>
    <x v="1"/>
    <x v="7"/>
    <x v="104"/>
    <d v="2017-12-26T00:00:00"/>
    <s v="CAD"/>
    <m/>
    <n v="4200585287"/>
    <m/>
    <d v="2018-02-20T00:00:00"/>
    <s v="CANCELADO"/>
    <s v="CPT"/>
    <m/>
    <x v="137"/>
    <n v="510"/>
    <m/>
    <x v="200"/>
    <x v="21"/>
    <s v="Contenedor 20'"/>
    <m/>
    <s v="Granel Sólido"/>
    <m/>
    <m/>
    <s v="ENERO"/>
    <x v="0"/>
    <m/>
    <m/>
    <m/>
    <x v="77"/>
    <m/>
    <m/>
    <x v="99"/>
    <n v="2"/>
    <n v="2018"/>
    <x v="0"/>
    <x v="0"/>
    <s v="HAMBURGO / ALEMANIA"/>
    <x v="0"/>
    <m/>
    <x v="0"/>
    <x v="167"/>
    <d v="2018-01-28T00:00:00"/>
    <s v="CAP SAN SOUNIO"/>
    <x v="15"/>
    <x v="2"/>
    <m/>
    <m/>
    <m/>
    <m/>
    <m/>
    <m/>
    <x v="0"/>
    <d v="2018-03-17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S"/>
    <x v="0"/>
    <x v="0"/>
    <m/>
    <m/>
    <x v="227"/>
    <m/>
    <x v="34"/>
    <m/>
    <m/>
    <m/>
    <m/>
    <n v="206966"/>
    <x v="16"/>
    <x v="13"/>
    <x v="105"/>
    <d v="2017-12-28T00:00:00"/>
    <n v="90"/>
    <s v="días BL"/>
    <s v="6SIT2018001905"/>
    <m/>
    <d v="2018-06-26T00:00:00"/>
    <s v="CANCELADO"/>
    <s v="CFR"/>
    <m/>
    <x v="8"/>
    <n v="627"/>
    <m/>
    <x v="201"/>
    <x v="0"/>
    <s v="Granel - BB"/>
    <m/>
    <s v="25 kg"/>
    <m/>
    <m/>
    <s v="FEBRERO"/>
    <x v="0"/>
    <m/>
    <m/>
    <m/>
    <x v="125"/>
    <m/>
    <m/>
    <x v="129"/>
    <n v="5"/>
    <n v="2018"/>
    <x v="0"/>
    <x v="0"/>
    <s v="NANJING / CHINA"/>
    <x v="2"/>
    <m/>
    <x v="0"/>
    <x v="168"/>
    <d v="2018-03-26T00:00:00"/>
    <s v="MV MISAGO ARROW "/>
    <x v="66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C"/>
    <x v="0"/>
    <x v="0"/>
    <m/>
    <m/>
    <x v="228"/>
    <m/>
    <x v="34"/>
    <m/>
    <m/>
    <m/>
    <m/>
    <n v="206573"/>
    <x v="5"/>
    <x v="6"/>
    <x v="8"/>
    <d v="2017-12-15T00:00:00"/>
    <s v="CAD"/>
    <m/>
    <s v="F001-18456"/>
    <m/>
    <d v="2018-02-01T00:00:00"/>
    <s v="CANCELADO"/>
    <s v="CFR"/>
    <m/>
    <x v="0"/>
    <n v="276"/>
    <m/>
    <x v="202"/>
    <x v="0"/>
    <s v="Granel"/>
    <m/>
    <s v="Granel Sólido"/>
    <m/>
    <m/>
    <s v="ENERO"/>
    <x v="0"/>
    <m/>
    <m/>
    <m/>
    <x v="126"/>
    <m/>
    <m/>
    <x v="130"/>
    <n v="2"/>
    <n v="2018"/>
    <x v="0"/>
    <x v="0"/>
    <s v="RIGA / LETONIA"/>
    <x v="0"/>
    <m/>
    <x v="0"/>
    <x v="2"/>
    <d v="2018-01-21T00:00:00"/>
    <s v="MV AARGAU"/>
    <x v="67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C"/>
    <x v="0"/>
    <x v="0"/>
    <m/>
    <m/>
    <x v="229"/>
    <m/>
    <x v="34"/>
    <m/>
    <m/>
    <m/>
    <m/>
    <n v="206573"/>
    <x v="5"/>
    <x v="6"/>
    <x v="8"/>
    <d v="2017-12-15T00:00:00"/>
    <s v="CAD"/>
    <m/>
    <s v="F001-18457"/>
    <m/>
    <d v="2018-02-01T00:00:00"/>
    <s v="CANCELADO"/>
    <s v="CFR"/>
    <m/>
    <x v="138"/>
    <n v="276"/>
    <m/>
    <x v="203"/>
    <x v="0"/>
    <s v="Granel"/>
    <m/>
    <s v="Granel Sólido"/>
    <m/>
    <m/>
    <s v="ENERO"/>
    <x v="0"/>
    <m/>
    <m/>
    <m/>
    <x v="127"/>
    <m/>
    <m/>
    <x v="131"/>
    <n v="2"/>
    <n v="2018"/>
    <x v="0"/>
    <x v="0"/>
    <s v="RIGA / LETONIA"/>
    <x v="1"/>
    <m/>
    <x v="0"/>
    <x v="11"/>
    <d v="2018-01-21T00:00:00"/>
    <s v="MV AARGAU"/>
    <x v="67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G-C"/>
    <x v="0"/>
    <x v="0"/>
    <m/>
    <m/>
    <x v="230"/>
    <m/>
    <x v="34"/>
    <m/>
    <m/>
    <m/>
    <m/>
    <n v="206573"/>
    <x v="5"/>
    <x v="6"/>
    <x v="8"/>
    <d v="2017-12-15T00:00:00"/>
    <s v="CAD"/>
    <m/>
    <s v="F001-18458"/>
    <m/>
    <d v="2018-02-01T00:00:00"/>
    <s v="CANCELADO"/>
    <s v="CFR"/>
    <m/>
    <x v="70"/>
    <n v="276"/>
    <m/>
    <x v="204"/>
    <x v="0"/>
    <s v="Granel"/>
    <m/>
    <s v="Granel Sólido"/>
    <m/>
    <m/>
    <s v="ENERO"/>
    <x v="0"/>
    <m/>
    <m/>
    <m/>
    <x v="128"/>
    <m/>
    <m/>
    <x v="132"/>
    <n v="3"/>
    <n v="2018"/>
    <x v="0"/>
    <x v="0"/>
    <s v="RIGA / LETONIA"/>
    <x v="2"/>
    <m/>
    <x v="0"/>
    <x v="12"/>
    <d v="2018-01-21T00:00:00"/>
    <s v="MV AARGAU"/>
    <x v="67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7"/>
    <s v="S-S"/>
    <x v="0"/>
    <x v="0"/>
    <m/>
    <m/>
    <x v="231"/>
    <m/>
    <x v="34"/>
    <m/>
    <m/>
    <m/>
    <m/>
    <n v="206914"/>
    <x v="12"/>
    <x v="19"/>
    <x v="106"/>
    <d v="2017-12-28T00:00:00"/>
    <n v="60"/>
    <s v="días BL"/>
    <s v="SG-MS-L-12082"/>
    <m/>
    <d v="2018-05-18T00:00:00"/>
    <s v="CANCELADO"/>
    <s v="CFR"/>
    <m/>
    <x v="15"/>
    <n v="141"/>
    <m/>
    <x v="205"/>
    <x v="0"/>
    <s v="Granel - BB"/>
    <m/>
    <s v="25 kg"/>
    <m/>
    <m/>
    <s v="FEBRERO"/>
    <x v="0"/>
    <m/>
    <m/>
    <m/>
    <x v="129"/>
    <m/>
    <m/>
    <x v="133"/>
    <n v="6"/>
    <n v="2018"/>
    <x v="0"/>
    <x v="0"/>
    <s v="BAYUQUAN / CHINA"/>
    <x v="2"/>
    <m/>
    <x v="0"/>
    <x v="169"/>
    <d v="2018-02-21T00:00:00"/>
    <s v="MV OCEAN AMBITIOUS "/>
    <x v="68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S"/>
    <x v="0"/>
    <x v="1"/>
    <m/>
    <m/>
    <x v="232"/>
    <m/>
    <x v="34"/>
    <m/>
    <m/>
    <m/>
    <m/>
    <m/>
    <x v="16"/>
    <x v="27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18"/>
    <s v="S-S"/>
    <x v="0"/>
    <x v="0"/>
    <m/>
    <m/>
    <x v="233"/>
    <m/>
    <x v="34"/>
    <m/>
    <m/>
    <m/>
    <m/>
    <n v="206971"/>
    <x v="3"/>
    <x v="14"/>
    <x v="107"/>
    <d v="2018-01-04T00:00:00"/>
    <s v="CAD"/>
    <m/>
    <n v="18010036"/>
    <m/>
    <d v="2018-02-08T00:00:00"/>
    <s v="CANCELADO"/>
    <s v="CIF"/>
    <m/>
    <x v="10"/>
    <n v="526"/>
    <m/>
    <x v="206"/>
    <x v="4"/>
    <s v="Contenedor 20'"/>
    <m/>
    <s v="25 kg"/>
    <m/>
    <m/>
    <s v="ENERO"/>
    <x v="0"/>
    <m/>
    <m/>
    <m/>
    <x v="117"/>
    <m/>
    <m/>
    <x v="122"/>
    <n v="4"/>
    <n v="2018"/>
    <x v="0"/>
    <x v="0"/>
    <s v="NHAVA / INDIA"/>
    <x v="4"/>
    <m/>
    <x v="0"/>
    <x v="170"/>
    <d v="2018-01-28T00:00:00"/>
    <s v="CORINTHIAKOS"/>
    <x v="69"/>
    <x v="8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234"/>
    <m/>
    <x v="34"/>
    <m/>
    <m/>
    <m/>
    <m/>
    <n v="206599"/>
    <x v="1"/>
    <x v="14"/>
    <x v="108"/>
    <d v="2018-01-09T00:00:00"/>
    <s v="CAD"/>
    <m/>
    <n v="18010044"/>
    <m/>
    <d v="2018-01-17T00:00:00"/>
    <s v="CANCELADO"/>
    <s v="CIF"/>
    <m/>
    <x v="139"/>
    <n v="501"/>
    <m/>
    <x v="207"/>
    <x v="13"/>
    <s v="Contenedor 20'"/>
    <m/>
    <s v="Bigbag"/>
    <m/>
    <m/>
    <s v="ENERO"/>
    <x v="0"/>
    <m/>
    <m/>
    <m/>
    <x v="118"/>
    <m/>
    <m/>
    <x v="134"/>
    <n v="4"/>
    <n v="2018"/>
    <x v="0"/>
    <x v="0"/>
    <s v="NHAVA / INDIA"/>
    <x v="2"/>
    <m/>
    <x v="0"/>
    <x v="171"/>
    <d v="2018-01-31T00:00:00"/>
    <s v="CSAV TOCONAO"/>
    <x v="70"/>
    <x v="8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P"/>
    <x v="0"/>
    <x v="0"/>
    <m/>
    <m/>
    <x v="235"/>
    <m/>
    <x v="29"/>
    <m/>
    <m/>
    <m/>
    <s v="CERRADO"/>
    <n v="207374"/>
    <x v="17"/>
    <x v="15"/>
    <x v="109"/>
    <d v="2018-01-24T00:00:00"/>
    <s v="PREPAGO"/>
    <m/>
    <s v="272/18 ZMU"/>
    <m/>
    <d v="2018-04-12T00:00:00"/>
    <s v="CANCELADO"/>
    <s v="CFR"/>
    <m/>
    <x v="86"/>
    <n v="315"/>
    <m/>
    <x v="108"/>
    <x v="20"/>
    <s v="Contenedor 20'"/>
    <m/>
    <s v="25 kg"/>
    <m/>
    <m/>
    <s v="ABRIL"/>
    <x v="0"/>
    <m/>
    <m/>
    <m/>
    <x v="130"/>
    <m/>
    <m/>
    <x v="135"/>
    <n v="6"/>
    <n v="2018"/>
    <x v="0"/>
    <x v="0"/>
    <s v="RIGA / LETONIA"/>
    <x v="2"/>
    <m/>
    <x v="0"/>
    <x v="172"/>
    <d v="2018-05-07T00:00:00"/>
    <s v="EMOTION"/>
    <x v="39"/>
    <x v="2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P"/>
    <x v="0"/>
    <x v="0"/>
    <m/>
    <m/>
    <x v="236"/>
    <m/>
    <x v="30"/>
    <m/>
    <m/>
    <m/>
    <s v="CERRADO"/>
    <n v="207374"/>
    <x v="17"/>
    <x v="15"/>
    <x v="110"/>
    <d v="2018-01-24T00:00:00"/>
    <s v="PREPAGO"/>
    <m/>
    <s v="273/18 ZMU"/>
    <m/>
    <d v="2018-04-12T00:00:00"/>
    <s v="CANCELADO"/>
    <s v="CFR"/>
    <m/>
    <x v="86"/>
    <n v="320"/>
    <m/>
    <x v="172"/>
    <x v="20"/>
    <s v="Contenedor 20'"/>
    <m/>
    <s v="25 kg"/>
    <m/>
    <m/>
    <s v="ABRIL"/>
    <x v="0"/>
    <m/>
    <m/>
    <m/>
    <x v="131"/>
    <m/>
    <m/>
    <x v="136"/>
    <n v="6"/>
    <n v="2018"/>
    <x v="0"/>
    <x v="0"/>
    <s v="RIGA / LETONIA"/>
    <x v="0"/>
    <m/>
    <x v="0"/>
    <x v="173"/>
    <d v="2018-05-07T00:00:00"/>
    <s v="EMOTION"/>
    <x v="45"/>
    <x v="2"/>
    <m/>
    <m/>
    <m/>
    <m/>
    <m/>
    <m/>
    <x v="0"/>
    <d v="2018-07-08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237"/>
    <m/>
    <x v="34"/>
    <m/>
    <m/>
    <m/>
    <m/>
    <n v="206599"/>
    <x v="1"/>
    <x v="14"/>
    <x v="111"/>
    <d v="2018-02-12T00:00:00"/>
    <s v="CAD"/>
    <m/>
    <n v="18030032"/>
    <m/>
    <d v="2018-04-04T00:00:00"/>
    <s v="CANCELADO"/>
    <s v="CIF"/>
    <m/>
    <x v="59"/>
    <n v="498"/>
    <m/>
    <x v="208"/>
    <x v="14"/>
    <s v="Contenedor 20'"/>
    <m/>
    <s v="Bigbag"/>
    <m/>
    <m/>
    <s v="FEB-MARZO"/>
    <x v="0"/>
    <m/>
    <m/>
    <m/>
    <x v="132"/>
    <m/>
    <m/>
    <x v="137"/>
    <n v="5"/>
    <n v="2018"/>
    <x v="0"/>
    <x v="0"/>
    <s v="NHAVA / INDIA"/>
    <x v="2"/>
    <m/>
    <x v="0"/>
    <x v="174"/>
    <d v="2018-03-21T00:00:00"/>
    <s v="MSC CRISTINA"/>
    <x v="71"/>
    <x v="4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238"/>
    <m/>
    <x v="34"/>
    <m/>
    <m/>
    <m/>
    <m/>
    <n v="206599"/>
    <x v="1"/>
    <x v="14"/>
    <x v="111"/>
    <d v="2018-02-12T00:00:00"/>
    <s v="CAD"/>
    <m/>
    <n v="18030026"/>
    <m/>
    <d v="2018-03-27T00:00:00"/>
    <s v="CANCELADO"/>
    <s v="CIF"/>
    <m/>
    <x v="140"/>
    <n v="508"/>
    <m/>
    <x v="209"/>
    <x v="22"/>
    <s v="Contenedor 20'"/>
    <m/>
    <s v="Bigbag"/>
    <m/>
    <m/>
    <s v="FEB-MARZO"/>
    <x v="0"/>
    <m/>
    <m/>
    <m/>
    <x v="133"/>
    <m/>
    <m/>
    <x v="138"/>
    <n v="5"/>
    <n v="2018"/>
    <x v="0"/>
    <x v="0"/>
    <s v="NHAVA / INDIA"/>
    <x v="0"/>
    <m/>
    <x v="0"/>
    <x v="175"/>
    <d v="2018-03-14T00:00:00"/>
    <s v="MSC FABIOLA"/>
    <x v="61"/>
    <x v="4"/>
    <m/>
    <m/>
    <m/>
    <m/>
    <m/>
    <m/>
    <x v="0"/>
    <d v="2018-06-06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P"/>
    <x v="0"/>
    <x v="0"/>
    <m/>
    <m/>
    <x v="239"/>
    <m/>
    <x v="31"/>
    <m/>
    <m/>
    <m/>
    <s v="CERRADO"/>
    <n v="207374"/>
    <x v="17"/>
    <x v="15"/>
    <x v="112"/>
    <d v="2018-02-15T00:00:00"/>
    <s v="PREPAGO"/>
    <m/>
    <s v="286/18 ZMU"/>
    <m/>
    <d v="2018-04-12T00:00:00"/>
    <s v="CANCELADO"/>
    <s v="CFR"/>
    <m/>
    <x v="60"/>
    <n v="315"/>
    <m/>
    <x v="210"/>
    <x v="8"/>
    <s v="Contenedor 20'"/>
    <m/>
    <s v="25 kg"/>
    <m/>
    <m/>
    <s v="ABRIL"/>
    <x v="0"/>
    <m/>
    <m/>
    <m/>
    <x v="130"/>
    <m/>
    <m/>
    <x v="135"/>
    <n v="6"/>
    <n v="2018"/>
    <x v="0"/>
    <x v="0"/>
    <s v="RIGA / LETONIA"/>
    <x v="2"/>
    <m/>
    <x v="0"/>
    <x v="176"/>
    <d v="2018-05-07T00:00:00"/>
    <s v="EMOTION"/>
    <x v="39"/>
    <x v="2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P"/>
    <x v="0"/>
    <x v="0"/>
    <m/>
    <m/>
    <x v="240"/>
    <m/>
    <x v="77"/>
    <m/>
    <m/>
    <m/>
    <s v="CERRADO"/>
    <n v="207374"/>
    <x v="17"/>
    <x v="15"/>
    <x v="113"/>
    <d v="2018-02-15T00:00:00"/>
    <s v="PREPAGO"/>
    <m/>
    <s v="287/18 ZMU"/>
    <m/>
    <d v="2018-04-12T00:00:00"/>
    <s v="CANCELADO"/>
    <s v="CFR"/>
    <m/>
    <x v="60"/>
    <n v="320"/>
    <m/>
    <x v="69"/>
    <x v="8"/>
    <s v="Contenedor 20'"/>
    <m/>
    <s v="25 kg"/>
    <m/>
    <m/>
    <s v="ABRIL"/>
    <x v="0"/>
    <m/>
    <m/>
    <m/>
    <x v="131"/>
    <m/>
    <m/>
    <x v="139"/>
    <n v="6"/>
    <n v="2018"/>
    <x v="0"/>
    <x v="0"/>
    <s v="RIGA / LETONIA"/>
    <x v="0"/>
    <m/>
    <x v="0"/>
    <x v="177"/>
    <d v="2018-05-07T00:00:00"/>
    <s v="EMOTION"/>
    <x v="45"/>
    <x v="2"/>
    <m/>
    <m/>
    <m/>
    <m/>
    <m/>
    <m/>
    <x v="0"/>
    <d v="2018-07-08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P"/>
    <x v="0"/>
    <x v="0"/>
    <m/>
    <m/>
    <x v="241"/>
    <m/>
    <x v="162"/>
    <m/>
    <m/>
    <m/>
    <s v="CERRADO"/>
    <n v="207374"/>
    <x v="17"/>
    <x v="15"/>
    <x v="114"/>
    <d v="2018-02-15T00:00:00"/>
    <s v="PREPAGO"/>
    <m/>
    <s v="289/18 ZMU"/>
    <m/>
    <d v="2018-06-08T00:00:00"/>
    <s v="CANCELADO"/>
    <s v="CFR"/>
    <m/>
    <x v="141"/>
    <n v="315"/>
    <m/>
    <x v="211"/>
    <x v="15"/>
    <s v="Contenedor 20'"/>
    <m/>
    <s v="25 kg"/>
    <m/>
    <m/>
    <s v="MAYO"/>
    <x v="0"/>
    <m/>
    <m/>
    <m/>
    <x v="134"/>
    <m/>
    <m/>
    <x v="140"/>
    <n v="8"/>
    <n v="2018"/>
    <x v="0"/>
    <x v="0"/>
    <s v="RIGA / LETONIA"/>
    <x v="2"/>
    <m/>
    <x v="0"/>
    <x v="178"/>
    <d v="2018-07-02T00:00:00"/>
    <s v="BOMAR VICTORY"/>
    <x v="37"/>
    <x v="2"/>
    <m/>
    <m/>
    <m/>
    <m/>
    <m/>
    <m/>
    <x v="0"/>
    <d v="2018-08-16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P"/>
    <x v="0"/>
    <x v="0"/>
    <m/>
    <m/>
    <x v="242"/>
    <m/>
    <x v="163"/>
    <m/>
    <m/>
    <m/>
    <s v="CERRADO"/>
    <n v="207374"/>
    <x v="17"/>
    <x v="15"/>
    <x v="115"/>
    <d v="2018-02-15T00:00:00"/>
    <s v="PREPAGO"/>
    <m/>
    <s v="290/18 ZMU"/>
    <m/>
    <d v="2018-06-08T00:00:00"/>
    <s v="CANCELADO"/>
    <s v="CFR"/>
    <m/>
    <x v="60"/>
    <n v="320"/>
    <m/>
    <x v="69"/>
    <x v="8"/>
    <s v="Contenedor 20'"/>
    <m/>
    <s v="25 kg"/>
    <m/>
    <m/>
    <s v="MAYO"/>
    <x v="0"/>
    <m/>
    <m/>
    <m/>
    <x v="135"/>
    <m/>
    <m/>
    <x v="141"/>
    <n v="8"/>
    <n v="2018"/>
    <x v="0"/>
    <x v="0"/>
    <s v="RIGA / LETONIA"/>
    <x v="0"/>
    <m/>
    <x v="0"/>
    <x v="179"/>
    <d v="2018-07-02T00:00:00"/>
    <s v="BOMAR VICTORY"/>
    <x v="45"/>
    <x v="2"/>
    <m/>
    <m/>
    <m/>
    <m/>
    <m/>
    <m/>
    <x v="0"/>
    <d v="2018-09-02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S"/>
    <x v="0"/>
    <x v="0"/>
    <m/>
    <m/>
    <x v="243"/>
    <m/>
    <x v="34"/>
    <m/>
    <m/>
    <m/>
    <m/>
    <n v="206966"/>
    <x v="16"/>
    <x v="0"/>
    <x v="116"/>
    <d v="2018-03-05T00:00:00"/>
    <s v="CAD"/>
    <m/>
    <n v="21187"/>
    <m/>
    <d v="2018-04-18T00:00:00"/>
    <s v="CANCELADO"/>
    <s v="CFR"/>
    <m/>
    <x v="0"/>
    <n v="673"/>
    <m/>
    <x v="212"/>
    <x v="14"/>
    <s v="Contenedor 20'"/>
    <m/>
    <s v="25 kg"/>
    <m/>
    <m/>
    <s v="MARZO"/>
    <x v="0"/>
    <m/>
    <m/>
    <m/>
    <x v="133"/>
    <m/>
    <m/>
    <x v="142"/>
    <n v="5"/>
    <n v="2018"/>
    <x v="0"/>
    <x v="0"/>
    <s v="YICHANG / CHINA"/>
    <x v="2"/>
    <m/>
    <x v="0"/>
    <x v="180"/>
    <d v="2018-03-31T00:00:00"/>
    <s v="NORTHERN JUVENILE "/>
    <x v="72"/>
    <x v="8"/>
    <m/>
    <m/>
    <m/>
    <m/>
    <m/>
    <m/>
    <x v="0"/>
    <d v="2018-06-13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S"/>
    <x v="0"/>
    <x v="0"/>
    <m/>
    <m/>
    <x v="244"/>
    <m/>
    <x v="34"/>
    <m/>
    <m/>
    <m/>
    <m/>
    <n v="206966"/>
    <x v="16"/>
    <x v="0"/>
    <x v="116"/>
    <d v="2018-03-05T00:00:00"/>
    <s v="CAD"/>
    <m/>
    <n v="21186"/>
    <m/>
    <d v="2018-04-18T00:00:00"/>
    <s v="CANCELADO"/>
    <s v="CFR"/>
    <m/>
    <x v="0"/>
    <n v="676"/>
    <m/>
    <x v="213"/>
    <x v="14"/>
    <s v="Contenedor 20'"/>
    <m/>
    <s v="25 kg"/>
    <m/>
    <m/>
    <s v="MARZO"/>
    <x v="0"/>
    <m/>
    <m/>
    <m/>
    <x v="136"/>
    <m/>
    <m/>
    <x v="143"/>
    <n v="5"/>
    <n v="2018"/>
    <x v="0"/>
    <x v="0"/>
    <s v="YICHANG / CHINA"/>
    <x v="0"/>
    <m/>
    <x v="0"/>
    <x v="181"/>
    <d v="2018-03-31T00:00:00"/>
    <s v="BIN GANG"/>
    <x v="45"/>
    <x v="9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S"/>
    <x v="0"/>
    <x v="2"/>
    <m/>
    <m/>
    <x v="245"/>
    <m/>
    <x v="34"/>
    <m/>
    <m/>
    <m/>
    <m/>
    <m/>
    <x v="16"/>
    <x v="0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18"/>
    <s v="S-S"/>
    <x v="0"/>
    <x v="2"/>
    <m/>
    <m/>
    <x v="246"/>
    <m/>
    <x v="34"/>
    <m/>
    <m/>
    <m/>
    <m/>
    <m/>
    <x v="16"/>
    <x v="0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18"/>
    <s v="S-P"/>
    <x v="0"/>
    <x v="0"/>
    <m/>
    <m/>
    <x v="247"/>
    <m/>
    <x v="20"/>
    <m/>
    <m/>
    <m/>
    <s v="CERRADO"/>
    <n v="207374"/>
    <x v="17"/>
    <x v="15"/>
    <x v="117"/>
    <d v="2018-02-15T00:00:00"/>
    <s v="PREPAGO"/>
    <m/>
    <s v="288/18 ZMU"/>
    <m/>
    <d v="2018-04-12T00:00:00"/>
    <s v="CANCELADO"/>
    <s v="CFR"/>
    <m/>
    <x v="5"/>
    <n v="325"/>
    <m/>
    <x v="214"/>
    <x v="4"/>
    <s v="Contenedor 20'"/>
    <m/>
    <s v="25 kg"/>
    <m/>
    <m/>
    <s v="ABRIL"/>
    <x v="0"/>
    <m/>
    <m/>
    <m/>
    <x v="137"/>
    <m/>
    <m/>
    <x v="144"/>
    <n v="7"/>
    <n v="2018"/>
    <x v="0"/>
    <x v="0"/>
    <s v="RIGA / LETONIA"/>
    <x v="4"/>
    <m/>
    <x v="0"/>
    <x v="182"/>
    <d v="2018-05-07T00:00:00"/>
    <s v="EMOTION"/>
    <x v="27"/>
    <x v="2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E-S"/>
    <x v="0"/>
    <x v="0"/>
    <m/>
    <m/>
    <x v="248"/>
    <m/>
    <x v="21"/>
    <m/>
    <m/>
    <m/>
    <s v="CERRADO"/>
    <n v="205534"/>
    <x v="40"/>
    <x v="28"/>
    <x v="118"/>
    <d v="2018-02-01T00:00:00"/>
    <n v="30"/>
    <s v="días BL"/>
    <n v="551"/>
    <m/>
    <d v="2018-04-06T00:00:00"/>
    <s v="CANCELADO"/>
    <s v="CFR"/>
    <m/>
    <x v="142"/>
    <n v="378"/>
    <m/>
    <x v="215"/>
    <x v="0"/>
    <s v="Contenedor 20'"/>
    <m/>
    <s v="Bigbag"/>
    <m/>
    <m/>
    <s v="MARZO"/>
    <x v="0"/>
    <m/>
    <m/>
    <m/>
    <x v="138"/>
    <m/>
    <m/>
    <x v="145"/>
    <n v="3"/>
    <n v="2018"/>
    <x v="0"/>
    <x v="0"/>
    <s v="QUETZAL/ GUATEMALA"/>
    <x v="2"/>
    <m/>
    <x v="0"/>
    <x v="183"/>
    <d v="2018-03-04T00:00:00"/>
    <s v="ANASSA"/>
    <x v="73"/>
    <x v="14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E-S"/>
    <x v="0"/>
    <x v="0"/>
    <m/>
    <m/>
    <x v="249"/>
    <m/>
    <x v="21"/>
    <m/>
    <m/>
    <m/>
    <s v="CERRADO"/>
    <n v="206950"/>
    <x v="41"/>
    <x v="28"/>
    <x v="118"/>
    <d v="2018-02-01T00:00:00"/>
    <n v="30"/>
    <s v="días BL"/>
    <n v="551"/>
    <m/>
    <d v="2018-04-06T00:00:00"/>
    <s v="CANCELADO"/>
    <s v="CFR"/>
    <m/>
    <x v="142"/>
    <n v="600"/>
    <m/>
    <x v="216"/>
    <x v="0"/>
    <s v="Contenedor 20'"/>
    <m/>
    <s v="20 kg"/>
    <m/>
    <m/>
    <s v="MARZO"/>
    <x v="0"/>
    <m/>
    <m/>
    <m/>
    <x v="138"/>
    <m/>
    <m/>
    <x v="145"/>
    <n v="3"/>
    <n v="2018"/>
    <x v="0"/>
    <x v="0"/>
    <s v="QUETZAL/ GUATEMALA"/>
    <x v="2"/>
    <m/>
    <x v="0"/>
    <x v="183"/>
    <d v="2018-03-04T00:00:00"/>
    <s v="ANASSA"/>
    <x v="73"/>
    <x v="14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E-S"/>
    <x v="0"/>
    <x v="0"/>
    <m/>
    <m/>
    <x v="250"/>
    <m/>
    <x v="21"/>
    <m/>
    <m/>
    <m/>
    <s v="CERRADO"/>
    <n v="209626"/>
    <x v="42"/>
    <x v="28"/>
    <x v="118"/>
    <d v="2018-02-01T00:00:00"/>
    <n v="30"/>
    <s v="días BL"/>
    <n v="551"/>
    <m/>
    <d v="2018-04-06T00:00:00"/>
    <s v="CANCELADO"/>
    <s v="CFR"/>
    <m/>
    <x v="101"/>
    <n v="330"/>
    <m/>
    <x v="217"/>
    <x v="0"/>
    <s v="Contenedor 20'"/>
    <m/>
    <s v="50 kg"/>
    <m/>
    <m/>
    <s v="MARZO"/>
    <x v="0"/>
    <m/>
    <m/>
    <m/>
    <x v="138"/>
    <m/>
    <m/>
    <x v="145"/>
    <n v="3"/>
    <n v="2018"/>
    <x v="0"/>
    <x v="0"/>
    <s v="QUETZAL/ GUATEMALA"/>
    <x v="2"/>
    <m/>
    <x v="0"/>
    <x v="183"/>
    <d v="2018-03-04T00:00:00"/>
    <s v="ANASSA"/>
    <x v="73"/>
    <x v="14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C"/>
    <x v="0"/>
    <x v="0"/>
    <m/>
    <m/>
    <x v="251"/>
    <m/>
    <x v="34"/>
    <m/>
    <m/>
    <m/>
    <m/>
    <n v="207580"/>
    <x v="32"/>
    <x v="29"/>
    <x v="119"/>
    <d v="2018-02-28T00:00:00"/>
    <n v="120"/>
    <s v="días BL"/>
    <s v="GT-78092"/>
    <m/>
    <d v="2018-08-10T00:00:00"/>
    <s v="CANCELADO"/>
    <s v="CFR"/>
    <m/>
    <x v="143"/>
    <n v="820"/>
    <m/>
    <x v="218"/>
    <x v="1"/>
    <s v="Contenedor 20'"/>
    <m/>
    <s v="25 kg"/>
    <m/>
    <m/>
    <s v="MARZO"/>
    <x v="0"/>
    <m/>
    <m/>
    <m/>
    <x v="139"/>
    <m/>
    <m/>
    <x v="146"/>
    <n v="5"/>
    <n v="2018"/>
    <x v="0"/>
    <x v="0"/>
    <s v="IQUIQUE / CHILE"/>
    <x v="2"/>
    <m/>
    <x v="0"/>
    <x v="184"/>
    <d v="2018-04-12T00:00:00"/>
    <s v="MERIDIAN"/>
    <x v="74"/>
    <x v="11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252"/>
    <m/>
    <x v="34"/>
    <m/>
    <m/>
    <m/>
    <m/>
    <n v="204712"/>
    <x v="43"/>
    <x v="3"/>
    <x v="120"/>
    <d v="2018-03-05T00:00:00"/>
    <s v="CAD"/>
    <m/>
    <n v="20180470"/>
    <m/>
    <d v="2018-04-26T00:00:00"/>
    <s v="CANCELADO"/>
    <s v="CPT"/>
    <m/>
    <x v="144"/>
    <n v="158"/>
    <m/>
    <x v="219"/>
    <x v="0"/>
    <s v="Granel - BB"/>
    <m/>
    <s v="50 kg"/>
    <m/>
    <m/>
    <s v="MARZO - ABRIL"/>
    <x v="0"/>
    <m/>
    <m/>
    <m/>
    <x v="139"/>
    <m/>
    <m/>
    <x v="147"/>
    <n v="5"/>
    <n v="2018"/>
    <x v="0"/>
    <x v="0"/>
    <s v="BAYUQUAN / CHINA"/>
    <x v="2"/>
    <m/>
    <x v="0"/>
    <x v="185"/>
    <d v="2018-04-01T00:00:00"/>
    <s v="MV SAGA FRAM "/>
    <x v="75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DEPÓSITO"/>
    <m/>
    <m/>
    <m/>
  </r>
  <r>
    <n v="2018"/>
    <s v="G-S"/>
    <x v="0"/>
    <x v="0"/>
    <m/>
    <m/>
    <x v="253"/>
    <m/>
    <x v="34"/>
    <m/>
    <m/>
    <m/>
    <m/>
    <n v="209852"/>
    <x v="43"/>
    <x v="3"/>
    <x v="121"/>
    <d v="2018-03-05T00:00:00"/>
    <s v="CAD"/>
    <m/>
    <n v="20180374"/>
    <m/>
    <d v="2018-04-12T00:00:00"/>
    <s v="CANCELADO"/>
    <s v="CPT"/>
    <m/>
    <x v="138"/>
    <n v="168"/>
    <m/>
    <x v="220"/>
    <x v="23"/>
    <s v="Contenedor 20'"/>
    <m/>
    <s v="50 kg"/>
    <m/>
    <m/>
    <s v="MAR-ABR"/>
    <x v="0"/>
    <m/>
    <m/>
    <m/>
    <x v="125"/>
    <m/>
    <m/>
    <x v="148"/>
    <n v="5"/>
    <n v="2018"/>
    <x v="0"/>
    <x v="0"/>
    <s v="DALIAN / CHINA"/>
    <x v="0"/>
    <m/>
    <x v="0"/>
    <x v="186"/>
    <d v="2018-03-31T00:00:00"/>
    <s v="MERETE MAERSK."/>
    <x v="76"/>
    <x v="3"/>
    <m/>
    <m/>
    <m/>
    <m/>
    <m/>
    <m/>
    <x v="0"/>
    <d v="2018-05-23T00:00:00"/>
    <m/>
    <x v="0"/>
    <x v="0"/>
    <m/>
    <m/>
    <x v="0"/>
    <e v="#REF!"/>
    <m/>
    <m/>
    <m/>
    <m/>
    <m/>
    <x v="0"/>
    <m/>
    <m/>
    <m/>
    <m/>
    <s v="DEPÓSITO"/>
    <m/>
    <m/>
    <m/>
  </r>
  <r>
    <n v="2018"/>
    <s v="G-S"/>
    <x v="0"/>
    <x v="0"/>
    <m/>
    <m/>
    <x v="254"/>
    <m/>
    <x v="34"/>
    <m/>
    <m/>
    <m/>
    <m/>
    <n v="204712"/>
    <x v="43"/>
    <x v="3"/>
    <x v="121"/>
    <d v="2018-03-05T00:00:00"/>
    <s v="CAD"/>
    <m/>
    <n v="20180375"/>
    <m/>
    <d v="2018-04-12T00:00:00"/>
    <s v="CANCELADO"/>
    <s v="CPT"/>
    <m/>
    <x v="113"/>
    <n v="168"/>
    <m/>
    <x v="221"/>
    <x v="19"/>
    <s v="Contenedor 20'"/>
    <m/>
    <s v="50 kg"/>
    <m/>
    <m/>
    <s v="MAR-ABR"/>
    <x v="0"/>
    <m/>
    <m/>
    <m/>
    <x v="125"/>
    <m/>
    <m/>
    <x v="148"/>
    <n v="5"/>
    <n v="2018"/>
    <x v="0"/>
    <x v="0"/>
    <s v="DALIAN / CHINA"/>
    <x v="0"/>
    <m/>
    <x v="0"/>
    <x v="187"/>
    <d v="2018-03-31T00:00:00"/>
    <s v="MERETE MAERSK."/>
    <x v="31"/>
    <x v="3"/>
    <m/>
    <m/>
    <m/>
    <m/>
    <m/>
    <m/>
    <x v="0"/>
    <m/>
    <m/>
    <x v="0"/>
    <x v="0"/>
    <m/>
    <m/>
    <x v="0"/>
    <e v="#REF!"/>
    <m/>
    <m/>
    <m/>
    <m/>
    <m/>
    <x v="0"/>
    <m/>
    <m/>
    <m/>
    <m/>
    <s v="DEPÓSITO"/>
    <m/>
    <m/>
    <m/>
  </r>
  <r>
    <n v="2018"/>
    <s v="G-S"/>
    <x v="0"/>
    <x v="0"/>
    <m/>
    <m/>
    <x v="255"/>
    <m/>
    <x v="34"/>
    <m/>
    <m/>
    <m/>
    <m/>
    <n v="204712"/>
    <x v="43"/>
    <x v="3"/>
    <x v="121"/>
    <d v="2018-03-05T00:00:00"/>
    <s v="CAD"/>
    <m/>
    <n v="20180453"/>
    <m/>
    <d v="2018-04-26T00:00:00"/>
    <s v="CANCELADO"/>
    <s v="CPT"/>
    <m/>
    <x v="145"/>
    <n v="168"/>
    <m/>
    <x v="222"/>
    <x v="1"/>
    <s v="Contenedor 20'"/>
    <m/>
    <s v="50 kg"/>
    <m/>
    <m/>
    <s v="MAR-ABR"/>
    <x v="0"/>
    <m/>
    <m/>
    <m/>
    <x v="124"/>
    <m/>
    <m/>
    <x v="149"/>
    <n v="5"/>
    <n v="2018"/>
    <x v="0"/>
    <x v="0"/>
    <s v="DALIAN / CHINA"/>
    <x v="0"/>
    <m/>
    <x v="0"/>
    <x v="188"/>
    <d v="2018-04-08T00:00:00"/>
    <s v="MADRID MAERSK"/>
    <x v="34"/>
    <x v="3"/>
    <m/>
    <m/>
    <m/>
    <m/>
    <m/>
    <m/>
    <x v="0"/>
    <d v="2018-05-30T00:00:00"/>
    <m/>
    <x v="0"/>
    <x v="0"/>
    <m/>
    <m/>
    <x v="0"/>
    <e v="#REF!"/>
    <m/>
    <m/>
    <m/>
    <m/>
    <m/>
    <x v="0"/>
    <m/>
    <m/>
    <m/>
    <m/>
    <s v="DEPÓSITO"/>
    <m/>
    <m/>
    <m/>
  </r>
  <r>
    <n v="2018"/>
    <s v="G-S"/>
    <x v="0"/>
    <x v="0"/>
    <m/>
    <m/>
    <x v="256"/>
    <m/>
    <x v="34"/>
    <m/>
    <m/>
    <m/>
    <m/>
    <n v="204712"/>
    <x v="43"/>
    <x v="3"/>
    <x v="121"/>
    <d v="2018-03-05T00:00:00"/>
    <s v="CAD"/>
    <m/>
    <n v="20180452"/>
    <m/>
    <d v="2018-04-26T00:00:00"/>
    <s v="CANCELADO"/>
    <s v="CPT"/>
    <m/>
    <x v="146"/>
    <n v="168"/>
    <m/>
    <x v="223"/>
    <x v="24"/>
    <s v="Contenedor 20'"/>
    <m/>
    <s v="50 kg"/>
    <m/>
    <m/>
    <s v="MAR-ABR"/>
    <x v="0"/>
    <m/>
    <m/>
    <m/>
    <x v="124"/>
    <m/>
    <m/>
    <x v="127"/>
    <n v="5"/>
    <n v="2018"/>
    <x v="0"/>
    <x v="0"/>
    <s v="DALIAN / CHINA"/>
    <x v="0"/>
    <m/>
    <x v="0"/>
    <x v="189"/>
    <d v="2018-04-08T00:00:00"/>
    <s v="MADRID MAERSK"/>
    <x v="34"/>
    <x v="3"/>
    <m/>
    <m/>
    <m/>
    <m/>
    <m/>
    <m/>
    <x v="0"/>
    <d v="2018-05-30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S"/>
    <x v="0"/>
    <x v="0"/>
    <m/>
    <m/>
    <x v="257"/>
    <m/>
    <x v="79"/>
    <m/>
    <m/>
    <m/>
    <s v="CERRADO"/>
    <n v="206971"/>
    <x v="3"/>
    <x v="17"/>
    <x v="122"/>
    <d v="2018-03-16T00:00:00"/>
    <n v="90"/>
    <s v="días BL"/>
    <n v="3300003218"/>
    <m/>
    <d v="2018-07-09T00:00:00"/>
    <s v="CANCELADO"/>
    <s v="CFR"/>
    <m/>
    <x v="147"/>
    <n v="532"/>
    <m/>
    <x v="224"/>
    <x v="4"/>
    <s v="Contenedor 20'"/>
    <m/>
    <s v="25 kg"/>
    <m/>
    <m/>
    <s v="MARZO"/>
    <x v="0"/>
    <m/>
    <m/>
    <m/>
    <x v="140"/>
    <m/>
    <m/>
    <x v="150"/>
    <n v="4"/>
    <n v="2018"/>
    <x v="0"/>
    <x v="0"/>
    <s v="AMBERES / BELGICA"/>
    <x v="2"/>
    <m/>
    <x v="0"/>
    <x v="190"/>
    <d v="2018-04-05T00:00:00"/>
    <s v="MSC AVNI"/>
    <x v="77"/>
    <x v="4"/>
    <m/>
    <m/>
    <m/>
    <m/>
    <m/>
    <m/>
    <x v="0"/>
    <d v="2018-05-11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S"/>
    <x v="0"/>
    <x v="0"/>
    <m/>
    <m/>
    <x v="258"/>
    <m/>
    <x v="80"/>
    <m/>
    <m/>
    <m/>
    <s v="CERRADO"/>
    <n v="206971"/>
    <x v="3"/>
    <x v="17"/>
    <x v="123"/>
    <d v="2018-03-02T00:00:00"/>
    <n v="90"/>
    <s v="días BL"/>
    <n v="3300003534"/>
    <m/>
    <d v="2018-07-17T00:00:00"/>
    <s v="CANCELADO"/>
    <s v="CFR"/>
    <m/>
    <x v="148"/>
    <n v="537"/>
    <m/>
    <x v="225"/>
    <x v="8"/>
    <s v="Contenedor 20'"/>
    <m/>
    <s v="25 kg"/>
    <m/>
    <m/>
    <s v="MARZO"/>
    <x v="0"/>
    <m/>
    <m/>
    <m/>
    <x v="141"/>
    <m/>
    <m/>
    <x v="138"/>
    <n v="5"/>
    <n v="2018"/>
    <x v="0"/>
    <x v="0"/>
    <s v="AMBERES / BELGICA"/>
    <x v="0"/>
    <m/>
    <x v="0"/>
    <x v="191"/>
    <d v="2018-04-18T00:00:00"/>
    <s v="CAP SAN TAINRO"/>
    <x v="45"/>
    <x v="6"/>
    <m/>
    <m/>
    <m/>
    <m/>
    <m/>
    <m/>
    <x v="0"/>
    <d v="2018-06-10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S"/>
    <x v="0"/>
    <x v="0"/>
    <m/>
    <m/>
    <x v="259"/>
    <m/>
    <x v="34"/>
    <m/>
    <m/>
    <m/>
    <m/>
    <n v="206966"/>
    <x v="16"/>
    <x v="0"/>
    <x v="116"/>
    <d v="2018-03-05T00:00:00"/>
    <s v="CAD"/>
    <m/>
    <n v="21219"/>
    <m/>
    <d v="2018-04-23T00:00:00"/>
    <s v="CANCELADO"/>
    <s v="CFR"/>
    <m/>
    <x v="8"/>
    <n v="687"/>
    <m/>
    <x v="226"/>
    <x v="5"/>
    <s v="Contenedor 20'"/>
    <m/>
    <s v="25 kg"/>
    <m/>
    <m/>
    <s v="MARZO"/>
    <x v="0"/>
    <m/>
    <m/>
    <m/>
    <x v="142"/>
    <m/>
    <m/>
    <x v="151"/>
    <n v="6"/>
    <n v="2018"/>
    <x v="0"/>
    <x v="0"/>
    <s v="YICHANG / CHINA"/>
    <x v="4"/>
    <m/>
    <x v="0"/>
    <x v="192"/>
    <d v="2018-03-28T00:00:00"/>
    <s v="NORTHERN JUVENILE "/>
    <x v="78"/>
    <x v="8"/>
    <m/>
    <m/>
    <m/>
    <m/>
    <m/>
    <m/>
    <x v="0"/>
    <d v="2018-06-27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C"/>
    <x v="0"/>
    <x v="0"/>
    <m/>
    <m/>
    <x v="260"/>
    <m/>
    <x v="81"/>
    <m/>
    <m/>
    <m/>
    <s v="CERRADO"/>
    <n v="207580"/>
    <x v="32"/>
    <x v="7"/>
    <x v="124"/>
    <d v="2018-03-16T00:00:00"/>
    <n v="60"/>
    <s v="días FACT."/>
    <n v="4200593960"/>
    <m/>
    <d v="2018-07-06T00:00:00"/>
    <s v="CANCELADO"/>
    <s v="CPT"/>
    <m/>
    <x v="86"/>
    <n v="815"/>
    <m/>
    <x v="227"/>
    <x v="20"/>
    <s v="Contenedor 20'"/>
    <m/>
    <s v="25 kg"/>
    <m/>
    <m/>
    <s v="ABRIL "/>
    <x v="0"/>
    <m/>
    <m/>
    <m/>
    <x v="143"/>
    <m/>
    <m/>
    <x v="152"/>
    <n v="4"/>
    <n v="2018"/>
    <x v="0"/>
    <x v="0"/>
    <s v="ANTOFAGASTA / CHILE"/>
    <x v="2"/>
    <m/>
    <x v="0"/>
    <x v="193"/>
    <d v="2018-04-16T00:00:00"/>
    <s v="SATIE"/>
    <x v="79"/>
    <x v="2"/>
    <m/>
    <m/>
    <m/>
    <m/>
    <m/>
    <m/>
    <x v="0"/>
    <d v="2018-05-11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C"/>
    <x v="0"/>
    <x v="0"/>
    <m/>
    <m/>
    <x v="261"/>
    <m/>
    <x v="82"/>
    <m/>
    <m/>
    <m/>
    <s v="CERRADO"/>
    <n v="207580"/>
    <x v="32"/>
    <x v="7"/>
    <x v="125"/>
    <d v="2018-03-16T00:00:00"/>
    <n v="60"/>
    <s v="días FACT."/>
    <n v="4200596310"/>
    <m/>
    <d v="2018-07-13T00:00:00"/>
    <s v="CANCELADO"/>
    <s v="CPT"/>
    <m/>
    <x v="86"/>
    <n v="820"/>
    <m/>
    <x v="228"/>
    <x v="20"/>
    <s v="Contenedor 20'"/>
    <m/>
    <s v="25 kg"/>
    <m/>
    <m/>
    <s v="ABRIL"/>
    <x v="0"/>
    <m/>
    <m/>
    <m/>
    <x v="141"/>
    <m/>
    <m/>
    <x v="153"/>
    <n v="5"/>
    <n v="2018"/>
    <x v="0"/>
    <x v="0"/>
    <s v="ANGAMOS / CHILE"/>
    <x v="0"/>
    <m/>
    <x v="0"/>
    <x v="194"/>
    <d v="2018-05-09T00:00:00"/>
    <s v="CALLAO EXPRESS"/>
    <x v="45"/>
    <x v="2"/>
    <m/>
    <m/>
    <m/>
    <m/>
    <m/>
    <m/>
    <x v="0"/>
    <d v="2018-06-03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S"/>
    <x v="0"/>
    <x v="0"/>
    <m/>
    <m/>
    <x v="262"/>
    <m/>
    <x v="34"/>
    <m/>
    <m/>
    <m/>
    <m/>
    <n v="206971"/>
    <x v="3"/>
    <x v="3"/>
    <x v="126"/>
    <d v="2018-03-13T00:00:00"/>
    <s v="CAD"/>
    <m/>
    <n v="20180710"/>
    <m/>
    <d v="2018-06-06T00:00:00"/>
    <s v="CANCELADO"/>
    <s v="CPT"/>
    <m/>
    <x v="149"/>
    <n v="513"/>
    <m/>
    <x v="229"/>
    <x v="25"/>
    <s v="Contenedor 20'"/>
    <m/>
    <s v="Bigbag"/>
    <m/>
    <m/>
    <s v="ABR-MAY"/>
    <x v="0"/>
    <m/>
    <m/>
    <m/>
    <x v="144"/>
    <m/>
    <m/>
    <x v="154"/>
    <n v="7"/>
    <n v="2018"/>
    <x v="0"/>
    <x v="0"/>
    <s v="KAOHSIUNG / TAIWAN"/>
    <x v="2"/>
    <m/>
    <x v="0"/>
    <x v="195"/>
    <d v="2018-05-13T00:00:00"/>
    <s v="SVENDBORG MAERSK"/>
    <x v="80"/>
    <x v="3"/>
    <m/>
    <m/>
    <m/>
    <m/>
    <m/>
    <m/>
    <x v="0"/>
    <d v="2018-07-13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S"/>
    <x v="0"/>
    <x v="0"/>
    <m/>
    <m/>
    <x v="263"/>
    <m/>
    <x v="34"/>
    <m/>
    <m/>
    <m/>
    <m/>
    <n v="206971"/>
    <x v="3"/>
    <x v="3"/>
    <x v="127"/>
    <d v="2018-03-13T00:00:00"/>
    <s v="CAD"/>
    <m/>
    <n v="20180537"/>
    <m/>
    <d v="2018-05-28T00:00:00"/>
    <s v="CANCELADO"/>
    <s v="CPT"/>
    <m/>
    <x v="35"/>
    <n v="518"/>
    <m/>
    <x v="230"/>
    <x v="26"/>
    <s v="Contenedor 20'"/>
    <m/>
    <s v="Bigbag"/>
    <m/>
    <m/>
    <s v="ABR-MAY"/>
    <x v="0"/>
    <m/>
    <m/>
    <m/>
    <x v="145"/>
    <m/>
    <m/>
    <x v="155"/>
    <n v="6"/>
    <n v="2018"/>
    <x v="0"/>
    <x v="0"/>
    <s v="KAOHSIUNG / TAIWAN"/>
    <x v="0"/>
    <m/>
    <x v="0"/>
    <x v="196"/>
    <d v="2018-04-20T00:00:00"/>
    <s v="JI HONG"/>
    <x v="31"/>
    <x v="3"/>
    <m/>
    <m/>
    <m/>
    <m/>
    <m/>
    <m/>
    <x v="0"/>
    <d v="2018-07-04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264"/>
    <m/>
    <x v="34"/>
    <m/>
    <m/>
    <m/>
    <m/>
    <n v="207485"/>
    <x v="13"/>
    <x v="30"/>
    <x v="8"/>
    <m/>
    <s v="CAD"/>
    <m/>
    <s v="103-00000028"/>
    <m/>
    <d v="2018-03-15T00:00:00"/>
    <s v="CANCELADO"/>
    <s v="CFR"/>
    <m/>
    <x v="1"/>
    <n v="287"/>
    <m/>
    <x v="231"/>
    <x v="0"/>
    <s v="Granel"/>
    <m/>
    <s v="Granel Sólido"/>
    <m/>
    <m/>
    <s v="ENERO"/>
    <x v="0"/>
    <m/>
    <m/>
    <m/>
    <x v="146"/>
    <m/>
    <m/>
    <x v="115"/>
    <n v="3"/>
    <n v="2018"/>
    <x v="0"/>
    <x v="0"/>
    <s v="UST-LUGA / RUSIA"/>
    <x v="1"/>
    <m/>
    <x v="0"/>
    <x v="1"/>
    <d v="2018-02-04T00:00:00"/>
    <s v=" MV MUSKY"/>
    <x v="57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S"/>
    <x v="0"/>
    <x v="0"/>
    <m/>
    <m/>
    <x v="265"/>
    <m/>
    <x v="34"/>
    <m/>
    <m/>
    <m/>
    <m/>
    <n v="206914"/>
    <x v="12"/>
    <x v="19"/>
    <x v="128"/>
    <d v="2018-03-08T00:00:00"/>
    <n v="60"/>
    <s v="días BL"/>
    <s v="SG-MSL-12169-1"/>
    <m/>
    <d v="2018-06-08T00:00:00"/>
    <s v="CANCELADO"/>
    <s v="CFR"/>
    <m/>
    <x v="150"/>
    <n v="152"/>
    <m/>
    <x v="232"/>
    <x v="27"/>
    <s v="Contenedor 20'"/>
    <m/>
    <s v="25 kg"/>
    <m/>
    <m/>
    <s v="MAR-ABR"/>
    <x v="0"/>
    <m/>
    <m/>
    <m/>
    <x v="141"/>
    <m/>
    <m/>
    <x v="156"/>
    <n v="6"/>
    <n v="2018"/>
    <x v="0"/>
    <x v="0"/>
    <s v="DALIAN / CHINA"/>
    <x v="0"/>
    <m/>
    <x v="0"/>
    <x v="197"/>
    <d v="2018-04-15T00:00:00"/>
    <s v="MUNKEBO MAERSK"/>
    <x v="12"/>
    <x v="3"/>
    <m/>
    <m/>
    <m/>
    <m/>
    <m/>
    <m/>
    <x v="0"/>
    <d v="2018-06-20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266"/>
    <m/>
    <x v="34"/>
    <m/>
    <m/>
    <m/>
    <m/>
    <n v="206599"/>
    <x v="1"/>
    <x v="14"/>
    <x v="111"/>
    <d v="2018-02-12T00:00:00"/>
    <s v="CAD"/>
    <m/>
    <n v="18040008"/>
    <m/>
    <d v="2018-04-20T00:00:00"/>
    <s v="CANCELADO"/>
    <s v="CIF"/>
    <m/>
    <x v="136"/>
    <n v="498"/>
    <m/>
    <x v="233"/>
    <x v="16"/>
    <s v="Contenedor 20'"/>
    <m/>
    <s v="Bigbag"/>
    <m/>
    <m/>
    <s v="FEB-MARZO"/>
    <x v="0"/>
    <m/>
    <m/>
    <m/>
    <x v="147"/>
    <m/>
    <m/>
    <x v="133"/>
    <n v="6"/>
    <n v="2018"/>
    <x v="0"/>
    <x v="0"/>
    <s v="NHAVA / INDIA"/>
    <x v="2"/>
    <m/>
    <x v="0"/>
    <x v="198"/>
    <d v="2018-04-11T00:00:00"/>
    <s v="CONTI ANNAPURNA"/>
    <x v="81"/>
    <x v="4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267"/>
    <m/>
    <x v="34"/>
    <m/>
    <m/>
    <m/>
    <m/>
    <n v="207485"/>
    <x v="13"/>
    <x v="2"/>
    <x v="129"/>
    <d v="2018-03-28T00:00:00"/>
    <s v="CAD"/>
    <m/>
    <s v="SI0001187"/>
    <m/>
    <d v="2018-05-08T00:00:00"/>
    <s v="CANCELADO"/>
    <s v="CFR"/>
    <m/>
    <x v="115"/>
    <n v="280.7"/>
    <m/>
    <x v="234"/>
    <x v="0"/>
    <s v="Granel"/>
    <m/>
    <s v="Granel Sólido"/>
    <m/>
    <m/>
    <s v="ABRIL"/>
    <x v="0"/>
    <m/>
    <m/>
    <m/>
    <x v="148"/>
    <m/>
    <m/>
    <x v="157"/>
    <n v="5"/>
    <n v="2018"/>
    <x v="0"/>
    <x v="0"/>
    <s v="ARZEW / ARGELIA"/>
    <x v="0"/>
    <m/>
    <x v="0"/>
    <x v="199"/>
    <d v="2018-04-18T00:00:00"/>
    <s v="MV NORD NANAMI "/>
    <x v="82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268"/>
    <m/>
    <x v="34"/>
    <m/>
    <m/>
    <m/>
    <m/>
    <n v="207485"/>
    <x v="13"/>
    <x v="2"/>
    <x v="129"/>
    <d v="2018-03-28T00:00:00"/>
    <s v="CAD"/>
    <m/>
    <s v="SI0001188"/>
    <m/>
    <d v="2018-05-08T00:00:00"/>
    <s v="CANCELADO"/>
    <s v="CFR"/>
    <m/>
    <x v="151"/>
    <n v="280.7"/>
    <m/>
    <x v="235"/>
    <x v="0"/>
    <s v="Granel"/>
    <m/>
    <s v="Granel Sólido"/>
    <m/>
    <m/>
    <s v="ABRIL"/>
    <x v="0"/>
    <m/>
    <m/>
    <m/>
    <x v="149"/>
    <m/>
    <m/>
    <x v="158"/>
    <n v="6"/>
    <n v="2018"/>
    <x v="0"/>
    <x v="0"/>
    <s v="ARZEW / ARGELIA"/>
    <x v="1"/>
    <m/>
    <x v="0"/>
    <x v="200"/>
    <d v="2018-04-18T00:00:00"/>
    <s v="MV NORD NANAMI "/>
    <x v="82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269"/>
    <m/>
    <x v="34"/>
    <m/>
    <m/>
    <m/>
    <m/>
    <n v="207485"/>
    <x v="13"/>
    <x v="2"/>
    <x v="129"/>
    <d v="2018-03-28T00:00:00"/>
    <s v="CAD"/>
    <m/>
    <s v="SI0001189"/>
    <m/>
    <d v="2018-05-08T00:00:00"/>
    <s v="CANCELADO"/>
    <s v="CFR"/>
    <m/>
    <x v="100"/>
    <n v="280.7"/>
    <m/>
    <x v="236"/>
    <x v="0"/>
    <s v="Granel"/>
    <m/>
    <s v="Granel Sólido"/>
    <m/>
    <m/>
    <s v="ABRIL"/>
    <x v="0"/>
    <m/>
    <m/>
    <m/>
    <x v="150"/>
    <m/>
    <m/>
    <x v="159"/>
    <n v="6"/>
    <n v="2018"/>
    <x v="0"/>
    <x v="0"/>
    <s v="ARZEW / ARGELIA"/>
    <x v="2"/>
    <m/>
    <x v="0"/>
    <x v="201"/>
    <d v="2018-04-18T00:00:00"/>
    <s v="MV NORD NANAMI "/>
    <x v="82"/>
    <x v="0"/>
    <m/>
    <m/>
    <m/>
    <m/>
    <m/>
    <m/>
    <x v="0"/>
    <s v="-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E-S"/>
    <x v="0"/>
    <x v="0"/>
    <m/>
    <m/>
    <x v="270"/>
    <m/>
    <x v="34"/>
    <m/>
    <m/>
    <m/>
    <m/>
    <n v="209624"/>
    <x v="44"/>
    <x v="28"/>
    <x v="130"/>
    <d v="2018-04-04T00:00:00"/>
    <n v="30"/>
    <s v="días BL"/>
    <n v="627"/>
    <m/>
    <d v="2018-05-28T00:00:00"/>
    <s v="CANCELADO"/>
    <s v="CFR"/>
    <m/>
    <x v="145"/>
    <n v="280"/>
    <m/>
    <x v="237"/>
    <x v="0"/>
    <s v="Contenedor 20'"/>
    <m/>
    <s v="Bigbag"/>
    <m/>
    <m/>
    <s v="ABRIL"/>
    <x v="0"/>
    <m/>
    <m/>
    <m/>
    <x v="132"/>
    <m/>
    <m/>
    <x v="160"/>
    <n v="5"/>
    <n v="2018"/>
    <x v="0"/>
    <x v="0"/>
    <s v="QUETZAL/ GUATEMALA"/>
    <x v="2"/>
    <m/>
    <x v="0"/>
    <x v="202"/>
    <d v="2018-05-06T00:00:00"/>
    <s v="ROTTERDAM"/>
    <x v="83"/>
    <x v="14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271"/>
    <m/>
    <x v="34"/>
    <m/>
    <m/>
    <m/>
    <m/>
    <n v="207951"/>
    <x v="6"/>
    <x v="6"/>
    <x v="8"/>
    <d v="2018-04-05T00:00:00"/>
    <s v="CAD"/>
    <m/>
    <s v="F001-22212"/>
    <m/>
    <d v="2018-06-05T00:00:00"/>
    <s v="CANCELADO"/>
    <s v="CFR"/>
    <m/>
    <x v="42"/>
    <n v="264.5"/>
    <m/>
    <x v="238"/>
    <x v="0"/>
    <s v="Granel"/>
    <m/>
    <s v="Granel Sólido"/>
    <m/>
    <m/>
    <s v="MAYO"/>
    <x v="0"/>
    <m/>
    <m/>
    <m/>
    <x v="151"/>
    <m/>
    <m/>
    <x v="136"/>
    <n v="6"/>
    <n v="2018"/>
    <x v="0"/>
    <x v="0"/>
    <s v="RIGA / LETONIA"/>
    <x v="0"/>
    <m/>
    <x v="0"/>
    <x v="203"/>
    <d v="2018-05-24T00:00:00"/>
    <s v="MV IONIC HALO"/>
    <x v="84"/>
    <x v="0"/>
    <m/>
    <m/>
    <m/>
    <m/>
    <m/>
    <m/>
    <x v="0"/>
    <s v="-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272"/>
    <m/>
    <x v="34"/>
    <m/>
    <m/>
    <m/>
    <m/>
    <n v="207951"/>
    <x v="6"/>
    <x v="6"/>
    <x v="8"/>
    <d v="2018-04-05T00:00:00"/>
    <s v="CAD"/>
    <m/>
    <s v="F001-22213"/>
    <m/>
    <d v="2018-06-05T00:00:00"/>
    <s v="CANCELADO"/>
    <s v="CFR"/>
    <m/>
    <x v="152"/>
    <n v="264.5"/>
    <m/>
    <x v="239"/>
    <x v="0"/>
    <s v="Granel"/>
    <m/>
    <s v="Granel Sólido"/>
    <m/>
    <m/>
    <s v="MAYO"/>
    <x v="0"/>
    <m/>
    <m/>
    <m/>
    <x v="152"/>
    <m/>
    <m/>
    <x v="161"/>
    <n v="6"/>
    <n v="2018"/>
    <x v="0"/>
    <x v="0"/>
    <s v="RIGA / LETONIA"/>
    <x v="1"/>
    <m/>
    <x v="0"/>
    <x v="204"/>
    <d v="2018-05-24T00:00:00"/>
    <s v="MV IONIC HALO"/>
    <x v="8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273"/>
    <m/>
    <x v="34"/>
    <m/>
    <m/>
    <m/>
    <m/>
    <n v="207951"/>
    <x v="6"/>
    <x v="6"/>
    <x v="8"/>
    <d v="2018-04-05T00:00:00"/>
    <s v="CAD"/>
    <m/>
    <s v="F001-22214"/>
    <m/>
    <d v="2018-06-05T00:00:00"/>
    <s v="CANCELADO"/>
    <s v="CFR"/>
    <m/>
    <x v="152"/>
    <n v="264.5"/>
    <m/>
    <x v="239"/>
    <x v="0"/>
    <s v="Granel"/>
    <m/>
    <s v="Granel Sólido"/>
    <m/>
    <m/>
    <s v="MAYO"/>
    <x v="0"/>
    <m/>
    <m/>
    <m/>
    <x v="153"/>
    <m/>
    <m/>
    <x v="162"/>
    <n v="6"/>
    <n v="2018"/>
    <x v="0"/>
    <x v="0"/>
    <s v="RIGA / LETONIA"/>
    <x v="2"/>
    <m/>
    <x v="0"/>
    <x v="205"/>
    <d v="2018-05-24T00:00:00"/>
    <s v="MV IONIC HALO"/>
    <x v="84"/>
    <x v="0"/>
    <m/>
    <m/>
    <m/>
    <m/>
    <m/>
    <m/>
    <x v="0"/>
    <s v="-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1"/>
    <m/>
    <m/>
    <x v="274"/>
    <m/>
    <x v="34"/>
    <m/>
    <m/>
    <m/>
    <m/>
    <m/>
    <x v="6"/>
    <x v="6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18"/>
    <s v="G-C"/>
    <x v="0"/>
    <x v="0"/>
    <m/>
    <m/>
    <x v="275"/>
    <m/>
    <x v="34"/>
    <m/>
    <m/>
    <m/>
    <m/>
    <n v="206573"/>
    <x v="5"/>
    <x v="6"/>
    <x v="8"/>
    <d v="2018-04-05T00:00:00"/>
    <s v="CAD"/>
    <m/>
    <s v="F001-22223"/>
    <m/>
    <d v="2018-06-05T00:00:00"/>
    <s v="CANCELADO"/>
    <s v="CFR"/>
    <m/>
    <x v="153"/>
    <n v="246"/>
    <m/>
    <x v="240"/>
    <x v="0"/>
    <s v="Granel"/>
    <m/>
    <s v="Granel Sólido"/>
    <m/>
    <m/>
    <s v="MAYO"/>
    <x v="0"/>
    <m/>
    <m/>
    <m/>
    <x v="151"/>
    <m/>
    <m/>
    <x v="136"/>
    <n v="6"/>
    <n v="2018"/>
    <x v="0"/>
    <x v="0"/>
    <s v="RIGA / LETONIA"/>
    <x v="0"/>
    <m/>
    <x v="0"/>
    <x v="206"/>
    <d v="2018-05-24T00:00:00"/>
    <s v="MV IONIC HALO"/>
    <x v="84"/>
    <x v="0"/>
    <m/>
    <m/>
    <m/>
    <m/>
    <m/>
    <m/>
    <x v="0"/>
    <s v="-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C"/>
    <x v="0"/>
    <x v="0"/>
    <m/>
    <m/>
    <x v="276"/>
    <m/>
    <x v="34"/>
    <m/>
    <m/>
    <m/>
    <m/>
    <n v="206573"/>
    <x v="5"/>
    <x v="6"/>
    <x v="8"/>
    <d v="2018-04-05T00:00:00"/>
    <s v="CAD"/>
    <m/>
    <s v="F001-22215"/>
    <m/>
    <d v="2018-06-05T00:00:00"/>
    <s v="CANCELADO"/>
    <s v="CFR"/>
    <m/>
    <x v="154"/>
    <n v="246"/>
    <m/>
    <x v="241"/>
    <x v="0"/>
    <s v="Granel"/>
    <m/>
    <s v="Granel Sólido"/>
    <m/>
    <m/>
    <s v="MAYO"/>
    <x v="0"/>
    <m/>
    <m/>
    <m/>
    <x v="152"/>
    <m/>
    <m/>
    <x v="161"/>
    <n v="6"/>
    <n v="2018"/>
    <x v="0"/>
    <x v="0"/>
    <s v="RIGA / LETONIA"/>
    <x v="1"/>
    <m/>
    <x v="0"/>
    <x v="207"/>
    <d v="2018-05-24T00:00:00"/>
    <s v="MV IONIC HALO"/>
    <x v="8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C"/>
    <x v="0"/>
    <x v="0"/>
    <m/>
    <m/>
    <x v="277"/>
    <m/>
    <x v="34"/>
    <m/>
    <m/>
    <m/>
    <m/>
    <n v="206573"/>
    <x v="5"/>
    <x v="6"/>
    <x v="8"/>
    <d v="2018-04-05T00:00:00"/>
    <s v="CAD"/>
    <m/>
    <s v="F001-22218"/>
    <m/>
    <d v="2018-06-05T00:00:00"/>
    <s v="CANCELADO"/>
    <s v="CFR"/>
    <m/>
    <x v="155"/>
    <n v="246"/>
    <m/>
    <x v="242"/>
    <x v="0"/>
    <s v="Granel"/>
    <m/>
    <s v="Granel Sólido"/>
    <m/>
    <m/>
    <s v="MAYO"/>
    <x v="0"/>
    <m/>
    <m/>
    <m/>
    <x v="153"/>
    <m/>
    <m/>
    <x v="162"/>
    <n v="6"/>
    <n v="2018"/>
    <x v="0"/>
    <x v="0"/>
    <s v="RIGA / LETONIA"/>
    <x v="2"/>
    <m/>
    <x v="0"/>
    <x v="208"/>
    <d v="2018-05-24T00:00:00"/>
    <s v="MV IONIC HALO"/>
    <x v="84"/>
    <x v="0"/>
    <m/>
    <m/>
    <m/>
    <m/>
    <m/>
    <m/>
    <x v="0"/>
    <s v="-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C"/>
    <x v="0"/>
    <x v="0"/>
    <m/>
    <m/>
    <x v="278"/>
    <m/>
    <x v="34"/>
    <m/>
    <m/>
    <m/>
    <m/>
    <n v="206573"/>
    <x v="5"/>
    <x v="6"/>
    <x v="8"/>
    <d v="2018-04-05T00:00:00"/>
    <s v="CAD"/>
    <m/>
    <s v="F001-22217"/>
    <m/>
    <d v="2018-06-05T00:00:00"/>
    <s v="CANCELADO"/>
    <s v="CFR"/>
    <m/>
    <x v="156"/>
    <n v="246"/>
    <m/>
    <x v="243"/>
    <x v="0"/>
    <s v="Granel"/>
    <m/>
    <s v="Granel Sólido"/>
    <m/>
    <m/>
    <s v="MAYO"/>
    <x v="0"/>
    <m/>
    <m/>
    <m/>
    <x v="154"/>
    <m/>
    <m/>
    <x v="163"/>
    <n v="6"/>
    <n v="2018"/>
    <x v="0"/>
    <x v="0"/>
    <s v="RIGA / LETONIA"/>
    <x v="3"/>
    <m/>
    <x v="0"/>
    <x v="209"/>
    <d v="2018-05-24T00:00:00"/>
    <s v="MV IONIC HALO"/>
    <x v="8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C"/>
    <x v="0"/>
    <x v="0"/>
    <m/>
    <m/>
    <x v="279"/>
    <m/>
    <x v="34"/>
    <m/>
    <m/>
    <m/>
    <m/>
    <n v="206573"/>
    <x v="5"/>
    <x v="6"/>
    <x v="8"/>
    <d v="2018-04-05T00:00:00"/>
    <s v="CAD"/>
    <m/>
    <s v="F001-22216"/>
    <m/>
    <d v="2018-06-05T00:00:00"/>
    <s v="CANCELADO"/>
    <s v="CFR"/>
    <m/>
    <x v="156"/>
    <n v="246"/>
    <m/>
    <x v="243"/>
    <x v="0"/>
    <s v="Granel"/>
    <m/>
    <s v="Granel Sólido"/>
    <m/>
    <m/>
    <s v="MAYO"/>
    <x v="0"/>
    <m/>
    <m/>
    <m/>
    <x v="155"/>
    <m/>
    <m/>
    <x v="164"/>
    <n v="7"/>
    <n v="2018"/>
    <x v="0"/>
    <x v="0"/>
    <s v="RIGA / LETONIA"/>
    <x v="4"/>
    <m/>
    <x v="0"/>
    <x v="210"/>
    <d v="2018-05-24T00:00:00"/>
    <s v="MV IONIC HALO"/>
    <x v="8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S"/>
    <x v="0"/>
    <x v="0"/>
    <m/>
    <m/>
    <x v="280"/>
    <m/>
    <x v="34"/>
    <m/>
    <m/>
    <m/>
    <m/>
    <n v="206971"/>
    <x v="3"/>
    <x v="3"/>
    <x v="127"/>
    <d v="2018-03-13T00:00:00"/>
    <s v="CAD"/>
    <m/>
    <n v="20180572"/>
    <m/>
    <d v="2018-05-28T00:00:00"/>
    <s v="CANCELADO"/>
    <s v="CPT"/>
    <m/>
    <x v="17"/>
    <n v="518"/>
    <m/>
    <x v="244"/>
    <x v="28"/>
    <s v="Contenedor 20'"/>
    <m/>
    <s v="Bigbag"/>
    <m/>
    <m/>
    <s v="ABR-MAY"/>
    <x v="0"/>
    <m/>
    <m/>
    <m/>
    <x v="156"/>
    <m/>
    <m/>
    <x v="135"/>
    <n v="6"/>
    <n v="2018"/>
    <x v="0"/>
    <x v="0"/>
    <s v="KAOHSIUNG / TAIWAN"/>
    <x v="0"/>
    <m/>
    <x v="0"/>
    <x v="211"/>
    <d v="2018-04-28T00:00:00"/>
    <s v="JI HONG "/>
    <x v="13"/>
    <x v="3"/>
    <m/>
    <m/>
    <m/>
    <m/>
    <m/>
    <m/>
    <x v="0"/>
    <d v="2018-06-27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C"/>
    <x v="0"/>
    <x v="0"/>
    <m/>
    <m/>
    <x v="281"/>
    <m/>
    <x v="75"/>
    <m/>
    <m/>
    <m/>
    <s v="CERRADO"/>
    <n v="207580"/>
    <x v="32"/>
    <x v="29"/>
    <x v="131"/>
    <d v="2018-04-26T00:00:00"/>
    <n v="120"/>
    <s v="días BL"/>
    <s v="GT-79079"/>
    <m/>
    <d v="2018-10-10T00:00:00"/>
    <s v="CANCELADO"/>
    <s v="CFR"/>
    <m/>
    <x v="5"/>
    <n v="800"/>
    <m/>
    <x v="245"/>
    <x v="4"/>
    <s v="Contenedor 20'"/>
    <m/>
    <s v="25 kg"/>
    <m/>
    <m/>
    <s v="2da Q. MAYO"/>
    <x v="0"/>
    <m/>
    <m/>
    <m/>
    <x v="152"/>
    <m/>
    <m/>
    <x v="161"/>
    <n v="6"/>
    <n v="2018"/>
    <x v="0"/>
    <x v="0"/>
    <s v="IQUIQUE / CHILE"/>
    <x v="2"/>
    <m/>
    <x v="0"/>
    <x v="212"/>
    <d v="2018-06-09T00:00:00"/>
    <s v="MAPOCHO"/>
    <x v="39"/>
    <x v="2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C"/>
    <x v="0"/>
    <x v="0"/>
    <m/>
    <m/>
    <x v="282"/>
    <m/>
    <x v="76"/>
    <m/>
    <m/>
    <m/>
    <s v="CERRADO"/>
    <n v="207580"/>
    <x v="32"/>
    <x v="29"/>
    <x v="132"/>
    <d v="2018-04-26T00:00:00"/>
    <n v="120"/>
    <s v="días BL"/>
    <s v="GT-79315"/>
    <m/>
    <d v="2018-10-19T00:00:00"/>
    <s v="CANCELADO"/>
    <s v="CFR"/>
    <m/>
    <x v="5"/>
    <n v="805"/>
    <m/>
    <x v="246"/>
    <x v="4"/>
    <s v="Contenedor 20'"/>
    <m/>
    <s v="25 kg"/>
    <m/>
    <m/>
    <s v="2da Q. MAYO"/>
    <x v="0"/>
    <m/>
    <m/>
    <m/>
    <x v="157"/>
    <m/>
    <m/>
    <x v="165"/>
    <n v="7"/>
    <n v="2018"/>
    <x v="0"/>
    <x v="0"/>
    <s v="IQUIQUE / CHILE"/>
    <x v="0"/>
    <m/>
    <x v="0"/>
    <x v="213"/>
    <d v="2018-06-21T00:00:00"/>
    <s v="MAPOCHO"/>
    <x v="45"/>
    <x v="2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C"/>
    <x v="0"/>
    <x v="0"/>
    <m/>
    <m/>
    <x v="283"/>
    <m/>
    <x v="164"/>
    <m/>
    <m/>
    <m/>
    <s v="CERRADO"/>
    <n v="207580"/>
    <x v="32"/>
    <x v="3"/>
    <x v="133"/>
    <d v="2018-05-11T00:00:00"/>
    <s v="CAD"/>
    <m/>
    <s v="KTI20180933"/>
    <m/>
    <d v="2018-07-13T00:00:00"/>
    <s v="CANCELADO"/>
    <s v="CPT"/>
    <m/>
    <x v="157"/>
    <n v="786"/>
    <m/>
    <x v="247"/>
    <x v="20"/>
    <s v="Contenedor 20'"/>
    <m/>
    <s v="25 kg"/>
    <m/>
    <m/>
    <s v="2da Q. MAYO"/>
    <x v="0"/>
    <m/>
    <m/>
    <m/>
    <x v="158"/>
    <m/>
    <m/>
    <x v="166"/>
    <n v="8"/>
    <n v="2018"/>
    <x v="0"/>
    <x v="0"/>
    <s v="LIANYUNGANG / CHINA"/>
    <x v="2"/>
    <m/>
    <x v="0"/>
    <x v="214"/>
    <d v="2018-06-26T00:00:00"/>
    <s v="EASLINE QINGDAO"/>
    <x v="85"/>
    <x v="3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C"/>
    <x v="0"/>
    <x v="0"/>
    <m/>
    <m/>
    <x v="284"/>
    <m/>
    <x v="165"/>
    <m/>
    <m/>
    <m/>
    <s v="CERRADO"/>
    <n v="207580"/>
    <x v="32"/>
    <x v="3"/>
    <x v="134"/>
    <d v="2018-05-11T00:00:00"/>
    <s v="CAD"/>
    <m/>
    <s v="KTI20180957"/>
    <m/>
    <d v="2018-07-13T00:00:00"/>
    <s v="CANCELADO"/>
    <s v="CPT"/>
    <m/>
    <x v="157"/>
    <n v="791"/>
    <m/>
    <x v="248"/>
    <x v="20"/>
    <s v="Contenedor 20'"/>
    <m/>
    <s v="25 kg"/>
    <m/>
    <m/>
    <s v="2da Q. MAYO"/>
    <x v="0"/>
    <m/>
    <m/>
    <m/>
    <x v="159"/>
    <m/>
    <m/>
    <x v="166"/>
    <n v="8"/>
    <n v="2018"/>
    <x v="0"/>
    <x v="0"/>
    <s v="LIANYUNGANG / CHINA"/>
    <x v="0"/>
    <m/>
    <x v="0"/>
    <x v="215"/>
    <d v="2018-07-07T00:00:00"/>
    <s v="EASLINE QINGDAO"/>
    <x v="14"/>
    <x v="3"/>
    <m/>
    <m/>
    <m/>
    <m/>
    <m/>
    <m/>
    <x v="0"/>
    <d v="2018-08-30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C"/>
    <x v="0"/>
    <x v="0"/>
    <m/>
    <m/>
    <x v="285"/>
    <m/>
    <x v="166"/>
    <m/>
    <m/>
    <m/>
    <s v="CERRADO"/>
    <n v="207580"/>
    <x v="32"/>
    <x v="3"/>
    <x v="133"/>
    <d v="2018-05-11T00:00:00"/>
    <s v="CAD"/>
    <m/>
    <s v="KTI20180994"/>
    <m/>
    <d v="2018-07-20T00:00:00"/>
    <s v="CANCELADO"/>
    <s v="CPT"/>
    <m/>
    <x v="158"/>
    <n v="786"/>
    <m/>
    <x v="249"/>
    <x v="10"/>
    <s v="Contenedor 20'"/>
    <m/>
    <s v="25 kg"/>
    <m/>
    <m/>
    <s v="2da Q. JUNIO"/>
    <x v="0"/>
    <m/>
    <m/>
    <m/>
    <x v="160"/>
    <m/>
    <m/>
    <x v="167"/>
    <n v="8"/>
    <n v="2018"/>
    <x v="0"/>
    <x v="0"/>
    <s v="LIANYUNGANG / CHINA"/>
    <x v="2"/>
    <m/>
    <x v="0"/>
    <x v="216"/>
    <d v="2018-07-07T00:00:00"/>
    <s v="EASLINE QINGDAO"/>
    <x v="86"/>
    <x v="3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C"/>
    <x v="0"/>
    <x v="0"/>
    <m/>
    <m/>
    <x v="286"/>
    <m/>
    <x v="167"/>
    <m/>
    <m/>
    <m/>
    <s v="CERRADO"/>
    <n v="207580"/>
    <x v="32"/>
    <x v="3"/>
    <x v="134"/>
    <d v="2018-05-11T00:00:00"/>
    <s v="CAD"/>
    <m/>
    <s v="KTI20181035"/>
    <m/>
    <d v="2018-07-26T00:00:00"/>
    <s v="CANCELADO"/>
    <s v="CPT"/>
    <m/>
    <x v="157"/>
    <n v="791"/>
    <m/>
    <x v="248"/>
    <x v="20"/>
    <s v="Contenedor 20'"/>
    <m/>
    <s v="25 kg"/>
    <m/>
    <m/>
    <s v="2da Q. JUNIO"/>
    <x v="0"/>
    <m/>
    <m/>
    <m/>
    <x v="161"/>
    <m/>
    <m/>
    <x v="168"/>
    <n v="8"/>
    <n v="2018"/>
    <x v="0"/>
    <x v="0"/>
    <s v="LIANYUNGANG / CHINA"/>
    <x v="0"/>
    <m/>
    <x v="0"/>
    <x v="217"/>
    <d v="2018-07-13T00:00:00"/>
    <s v="EASLINE QINGDAO"/>
    <x v="13"/>
    <x v="3"/>
    <m/>
    <m/>
    <m/>
    <m/>
    <m/>
    <m/>
    <x v="0"/>
    <d v="2018-09-07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P"/>
    <x v="0"/>
    <x v="0"/>
    <m/>
    <m/>
    <x v="287"/>
    <m/>
    <x v="168"/>
    <m/>
    <m/>
    <m/>
    <s v="CERRADO"/>
    <n v="207498"/>
    <x v="2"/>
    <x v="0"/>
    <x v="135"/>
    <d v="2018-04-23T00:00:00"/>
    <s v="CAD"/>
    <m/>
    <n v="22139"/>
    <m/>
    <d v="2018-07-10T00:00:00"/>
    <s v="CANCELADO"/>
    <s v="CFR"/>
    <m/>
    <x v="159"/>
    <n v="808"/>
    <m/>
    <x v="250"/>
    <x v="16"/>
    <s v="Contenedor 20'"/>
    <m/>
    <s v="25 kg"/>
    <m/>
    <m/>
    <s v="MAYO"/>
    <x v="0"/>
    <m/>
    <m/>
    <m/>
    <x v="162"/>
    <m/>
    <m/>
    <x v="169"/>
    <n v="8"/>
    <n v="2018"/>
    <x v="0"/>
    <x v="0"/>
    <s v="HUANGPU / CHINA"/>
    <x v="2"/>
    <m/>
    <x v="0"/>
    <x v="218"/>
    <d v="2018-06-25T00:00:00"/>
    <s v="SUIDONG FANG "/>
    <x v="87"/>
    <x v="4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P"/>
    <x v="0"/>
    <x v="0"/>
    <m/>
    <m/>
    <x v="288"/>
    <m/>
    <x v="34"/>
    <m/>
    <m/>
    <m/>
    <m/>
    <n v="207498"/>
    <x v="2"/>
    <x v="0"/>
    <x v="136"/>
    <d v="2018-04-23T00:00:00"/>
    <s v="CAD"/>
    <m/>
    <n v="22071"/>
    <m/>
    <d v="2018-06-26T00:00:00"/>
    <s v="CANCELADO"/>
    <s v="CFR"/>
    <m/>
    <x v="160"/>
    <n v="814"/>
    <m/>
    <x v="251"/>
    <x v="4"/>
    <s v="Contenedor 20'"/>
    <m/>
    <s v="25 kg"/>
    <m/>
    <m/>
    <s v="MAYO"/>
    <x v="0"/>
    <m/>
    <m/>
    <m/>
    <x v="163"/>
    <m/>
    <m/>
    <x v="170"/>
    <n v="7"/>
    <n v="2018"/>
    <x v="0"/>
    <x v="0"/>
    <s v="HUANGPU / CHINA"/>
    <x v="0"/>
    <m/>
    <x v="0"/>
    <x v="219"/>
    <d v="2018-06-13T00:00:00"/>
    <s v="JIANGONG628"/>
    <x v="88"/>
    <x v="4"/>
    <m/>
    <m/>
    <m/>
    <m/>
    <m/>
    <m/>
    <x v="0"/>
    <d v="2018-08-10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P"/>
    <x v="0"/>
    <x v="0"/>
    <m/>
    <m/>
    <x v="289"/>
    <m/>
    <x v="34"/>
    <m/>
    <m/>
    <m/>
    <m/>
    <n v="208510"/>
    <x v="10"/>
    <x v="0"/>
    <x v="137"/>
    <d v="2018-04-23T00:00:00"/>
    <s v="CAD"/>
    <m/>
    <n v="21669"/>
    <m/>
    <d v="2018-06-06T00:00:00"/>
    <s v="CANCELADO"/>
    <s v="CFR"/>
    <m/>
    <x v="161"/>
    <n v="908"/>
    <m/>
    <x v="252"/>
    <x v="26"/>
    <s v="Contenedor 20'"/>
    <m/>
    <s v="Bidones 35kg"/>
    <m/>
    <m/>
    <s v="MAYO"/>
    <x v="0"/>
    <m/>
    <m/>
    <m/>
    <x v="164"/>
    <m/>
    <m/>
    <x v="164"/>
    <n v="7"/>
    <n v="2018"/>
    <x v="0"/>
    <x v="0"/>
    <s v="FANGCHENG / CHINA"/>
    <x v="2"/>
    <m/>
    <x v="0"/>
    <x v="220"/>
    <d v="2018-05-18T00:00:00"/>
    <s v="HUI JIN QIAO"/>
    <x v="89"/>
    <x v="1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P"/>
    <x v="0"/>
    <x v="0"/>
    <m/>
    <m/>
    <x v="290"/>
    <m/>
    <x v="34"/>
    <m/>
    <m/>
    <m/>
    <m/>
    <n v="208510"/>
    <x v="10"/>
    <x v="0"/>
    <x v="138"/>
    <d v="2018-04-23T00:00:00"/>
    <s v="CAD"/>
    <m/>
    <n v="21591"/>
    <m/>
    <d v="2018-06-06T00:00:00"/>
    <s v="CANCELADO"/>
    <s v="CFR"/>
    <m/>
    <x v="161"/>
    <n v="912"/>
    <m/>
    <x v="253"/>
    <x v="26"/>
    <s v="Contenedor 20'"/>
    <m/>
    <s v="Bidones 35kg"/>
    <m/>
    <m/>
    <s v="MAYO"/>
    <x v="0"/>
    <m/>
    <m/>
    <m/>
    <x v="165"/>
    <m/>
    <m/>
    <x v="171"/>
    <n v="7"/>
    <n v="2018"/>
    <x v="0"/>
    <x v="0"/>
    <s v="FANGCHENG / CHINA"/>
    <x v="0"/>
    <m/>
    <x v="0"/>
    <x v="221"/>
    <d v="2018-05-10T00:00:00"/>
    <s v="HUI JIN QIAO"/>
    <x v="34"/>
    <x v="3"/>
    <m/>
    <m/>
    <m/>
    <m/>
    <m/>
    <m/>
    <x v="0"/>
    <d v="2018-07-09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291"/>
    <m/>
    <x v="49"/>
    <m/>
    <m/>
    <m/>
    <s v="CERRADO"/>
    <n v="209979"/>
    <x v="1"/>
    <x v="7"/>
    <x v="139"/>
    <d v="2018-04-23T00:00:00"/>
    <s v="CAD"/>
    <m/>
    <n v="4200597824"/>
    <m/>
    <d v="2018-06-08T00:00:00"/>
    <s v="CANCELADO"/>
    <s v="CPT"/>
    <m/>
    <x v="162"/>
    <n v="525"/>
    <m/>
    <x v="254"/>
    <x v="13"/>
    <s v="Contenedor 20'"/>
    <m/>
    <s v="Granel Sólido"/>
    <m/>
    <m/>
    <s v="MAYO"/>
    <x v="0"/>
    <m/>
    <m/>
    <m/>
    <x v="152"/>
    <m/>
    <m/>
    <x v="161"/>
    <n v="6"/>
    <n v="2018"/>
    <x v="0"/>
    <x v="0"/>
    <s v="HAMBURGO / ALEMANIA"/>
    <x v="0"/>
    <m/>
    <x v="0"/>
    <x v="222"/>
    <d v="2018-05-28T00:00:00"/>
    <s v="VALPARAISO EXPRESS"/>
    <x v="45"/>
    <x v="6"/>
    <m/>
    <m/>
    <m/>
    <m/>
    <m/>
    <m/>
    <x v="0"/>
    <d v="2018-07-14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S"/>
    <x v="0"/>
    <x v="0"/>
    <m/>
    <m/>
    <x v="292"/>
    <m/>
    <x v="34"/>
    <m/>
    <m/>
    <m/>
    <m/>
    <n v="206971"/>
    <x v="3"/>
    <x v="3"/>
    <x v="127"/>
    <d v="2018-03-13T00:00:00"/>
    <s v="CAD"/>
    <m/>
    <n v="20180568"/>
    <m/>
    <d v="2018-05-28T00:00:00"/>
    <s v="CANCELADO"/>
    <s v="CPT"/>
    <m/>
    <x v="92"/>
    <n v="518"/>
    <m/>
    <x v="255"/>
    <x v="2"/>
    <s v="Contenedor 20'"/>
    <m/>
    <s v="Bigbag"/>
    <m/>
    <m/>
    <s v="ABR-MAY"/>
    <x v="0"/>
    <m/>
    <m/>
    <m/>
    <x v="156"/>
    <m/>
    <m/>
    <x v="172"/>
    <n v="6"/>
    <n v="2018"/>
    <x v="0"/>
    <x v="0"/>
    <s v="KAOHSIUNG / TAIWAN"/>
    <x v="0"/>
    <m/>
    <x v="0"/>
    <x v="223"/>
    <d v="2018-04-28T00:00:00"/>
    <s v="JI HONG"/>
    <x v="13"/>
    <x v="3"/>
    <m/>
    <m/>
    <m/>
    <m/>
    <m/>
    <m/>
    <x v="0"/>
    <d v="2018-06-27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E-S"/>
    <x v="0"/>
    <x v="0"/>
    <m/>
    <m/>
    <x v="293"/>
    <m/>
    <x v="11"/>
    <m/>
    <m/>
    <m/>
    <s v="CERRADO"/>
    <n v="203622"/>
    <x v="45"/>
    <x v="7"/>
    <x v="140"/>
    <d v="2018-05-15T00:00:00"/>
    <s v="CAD"/>
    <m/>
    <n v="4200599036"/>
    <m/>
    <d v="2018-05-15T00:00:00"/>
    <s v="CANCELADO"/>
    <s v="CFR"/>
    <m/>
    <x v="163"/>
    <n v="690"/>
    <m/>
    <x v="256"/>
    <x v="5"/>
    <s v="Contenedor 20'"/>
    <m/>
    <s v="25 kg"/>
    <m/>
    <m/>
    <s v="1ra Q. Junio"/>
    <x v="0"/>
    <m/>
    <m/>
    <m/>
    <x v="166"/>
    <m/>
    <m/>
    <x v="173"/>
    <n v="7"/>
    <n v="2018"/>
    <x v="0"/>
    <x v="0"/>
    <s v="HAMBURGO / ALEMANIA"/>
    <x v="0"/>
    <m/>
    <x v="0"/>
    <x v="224"/>
    <d v="2018-06-11T00:00:00"/>
    <s v="CALLAO EXPRESS"/>
    <x v="15"/>
    <x v="6"/>
    <m/>
    <m/>
    <m/>
    <m/>
    <m/>
    <m/>
    <x v="0"/>
    <d v="2018-07-29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E-S"/>
    <x v="0"/>
    <x v="0"/>
    <m/>
    <m/>
    <x v="294"/>
    <m/>
    <x v="12"/>
    <m/>
    <m/>
    <m/>
    <s v="CERRADO"/>
    <n v="206720"/>
    <x v="46"/>
    <x v="7"/>
    <x v="141"/>
    <d v="2018-05-15T00:00:00"/>
    <s v="CAD"/>
    <m/>
    <n v="4200599976"/>
    <m/>
    <d v="2018-05-15T00:00:00"/>
    <s v="CANCELADO"/>
    <s v="CFR"/>
    <m/>
    <x v="164"/>
    <n v="295"/>
    <m/>
    <x v="257"/>
    <x v="7"/>
    <s v="Contenedor 20'"/>
    <m/>
    <s v="25 kg"/>
    <m/>
    <m/>
    <s v="1ra Q. Junio"/>
    <x v="0"/>
    <m/>
    <m/>
    <m/>
    <x v="167"/>
    <m/>
    <m/>
    <x v="144"/>
    <n v="7"/>
    <n v="2018"/>
    <x v="0"/>
    <x v="0"/>
    <s v="HAMBURGO / ALEMANIA"/>
    <x v="0"/>
    <m/>
    <x v="0"/>
    <x v="225"/>
    <d v="2018-06-17T00:00:00"/>
    <s v="CAP SAN TAINARO"/>
    <x v="45"/>
    <x v="6"/>
    <m/>
    <m/>
    <m/>
    <m/>
    <m/>
    <m/>
    <x v="0"/>
    <d v="2018-08-05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E-S"/>
    <x v="0"/>
    <x v="0"/>
    <m/>
    <m/>
    <x v="295"/>
    <m/>
    <x v="169"/>
    <m/>
    <m/>
    <m/>
    <s v="CERRADO"/>
    <n v="209980"/>
    <x v="29"/>
    <x v="22"/>
    <x v="16"/>
    <m/>
    <n v="30"/>
    <s v="días BL"/>
    <n v="50433359"/>
    <m/>
    <d v="2018-10-26T00:00:00"/>
    <s v="CANCELADO"/>
    <s v="CIF"/>
    <m/>
    <x v="165"/>
    <n v="12970"/>
    <m/>
    <x v="258"/>
    <x v="0"/>
    <s v="Contenedor 20'"/>
    <m/>
    <s v="1 kg"/>
    <m/>
    <m/>
    <s v="JULIO"/>
    <x v="0"/>
    <m/>
    <m/>
    <m/>
    <x v="168"/>
    <m/>
    <m/>
    <x v="174"/>
    <n v="10"/>
    <n v="2018"/>
    <x v="0"/>
    <x v="0"/>
    <s v="GDYNIA / POLONIA"/>
    <x v="2"/>
    <m/>
    <x v="0"/>
    <x v="226"/>
    <d v="2018-09-25T00:00:00"/>
    <m/>
    <x v="15"/>
    <x v="15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E-S"/>
    <x v="0"/>
    <x v="0"/>
    <m/>
    <m/>
    <x v="296"/>
    <m/>
    <x v="169"/>
    <m/>
    <m/>
    <m/>
    <s v="CERRADO"/>
    <n v="209981"/>
    <x v="30"/>
    <x v="22"/>
    <x v="16"/>
    <m/>
    <n v="30"/>
    <s v="días BL"/>
    <n v="50433359"/>
    <m/>
    <d v="2018-10-26T00:00:00"/>
    <s v="CANCELADO"/>
    <s v="CIF"/>
    <m/>
    <x v="166"/>
    <n v="5370"/>
    <m/>
    <x v="259"/>
    <x v="0"/>
    <s v="Contenedor 20'"/>
    <m/>
    <s v="1 kg"/>
    <m/>
    <m/>
    <s v="JULIO"/>
    <x v="0"/>
    <m/>
    <m/>
    <m/>
    <x v="168"/>
    <m/>
    <m/>
    <x v="174"/>
    <n v="10"/>
    <n v="2018"/>
    <x v="0"/>
    <x v="0"/>
    <s v="GDYNIA / POLONIA"/>
    <x v="2"/>
    <m/>
    <x v="0"/>
    <x v="226"/>
    <d v="2018-09-25T00:00:00"/>
    <m/>
    <x v="15"/>
    <x v="15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E-S"/>
    <x v="0"/>
    <x v="0"/>
    <m/>
    <m/>
    <x v="297"/>
    <m/>
    <x v="169"/>
    <m/>
    <m/>
    <m/>
    <s v="CERRADO"/>
    <n v="209982"/>
    <x v="31"/>
    <x v="22"/>
    <x v="16"/>
    <m/>
    <n v="30"/>
    <s v="días BL"/>
    <n v="50433359"/>
    <m/>
    <d v="2018-10-26T00:00:00"/>
    <s v="CANCELADO"/>
    <s v="CIF"/>
    <m/>
    <x v="167"/>
    <n v="5370"/>
    <m/>
    <x v="260"/>
    <x v="0"/>
    <s v="Contenedor 20'"/>
    <m/>
    <s v="1 kg"/>
    <m/>
    <m/>
    <s v="JULIO"/>
    <x v="0"/>
    <m/>
    <m/>
    <m/>
    <x v="168"/>
    <m/>
    <m/>
    <x v="174"/>
    <n v="10"/>
    <n v="2018"/>
    <x v="0"/>
    <x v="0"/>
    <s v="GDYNIA / POLONIA"/>
    <x v="2"/>
    <m/>
    <x v="0"/>
    <x v="226"/>
    <d v="2018-09-25T00:00:00"/>
    <m/>
    <x v="15"/>
    <x v="15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298"/>
    <m/>
    <x v="34"/>
    <m/>
    <m/>
    <m/>
    <m/>
    <n v="209371"/>
    <x v="19"/>
    <x v="0"/>
    <x v="142"/>
    <d v="2018-05-22T00:00:00"/>
    <s v="CAD"/>
    <m/>
    <n v="22272"/>
    <m/>
    <d v="2018-07-17T00:00:00"/>
    <s v="CANCELADO"/>
    <s v="CFR"/>
    <m/>
    <x v="168"/>
    <n v="442"/>
    <m/>
    <x v="261"/>
    <x v="0"/>
    <s v="Granel"/>
    <m/>
    <s v="Granel Sólido"/>
    <m/>
    <m/>
    <s v="10-15 JUNIO"/>
    <x v="0"/>
    <m/>
    <m/>
    <m/>
    <x v="169"/>
    <m/>
    <m/>
    <x v="175"/>
    <n v="7"/>
    <n v="2018"/>
    <x v="0"/>
    <x v="0"/>
    <s v="LAZARO CARDENAS, MEXICO"/>
    <x v="0"/>
    <m/>
    <x v="0"/>
    <x v="227"/>
    <d v="2018-07-05T00:00:00"/>
    <s v="MV ECO SPLENDOR "/>
    <x v="90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299"/>
    <m/>
    <x v="34"/>
    <m/>
    <m/>
    <m/>
    <m/>
    <n v="209371"/>
    <x v="19"/>
    <x v="0"/>
    <x v="142"/>
    <d v="2018-05-22T00:00:00"/>
    <s v="CAD"/>
    <m/>
    <n v="22306"/>
    <m/>
    <d v="2018-07-17T00:00:00"/>
    <s v="CANCELADO"/>
    <s v="CFR"/>
    <m/>
    <x v="15"/>
    <n v="442"/>
    <m/>
    <x v="262"/>
    <x v="0"/>
    <s v="Granel"/>
    <m/>
    <s v="Granel Sólido"/>
    <m/>
    <m/>
    <s v="10-15 JUNIO"/>
    <x v="0"/>
    <m/>
    <m/>
    <m/>
    <x v="170"/>
    <m/>
    <m/>
    <x v="176"/>
    <n v="7"/>
    <n v="2018"/>
    <x v="0"/>
    <x v="0"/>
    <s v="LAZARO CARDENAS, MEXICO"/>
    <x v="1"/>
    <m/>
    <x v="0"/>
    <x v="228"/>
    <d v="2018-07-05T00:00:00"/>
    <s v="MV ECO SPLENDOR "/>
    <x v="90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300"/>
    <m/>
    <x v="34"/>
    <m/>
    <m/>
    <m/>
    <m/>
    <n v="209371"/>
    <x v="19"/>
    <x v="0"/>
    <x v="142"/>
    <d v="2018-05-22T00:00:00"/>
    <s v="CAD"/>
    <m/>
    <n v="22307"/>
    <m/>
    <d v="2018-07-17T00:00:00"/>
    <s v="CANCELADO"/>
    <s v="CFR"/>
    <m/>
    <x v="22"/>
    <n v="442"/>
    <m/>
    <x v="263"/>
    <x v="0"/>
    <s v="Granel"/>
    <m/>
    <s v="Granel Sólido"/>
    <m/>
    <m/>
    <s v="10-15 JUNIO"/>
    <x v="0"/>
    <m/>
    <m/>
    <m/>
    <x v="171"/>
    <m/>
    <m/>
    <x v="177"/>
    <n v="7"/>
    <n v="2018"/>
    <x v="0"/>
    <x v="0"/>
    <s v="LAZARO CARDENAS, MEXICO"/>
    <x v="2"/>
    <m/>
    <x v="0"/>
    <x v="229"/>
    <d v="2018-07-05T00:00:00"/>
    <s v="MV ECO SPLENDOR "/>
    <x v="90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301"/>
    <m/>
    <x v="170"/>
    <m/>
    <m/>
    <m/>
    <s v="CERRADO"/>
    <n v="209371"/>
    <x v="19"/>
    <x v="0"/>
    <x v="142"/>
    <d v="2018-05-22T00:00:00"/>
    <s v="CAD"/>
    <m/>
    <n v="22308"/>
    <m/>
    <d v="2018-07-17T00:00:00"/>
    <s v="CANCELADO"/>
    <s v="CFR"/>
    <m/>
    <x v="169"/>
    <n v="442"/>
    <m/>
    <x v="264"/>
    <x v="0"/>
    <s v="Granel"/>
    <m/>
    <s v="Granel Sólido"/>
    <m/>
    <m/>
    <s v="10-15 JUNIO"/>
    <x v="0"/>
    <m/>
    <m/>
    <m/>
    <x v="172"/>
    <m/>
    <m/>
    <x v="178"/>
    <n v="8"/>
    <n v="2018"/>
    <x v="0"/>
    <x v="0"/>
    <s v="LAZARO CARDENAS, MEXICO"/>
    <x v="4"/>
    <m/>
    <x v="0"/>
    <x v="230"/>
    <d v="2018-07-05T00:00:00"/>
    <s v="MV ECO SPLENDOR "/>
    <x v="90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S"/>
    <x v="0"/>
    <x v="0"/>
    <m/>
    <m/>
    <x v="302"/>
    <m/>
    <x v="171"/>
    <m/>
    <m/>
    <m/>
    <s v="CERRADO"/>
    <n v="206971"/>
    <x v="3"/>
    <x v="14"/>
    <x v="143"/>
    <d v="2018-06-05T00:00:00"/>
    <s v="CAD"/>
    <m/>
    <n v="18070014"/>
    <m/>
    <d v="2018-07-17T00:00:00"/>
    <s v="CANCELADO"/>
    <s v="CIF"/>
    <m/>
    <x v="12"/>
    <n v="505"/>
    <m/>
    <x v="34"/>
    <x v="20"/>
    <s v="Contenedor 20'"/>
    <m/>
    <s v="25 kg"/>
    <m/>
    <m/>
    <s v="JUNIO"/>
    <x v="0"/>
    <m/>
    <m/>
    <m/>
    <x v="173"/>
    <m/>
    <m/>
    <x v="179"/>
    <n v="9"/>
    <n v="2018"/>
    <x v="0"/>
    <x v="0"/>
    <s v="NHAVA / INDIA"/>
    <x v="2"/>
    <m/>
    <x v="0"/>
    <x v="231"/>
    <d v="2018-07-13T00:00:00"/>
    <s v="QINGDAO TOWER"/>
    <x v="91"/>
    <x v="9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S"/>
    <x v="0"/>
    <x v="0"/>
    <m/>
    <m/>
    <x v="303"/>
    <m/>
    <x v="172"/>
    <m/>
    <m/>
    <m/>
    <s v="CERRADO"/>
    <n v="206971"/>
    <x v="3"/>
    <x v="14"/>
    <x v="143"/>
    <d v="2018-06-05T00:00:00"/>
    <s v="CAD"/>
    <m/>
    <s v="18070019 (PF185161/1)"/>
    <m/>
    <d v="2018-07-09T00:00:00"/>
    <s v="CANCELADO"/>
    <s v="CIF"/>
    <m/>
    <x v="12"/>
    <n v="514"/>
    <m/>
    <x v="265"/>
    <x v="20"/>
    <s v="Contenedor 20'"/>
    <m/>
    <s v="25 kg"/>
    <m/>
    <m/>
    <s v="JUNIO"/>
    <x v="0"/>
    <m/>
    <m/>
    <m/>
    <x v="174"/>
    <m/>
    <m/>
    <x v="180"/>
    <n v="10"/>
    <n v="2018"/>
    <x v="0"/>
    <x v="0"/>
    <s v="NHAVA / INDIA"/>
    <x v="0"/>
    <m/>
    <x v="0"/>
    <x v="232"/>
    <d v="2018-07-15T00:00:00"/>
    <s v="APL LE HAVRE"/>
    <x v="45"/>
    <x v="9"/>
    <m/>
    <m/>
    <m/>
    <m/>
    <m/>
    <m/>
    <x v="0"/>
    <d v="2018-10-22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S"/>
    <x v="0"/>
    <x v="0"/>
    <m/>
    <m/>
    <x v="304"/>
    <m/>
    <x v="173"/>
    <m/>
    <m/>
    <m/>
    <s v="CERRADO"/>
    <n v="206971"/>
    <x v="3"/>
    <x v="14"/>
    <x v="143"/>
    <d v="2018-06-05T00:00:00"/>
    <s v="CAD"/>
    <m/>
    <s v="18080013 (PF185160/2)"/>
    <m/>
    <d v="2018-08-23T00:00:00"/>
    <s v="CANCELADO"/>
    <s v="CIF"/>
    <m/>
    <x v="12"/>
    <n v="505"/>
    <m/>
    <x v="34"/>
    <x v="20"/>
    <s v="Contenedor 20'"/>
    <m/>
    <s v="25 kg"/>
    <m/>
    <m/>
    <s v="JULIO"/>
    <x v="0"/>
    <m/>
    <m/>
    <m/>
    <x v="175"/>
    <m/>
    <m/>
    <x v="174"/>
    <n v="10"/>
    <n v="2018"/>
    <x v="0"/>
    <x v="0"/>
    <s v="NHAVA / INDIA"/>
    <x v="2"/>
    <m/>
    <x v="0"/>
    <x v="233"/>
    <d v="2018-08-09T00:00:00"/>
    <s v="CMA CGM GEORGIA"/>
    <x v="92"/>
    <x v="9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S"/>
    <x v="0"/>
    <x v="0"/>
    <m/>
    <m/>
    <x v="305"/>
    <m/>
    <x v="174"/>
    <m/>
    <m/>
    <m/>
    <s v="CERRADO"/>
    <n v="206971"/>
    <x v="3"/>
    <x v="14"/>
    <x v="143"/>
    <d v="2018-06-05T00:00:00"/>
    <s v="CAD"/>
    <m/>
    <n v="18080035"/>
    <m/>
    <d v="2018-09-04T00:00:00"/>
    <s v="CANCELADO"/>
    <s v="CIF"/>
    <m/>
    <x v="170"/>
    <n v="505"/>
    <m/>
    <x v="266"/>
    <x v="10"/>
    <s v="Contenedor 20'"/>
    <m/>
    <s v="25 kg"/>
    <m/>
    <m/>
    <s v="JULIO"/>
    <x v="0"/>
    <m/>
    <m/>
    <m/>
    <x v="176"/>
    <m/>
    <m/>
    <x v="181"/>
    <n v="10"/>
    <n v="2018"/>
    <x v="0"/>
    <x v="0"/>
    <s v="NHAVA / INDIA"/>
    <x v="2"/>
    <m/>
    <x v="0"/>
    <x v="234"/>
    <d v="2018-08-19T00:00:00"/>
    <s v="CMA CGM MUMBAI"/>
    <x v="93"/>
    <x v="9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S"/>
    <x v="0"/>
    <x v="0"/>
    <m/>
    <m/>
    <x v="306"/>
    <m/>
    <x v="175"/>
    <m/>
    <m/>
    <m/>
    <s v="CERRADO"/>
    <n v="206971"/>
    <x v="3"/>
    <x v="14"/>
    <x v="143"/>
    <d v="2018-06-05T00:00:00"/>
    <s v="CAD"/>
    <m/>
    <n v="18090011"/>
    <m/>
    <d v="2018-10-01T00:00:00"/>
    <s v="CANCELADO"/>
    <s v="CIF"/>
    <m/>
    <x v="8"/>
    <n v="505"/>
    <m/>
    <x v="267"/>
    <x v="5"/>
    <s v="Contenedor 20'"/>
    <m/>
    <s v="25 kg"/>
    <m/>
    <m/>
    <s v="JULIO"/>
    <x v="0"/>
    <m/>
    <m/>
    <m/>
    <x v="177"/>
    <m/>
    <m/>
    <x v="182"/>
    <n v="10"/>
    <n v="2018"/>
    <x v="0"/>
    <x v="0"/>
    <s v="NHAVA / INDIA"/>
    <x v="2"/>
    <m/>
    <x v="0"/>
    <x v="235"/>
    <d v="2018-09-05T00:00:00"/>
    <s v="MSC SOLA "/>
    <x v="94"/>
    <x v="4"/>
    <m/>
    <m/>
    <m/>
    <m/>
    <m/>
    <m/>
    <x v="0"/>
    <d v="2018-11-08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S"/>
    <x v="0"/>
    <x v="0"/>
    <m/>
    <m/>
    <x v="307"/>
    <m/>
    <x v="176"/>
    <m/>
    <m/>
    <m/>
    <s v="CERRADO"/>
    <n v="206971"/>
    <x v="3"/>
    <x v="14"/>
    <x v="143"/>
    <d v="2018-06-05T00:00:00"/>
    <s v="CAD"/>
    <m/>
    <s v="18070039 (PF185161/2) "/>
    <m/>
    <d v="2018-08-07T00:00:00"/>
    <s v="CANCELADO"/>
    <s v="CIF"/>
    <m/>
    <x v="35"/>
    <n v="514"/>
    <m/>
    <x v="268"/>
    <x v="26"/>
    <s v="Contenedor 20'"/>
    <m/>
    <s v="25 kg"/>
    <m/>
    <m/>
    <s v="JULIO"/>
    <x v="0"/>
    <m/>
    <m/>
    <m/>
    <x v="174"/>
    <m/>
    <m/>
    <x v="180"/>
    <n v="10"/>
    <n v="2018"/>
    <x v="0"/>
    <x v="0"/>
    <s v="NHAVA / INDIA"/>
    <x v="0"/>
    <m/>
    <x v="0"/>
    <x v="236"/>
    <d v="2018-07-22T00:00:00"/>
    <s v="NAVIOS UNISON"/>
    <x v="45"/>
    <x v="9"/>
    <m/>
    <m/>
    <m/>
    <m/>
    <m/>
    <m/>
    <x v="0"/>
    <d v="2018-10-15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S"/>
    <x v="0"/>
    <x v="0"/>
    <m/>
    <m/>
    <x v="308"/>
    <m/>
    <x v="177"/>
    <m/>
    <m/>
    <m/>
    <s v="CERRADO"/>
    <n v="206971"/>
    <x v="3"/>
    <x v="14"/>
    <x v="143"/>
    <d v="2018-06-05T00:00:00"/>
    <s v="CAD"/>
    <m/>
    <s v="18070045 (PF185161/3) "/>
    <m/>
    <d v="2018-08-23T00:00:00"/>
    <s v="CANCELADO"/>
    <s v="CIF"/>
    <m/>
    <x v="10"/>
    <n v="514"/>
    <m/>
    <x v="269"/>
    <x v="4"/>
    <s v="Contenedor 20'"/>
    <m/>
    <s v="25 kg"/>
    <m/>
    <m/>
    <s v="JULIO"/>
    <x v="0"/>
    <m/>
    <m/>
    <m/>
    <x v="174"/>
    <m/>
    <m/>
    <x v="180"/>
    <n v="10"/>
    <n v="2018"/>
    <x v="0"/>
    <x v="0"/>
    <s v="NHAVA / INDIA"/>
    <x v="0"/>
    <m/>
    <x v="0"/>
    <x v="237"/>
    <d v="2018-07-30T00:00:00"/>
    <s v="EXPRESS ROME"/>
    <x v="45"/>
    <x v="9"/>
    <m/>
    <m/>
    <m/>
    <m/>
    <m/>
    <m/>
    <x v="0"/>
    <d v="2018-10-22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S"/>
    <x v="0"/>
    <x v="0"/>
    <m/>
    <m/>
    <x v="309"/>
    <m/>
    <x v="178"/>
    <m/>
    <m/>
    <m/>
    <s v="CERRADO"/>
    <n v="206971"/>
    <x v="3"/>
    <x v="14"/>
    <x v="143"/>
    <d v="2018-06-05T00:00:00"/>
    <s v="CAD"/>
    <m/>
    <n v="18080006"/>
    <m/>
    <d v="2018-08-23T00:00:00"/>
    <s v="CANCELADO"/>
    <s v="CIF"/>
    <m/>
    <x v="171"/>
    <n v="514"/>
    <m/>
    <x v="270"/>
    <x v="8"/>
    <s v="Contenedor 20'"/>
    <m/>
    <s v="25 kg"/>
    <m/>
    <m/>
    <s v="JULIO"/>
    <x v="0"/>
    <m/>
    <m/>
    <m/>
    <x v="178"/>
    <m/>
    <m/>
    <x v="183"/>
    <n v="11"/>
    <n v="2018"/>
    <x v="0"/>
    <x v="0"/>
    <s v="NHAVA / INDIA"/>
    <x v="0"/>
    <m/>
    <x v="0"/>
    <x v="238"/>
    <d v="2018-08-06T00:00:00"/>
    <s v="XIN HONG KONG"/>
    <x v="95"/>
    <x v="9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P"/>
    <x v="0"/>
    <x v="0"/>
    <m/>
    <m/>
    <x v="310"/>
    <m/>
    <x v="179"/>
    <m/>
    <m/>
    <m/>
    <s v="CERRADO"/>
    <n v="209981"/>
    <x v="10"/>
    <x v="3"/>
    <x v="144"/>
    <d v="2018-06-08T00:00:00"/>
    <s v="CAD"/>
    <m/>
    <s v="KTI20181164"/>
    <m/>
    <d v="2018-08-23T00:00:00"/>
    <s v="CANCELADO"/>
    <s v="CPT"/>
    <m/>
    <x v="172"/>
    <n v="878"/>
    <m/>
    <x v="271"/>
    <x v="13"/>
    <s v="Contenedor 20'"/>
    <m/>
    <s v="Bidones 35kg"/>
    <m/>
    <m/>
    <s v="JUNIO-JULIO"/>
    <x v="0"/>
    <m/>
    <m/>
    <m/>
    <x v="179"/>
    <m/>
    <m/>
    <x v="184"/>
    <n v="9"/>
    <n v="2018"/>
    <x v="0"/>
    <x v="0"/>
    <s v="FANGCHENG / CHINA"/>
    <x v="2"/>
    <m/>
    <x v="0"/>
    <x v="239"/>
    <d v="2018-08-04T00:00:00"/>
    <s v="HUI JIN QIAO"/>
    <x v="96"/>
    <x v="2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P"/>
    <x v="0"/>
    <x v="0"/>
    <m/>
    <m/>
    <x v="311"/>
    <m/>
    <x v="180"/>
    <m/>
    <m/>
    <m/>
    <s v="CERRADO"/>
    <n v="209981"/>
    <x v="10"/>
    <x v="3"/>
    <x v="145"/>
    <d v="2018-06-08T00:00:00"/>
    <s v="CAD"/>
    <m/>
    <n v="201810089"/>
    <m/>
    <d v="2018-08-20T00:00:00"/>
    <s v="CANCELADO"/>
    <s v="CPT"/>
    <m/>
    <x v="173"/>
    <n v="883"/>
    <m/>
    <x v="272"/>
    <x v="26"/>
    <s v="Contenedor 20'"/>
    <m/>
    <s v="Bidones 35kg"/>
    <m/>
    <m/>
    <s v="JUNIO-JULIO"/>
    <x v="0"/>
    <m/>
    <m/>
    <m/>
    <x v="180"/>
    <m/>
    <m/>
    <x v="185"/>
    <n v="9"/>
    <n v="2018"/>
    <x v="0"/>
    <x v="0"/>
    <s v="FANGCHENG / CHINA"/>
    <x v="0"/>
    <m/>
    <x v="0"/>
    <x v="240"/>
    <d v="2018-07-25T00:00:00"/>
    <s v="HUI JIN QIAO"/>
    <x v="97"/>
    <x v="3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P"/>
    <x v="0"/>
    <x v="0"/>
    <m/>
    <m/>
    <x v="312"/>
    <m/>
    <x v="181"/>
    <m/>
    <m/>
    <m/>
    <s v="CERRADO"/>
    <n v="209981"/>
    <x v="10"/>
    <x v="3"/>
    <x v="145"/>
    <d v="2018-06-08T00:00:00"/>
    <s v="CAD"/>
    <m/>
    <s v="20181175"/>
    <m/>
    <d v="2018-08-28T00:00:00"/>
    <s v="CANCELADO"/>
    <s v="CPT"/>
    <m/>
    <x v="174"/>
    <n v="883"/>
    <m/>
    <x v="273"/>
    <x v="5"/>
    <s v="Contenedor 20'"/>
    <m/>
    <s v="Bidones 35kg"/>
    <m/>
    <m/>
    <s v="JUNIO-JULIO"/>
    <x v="0"/>
    <m/>
    <m/>
    <m/>
    <x v="181"/>
    <m/>
    <m/>
    <x v="186"/>
    <n v="10"/>
    <n v="2018"/>
    <x v="0"/>
    <x v="0"/>
    <s v="FANGCHENG / CHINA"/>
    <x v="0"/>
    <m/>
    <x v="0"/>
    <x v="241"/>
    <d v="2018-08-01T00:00:00"/>
    <s v="HAIAN SONG"/>
    <x v="31"/>
    <x v="3"/>
    <m/>
    <m/>
    <m/>
    <m/>
    <m/>
    <m/>
    <x v="0"/>
    <d v="2018-10-25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S"/>
    <x v="0"/>
    <x v="0"/>
    <m/>
    <m/>
    <x v="313"/>
    <m/>
    <x v="182"/>
    <m/>
    <m/>
    <m/>
    <s v="CERRADO"/>
    <n v="207578"/>
    <x v="8"/>
    <x v="3"/>
    <x v="146"/>
    <d v="2018-06-15T00:00:00"/>
    <n v="90"/>
    <s v="días BL"/>
    <s v="20181108"/>
    <m/>
    <d v="2018-10-23T00:00:00"/>
    <s v="CANCELADO"/>
    <s v="CPT"/>
    <m/>
    <x v="175"/>
    <n v="266"/>
    <m/>
    <x v="274"/>
    <x v="26"/>
    <s v="Contenedor 40'"/>
    <m/>
    <s v="25 kg"/>
    <m/>
    <m/>
    <s v="JULIO"/>
    <x v="0"/>
    <m/>
    <m/>
    <m/>
    <x v="182"/>
    <m/>
    <m/>
    <x v="187"/>
    <n v="8"/>
    <n v="2018"/>
    <x v="0"/>
    <x v="0"/>
    <s v="XINGANG / CHINA"/>
    <x v="2"/>
    <m/>
    <x v="0"/>
    <x v="242"/>
    <d v="2018-07-25T00:00:00"/>
    <s v="BRIGHTON"/>
    <x v="98"/>
    <x v="16"/>
    <m/>
    <m/>
    <m/>
    <m/>
    <m/>
    <m/>
    <x v="0"/>
    <d v="2018-09-08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S"/>
    <x v="0"/>
    <x v="0"/>
    <m/>
    <m/>
    <x v="314"/>
    <m/>
    <x v="183"/>
    <m/>
    <m/>
    <m/>
    <s v="CERRADO"/>
    <n v="207578"/>
    <x v="8"/>
    <x v="3"/>
    <x v="147"/>
    <d v="2018-06-15T00:00:00"/>
    <n v="90"/>
    <s v="días BL"/>
    <s v="20181109"/>
    <m/>
    <d v="2018-10-23T00:00:00"/>
    <s v="CANCELADO"/>
    <s v="CPT"/>
    <m/>
    <x v="176"/>
    <n v="271"/>
    <m/>
    <x v="275"/>
    <x v="29"/>
    <s v="Contenedor 40'"/>
    <m/>
    <s v="25 kg"/>
    <m/>
    <m/>
    <s v="JULIO"/>
    <x v="0"/>
    <m/>
    <m/>
    <m/>
    <x v="183"/>
    <m/>
    <m/>
    <x v="188"/>
    <n v="9"/>
    <n v="2018"/>
    <x v="0"/>
    <x v="0"/>
    <s v="XINGANG / CHINA"/>
    <x v="0"/>
    <m/>
    <x v="0"/>
    <x v="243"/>
    <d v="2018-07-25T00:00:00"/>
    <s v="BRIGHTON"/>
    <x v="99"/>
    <x v="16"/>
    <m/>
    <m/>
    <m/>
    <m/>
    <m/>
    <m/>
    <x v="0"/>
    <d v="2018-09-19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E-S"/>
    <x v="0"/>
    <x v="0"/>
    <m/>
    <m/>
    <x v="315"/>
    <m/>
    <x v="184"/>
    <m/>
    <m/>
    <m/>
    <s v="CERRADO"/>
    <n v="209980"/>
    <x v="29"/>
    <x v="22"/>
    <x v="148"/>
    <m/>
    <n v="30"/>
    <s v="días BL"/>
    <n v="50434568"/>
    <m/>
    <d v="2018-10-20T00:00:00"/>
    <s v="CANCELADO"/>
    <s v="CIF"/>
    <m/>
    <x v="177"/>
    <n v="12970"/>
    <m/>
    <x v="276"/>
    <x v="0"/>
    <s v="Contenedor 20'"/>
    <m/>
    <s v="1 kg"/>
    <m/>
    <m/>
    <s v="JULIO"/>
    <x v="0"/>
    <m/>
    <m/>
    <m/>
    <x v="184"/>
    <m/>
    <m/>
    <x v="189"/>
    <n v="11"/>
    <n v="2018"/>
    <x v="0"/>
    <x v="0"/>
    <s v="GDYNIA / POLONIA"/>
    <x v="2"/>
    <m/>
    <x v="0"/>
    <x v="244"/>
    <d v="2018-09-20T00:00:00"/>
    <s v="MSC LUISA"/>
    <x v="77"/>
    <x v="4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E-S"/>
    <x v="0"/>
    <x v="0"/>
    <m/>
    <m/>
    <x v="316"/>
    <m/>
    <x v="184"/>
    <m/>
    <m/>
    <m/>
    <s v="CERRADO"/>
    <n v="209981"/>
    <x v="30"/>
    <x v="22"/>
    <x v="148"/>
    <m/>
    <n v="30"/>
    <s v="días BL"/>
    <n v="50434568"/>
    <m/>
    <d v="2018-10-20T00:00:00"/>
    <s v="CANCELADO"/>
    <s v="CIF"/>
    <m/>
    <x v="178"/>
    <n v="5370"/>
    <m/>
    <x v="277"/>
    <x v="0"/>
    <s v="Contenedor 20'"/>
    <m/>
    <s v="1 kg"/>
    <m/>
    <m/>
    <s v="JULIO"/>
    <x v="0"/>
    <m/>
    <m/>
    <m/>
    <x v="184"/>
    <m/>
    <m/>
    <x v="189"/>
    <n v="11"/>
    <n v="2018"/>
    <x v="0"/>
    <x v="0"/>
    <s v="GDYNIA / POLONIA"/>
    <x v="2"/>
    <m/>
    <x v="0"/>
    <x v="244"/>
    <d v="2018-09-20T00:00:00"/>
    <s v="MSC LUISA"/>
    <x v="77"/>
    <x v="4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E-S"/>
    <x v="0"/>
    <x v="0"/>
    <m/>
    <m/>
    <x v="317"/>
    <m/>
    <x v="184"/>
    <m/>
    <m/>
    <m/>
    <s v="CERRADO"/>
    <n v="209982"/>
    <x v="31"/>
    <x v="22"/>
    <x v="148"/>
    <m/>
    <n v="30"/>
    <s v="días BL"/>
    <n v="50434568"/>
    <m/>
    <d v="2018-10-20T00:00:00"/>
    <s v="CANCELADO"/>
    <s v="CIF"/>
    <m/>
    <x v="91"/>
    <n v="5370"/>
    <m/>
    <x v="278"/>
    <x v="0"/>
    <s v="Contenedor 20'"/>
    <m/>
    <s v="1 kg"/>
    <m/>
    <m/>
    <s v="JULIO"/>
    <x v="0"/>
    <m/>
    <m/>
    <m/>
    <x v="184"/>
    <m/>
    <m/>
    <x v="189"/>
    <n v="11"/>
    <n v="2018"/>
    <x v="0"/>
    <x v="0"/>
    <s v="GDYNIA / POLONIA"/>
    <x v="2"/>
    <m/>
    <x v="0"/>
    <x v="244"/>
    <d v="2018-09-20T00:00:00"/>
    <s v="MSC LUISA"/>
    <x v="77"/>
    <x v="4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318"/>
    <m/>
    <x v="185"/>
    <m/>
    <m/>
    <m/>
    <s v="CERRADO"/>
    <m/>
    <x v="38"/>
    <x v="0"/>
    <x v="149"/>
    <d v="2018-06-26T00:00:00"/>
    <s v="CAD"/>
    <m/>
    <s v="22660"/>
    <m/>
    <d v="2018-08-13T00:00:00"/>
    <s v="CANCELADO"/>
    <s v="CFR"/>
    <m/>
    <x v="179"/>
    <n v="155"/>
    <m/>
    <x v="279"/>
    <x v="0"/>
    <s v="Granel"/>
    <m/>
    <s v="Granel Sólido"/>
    <m/>
    <m/>
    <s v="2H JULIO - 1H AGO"/>
    <x v="0"/>
    <m/>
    <m/>
    <m/>
    <x v="185"/>
    <m/>
    <m/>
    <x v="190"/>
    <n v="9"/>
    <n v="2018"/>
    <x v="0"/>
    <x v="0"/>
    <s v="NANJING / CHINA"/>
    <x v="0"/>
    <m/>
    <x v="0"/>
    <x v="245"/>
    <d v="2018-07-23T00:00:00"/>
    <s v="MV SMEW"/>
    <x v="100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319"/>
    <m/>
    <x v="186"/>
    <m/>
    <m/>
    <m/>
    <s v="CERRADO"/>
    <m/>
    <x v="38"/>
    <x v="0"/>
    <x v="149"/>
    <d v="2018-06-26T00:00:00"/>
    <s v="CAD"/>
    <m/>
    <s v="22661"/>
    <m/>
    <d v="2018-08-13T00:00:00"/>
    <s v="CANCELADO"/>
    <s v="CFR"/>
    <m/>
    <x v="179"/>
    <n v="155"/>
    <m/>
    <x v="279"/>
    <x v="0"/>
    <s v="Granel"/>
    <m/>
    <s v="Granel Sólido"/>
    <m/>
    <m/>
    <s v="2H JULIO - 1H AGO"/>
    <x v="0"/>
    <m/>
    <m/>
    <m/>
    <x v="173"/>
    <m/>
    <m/>
    <x v="191"/>
    <n v="9"/>
    <n v="2018"/>
    <x v="0"/>
    <x v="0"/>
    <s v="NANJING / CHINA"/>
    <x v="1"/>
    <m/>
    <x v="0"/>
    <x v="246"/>
    <d v="2018-07-23T00:00:00"/>
    <s v="MV SMEW"/>
    <x v="100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320"/>
    <m/>
    <x v="187"/>
    <m/>
    <m/>
    <m/>
    <s v="CERRADO"/>
    <m/>
    <x v="38"/>
    <x v="0"/>
    <x v="149"/>
    <d v="2018-06-26T00:00:00"/>
    <s v="CAD"/>
    <m/>
    <s v="22662"/>
    <m/>
    <d v="2018-08-13T00:00:00"/>
    <s v="CANCELADO"/>
    <s v="CFR"/>
    <m/>
    <x v="180"/>
    <n v="155"/>
    <m/>
    <x v="280"/>
    <x v="0"/>
    <s v="Granel"/>
    <m/>
    <s v="Granel Sólido"/>
    <m/>
    <m/>
    <s v="2H JULIO - 1H AGO"/>
    <x v="0"/>
    <m/>
    <m/>
    <m/>
    <x v="186"/>
    <m/>
    <m/>
    <x v="192"/>
    <n v="9"/>
    <n v="2018"/>
    <x v="0"/>
    <x v="0"/>
    <s v="NANJING / CHINA"/>
    <x v="2"/>
    <m/>
    <x v="0"/>
    <x v="247"/>
    <d v="2018-07-23T00:00:00"/>
    <s v="MV SMEW"/>
    <x v="100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321"/>
    <m/>
    <x v="188"/>
    <m/>
    <m/>
    <m/>
    <s v="CERRADO"/>
    <m/>
    <x v="38"/>
    <x v="0"/>
    <x v="149"/>
    <d v="2018-06-26T00:00:00"/>
    <s v="CAD"/>
    <m/>
    <s v="22663"/>
    <m/>
    <d v="2018-08-13T00:00:00"/>
    <s v="CANCELADO"/>
    <s v="CFR"/>
    <m/>
    <x v="181"/>
    <n v="155"/>
    <m/>
    <x v="281"/>
    <x v="0"/>
    <s v="Granel"/>
    <m/>
    <s v="Granel Sólido"/>
    <m/>
    <m/>
    <s v="2H JULIO - 1H AGO"/>
    <x v="0"/>
    <m/>
    <m/>
    <m/>
    <x v="187"/>
    <m/>
    <m/>
    <x v="193"/>
    <n v="9"/>
    <n v="2018"/>
    <x v="0"/>
    <x v="0"/>
    <s v="NANJING / CHINA"/>
    <x v="4"/>
    <m/>
    <x v="0"/>
    <x v="248"/>
    <d v="2018-07-23T00:00:00"/>
    <s v="MV SMEW"/>
    <x v="100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322"/>
    <m/>
    <x v="189"/>
    <m/>
    <m/>
    <m/>
    <s v="CERRADO"/>
    <m/>
    <x v="47"/>
    <x v="0"/>
    <x v="150"/>
    <d v="2018-06-26T00:00:00"/>
    <s v="CAD"/>
    <m/>
    <s v="22754"/>
    <m/>
    <d v="2018-08-10T00:00:00"/>
    <s v="CANCELADO"/>
    <s v="CFR"/>
    <m/>
    <x v="35"/>
    <n v="193"/>
    <m/>
    <x v="282"/>
    <x v="0"/>
    <s v="Granel"/>
    <m/>
    <s v="Granel Sólido"/>
    <m/>
    <m/>
    <s v="2H JULIO - 1H AGO"/>
    <x v="0"/>
    <m/>
    <m/>
    <m/>
    <x v="185"/>
    <m/>
    <m/>
    <x v="190"/>
    <n v="9"/>
    <n v="2018"/>
    <x v="0"/>
    <x v="0"/>
    <s v="NANJING / CHINA"/>
    <x v="0"/>
    <m/>
    <x v="0"/>
    <x v="50"/>
    <d v="2018-07-23T00:00:00"/>
    <s v="MV SMEW"/>
    <x v="100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323"/>
    <m/>
    <x v="190"/>
    <m/>
    <m/>
    <m/>
    <s v="CERRADO"/>
    <m/>
    <x v="47"/>
    <x v="0"/>
    <x v="150"/>
    <d v="2018-06-26T00:00:00"/>
    <s v="CAD"/>
    <m/>
    <s v="22755"/>
    <m/>
    <d v="2018-08-10T00:00:00"/>
    <s v="CANCELADO"/>
    <s v="CFR"/>
    <m/>
    <x v="7"/>
    <n v="193"/>
    <m/>
    <x v="283"/>
    <x v="0"/>
    <s v="Granel"/>
    <m/>
    <s v="Granel Sólido"/>
    <m/>
    <m/>
    <s v="2H JULIO - 1H AGO"/>
    <x v="0"/>
    <m/>
    <m/>
    <m/>
    <x v="173"/>
    <m/>
    <m/>
    <x v="191"/>
    <n v="9"/>
    <n v="2018"/>
    <x v="0"/>
    <x v="0"/>
    <s v="NANJING / CHINA"/>
    <x v="1"/>
    <m/>
    <x v="0"/>
    <x v="17"/>
    <d v="2018-07-23T00:00:00"/>
    <s v="MV SMEW"/>
    <x v="100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324"/>
    <m/>
    <x v="191"/>
    <m/>
    <m/>
    <m/>
    <s v="CERRADO"/>
    <m/>
    <x v="47"/>
    <x v="0"/>
    <x v="150"/>
    <d v="2018-06-26T00:00:00"/>
    <s v="CAD"/>
    <m/>
    <s v="22756"/>
    <m/>
    <d v="2018-08-10T00:00:00"/>
    <s v="CANCELADO"/>
    <s v="CFR"/>
    <m/>
    <x v="8"/>
    <n v="193"/>
    <m/>
    <x v="284"/>
    <x v="0"/>
    <s v="Granel"/>
    <m/>
    <s v="Granel Sólido"/>
    <m/>
    <m/>
    <s v="2H JULIO - 1H AGO"/>
    <x v="0"/>
    <m/>
    <m/>
    <m/>
    <x v="186"/>
    <m/>
    <m/>
    <x v="192"/>
    <n v="9"/>
    <n v="2018"/>
    <x v="0"/>
    <x v="0"/>
    <s v="NANJING / CHINA"/>
    <x v="2"/>
    <m/>
    <x v="0"/>
    <x v="51"/>
    <d v="2018-07-23T00:00:00"/>
    <s v="MV SMEW"/>
    <x v="100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325"/>
    <m/>
    <x v="192"/>
    <m/>
    <m/>
    <m/>
    <s v="CERRADO"/>
    <m/>
    <x v="47"/>
    <x v="0"/>
    <x v="150"/>
    <d v="2018-06-26T00:00:00"/>
    <s v="CAD"/>
    <m/>
    <s v="22757"/>
    <m/>
    <d v="2018-08-10T00:00:00"/>
    <s v="CANCELADO"/>
    <s v="CFR"/>
    <m/>
    <x v="12"/>
    <n v="193"/>
    <m/>
    <x v="285"/>
    <x v="0"/>
    <s v="Granel"/>
    <m/>
    <s v="Granel Sólido"/>
    <m/>
    <m/>
    <s v="2H JULIO - 1H AGO"/>
    <x v="0"/>
    <m/>
    <m/>
    <m/>
    <x v="187"/>
    <m/>
    <m/>
    <x v="193"/>
    <n v="9"/>
    <n v="2018"/>
    <x v="0"/>
    <x v="0"/>
    <s v="NANJING / CHINA"/>
    <x v="4"/>
    <m/>
    <x v="0"/>
    <x v="18"/>
    <d v="2018-07-23T00:00:00"/>
    <s v="MV SMEW"/>
    <x v="100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326"/>
    <m/>
    <x v="193"/>
    <m/>
    <m/>
    <m/>
    <s v="CERRADO"/>
    <m/>
    <x v="14"/>
    <x v="0"/>
    <x v="151"/>
    <d v="2018-06-26T00:00:00"/>
    <s v="CAD"/>
    <m/>
    <s v="22673"/>
    <m/>
    <d v="2018-08-13T00:00:00"/>
    <s v="CANCELADO"/>
    <s v="CFR"/>
    <m/>
    <x v="45"/>
    <n v="453"/>
    <m/>
    <x v="286"/>
    <x v="0"/>
    <s v="Granel"/>
    <m/>
    <s v="Granel Sólido"/>
    <m/>
    <m/>
    <s v="2H JULIO - 1H AGO"/>
    <x v="0"/>
    <m/>
    <m/>
    <m/>
    <x v="185"/>
    <m/>
    <m/>
    <x v="190"/>
    <n v="9"/>
    <n v="2018"/>
    <x v="0"/>
    <x v="0"/>
    <s v="NANJING / CHINA"/>
    <x v="0"/>
    <m/>
    <x v="0"/>
    <x v="249"/>
    <d v="2018-07-23T00:00:00"/>
    <s v="MV SMEW"/>
    <x v="100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327"/>
    <m/>
    <x v="194"/>
    <m/>
    <m/>
    <m/>
    <s v="CERRADO"/>
    <m/>
    <x v="14"/>
    <x v="0"/>
    <x v="151"/>
    <d v="2018-06-26T00:00:00"/>
    <s v="CAD"/>
    <m/>
    <s v="22676"/>
    <m/>
    <d v="2018-08-13T00:00:00"/>
    <s v="CANCELADO"/>
    <s v="CFR"/>
    <m/>
    <x v="182"/>
    <n v="453"/>
    <m/>
    <x v="287"/>
    <x v="0"/>
    <s v="Granel"/>
    <m/>
    <s v="Granel Sólido"/>
    <m/>
    <m/>
    <s v="2H JULIO - 1H AGO"/>
    <x v="0"/>
    <m/>
    <m/>
    <m/>
    <x v="173"/>
    <m/>
    <m/>
    <x v="191"/>
    <n v="9"/>
    <n v="2018"/>
    <x v="0"/>
    <x v="0"/>
    <s v="NANJING / CHINA"/>
    <x v="1"/>
    <m/>
    <x v="0"/>
    <x v="250"/>
    <d v="2018-07-23T00:00:00"/>
    <s v="MV SMEW"/>
    <x v="100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328"/>
    <m/>
    <x v="195"/>
    <m/>
    <m/>
    <m/>
    <s v="CERRADO"/>
    <m/>
    <x v="14"/>
    <x v="0"/>
    <x v="151"/>
    <d v="2018-06-26T00:00:00"/>
    <s v="CAD"/>
    <m/>
    <s v="22674"/>
    <m/>
    <d v="2018-08-13T00:00:00"/>
    <s v="CANCELADO"/>
    <s v="CFR"/>
    <m/>
    <x v="47"/>
    <n v="453"/>
    <m/>
    <x v="288"/>
    <x v="0"/>
    <s v="Granel"/>
    <m/>
    <s v="Granel Sólido"/>
    <m/>
    <m/>
    <s v="2H JULIO - 1H AGO"/>
    <x v="0"/>
    <m/>
    <m/>
    <m/>
    <x v="186"/>
    <m/>
    <m/>
    <x v="192"/>
    <n v="9"/>
    <n v="2018"/>
    <x v="0"/>
    <x v="0"/>
    <s v="NANJING / CHINA"/>
    <x v="2"/>
    <m/>
    <x v="0"/>
    <x v="251"/>
    <d v="2018-07-23T00:00:00"/>
    <s v="MV SMEW"/>
    <x v="100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329"/>
    <m/>
    <x v="196"/>
    <m/>
    <m/>
    <m/>
    <s v="CERRADO"/>
    <m/>
    <x v="14"/>
    <x v="0"/>
    <x v="151"/>
    <d v="2018-06-26T00:00:00"/>
    <s v="CAD"/>
    <m/>
    <s v="22675"/>
    <m/>
    <d v="2018-08-13T00:00:00"/>
    <s v="CANCELADO"/>
    <s v="CFR"/>
    <m/>
    <x v="41"/>
    <n v="453"/>
    <m/>
    <x v="289"/>
    <x v="0"/>
    <s v="Granel"/>
    <m/>
    <s v="Granel Sólido"/>
    <m/>
    <m/>
    <s v="2H JULIO - 1H AGO"/>
    <x v="0"/>
    <m/>
    <m/>
    <m/>
    <x v="187"/>
    <m/>
    <m/>
    <x v="193"/>
    <n v="9"/>
    <n v="2018"/>
    <x v="0"/>
    <x v="0"/>
    <s v="NANJING / CHINA"/>
    <x v="4"/>
    <m/>
    <x v="0"/>
    <x v="252"/>
    <d v="2018-07-23T00:00:00"/>
    <s v="MV SMEW"/>
    <x v="100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S"/>
    <x v="0"/>
    <x v="0"/>
    <m/>
    <m/>
    <x v="330"/>
    <m/>
    <x v="197"/>
    <m/>
    <m/>
    <m/>
    <s v="CERRADO"/>
    <m/>
    <x v="16"/>
    <x v="0"/>
    <x v="152"/>
    <d v="2018-06-27T00:00:00"/>
    <s v="CAD"/>
    <m/>
    <n v="22497"/>
    <m/>
    <d v="2018-08-13T00:00:00"/>
    <s v="CANCELADO"/>
    <s v="CFR"/>
    <m/>
    <x v="183"/>
    <n v="633"/>
    <m/>
    <x v="290"/>
    <x v="0"/>
    <s v="Granel - BB"/>
    <m/>
    <s v="25 kg"/>
    <m/>
    <m/>
    <s v="2H JULIO - 1H AGO"/>
    <x v="0"/>
    <m/>
    <m/>
    <m/>
    <x v="185"/>
    <m/>
    <m/>
    <x v="190"/>
    <n v="9"/>
    <n v="2018"/>
    <x v="0"/>
    <x v="0"/>
    <s v="NANJING / CHINA"/>
    <x v="0"/>
    <m/>
    <x v="0"/>
    <x v="253"/>
    <d v="2018-07-23T00:00:00"/>
    <s v="MV SMEW"/>
    <x v="100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S"/>
    <x v="0"/>
    <x v="0"/>
    <m/>
    <m/>
    <x v="331"/>
    <m/>
    <x v="198"/>
    <m/>
    <m/>
    <m/>
    <s v="CERRADO"/>
    <m/>
    <x v="16"/>
    <x v="0"/>
    <x v="152"/>
    <d v="2018-06-27T00:00:00"/>
    <s v="CAD"/>
    <m/>
    <s v="22498"/>
    <m/>
    <d v="2018-08-13T00:00:00"/>
    <s v="CANCELADO"/>
    <s v="CFR"/>
    <m/>
    <x v="184"/>
    <n v="633"/>
    <m/>
    <x v="291"/>
    <x v="0"/>
    <s v="Granel - BB"/>
    <m/>
    <s v="25 kg"/>
    <m/>
    <m/>
    <s v="2H JULIO - 1H AGO"/>
    <x v="0"/>
    <m/>
    <m/>
    <m/>
    <x v="173"/>
    <m/>
    <m/>
    <x v="191"/>
    <n v="9"/>
    <n v="2018"/>
    <x v="0"/>
    <x v="0"/>
    <s v="NANJING / CHINA"/>
    <x v="1"/>
    <m/>
    <x v="0"/>
    <x v="254"/>
    <d v="2018-07-23T00:00:00"/>
    <s v="MV SMEW"/>
    <x v="100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S"/>
    <x v="0"/>
    <x v="0"/>
    <m/>
    <m/>
    <x v="332"/>
    <m/>
    <x v="199"/>
    <m/>
    <m/>
    <m/>
    <s v="CERRADO"/>
    <n v="206914"/>
    <x v="12"/>
    <x v="13"/>
    <x v="153"/>
    <d v="2018-06-29T00:00:00"/>
    <n v="90"/>
    <s v="días BL"/>
    <s v="6SIT2018004409"/>
    <m/>
    <d v="2018-11-15T00:00:00"/>
    <s v="CANCELADO"/>
    <s v="CFR"/>
    <m/>
    <x v="15"/>
    <n v="136"/>
    <m/>
    <x v="292"/>
    <x v="0"/>
    <s v="Granel - BB"/>
    <m/>
    <s v="25 kg"/>
    <m/>
    <m/>
    <s v="JULIO"/>
    <x v="0"/>
    <m/>
    <m/>
    <m/>
    <x v="188"/>
    <m/>
    <m/>
    <x v="194"/>
    <n v="11"/>
    <n v="2018"/>
    <x v="0"/>
    <x v="0"/>
    <s v="TIAJIN / CHINA"/>
    <x v="2"/>
    <m/>
    <x v="0"/>
    <x v="255"/>
    <d v="2018-08-17T00:00:00"/>
    <s v="CS SONOMA"/>
    <x v="101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S"/>
    <x v="0"/>
    <x v="0"/>
    <m/>
    <m/>
    <x v="333"/>
    <m/>
    <x v="200"/>
    <m/>
    <m/>
    <m/>
    <s v="CERRADO"/>
    <n v="206966"/>
    <x v="16"/>
    <x v="13"/>
    <x v="153"/>
    <d v="2018-06-29T00:00:00"/>
    <n v="90"/>
    <s v="días BL"/>
    <s v="6SIT2018004502"/>
    <m/>
    <d v="2018-11-11T00:00:00"/>
    <s v="CANCELADO"/>
    <s v="CFR"/>
    <m/>
    <x v="35"/>
    <n v="631"/>
    <m/>
    <x v="293"/>
    <x v="0"/>
    <s v="Granel - BB"/>
    <m/>
    <s v="25 kg"/>
    <m/>
    <m/>
    <s v="JULIO"/>
    <x v="0"/>
    <m/>
    <m/>
    <m/>
    <x v="189"/>
    <m/>
    <m/>
    <x v="195"/>
    <n v="10"/>
    <n v="2018"/>
    <x v="0"/>
    <x v="0"/>
    <s v="NANJING / CHINA"/>
    <x v="2"/>
    <m/>
    <x v="0"/>
    <x v="256"/>
    <d v="2018-08-13T00:00:00"/>
    <s v="FINCH ARROW"/>
    <x v="102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E-S"/>
    <x v="0"/>
    <x v="0"/>
    <m/>
    <m/>
    <x v="334"/>
    <m/>
    <x v="201"/>
    <m/>
    <m/>
    <m/>
    <s v="CERRADO"/>
    <m/>
    <x v="48"/>
    <x v="0"/>
    <x v="154"/>
    <d v="2018-07-03T00:00:00"/>
    <s v="CAD"/>
    <m/>
    <s v="23276"/>
    <m/>
    <d v="2018-09-27T00:00:00"/>
    <s v="CANCELADO"/>
    <s v="CFR"/>
    <m/>
    <x v="185"/>
    <n v="375"/>
    <m/>
    <x v="294"/>
    <x v="1"/>
    <s v="Contenedor 40'"/>
    <m/>
    <s v="Bigbag"/>
    <m/>
    <m/>
    <s v="2H JULIO - 1H AGO"/>
    <x v="0"/>
    <m/>
    <m/>
    <m/>
    <x v="190"/>
    <m/>
    <m/>
    <x v="196"/>
    <n v="10"/>
    <n v="2018"/>
    <x v="0"/>
    <x v="0"/>
    <s v="ST. PETERSBURG / RUSSIA"/>
    <x v="2"/>
    <m/>
    <x v="0"/>
    <x v="257"/>
    <d v="2018-09-24T00:00:00"/>
    <s v="MAERSK NIAMEY"/>
    <x v="103"/>
    <x v="3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E-S"/>
    <x v="0"/>
    <x v="0"/>
    <m/>
    <m/>
    <x v="335"/>
    <m/>
    <x v="202"/>
    <m/>
    <m/>
    <m/>
    <s v="CERRADO"/>
    <n v="209865"/>
    <x v="49"/>
    <x v="3"/>
    <x v="155"/>
    <d v="2018-07-16T00:00:00"/>
    <s v="CAD"/>
    <m/>
    <s v="KTI20180989"/>
    <m/>
    <d v="2018-08-17T00:00:00"/>
    <s v="CANCELADO"/>
    <s v="CPT"/>
    <m/>
    <x v="186"/>
    <n v="10938.571443288252"/>
    <m/>
    <x v="295"/>
    <x v="11"/>
    <s v="Contenedor 20'"/>
    <m/>
    <s v="Granel Líquido"/>
    <m/>
    <m/>
    <s v="2H JULIO - 1H AGO"/>
    <x v="0"/>
    <m/>
    <m/>
    <m/>
    <x v="191"/>
    <m/>
    <m/>
    <x v="193"/>
    <n v="9"/>
    <n v="2018"/>
    <x v="0"/>
    <x v="0"/>
    <s v="LOS ANGELES / USA"/>
    <x v="2"/>
    <m/>
    <x v="0"/>
    <x v="258"/>
    <d v="2018-08-17T00:00:00"/>
    <s v="NYK RUMINA"/>
    <x v="104"/>
    <x v="17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336"/>
    <m/>
    <x v="34"/>
    <m/>
    <m/>
    <m/>
    <m/>
    <n v="207791"/>
    <x v="7"/>
    <x v="24"/>
    <x v="156"/>
    <d v="2018-08-15T00:00:00"/>
    <s v="CAD"/>
    <m/>
    <s v="18-08-2284/1"/>
    <m/>
    <d v="2018-08-14T00:00:00"/>
    <s v="CANCELADO"/>
    <s v="CFR"/>
    <m/>
    <x v="187"/>
    <n v="304.5"/>
    <m/>
    <x v="296"/>
    <x v="0"/>
    <s v="Granel"/>
    <m/>
    <s v="Granel Sólido"/>
    <m/>
    <m/>
    <s v="AGOSTO"/>
    <x v="0"/>
    <m/>
    <m/>
    <m/>
    <x v="192"/>
    <m/>
    <m/>
    <x v="191"/>
    <n v="9"/>
    <n v="2018"/>
    <x v="0"/>
    <x v="0"/>
    <s v="ST. PETERSBURG / RUSSIA"/>
    <x v="0"/>
    <m/>
    <x v="0"/>
    <x v="19"/>
    <d v="2018-08-01T00:00:00"/>
    <s v="MV STRATEGIC HARMONY"/>
    <x v="105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337"/>
    <m/>
    <x v="34"/>
    <m/>
    <m/>
    <m/>
    <m/>
    <n v="207791"/>
    <x v="7"/>
    <x v="24"/>
    <x v="156"/>
    <d v="2018-08-15T00:00:00"/>
    <s v="CAD"/>
    <m/>
    <s v="18-08-2284/2"/>
    <m/>
    <d v="2018-08-14T00:00:00"/>
    <s v="CANCELADO"/>
    <s v="CFR"/>
    <m/>
    <x v="188"/>
    <n v="304.5"/>
    <m/>
    <x v="297"/>
    <x v="0"/>
    <s v="Granel"/>
    <m/>
    <s v="Granel Sólido"/>
    <m/>
    <m/>
    <s v="AGOSTO"/>
    <x v="0"/>
    <m/>
    <m/>
    <m/>
    <x v="183"/>
    <m/>
    <m/>
    <x v="197"/>
    <n v="9"/>
    <n v="2018"/>
    <x v="0"/>
    <x v="0"/>
    <s v="ST. PETERSBURG / RUSSIA"/>
    <x v="1"/>
    <m/>
    <x v="0"/>
    <x v="44"/>
    <d v="2018-08-01T00:00:00"/>
    <s v="MV STRATEGIC HARMONY"/>
    <x v="105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338"/>
    <m/>
    <x v="34"/>
    <m/>
    <m/>
    <m/>
    <m/>
    <n v="207791"/>
    <x v="7"/>
    <x v="24"/>
    <x v="156"/>
    <d v="2018-08-15T00:00:00"/>
    <s v="CAD"/>
    <m/>
    <s v="18-08-2284/3"/>
    <m/>
    <d v="2018-08-14T00:00:00"/>
    <s v="CANCELADO"/>
    <s v="CFR"/>
    <m/>
    <x v="1"/>
    <n v="304.5"/>
    <m/>
    <x v="298"/>
    <x v="0"/>
    <s v="Granel"/>
    <m/>
    <s v="Granel Sólido"/>
    <m/>
    <m/>
    <s v="AGOSTO"/>
    <x v="0"/>
    <m/>
    <m/>
    <m/>
    <x v="193"/>
    <m/>
    <m/>
    <x v="198"/>
    <n v="9"/>
    <n v="2018"/>
    <x v="0"/>
    <x v="0"/>
    <s v="ST. PETERSBURG / RUSSIA"/>
    <x v="2"/>
    <m/>
    <x v="0"/>
    <x v="20"/>
    <d v="2018-08-01T00:00:00"/>
    <s v="MV STRATEGIC HARMONY"/>
    <x v="105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339"/>
    <m/>
    <x v="34"/>
    <m/>
    <m/>
    <m/>
    <m/>
    <n v="207791"/>
    <x v="7"/>
    <x v="24"/>
    <x v="156"/>
    <d v="2018-08-15T00:00:00"/>
    <s v="CAD"/>
    <m/>
    <s v="18-08-2284/4"/>
    <m/>
    <d v="2018-08-14T00:00:00"/>
    <s v="CANCELADO"/>
    <s v="CFR"/>
    <m/>
    <x v="10"/>
    <n v="304.5"/>
    <m/>
    <x v="299"/>
    <x v="0"/>
    <s v="Granel"/>
    <m/>
    <s v="Granel Sólido"/>
    <m/>
    <m/>
    <s v="AGOSTO"/>
    <x v="0"/>
    <m/>
    <m/>
    <m/>
    <x v="194"/>
    <m/>
    <m/>
    <x v="184"/>
    <n v="9"/>
    <n v="2018"/>
    <x v="0"/>
    <x v="0"/>
    <s v="ST. PETERSBURG / RUSSIA"/>
    <x v="4"/>
    <m/>
    <x v="0"/>
    <x v="45"/>
    <d v="2018-08-01T00:00:00"/>
    <s v="MV STRATEGIC HARMONY"/>
    <x v="105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340"/>
    <m/>
    <x v="203"/>
    <m/>
    <m/>
    <m/>
    <s v="CERRADO"/>
    <n v="206597"/>
    <x v="0"/>
    <x v="31"/>
    <x v="157"/>
    <d v="2018-08-17T00:00:00"/>
    <n v="180"/>
    <s v="días BL"/>
    <s v="K3465"/>
    <m/>
    <d v="2019-02-20T00:00:00"/>
    <s v="CANCELADO"/>
    <s v="CFR"/>
    <m/>
    <x v="138"/>
    <n v="312.5"/>
    <m/>
    <x v="300"/>
    <x v="0"/>
    <s v="Granel"/>
    <m/>
    <s v="Granel Sólido"/>
    <m/>
    <m/>
    <s v="AGOSTO"/>
    <x v="0"/>
    <m/>
    <m/>
    <m/>
    <x v="195"/>
    <m/>
    <m/>
    <x v="199"/>
    <n v="9"/>
    <n v="2018"/>
    <x v="0"/>
    <x v="0"/>
    <s v="OREGON / USA"/>
    <x v="1"/>
    <m/>
    <x v="0"/>
    <x v="259"/>
    <d v="2018-08-24T00:00:00"/>
    <s v="ULTRA PROSPERITY"/>
    <x v="106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341"/>
    <m/>
    <x v="204"/>
    <m/>
    <m/>
    <m/>
    <s v="CERRADO"/>
    <n v="206597"/>
    <x v="0"/>
    <x v="31"/>
    <x v="157"/>
    <d v="2018-08-17T00:00:00"/>
    <n v="180"/>
    <s v="días BL"/>
    <s v="K3465"/>
    <m/>
    <d v="2019-02-20T00:00:00"/>
    <s v="CANCELADO"/>
    <s v="CFR"/>
    <m/>
    <x v="132"/>
    <n v="312.5"/>
    <m/>
    <x v="193"/>
    <x v="0"/>
    <s v="Granel"/>
    <m/>
    <s v="Granel Sólido"/>
    <m/>
    <m/>
    <s v="AGOSTO"/>
    <x v="0"/>
    <m/>
    <m/>
    <m/>
    <x v="196"/>
    <m/>
    <m/>
    <x v="200"/>
    <n v="9"/>
    <n v="2018"/>
    <x v="0"/>
    <x v="0"/>
    <s v="OREGON / USA"/>
    <x v="2"/>
    <m/>
    <x v="0"/>
    <x v="259"/>
    <d v="2018-08-24T00:00:00"/>
    <s v="ULTRA PROSPERITY"/>
    <x v="106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342"/>
    <m/>
    <x v="205"/>
    <m/>
    <m/>
    <m/>
    <s v="CERRADO"/>
    <n v="206597"/>
    <x v="0"/>
    <x v="31"/>
    <x v="157"/>
    <d v="2018-08-17T00:00:00"/>
    <n v="180"/>
    <s v="días BL"/>
    <s v="K3465"/>
    <m/>
    <d v="2019-02-20T00:00:00"/>
    <s v="CANCELADO"/>
    <s v="CFR"/>
    <m/>
    <x v="1"/>
    <n v="312.5"/>
    <m/>
    <x v="301"/>
    <x v="0"/>
    <s v="Granel"/>
    <m/>
    <s v="Granel Sólido"/>
    <m/>
    <m/>
    <s v="AGOSTO"/>
    <x v="0"/>
    <m/>
    <m/>
    <m/>
    <x v="168"/>
    <m/>
    <m/>
    <x v="184"/>
    <n v="9"/>
    <n v="2018"/>
    <x v="0"/>
    <x v="0"/>
    <s v="OREGON / USA"/>
    <x v="4"/>
    <m/>
    <x v="0"/>
    <x v="259"/>
    <d v="2018-08-24T00:00:00"/>
    <s v="ULTRA PROSPERITY"/>
    <x v="106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C"/>
    <x v="0"/>
    <x v="0"/>
    <m/>
    <m/>
    <x v="343"/>
    <m/>
    <x v="206"/>
    <m/>
    <m/>
    <m/>
    <s v="CERRADO"/>
    <m/>
    <x v="5"/>
    <x v="6"/>
    <x v="158"/>
    <d v="2018-08-19T00:00:00"/>
    <s v="CAD"/>
    <m/>
    <s v="F001-24320"/>
    <m/>
    <d v="2018-08-16T00:00:00"/>
    <s v="CANCELADO"/>
    <s v="CFR"/>
    <m/>
    <x v="132"/>
    <n v="277.5"/>
    <m/>
    <x v="302"/>
    <x v="0"/>
    <s v="Granel"/>
    <m/>
    <s v="Granel Sólido"/>
    <m/>
    <m/>
    <s v="AGOSTO"/>
    <x v="0"/>
    <m/>
    <m/>
    <m/>
    <x v="192"/>
    <m/>
    <m/>
    <x v="191"/>
    <n v="9"/>
    <n v="2018"/>
    <x v="0"/>
    <x v="0"/>
    <s v="RIGA / LETONIA"/>
    <x v="0"/>
    <m/>
    <x v="0"/>
    <x v="19"/>
    <d v="2018-08-06T00:00:00"/>
    <s v="MV STRATEGIC HARMONY"/>
    <x v="105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C"/>
    <x v="0"/>
    <x v="0"/>
    <m/>
    <m/>
    <x v="344"/>
    <m/>
    <x v="207"/>
    <m/>
    <m/>
    <m/>
    <s v="CERRADO"/>
    <m/>
    <x v="5"/>
    <x v="6"/>
    <x v="158"/>
    <d v="2018-08-19T00:00:00"/>
    <s v="CAD"/>
    <m/>
    <s v="F001-24322"/>
    <m/>
    <d v="2018-08-16T00:00:00"/>
    <s v="CANCELADO"/>
    <s v="CFR"/>
    <m/>
    <x v="189"/>
    <n v="277.5"/>
    <m/>
    <x v="303"/>
    <x v="0"/>
    <s v="Granel"/>
    <m/>
    <s v="Granel Sólido"/>
    <m/>
    <m/>
    <s v="AGOSTO"/>
    <x v="0"/>
    <m/>
    <m/>
    <m/>
    <x v="183"/>
    <m/>
    <m/>
    <x v="197"/>
    <n v="9"/>
    <n v="2018"/>
    <x v="0"/>
    <x v="0"/>
    <s v="RIGA / LETONIA"/>
    <x v="1"/>
    <m/>
    <x v="0"/>
    <x v="44"/>
    <d v="2018-08-06T00:00:00"/>
    <s v="MV STRATEGIC HARMONY"/>
    <x v="105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C"/>
    <x v="0"/>
    <x v="0"/>
    <m/>
    <m/>
    <x v="345"/>
    <m/>
    <x v="208"/>
    <m/>
    <m/>
    <m/>
    <s v="CERRADO"/>
    <m/>
    <x v="5"/>
    <x v="6"/>
    <x v="158"/>
    <d v="2018-08-19T00:00:00"/>
    <s v="CAD"/>
    <m/>
    <s v="F001-24325"/>
    <m/>
    <d v="2018-08-16T00:00:00"/>
    <s v="CANCELADO"/>
    <s v="CFR"/>
    <m/>
    <x v="151"/>
    <n v="277.5"/>
    <m/>
    <x v="304"/>
    <x v="0"/>
    <s v="Granel"/>
    <m/>
    <s v="Granel Sólido"/>
    <m/>
    <m/>
    <s v="AGOSTO"/>
    <x v="0"/>
    <m/>
    <m/>
    <m/>
    <x v="193"/>
    <m/>
    <m/>
    <x v="198"/>
    <n v="9"/>
    <n v="2018"/>
    <x v="0"/>
    <x v="0"/>
    <s v="RIGA / LETONIA"/>
    <x v="2"/>
    <m/>
    <x v="0"/>
    <x v="20"/>
    <d v="2018-08-06T00:00:00"/>
    <s v="MV STRATEGIC HARMONY"/>
    <x v="105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C"/>
    <x v="0"/>
    <x v="0"/>
    <m/>
    <m/>
    <x v="346"/>
    <m/>
    <x v="209"/>
    <m/>
    <m/>
    <m/>
    <s v="CERRADO"/>
    <m/>
    <x v="5"/>
    <x v="6"/>
    <x v="158"/>
    <d v="2018-08-19T00:00:00"/>
    <s v="CAD"/>
    <m/>
    <s v="F001-24358"/>
    <m/>
    <d v="2018-08-16T00:00:00"/>
    <s v="CANCELADO"/>
    <s v="CFR"/>
    <m/>
    <x v="99"/>
    <n v="277.5"/>
    <m/>
    <x v="305"/>
    <x v="0"/>
    <s v="Granel"/>
    <m/>
    <s v="Granel Sólido"/>
    <m/>
    <m/>
    <s v="AGOSTO"/>
    <x v="0"/>
    <m/>
    <m/>
    <m/>
    <x v="196"/>
    <m/>
    <m/>
    <x v="200"/>
    <n v="9"/>
    <n v="2018"/>
    <x v="0"/>
    <x v="0"/>
    <s v="RIGA / LETONIA"/>
    <x v="3"/>
    <m/>
    <x v="0"/>
    <x v="45"/>
    <d v="2018-08-06T00:00:00"/>
    <s v="MV STRATEGIC HARMONY"/>
    <x v="105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C"/>
    <x v="0"/>
    <x v="0"/>
    <m/>
    <m/>
    <x v="347"/>
    <m/>
    <x v="210"/>
    <m/>
    <m/>
    <m/>
    <s v="CERRADO"/>
    <m/>
    <x v="5"/>
    <x v="6"/>
    <x v="158"/>
    <d v="2018-08-19T00:00:00"/>
    <s v="CAD"/>
    <m/>
    <s v="F001-24359"/>
    <m/>
    <d v="2018-08-16T00:00:00"/>
    <s v="CANCELADO"/>
    <s v="CFR"/>
    <m/>
    <x v="190"/>
    <n v="277.5"/>
    <m/>
    <x v="306"/>
    <x v="0"/>
    <s v="Granel"/>
    <m/>
    <s v="Granel Sólido"/>
    <m/>
    <m/>
    <s v="AGOSTO"/>
    <x v="0"/>
    <m/>
    <m/>
    <m/>
    <x v="194"/>
    <m/>
    <m/>
    <x v="184"/>
    <n v="9"/>
    <n v="2018"/>
    <x v="0"/>
    <x v="0"/>
    <s v="RIGA / LETONIA"/>
    <x v="4"/>
    <m/>
    <x v="0"/>
    <x v="260"/>
    <d v="2018-08-06T00:00:00"/>
    <s v="MV STRATEGIC HARMONY"/>
    <x v="105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348"/>
    <m/>
    <x v="211"/>
    <m/>
    <m/>
    <m/>
    <s v="CERRADO"/>
    <m/>
    <x v="13"/>
    <x v="6"/>
    <x v="158"/>
    <d v="2018-08-19T00:00:00"/>
    <s v="CAD"/>
    <m/>
    <s v="F001-24324"/>
    <m/>
    <d v="2018-08-16T00:00:00"/>
    <s v="CANCELADO"/>
    <s v="CFR"/>
    <m/>
    <x v="100"/>
    <n v="311.5"/>
    <m/>
    <x v="307"/>
    <x v="0"/>
    <s v="Granel"/>
    <m/>
    <s v="Granel Sólido"/>
    <m/>
    <m/>
    <s v="AGOSTO"/>
    <x v="0"/>
    <m/>
    <m/>
    <m/>
    <x v="183"/>
    <m/>
    <m/>
    <x v="197"/>
    <n v="9"/>
    <n v="2018"/>
    <x v="0"/>
    <x v="0"/>
    <s v="RIGA / LETONIA"/>
    <x v="1"/>
    <m/>
    <x v="0"/>
    <x v="23"/>
    <d v="2018-08-06T00:00:00"/>
    <s v="MV STRATEGIC HARMONY"/>
    <x v="105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349"/>
    <m/>
    <x v="212"/>
    <m/>
    <m/>
    <m/>
    <s v="CERRADO"/>
    <m/>
    <x v="13"/>
    <x v="6"/>
    <x v="158"/>
    <d v="2018-08-19T00:00:00"/>
    <s v="CAD"/>
    <m/>
    <s v="F001-24327"/>
    <m/>
    <d v="2018-08-16T00:00:00"/>
    <s v="CANCELADO"/>
    <s v="CFR"/>
    <m/>
    <x v="70"/>
    <n v="311.5"/>
    <m/>
    <x v="308"/>
    <x v="0"/>
    <s v="Granel"/>
    <m/>
    <s v="Granel Sólido"/>
    <m/>
    <m/>
    <s v="AGOSTO"/>
    <x v="0"/>
    <m/>
    <m/>
    <m/>
    <x v="193"/>
    <m/>
    <m/>
    <x v="198"/>
    <n v="9"/>
    <n v="2018"/>
    <x v="0"/>
    <x v="0"/>
    <s v="RIGA / LETONIA"/>
    <x v="2"/>
    <m/>
    <x v="0"/>
    <x v="3"/>
    <d v="2018-08-06T00:00:00"/>
    <s v="MV STRATEGIC HARMONY"/>
    <x v="105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350"/>
    <m/>
    <x v="213"/>
    <m/>
    <m/>
    <m/>
    <s v="CERRADO"/>
    <m/>
    <x v="13"/>
    <x v="6"/>
    <x v="158"/>
    <d v="2018-08-19T00:00:00"/>
    <s v="CAD"/>
    <m/>
    <s v="F001-24360"/>
    <m/>
    <d v="2018-08-16T00:00:00"/>
    <s v="CANCELADO"/>
    <s v="CFR"/>
    <m/>
    <x v="191"/>
    <n v="311.5"/>
    <m/>
    <x v="309"/>
    <x v="0"/>
    <s v="Granel"/>
    <m/>
    <s v="Granel Sólido"/>
    <m/>
    <m/>
    <s v="AGOSTO"/>
    <x v="0"/>
    <m/>
    <m/>
    <m/>
    <x v="194"/>
    <m/>
    <m/>
    <x v="184"/>
    <n v="9"/>
    <n v="2018"/>
    <x v="0"/>
    <x v="0"/>
    <s v="RIGA / LETONIA"/>
    <x v="4"/>
    <m/>
    <x v="0"/>
    <x v="261"/>
    <d v="2018-08-06T00:00:00"/>
    <s v="MV STRATEGIC HARMONY"/>
    <x v="105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351"/>
    <m/>
    <x v="214"/>
    <m/>
    <m/>
    <m/>
    <s v="CERRADO"/>
    <m/>
    <x v="6"/>
    <x v="6"/>
    <x v="158"/>
    <d v="2018-08-19T00:00:00"/>
    <s v="CAD"/>
    <m/>
    <s v="F001-24321"/>
    <m/>
    <d v="2018-08-16T00:00:00"/>
    <s v="CANCELADO"/>
    <s v="CFR"/>
    <m/>
    <x v="192"/>
    <n v="308.5"/>
    <m/>
    <x v="310"/>
    <x v="0"/>
    <s v="Granel"/>
    <m/>
    <s v="Granel Sólido"/>
    <m/>
    <m/>
    <s v="AGOSTO"/>
    <x v="0"/>
    <m/>
    <m/>
    <m/>
    <x v="192"/>
    <m/>
    <m/>
    <x v="191"/>
    <n v="9"/>
    <n v="2018"/>
    <x v="0"/>
    <x v="0"/>
    <s v="RIGA / LETONIA"/>
    <x v="0"/>
    <m/>
    <x v="0"/>
    <x v="131"/>
    <d v="2018-08-06T00:00:00"/>
    <s v="MV STRATEGIC HARMONY"/>
    <x v="105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352"/>
    <m/>
    <x v="215"/>
    <m/>
    <m/>
    <m/>
    <s v="CERRADO"/>
    <m/>
    <x v="6"/>
    <x v="6"/>
    <x v="158"/>
    <d v="2018-08-19T00:00:00"/>
    <s v="CAD"/>
    <m/>
    <s v="F001-24323"/>
    <m/>
    <d v="2018-08-16T00:00:00"/>
    <s v="CANCELADO"/>
    <s v="CFR"/>
    <m/>
    <x v="17"/>
    <n v="308.5"/>
    <m/>
    <x v="311"/>
    <x v="0"/>
    <s v="Granel"/>
    <m/>
    <s v="Granel Sólido"/>
    <m/>
    <m/>
    <s v="AGOSTO"/>
    <x v="0"/>
    <m/>
    <m/>
    <m/>
    <x v="183"/>
    <m/>
    <m/>
    <x v="197"/>
    <n v="9"/>
    <n v="2018"/>
    <x v="0"/>
    <x v="0"/>
    <s v="RIGA / LETONIA"/>
    <x v="1"/>
    <m/>
    <x v="0"/>
    <x v="262"/>
    <d v="2018-08-06T00:00:00"/>
    <s v="MV STRATEGIC HARMONY"/>
    <x v="105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353"/>
    <m/>
    <x v="216"/>
    <m/>
    <m/>
    <m/>
    <s v="CERRADO"/>
    <m/>
    <x v="6"/>
    <x v="6"/>
    <x v="158"/>
    <d v="2018-08-19T00:00:00"/>
    <s v="CAD"/>
    <m/>
    <s v="F001-24326"/>
    <m/>
    <d v="2018-08-16T00:00:00"/>
    <s v="CANCELADO"/>
    <s v="CFR"/>
    <m/>
    <x v="99"/>
    <n v="308.5"/>
    <m/>
    <x v="312"/>
    <x v="0"/>
    <s v="Granel"/>
    <m/>
    <s v="Granel Sólido"/>
    <m/>
    <m/>
    <s v="AGOSTO"/>
    <x v="0"/>
    <m/>
    <m/>
    <m/>
    <x v="193"/>
    <m/>
    <m/>
    <x v="198"/>
    <n v="9"/>
    <n v="2018"/>
    <x v="0"/>
    <x v="0"/>
    <s v="RIGA / LETONIA"/>
    <x v="2"/>
    <m/>
    <x v="0"/>
    <x v="15"/>
    <d v="2018-08-06T00:00:00"/>
    <s v="MV STRATEGIC HARMONY"/>
    <x v="105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S"/>
    <x v="0"/>
    <x v="0"/>
    <s v="URGENTE"/>
    <m/>
    <x v="354"/>
    <m/>
    <x v="217"/>
    <m/>
    <m/>
    <m/>
    <s v="CERRADO"/>
    <n v="207579"/>
    <x v="9"/>
    <x v="32"/>
    <x v="159"/>
    <d v="2018-08-07T00:00:00"/>
    <n v="90"/>
    <s v="días BL"/>
    <s v="7SIT2018001255"/>
    <m/>
    <d v="2019-01-03T00:00:00"/>
    <s v="CANCELADO"/>
    <s v="CFR"/>
    <m/>
    <x v="0"/>
    <n v="283"/>
    <m/>
    <x v="313"/>
    <x v="0"/>
    <s v="Granel - BB"/>
    <m/>
    <s v="25 kg"/>
    <m/>
    <m/>
    <s v="2H SETIEMBRE"/>
    <x v="0"/>
    <m/>
    <m/>
    <m/>
    <x v="197"/>
    <m/>
    <m/>
    <x v="201"/>
    <n v="12"/>
    <n v="2018"/>
    <x v="0"/>
    <x v="0"/>
    <s v="TIAJIN / CHINA"/>
    <x v="2"/>
    <m/>
    <x v="0"/>
    <x v="263"/>
    <d v="2018-10-05T00:00:00"/>
    <s v="OSPREY ARROW"/>
    <x v="107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S"/>
    <x v="0"/>
    <x v="0"/>
    <m/>
    <m/>
    <x v="355"/>
    <m/>
    <x v="218"/>
    <m/>
    <m/>
    <m/>
    <s v="CERRADO"/>
    <n v="206914"/>
    <x v="12"/>
    <x v="19"/>
    <x v="160"/>
    <d v="2018-08-06T00:00:00"/>
    <n v="60"/>
    <s v="días BL"/>
    <s v="SG-MSL-12329-1"/>
    <m/>
    <d v="2018-11-06T00:00:00"/>
    <s v="CANCELADO"/>
    <s v="CFR"/>
    <m/>
    <x v="123"/>
    <n v="150.6"/>
    <m/>
    <x v="314"/>
    <x v="15"/>
    <s v="Contenedor 40'"/>
    <m/>
    <s v="25 kg"/>
    <m/>
    <m/>
    <s v="AGOSTO"/>
    <x v="0"/>
    <m/>
    <m/>
    <m/>
    <x v="198"/>
    <m/>
    <m/>
    <x v="202"/>
    <n v="10"/>
    <n v="2018"/>
    <x v="0"/>
    <x v="0"/>
    <s v="DALIAN / CHINA"/>
    <x v="0"/>
    <m/>
    <x v="0"/>
    <x v="264"/>
    <d v="2018-09-04T00:00:00"/>
    <s v="X-PRESS ANNAPURNA"/>
    <x v="69"/>
    <x v="16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S"/>
    <x v="0"/>
    <x v="0"/>
    <s v="URGENTE"/>
    <m/>
    <x v="356"/>
    <m/>
    <x v="219"/>
    <m/>
    <m/>
    <m/>
    <s v="CERRADO"/>
    <m/>
    <x v="9"/>
    <x v="33"/>
    <x v="161"/>
    <d v="2018-08-08T00:00:00"/>
    <s v="CAD"/>
    <m/>
    <s v="4566"/>
    <m/>
    <d v="2018-09-20T00:00:00"/>
    <s v="CANCELADO"/>
    <s v="CFR"/>
    <m/>
    <x v="193"/>
    <n v="300"/>
    <m/>
    <x v="315"/>
    <x v="30"/>
    <s v="Contenedor 40'"/>
    <m/>
    <s v="25 kg"/>
    <m/>
    <m/>
    <s v="AGOSTO"/>
    <x v="0"/>
    <m/>
    <m/>
    <m/>
    <x v="199"/>
    <m/>
    <m/>
    <x v="203"/>
    <n v="11"/>
    <n v="2018"/>
    <x v="0"/>
    <x v="0"/>
    <s v="XINGANG / CHINA"/>
    <x v="0"/>
    <m/>
    <x v="0"/>
    <x v="265"/>
    <d v="2018-09-09T00:00:00"/>
    <s v="MOL PREMIUM"/>
    <x v="108"/>
    <x v="16"/>
    <m/>
    <m/>
    <m/>
    <m/>
    <m/>
    <m/>
    <x v="0"/>
    <d v="2018-12-12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357"/>
    <m/>
    <x v="220"/>
    <m/>
    <m/>
    <m/>
    <s v="CERRADO"/>
    <n v="207485"/>
    <x v="13"/>
    <x v="18"/>
    <x v="162"/>
    <d v="2018-08-07T00:00:00"/>
    <s v="CAD"/>
    <m/>
    <s v="PATR-504076"/>
    <m/>
    <d v="2018-09-10T00:00:00"/>
    <s v="CANCELADO"/>
    <s v="CFR"/>
    <m/>
    <x v="3"/>
    <n v="305.5"/>
    <m/>
    <x v="316"/>
    <x v="0"/>
    <s v="Granel"/>
    <m/>
    <s v="Granel Sólido"/>
    <m/>
    <m/>
    <s v="2H AGOSTO"/>
    <x v="0"/>
    <m/>
    <m/>
    <m/>
    <x v="200"/>
    <m/>
    <m/>
    <x v="204"/>
    <n v="9"/>
    <n v="2018"/>
    <x v="0"/>
    <x v="0"/>
    <s v="KOTKA / FINLANDIA"/>
    <x v="0"/>
    <m/>
    <x v="0"/>
    <x v="19"/>
    <d v="2018-08-24T00:00:00"/>
    <s v="MV INDIAN BULKER"/>
    <x v="109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358"/>
    <m/>
    <x v="221"/>
    <m/>
    <m/>
    <m/>
    <s v="CERRADO"/>
    <n v="207485"/>
    <x v="13"/>
    <x v="18"/>
    <x v="162"/>
    <d v="2018-08-07T00:00:00"/>
    <s v="CAD"/>
    <m/>
    <s v="PATR-504072"/>
    <m/>
    <d v="2018-09-07T00:00:00"/>
    <s v="CANCELADO"/>
    <s v="CFR"/>
    <m/>
    <x v="15"/>
    <n v="305.5"/>
    <m/>
    <x v="317"/>
    <x v="0"/>
    <s v="Granel"/>
    <m/>
    <s v="Granel Sólido"/>
    <m/>
    <m/>
    <s v="2H AGOSTO"/>
    <x v="0"/>
    <m/>
    <m/>
    <m/>
    <x v="196"/>
    <m/>
    <m/>
    <x v="205"/>
    <n v="9"/>
    <n v="2018"/>
    <x v="0"/>
    <x v="0"/>
    <s v="KOTKA / FINLANDIA"/>
    <x v="1"/>
    <m/>
    <x v="0"/>
    <x v="12"/>
    <d v="2018-08-24T00:00:00"/>
    <s v="MV INDIAN BULKER"/>
    <x v="109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359"/>
    <m/>
    <x v="222"/>
    <m/>
    <m/>
    <m/>
    <s v="CERRADO"/>
    <n v="207485"/>
    <x v="13"/>
    <x v="18"/>
    <x v="162"/>
    <d v="2018-08-07T00:00:00"/>
    <s v="CAD"/>
    <m/>
    <s v="PATR-504073"/>
    <m/>
    <d v="2018-09-10T00:00:00"/>
    <s v="CANCELADO"/>
    <s v="CFR"/>
    <m/>
    <x v="70"/>
    <n v="305.5"/>
    <m/>
    <x v="318"/>
    <x v="0"/>
    <s v="Granel"/>
    <m/>
    <s v="Granel Sólido"/>
    <m/>
    <m/>
    <s v="2H AGOSTO"/>
    <x v="0"/>
    <m/>
    <m/>
    <m/>
    <x v="201"/>
    <m/>
    <m/>
    <x v="206"/>
    <n v="9"/>
    <n v="2018"/>
    <x v="0"/>
    <x v="0"/>
    <s v="KOTKA / FINLANDIA"/>
    <x v="2"/>
    <m/>
    <x v="0"/>
    <x v="13"/>
    <d v="2018-08-24T00:00:00"/>
    <s v="MV INDIAN BULKER"/>
    <x v="109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360"/>
    <m/>
    <x v="223"/>
    <m/>
    <m/>
    <m/>
    <s v="CERRADO"/>
    <n v="207485"/>
    <x v="13"/>
    <x v="18"/>
    <x v="162"/>
    <d v="2018-08-07T00:00:00"/>
    <s v="CAD"/>
    <m/>
    <s v="PATR-504074"/>
    <m/>
    <d v="2018-09-10T00:00:00"/>
    <s v="CANCELADO"/>
    <s v="CFR"/>
    <m/>
    <x v="194"/>
    <n v="305.5"/>
    <m/>
    <x v="319"/>
    <x v="0"/>
    <s v="Granel"/>
    <m/>
    <s v="Granel Sólido"/>
    <m/>
    <m/>
    <s v="2H AGOSTO"/>
    <x v="0"/>
    <m/>
    <m/>
    <m/>
    <x v="175"/>
    <m/>
    <m/>
    <x v="174"/>
    <n v="10"/>
    <n v="2018"/>
    <x v="0"/>
    <x v="0"/>
    <s v="KOTKA / FINLANDIA"/>
    <x v="4"/>
    <m/>
    <x v="0"/>
    <x v="14"/>
    <d v="2018-08-24T00:00:00"/>
    <s v="MV INDIAN BULKER"/>
    <x v="109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361"/>
    <m/>
    <x v="224"/>
    <m/>
    <m/>
    <m/>
    <s v="CERRADO"/>
    <n v="207951"/>
    <x v="6"/>
    <x v="18"/>
    <x v="162"/>
    <d v="2018-08-07T00:00:00"/>
    <s v="CAD"/>
    <m/>
    <s v="PATR-504067"/>
    <m/>
    <d v="2018-09-10T00:00:00"/>
    <s v="CANCELADO"/>
    <s v="CFR"/>
    <m/>
    <x v="18"/>
    <n v="295.5"/>
    <m/>
    <x v="320"/>
    <x v="0"/>
    <s v="Granel"/>
    <m/>
    <s v="Granel Sólido"/>
    <m/>
    <m/>
    <s v="2H AGOSTO"/>
    <x v="0"/>
    <m/>
    <m/>
    <m/>
    <x v="200"/>
    <m/>
    <m/>
    <x v="204"/>
    <n v="9"/>
    <n v="2018"/>
    <x v="0"/>
    <x v="0"/>
    <s v="KOTKA / FINLANDIA"/>
    <x v="0"/>
    <m/>
    <x v="0"/>
    <x v="11"/>
    <d v="2018-08-24T00:00:00"/>
    <s v="MV INDIAN BULKER"/>
    <x v="109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362"/>
    <m/>
    <x v="225"/>
    <m/>
    <m/>
    <m/>
    <s v="CERRADO"/>
    <n v="207951"/>
    <x v="6"/>
    <x v="18"/>
    <x v="162"/>
    <d v="2018-08-07T00:00:00"/>
    <s v="CAD"/>
    <m/>
    <s v="PATR-504068"/>
    <m/>
    <d v="2018-09-07T00:00:00"/>
    <s v="CANCELADO"/>
    <s v="CFR"/>
    <m/>
    <x v="130"/>
    <n v="295.5"/>
    <m/>
    <x v="321"/>
    <x v="0"/>
    <s v="Granel"/>
    <m/>
    <s v="Granel Sólido"/>
    <m/>
    <m/>
    <s v="2H AGOSTO"/>
    <x v="0"/>
    <m/>
    <m/>
    <m/>
    <x v="196"/>
    <m/>
    <m/>
    <x v="205"/>
    <n v="9"/>
    <n v="2018"/>
    <x v="0"/>
    <x v="0"/>
    <s v="KOTKA / FINLANDIA"/>
    <x v="1"/>
    <m/>
    <x v="0"/>
    <x v="131"/>
    <d v="2018-08-24T00:00:00"/>
    <s v="MV INDIAN BULKER"/>
    <x v="109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363"/>
    <m/>
    <x v="226"/>
    <m/>
    <m/>
    <m/>
    <s v="CERRADO"/>
    <n v="207951"/>
    <x v="6"/>
    <x v="18"/>
    <x v="162"/>
    <d v="2018-08-07T00:00:00"/>
    <s v="CAD"/>
    <m/>
    <s v="PATR-504069"/>
    <m/>
    <d v="2018-09-07T00:00:00"/>
    <s v="CANCELADO"/>
    <s v="CFR"/>
    <m/>
    <x v="189"/>
    <n v="295.5"/>
    <m/>
    <x v="322"/>
    <x v="0"/>
    <s v="Granel"/>
    <m/>
    <s v="Granel Sólido"/>
    <m/>
    <m/>
    <s v="2H AGOSTO"/>
    <x v="0"/>
    <m/>
    <m/>
    <m/>
    <x v="201"/>
    <m/>
    <m/>
    <x v="206"/>
    <n v="9"/>
    <n v="2018"/>
    <x v="0"/>
    <x v="0"/>
    <s v="KOTKA / FINLANDIA"/>
    <x v="2"/>
    <m/>
    <x v="0"/>
    <x v="132"/>
    <d v="2018-08-24T00:00:00"/>
    <s v="MV INDIAN BULKER"/>
    <x v="109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364"/>
    <m/>
    <x v="227"/>
    <m/>
    <m/>
    <m/>
    <s v="CERRADO"/>
    <n v="207951"/>
    <x v="6"/>
    <x v="18"/>
    <x v="162"/>
    <d v="2018-08-07T00:00:00"/>
    <s v="CAD"/>
    <m/>
    <s v="PATR-504070"/>
    <m/>
    <d v="2018-09-07T00:00:00"/>
    <s v="CANCELADO"/>
    <s v="CFR"/>
    <m/>
    <x v="0"/>
    <n v="295.5"/>
    <m/>
    <x v="323"/>
    <x v="0"/>
    <s v="Granel"/>
    <m/>
    <s v="Granel Sólido"/>
    <m/>
    <m/>
    <s v="2H AGOSTO"/>
    <x v="0"/>
    <m/>
    <m/>
    <m/>
    <x v="202"/>
    <m/>
    <m/>
    <x v="207"/>
    <n v="10"/>
    <n v="2018"/>
    <x v="0"/>
    <x v="0"/>
    <s v="KOTKA / FINLANDIA"/>
    <x v="3"/>
    <m/>
    <x v="0"/>
    <x v="15"/>
    <d v="2018-08-24T00:00:00"/>
    <s v="MV INDIAN BULKER"/>
    <x v="109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365"/>
    <m/>
    <x v="228"/>
    <m/>
    <m/>
    <m/>
    <s v="CERRADO"/>
    <n v="207951"/>
    <x v="6"/>
    <x v="18"/>
    <x v="162"/>
    <d v="2018-08-07T00:00:00"/>
    <s v="CAD"/>
    <m/>
    <s v="PATR-504071"/>
    <m/>
    <d v="2018-09-10T00:00:00"/>
    <s v="CANCELADO"/>
    <s v="CFR"/>
    <m/>
    <x v="195"/>
    <n v="295.5"/>
    <m/>
    <x v="324"/>
    <x v="0"/>
    <s v="Granel"/>
    <m/>
    <s v="Granel Sólido"/>
    <m/>
    <m/>
    <s v="2H AGOSTO"/>
    <x v="0"/>
    <m/>
    <m/>
    <m/>
    <x v="175"/>
    <m/>
    <m/>
    <x v="174"/>
    <n v="10"/>
    <n v="2018"/>
    <x v="0"/>
    <x v="0"/>
    <s v="KOTKA / FINLANDIA"/>
    <x v="4"/>
    <m/>
    <x v="0"/>
    <x v="266"/>
    <d v="2018-08-24T00:00:00"/>
    <s v="MV INDIAN BULKER"/>
    <x v="109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P"/>
    <x v="0"/>
    <x v="0"/>
    <m/>
    <m/>
    <x v="366"/>
    <m/>
    <x v="229"/>
    <m/>
    <m/>
    <m/>
    <s v="CERRADO"/>
    <n v="208510"/>
    <x v="10"/>
    <x v="0"/>
    <x v="163"/>
    <d v="2018-08-16T00:00:00"/>
    <n v="90"/>
    <s v="días BL"/>
    <s v="23330"/>
    <m/>
    <d v="2019-02-07T00:00:00"/>
    <s v="CANCELADO"/>
    <s v="CFR"/>
    <m/>
    <x v="196"/>
    <n v="860"/>
    <m/>
    <x v="325"/>
    <x v="31"/>
    <s v="Contenedor 20'"/>
    <m/>
    <s v="Bidones 35kg"/>
    <m/>
    <m/>
    <s v="15AGO - 15SEPT"/>
    <x v="0"/>
    <m/>
    <m/>
    <m/>
    <x v="203"/>
    <m/>
    <m/>
    <x v="208"/>
    <n v="11"/>
    <n v="2018"/>
    <x v="0"/>
    <x v="0"/>
    <s v="FANGCHENG / CHINA"/>
    <x v="2"/>
    <m/>
    <x v="0"/>
    <x v="267"/>
    <d v="2018-09-20T00:00:00"/>
    <s v="HUI JIN QIAO"/>
    <x v="87"/>
    <x v="2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P"/>
    <x v="0"/>
    <x v="0"/>
    <m/>
    <m/>
    <x v="367"/>
    <m/>
    <x v="230"/>
    <m/>
    <m/>
    <m/>
    <s v="CERRADO"/>
    <n v="208510"/>
    <x v="10"/>
    <x v="0"/>
    <x v="164"/>
    <d v="2018-08-16T00:00:00"/>
    <n v="90"/>
    <s v="días BL"/>
    <s v="23331"/>
    <m/>
    <d v="2019-01-31T00:00:00"/>
    <s v="CANCELADO"/>
    <s v="CFR"/>
    <m/>
    <x v="196"/>
    <n v="865"/>
    <m/>
    <x v="326"/>
    <x v="31"/>
    <s v="Contenedor 20'"/>
    <m/>
    <s v="Bidones 35kg"/>
    <m/>
    <m/>
    <s v="15AGO - 15SEPT"/>
    <x v="0"/>
    <m/>
    <m/>
    <m/>
    <x v="204"/>
    <m/>
    <m/>
    <x v="209"/>
    <n v="11"/>
    <n v="2018"/>
    <x v="0"/>
    <x v="0"/>
    <s v="FANGCHENG / CHINA"/>
    <x v="0"/>
    <m/>
    <x v="0"/>
    <x v="268"/>
    <d v="2018-09-18T00:00:00"/>
    <s v="HAIAN SONG"/>
    <x v="45"/>
    <x v="2"/>
    <m/>
    <m/>
    <m/>
    <m/>
    <m/>
    <m/>
    <x v="0"/>
    <d v="2018-11-26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P"/>
    <x v="0"/>
    <x v="0"/>
    <m/>
    <m/>
    <x v="368"/>
    <m/>
    <x v="231"/>
    <m/>
    <m/>
    <m/>
    <s v="CERRADO"/>
    <n v="206766"/>
    <x v="10"/>
    <x v="0"/>
    <x v="165"/>
    <d v="2018-08-15T00:00:00"/>
    <n v="90"/>
    <s v="días BL"/>
    <s v="23353-I"/>
    <m/>
    <d v="2019-03-01T00:00:00"/>
    <s v="CANCELADO"/>
    <s v="CFR"/>
    <m/>
    <x v="58"/>
    <n v="877"/>
    <m/>
    <x v="327"/>
    <x v="5"/>
    <s v="Contenedor 20'"/>
    <m/>
    <s v="Bidones 50kg"/>
    <m/>
    <m/>
    <s v="15AGO - 15SEPT"/>
    <x v="0"/>
    <m/>
    <m/>
    <m/>
    <x v="205"/>
    <m/>
    <m/>
    <x v="210"/>
    <n v="11"/>
    <n v="2018"/>
    <x v="0"/>
    <x v="0"/>
    <s v="VERACRUZ / MEXICO"/>
    <x v="2"/>
    <m/>
    <x v="0"/>
    <x v="269"/>
    <d v="2018-10-06T00:00:00"/>
    <s v="MONTE CERVANTES"/>
    <x v="51"/>
    <x v="6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P"/>
    <x v="0"/>
    <x v="0"/>
    <m/>
    <m/>
    <x v="369"/>
    <m/>
    <x v="232"/>
    <m/>
    <m/>
    <m/>
    <s v="CERRADO"/>
    <n v="206766"/>
    <x v="10"/>
    <x v="0"/>
    <x v="166"/>
    <d v="2018-08-15T00:00:00"/>
    <n v="90"/>
    <s v="días BL"/>
    <s v="23354-I"/>
    <m/>
    <d v="2019-03-01T00:00:00"/>
    <s v="CANCELADO"/>
    <s v="CFR"/>
    <m/>
    <x v="21"/>
    <n v="887"/>
    <m/>
    <x v="328"/>
    <x v="2"/>
    <s v="Contenedor 20'"/>
    <m/>
    <s v="Bidones 50kg"/>
    <m/>
    <m/>
    <s v="15AGO - 15SEPT"/>
    <x v="0"/>
    <m/>
    <m/>
    <m/>
    <x v="206"/>
    <m/>
    <m/>
    <x v="208"/>
    <n v="11"/>
    <n v="2018"/>
    <x v="0"/>
    <x v="0"/>
    <s v="VERACRUZ / MEXICO"/>
    <x v="0"/>
    <m/>
    <x v="0"/>
    <x v="270"/>
    <d v="2018-10-06T00:00:00"/>
    <s v="MONTE CERVANTES"/>
    <x v="45"/>
    <x v="6"/>
    <m/>
    <m/>
    <m/>
    <m/>
    <m/>
    <m/>
    <x v="0"/>
    <d v="2018-11-18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C"/>
    <x v="0"/>
    <x v="0"/>
    <m/>
    <m/>
    <x v="370"/>
    <m/>
    <x v="233"/>
    <m/>
    <m/>
    <m/>
    <s v="CERRADO"/>
    <n v="207580"/>
    <x v="32"/>
    <x v="3"/>
    <x v="167"/>
    <d v="2018-08-31T00:00:00"/>
    <s v="CAD"/>
    <m/>
    <s v="20181702"/>
    <m/>
    <d v="2018-11-22T00:00:00"/>
    <s v="CANCELADO"/>
    <s v="CPT"/>
    <m/>
    <x v="80"/>
    <n v="776"/>
    <m/>
    <x v="329"/>
    <x v="19"/>
    <s v="Contenedor 20'"/>
    <m/>
    <s v="25 kg"/>
    <m/>
    <m/>
    <s v="OCT - NOV '18"/>
    <x v="0"/>
    <m/>
    <m/>
    <m/>
    <x v="207"/>
    <m/>
    <m/>
    <x v="211"/>
    <n v="12"/>
    <n v="2018"/>
    <x v="0"/>
    <x v="0"/>
    <s v="LIANYUNGANG / CHINA"/>
    <x v="2"/>
    <m/>
    <x v="0"/>
    <x v="271"/>
    <d v="2018-11-07T00:00:00"/>
    <s v="EASLINE QINGDAO"/>
    <x v="110"/>
    <x v="3"/>
    <m/>
    <m/>
    <m/>
    <m/>
    <m/>
    <m/>
    <x v="0"/>
    <d v="2018-12-31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C"/>
    <x v="0"/>
    <x v="0"/>
    <m/>
    <m/>
    <x v="371"/>
    <m/>
    <x v="234"/>
    <m/>
    <m/>
    <m/>
    <s v="CERRADO"/>
    <n v="207580"/>
    <x v="32"/>
    <x v="3"/>
    <x v="167"/>
    <d v="2018-08-31T00:00:00"/>
    <s v="CAD"/>
    <m/>
    <s v="20181787"/>
    <m/>
    <d v="2018-12-04T00:00:00"/>
    <s v="CANCELADO"/>
    <s v="CPT"/>
    <m/>
    <x v="80"/>
    <n v="786"/>
    <m/>
    <x v="330"/>
    <x v="19"/>
    <s v="Contenedor 20'"/>
    <m/>
    <s v="25 kg"/>
    <m/>
    <m/>
    <s v="OCT - NOV '18"/>
    <x v="0"/>
    <m/>
    <m/>
    <m/>
    <x v="208"/>
    <m/>
    <m/>
    <x v="212"/>
    <n v="1"/>
    <n v="2019"/>
    <x v="0"/>
    <x v="0"/>
    <s v="LIANYUNGANG / CHINA"/>
    <x v="0"/>
    <m/>
    <x v="0"/>
    <x v="272"/>
    <d v="2018-11-20T00:00:00"/>
    <s v="EASLINE QINGDAO"/>
    <x v="14"/>
    <x v="3"/>
    <m/>
    <m/>
    <m/>
    <m/>
    <m/>
    <m/>
    <x v="0"/>
    <d v="2019-01-18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C"/>
    <x v="0"/>
    <x v="0"/>
    <m/>
    <m/>
    <x v="372"/>
    <m/>
    <x v="235"/>
    <m/>
    <m/>
    <m/>
    <s v="CERRADO"/>
    <n v="207580"/>
    <x v="32"/>
    <x v="27"/>
    <x v="168"/>
    <d v="2018-08-30T00:00:00"/>
    <n v="180"/>
    <s v="días BL"/>
    <s v="B7FE-18-1001-PNPE-02"/>
    <m/>
    <d v="2019-05-13T00:00:00"/>
    <s v="CANCELADO"/>
    <s v="CFR"/>
    <m/>
    <x v="6"/>
    <n v="786"/>
    <m/>
    <x v="331"/>
    <x v="1"/>
    <s v="Contenedor 20'"/>
    <m/>
    <s v="25 kg"/>
    <m/>
    <m/>
    <s v="1RA SEMANA OCTUBRE"/>
    <x v="0"/>
    <m/>
    <m/>
    <m/>
    <x v="209"/>
    <m/>
    <m/>
    <x v="213"/>
    <n v="11"/>
    <n v="2018"/>
    <x v="0"/>
    <x v="0"/>
    <s v="IQUIQUE / CHILE"/>
    <x v="2"/>
    <m/>
    <x v="0"/>
    <x v="273"/>
    <d v="2018-11-06T00:00:00"/>
    <s v="POLYNESIA"/>
    <x v="111"/>
    <x v="9"/>
    <m/>
    <m/>
    <m/>
    <m/>
    <m/>
    <m/>
    <x v="0"/>
    <d v="2018-11-24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C"/>
    <x v="0"/>
    <x v="0"/>
    <m/>
    <m/>
    <x v="373"/>
    <m/>
    <x v="236"/>
    <m/>
    <m/>
    <m/>
    <s v="CERRADO"/>
    <n v="207580"/>
    <x v="32"/>
    <x v="27"/>
    <x v="169"/>
    <d v="2018-08-30T00:00:00"/>
    <n v="180"/>
    <s v="días BL"/>
    <s v="B7FE-18-1002-PNPE-02"/>
    <m/>
    <d v="2019-04-24T00:00:00"/>
    <s v="CANCELADO"/>
    <s v="CFR"/>
    <m/>
    <x v="197"/>
    <n v="796"/>
    <m/>
    <x v="332"/>
    <x v="31"/>
    <s v="Contenedor 20'"/>
    <m/>
    <s v="25 kg"/>
    <m/>
    <m/>
    <s v="2DA SEMANA OCTUBRE"/>
    <x v="0"/>
    <m/>
    <m/>
    <m/>
    <x v="197"/>
    <m/>
    <m/>
    <x v="214"/>
    <n v="11"/>
    <n v="2018"/>
    <x v="0"/>
    <x v="0"/>
    <s v="IQUIQUE / CHILE"/>
    <x v="0"/>
    <m/>
    <x v="0"/>
    <x v="274"/>
    <d v="2018-10-21T00:00:00"/>
    <s v="MAPOCHO"/>
    <x v="45"/>
    <x v="2"/>
    <m/>
    <m/>
    <m/>
    <m/>
    <m/>
    <m/>
    <x v="0"/>
    <d v="2018-11-30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C"/>
    <x v="0"/>
    <x v="0"/>
    <m/>
    <m/>
    <x v="374"/>
    <m/>
    <x v="237"/>
    <m/>
    <m/>
    <m/>
    <s v="CERRADO"/>
    <n v="207580"/>
    <x v="32"/>
    <x v="27"/>
    <x v="168"/>
    <d v="2018-08-30T00:00:00"/>
    <n v="180"/>
    <s v="días BL"/>
    <s v="B7FE-18-1001-PNPE-01"/>
    <m/>
    <d v="2019-05-13T00:00:00"/>
    <s v="CANCELADO"/>
    <s v="CFR"/>
    <m/>
    <x v="198"/>
    <n v="786"/>
    <m/>
    <x v="333"/>
    <x v="22"/>
    <s v="Contenedor 20'"/>
    <m/>
    <s v="25 kg"/>
    <m/>
    <m/>
    <s v="1RA SEMANA OCTUBRE"/>
    <x v="0"/>
    <m/>
    <m/>
    <m/>
    <x v="197"/>
    <m/>
    <m/>
    <x v="215"/>
    <n v="11"/>
    <n v="2018"/>
    <x v="0"/>
    <x v="0"/>
    <s v="IQUIQUE / CHILE"/>
    <x v="2"/>
    <m/>
    <x v="0"/>
    <x v="275"/>
    <d v="2018-11-06T00:00:00"/>
    <s v="MAPOCHO"/>
    <x v="32"/>
    <x v="2"/>
    <m/>
    <m/>
    <m/>
    <m/>
    <m/>
    <m/>
    <x v="0"/>
    <d v="2018-11-30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C"/>
    <x v="0"/>
    <x v="2"/>
    <m/>
    <m/>
    <x v="375"/>
    <m/>
    <x v="34"/>
    <m/>
    <m/>
    <m/>
    <m/>
    <m/>
    <x v="32"/>
    <x v="27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18"/>
    <s v="G-S"/>
    <x v="0"/>
    <x v="0"/>
    <m/>
    <m/>
    <x v="376"/>
    <m/>
    <x v="238"/>
    <m/>
    <m/>
    <m/>
    <s v="CERRADO"/>
    <n v="204817"/>
    <x v="50"/>
    <x v="25"/>
    <x v="170"/>
    <d v="2018-09-07T00:00:00"/>
    <s v="CAD"/>
    <m/>
    <s v="TGOA-TSP-180924-01"/>
    <m/>
    <d v="2018-10-11T00:00:00"/>
    <s v="CANCELADO"/>
    <s v="CFR"/>
    <m/>
    <x v="199"/>
    <n v="362"/>
    <m/>
    <x v="334"/>
    <x v="0"/>
    <s v="Granel - BB"/>
    <m/>
    <s v="Bigbag"/>
    <m/>
    <m/>
    <s v="SETIEMBRE"/>
    <x v="0"/>
    <m/>
    <m/>
    <m/>
    <x v="210"/>
    <m/>
    <m/>
    <x v="216"/>
    <n v="10"/>
    <n v="2018"/>
    <x v="0"/>
    <x v="0"/>
    <s v="ZHENJIANG/CHINA"/>
    <x v="0"/>
    <m/>
    <x v="0"/>
    <x v="276"/>
    <d v="2019-09-12T00:00:00"/>
    <s v="PRINCESSE OUI"/>
    <x v="112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377"/>
    <m/>
    <x v="239"/>
    <m/>
    <m/>
    <m/>
    <s v="CERRADO"/>
    <n v="204817"/>
    <x v="50"/>
    <x v="25"/>
    <x v="170"/>
    <d v="2018-09-07T00:00:00"/>
    <s v="CAD"/>
    <m/>
    <s v="TGOA-TSP-180924-02"/>
    <m/>
    <d v="2018-10-11T00:00:00"/>
    <s v="CANCELADO"/>
    <s v="CFR"/>
    <m/>
    <x v="10"/>
    <n v="362"/>
    <m/>
    <x v="335"/>
    <x v="0"/>
    <s v="Granel - BB"/>
    <m/>
    <s v="Bigbag"/>
    <m/>
    <m/>
    <s v="SETIEMBRE"/>
    <x v="0"/>
    <m/>
    <m/>
    <m/>
    <x v="203"/>
    <m/>
    <m/>
    <x v="182"/>
    <n v="10"/>
    <n v="2018"/>
    <x v="0"/>
    <x v="0"/>
    <s v="ZHENJIANG/CHINA"/>
    <x v="1"/>
    <m/>
    <x v="0"/>
    <x v="277"/>
    <d v="2019-09-12T00:00:00"/>
    <s v="PRINCESSE OUI"/>
    <x v="112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378"/>
    <m/>
    <x v="240"/>
    <m/>
    <m/>
    <m/>
    <s v="CERRADO"/>
    <n v="204817"/>
    <x v="50"/>
    <x v="25"/>
    <x v="170"/>
    <d v="2018-09-07T00:00:00"/>
    <s v="CAD"/>
    <m/>
    <s v="TGOA-TSP-180924-03"/>
    <m/>
    <d v="2018-10-11T00:00:00"/>
    <s v="CANCELADO"/>
    <s v="CFR"/>
    <m/>
    <x v="1"/>
    <n v="362"/>
    <m/>
    <x v="336"/>
    <x v="0"/>
    <s v="Granel - BB"/>
    <m/>
    <s v="Bigbag"/>
    <m/>
    <m/>
    <s v="SETIEMBRE"/>
    <x v="0"/>
    <m/>
    <m/>
    <m/>
    <x v="211"/>
    <m/>
    <m/>
    <x v="217"/>
    <n v="11"/>
    <n v="2018"/>
    <x v="0"/>
    <x v="0"/>
    <s v="ZHENJIANG/CHINA"/>
    <x v="2"/>
    <m/>
    <x v="0"/>
    <x v="278"/>
    <d v="2019-09-12T00:00:00"/>
    <s v="PRINCESSE OUI"/>
    <x v="112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379"/>
    <m/>
    <x v="241"/>
    <m/>
    <m/>
    <m/>
    <s v="CERRADO"/>
    <n v="204817"/>
    <x v="50"/>
    <x v="25"/>
    <x v="170"/>
    <d v="2018-09-07T00:00:00"/>
    <s v="CAD"/>
    <m/>
    <s v="TGOA-TSP-180924-04"/>
    <m/>
    <d v="2018-10-11T00:00:00"/>
    <s v="CANCELADO"/>
    <s v="CFR"/>
    <m/>
    <x v="10"/>
    <n v="362"/>
    <m/>
    <x v="335"/>
    <x v="0"/>
    <s v="Granel - BB"/>
    <m/>
    <s v="Bigbag"/>
    <m/>
    <m/>
    <s v="SETIEMBRE"/>
    <x v="0"/>
    <m/>
    <m/>
    <m/>
    <x v="204"/>
    <m/>
    <m/>
    <x v="218"/>
    <n v="11"/>
    <n v="2018"/>
    <x v="0"/>
    <x v="0"/>
    <s v="ZHENJIANG/CHINA"/>
    <x v="4"/>
    <m/>
    <x v="0"/>
    <x v="279"/>
    <d v="2019-09-12T00:00:00"/>
    <s v="PRINCESSE OUI"/>
    <x v="112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E-S"/>
    <x v="0"/>
    <x v="0"/>
    <m/>
    <m/>
    <x v="380"/>
    <m/>
    <x v="242"/>
    <m/>
    <m/>
    <m/>
    <s v="CERRADO"/>
    <n v="204826"/>
    <x v="48"/>
    <x v="18"/>
    <x v="171"/>
    <d v="2018-09-06T00:00:00"/>
    <s v="CAD"/>
    <m/>
    <s v="PATR-504500"/>
    <m/>
    <d v="2018-11-06T00:00:00"/>
    <s v="CANCELADO"/>
    <s v="CFR"/>
    <m/>
    <x v="200"/>
    <n v="360"/>
    <m/>
    <x v="337"/>
    <x v="4"/>
    <s v="Contenedor 40'"/>
    <m/>
    <s v="Bigbag"/>
    <m/>
    <m/>
    <s v="OCT - NOV '18"/>
    <x v="0"/>
    <m/>
    <m/>
    <m/>
    <x v="212"/>
    <m/>
    <m/>
    <x v="219"/>
    <n v="12"/>
    <n v="2018"/>
    <x v="0"/>
    <x v="0"/>
    <s v="ST. PETERSBURG / RUSSIA"/>
    <x v="2"/>
    <m/>
    <x v="0"/>
    <x v="280"/>
    <d v="2018-10-27T00:00:00"/>
    <s v="CMA CGM LOUGA"/>
    <x v="50"/>
    <x v="9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S"/>
    <x v="0"/>
    <x v="0"/>
    <s v="URGENTE"/>
    <m/>
    <x v="381"/>
    <m/>
    <x v="243"/>
    <m/>
    <m/>
    <m/>
    <s v="CERRADO"/>
    <n v="207579"/>
    <x v="9"/>
    <x v="2"/>
    <x v="172"/>
    <d v="2018-09-06T00:00:00"/>
    <n v="90"/>
    <s v="días BL"/>
    <s v="SI0004867"/>
    <m/>
    <d v="2019-01-14T00:00:00"/>
    <s v="CANCELADO"/>
    <s v="CFR"/>
    <m/>
    <x v="201"/>
    <n v="283"/>
    <m/>
    <x v="338"/>
    <x v="2"/>
    <s v="Contenedor 40'"/>
    <m/>
    <s v="25 kg"/>
    <m/>
    <m/>
    <s v="OCTUBRE"/>
    <x v="0"/>
    <m/>
    <m/>
    <m/>
    <x v="213"/>
    <m/>
    <m/>
    <x v="220"/>
    <n v="12"/>
    <n v="2018"/>
    <x v="0"/>
    <x v="0"/>
    <s v="XINGANG / CHINA"/>
    <x v="2"/>
    <m/>
    <x v="0"/>
    <x v="281"/>
    <d v="2018-10-15T00:00:00"/>
    <s v="DERBY D 006W"/>
    <x v="113"/>
    <x v="18"/>
    <m/>
    <m/>
    <m/>
    <m/>
    <m/>
    <m/>
    <x v="0"/>
    <d v="2018-12-23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S"/>
    <x v="0"/>
    <x v="0"/>
    <s v="URGENTE"/>
    <m/>
    <x v="382"/>
    <m/>
    <x v="244"/>
    <m/>
    <m/>
    <m/>
    <s v="CERRADO"/>
    <n v="207579"/>
    <x v="9"/>
    <x v="2"/>
    <x v="172"/>
    <d v="2018-09-06T00:00:00"/>
    <n v="90"/>
    <s v="días BL"/>
    <s v="SI0005337"/>
    <m/>
    <d v="2019-01-22T00:00:00"/>
    <s v="CANCELADO"/>
    <s v="CFR"/>
    <m/>
    <x v="202"/>
    <n v="285"/>
    <m/>
    <x v="339"/>
    <x v="7"/>
    <s v="Contenedor 40'"/>
    <m/>
    <s v="25 kg"/>
    <m/>
    <m/>
    <s v="OCTUBRE"/>
    <x v="0"/>
    <m/>
    <m/>
    <m/>
    <x v="214"/>
    <m/>
    <m/>
    <x v="201"/>
    <n v="12"/>
    <n v="2018"/>
    <x v="0"/>
    <x v="0"/>
    <s v="XINGANG / CHINA"/>
    <x v="0"/>
    <m/>
    <x v="0"/>
    <x v="282"/>
    <d v="2018-10-19T00:00:00"/>
    <s v="MOL PREMIUM"/>
    <x v="114"/>
    <x v="16"/>
    <m/>
    <m/>
    <m/>
    <m/>
    <m/>
    <m/>
    <x v="0"/>
    <d v="2018-12-19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P"/>
    <x v="0"/>
    <x v="0"/>
    <m/>
    <m/>
    <x v="383"/>
    <m/>
    <x v="245"/>
    <m/>
    <m/>
    <m/>
    <s v="CERRADO"/>
    <n v="206710"/>
    <x v="17"/>
    <x v="15"/>
    <x v="173"/>
    <d v="2018-09-19T00:00:00"/>
    <s v="PREPAGO"/>
    <m/>
    <s v="807/18 ZMU"/>
    <m/>
    <d v="2018-09-25T00:00:00"/>
    <s v="CANCELADO"/>
    <s v="CFR"/>
    <m/>
    <x v="63"/>
    <n v="331"/>
    <m/>
    <x v="340"/>
    <x v="7"/>
    <s v="Contenedor 20'"/>
    <m/>
    <s v="Bigbag"/>
    <m/>
    <m/>
    <s v="SEPTIEMBRE"/>
    <x v="0"/>
    <m/>
    <m/>
    <m/>
    <x v="212"/>
    <m/>
    <m/>
    <x v="219"/>
    <n v="12"/>
    <n v="2018"/>
    <x v="0"/>
    <x v="0"/>
    <s v="RIGA / LETONIA"/>
    <x v="0"/>
    <m/>
    <x v="0"/>
    <x v="283"/>
    <d v="2018-10-17T00:00:00"/>
    <s v="NEWYORKER"/>
    <x v="13"/>
    <x v="4"/>
    <m/>
    <m/>
    <m/>
    <m/>
    <m/>
    <m/>
    <x v="0"/>
    <d v="2018-12-27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P"/>
    <x v="0"/>
    <x v="0"/>
    <m/>
    <m/>
    <x v="384"/>
    <m/>
    <x v="246"/>
    <m/>
    <m/>
    <m/>
    <s v="CERRADO"/>
    <n v="206710"/>
    <x v="17"/>
    <x v="15"/>
    <x v="174"/>
    <d v="2018-09-19T00:00:00"/>
    <s v="PREPAGO"/>
    <m/>
    <s v="808/18 ZMU"/>
    <m/>
    <d v="2018-09-25T00:00:00"/>
    <s v="CANCELADO"/>
    <s v="CFR"/>
    <m/>
    <x v="58"/>
    <n v="331"/>
    <m/>
    <x v="341"/>
    <x v="5"/>
    <s v="Contenedor 20'"/>
    <m/>
    <s v="Bigbag"/>
    <m/>
    <m/>
    <s v="SEPTIEMBRE"/>
    <x v="0"/>
    <m/>
    <m/>
    <m/>
    <x v="215"/>
    <m/>
    <m/>
    <x v="221"/>
    <n v="1"/>
    <n v="2019"/>
    <x v="0"/>
    <x v="0"/>
    <s v="RIGA / LETONIA"/>
    <x v="0"/>
    <m/>
    <x v="0"/>
    <x v="284"/>
    <d v="2018-11-07T00:00:00"/>
    <s v="MSC JOY"/>
    <x v="115"/>
    <x v="4"/>
    <m/>
    <m/>
    <m/>
    <m/>
    <m/>
    <m/>
    <x v="0"/>
    <d v="2019-01-10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385"/>
    <m/>
    <x v="247"/>
    <m/>
    <m/>
    <m/>
    <s v="CERRADO"/>
    <n v="207791"/>
    <x v="7"/>
    <x v="31"/>
    <x v="72"/>
    <m/>
    <n v="180"/>
    <s v="días BL"/>
    <s v="K3800"/>
    <m/>
    <d v="2019-02-19T00:00:00"/>
    <s v="CANCELADO"/>
    <s v="CFR"/>
    <m/>
    <x v="203"/>
    <n v="309.5"/>
    <m/>
    <x v="342"/>
    <x v="0"/>
    <s v="Granel"/>
    <m/>
    <s v="Granel Sólido"/>
    <m/>
    <m/>
    <s v="OCTUBRE"/>
    <x v="0"/>
    <m/>
    <m/>
    <m/>
    <x v="216"/>
    <m/>
    <m/>
    <x v="222"/>
    <n v="11"/>
    <n v="2018"/>
    <x v="0"/>
    <x v="0"/>
    <s v="OREGON / USA"/>
    <x v="0"/>
    <m/>
    <x v="0"/>
    <x v="285"/>
    <d v="2018-11-09T00:00:00"/>
    <s v="MV PORT ALBERNI"/>
    <x v="116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P"/>
    <x v="0"/>
    <x v="0"/>
    <m/>
    <m/>
    <x v="386"/>
    <m/>
    <x v="248"/>
    <m/>
    <m/>
    <m/>
    <s v="CERRADO"/>
    <n v="207374"/>
    <x v="17"/>
    <x v="15"/>
    <x v="175"/>
    <d v="2018-09-19T00:00:00"/>
    <s v="PREPAGO"/>
    <m/>
    <s v="810/18 ZMU"/>
    <m/>
    <d v="2018-09-25T00:00:00"/>
    <s v="CANCELADO"/>
    <s v="CFR"/>
    <m/>
    <x v="59"/>
    <n v="377"/>
    <m/>
    <x v="343"/>
    <x v="14"/>
    <s v="Contenedor 20'"/>
    <m/>
    <s v="25 kg"/>
    <m/>
    <m/>
    <s v="OCTUBRE"/>
    <x v="0"/>
    <m/>
    <m/>
    <m/>
    <x v="217"/>
    <m/>
    <m/>
    <x v="223"/>
    <n v="12"/>
    <n v="2018"/>
    <x v="0"/>
    <x v="0"/>
    <s v="RIGA / LETONIA"/>
    <x v="2"/>
    <m/>
    <x v="0"/>
    <x v="286"/>
    <d v="2018-10-22T00:00:00"/>
    <s v="A LA MARINE"/>
    <x v="42"/>
    <x v="9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P"/>
    <x v="0"/>
    <x v="0"/>
    <m/>
    <m/>
    <x v="387"/>
    <m/>
    <x v="249"/>
    <m/>
    <m/>
    <m/>
    <s v="CERRADO"/>
    <n v="207374"/>
    <x v="17"/>
    <x v="15"/>
    <x v="176"/>
    <d v="2018-09-19T00:00:00"/>
    <s v="PREPAGO"/>
    <m/>
    <s v="811/18 ZMU"/>
    <m/>
    <d v="2018-09-25T00:00:00"/>
    <s v="CANCELADO"/>
    <s v="CFR"/>
    <m/>
    <x v="59"/>
    <n v="387"/>
    <m/>
    <x v="344"/>
    <x v="14"/>
    <s v="Contenedor 20'"/>
    <m/>
    <s v="25 kg"/>
    <m/>
    <m/>
    <s v="OCTUBRE"/>
    <x v="0"/>
    <m/>
    <m/>
    <m/>
    <x v="218"/>
    <m/>
    <m/>
    <x v="224"/>
    <n v="12"/>
    <n v="2018"/>
    <x v="0"/>
    <x v="0"/>
    <s v="RIGA / LETONIA"/>
    <x v="0"/>
    <m/>
    <x v="0"/>
    <x v="287"/>
    <d v="2018-10-22T00:00:00"/>
    <s v="A LA MARINE"/>
    <x v="45"/>
    <x v="9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S"/>
    <x v="0"/>
    <x v="0"/>
    <m/>
    <m/>
    <x v="388"/>
    <m/>
    <x v="250"/>
    <m/>
    <m/>
    <m/>
    <s v="CERRADO"/>
    <n v="207578"/>
    <x v="8"/>
    <x v="3"/>
    <x v="177"/>
    <d v="2018-09-19T00:00:00"/>
    <n v="120"/>
    <s v="días BL"/>
    <s v="20181707"/>
    <m/>
    <d v="2019-03-06T00:00:00"/>
    <s v="CANCELADO"/>
    <s v="CFR"/>
    <m/>
    <x v="204"/>
    <n v="259"/>
    <m/>
    <x v="345"/>
    <x v="0"/>
    <s v="Granel - BB"/>
    <m/>
    <s v="25 kg"/>
    <m/>
    <m/>
    <s v="OCT - NOV '18"/>
    <x v="0"/>
    <m/>
    <m/>
    <m/>
    <x v="219"/>
    <m/>
    <m/>
    <x v="225"/>
    <n v="12"/>
    <n v="2018"/>
    <x v="0"/>
    <x v="0"/>
    <s v="TIAJIN / CHINA"/>
    <x v="2"/>
    <m/>
    <x v="0"/>
    <x v="288"/>
    <d v="2018-11-06T00:00:00"/>
    <s v="MV STAR MAJESTY "/>
    <x v="117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S"/>
    <x v="0"/>
    <x v="0"/>
    <m/>
    <m/>
    <x v="389"/>
    <m/>
    <x v="251"/>
    <m/>
    <m/>
    <m/>
    <s v="CERRADO"/>
    <n v="206971"/>
    <x v="3"/>
    <x v="3"/>
    <x v="178"/>
    <d v="2018-09-19T00:00:00"/>
    <n v="120"/>
    <s v="días BL"/>
    <s v="20181752"/>
    <m/>
    <d v="2019-03-11T00:00:00"/>
    <s v="CANCELADO"/>
    <s v="CFR"/>
    <m/>
    <x v="13"/>
    <n v="548.76"/>
    <m/>
    <x v="346"/>
    <x v="32"/>
    <s v="Contenedor 20'"/>
    <m/>
    <s v="25 kg"/>
    <m/>
    <m/>
    <s v="OCT - NOV '18"/>
    <x v="0"/>
    <m/>
    <m/>
    <m/>
    <x v="220"/>
    <m/>
    <m/>
    <x v="221"/>
    <n v="1"/>
    <n v="2019"/>
    <x v="0"/>
    <x v="0"/>
    <s v="KAOHSIUNG / TAIWAN"/>
    <x v="0"/>
    <m/>
    <x v="0"/>
    <x v="289"/>
    <d v="2018-11-11T00:00:00"/>
    <s v="MAERSK STEPNICA"/>
    <x v="12"/>
    <x v="3"/>
    <m/>
    <m/>
    <m/>
    <m/>
    <m/>
    <m/>
    <x v="0"/>
    <d v="2019-01-11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S"/>
    <x v="0"/>
    <x v="0"/>
    <m/>
    <m/>
    <x v="390"/>
    <m/>
    <x v="252"/>
    <m/>
    <m/>
    <m/>
    <s v="CERRADO"/>
    <n v="206971"/>
    <x v="3"/>
    <x v="3"/>
    <x v="178"/>
    <d v="2018-09-19T00:00:00"/>
    <n v="120"/>
    <s v="días BL"/>
    <s v="20181748"/>
    <m/>
    <d v="2019-03-18T00:00:00"/>
    <s v="CANCELADO"/>
    <s v="CFR"/>
    <m/>
    <x v="12"/>
    <n v="548.76"/>
    <m/>
    <x v="347"/>
    <x v="20"/>
    <s v="Contenedor 20'"/>
    <m/>
    <s v="25 kg"/>
    <m/>
    <m/>
    <s v="OCT - NOV '18"/>
    <x v="0"/>
    <m/>
    <m/>
    <m/>
    <x v="215"/>
    <m/>
    <m/>
    <x v="221"/>
    <n v="1"/>
    <n v="2019"/>
    <x v="0"/>
    <x v="0"/>
    <s v="KAOHSIUNG / TAIWAN"/>
    <x v="0"/>
    <m/>
    <x v="0"/>
    <x v="290"/>
    <d v="2018-11-18T00:00:00"/>
    <s v="SAN FELIX"/>
    <x v="12"/>
    <x v="3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S"/>
    <x v="0"/>
    <x v="0"/>
    <m/>
    <m/>
    <x v="391"/>
    <m/>
    <x v="253"/>
    <m/>
    <m/>
    <m/>
    <s v="CERRADO"/>
    <n v="207578"/>
    <x v="51"/>
    <x v="14"/>
    <x v="179"/>
    <d v="2018-09-24T00:00:00"/>
    <s v="CAD"/>
    <m/>
    <s v="18110014"/>
    <m/>
    <d v="2018-11-16T00:00:00"/>
    <s v="CANCELADO"/>
    <s v="CIF"/>
    <m/>
    <x v="139"/>
    <n v="260"/>
    <m/>
    <x v="348"/>
    <x v="21"/>
    <s v="Contenedor 40'"/>
    <m/>
    <s v="25 kg"/>
    <m/>
    <m/>
    <s v="OCTUBRE"/>
    <x v="0"/>
    <m/>
    <m/>
    <m/>
    <x v="221"/>
    <m/>
    <m/>
    <x v="226"/>
    <n v="12"/>
    <n v="2018"/>
    <x v="0"/>
    <x v="0"/>
    <s v="XINGANG / CHINA"/>
    <x v="0"/>
    <m/>
    <x v="0"/>
    <x v="291"/>
    <d v="2018-11-05T00:00:00"/>
    <s v="MOL PREMIUM"/>
    <x v="118"/>
    <x v="16"/>
    <m/>
    <m/>
    <m/>
    <m/>
    <m/>
    <m/>
    <x v="0"/>
    <d v="2019-01-09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S"/>
    <x v="0"/>
    <x v="0"/>
    <m/>
    <m/>
    <x v="392"/>
    <m/>
    <x v="254"/>
    <m/>
    <m/>
    <m/>
    <s v="CERRADO"/>
    <n v="207578"/>
    <x v="51"/>
    <x v="14"/>
    <x v="179"/>
    <d v="2018-09-24T00:00:00"/>
    <s v="CAD"/>
    <m/>
    <s v="18120009"/>
    <m/>
    <d v="2018-12-19T00:00:00"/>
    <s v="CANCELADO"/>
    <s v="CIF"/>
    <m/>
    <x v="139"/>
    <n v="260"/>
    <m/>
    <x v="348"/>
    <x v="21"/>
    <s v="Contenedor 40'"/>
    <m/>
    <s v="25 kg"/>
    <m/>
    <m/>
    <s v="OCTUBRE"/>
    <x v="0"/>
    <m/>
    <m/>
    <m/>
    <x v="222"/>
    <m/>
    <m/>
    <x v="227"/>
    <n v="1"/>
    <n v="2019"/>
    <x v="0"/>
    <x v="0"/>
    <s v="XINGANG / CHINA"/>
    <x v="0"/>
    <m/>
    <x v="0"/>
    <x v="292"/>
    <d v="2018-12-02T00:00:00"/>
    <s v="NYK LIBRA"/>
    <x v="69"/>
    <x v="16"/>
    <m/>
    <m/>
    <m/>
    <m/>
    <m/>
    <m/>
    <x v="0"/>
    <d v="2019-02-06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-"/>
    <x v="0"/>
    <x v="0"/>
    <m/>
    <m/>
    <x v="393"/>
    <m/>
    <x v="255"/>
    <m/>
    <m/>
    <m/>
    <s v="SE INGRESA COMO ACTIVO"/>
    <m/>
    <x v="52"/>
    <x v="34"/>
    <x v="16"/>
    <m/>
    <s v="CAD"/>
    <m/>
    <s v="00612946"/>
    <m/>
    <d v="2018-10-22T00:00:00"/>
    <s v="CANCELADO"/>
    <s v="CFR"/>
    <m/>
    <x v="142"/>
    <n v="65945"/>
    <m/>
    <x v="349"/>
    <x v="0"/>
    <s v="Contenedor 40'"/>
    <m/>
    <m/>
    <m/>
    <m/>
    <s v="NOVIEMBRE '18"/>
    <x v="0"/>
    <m/>
    <m/>
    <m/>
    <x v="223"/>
    <m/>
    <m/>
    <x v="228"/>
    <n v="1"/>
    <n v="2019"/>
    <x v="0"/>
    <x v="0"/>
    <s v="NEW YORK / USA"/>
    <x v="0"/>
    <m/>
    <x v="0"/>
    <x v="293"/>
    <d v="2018-11-23T00:00:00"/>
    <s v="LIMARI"/>
    <x v="119"/>
    <x v="2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-"/>
    <x v="0"/>
    <x v="0"/>
    <m/>
    <m/>
    <x v="394"/>
    <m/>
    <x v="256"/>
    <m/>
    <m/>
    <m/>
    <s v="SE INGRESA COMO ACTIVO"/>
    <m/>
    <x v="52"/>
    <x v="34"/>
    <x v="16"/>
    <m/>
    <s v="CAD"/>
    <m/>
    <s v="00612945"/>
    <m/>
    <d v="2018-10-22T00:00:00"/>
    <s v="CANCELADO"/>
    <s v="CFR"/>
    <m/>
    <x v="142"/>
    <n v="65195"/>
    <m/>
    <x v="350"/>
    <x v="0"/>
    <s v="Contenedor 40'"/>
    <m/>
    <m/>
    <m/>
    <m/>
    <s v="NOVIEMBRE '18"/>
    <x v="0"/>
    <m/>
    <m/>
    <m/>
    <x v="213"/>
    <m/>
    <m/>
    <x v="229"/>
    <n v="12"/>
    <n v="2018"/>
    <x v="0"/>
    <x v="0"/>
    <s v="NEW YORK / USA"/>
    <x v="2"/>
    <m/>
    <x v="0"/>
    <x v="294"/>
    <d v="2018-11-24T00:00:00"/>
    <s v="DUBLIN EXPRESS    "/>
    <x v="120"/>
    <x v="2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E-S"/>
    <x v="0"/>
    <x v="0"/>
    <m/>
    <m/>
    <x v="395"/>
    <m/>
    <x v="257"/>
    <m/>
    <m/>
    <m/>
    <s v="CERRADO"/>
    <n v="204825"/>
    <x v="4"/>
    <x v="4"/>
    <x v="180"/>
    <m/>
    <n v="90"/>
    <s v="días BL"/>
    <s v="I40972"/>
    <m/>
    <d v="2019-01-24T00:00:00"/>
    <s v="CANCELADO"/>
    <s v="CFR"/>
    <m/>
    <x v="205"/>
    <n v="1166.8871738331495"/>
    <m/>
    <x v="351"/>
    <x v="1"/>
    <s v="Contenedor 40'"/>
    <m/>
    <s v="Granel Sólido"/>
    <m/>
    <m/>
    <s v="SETIEMBRE"/>
    <x v="0"/>
    <m/>
    <m/>
    <m/>
    <x v="197"/>
    <m/>
    <m/>
    <x v="214"/>
    <n v="11"/>
    <n v="2018"/>
    <x v="0"/>
    <x v="0"/>
    <s v="CHARLESTON / USA"/>
    <x v="2"/>
    <m/>
    <x v="0"/>
    <x v="295"/>
    <d v="2018-10-22T00:00:00"/>
    <s v="EVER LAUREL"/>
    <x v="121"/>
    <x v="8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C"/>
    <x v="0"/>
    <x v="0"/>
    <m/>
    <m/>
    <x v="396"/>
    <m/>
    <x v="258"/>
    <m/>
    <m/>
    <m/>
    <s v="CERRADO"/>
    <n v="207580"/>
    <x v="32"/>
    <x v="27"/>
    <x v="169"/>
    <d v="2018-08-30T00:00:00"/>
    <n v="180"/>
    <s v="días BL"/>
    <s v="B7FE-18-1002-PNPE-01"/>
    <m/>
    <d v="2019-04-25T00:00:00"/>
    <s v="CANCELADO"/>
    <s v="CFR"/>
    <m/>
    <x v="206"/>
    <n v="796"/>
    <m/>
    <x v="352"/>
    <x v="7"/>
    <s v="Contenedor 20'"/>
    <m/>
    <s v="25 kg"/>
    <m/>
    <m/>
    <s v="SETIEMBRE"/>
    <x v="0"/>
    <m/>
    <m/>
    <m/>
    <x v="224"/>
    <m/>
    <m/>
    <x v="222"/>
    <n v="11"/>
    <n v="2018"/>
    <x v="0"/>
    <x v="0"/>
    <s v="IQUIQUE / CHILE"/>
    <x v="0"/>
    <m/>
    <x v="0"/>
    <x v="296"/>
    <d v="2018-10-27T00:00:00"/>
    <s v="POLYNESIA"/>
    <x v="45"/>
    <x v="9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E-S"/>
    <x v="0"/>
    <x v="0"/>
    <m/>
    <m/>
    <x v="397"/>
    <m/>
    <x v="259"/>
    <m/>
    <m/>
    <m/>
    <s v="CERRADO"/>
    <n v="204582"/>
    <x v="28"/>
    <x v="35"/>
    <x v="72"/>
    <d v="2018-10-02T00:00:00"/>
    <n v="90"/>
    <s v="días BL"/>
    <s v="FTNCRG180309"/>
    <m/>
    <d v="2019-01-23T00:00:00"/>
    <s v="CANCELADO"/>
    <s v="CIF"/>
    <m/>
    <x v="207"/>
    <n v="480"/>
    <m/>
    <x v="353"/>
    <x v="5"/>
    <s v="Contenedor 20'"/>
    <m/>
    <s v="Bigbag"/>
    <m/>
    <m/>
    <s v="OCTUBRE"/>
    <x v="0"/>
    <m/>
    <m/>
    <m/>
    <x v="225"/>
    <m/>
    <m/>
    <x v="230"/>
    <n v="11"/>
    <n v="2018"/>
    <x v="0"/>
    <x v="0"/>
    <s v="VALENCIA / ESPAÑA"/>
    <x v="2"/>
    <m/>
    <x v="0"/>
    <x v="297"/>
    <d v="2018-10-21T00:00:00"/>
    <s v="LIVERPOOL EXPRESS"/>
    <x v="122"/>
    <x v="9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C"/>
    <x v="0"/>
    <x v="0"/>
    <m/>
    <m/>
    <x v="398"/>
    <m/>
    <x v="260"/>
    <m/>
    <m/>
    <m/>
    <s v="CERRADO"/>
    <n v="206573"/>
    <x v="5"/>
    <x v="6"/>
    <x v="158"/>
    <d v="2018-09-28T00:00:00"/>
    <s v="CAD"/>
    <m/>
    <s v="F001-26263"/>
    <m/>
    <d v="2018-10-23T00:00:00"/>
    <s v="CANCELADO"/>
    <s v="CFR"/>
    <m/>
    <x v="1"/>
    <n v="287"/>
    <m/>
    <x v="231"/>
    <x v="0"/>
    <s v="Granel"/>
    <m/>
    <s v="Granel Sólido"/>
    <m/>
    <m/>
    <s v="OCTUBRE"/>
    <x v="0"/>
    <m/>
    <m/>
    <m/>
    <x v="226"/>
    <m/>
    <m/>
    <x v="209"/>
    <n v="11"/>
    <n v="2018"/>
    <x v="0"/>
    <x v="0"/>
    <s v="RIGA / LETONIA"/>
    <x v="0"/>
    <m/>
    <x v="0"/>
    <x v="45"/>
    <d v="2018-10-10T00:00:00"/>
    <s v="MV ALYCIA"/>
    <x v="123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C"/>
    <x v="0"/>
    <x v="0"/>
    <m/>
    <m/>
    <x v="399"/>
    <m/>
    <x v="261"/>
    <m/>
    <m/>
    <m/>
    <s v="CERRADO"/>
    <n v="206573"/>
    <x v="5"/>
    <x v="6"/>
    <x v="158"/>
    <d v="2018-09-28T00:00:00"/>
    <s v="CAD"/>
    <m/>
    <s v="F001-26264"/>
    <m/>
    <d v="2018-10-23T00:00:00"/>
    <s v="CANCELADO"/>
    <s v="CFR"/>
    <m/>
    <x v="14"/>
    <n v="287"/>
    <m/>
    <x v="354"/>
    <x v="0"/>
    <s v="Granel"/>
    <m/>
    <s v="Granel Sólido"/>
    <m/>
    <m/>
    <s v="OCTUBRE"/>
    <x v="0"/>
    <m/>
    <m/>
    <m/>
    <x v="227"/>
    <m/>
    <m/>
    <x v="203"/>
    <n v="11"/>
    <n v="2018"/>
    <x v="0"/>
    <x v="0"/>
    <s v="RIGA / LETONIA"/>
    <x v="1"/>
    <m/>
    <x v="0"/>
    <x v="1"/>
    <d v="2018-10-10T00:00:00"/>
    <s v="MV ALYCIA"/>
    <x v="123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C"/>
    <x v="0"/>
    <x v="0"/>
    <m/>
    <m/>
    <x v="400"/>
    <m/>
    <x v="262"/>
    <m/>
    <m/>
    <m/>
    <s v="CERRADO"/>
    <n v="206573"/>
    <x v="5"/>
    <x v="6"/>
    <x v="158"/>
    <d v="2018-09-28T00:00:00"/>
    <s v="CAD"/>
    <m/>
    <s v="F001-26265"/>
    <m/>
    <d v="2018-10-23T00:00:00"/>
    <s v="CANCELADO"/>
    <s v="CFR"/>
    <m/>
    <x v="70"/>
    <n v="287"/>
    <m/>
    <x v="355"/>
    <x v="0"/>
    <s v="Granel"/>
    <m/>
    <s v="Granel Sólido"/>
    <m/>
    <m/>
    <s v="OCTUBRE"/>
    <x v="0"/>
    <m/>
    <m/>
    <m/>
    <x v="228"/>
    <m/>
    <m/>
    <x v="231"/>
    <n v="11"/>
    <n v="2018"/>
    <x v="0"/>
    <x v="0"/>
    <s v="RIGA / LETONIA"/>
    <x v="2"/>
    <m/>
    <x v="0"/>
    <x v="2"/>
    <d v="2018-10-10T00:00:00"/>
    <s v="MV ALYCIA"/>
    <x v="123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C"/>
    <x v="0"/>
    <x v="0"/>
    <m/>
    <m/>
    <x v="401"/>
    <m/>
    <x v="263"/>
    <m/>
    <m/>
    <m/>
    <s v="CERRADO"/>
    <n v="206573"/>
    <x v="5"/>
    <x v="6"/>
    <x v="158"/>
    <d v="2018-09-28T00:00:00"/>
    <s v="CAD"/>
    <m/>
    <s v="F001-26266"/>
    <m/>
    <d v="2018-10-23T00:00:00"/>
    <s v="CANCELADO"/>
    <s v="CFR"/>
    <m/>
    <x v="11"/>
    <n v="287"/>
    <m/>
    <x v="356"/>
    <x v="0"/>
    <s v="Granel"/>
    <m/>
    <s v="Granel Sólido"/>
    <m/>
    <m/>
    <s v="OCTUBRE"/>
    <x v="0"/>
    <m/>
    <m/>
    <m/>
    <x v="229"/>
    <m/>
    <m/>
    <x v="232"/>
    <n v="11"/>
    <n v="2018"/>
    <x v="0"/>
    <x v="0"/>
    <s v="RIGA / LETONIA"/>
    <x v="4"/>
    <m/>
    <x v="0"/>
    <x v="11"/>
    <d v="2018-10-10T00:00:00"/>
    <s v="MV ALYCIA"/>
    <x v="123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402"/>
    <m/>
    <x v="264"/>
    <m/>
    <m/>
    <m/>
    <s v="CERRADO"/>
    <n v="206569"/>
    <x v="14"/>
    <x v="25"/>
    <x v="16"/>
    <m/>
    <s v="CAD"/>
    <m/>
    <s v="TGOA-DAP-180924-13"/>
    <m/>
    <d v="2018-10-18T00:00:00"/>
    <s v="CANCELADO"/>
    <s v="CFR"/>
    <m/>
    <x v="208"/>
    <n v="460"/>
    <m/>
    <x v="357"/>
    <x v="0"/>
    <s v="Granel"/>
    <m/>
    <s v="Granel Sólido"/>
    <m/>
    <m/>
    <s v="SETIEMBRE"/>
    <x v="0"/>
    <m/>
    <m/>
    <m/>
    <x v="211"/>
    <m/>
    <m/>
    <x v="217"/>
    <n v="11"/>
    <n v="2018"/>
    <x v="0"/>
    <x v="0"/>
    <s v="ZHENJIANG/CHINA"/>
    <x v="2"/>
    <m/>
    <x v="0"/>
    <x v="298"/>
    <d v="2018-09-24T00:00:00"/>
    <s v="PRINCESSE OUI"/>
    <x v="112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403"/>
    <m/>
    <x v="265"/>
    <m/>
    <m/>
    <m/>
    <s v="CERRADO"/>
    <n v="206569"/>
    <x v="14"/>
    <x v="25"/>
    <x v="16"/>
    <m/>
    <s v="CAD"/>
    <m/>
    <s v="TGOA-DAP-180924-14"/>
    <m/>
    <d v="2018-10-18T00:00:00"/>
    <s v="CANCELADO"/>
    <s v="CFR"/>
    <m/>
    <x v="11"/>
    <n v="460"/>
    <m/>
    <x v="358"/>
    <x v="0"/>
    <s v="Granel"/>
    <m/>
    <s v="Granel Sólido"/>
    <m/>
    <m/>
    <s v="SETIEMBRE"/>
    <x v="0"/>
    <m/>
    <m/>
    <m/>
    <x v="209"/>
    <m/>
    <m/>
    <x v="194"/>
    <n v="11"/>
    <n v="2018"/>
    <x v="0"/>
    <x v="0"/>
    <s v="ZHENJIANG/CHINA"/>
    <x v="3"/>
    <m/>
    <x v="0"/>
    <x v="299"/>
    <d v="2018-09-24T00:00:00"/>
    <s v="PRINCESSE OUI"/>
    <x v="112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404"/>
    <m/>
    <x v="266"/>
    <m/>
    <m/>
    <m/>
    <s v="CERRADO"/>
    <n v="206569"/>
    <x v="14"/>
    <x v="25"/>
    <x v="16"/>
    <m/>
    <s v="CAD"/>
    <m/>
    <s v="TGOA-DAP-180924-15"/>
    <m/>
    <d v="2018-10-18T00:00:00"/>
    <s v="CANCELADO"/>
    <s v="CFR"/>
    <m/>
    <x v="42"/>
    <n v="460"/>
    <m/>
    <x v="359"/>
    <x v="0"/>
    <s v="Granel"/>
    <m/>
    <s v="Granel Sólido"/>
    <m/>
    <m/>
    <s v="SETIEMBRE"/>
    <x v="0"/>
    <m/>
    <m/>
    <m/>
    <x v="204"/>
    <m/>
    <m/>
    <x v="218"/>
    <n v="11"/>
    <n v="2018"/>
    <x v="0"/>
    <x v="0"/>
    <s v="ZHENJIANG/CHINA"/>
    <x v="4"/>
    <m/>
    <x v="0"/>
    <x v="300"/>
    <d v="2018-09-24T00:00:00"/>
    <s v="PRINCESSE OUI"/>
    <x v="112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E-S"/>
    <x v="0"/>
    <x v="0"/>
    <m/>
    <m/>
    <x v="405"/>
    <m/>
    <x v="267"/>
    <m/>
    <m/>
    <m/>
    <s v="CERRADO"/>
    <n v="204207"/>
    <x v="33"/>
    <x v="23"/>
    <x v="181"/>
    <d v="2018-10-10T00:00:00"/>
    <n v="150"/>
    <s v="días BL"/>
    <s v="201852681"/>
    <m/>
    <d v="2019-04-17T00:00:00"/>
    <s v="CANCELADO"/>
    <s v="CIF"/>
    <m/>
    <x v="105"/>
    <n v="1290"/>
    <m/>
    <x v="360"/>
    <x v="1"/>
    <s v="Contenedor 20'"/>
    <m/>
    <s v="25 kg"/>
    <m/>
    <m/>
    <s v="OCT / DIC / ENE"/>
    <x v="0"/>
    <m/>
    <m/>
    <m/>
    <x v="230"/>
    <m/>
    <m/>
    <x v="212"/>
    <n v="1"/>
    <n v="2019"/>
    <x v="0"/>
    <x v="0"/>
    <s v="ASDOD / ISRAEL"/>
    <x v="2"/>
    <m/>
    <x v="0"/>
    <x v="301"/>
    <d v="2018-11-15T00:00:00"/>
    <s v="SEAGO ISTANBUL"/>
    <x v="30"/>
    <x v="6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E-S"/>
    <x v="0"/>
    <x v="0"/>
    <m/>
    <m/>
    <x v="406"/>
    <m/>
    <x v="268"/>
    <m/>
    <m/>
    <m/>
    <s v="CERRADO"/>
    <n v="204207"/>
    <x v="33"/>
    <x v="23"/>
    <x v="182"/>
    <d v="2018-10-10T00:00:00"/>
    <n v="150"/>
    <s v="días BL"/>
    <s v="201852793"/>
    <m/>
    <d v="2019-05-13T00:00:00"/>
    <s v="CANCELADO"/>
    <s v="CIF"/>
    <m/>
    <x v="105"/>
    <n v="1290"/>
    <m/>
    <x v="360"/>
    <x v="1"/>
    <s v="Contenedor 20'"/>
    <m/>
    <s v="25 kg"/>
    <m/>
    <m/>
    <s v="OCT / DIC / ENE"/>
    <x v="0"/>
    <m/>
    <m/>
    <m/>
    <x v="231"/>
    <m/>
    <m/>
    <x v="233"/>
    <n v="1"/>
    <n v="2019"/>
    <x v="0"/>
    <x v="0"/>
    <s v="ASDOD / ISRAEL"/>
    <x v="2"/>
    <m/>
    <x v="0"/>
    <x v="302"/>
    <d v="2018-12-04T00:00:00"/>
    <s v="SEAGO ANTWERP"/>
    <x v="41"/>
    <x v="6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E-S"/>
    <x v="0"/>
    <x v="0"/>
    <m/>
    <m/>
    <x v="407"/>
    <m/>
    <x v="269"/>
    <m/>
    <m/>
    <m/>
    <s v="CERRADO"/>
    <n v="204207"/>
    <x v="33"/>
    <x v="23"/>
    <x v="183"/>
    <d v="2018-10-10T00:00:00"/>
    <n v="150"/>
    <s v="días BL"/>
    <s v="201852906"/>
    <m/>
    <d v="2019-05-21T00:00:00"/>
    <s v="CANCELADO"/>
    <s v="CIF"/>
    <m/>
    <x v="105"/>
    <n v="1290"/>
    <m/>
    <x v="360"/>
    <x v="1"/>
    <s v="Contenedor 20'"/>
    <m/>
    <s v="25 kg"/>
    <m/>
    <m/>
    <s v="OCT / DIC / ENE"/>
    <x v="0"/>
    <m/>
    <m/>
    <m/>
    <x v="232"/>
    <m/>
    <m/>
    <x v="234"/>
    <n v="2"/>
    <n v="2019"/>
    <x v="0"/>
    <x v="0"/>
    <s v="ASDOD / ISRAEL"/>
    <x v="2"/>
    <m/>
    <x v="0"/>
    <x v="303"/>
    <d v="2018-12-21T00:00:00"/>
    <s v="SEAGO ISTANBUL"/>
    <x v="50"/>
    <x v="6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E-S"/>
    <x v="0"/>
    <x v="0"/>
    <m/>
    <m/>
    <x v="408"/>
    <m/>
    <x v="270"/>
    <m/>
    <m/>
    <m/>
    <s v="CERRADO"/>
    <n v="204207"/>
    <x v="33"/>
    <x v="23"/>
    <x v="184"/>
    <d v="2018-10-10T00:00:00"/>
    <n v="150"/>
    <s v="días BL"/>
    <s v="201950035"/>
    <m/>
    <d v="2019-06-02T00:00:00"/>
    <s v="CANCELADO"/>
    <s v="CIF"/>
    <m/>
    <x v="105"/>
    <n v="1290"/>
    <m/>
    <x v="360"/>
    <x v="1"/>
    <s v="Contenedor 20'"/>
    <m/>
    <s v="25 kg"/>
    <m/>
    <m/>
    <s v="OCT / DIC / ENE"/>
    <x v="0"/>
    <m/>
    <m/>
    <m/>
    <x v="233"/>
    <m/>
    <m/>
    <x v="235"/>
    <n v="2"/>
    <n v="2019"/>
    <x v="0"/>
    <x v="0"/>
    <s v="ASDOD / ISRAEL"/>
    <x v="2"/>
    <m/>
    <x v="0"/>
    <x v="304"/>
    <d v="2019-01-02T00:00:00"/>
    <s v="PACOBA"/>
    <x v="124"/>
    <x v="3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E-S"/>
    <x v="0"/>
    <x v="0"/>
    <m/>
    <m/>
    <x v="409"/>
    <m/>
    <x v="271"/>
    <m/>
    <m/>
    <m/>
    <s v="CERRADO"/>
    <n v="208053"/>
    <x v="53"/>
    <x v="36"/>
    <x v="185"/>
    <d v="2018-11-07T00:00:00"/>
    <n v="120"/>
    <s v="días FACT."/>
    <s v="5211"/>
    <m/>
    <d v="2019-03-28T00:00:00"/>
    <s v="CANCELADO"/>
    <s v="CIF"/>
    <m/>
    <x v="209"/>
    <n v="335"/>
    <m/>
    <x v="361"/>
    <x v="11"/>
    <s v="Contenedor 40'"/>
    <m/>
    <s v="Bigbag"/>
    <m/>
    <m/>
    <s v="NOVIEMBRE '18"/>
    <x v="0"/>
    <m/>
    <m/>
    <m/>
    <x v="234"/>
    <m/>
    <m/>
    <x v="228"/>
    <n v="1"/>
    <n v="2019"/>
    <x v="0"/>
    <x v="0"/>
    <s v="DALIAN / CHINA"/>
    <x v="2"/>
    <m/>
    <x v="0"/>
    <x v="305"/>
    <d v="2018-11-28T00:00:00"/>
    <s v="COSCO SHIPPING GEMINI"/>
    <x v="125"/>
    <x v="14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P"/>
    <x v="0"/>
    <x v="0"/>
    <m/>
    <m/>
    <x v="410"/>
    <m/>
    <x v="272"/>
    <m/>
    <m/>
    <m/>
    <s v="CERRADO"/>
    <n v="206766"/>
    <x v="10"/>
    <x v="37"/>
    <x v="186"/>
    <d v="2018-10-24T00:00:00"/>
    <n v="120"/>
    <s v="días BL"/>
    <s v="24190"/>
    <m/>
    <d v="2019-03-25T00:00:00"/>
    <s v="CANCELADO"/>
    <s v="CFR"/>
    <m/>
    <x v="4"/>
    <n v="880"/>
    <m/>
    <x v="362"/>
    <x v="24"/>
    <s v="Contenedor 20'"/>
    <m/>
    <s v="Bidones 50kg"/>
    <m/>
    <m/>
    <s v="2NDH OCT- NOV '18"/>
    <x v="0"/>
    <m/>
    <m/>
    <m/>
    <x v="235"/>
    <m/>
    <m/>
    <x v="236"/>
    <n v="12"/>
    <n v="2018"/>
    <x v="0"/>
    <x v="0"/>
    <s v="VERACRUZ / MEXICO"/>
    <x v="2"/>
    <m/>
    <x v="0"/>
    <x v="306"/>
    <d v="2018-11-24T00:00:00"/>
    <s v="MONTE CERVANTES"/>
    <x v="33"/>
    <x v="6"/>
    <m/>
    <m/>
    <m/>
    <m/>
    <m/>
    <m/>
    <x v="0"/>
    <d v="2019-01-06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P"/>
    <x v="0"/>
    <x v="0"/>
    <m/>
    <m/>
    <x v="411"/>
    <m/>
    <x v="273"/>
    <m/>
    <m/>
    <m/>
    <s v="CERRADO"/>
    <n v="206766"/>
    <x v="10"/>
    <x v="37"/>
    <x v="187"/>
    <d v="2018-10-24T00:00:00"/>
    <n v="120"/>
    <s v="días BL"/>
    <s v="24191"/>
    <m/>
    <d v="2019-03-25T00:00:00"/>
    <s v="CANCELADO"/>
    <s v="CFR"/>
    <m/>
    <x v="4"/>
    <n v="890"/>
    <m/>
    <x v="363"/>
    <x v="24"/>
    <s v="Contenedor 20'"/>
    <m/>
    <s v="Bidones 50kg"/>
    <m/>
    <m/>
    <s v="2NDH OCT- NOV '18"/>
    <x v="0"/>
    <m/>
    <m/>
    <m/>
    <x v="236"/>
    <m/>
    <m/>
    <x v="237"/>
    <n v="12"/>
    <n v="2018"/>
    <x v="0"/>
    <x v="0"/>
    <s v="VERACRUZ / MEXICO"/>
    <x v="0"/>
    <m/>
    <x v="0"/>
    <x v="307"/>
    <d v="2018-11-24T00:00:00"/>
    <s v="MONTE CERVANTES"/>
    <x v="15"/>
    <x v="6"/>
    <m/>
    <m/>
    <m/>
    <m/>
    <m/>
    <m/>
    <x v="0"/>
    <d v="2019-01-14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E-S"/>
    <x v="0"/>
    <x v="0"/>
    <m/>
    <m/>
    <x v="412"/>
    <m/>
    <x v="274"/>
    <m/>
    <m/>
    <m/>
    <s v="CERRADO"/>
    <n v="203622"/>
    <x v="45"/>
    <x v="7"/>
    <x v="188"/>
    <d v="2018-10-25T00:00:00"/>
    <n v="60"/>
    <s v="días FACT."/>
    <s v="4200615942"/>
    <m/>
    <d v="2019-02-25T00:00:00"/>
    <s v="CANCELADO"/>
    <s v="CPT"/>
    <m/>
    <x v="210"/>
    <n v="690"/>
    <m/>
    <x v="364"/>
    <x v="1"/>
    <s v="Contenedor 20'"/>
    <m/>
    <s v="25 kg"/>
    <m/>
    <m/>
    <s v="NOVIEMBRE '18"/>
    <x v="0"/>
    <m/>
    <m/>
    <m/>
    <x v="237"/>
    <m/>
    <m/>
    <x v="238"/>
    <n v="12"/>
    <n v="2018"/>
    <x v="0"/>
    <x v="0"/>
    <s v="HAMBURGO / ALEMANIA"/>
    <x v="2"/>
    <m/>
    <x v="0"/>
    <x v="308"/>
    <d v="2018-11-25T00:00:00"/>
    <s v="CARTAGENA EXPRESS"/>
    <x v="39"/>
    <x v="9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E-S"/>
    <x v="0"/>
    <x v="0"/>
    <m/>
    <m/>
    <x v="413"/>
    <m/>
    <x v="275"/>
    <m/>
    <m/>
    <m/>
    <s v="CERRADO"/>
    <n v="203622"/>
    <x v="45"/>
    <x v="7"/>
    <x v="189"/>
    <d v="2018-10-25T00:00:00"/>
    <n v="60"/>
    <s v="días FACT."/>
    <s v="4200615890"/>
    <m/>
    <d v="2019-01-25T00:00:00"/>
    <s v="CANCELADO"/>
    <s v="CPT"/>
    <m/>
    <x v="210"/>
    <n v="695"/>
    <m/>
    <x v="365"/>
    <x v="1"/>
    <s v="Contenedor 20'"/>
    <m/>
    <s v="25 kg"/>
    <m/>
    <m/>
    <s v="NOVIEMBRE '18"/>
    <x v="0"/>
    <m/>
    <m/>
    <m/>
    <x v="236"/>
    <m/>
    <m/>
    <x v="226"/>
    <n v="12"/>
    <n v="2018"/>
    <x v="0"/>
    <x v="0"/>
    <s v="HAMBURGO / ALEMANIA"/>
    <x v="0"/>
    <m/>
    <x v="0"/>
    <x v="309"/>
    <d v="2018-11-26T00:00:00"/>
    <s v="CARTAGENA EXPRESS"/>
    <x v="45"/>
    <x v="6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S"/>
    <x v="0"/>
    <x v="0"/>
    <m/>
    <m/>
    <x v="414"/>
    <m/>
    <x v="276"/>
    <m/>
    <m/>
    <m/>
    <s v="CERRADO"/>
    <n v="206914"/>
    <x v="12"/>
    <x v="19"/>
    <x v="190"/>
    <d v="2018-10-24T00:00:00"/>
    <n v="90"/>
    <s v="días BL"/>
    <s v="SG-MSL-12329-2"/>
    <m/>
    <d v="2019-03-07T00:00:00"/>
    <s v="CANCELADO"/>
    <s v="CFR"/>
    <m/>
    <x v="211"/>
    <n v="135"/>
    <m/>
    <x v="366"/>
    <x v="0"/>
    <s v="Granel - BB"/>
    <m/>
    <s v="25 kg"/>
    <m/>
    <m/>
    <s v="OCT - NOV '18"/>
    <x v="0"/>
    <m/>
    <m/>
    <m/>
    <x v="238"/>
    <m/>
    <m/>
    <x v="234"/>
    <n v="2"/>
    <n v="2019"/>
    <x v="0"/>
    <x v="0"/>
    <s v="BAYUQUAN / CHINA"/>
    <x v="2"/>
    <m/>
    <x v="0"/>
    <x v="310"/>
    <d v="2018-12-06T00:00:00"/>
    <s v="ARIS CONFIDENCE "/>
    <x v="126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S"/>
    <x v="0"/>
    <x v="0"/>
    <m/>
    <m/>
    <x v="415"/>
    <m/>
    <x v="277"/>
    <m/>
    <m/>
    <m/>
    <s v="CERRADO"/>
    <n v="206914"/>
    <x v="12"/>
    <x v="19"/>
    <x v="191"/>
    <d v="2018-10-24T00:00:00"/>
    <n v="90"/>
    <s v="días BL"/>
    <s v="SG-MSL-12329-3"/>
    <m/>
    <d v="2019-03-14T00:00:00"/>
    <s v="CANCELADO"/>
    <s v="CFR"/>
    <m/>
    <x v="123"/>
    <n v="145"/>
    <m/>
    <x v="367"/>
    <x v="15"/>
    <s v="Contenedor 40'"/>
    <m/>
    <s v="25 kg"/>
    <m/>
    <m/>
    <s v="OCT - NOV '18"/>
    <x v="0"/>
    <m/>
    <m/>
    <m/>
    <x v="222"/>
    <m/>
    <m/>
    <x v="227"/>
    <n v="1"/>
    <n v="2019"/>
    <x v="0"/>
    <x v="0"/>
    <s v="DALIAN / CHINA"/>
    <x v="0"/>
    <m/>
    <x v="0"/>
    <x v="311"/>
    <d v="2018-12-09T00:00:00"/>
    <s v="TALAS SA"/>
    <x v="69"/>
    <x v="16"/>
    <m/>
    <m/>
    <m/>
    <m/>
    <m/>
    <m/>
    <x v="0"/>
    <d v="2019-02-10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416"/>
    <m/>
    <x v="278"/>
    <m/>
    <m/>
    <m/>
    <s v="CERRADO"/>
    <n v="207485"/>
    <x v="13"/>
    <x v="37"/>
    <x v="192"/>
    <d v="2018-10-25T00:00:00"/>
    <s v="CAD"/>
    <m/>
    <s v="24033"/>
    <m/>
    <d v="2018-11-21T00:00:00"/>
    <s v="CANCELADO"/>
    <s v="CFR"/>
    <m/>
    <x v="0"/>
    <n v="360"/>
    <m/>
    <x v="368"/>
    <x v="0"/>
    <s v="Granel"/>
    <m/>
    <s v="Granel Sólido"/>
    <m/>
    <m/>
    <s v="NOVIEMBRE '18"/>
    <x v="0"/>
    <m/>
    <m/>
    <m/>
    <x v="239"/>
    <m/>
    <m/>
    <x v="225"/>
    <n v="12"/>
    <n v="2018"/>
    <x v="0"/>
    <x v="0"/>
    <s v="KLAIPEDA / LITUANIA"/>
    <x v="0"/>
    <m/>
    <x v="0"/>
    <x v="3"/>
    <d v="2018-11-16T00:00:00"/>
    <s v="MV CRESTY"/>
    <x v="127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417"/>
    <m/>
    <x v="279"/>
    <m/>
    <m/>
    <m/>
    <s v="CERRADO"/>
    <n v="207485"/>
    <x v="13"/>
    <x v="37"/>
    <x v="192"/>
    <d v="2018-10-25T00:00:00"/>
    <s v="CAD"/>
    <m/>
    <s v="23994"/>
    <m/>
    <d v="2018-11-21T00:00:00"/>
    <s v="CANCELADO"/>
    <s v="CFR"/>
    <m/>
    <x v="35"/>
    <n v="360"/>
    <m/>
    <x v="369"/>
    <x v="0"/>
    <s v="Granel"/>
    <m/>
    <s v="Granel Sólido"/>
    <m/>
    <m/>
    <s v="NOVIEMBRE '18"/>
    <x v="0"/>
    <m/>
    <m/>
    <m/>
    <x v="236"/>
    <m/>
    <m/>
    <x v="226"/>
    <n v="12"/>
    <n v="2018"/>
    <x v="0"/>
    <x v="0"/>
    <s v="KLAIPEDA / LITUANIA"/>
    <x v="2"/>
    <m/>
    <x v="0"/>
    <x v="15"/>
    <d v="2018-11-16T00:00:00"/>
    <s v="MV CRESTY"/>
    <x v="127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418"/>
    <m/>
    <x v="280"/>
    <m/>
    <m/>
    <m/>
    <s v="CERRADO"/>
    <n v="207485"/>
    <x v="13"/>
    <x v="37"/>
    <x v="192"/>
    <d v="2018-10-25T00:00:00"/>
    <s v="CAD"/>
    <m/>
    <s v="24032"/>
    <m/>
    <d v="2018-11-21T00:00:00"/>
    <s v="CANCELADO"/>
    <s v="CFR"/>
    <m/>
    <x v="4"/>
    <n v="360"/>
    <m/>
    <x v="370"/>
    <x v="0"/>
    <s v="Granel"/>
    <m/>
    <s v="Granel Sólido"/>
    <m/>
    <m/>
    <s v="NOVIEMBRE '18"/>
    <x v="0"/>
    <m/>
    <m/>
    <m/>
    <x v="240"/>
    <m/>
    <m/>
    <x v="239"/>
    <n v="12"/>
    <n v="2018"/>
    <x v="0"/>
    <x v="0"/>
    <s v="KLAIPEDA / LITUANIA"/>
    <x v="4"/>
    <m/>
    <x v="0"/>
    <x v="23"/>
    <d v="2018-11-16T00:00:00"/>
    <s v="MV CRESTY"/>
    <x v="127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419"/>
    <m/>
    <x v="281"/>
    <m/>
    <m/>
    <m/>
    <s v="CERRADO"/>
    <n v="206597"/>
    <x v="0"/>
    <x v="24"/>
    <x v="193"/>
    <d v="2018-10-31T00:00:00"/>
    <s v="PREPAGO"/>
    <m/>
    <s v="18-10-4052-1"/>
    <m/>
    <d v="2018-11-22T00:00:00"/>
    <s v="CANCELADO"/>
    <s v="CFR"/>
    <m/>
    <x v="35"/>
    <n v="347.5"/>
    <m/>
    <x v="371"/>
    <x v="0"/>
    <s v="Granel"/>
    <m/>
    <s v="Granel Sólido"/>
    <m/>
    <m/>
    <s v="NOVIEMBRE '18"/>
    <x v="0"/>
    <m/>
    <m/>
    <m/>
    <x v="239"/>
    <m/>
    <m/>
    <x v="240"/>
    <n v="12"/>
    <n v="2018"/>
    <x v="0"/>
    <x v="0"/>
    <s v="ST. PETERSBURG / RUSSIA"/>
    <x v="0"/>
    <m/>
    <x v="0"/>
    <x v="19"/>
    <d v="2018-11-15T00:00:00"/>
    <s v="MV GULLWING"/>
    <x v="128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420"/>
    <m/>
    <x v="282"/>
    <m/>
    <m/>
    <m/>
    <s v="CERRADO"/>
    <n v="206597"/>
    <x v="0"/>
    <x v="24"/>
    <x v="193"/>
    <d v="2018-10-31T00:00:00"/>
    <s v="PREPAGO"/>
    <m/>
    <s v="18-10-4052-2"/>
    <m/>
    <d v="2018-11-22T00:00:00"/>
    <s v="CANCELADO"/>
    <s v="CFR"/>
    <m/>
    <x v="212"/>
    <n v="347.5"/>
    <m/>
    <x v="372"/>
    <x v="0"/>
    <s v="Granel"/>
    <m/>
    <s v="Granel Sólido"/>
    <m/>
    <m/>
    <s v="NOVIEMBRE '18"/>
    <x v="0"/>
    <m/>
    <m/>
    <m/>
    <x v="215"/>
    <m/>
    <m/>
    <x v="239"/>
    <n v="12"/>
    <n v="2018"/>
    <x v="0"/>
    <x v="0"/>
    <s v="ST. PETERSBURG / RUSSIA"/>
    <x v="2"/>
    <m/>
    <x v="0"/>
    <x v="44"/>
    <d v="2018-11-15T00:00:00"/>
    <s v="MV GULLWING"/>
    <x v="128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421"/>
    <m/>
    <x v="283"/>
    <m/>
    <m/>
    <m/>
    <s v="CERRADO"/>
    <n v="209979"/>
    <x v="1"/>
    <x v="7"/>
    <x v="194"/>
    <d v="2018-10-25T00:00:00"/>
    <n v="90"/>
    <s v="días BL"/>
    <s v="4200615943"/>
    <m/>
    <d v="2019-02-24T00:00:00"/>
    <s v="CANCELADO"/>
    <s v="CFR"/>
    <m/>
    <x v="213"/>
    <n v="535"/>
    <m/>
    <x v="373"/>
    <x v="20"/>
    <s v="Contenedor 20'"/>
    <m/>
    <s v="Granel Sólido"/>
    <m/>
    <m/>
    <s v="NOVIEMBRE '18"/>
    <x v="0"/>
    <m/>
    <m/>
    <m/>
    <x v="237"/>
    <m/>
    <m/>
    <x v="238"/>
    <n v="12"/>
    <n v="2018"/>
    <x v="0"/>
    <x v="0"/>
    <s v="HAMBURGO / ALEMANIA"/>
    <x v="2"/>
    <m/>
    <x v="0"/>
    <x v="312"/>
    <d v="2018-11-26T00:00:00"/>
    <s v="CARTAGENA EXPRESS"/>
    <x v="39"/>
    <x v="9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422"/>
    <m/>
    <x v="284"/>
    <m/>
    <m/>
    <m/>
    <s v="CERRADO"/>
    <n v="209979"/>
    <x v="1"/>
    <x v="7"/>
    <x v="195"/>
    <m/>
    <n v="90"/>
    <s v="días BL"/>
    <s v="4200615891"/>
    <m/>
    <d v="2019-02-26T00:00:00"/>
    <s v="CANCELADO"/>
    <s v="CFR"/>
    <m/>
    <x v="214"/>
    <n v="540"/>
    <m/>
    <x v="374"/>
    <x v="19"/>
    <s v="Contenedor 20'"/>
    <m/>
    <s v="Granel Sólido"/>
    <m/>
    <m/>
    <s v="NOVIEMBRE '18"/>
    <x v="0"/>
    <m/>
    <m/>
    <m/>
    <x v="236"/>
    <m/>
    <m/>
    <x v="237"/>
    <n v="12"/>
    <n v="2018"/>
    <x v="0"/>
    <x v="0"/>
    <s v="HAMBURGO / ALEMANIA"/>
    <x v="0"/>
    <m/>
    <x v="0"/>
    <x v="313"/>
    <d v="2018-11-26T00:00:00"/>
    <s v="CARTAGENA EXPRESS"/>
    <x v="45"/>
    <x v="6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S"/>
    <x v="0"/>
    <x v="0"/>
    <m/>
    <m/>
    <x v="423"/>
    <m/>
    <x v="285"/>
    <m/>
    <m/>
    <m/>
    <s v="CERRADO"/>
    <n v="206971"/>
    <x v="3"/>
    <x v="38"/>
    <x v="196"/>
    <d v="2018-11-08T00:00:00"/>
    <n v="30"/>
    <s v="días BL"/>
    <s v="20181792"/>
    <m/>
    <d v="2018-12-26T00:00:00"/>
    <s v="CANCELADO"/>
    <s v="CFR"/>
    <m/>
    <x v="215"/>
    <n v="533"/>
    <m/>
    <x v="375"/>
    <x v="6"/>
    <s v="Contenedor 20'"/>
    <m/>
    <s v="25 kg"/>
    <m/>
    <m/>
    <s v="NOV - DIC  '18"/>
    <x v="0"/>
    <m/>
    <m/>
    <m/>
    <x v="241"/>
    <m/>
    <m/>
    <x v="241"/>
    <n v="1"/>
    <n v="2019"/>
    <x v="0"/>
    <x v="0"/>
    <s v="HELSINGBORG / SUECIA"/>
    <x v="0"/>
    <m/>
    <x v="0"/>
    <x v="314"/>
    <d v="2018-11-25T00:00:00"/>
    <s v="VICTORIA"/>
    <x v="13"/>
    <x v="4"/>
    <m/>
    <m/>
    <m/>
    <m/>
    <m/>
    <m/>
    <x v="0"/>
    <d v="2019-01-25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S"/>
    <x v="0"/>
    <x v="0"/>
    <m/>
    <m/>
    <x v="424"/>
    <m/>
    <x v="286"/>
    <m/>
    <m/>
    <m/>
    <s v="CERRADO"/>
    <n v="206971"/>
    <x v="3"/>
    <x v="38"/>
    <x v="196"/>
    <d v="2018-11-08T00:00:00"/>
    <n v="30"/>
    <s v="días BL"/>
    <s v="20190089"/>
    <m/>
    <d v="2019-02-19T00:00:00"/>
    <s v="CANCELADO"/>
    <s v="CFR"/>
    <m/>
    <x v="216"/>
    <n v="533"/>
    <m/>
    <x v="376"/>
    <x v="24"/>
    <s v="Contenedor 20'"/>
    <m/>
    <s v="25 kg"/>
    <m/>
    <m/>
    <s v="DIC - ENE 2019"/>
    <x v="0"/>
    <m/>
    <m/>
    <m/>
    <x v="242"/>
    <m/>
    <m/>
    <x v="242"/>
    <n v="3"/>
    <n v="2019"/>
    <x v="0"/>
    <x v="0"/>
    <s v="HELSINGBORG / SUECIA"/>
    <x v="0"/>
    <m/>
    <x v="0"/>
    <x v="315"/>
    <d v="2019-01-28T00:00:00"/>
    <s v="ADILIA I"/>
    <x v="97"/>
    <x v="3"/>
    <m/>
    <m/>
    <m/>
    <m/>
    <m/>
    <m/>
    <x v="0"/>
    <d v="2019-03-14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S"/>
    <x v="0"/>
    <x v="0"/>
    <m/>
    <m/>
    <x v="425"/>
    <m/>
    <x v="287"/>
    <m/>
    <m/>
    <m/>
    <s v="CERRADO"/>
    <n v="206971"/>
    <x v="3"/>
    <x v="38"/>
    <x v="196"/>
    <d v="2018-11-08T00:00:00"/>
    <n v="30"/>
    <s v="días BL"/>
    <s v="20190058"/>
    <m/>
    <d v="2019-02-05T00:00:00"/>
    <s v="CANCELADO"/>
    <s v="CFR"/>
    <m/>
    <x v="215"/>
    <n v="533"/>
    <m/>
    <x v="375"/>
    <x v="6"/>
    <s v="Contenedor 20'"/>
    <m/>
    <s v="25 kg"/>
    <m/>
    <m/>
    <s v="ENE 2019"/>
    <x v="0"/>
    <m/>
    <m/>
    <m/>
    <x v="243"/>
    <m/>
    <m/>
    <x v="243"/>
    <n v="2"/>
    <n v="2019"/>
    <x v="0"/>
    <x v="0"/>
    <s v="HELSINGBORG / SUECIA"/>
    <x v="0"/>
    <m/>
    <x v="0"/>
    <x v="316"/>
    <d v="2019-01-28T00:00:00"/>
    <s v="ADILIA I"/>
    <x v="31"/>
    <x v="3"/>
    <m/>
    <m/>
    <m/>
    <m/>
    <m/>
    <m/>
    <x v="0"/>
    <d v="2019-03-12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S"/>
    <x v="0"/>
    <x v="0"/>
    <m/>
    <m/>
    <x v="426"/>
    <m/>
    <x v="288"/>
    <m/>
    <m/>
    <m/>
    <s v="CERRADO"/>
    <n v="206971"/>
    <x v="3"/>
    <x v="38"/>
    <x v="196"/>
    <d v="2018-11-08T00:00:00"/>
    <n v="30"/>
    <s v="días BL"/>
    <s v="20190087"/>
    <m/>
    <d v="2019-02-19T00:00:00"/>
    <s v="CANCELADO"/>
    <s v="CFR"/>
    <m/>
    <x v="217"/>
    <n v="533"/>
    <m/>
    <x v="377"/>
    <x v="14"/>
    <s v="Contenedor 20'"/>
    <m/>
    <s v="25 kg"/>
    <m/>
    <m/>
    <s v="ENE 2019"/>
    <x v="0"/>
    <m/>
    <m/>
    <m/>
    <x v="242"/>
    <m/>
    <m/>
    <x v="242"/>
    <n v="3"/>
    <n v="2019"/>
    <x v="0"/>
    <x v="0"/>
    <s v="HELSINGBORG / SUECIA"/>
    <x v="0"/>
    <m/>
    <x v="0"/>
    <x v="317"/>
    <d v="2019-01-28T00:00:00"/>
    <s v="ADILIA I"/>
    <x v="97"/>
    <x v="3"/>
    <m/>
    <m/>
    <m/>
    <m/>
    <m/>
    <m/>
    <x v="0"/>
    <d v="2019-03-14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S"/>
    <x v="0"/>
    <x v="0"/>
    <m/>
    <m/>
    <x v="427"/>
    <m/>
    <x v="289"/>
    <m/>
    <m/>
    <m/>
    <s v="CERRADO"/>
    <n v="206971"/>
    <x v="3"/>
    <x v="38"/>
    <x v="196"/>
    <d v="2018-11-08T00:00:00"/>
    <n v="30"/>
    <s v="días BL"/>
    <s v="20190135"/>
    <m/>
    <d v="2019-02-19T00:00:00"/>
    <s v="CANCELADO"/>
    <s v="CFR"/>
    <m/>
    <x v="218"/>
    <n v="568"/>
    <m/>
    <x v="378"/>
    <x v="5"/>
    <s v="Contenedor 20'"/>
    <m/>
    <s v="25 kg"/>
    <m/>
    <m/>
    <s v="DIC - ENE 2019"/>
    <x v="0"/>
    <m/>
    <m/>
    <m/>
    <x v="244"/>
    <m/>
    <m/>
    <x v="244"/>
    <n v="4"/>
    <n v="2019"/>
    <x v="0"/>
    <x v="0"/>
    <s v="HELSINGBORG / SUECIA"/>
    <x v="4"/>
    <m/>
    <x v="0"/>
    <x v="318"/>
    <d v="2019-02-06T00:00:00"/>
    <s v="WES GESA"/>
    <x v="129"/>
    <x v="2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S"/>
    <x v="0"/>
    <x v="0"/>
    <m/>
    <m/>
    <x v="428"/>
    <m/>
    <x v="290"/>
    <m/>
    <m/>
    <m/>
    <s v="CERRADO"/>
    <n v="206971"/>
    <x v="3"/>
    <x v="38"/>
    <x v="196"/>
    <d v="2018-11-08T00:00:00"/>
    <n v="30"/>
    <s v="días BL"/>
    <s v="20181854"/>
    <m/>
    <d v="2019-01-15T00:00:00"/>
    <s v="CANCELADO"/>
    <s v="CFR"/>
    <m/>
    <x v="217"/>
    <n v="533"/>
    <m/>
    <x v="377"/>
    <x v="14"/>
    <s v="Contenedor 20'"/>
    <m/>
    <s v="25 kg"/>
    <m/>
    <m/>
    <s v="ENE 2019"/>
    <x v="0"/>
    <m/>
    <m/>
    <m/>
    <x v="245"/>
    <m/>
    <m/>
    <x v="245"/>
    <n v="2"/>
    <n v="2019"/>
    <x v="0"/>
    <x v="0"/>
    <s v="HELSINGBORG / SUECIA"/>
    <x v="0"/>
    <m/>
    <x v="0"/>
    <x v="319"/>
    <d v="2018-12-16T00:00:00"/>
    <s v="VICTORIA"/>
    <x v="34"/>
    <x v="4"/>
    <m/>
    <m/>
    <m/>
    <m/>
    <m/>
    <m/>
    <x v="0"/>
    <d v="2019-02-16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S"/>
    <x v="0"/>
    <x v="0"/>
    <m/>
    <m/>
    <x v="429"/>
    <m/>
    <x v="291"/>
    <m/>
    <m/>
    <m/>
    <s v="CERRADO"/>
    <n v="206971"/>
    <x v="3"/>
    <x v="38"/>
    <x v="196"/>
    <d v="2018-11-08T00:00:00"/>
    <n v="30"/>
    <s v="días BL"/>
    <s v="20190059"/>
    <m/>
    <d v="2019-02-12T00:00:00"/>
    <s v="CANCELADO"/>
    <s v="CFR"/>
    <m/>
    <x v="215"/>
    <n v="533"/>
    <m/>
    <x v="375"/>
    <x v="6"/>
    <s v="Contenedor 20'"/>
    <m/>
    <s v="25 kg"/>
    <m/>
    <m/>
    <s v="ENE 2019"/>
    <x v="0"/>
    <m/>
    <m/>
    <m/>
    <x v="246"/>
    <m/>
    <m/>
    <x v="246"/>
    <n v="3"/>
    <n v="2019"/>
    <x v="0"/>
    <x v="0"/>
    <s v="HELSINGBORG / SUECIA"/>
    <x v="2"/>
    <m/>
    <x v="0"/>
    <x v="320"/>
    <d v="2019-01-20T00:00:00"/>
    <s v="VICTORIA"/>
    <x v="130"/>
    <x v="4"/>
    <m/>
    <m/>
    <m/>
    <m/>
    <m/>
    <m/>
    <x v="0"/>
    <d v="2019-03-07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430"/>
    <m/>
    <x v="292"/>
    <m/>
    <m/>
    <m/>
    <s v="CERRADO"/>
    <n v="207951"/>
    <x v="6"/>
    <x v="15"/>
    <x v="197"/>
    <d v="2018-10-31T00:00:00"/>
    <s v="PREPAGO"/>
    <m/>
    <s v="445/18 PMU"/>
    <m/>
    <d v="2018-11-26T00:00:00"/>
    <s v="CANCELADO"/>
    <s v="CFR"/>
    <m/>
    <x v="3"/>
    <n v="361.5"/>
    <m/>
    <x v="379"/>
    <x v="0"/>
    <s v="Granel"/>
    <m/>
    <s v="Granel Sólido"/>
    <m/>
    <m/>
    <s v="NOVIEMBRE '18"/>
    <x v="0"/>
    <m/>
    <m/>
    <m/>
    <x v="239"/>
    <m/>
    <m/>
    <x v="240"/>
    <n v="12"/>
    <n v="2018"/>
    <x v="0"/>
    <x v="0"/>
    <s v="RIGA / LETONIA"/>
    <x v="0"/>
    <m/>
    <x v="0"/>
    <x v="131"/>
    <d v="2018-11-15T00:00:00"/>
    <s v="MV GULLWING"/>
    <x v="128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431"/>
    <m/>
    <x v="293"/>
    <m/>
    <m/>
    <m/>
    <s v="CERRADO"/>
    <n v="207951"/>
    <x v="6"/>
    <x v="15"/>
    <x v="197"/>
    <d v="2018-10-31T00:00:00"/>
    <s v="PREPAGO"/>
    <m/>
    <s v="446/18 PMU"/>
    <m/>
    <d v="2018-11-26T00:00:00"/>
    <s v="CANCELADO"/>
    <s v="CFR"/>
    <m/>
    <x v="219"/>
    <n v="361.5"/>
    <m/>
    <x v="380"/>
    <x v="0"/>
    <s v="Granel"/>
    <m/>
    <s v="Granel Sólido"/>
    <m/>
    <m/>
    <s v="NOVIEMBRE '18"/>
    <x v="0"/>
    <m/>
    <m/>
    <m/>
    <x v="215"/>
    <m/>
    <m/>
    <x v="239"/>
    <n v="12"/>
    <n v="2018"/>
    <x v="0"/>
    <x v="0"/>
    <s v="RIGA / LETONIA"/>
    <x v="2"/>
    <m/>
    <x v="0"/>
    <x v="132"/>
    <d v="2018-11-15T00:00:00"/>
    <s v="MV GULLWING"/>
    <x v="128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432"/>
    <m/>
    <x v="294"/>
    <m/>
    <m/>
    <m/>
    <s v="CERRADO"/>
    <n v="207951"/>
    <x v="6"/>
    <x v="15"/>
    <x v="197"/>
    <d v="2018-10-31T00:00:00"/>
    <s v="PREPAGO"/>
    <m/>
    <s v="447/18 PMU"/>
    <m/>
    <d v="2018-11-26T00:00:00"/>
    <s v="CANCELADO"/>
    <s v="CFR"/>
    <m/>
    <x v="70"/>
    <n v="361.5"/>
    <m/>
    <x v="381"/>
    <x v="0"/>
    <s v="Granel"/>
    <m/>
    <s v="Granel Sólido"/>
    <m/>
    <m/>
    <s v="NOVIEMBRE '18"/>
    <x v="0"/>
    <m/>
    <m/>
    <m/>
    <x v="247"/>
    <m/>
    <m/>
    <x v="221"/>
    <n v="1"/>
    <n v="2019"/>
    <x v="0"/>
    <x v="0"/>
    <s v="RIGA / LETONIA"/>
    <x v="4"/>
    <m/>
    <x v="0"/>
    <x v="15"/>
    <d v="2018-11-15T00:00:00"/>
    <s v="MV GULLWING"/>
    <x v="128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C"/>
    <x v="0"/>
    <x v="0"/>
    <m/>
    <m/>
    <x v="433"/>
    <m/>
    <x v="295"/>
    <m/>
    <m/>
    <m/>
    <s v="CERRADO"/>
    <n v="206573"/>
    <x v="5"/>
    <x v="15"/>
    <x v="197"/>
    <d v="2018-10-31T00:00:00"/>
    <s v="PREPAGO"/>
    <m/>
    <s v="1010/18 ZMU"/>
    <m/>
    <d v="2018-11-26T00:00:00"/>
    <s v="CANCELADO"/>
    <s v="CFR"/>
    <m/>
    <x v="17"/>
    <n v="266.5"/>
    <m/>
    <x v="382"/>
    <x v="0"/>
    <s v="Granel"/>
    <m/>
    <s v="Granel Sólido"/>
    <m/>
    <m/>
    <s v="NOVIEMBRE '18"/>
    <x v="0"/>
    <m/>
    <m/>
    <m/>
    <x v="239"/>
    <m/>
    <m/>
    <x v="240"/>
    <n v="12"/>
    <n v="2018"/>
    <x v="0"/>
    <x v="0"/>
    <s v="RIGA / LETONIA"/>
    <x v="0"/>
    <m/>
    <x v="0"/>
    <x v="2"/>
    <d v="2018-11-15T00:00:00"/>
    <s v="MV GULLWING"/>
    <x v="128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C"/>
    <x v="0"/>
    <x v="0"/>
    <m/>
    <m/>
    <x v="434"/>
    <m/>
    <x v="296"/>
    <m/>
    <m/>
    <m/>
    <s v="CERRADO"/>
    <n v="206573"/>
    <x v="5"/>
    <x v="15"/>
    <x v="197"/>
    <d v="2018-10-31T00:00:00"/>
    <s v="PREPAGO"/>
    <m/>
    <s v="1011/18 ZMU"/>
    <m/>
    <d v="2018-11-26T00:00:00"/>
    <s v="CANCELADO"/>
    <s v="CFR"/>
    <m/>
    <x v="220"/>
    <n v="266.5"/>
    <m/>
    <x v="383"/>
    <x v="0"/>
    <s v="Granel"/>
    <m/>
    <s v="Granel Sólido"/>
    <m/>
    <m/>
    <s v="NOVIEMBRE '18"/>
    <x v="0"/>
    <m/>
    <m/>
    <m/>
    <x v="248"/>
    <m/>
    <m/>
    <x v="236"/>
    <n v="12"/>
    <n v="2018"/>
    <x v="0"/>
    <x v="0"/>
    <s v="RIGA / LETONIA"/>
    <x v="1"/>
    <m/>
    <x v="0"/>
    <x v="11"/>
    <d v="2018-11-15T00:00:00"/>
    <s v="MV GULLWING"/>
    <x v="128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C"/>
    <x v="0"/>
    <x v="0"/>
    <m/>
    <m/>
    <x v="435"/>
    <m/>
    <x v="297"/>
    <m/>
    <m/>
    <m/>
    <s v="CERRADO"/>
    <n v="206573"/>
    <x v="5"/>
    <x v="15"/>
    <x v="197"/>
    <d v="2018-10-31T00:00:00"/>
    <s v="PREPAGO"/>
    <m/>
    <s v="1012/18 ZMU"/>
    <m/>
    <d v="2018-11-26T00:00:00"/>
    <s v="CANCELADO"/>
    <s v="CFR"/>
    <m/>
    <x v="221"/>
    <n v="266.5"/>
    <m/>
    <x v="384"/>
    <x v="0"/>
    <s v="Granel"/>
    <m/>
    <s v="Granel Sólido"/>
    <m/>
    <m/>
    <s v="NOVIEMBRE '18"/>
    <x v="0"/>
    <m/>
    <m/>
    <m/>
    <x v="215"/>
    <m/>
    <m/>
    <x v="239"/>
    <n v="12"/>
    <n v="2018"/>
    <x v="0"/>
    <x v="0"/>
    <s v="RIGA / LETONIA"/>
    <x v="2"/>
    <m/>
    <x v="0"/>
    <x v="12"/>
    <d v="2018-11-15T00:00:00"/>
    <s v="MV GULLWING"/>
    <x v="128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C"/>
    <x v="0"/>
    <x v="0"/>
    <m/>
    <m/>
    <x v="436"/>
    <m/>
    <x v="298"/>
    <m/>
    <m/>
    <m/>
    <s v="CERRADO"/>
    <n v="206573"/>
    <x v="5"/>
    <x v="15"/>
    <x v="197"/>
    <d v="2018-10-31T00:00:00"/>
    <s v="PREPAGO"/>
    <m/>
    <s v="1012/18 ZMU 01"/>
    <m/>
    <d v="2018-11-26T00:00:00"/>
    <s v="CANCELADO"/>
    <s v="CFR"/>
    <m/>
    <x v="35"/>
    <n v="266.5"/>
    <m/>
    <x v="385"/>
    <x v="0"/>
    <s v="Granel"/>
    <m/>
    <s v="Granel Sólido"/>
    <m/>
    <m/>
    <s v="NOVIEMBRE '18"/>
    <x v="0"/>
    <m/>
    <m/>
    <m/>
    <x v="215"/>
    <m/>
    <m/>
    <x v="239"/>
    <n v="12"/>
    <n v="2018"/>
    <x v="0"/>
    <x v="0"/>
    <s v="RIGA / LETONIA"/>
    <x v="2"/>
    <m/>
    <x v="0"/>
    <x v="321"/>
    <d v="2018-11-15T00:00:00"/>
    <s v="MV GULLWING"/>
    <x v="128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C"/>
    <x v="0"/>
    <x v="0"/>
    <m/>
    <m/>
    <x v="437"/>
    <m/>
    <x v="299"/>
    <m/>
    <m/>
    <m/>
    <s v="CERRADO"/>
    <n v="206573"/>
    <x v="5"/>
    <x v="15"/>
    <x v="197"/>
    <d v="2018-10-31T00:00:00"/>
    <s v="PREPAGO"/>
    <m/>
    <s v="1013/18 ZMU"/>
    <m/>
    <d v="2018-11-26T00:00:00"/>
    <s v="CANCELADO"/>
    <s v="CFR"/>
    <m/>
    <x v="70"/>
    <n v="266.5"/>
    <m/>
    <x v="386"/>
    <x v="0"/>
    <s v="Granel"/>
    <m/>
    <s v="Granel Sólido"/>
    <m/>
    <m/>
    <s v="NOVIEMBRE '18"/>
    <x v="0"/>
    <m/>
    <m/>
    <m/>
    <x v="247"/>
    <m/>
    <m/>
    <x v="221"/>
    <n v="1"/>
    <n v="2019"/>
    <x v="0"/>
    <x v="0"/>
    <s v="RIGA / LETONIA"/>
    <x v="4"/>
    <m/>
    <x v="0"/>
    <x v="322"/>
    <d v="2018-11-15T00:00:00"/>
    <s v="MV GULLWING"/>
    <x v="128"/>
    <x v="0"/>
    <m/>
    <m/>
    <m/>
    <m/>
    <m/>
    <m/>
    <x v="0"/>
    <s v="-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C"/>
    <x v="0"/>
    <x v="0"/>
    <m/>
    <m/>
    <x v="438"/>
    <m/>
    <x v="299"/>
    <m/>
    <m/>
    <m/>
    <s v="CERRADO"/>
    <n v="206573"/>
    <x v="5"/>
    <x v="15"/>
    <x v="197"/>
    <d v="2018-10-31T00:00:00"/>
    <s v="PREPAGO"/>
    <m/>
    <s v="1014/18 ZMU"/>
    <m/>
    <d v="2018-11-26T00:00:00"/>
    <s v="CANCELADO"/>
    <s v="CFR"/>
    <m/>
    <x v="3"/>
    <n v="266.5"/>
    <m/>
    <x v="387"/>
    <x v="0"/>
    <s v="Granel"/>
    <m/>
    <s v="Granel Sólido"/>
    <m/>
    <m/>
    <s v="NOVIEMBRE '18"/>
    <x v="0"/>
    <m/>
    <m/>
    <m/>
    <x v="247"/>
    <m/>
    <m/>
    <x v="221"/>
    <n v="1"/>
    <n v="2019"/>
    <x v="0"/>
    <x v="0"/>
    <s v="RIGA / LETONIA"/>
    <x v="4"/>
    <m/>
    <x v="0"/>
    <x v="14"/>
    <d v="2018-11-15T00:00:00"/>
    <s v="MV GULLWING"/>
    <x v="128"/>
    <x v="0"/>
    <m/>
    <m/>
    <m/>
    <m/>
    <m/>
    <m/>
    <x v="0"/>
    <s v="-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P"/>
    <x v="0"/>
    <x v="0"/>
    <m/>
    <m/>
    <x v="439"/>
    <m/>
    <x v="300"/>
    <m/>
    <m/>
    <m/>
    <s v="CERRADO"/>
    <n v="207374"/>
    <x v="17"/>
    <x v="15"/>
    <x v="198"/>
    <d v="2018-11-15T00:00:00"/>
    <s v="PREPAGO"/>
    <m/>
    <s v="976/18 ZMU"/>
    <m/>
    <d v="2018-11-21T00:00:00"/>
    <s v="CANCELADO"/>
    <s v="CFR"/>
    <m/>
    <x v="86"/>
    <n v="377"/>
    <m/>
    <x v="388"/>
    <x v="20"/>
    <s v="Contenedor 20'"/>
    <m/>
    <s v="25 kg"/>
    <m/>
    <m/>
    <s v="DIC-ENE"/>
    <x v="0"/>
    <m/>
    <m/>
    <m/>
    <x v="249"/>
    <m/>
    <m/>
    <x v="247"/>
    <n v="2"/>
    <n v="2019"/>
    <x v="0"/>
    <x v="0"/>
    <s v="ST. PETERSBURG / RUSSIA"/>
    <x v="2"/>
    <m/>
    <x v="0"/>
    <x v="323"/>
    <d v="2018-12-27T00:00:00"/>
    <s v="AKERDIJK"/>
    <x v="42"/>
    <x v="9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P"/>
    <x v="0"/>
    <x v="0"/>
    <m/>
    <m/>
    <x v="440"/>
    <m/>
    <x v="301"/>
    <m/>
    <m/>
    <m/>
    <s v="CERRADO"/>
    <n v="207374"/>
    <x v="17"/>
    <x v="15"/>
    <x v="199"/>
    <d v="2018-11-15T00:00:00"/>
    <s v="PREPAGO"/>
    <m/>
    <s v="977/18 ZMU"/>
    <m/>
    <d v="2018-11-21T00:00:00"/>
    <s v="CANCELADO"/>
    <s v="CFR"/>
    <m/>
    <x v="222"/>
    <n v="387"/>
    <m/>
    <x v="389"/>
    <x v="10"/>
    <s v="Contenedor 20'"/>
    <m/>
    <s v="25 kg"/>
    <m/>
    <m/>
    <s v="DIC-ENE"/>
    <x v="0"/>
    <m/>
    <m/>
    <m/>
    <x v="250"/>
    <m/>
    <m/>
    <x v="248"/>
    <n v="2"/>
    <n v="2019"/>
    <x v="0"/>
    <x v="0"/>
    <s v="ST. PETERSBURG / RUSSIA"/>
    <x v="0"/>
    <m/>
    <x v="0"/>
    <x v="324"/>
    <d v="2018-12-27T00:00:00"/>
    <s v="AKERDIJK"/>
    <x v="45"/>
    <x v="9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E-S"/>
    <x v="0"/>
    <x v="0"/>
    <m/>
    <m/>
    <x v="441"/>
    <m/>
    <x v="302"/>
    <m/>
    <m/>
    <m/>
    <s v="CERRADO"/>
    <n v="209985"/>
    <x v="54"/>
    <x v="28"/>
    <x v="200"/>
    <d v="2018-10-02T00:00:00"/>
    <n v="30"/>
    <s v="días BL"/>
    <s v="812"/>
    <m/>
    <d v="2019-01-08T00:00:00"/>
    <s v="CANCELADO"/>
    <s v="CFR"/>
    <m/>
    <x v="223"/>
    <n v="330"/>
    <m/>
    <x v="390"/>
    <x v="0"/>
    <s v="Contenedor 20'"/>
    <m/>
    <s v="50 kg"/>
    <m/>
    <m/>
    <s v="NOVIEMBRE '18"/>
    <x v="0"/>
    <m/>
    <m/>
    <m/>
    <x v="251"/>
    <m/>
    <m/>
    <x v="224"/>
    <n v="12"/>
    <n v="2018"/>
    <x v="0"/>
    <x v="0"/>
    <s v="QUETZAL/ GUATEMALA"/>
    <x v="2"/>
    <m/>
    <x v="0"/>
    <x v="325"/>
    <d v="2018-11-25T00:00:00"/>
    <s v="KOTA CARUM 051W"/>
    <x v="131"/>
    <x v="14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E-S"/>
    <x v="0"/>
    <x v="0"/>
    <m/>
    <m/>
    <x v="442"/>
    <m/>
    <x v="302"/>
    <m/>
    <m/>
    <m/>
    <s v="CERRADO"/>
    <n v="209986"/>
    <x v="55"/>
    <x v="28"/>
    <x v="201"/>
    <d v="2018-11-12T00:00:00"/>
    <n v="30"/>
    <s v="días BL"/>
    <s v="813"/>
    <m/>
    <d v="2019-01-08T00:00:00"/>
    <s v="CANCELADO"/>
    <s v="CFR"/>
    <m/>
    <x v="223"/>
    <n v="280"/>
    <m/>
    <x v="391"/>
    <x v="11"/>
    <s v="Contenedor 20'"/>
    <m/>
    <s v="50 kg"/>
    <m/>
    <m/>
    <s v="NOVIEMBRE '18"/>
    <x v="0"/>
    <m/>
    <m/>
    <m/>
    <x v="251"/>
    <m/>
    <m/>
    <x v="224"/>
    <n v="12"/>
    <n v="2018"/>
    <x v="0"/>
    <x v="0"/>
    <s v="QUETZAL/ GUATEMALA"/>
    <x v="2"/>
    <m/>
    <x v="0"/>
    <x v="325"/>
    <d v="2018-11-25T00:00:00"/>
    <s v="KOTA CARUM 051W"/>
    <x v="131"/>
    <x v="14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E-S"/>
    <x v="0"/>
    <x v="0"/>
    <m/>
    <m/>
    <x v="443"/>
    <m/>
    <x v="303"/>
    <m/>
    <m/>
    <m/>
    <s v="CERRADO"/>
    <n v="207576"/>
    <x v="56"/>
    <x v="23"/>
    <x v="202"/>
    <d v="2018-11-20T00:00:00"/>
    <n v="120"/>
    <s v="días BL"/>
    <s v="201950037"/>
    <m/>
    <d v="2019-05-06T00:00:00"/>
    <s v="CANCELADO"/>
    <s v="CIF"/>
    <m/>
    <x v="143"/>
    <n v="1180"/>
    <m/>
    <x v="392"/>
    <x v="1"/>
    <s v="Contenedor 20'"/>
    <m/>
    <s v="Bigbag"/>
    <m/>
    <m/>
    <s v="NOVIEMBRE '18"/>
    <x v="0"/>
    <m/>
    <m/>
    <m/>
    <x v="233"/>
    <m/>
    <m/>
    <x v="235"/>
    <n v="2"/>
    <n v="2019"/>
    <x v="0"/>
    <x v="0"/>
    <s v="ASDOD / ISRAEL"/>
    <x v="2"/>
    <m/>
    <x v="0"/>
    <x v="326"/>
    <d v="2019-01-02T00:00:00"/>
    <s v="PACOBA"/>
    <x v="124"/>
    <x v="3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444"/>
    <m/>
    <x v="304"/>
    <m/>
    <m/>
    <m/>
    <s v="CERRADO"/>
    <n v="209371"/>
    <x v="19"/>
    <x v="37"/>
    <x v="203"/>
    <d v="2018-11-12T00:00:00"/>
    <s v="CAD"/>
    <m/>
    <s v="I-24428"/>
    <m/>
    <d v="2019-01-08T00:00:00"/>
    <s v="CANCELADO"/>
    <s v="CFR"/>
    <m/>
    <x v="224"/>
    <n v="455"/>
    <m/>
    <x v="393"/>
    <x v="0"/>
    <s v="Granel"/>
    <m/>
    <s v="Granel Sólido"/>
    <m/>
    <m/>
    <s v="2H NOV - DIC '18"/>
    <x v="0"/>
    <m/>
    <m/>
    <m/>
    <x v="240"/>
    <m/>
    <m/>
    <x v="239"/>
    <n v="12"/>
    <n v="2018"/>
    <x v="0"/>
    <x v="0"/>
    <s v="LAZARO CARDENAS, MEXICO"/>
    <x v="1"/>
    <m/>
    <x v="0"/>
    <x v="1"/>
    <d v="2018-12-18T00:00:00"/>
    <s v="MV COQUIMBO"/>
    <x v="132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445"/>
    <m/>
    <x v="305"/>
    <m/>
    <m/>
    <m/>
    <s v="CERRADO"/>
    <n v="209371"/>
    <x v="19"/>
    <x v="37"/>
    <x v="203"/>
    <d v="2018-11-12T00:00:00"/>
    <s v="CAD"/>
    <m/>
    <s v="I-24425"/>
    <m/>
    <d v="2019-01-08T00:00:00"/>
    <s v="CANCELADO"/>
    <s v="CFR"/>
    <m/>
    <x v="225"/>
    <n v="455"/>
    <m/>
    <x v="394"/>
    <x v="0"/>
    <s v="Granel"/>
    <m/>
    <s v="Granel Sólido"/>
    <m/>
    <m/>
    <s v="2H NOV - DIC '18"/>
    <x v="0"/>
    <m/>
    <m/>
    <m/>
    <x v="252"/>
    <m/>
    <m/>
    <x v="249"/>
    <n v="1"/>
    <n v="2019"/>
    <x v="0"/>
    <x v="0"/>
    <s v="LAZARO CARDENAS, MEXICO"/>
    <x v="2"/>
    <m/>
    <x v="0"/>
    <x v="44"/>
    <d v="2018-12-18T00:00:00"/>
    <s v="MV COQUIMBO"/>
    <x v="132"/>
    <x v="0"/>
    <m/>
    <m/>
    <m/>
    <m/>
    <m/>
    <m/>
    <x v="0"/>
    <s v="-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446"/>
    <m/>
    <x v="306"/>
    <m/>
    <m/>
    <m/>
    <s v="CERRADO"/>
    <n v="209371"/>
    <x v="19"/>
    <x v="37"/>
    <x v="203"/>
    <d v="2018-11-12T00:00:00"/>
    <s v="CAD"/>
    <m/>
    <s v="I-24427"/>
    <m/>
    <d v="2019-01-08T00:00:00"/>
    <s v="CANCELADO"/>
    <s v="CFR"/>
    <m/>
    <x v="53"/>
    <n v="455"/>
    <m/>
    <x v="395"/>
    <x v="0"/>
    <s v="Granel"/>
    <m/>
    <s v="Granel Sólido"/>
    <m/>
    <m/>
    <s v="2H NOV - DIC '18"/>
    <x v="0"/>
    <m/>
    <m/>
    <m/>
    <x v="253"/>
    <m/>
    <m/>
    <x v="221"/>
    <n v="1"/>
    <n v="2019"/>
    <x v="0"/>
    <x v="0"/>
    <s v="LAZARO CARDENAS, MEXICO"/>
    <x v="3"/>
    <m/>
    <x v="0"/>
    <x v="45"/>
    <d v="2018-12-18T00:00:00"/>
    <s v="MV COQUIMBO"/>
    <x v="132"/>
    <x v="0"/>
    <m/>
    <m/>
    <m/>
    <m/>
    <m/>
    <m/>
    <x v="0"/>
    <s v="-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447"/>
    <m/>
    <x v="307"/>
    <m/>
    <m/>
    <m/>
    <s v="CERRADO"/>
    <n v="209371"/>
    <x v="19"/>
    <x v="37"/>
    <x v="203"/>
    <d v="2018-11-12T00:00:00"/>
    <s v="CAD"/>
    <m/>
    <s v="I-24426"/>
    <m/>
    <d v="2019-01-08T00:00:00"/>
    <s v="CANCELADO"/>
    <s v="CFR"/>
    <m/>
    <x v="226"/>
    <n v="455"/>
    <m/>
    <x v="396"/>
    <x v="0"/>
    <s v="Granel"/>
    <m/>
    <s v="Granel Sólido"/>
    <m/>
    <m/>
    <s v="2H NOV - DIC '18"/>
    <x v="0"/>
    <m/>
    <m/>
    <m/>
    <x v="234"/>
    <m/>
    <m/>
    <x v="212"/>
    <n v="1"/>
    <n v="2019"/>
    <x v="0"/>
    <x v="0"/>
    <s v="LAZARO CARDENAS, MEXICO"/>
    <x v="4"/>
    <m/>
    <x v="0"/>
    <x v="20"/>
    <d v="2018-12-18T00:00:00"/>
    <s v="MV COQUIMBO"/>
    <x v="132"/>
    <x v="0"/>
    <m/>
    <m/>
    <m/>
    <m/>
    <m/>
    <m/>
    <x v="0"/>
    <s v="-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448"/>
    <m/>
    <x v="308"/>
    <m/>
    <m/>
    <m/>
    <s v="CERRADO"/>
    <n v="206569"/>
    <x v="14"/>
    <x v="6"/>
    <x v="158"/>
    <d v="2018-11-23T00:00:00"/>
    <s v="CAD"/>
    <m/>
    <s v="F001-28636"/>
    <m/>
    <d v="2019-01-15T00:00:00"/>
    <s v="CANCELADO"/>
    <s v="CFR"/>
    <m/>
    <x v="227"/>
    <n v="451"/>
    <m/>
    <x v="397"/>
    <x v="0"/>
    <s v="Granel"/>
    <m/>
    <s v="Granel Sólido"/>
    <m/>
    <m/>
    <s v="DICIEMBRE"/>
    <x v="0"/>
    <m/>
    <m/>
    <m/>
    <x v="254"/>
    <m/>
    <m/>
    <x v="250"/>
    <n v="2"/>
    <n v="2019"/>
    <x v="0"/>
    <x v="0"/>
    <s v="NANJING / CHINA"/>
    <x v="2"/>
    <m/>
    <x v="0"/>
    <x v="327"/>
    <d v="2018-12-24T00:00:00"/>
    <s v="MV UNI SUNSHINE"/>
    <x v="133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449"/>
    <m/>
    <x v="309"/>
    <m/>
    <m/>
    <m/>
    <s v="CERRADO"/>
    <n v="206569"/>
    <x v="14"/>
    <x v="6"/>
    <x v="158"/>
    <d v="2018-11-23T00:00:00"/>
    <s v="CAD"/>
    <m/>
    <s v="F001-28637"/>
    <m/>
    <d v="2019-01-15T00:00:00"/>
    <s v="CANCELADO"/>
    <s v="CFR"/>
    <m/>
    <x v="180"/>
    <n v="451"/>
    <m/>
    <x v="398"/>
    <x v="0"/>
    <s v="Granel"/>
    <m/>
    <s v="Granel Sólido"/>
    <m/>
    <m/>
    <s v="DICIEMBRE"/>
    <x v="0"/>
    <m/>
    <m/>
    <m/>
    <x v="255"/>
    <m/>
    <m/>
    <x v="251"/>
    <n v="2"/>
    <n v="2019"/>
    <x v="0"/>
    <x v="0"/>
    <s v="NANJING / CHINA"/>
    <x v="4"/>
    <m/>
    <x v="0"/>
    <x v="328"/>
    <d v="2018-12-24T00:00:00"/>
    <s v="MV UNI SUNSHINE"/>
    <x v="133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450"/>
    <m/>
    <x v="310"/>
    <m/>
    <m/>
    <m/>
    <s v="CERRADO"/>
    <n v="203616"/>
    <x v="34"/>
    <x v="6"/>
    <x v="158"/>
    <d v="2018-11-23T00:00:00"/>
    <s v="CAD"/>
    <m/>
    <s v="F001-28633"/>
    <m/>
    <d v="2019-01-15T00:00:00"/>
    <s v="CANCELADO"/>
    <s v="CFR"/>
    <m/>
    <x v="228"/>
    <n v="157"/>
    <m/>
    <x v="399"/>
    <x v="0"/>
    <s v="Granel"/>
    <m/>
    <s v="Granel Sólido"/>
    <m/>
    <m/>
    <s v="DICIEMBRE"/>
    <x v="0"/>
    <m/>
    <m/>
    <m/>
    <x v="250"/>
    <m/>
    <m/>
    <x v="252"/>
    <n v="2"/>
    <n v="2019"/>
    <x v="0"/>
    <x v="0"/>
    <s v="NANJING / CHINA"/>
    <x v="0"/>
    <m/>
    <x v="0"/>
    <x v="329"/>
    <d v="2018-12-21T00:00:00"/>
    <s v="MV UNI SUNSHINE"/>
    <x v="133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451"/>
    <m/>
    <x v="311"/>
    <m/>
    <m/>
    <m/>
    <s v="CERRADO"/>
    <n v="203616"/>
    <x v="34"/>
    <x v="6"/>
    <x v="158"/>
    <d v="2018-11-23T00:00:00"/>
    <s v="CAD"/>
    <m/>
    <s v="F001-28634"/>
    <m/>
    <d v="2019-01-15T00:00:00"/>
    <s v="CANCELADO"/>
    <s v="CFR"/>
    <m/>
    <x v="3"/>
    <n v="157"/>
    <m/>
    <x v="400"/>
    <x v="0"/>
    <s v="Granel"/>
    <m/>
    <s v="Granel Sólido"/>
    <m/>
    <m/>
    <s v="DICIEMBRE"/>
    <x v="0"/>
    <m/>
    <m/>
    <m/>
    <x v="256"/>
    <m/>
    <m/>
    <x v="253"/>
    <n v="2"/>
    <n v="2019"/>
    <x v="0"/>
    <x v="0"/>
    <s v="NANJING / CHINA"/>
    <x v="1"/>
    <m/>
    <x v="0"/>
    <x v="330"/>
    <d v="2018-12-21T00:00:00"/>
    <s v="MV UNI SUNSHINE"/>
    <x v="133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452"/>
    <m/>
    <x v="312"/>
    <m/>
    <m/>
    <m/>
    <s v="CERRADO"/>
    <n v="203616"/>
    <x v="34"/>
    <x v="6"/>
    <x v="158"/>
    <d v="2018-11-23T00:00:00"/>
    <s v="CAD"/>
    <m/>
    <s v="F001-28635"/>
    <m/>
    <d v="2019-01-15T00:00:00"/>
    <s v="CANCELADO"/>
    <s v="CFR"/>
    <m/>
    <x v="70"/>
    <n v="157"/>
    <m/>
    <x v="401"/>
    <x v="0"/>
    <s v="Granel"/>
    <m/>
    <s v="Granel Sólido"/>
    <m/>
    <m/>
    <s v="DICIEMBRE"/>
    <x v="0"/>
    <m/>
    <m/>
    <m/>
    <x v="254"/>
    <m/>
    <m/>
    <x v="250"/>
    <n v="2"/>
    <n v="2019"/>
    <x v="0"/>
    <x v="0"/>
    <s v="NANJING / CHINA"/>
    <x v="2"/>
    <m/>
    <x v="0"/>
    <x v="331"/>
    <d v="2018-12-21T00:00:00"/>
    <s v="MV UNI SUNSHINE"/>
    <x v="133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C"/>
    <x v="0"/>
    <x v="0"/>
    <m/>
    <m/>
    <x v="453"/>
    <m/>
    <x v="313"/>
    <m/>
    <m/>
    <m/>
    <s v="CERRADO"/>
    <n v="207580"/>
    <x v="32"/>
    <x v="27"/>
    <x v="204"/>
    <d v="2018-12-14T00:00:00"/>
    <n v="150"/>
    <s v="días BL"/>
    <s v="B7FE-18-1201-PNPE-01"/>
    <m/>
    <d v="2019-08-02T00:00:00"/>
    <s v="CANCELADO"/>
    <s v="CFR"/>
    <m/>
    <x v="229"/>
    <n v="776"/>
    <m/>
    <x v="402"/>
    <x v="10"/>
    <s v="Contenedor 20'"/>
    <m/>
    <s v="25 kg"/>
    <m/>
    <m/>
    <s v="1H FEB 2019"/>
    <x v="0"/>
    <m/>
    <m/>
    <m/>
    <x v="257"/>
    <m/>
    <m/>
    <x v="254"/>
    <n v="3"/>
    <n v="2019"/>
    <x v="0"/>
    <x v="0"/>
    <s v="IQUIQUE / CHILE"/>
    <x v="2"/>
    <m/>
    <x v="0"/>
    <x v="332"/>
    <d v="2019-03-03T00:00:00"/>
    <s v="MELBOURNE STRAIT"/>
    <x v="134"/>
    <x v="8"/>
    <m/>
    <m/>
    <m/>
    <m/>
    <m/>
    <m/>
    <x v="0"/>
    <d v="2019-03-25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C"/>
    <x v="0"/>
    <x v="0"/>
    <m/>
    <m/>
    <x v="454"/>
    <m/>
    <x v="314"/>
    <m/>
    <m/>
    <m/>
    <s v="CERRADO"/>
    <n v="207580"/>
    <x v="32"/>
    <x v="27"/>
    <x v="204"/>
    <d v="2018-12-14T00:00:00"/>
    <n v="150"/>
    <s v="días BL"/>
    <s v="B7FE-18-1201-PNPE-02"/>
    <m/>
    <d v="2019-08-12T00:00:00"/>
    <s v="CANCELADO"/>
    <s v="CFR"/>
    <m/>
    <x v="136"/>
    <n v="776"/>
    <m/>
    <x v="403"/>
    <x v="14"/>
    <s v="Contenedor 40'"/>
    <m/>
    <s v="25 kg"/>
    <m/>
    <m/>
    <s v="1H FEB 2019"/>
    <x v="0"/>
    <m/>
    <m/>
    <m/>
    <x v="258"/>
    <m/>
    <m/>
    <x v="255"/>
    <n v="3"/>
    <n v="2019"/>
    <x v="0"/>
    <x v="0"/>
    <s v="IQUIQUE / CHILE"/>
    <x v="2"/>
    <m/>
    <x v="0"/>
    <x v="333"/>
    <d v="2019-03-17T00:00:00"/>
    <s v="LOUISIANA TRADER "/>
    <x v="135"/>
    <x v="8"/>
    <m/>
    <m/>
    <m/>
    <m/>
    <m/>
    <m/>
    <x v="0"/>
    <d v="2019-04-08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C"/>
    <x v="0"/>
    <x v="0"/>
    <m/>
    <m/>
    <x v="455"/>
    <m/>
    <x v="315"/>
    <m/>
    <m/>
    <m/>
    <s v="CERRADO"/>
    <n v="207580"/>
    <x v="32"/>
    <x v="27"/>
    <x v="205"/>
    <d v="2018-12-14T00:00:00"/>
    <n v="150"/>
    <s v="días BL"/>
    <s v="B7FE-18-1202-PNPE"/>
    <m/>
    <d v="2019-07-23T00:00:00"/>
    <s v="CANCELADO"/>
    <s v="CFR"/>
    <m/>
    <x v="197"/>
    <n v="786"/>
    <m/>
    <x v="404"/>
    <x v="31"/>
    <s v="Contenedor 20'"/>
    <m/>
    <s v="25 kg"/>
    <m/>
    <m/>
    <s v="2h ENERO 2019"/>
    <x v="0"/>
    <m/>
    <m/>
    <m/>
    <x v="259"/>
    <m/>
    <m/>
    <x v="256"/>
    <n v="3"/>
    <n v="2019"/>
    <x v="0"/>
    <x v="0"/>
    <s v="IQUIQUE / CHILE"/>
    <x v="0"/>
    <m/>
    <x v="0"/>
    <x v="334"/>
    <d v="2019-02-23T00:00:00"/>
    <s v="POLYNESIA"/>
    <x v="45"/>
    <x v="2"/>
    <m/>
    <m/>
    <m/>
    <m/>
    <m/>
    <m/>
    <x v="0"/>
    <d v="2019-03-28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G-S"/>
    <x v="0"/>
    <x v="0"/>
    <m/>
    <m/>
    <x v="456"/>
    <m/>
    <x v="316"/>
    <m/>
    <m/>
    <m/>
    <s v="CERRADO"/>
    <n v="209979"/>
    <x v="1"/>
    <x v="7"/>
    <x v="206"/>
    <d v="2018-12-20T00:00:00"/>
    <n v="90"/>
    <s v="días BL"/>
    <s v="4200622898"/>
    <m/>
    <d v="2019-04-24T00:00:00"/>
    <s v="CANCELADO"/>
    <s v="CFR"/>
    <m/>
    <x v="230"/>
    <n v="550"/>
    <m/>
    <x v="405"/>
    <x v="9"/>
    <s v="Contenedor 20'"/>
    <m/>
    <s v="Granel Sólido"/>
    <m/>
    <m/>
    <s v="ENERO '19"/>
    <x v="0"/>
    <m/>
    <m/>
    <m/>
    <x v="260"/>
    <m/>
    <m/>
    <x v="235"/>
    <n v="2"/>
    <n v="2019"/>
    <x v="0"/>
    <x v="0"/>
    <s v="HAMBURGO / ALEMANIA"/>
    <x v="2"/>
    <m/>
    <x v="0"/>
    <x v="335"/>
    <d v="2019-01-24T00:00:00"/>
    <s v="SAN CLEMENTE"/>
    <x v="37"/>
    <x v="9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P"/>
    <x v="0"/>
    <x v="0"/>
    <m/>
    <m/>
    <x v="457"/>
    <m/>
    <x v="317"/>
    <m/>
    <m/>
    <m/>
    <s v="CERRADO"/>
    <n v="208510"/>
    <x v="10"/>
    <x v="37"/>
    <x v="207"/>
    <d v="2018-12-17T00:00:00"/>
    <n v="90"/>
    <s v="días BL"/>
    <s v="24650"/>
    <m/>
    <d v="2019-04-25T00:00:00"/>
    <s v="CANCELADO"/>
    <s v="CFR"/>
    <m/>
    <x v="196"/>
    <n v="874"/>
    <m/>
    <x v="406"/>
    <x v="31"/>
    <s v="Contenedor 20'"/>
    <m/>
    <s v="Bidones 35kg"/>
    <m/>
    <m/>
    <s v="ENERO '19"/>
    <x v="0"/>
    <m/>
    <m/>
    <m/>
    <x v="246"/>
    <m/>
    <m/>
    <x v="242"/>
    <n v="3"/>
    <n v="2019"/>
    <x v="0"/>
    <x v="0"/>
    <s v="QINZHOU / CHINA"/>
    <x v="2"/>
    <m/>
    <x v="0"/>
    <x v="336"/>
    <d v="2019-01-18T00:00:00"/>
    <s v="HAIAN SONG"/>
    <x v="136"/>
    <x v="2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P"/>
    <x v="0"/>
    <x v="0"/>
    <m/>
    <m/>
    <x v="458"/>
    <m/>
    <x v="318"/>
    <m/>
    <m/>
    <m/>
    <s v="CERRADO"/>
    <n v="208510"/>
    <x v="10"/>
    <x v="37"/>
    <x v="208"/>
    <d v="2018-12-17T00:00:00"/>
    <n v="90"/>
    <s v="días BL"/>
    <s v="24651"/>
    <m/>
    <d v="2019-04-09T00:00:00"/>
    <s v="CANCELADO"/>
    <s v="CFR"/>
    <m/>
    <x v="196"/>
    <n v="877"/>
    <m/>
    <x v="407"/>
    <x v="31"/>
    <s v="Contenedor 20'"/>
    <m/>
    <s v="Bidones 35kg"/>
    <m/>
    <m/>
    <s v="ENERO '19"/>
    <x v="0"/>
    <m/>
    <m/>
    <m/>
    <x v="261"/>
    <m/>
    <m/>
    <x v="257"/>
    <n v="3"/>
    <n v="2019"/>
    <x v="0"/>
    <x v="0"/>
    <s v="QINZHOU / CHINA"/>
    <x v="0"/>
    <m/>
    <x v="0"/>
    <x v="337"/>
    <d v="2019-01-07T00:00:00"/>
    <s v="HUI JIN QIAO"/>
    <x v="45"/>
    <x v="2"/>
    <m/>
    <m/>
    <m/>
    <m/>
    <m/>
    <m/>
    <x v="0"/>
    <d v="2019-03-09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P"/>
    <x v="0"/>
    <x v="0"/>
    <m/>
    <m/>
    <x v="459"/>
    <m/>
    <x v="319"/>
    <m/>
    <m/>
    <m/>
    <s v="CERRADO"/>
    <n v="208510"/>
    <x v="10"/>
    <x v="37"/>
    <x v="209"/>
    <d v="2018-12-17T00:00:00"/>
    <n v="90"/>
    <s v="días BL"/>
    <s v="24652"/>
    <m/>
    <d v="2019-04-01T00:00:00"/>
    <s v="CANCELADO"/>
    <s v="CFR"/>
    <m/>
    <x v="231"/>
    <n v="921"/>
    <m/>
    <x v="408"/>
    <x v="4"/>
    <s v="Contenedor 20'"/>
    <m/>
    <s v="Bidones 35kg"/>
    <m/>
    <m/>
    <s v="ENERO '19"/>
    <x v="0"/>
    <m/>
    <m/>
    <m/>
    <x v="262"/>
    <m/>
    <m/>
    <x v="258"/>
    <n v="3"/>
    <n v="2019"/>
    <x v="0"/>
    <x v="0"/>
    <s v="FANGCHENG / CHINA"/>
    <x v="4"/>
    <m/>
    <x v="0"/>
    <x v="338"/>
    <d v="2019-01-01T00:00:00"/>
    <s v="HAIAN SONG"/>
    <x v="129"/>
    <x v="2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C"/>
    <x v="0"/>
    <x v="0"/>
    <m/>
    <m/>
    <x v="460"/>
    <m/>
    <x v="320"/>
    <m/>
    <m/>
    <m/>
    <s v="CERRADO"/>
    <n v="207580"/>
    <x v="32"/>
    <x v="7"/>
    <x v="210"/>
    <d v="2018-12-20T00:00:00"/>
    <n v="90"/>
    <s v="días BL"/>
    <s v="4200624811"/>
    <m/>
    <d v="2019-05-09T00:00:00"/>
    <s v="CANCELADO"/>
    <s v="CFR"/>
    <m/>
    <x v="63"/>
    <n v="810"/>
    <m/>
    <x v="409"/>
    <x v="7"/>
    <s v="Contenedor 20'"/>
    <m/>
    <s v="25 kg"/>
    <m/>
    <m/>
    <s v="ENERO '19"/>
    <x v="0"/>
    <m/>
    <m/>
    <m/>
    <x v="263"/>
    <m/>
    <m/>
    <x v="259"/>
    <n v="2"/>
    <n v="2019"/>
    <x v="0"/>
    <x v="0"/>
    <s v="ANGAMOS / CHILE"/>
    <x v="2"/>
    <m/>
    <x v="0"/>
    <x v="339"/>
    <d v="2019-02-10T00:00:00"/>
    <s v="MSC LAUREN"/>
    <x v="137"/>
    <x v="2"/>
    <m/>
    <m/>
    <m/>
    <m/>
    <m/>
    <m/>
    <x v="0"/>
    <d v="2019-03-05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E-S"/>
    <x v="0"/>
    <x v="0"/>
    <m/>
    <m/>
    <x v="461"/>
    <m/>
    <x v="321"/>
    <m/>
    <m/>
    <m/>
    <s v="CERRADO"/>
    <n v="209976"/>
    <x v="21"/>
    <x v="18"/>
    <x v="211"/>
    <d v="2018-12-14T00:00:00"/>
    <s v="CAD"/>
    <m/>
    <s v="40100198"/>
    <m/>
    <d v="2019-02-08T00:00:00"/>
    <s v="CANCELADO"/>
    <s v="CFR"/>
    <m/>
    <x v="232"/>
    <n v="380"/>
    <m/>
    <x v="410"/>
    <x v="21"/>
    <s v="Contenedor 40'"/>
    <m/>
    <s v="Bigbag"/>
    <m/>
    <m/>
    <s v="ENERO '19"/>
    <x v="0"/>
    <m/>
    <m/>
    <m/>
    <x v="264"/>
    <m/>
    <m/>
    <x v="254"/>
    <n v="3"/>
    <n v="2019"/>
    <x v="0"/>
    <x v="0"/>
    <s v="ST. PETERSBURG / RUSSIA"/>
    <x v="2"/>
    <m/>
    <x v="0"/>
    <x v="340"/>
    <d v="2019-01-30T00:00:00"/>
    <s v="RIJNBORG"/>
    <x v="51"/>
    <x v="6"/>
    <m/>
    <m/>
    <m/>
    <m/>
    <m/>
    <m/>
    <x v="0"/>
    <d v="2019-03-22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E-S"/>
    <x v="0"/>
    <x v="0"/>
    <m/>
    <m/>
    <x v="462"/>
    <m/>
    <x v="322"/>
    <m/>
    <m/>
    <m/>
    <s v="CERRADO"/>
    <n v="209976"/>
    <x v="21"/>
    <x v="18"/>
    <x v="211"/>
    <d v="2018-12-14T00:00:00"/>
    <s v="CAD"/>
    <m/>
    <s v="40100160"/>
    <m/>
    <d v="2019-02-05T00:00:00"/>
    <s v="CANCELADO"/>
    <s v="CFR"/>
    <m/>
    <x v="233"/>
    <n v="390"/>
    <m/>
    <x v="411"/>
    <x v="31"/>
    <s v="Contenedor 40'"/>
    <m/>
    <s v="Bigbag"/>
    <m/>
    <m/>
    <s v="ENERO '19"/>
    <x v="0"/>
    <m/>
    <m/>
    <m/>
    <x v="261"/>
    <m/>
    <m/>
    <x v="260"/>
    <n v="3"/>
    <n v="2019"/>
    <x v="0"/>
    <x v="0"/>
    <s v="ST. PETERSBURG / RUSSIA"/>
    <x v="0"/>
    <m/>
    <x v="0"/>
    <x v="341"/>
    <d v="2019-01-24T00:00:00"/>
    <s v="VALPARAISO EXPRESS"/>
    <x v="45"/>
    <x v="6"/>
    <m/>
    <m/>
    <m/>
    <m/>
    <m/>
    <m/>
    <x v="0"/>
    <d v="2019-03-17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S"/>
    <x v="0"/>
    <x v="0"/>
    <m/>
    <m/>
    <x v="463"/>
    <m/>
    <x v="323"/>
    <m/>
    <m/>
    <m/>
    <s v="CERRADO"/>
    <n v="206971"/>
    <x v="3"/>
    <x v="14"/>
    <x v="212"/>
    <d v="2018-12-28T00:00:00"/>
    <s v="CAD"/>
    <m/>
    <s v="PF185420/2/19020002"/>
    <m/>
    <d v="2019-02-13T00:00:00"/>
    <s v="CANCELADO"/>
    <s v="CFR"/>
    <m/>
    <x v="7"/>
    <n v="540"/>
    <m/>
    <x v="412"/>
    <x v="15"/>
    <s v="Contenedor 20'"/>
    <m/>
    <s v="25 kg"/>
    <m/>
    <m/>
    <s v="ENERO '19"/>
    <x v="0"/>
    <m/>
    <m/>
    <m/>
    <x v="265"/>
    <m/>
    <m/>
    <x v="261"/>
    <n v="4"/>
    <n v="2019"/>
    <x v="0"/>
    <x v="0"/>
    <s v="NHAVA / INDIA"/>
    <x v="2"/>
    <m/>
    <x v="0"/>
    <x v="342"/>
    <d v="2019-02-03T00:00:00"/>
    <s v="CSAV TOCONAO"/>
    <x v="138"/>
    <x v="19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S"/>
    <x v="0"/>
    <x v="0"/>
    <m/>
    <m/>
    <x v="464"/>
    <m/>
    <x v="324"/>
    <m/>
    <m/>
    <m/>
    <s v="CERRADO"/>
    <n v="206971"/>
    <x v="3"/>
    <x v="14"/>
    <x v="212"/>
    <d v="2018-12-28T00:00:00"/>
    <s v="CAD"/>
    <m/>
    <s v="19010028"/>
    <m/>
    <d v="2019-02-20T00:00:00"/>
    <s v="CANCELADO"/>
    <s v="CFR"/>
    <m/>
    <x v="171"/>
    <n v="547"/>
    <m/>
    <x v="413"/>
    <x v="8"/>
    <s v="Contenedor 20'"/>
    <m/>
    <s v="25 kg"/>
    <m/>
    <m/>
    <s v="2h ENERO '19"/>
    <x v="0"/>
    <m/>
    <m/>
    <m/>
    <x v="266"/>
    <m/>
    <m/>
    <x v="262"/>
    <n v="5"/>
    <n v="2019"/>
    <x v="0"/>
    <x v="0"/>
    <s v="NHAVA / INDIA"/>
    <x v="0"/>
    <m/>
    <x v="0"/>
    <x v="343"/>
    <d v="2019-01-21T00:00:00"/>
    <s v="CMA CGM MUMBAI"/>
    <x v="45"/>
    <x v="9"/>
    <m/>
    <m/>
    <m/>
    <m/>
    <m/>
    <m/>
    <x v="0"/>
    <d v="2019-05-12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S"/>
    <x v="0"/>
    <x v="0"/>
    <m/>
    <m/>
    <x v="465"/>
    <m/>
    <x v="325"/>
    <m/>
    <m/>
    <m/>
    <s v="CERRADO"/>
    <n v="206971"/>
    <x v="3"/>
    <x v="14"/>
    <x v="212"/>
    <d v="2018-12-28T00:00:00"/>
    <s v="CAD"/>
    <m/>
    <s v="19020038"/>
    <m/>
    <d v="2019-03-05T00:00:00"/>
    <s v="CANCELADO"/>
    <s v="CFR"/>
    <m/>
    <x v="171"/>
    <n v="547"/>
    <m/>
    <x v="413"/>
    <x v="8"/>
    <s v="Contenedor 20'"/>
    <m/>
    <s v="25 kg"/>
    <m/>
    <m/>
    <s v="1h FEBRERO '19"/>
    <x v="0"/>
    <m/>
    <m/>
    <m/>
    <x v="266"/>
    <m/>
    <m/>
    <x v="262"/>
    <n v="5"/>
    <n v="2019"/>
    <x v="0"/>
    <x v="0"/>
    <s v="NHAVA / INDIA"/>
    <x v="0"/>
    <m/>
    <x v="0"/>
    <x v="344"/>
    <d v="2019-02-24T00:00:00"/>
    <s v="APL SAVANNAH"/>
    <x v="45"/>
    <x v="9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E-S"/>
    <x v="0"/>
    <x v="0"/>
    <m/>
    <m/>
    <x v="466"/>
    <m/>
    <x v="326"/>
    <m/>
    <m/>
    <m/>
    <s v="CERRADO"/>
    <n v="203620"/>
    <x v="57"/>
    <x v="3"/>
    <x v="213"/>
    <s v="18-12-18"/>
    <s v="CAD"/>
    <m/>
    <s v="20190116"/>
    <m/>
    <d v="2019-02-05T00:00:00"/>
    <s v="CANCELADO"/>
    <s v="CPT"/>
    <m/>
    <x v="234"/>
    <n v="750"/>
    <m/>
    <x v="414"/>
    <x v="11"/>
    <s v="Contenedor 20'"/>
    <m/>
    <s v="IBC"/>
    <m/>
    <m/>
    <s v="DIC - ENE '19"/>
    <x v="0"/>
    <m/>
    <m/>
    <m/>
    <x v="267"/>
    <m/>
    <m/>
    <x v="263"/>
    <n v="2"/>
    <n v="2019"/>
    <x v="0"/>
    <x v="0"/>
    <s v="LA SPEZIA / ITALIA"/>
    <x v="2"/>
    <m/>
    <x v="0"/>
    <x v="345"/>
    <d v="2019-01-25T00:00:00"/>
    <s v="MSC CLEA"/>
    <x v="139"/>
    <x v="4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E-S"/>
    <x v="0"/>
    <x v="0"/>
    <m/>
    <m/>
    <x v="467"/>
    <m/>
    <x v="326"/>
    <m/>
    <m/>
    <m/>
    <s v="CERRADO"/>
    <n v="203619"/>
    <x v="58"/>
    <x v="3"/>
    <x v="214"/>
    <s v="18-12-18"/>
    <s v="CAD"/>
    <m/>
    <s v="20190116"/>
    <m/>
    <d v="2019-02-05T00:00:00"/>
    <s v="CANCELADO"/>
    <s v="CPT"/>
    <m/>
    <x v="235"/>
    <n v="434"/>
    <m/>
    <x v="415"/>
    <x v="11"/>
    <s v="Contenedor 20'"/>
    <m/>
    <s v="IBC"/>
    <m/>
    <m/>
    <s v="DIC - ENE '19"/>
    <x v="0"/>
    <m/>
    <m/>
    <m/>
    <x v="267"/>
    <m/>
    <m/>
    <x v="263"/>
    <n v="2"/>
    <n v="2019"/>
    <x v="0"/>
    <x v="0"/>
    <s v="LA SPEZIA / ITALIA"/>
    <x v="2"/>
    <m/>
    <x v="0"/>
    <x v="345"/>
    <d v="2019-01-25T00:00:00"/>
    <s v="MSC CLEA"/>
    <x v="139"/>
    <x v="4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E-S"/>
    <x v="0"/>
    <x v="0"/>
    <m/>
    <m/>
    <x v="468"/>
    <m/>
    <x v="327"/>
    <m/>
    <m/>
    <m/>
    <s v="CERRADO"/>
    <n v="203618"/>
    <x v="59"/>
    <x v="3"/>
    <x v="215"/>
    <s v="18-12-18"/>
    <s v="CAD"/>
    <m/>
    <s v="20190034"/>
    <m/>
    <d v="2019-01-24T00:00:00"/>
    <s v="CANCELADO"/>
    <s v="CPT"/>
    <m/>
    <x v="236"/>
    <n v="788"/>
    <m/>
    <x v="416"/>
    <x v="11"/>
    <s v="Contenedor 40'"/>
    <m/>
    <s v="IBC"/>
    <m/>
    <m/>
    <s v="DIC - ENE '19"/>
    <x v="0"/>
    <m/>
    <m/>
    <m/>
    <x v="250"/>
    <m/>
    <m/>
    <x v="252"/>
    <n v="2"/>
    <n v="2019"/>
    <x v="0"/>
    <x v="0"/>
    <s v="SHANGAI / CHINA"/>
    <x v="2"/>
    <m/>
    <x v="0"/>
    <x v="346"/>
    <d v="2019-01-03T00:00:00"/>
    <s v="CORNELIUS MAERSK"/>
    <x v="140"/>
    <x v="3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C"/>
    <x v="0"/>
    <x v="0"/>
    <m/>
    <m/>
    <x v="469"/>
    <m/>
    <x v="328"/>
    <m/>
    <m/>
    <m/>
    <s v="CERRADO"/>
    <n v="207580"/>
    <x v="32"/>
    <x v="3"/>
    <x v="216"/>
    <d v="2018-12-14T00:00:00"/>
    <n v="90"/>
    <s v="días BL"/>
    <s v="KTS 20190058"/>
    <m/>
    <d v="2019-04-11T00:00:00"/>
    <s v="CANCELADO"/>
    <s v="CPT"/>
    <m/>
    <x v="80"/>
    <n v="774"/>
    <m/>
    <x v="417"/>
    <x v="19"/>
    <s v="Contenedor 20'"/>
    <m/>
    <s v="25 kg"/>
    <m/>
    <m/>
    <s v="ENERO '19"/>
    <x v="0"/>
    <m/>
    <m/>
    <m/>
    <x v="263"/>
    <m/>
    <m/>
    <x v="264"/>
    <n v="2"/>
    <n v="2019"/>
    <x v="0"/>
    <x v="0"/>
    <s v="LIANYUNGANG / CHINA"/>
    <x v="2"/>
    <m/>
    <x v="0"/>
    <x v="347"/>
    <d v="2019-01-11T00:00:00"/>
    <s v="XIANG SHUN"/>
    <x v="141"/>
    <x v="2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8"/>
    <s v="S-C"/>
    <x v="0"/>
    <x v="0"/>
    <m/>
    <m/>
    <x v="470"/>
    <m/>
    <x v="329"/>
    <m/>
    <m/>
    <m/>
    <s v="CERRADO"/>
    <n v="207580"/>
    <x v="32"/>
    <x v="3"/>
    <x v="217"/>
    <d v="2018-12-14T00:00:00"/>
    <n v="90"/>
    <s v="días BL"/>
    <s v="KTS 20190059"/>
    <m/>
    <d v="2019-04-11T00:00:00"/>
    <s v="CANCELADO"/>
    <s v="CPT"/>
    <m/>
    <x v="80"/>
    <n v="784"/>
    <m/>
    <x v="418"/>
    <x v="19"/>
    <s v="Contenedor 20'"/>
    <m/>
    <s v="25 kg"/>
    <m/>
    <m/>
    <s v="ENERO '19"/>
    <x v="0"/>
    <m/>
    <m/>
    <m/>
    <x v="268"/>
    <m/>
    <m/>
    <x v="265"/>
    <n v="2"/>
    <n v="2019"/>
    <x v="0"/>
    <x v="0"/>
    <s v="LIANYUNGANG / CHINA"/>
    <x v="0"/>
    <m/>
    <x v="0"/>
    <x v="348"/>
    <d v="2019-01-11T00:00:00"/>
    <s v="XIANG SHUN"/>
    <x v="45"/>
    <x v="2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471"/>
    <m/>
    <x v="330"/>
    <m/>
    <m/>
    <m/>
    <s v="CERRADO"/>
    <n v="207951"/>
    <x v="6"/>
    <x v="39"/>
    <x v="218"/>
    <d v="2019-01-03T00:00:00"/>
    <s v="CAD"/>
    <m/>
    <s v="081-5/2019"/>
    <m/>
    <d v="2019-01-25T00:00:00"/>
    <s v="CANCELADO"/>
    <s v="CFR"/>
    <m/>
    <x v="71"/>
    <n v="316"/>
    <m/>
    <x v="419"/>
    <x v="0"/>
    <s v="Granel"/>
    <m/>
    <s v="Granel Sólido"/>
    <m/>
    <m/>
    <s v="ENERO '19"/>
    <x v="0"/>
    <m/>
    <m/>
    <m/>
    <x v="269"/>
    <m/>
    <m/>
    <x v="266"/>
    <n v="2"/>
    <n v="2019"/>
    <x v="0"/>
    <x v="0"/>
    <s v="KOTKA / FINLANDIA"/>
    <x v="0"/>
    <m/>
    <x v="0"/>
    <x v="13"/>
    <d v="2019-01-19T00:00:00"/>
    <s v="MV AMELIE"/>
    <x v="142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472"/>
    <m/>
    <x v="331"/>
    <m/>
    <m/>
    <m/>
    <s v="CERRADO"/>
    <n v="207951"/>
    <x v="6"/>
    <x v="39"/>
    <x v="218"/>
    <d v="2019-01-03T00:00:00"/>
    <s v="CAD"/>
    <m/>
    <s v="081-6/2019"/>
    <m/>
    <d v="2019-01-25T00:00:00"/>
    <s v="CANCELADO"/>
    <s v="CFR"/>
    <m/>
    <x v="41"/>
    <n v="316"/>
    <m/>
    <x v="420"/>
    <x v="0"/>
    <s v="Granel"/>
    <m/>
    <s v="Granel Sólido"/>
    <m/>
    <m/>
    <s v="ENERO '19"/>
    <x v="0"/>
    <m/>
    <m/>
    <m/>
    <x v="270"/>
    <m/>
    <m/>
    <x v="266"/>
    <n v="2"/>
    <n v="2019"/>
    <x v="0"/>
    <x v="0"/>
    <s v="KOTKA / FINLANDIA"/>
    <x v="1"/>
    <m/>
    <x v="0"/>
    <x v="14"/>
    <d v="2019-01-19T00:00:00"/>
    <s v="MV AMELIE"/>
    <x v="142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473"/>
    <m/>
    <x v="332"/>
    <m/>
    <m/>
    <m/>
    <s v="CERRADO"/>
    <n v="207951"/>
    <x v="6"/>
    <x v="39"/>
    <x v="218"/>
    <d v="2019-01-03T00:00:00"/>
    <s v="CAD"/>
    <m/>
    <s v="081-3/2019"/>
    <m/>
    <d v="2019-01-25T00:00:00"/>
    <s v="CANCELADO"/>
    <s v="CFR"/>
    <m/>
    <x v="71"/>
    <n v="316"/>
    <m/>
    <x v="419"/>
    <x v="0"/>
    <s v="Granel"/>
    <m/>
    <s v="Granel Sólido"/>
    <m/>
    <m/>
    <s v="ENERO '19"/>
    <x v="0"/>
    <m/>
    <m/>
    <m/>
    <x v="242"/>
    <m/>
    <m/>
    <x v="257"/>
    <n v="3"/>
    <n v="2019"/>
    <x v="0"/>
    <x v="0"/>
    <s v="KOTKA / FINLANDIA"/>
    <x v="2"/>
    <m/>
    <x v="0"/>
    <x v="11"/>
    <d v="2019-01-19T00:00:00"/>
    <s v="MV AMELIE"/>
    <x v="142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474"/>
    <m/>
    <x v="333"/>
    <m/>
    <m/>
    <m/>
    <s v="CERRADO"/>
    <n v="207951"/>
    <x v="6"/>
    <x v="39"/>
    <x v="218"/>
    <d v="2019-01-03T00:00:00"/>
    <s v="CAD"/>
    <m/>
    <s v="081-4/2019"/>
    <m/>
    <d v="2019-01-25T00:00:00"/>
    <s v="CANCELADO"/>
    <s v="CFR"/>
    <m/>
    <x v="45"/>
    <n v="316"/>
    <m/>
    <x v="421"/>
    <x v="0"/>
    <s v="Granel"/>
    <m/>
    <s v="Granel Sólido"/>
    <m/>
    <m/>
    <s v="ENERO '19"/>
    <x v="0"/>
    <m/>
    <m/>
    <m/>
    <x v="264"/>
    <m/>
    <m/>
    <x v="267"/>
    <n v="3"/>
    <n v="2019"/>
    <x v="0"/>
    <x v="0"/>
    <s v="KOTKA / FINLANDIA"/>
    <x v="4"/>
    <m/>
    <x v="0"/>
    <x v="12"/>
    <d v="2019-01-19T00:00:00"/>
    <s v="MV AMELIE"/>
    <x v="142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475"/>
    <m/>
    <x v="334"/>
    <m/>
    <m/>
    <m/>
    <s v="CERRADO"/>
    <n v="207485"/>
    <x v="13"/>
    <x v="39"/>
    <x v="218"/>
    <d v="2019-01-03T00:00:00"/>
    <s v="CAD"/>
    <m/>
    <s v="198-1/2019"/>
    <m/>
    <d v="2019-02-08T00:00:00"/>
    <s v="CANCELADO"/>
    <s v="CFR"/>
    <m/>
    <x v="0"/>
    <n v="320"/>
    <m/>
    <x v="422"/>
    <x v="0"/>
    <s v="Granel"/>
    <m/>
    <s v="Granel Sólido"/>
    <m/>
    <m/>
    <s v="ENERO '19"/>
    <x v="0"/>
    <m/>
    <m/>
    <m/>
    <x v="269"/>
    <m/>
    <m/>
    <x v="243"/>
    <n v="2"/>
    <n v="2019"/>
    <x v="0"/>
    <x v="0"/>
    <s v="KOTKA / FINLANDIA"/>
    <x v="0"/>
    <m/>
    <x v="0"/>
    <x v="349"/>
    <d v="2019-01-19T00:00:00"/>
    <s v="MV AMELIE"/>
    <x v="142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476"/>
    <m/>
    <x v="335"/>
    <m/>
    <m/>
    <m/>
    <s v="CERRADO"/>
    <n v="207485"/>
    <x v="13"/>
    <x v="39"/>
    <x v="218"/>
    <d v="2019-01-03T00:00:00"/>
    <s v="CAD"/>
    <m/>
    <s v="081-2/2019"/>
    <m/>
    <d v="2019-01-25T00:00:00"/>
    <s v="CANCELADO"/>
    <s v="CFR"/>
    <m/>
    <x v="237"/>
    <n v="326"/>
    <m/>
    <x v="423"/>
    <x v="0"/>
    <s v="Granel"/>
    <m/>
    <s v="Granel Sólido"/>
    <m/>
    <m/>
    <s v="ENERO '19"/>
    <x v="0"/>
    <m/>
    <m/>
    <m/>
    <x v="270"/>
    <m/>
    <m/>
    <x v="265"/>
    <n v="2"/>
    <n v="2019"/>
    <x v="0"/>
    <x v="0"/>
    <s v="KOTKA / FINLANDIA"/>
    <x v="1"/>
    <m/>
    <x v="0"/>
    <x v="18"/>
    <d v="2019-01-19T00:00:00"/>
    <s v="MV AMELIE"/>
    <x v="142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477"/>
    <m/>
    <x v="336"/>
    <m/>
    <m/>
    <m/>
    <s v="CERRADO"/>
    <n v="207485"/>
    <x v="13"/>
    <x v="39"/>
    <x v="218"/>
    <d v="2019-01-03T00:00:00"/>
    <s v="CAD"/>
    <m/>
    <s v="198-2/2019"/>
    <m/>
    <d v="2019-02-08T00:00:00"/>
    <s v="CANCELADO"/>
    <s v="CFR"/>
    <m/>
    <x v="17"/>
    <n v="320"/>
    <m/>
    <x v="424"/>
    <x v="0"/>
    <s v="Granel"/>
    <m/>
    <s v="Granel Sólido"/>
    <m/>
    <m/>
    <s v="ENERO '19"/>
    <x v="0"/>
    <m/>
    <m/>
    <m/>
    <x v="242"/>
    <m/>
    <m/>
    <x v="268"/>
    <n v="3"/>
    <n v="2019"/>
    <x v="0"/>
    <x v="0"/>
    <s v="KOTKA / FINLANDIA"/>
    <x v="2"/>
    <m/>
    <x v="0"/>
    <x v="350"/>
    <d v="2019-01-19T00:00:00"/>
    <s v="MV AMELIE"/>
    <x v="142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478"/>
    <m/>
    <x v="337"/>
    <m/>
    <m/>
    <m/>
    <s v="CERRADO"/>
    <n v="207485"/>
    <x v="13"/>
    <x v="39"/>
    <x v="218"/>
    <d v="2019-01-03T00:00:00"/>
    <s v="CAD"/>
    <m/>
    <s v="081-1/2019"/>
    <m/>
    <d v="2019-01-25T00:00:00"/>
    <s v="CANCELADO"/>
    <s v="CFR"/>
    <m/>
    <x v="238"/>
    <n v="326"/>
    <m/>
    <x v="425"/>
    <x v="0"/>
    <s v="Granel"/>
    <m/>
    <s v="Granel Sólido"/>
    <m/>
    <m/>
    <s v="ENERO '19"/>
    <x v="0"/>
    <m/>
    <m/>
    <m/>
    <x v="264"/>
    <m/>
    <m/>
    <x v="267"/>
    <n v="3"/>
    <n v="2019"/>
    <x v="0"/>
    <x v="0"/>
    <s v="KOTKA / FINLANDIA"/>
    <x v="4"/>
    <m/>
    <x v="0"/>
    <x v="17"/>
    <d v="2019-01-19T00:00:00"/>
    <s v="MV AMELIE"/>
    <x v="142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A-S"/>
    <x v="0"/>
    <x v="0"/>
    <m/>
    <m/>
    <x v="479"/>
    <m/>
    <x v="338"/>
    <m/>
    <m/>
    <m/>
    <s v="CERRADO"/>
    <m/>
    <x v="60"/>
    <x v="40"/>
    <x v="8"/>
    <d v="2018-12-19T00:00:00"/>
    <n v="90"/>
    <s v="días BL"/>
    <s v="19LYAN01"/>
    <m/>
    <d v="2019-02-26T00:00:00"/>
    <s v="CANCELADO"/>
    <s v="CIF"/>
    <m/>
    <x v="142"/>
    <n v="6370"/>
    <m/>
    <x v="426"/>
    <x v="0"/>
    <s v="Contenedor 20'"/>
    <m/>
    <s v="LTS"/>
    <m/>
    <m/>
    <s v="FEBRERO '19"/>
    <x v="0"/>
    <m/>
    <m/>
    <m/>
    <x v="271"/>
    <m/>
    <m/>
    <x v="269"/>
    <n v="6"/>
    <n v="2019"/>
    <x v="0"/>
    <x v="0"/>
    <s v="SHANGAI / CHINA"/>
    <x v="2"/>
    <m/>
    <x v="0"/>
    <x v="351"/>
    <d v="2019-04-17T00:00:00"/>
    <s v="ADRIAN SCHULTE"/>
    <x v="143"/>
    <x v="20"/>
    <m/>
    <m/>
    <m/>
    <m/>
    <m/>
    <m/>
    <x v="0"/>
    <d v="2019-06-12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A-S"/>
    <x v="0"/>
    <x v="0"/>
    <m/>
    <m/>
    <x v="480"/>
    <m/>
    <x v="338"/>
    <m/>
    <m/>
    <m/>
    <s v="CERRADO"/>
    <m/>
    <x v="61"/>
    <x v="40"/>
    <x v="8"/>
    <d v="2018-12-19T00:00:00"/>
    <n v="90"/>
    <s v="días BL"/>
    <s v="19LYAN01"/>
    <m/>
    <d v="2019-02-26T00:00:00"/>
    <s v="CANCELADO"/>
    <s v="CIF"/>
    <m/>
    <x v="239"/>
    <n v="7210"/>
    <m/>
    <x v="427"/>
    <x v="0"/>
    <s v="Contenedor 20'"/>
    <m/>
    <s v="LTS"/>
    <m/>
    <m/>
    <s v="FEBRERO '19"/>
    <x v="0"/>
    <m/>
    <m/>
    <m/>
    <x v="271"/>
    <m/>
    <m/>
    <x v="269"/>
    <n v="6"/>
    <n v="2019"/>
    <x v="0"/>
    <x v="0"/>
    <s v="SHANGAI / CHINA"/>
    <x v="2"/>
    <m/>
    <x v="0"/>
    <x v="351"/>
    <d v="2019-04-17T00:00:00"/>
    <s v="ADRIAN SCHULTE"/>
    <x v="143"/>
    <x v="20"/>
    <m/>
    <m/>
    <m/>
    <m/>
    <m/>
    <m/>
    <x v="0"/>
    <d v="2019-06-12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A-S"/>
    <x v="0"/>
    <x v="0"/>
    <m/>
    <m/>
    <x v="481"/>
    <m/>
    <x v="338"/>
    <m/>
    <m/>
    <m/>
    <s v="CERRADO"/>
    <m/>
    <x v="62"/>
    <x v="40"/>
    <x v="8"/>
    <d v="2018-12-19T00:00:00"/>
    <n v="90"/>
    <s v="días BL"/>
    <s v="19LYAN01"/>
    <m/>
    <d v="2019-02-26T00:00:00"/>
    <s v="CANCELADO"/>
    <s v="CIF"/>
    <m/>
    <x v="240"/>
    <n v="15200"/>
    <m/>
    <x v="428"/>
    <x v="0"/>
    <s v="Contenedor 20'"/>
    <m/>
    <s v="LTS"/>
    <m/>
    <m/>
    <s v="FEBRERO '19"/>
    <x v="0"/>
    <m/>
    <m/>
    <m/>
    <x v="271"/>
    <m/>
    <m/>
    <x v="269"/>
    <n v="6"/>
    <n v="2019"/>
    <x v="0"/>
    <x v="0"/>
    <s v="SHANGAI / CHINA"/>
    <x v="2"/>
    <m/>
    <x v="0"/>
    <x v="351"/>
    <d v="2019-04-17T00:00:00"/>
    <s v="ADRIAN SCHULTE"/>
    <x v="143"/>
    <x v="20"/>
    <m/>
    <m/>
    <m/>
    <m/>
    <m/>
    <m/>
    <x v="0"/>
    <d v="2019-06-12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A-S"/>
    <x v="0"/>
    <x v="0"/>
    <m/>
    <m/>
    <x v="482"/>
    <m/>
    <x v="338"/>
    <m/>
    <m/>
    <m/>
    <s v="CERRADO"/>
    <m/>
    <x v="63"/>
    <x v="40"/>
    <x v="8"/>
    <d v="2018-12-19T00:00:00"/>
    <n v="90"/>
    <s v="días BL"/>
    <s v="19LYAN01"/>
    <m/>
    <d v="2019-02-26T00:00:00"/>
    <s v="CANCELADO"/>
    <s v="CIF"/>
    <m/>
    <x v="241"/>
    <n v="13820"/>
    <m/>
    <x v="429"/>
    <x v="0"/>
    <s v="Contenedor 20'"/>
    <m/>
    <s v="LTS"/>
    <m/>
    <m/>
    <s v="FEBRERO '19"/>
    <x v="0"/>
    <m/>
    <m/>
    <m/>
    <x v="271"/>
    <m/>
    <m/>
    <x v="269"/>
    <n v="6"/>
    <n v="2019"/>
    <x v="0"/>
    <x v="0"/>
    <s v="SHANGAI / CHINA"/>
    <x v="2"/>
    <m/>
    <x v="0"/>
    <x v="351"/>
    <d v="2019-04-17T00:00:00"/>
    <s v="ADRIAN SCHULTE"/>
    <x v="143"/>
    <x v="20"/>
    <m/>
    <m/>
    <m/>
    <m/>
    <m/>
    <m/>
    <x v="0"/>
    <d v="2019-06-12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A-S"/>
    <x v="0"/>
    <x v="0"/>
    <m/>
    <m/>
    <x v="483"/>
    <m/>
    <x v="338"/>
    <m/>
    <m/>
    <m/>
    <s v="CERRADO"/>
    <m/>
    <x v="64"/>
    <x v="40"/>
    <x v="8"/>
    <d v="2018-12-19T00:00:00"/>
    <n v="90"/>
    <s v="días BL"/>
    <s v="19LYAN01"/>
    <m/>
    <d v="2019-02-26T00:00:00"/>
    <s v="CANCELADO"/>
    <s v="CIF"/>
    <m/>
    <x v="239"/>
    <n v="16190.000000000002"/>
    <m/>
    <x v="430"/>
    <x v="0"/>
    <s v="Contenedor 20'"/>
    <m/>
    <s v="LTS"/>
    <m/>
    <m/>
    <s v="FEBRERO '19"/>
    <x v="0"/>
    <m/>
    <m/>
    <m/>
    <x v="271"/>
    <m/>
    <m/>
    <x v="269"/>
    <n v="6"/>
    <n v="2019"/>
    <x v="0"/>
    <x v="0"/>
    <s v="SHANGAI / CHINA"/>
    <x v="2"/>
    <m/>
    <x v="0"/>
    <x v="351"/>
    <d v="2019-04-17T00:00:00"/>
    <s v="ADRIAN SCHULTE"/>
    <x v="143"/>
    <x v="20"/>
    <m/>
    <m/>
    <m/>
    <m/>
    <m/>
    <m/>
    <x v="0"/>
    <d v="2019-06-12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A-S"/>
    <x v="0"/>
    <x v="0"/>
    <m/>
    <m/>
    <x v="484"/>
    <m/>
    <x v="338"/>
    <m/>
    <m/>
    <m/>
    <s v="CERRADO"/>
    <m/>
    <x v="65"/>
    <x v="40"/>
    <x v="8"/>
    <d v="2018-12-19T00:00:00"/>
    <n v="90"/>
    <s v="días BL"/>
    <s v="19LYAN01"/>
    <m/>
    <d v="2019-02-26T00:00:00"/>
    <s v="CANCELADO"/>
    <s v="CIF"/>
    <m/>
    <x v="242"/>
    <n v="13500"/>
    <m/>
    <x v="431"/>
    <x v="0"/>
    <s v="Contenedor 20'"/>
    <m/>
    <s v="LTS"/>
    <m/>
    <m/>
    <s v="FEBRERO '19"/>
    <x v="0"/>
    <m/>
    <m/>
    <m/>
    <x v="271"/>
    <m/>
    <m/>
    <x v="269"/>
    <n v="6"/>
    <n v="2019"/>
    <x v="0"/>
    <x v="0"/>
    <s v="SHANGAI / CHINA"/>
    <x v="2"/>
    <m/>
    <x v="0"/>
    <x v="351"/>
    <d v="2019-04-17T00:00:00"/>
    <s v="ADRIAN SCHULTE"/>
    <x v="143"/>
    <x v="20"/>
    <m/>
    <m/>
    <m/>
    <m/>
    <m/>
    <m/>
    <x v="0"/>
    <d v="2019-06-12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A-S"/>
    <x v="0"/>
    <x v="0"/>
    <m/>
    <m/>
    <x v="485"/>
    <m/>
    <x v="338"/>
    <m/>
    <m/>
    <m/>
    <s v="CERRADO"/>
    <m/>
    <x v="66"/>
    <x v="40"/>
    <x v="8"/>
    <d v="2018-12-19T00:00:00"/>
    <n v="90"/>
    <s v="días BL"/>
    <s v="19LYAN01"/>
    <m/>
    <d v="2019-02-26T00:00:00"/>
    <s v="CANCELADO"/>
    <s v="CIF"/>
    <m/>
    <x v="243"/>
    <n v="9960"/>
    <m/>
    <x v="432"/>
    <x v="0"/>
    <s v="Contenedor 20'"/>
    <m/>
    <s v="LTS"/>
    <m/>
    <m/>
    <s v="FEBRERO '19"/>
    <x v="0"/>
    <m/>
    <m/>
    <m/>
    <x v="271"/>
    <m/>
    <m/>
    <x v="269"/>
    <n v="6"/>
    <n v="2019"/>
    <x v="0"/>
    <x v="0"/>
    <s v="SHANGAI / CHINA"/>
    <x v="2"/>
    <m/>
    <x v="0"/>
    <x v="351"/>
    <d v="2019-04-17T00:00:00"/>
    <s v="ADRIAN SCHULTE"/>
    <x v="143"/>
    <x v="20"/>
    <m/>
    <m/>
    <m/>
    <m/>
    <m/>
    <m/>
    <x v="0"/>
    <d v="2019-06-12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A-S"/>
    <x v="0"/>
    <x v="0"/>
    <m/>
    <m/>
    <x v="486"/>
    <m/>
    <x v="338"/>
    <m/>
    <m/>
    <m/>
    <s v="CERRADO"/>
    <m/>
    <x v="67"/>
    <x v="40"/>
    <x v="8"/>
    <d v="2018-12-19T00:00:00"/>
    <n v="90"/>
    <s v="días BL"/>
    <s v="19LYAN01"/>
    <m/>
    <d v="2019-02-26T00:00:00"/>
    <s v="CANCELADO"/>
    <s v="CIF"/>
    <m/>
    <x v="243"/>
    <n v="11770"/>
    <m/>
    <x v="433"/>
    <x v="0"/>
    <s v="Contenedor 20'"/>
    <m/>
    <s v="LTS"/>
    <m/>
    <m/>
    <s v="FEBRERO '19"/>
    <x v="0"/>
    <m/>
    <m/>
    <m/>
    <x v="271"/>
    <m/>
    <m/>
    <x v="269"/>
    <n v="6"/>
    <n v="2019"/>
    <x v="0"/>
    <x v="0"/>
    <s v="SHANGAI / CHINA"/>
    <x v="2"/>
    <m/>
    <x v="0"/>
    <x v="351"/>
    <d v="2019-04-17T00:00:00"/>
    <s v="ADRIAN SCHULTE"/>
    <x v="143"/>
    <x v="20"/>
    <m/>
    <m/>
    <m/>
    <m/>
    <m/>
    <m/>
    <x v="0"/>
    <d v="2019-06-12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A-S"/>
    <x v="0"/>
    <x v="0"/>
    <m/>
    <m/>
    <x v="487"/>
    <m/>
    <x v="338"/>
    <m/>
    <m/>
    <m/>
    <s v="CERRADO"/>
    <m/>
    <x v="68"/>
    <x v="40"/>
    <x v="8"/>
    <d v="2018-12-19T00:00:00"/>
    <n v="90"/>
    <s v="días BL"/>
    <s v="19LYAN01"/>
    <m/>
    <d v="2019-02-26T00:00:00"/>
    <s v="CANCELADO"/>
    <s v="CIF"/>
    <m/>
    <x v="239"/>
    <n v="11250"/>
    <m/>
    <x v="434"/>
    <x v="0"/>
    <s v="Contenedor 20'"/>
    <m/>
    <s v="LTS"/>
    <m/>
    <m/>
    <s v="FEBRERO '19"/>
    <x v="0"/>
    <m/>
    <m/>
    <m/>
    <x v="271"/>
    <m/>
    <m/>
    <x v="269"/>
    <n v="6"/>
    <n v="2019"/>
    <x v="0"/>
    <x v="0"/>
    <s v="SHANGAI / CHINA"/>
    <x v="2"/>
    <m/>
    <x v="0"/>
    <x v="351"/>
    <d v="2019-04-17T00:00:00"/>
    <s v="ADRIAN SCHULTE"/>
    <x v="143"/>
    <x v="20"/>
    <m/>
    <m/>
    <m/>
    <m/>
    <m/>
    <m/>
    <x v="0"/>
    <d v="2019-06-12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A-S"/>
    <x v="0"/>
    <x v="0"/>
    <m/>
    <m/>
    <x v="488"/>
    <m/>
    <x v="338"/>
    <m/>
    <m/>
    <m/>
    <s v="CERRADO"/>
    <m/>
    <x v="69"/>
    <x v="40"/>
    <x v="8"/>
    <d v="2018-12-19T00:00:00"/>
    <n v="90"/>
    <s v="días BL"/>
    <s v="19LYAN01"/>
    <m/>
    <d v="2019-02-26T00:00:00"/>
    <s v="CANCELADO"/>
    <s v="CIF"/>
    <m/>
    <x v="244"/>
    <n v="39799.999999999993"/>
    <m/>
    <x v="435"/>
    <x v="0"/>
    <s v="Contenedor 20'"/>
    <m/>
    <s v="UND"/>
    <m/>
    <m/>
    <s v="FEBRERO '19"/>
    <x v="0"/>
    <m/>
    <m/>
    <m/>
    <x v="271"/>
    <m/>
    <m/>
    <x v="269"/>
    <n v="6"/>
    <n v="2019"/>
    <x v="0"/>
    <x v="0"/>
    <s v="SHANGAI / CHINA"/>
    <x v="2"/>
    <m/>
    <x v="0"/>
    <x v="351"/>
    <d v="2019-04-17T00:00:00"/>
    <s v="ADRIAN SCHULTE"/>
    <x v="143"/>
    <x v="20"/>
    <m/>
    <m/>
    <m/>
    <m/>
    <m/>
    <m/>
    <x v="0"/>
    <d v="2019-06-12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A-S"/>
    <x v="0"/>
    <x v="0"/>
    <m/>
    <m/>
    <x v="489"/>
    <m/>
    <x v="338"/>
    <m/>
    <m/>
    <m/>
    <s v="CERRADO"/>
    <m/>
    <x v="70"/>
    <x v="40"/>
    <x v="8"/>
    <d v="2018-12-19T00:00:00"/>
    <n v="90"/>
    <s v="días BL"/>
    <s v="19LYAN01"/>
    <m/>
    <d v="2019-02-26T00:00:00"/>
    <s v="CANCELADO"/>
    <s v="CIF"/>
    <m/>
    <x v="243"/>
    <n v="20300"/>
    <m/>
    <x v="436"/>
    <x v="0"/>
    <s v="Contenedor 20'"/>
    <m/>
    <s v="UND"/>
    <m/>
    <m/>
    <s v="FEBRERO '19"/>
    <x v="0"/>
    <m/>
    <m/>
    <m/>
    <x v="271"/>
    <m/>
    <m/>
    <x v="269"/>
    <n v="6"/>
    <n v="2019"/>
    <x v="0"/>
    <x v="0"/>
    <s v="SHANGAI / CHINA"/>
    <x v="2"/>
    <m/>
    <x v="0"/>
    <x v="351"/>
    <d v="2019-04-17T00:00:00"/>
    <s v="ADRIAN SCHULTE"/>
    <x v="143"/>
    <x v="20"/>
    <m/>
    <m/>
    <m/>
    <m/>
    <m/>
    <m/>
    <x v="0"/>
    <d v="2019-06-12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A-S"/>
    <x v="0"/>
    <x v="0"/>
    <m/>
    <m/>
    <x v="490"/>
    <m/>
    <x v="338"/>
    <m/>
    <m/>
    <m/>
    <s v="CERRADO"/>
    <m/>
    <x v="71"/>
    <x v="40"/>
    <x v="8"/>
    <d v="2018-12-19T00:00:00"/>
    <n v="90"/>
    <s v="días BL"/>
    <s v="19LYAN01"/>
    <m/>
    <d v="2019-02-26T00:00:00"/>
    <s v="CANCELADO"/>
    <s v="CIF"/>
    <m/>
    <x v="142"/>
    <n v="19900"/>
    <m/>
    <x v="437"/>
    <x v="0"/>
    <s v="Contenedor 20'"/>
    <m/>
    <s v="UND"/>
    <m/>
    <m/>
    <s v="FEBRERO '19"/>
    <x v="0"/>
    <m/>
    <m/>
    <m/>
    <x v="271"/>
    <m/>
    <m/>
    <x v="269"/>
    <n v="6"/>
    <n v="2019"/>
    <x v="0"/>
    <x v="0"/>
    <s v="SHANGAI / CHINA"/>
    <x v="2"/>
    <m/>
    <x v="0"/>
    <x v="351"/>
    <d v="2019-04-17T00:00:00"/>
    <s v="ADRIAN SCHULTE"/>
    <x v="143"/>
    <x v="20"/>
    <m/>
    <m/>
    <m/>
    <m/>
    <m/>
    <m/>
    <x v="0"/>
    <d v="2019-06-12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A-S"/>
    <x v="0"/>
    <x v="0"/>
    <m/>
    <m/>
    <x v="491"/>
    <m/>
    <x v="338"/>
    <m/>
    <m/>
    <m/>
    <s v="CERRADO"/>
    <m/>
    <x v="72"/>
    <x v="40"/>
    <x v="8"/>
    <d v="2018-12-19T00:00:00"/>
    <n v="90"/>
    <s v="días BL"/>
    <s v="19LYAN01"/>
    <m/>
    <d v="2019-02-26T00:00:00"/>
    <s v="CANCELADO"/>
    <s v="CIF"/>
    <m/>
    <x v="142"/>
    <n v="6250"/>
    <m/>
    <x v="438"/>
    <x v="0"/>
    <s v="Contenedor 20'"/>
    <m/>
    <s v="LTS"/>
    <m/>
    <m/>
    <s v="FEBRERO '19"/>
    <x v="0"/>
    <m/>
    <m/>
    <m/>
    <x v="271"/>
    <m/>
    <m/>
    <x v="269"/>
    <n v="6"/>
    <n v="2019"/>
    <x v="0"/>
    <x v="0"/>
    <s v="SHANGAI / CHINA"/>
    <x v="2"/>
    <m/>
    <x v="0"/>
    <x v="351"/>
    <d v="2019-04-17T00:00:00"/>
    <s v="ADRIAN SCHULTE"/>
    <x v="143"/>
    <x v="20"/>
    <m/>
    <m/>
    <m/>
    <m/>
    <m/>
    <m/>
    <x v="0"/>
    <d v="2019-06-12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A-S"/>
    <x v="0"/>
    <x v="0"/>
    <m/>
    <m/>
    <x v="492"/>
    <m/>
    <x v="338"/>
    <m/>
    <m/>
    <m/>
    <s v="CERRADO"/>
    <m/>
    <x v="73"/>
    <x v="40"/>
    <x v="8"/>
    <d v="2018-12-19T00:00:00"/>
    <n v="90"/>
    <s v="días BL"/>
    <s v="19LYAN01"/>
    <m/>
    <d v="2019-02-26T00:00:00"/>
    <s v="CANCELADO"/>
    <s v="CIF"/>
    <m/>
    <x v="166"/>
    <n v="18620"/>
    <m/>
    <x v="439"/>
    <x v="0"/>
    <s v="Contenedor 20'"/>
    <m/>
    <s v="LTS"/>
    <m/>
    <m/>
    <s v="FEBRERO '19"/>
    <x v="0"/>
    <m/>
    <m/>
    <m/>
    <x v="271"/>
    <m/>
    <m/>
    <x v="269"/>
    <n v="6"/>
    <n v="2019"/>
    <x v="0"/>
    <x v="0"/>
    <s v="SHANGAI / CHINA"/>
    <x v="2"/>
    <m/>
    <x v="0"/>
    <x v="351"/>
    <d v="2019-04-17T00:00:00"/>
    <s v="ADRIAN SCHULTE"/>
    <x v="143"/>
    <x v="20"/>
    <m/>
    <m/>
    <m/>
    <m/>
    <m/>
    <m/>
    <x v="0"/>
    <d v="2019-06-12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A-S"/>
    <x v="0"/>
    <x v="0"/>
    <m/>
    <m/>
    <x v="493"/>
    <m/>
    <x v="338"/>
    <m/>
    <m/>
    <m/>
    <s v="CERRADO"/>
    <m/>
    <x v="74"/>
    <x v="40"/>
    <x v="8"/>
    <d v="2018-12-19T00:00:00"/>
    <n v="90"/>
    <s v="días BL"/>
    <s v="19LYAN01"/>
    <m/>
    <d v="2019-02-26T00:00:00"/>
    <s v="CANCELADO"/>
    <s v="CIF"/>
    <m/>
    <x v="142"/>
    <n v="29100"/>
    <m/>
    <x v="440"/>
    <x v="0"/>
    <s v="Contenedor 20'"/>
    <m/>
    <s v="LTS"/>
    <m/>
    <m/>
    <s v="FEBRERO '19"/>
    <x v="0"/>
    <m/>
    <m/>
    <m/>
    <x v="271"/>
    <m/>
    <m/>
    <x v="269"/>
    <n v="6"/>
    <n v="2019"/>
    <x v="0"/>
    <x v="0"/>
    <s v="SHANGAI / CHINA"/>
    <x v="2"/>
    <m/>
    <x v="0"/>
    <x v="351"/>
    <d v="2019-04-17T00:00:00"/>
    <s v="ADRIAN SCHULTE"/>
    <x v="143"/>
    <x v="20"/>
    <m/>
    <m/>
    <m/>
    <m/>
    <m/>
    <m/>
    <x v="0"/>
    <d v="2019-06-12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A-S"/>
    <x v="0"/>
    <x v="0"/>
    <m/>
    <m/>
    <x v="494"/>
    <m/>
    <x v="338"/>
    <m/>
    <m/>
    <m/>
    <s v="CERRADO"/>
    <m/>
    <x v="75"/>
    <x v="40"/>
    <x v="8"/>
    <d v="2018-12-19T00:00:00"/>
    <n v="90"/>
    <s v="días BL"/>
    <s v="19LYAN01"/>
    <m/>
    <d v="2019-02-26T00:00:00"/>
    <s v="CANCELADO"/>
    <s v="CIF"/>
    <m/>
    <x v="244"/>
    <n v="32799.999999999993"/>
    <m/>
    <x v="441"/>
    <x v="0"/>
    <s v="Contenedor 20'"/>
    <m/>
    <s v="LTS"/>
    <m/>
    <m/>
    <s v="FEBRERO '19"/>
    <x v="0"/>
    <m/>
    <m/>
    <m/>
    <x v="271"/>
    <m/>
    <m/>
    <x v="269"/>
    <n v="6"/>
    <n v="2019"/>
    <x v="0"/>
    <x v="0"/>
    <s v="SHANGAI / CHINA"/>
    <x v="2"/>
    <m/>
    <x v="0"/>
    <x v="351"/>
    <d v="2019-04-17T00:00:00"/>
    <s v="ADRIAN SCHULTE"/>
    <x v="143"/>
    <x v="20"/>
    <m/>
    <m/>
    <m/>
    <m/>
    <m/>
    <m/>
    <x v="0"/>
    <d v="2019-06-12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A-S"/>
    <x v="0"/>
    <x v="0"/>
    <m/>
    <m/>
    <x v="495"/>
    <m/>
    <x v="338"/>
    <m/>
    <m/>
    <m/>
    <s v="CERRADO"/>
    <m/>
    <x v="76"/>
    <x v="40"/>
    <x v="8"/>
    <d v="2018-12-19T00:00:00"/>
    <n v="90"/>
    <s v="días BL"/>
    <s v="19LYAN01"/>
    <m/>
    <d v="2019-02-26T00:00:00"/>
    <s v="CANCELADO"/>
    <s v="CIF"/>
    <m/>
    <x v="244"/>
    <n v="19040"/>
    <m/>
    <x v="442"/>
    <x v="0"/>
    <s v="Contenedor 20'"/>
    <m/>
    <s v="UND"/>
    <m/>
    <m/>
    <s v="FEBRERO '19"/>
    <x v="0"/>
    <m/>
    <m/>
    <m/>
    <x v="271"/>
    <m/>
    <m/>
    <x v="269"/>
    <n v="6"/>
    <n v="2019"/>
    <x v="0"/>
    <x v="0"/>
    <s v="SHANGAI / CHINA"/>
    <x v="2"/>
    <m/>
    <x v="0"/>
    <x v="351"/>
    <d v="2019-04-17T00:00:00"/>
    <s v="ADRIAN SCHULTE"/>
    <x v="143"/>
    <x v="20"/>
    <m/>
    <m/>
    <m/>
    <m/>
    <m/>
    <m/>
    <x v="0"/>
    <d v="2019-06-12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A-S"/>
    <x v="0"/>
    <x v="0"/>
    <m/>
    <m/>
    <x v="496"/>
    <m/>
    <x v="338"/>
    <m/>
    <m/>
    <m/>
    <s v="CERRADO"/>
    <m/>
    <x v="77"/>
    <x v="40"/>
    <x v="8"/>
    <d v="2018-12-19T00:00:00"/>
    <n v="90"/>
    <s v="días BL"/>
    <s v="19LYAN01"/>
    <m/>
    <d v="2019-02-26T00:00:00"/>
    <s v="CANCELADO"/>
    <s v="CIF"/>
    <m/>
    <x v="245"/>
    <n v="14950"/>
    <m/>
    <x v="443"/>
    <x v="0"/>
    <s v="Contenedor 20'"/>
    <m/>
    <s v="LTS"/>
    <m/>
    <m/>
    <s v="FEBRERO '19"/>
    <x v="0"/>
    <m/>
    <m/>
    <m/>
    <x v="271"/>
    <m/>
    <m/>
    <x v="269"/>
    <n v="6"/>
    <n v="2019"/>
    <x v="0"/>
    <x v="0"/>
    <s v="SHANGAI / CHINA"/>
    <x v="2"/>
    <m/>
    <x v="0"/>
    <x v="351"/>
    <d v="2019-04-17T00:00:00"/>
    <s v="ADRIAN SCHULTE"/>
    <x v="143"/>
    <x v="20"/>
    <m/>
    <m/>
    <m/>
    <m/>
    <m/>
    <m/>
    <x v="0"/>
    <d v="2019-06-12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A-S"/>
    <x v="0"/>
    <x v="0"/>
    <m/>
    <m/>
    <x v="497"/>
    <m/>
    <x v="338"/>
    <m/>
    <m/>
    <m/>
    <s v="CERRADO"/>
    <m/>
    <x v="78"/>
    <x v="40"/>
    <x v="8"/>
    <d v="2018-12-19T00:00:00"/>
    <n v="90"/>
    <s v="días BL"/>
    <s v="19LYAN01"/>
    <m/>
    <d v="2019-02-26T00:00:00"/>
    <s v="CANCELADO"/>
    <s v="CIF"/>
    <m/>
    <x v="243"/>
    <n v="9700"/>
    <m/>
    <x v="444"/>
    <x v="0"/>
    <s v="Contenedor 20'"/>
    <m/>
    <s v="LTS"/>
    <m/>
    <m/>
    <s v="FEBRERO '19"/>
    <x v="0"/>
    <m/>
    <m/>
    <m/>
    <x v="271"/>
    <m/>
    <m/>
    <x v="269"/>
    <n v="6"/>
    <n v="2019"/>
    <x v="0"/>
    <x v="0"/>
    <s v="SHANGAI / CHINA"/>
    <x v="2"/>
    <m/>
    <x v="0"/>
    <x v="351"/>
    <d v="2019-04-17T00:00:00"/>
    <s v="ADRIAN SCHULTE"/>
    <x v="143"/>
    <x v="20"/>
    <m/>
    <m/>
    <m/>
    <m/>
    <m/>
    <m/>
    <x v="0"/>
    <d v="2019-06-12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A-S"/>
    <x v="0"/>
    <x v="0"/>
    <m/>
    <m/>
    <x v="498"/>
    <m/>
    <x v="338"/>
    <m/>
    <m/>
    <m/>
    <s v="CERRADO"/>
    <m/>
    <x v="79"/>
    <x v="40"/>
    <x v="8"/>
    <d v="2018-12-19T00:00:00"/>
    <n v="90"/>
    <s v="días BL"/>
    <s v="19LYAN01"/>
    <m/>
    <d v="2019-02-26T00:00:00"/>
    <s v="CANCELADO"/>
    <s v="CIF"/>
    <m/>
    <x v="243"/>
    <n v="10000"/>
    <m/>
    <x v="445"/>
    <x v="0"/>
    <s v="Contenedor 20'"/>
    <m/>
    <s v="LTS"/>
    <m/>
    <m/>
    <s v="FEBRERO '19"/>
    <x v="0"/>
    <m/>
    <m/>
    <m/>
    <x v="271"/>
    <m/>
    <m/>
    <x v="269"/>
    <n v="6"/>
    <n v="2019"/>
    <x v="0"/>
    <x v="0"/>
    <s v="SHANGAI / CHINA"/>
    <x v="2"/>
    <m/>
    <x v="0"/>
    <x v="351"/>
    <d v="2019-04-17T00:00:00"/>
    <s v="ADRIAN SCHULTE"/>
    <x v="143"/>
    <x v="20"/>
    <m/>
    <m/>
    <m/>
    <m/>
    <m/>
    <m/>
    <x v="0"/>
    <d v="2019-06-12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C"/>
    <x v="0"/>
    <x v="0"/>
    <m/>
    <m/>
    <x v="499"/>
    <m/>
    <x v="339"/>
    <m/>
    <m/>
    <m/>
    <s v="CERRADO"/>
    <n v="206573"/>
    <x v="5"/>
    <x v="41"/>
    <x v="8"/>
    <d v="2019-01-22T00:00:00"/>
    <n v="150"/>
    <s v="días BL"/>
    <s v="B7FE-19-0101-ANPE-01"/>
    <m/>
    <d v="2019-06-17T00:00:00"/>
    <s v="CANCELADO"/>
    <s v="CFR"/>
    <m/>
    <x v="246"/>
    <n v="241"/>
    <m/>
    <x v="446"/>
    <x v="0"/>
    <s v="Granel"/>
    <m/>
    <s v="Granel Sólido"/>
    <m/>
    <m/>
    <s v="ENERO '19"/>
    <x v="0"/>
    <m/>
    <m/>
    <m/>
    <x v="269"/>
    <m/>
    <m/>
    <x v="270"/>
    <n v="2"/>
    <n v="2019"/>
    <x v="0"/>
    <x v="0"/>
    <s v="RIGA / LETONIA"/>
    <x v="0"/>
    <m/>
    <x v="0"/>
    <x v="45"/>
    <d v="2019-01-17T00:00:00"/>
    <s v="MV GLARUS"/>
    <x v="14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C"/>
    <x v="0"/>
    <x v="0"/>
    <m/>
    <m/>
    <x v="500"/>
    <m/>
    <x v="340"/>
    <m/>
    <m/>
    <m/>
    <s v="CERRADO"/>
    <n v="206573"/>
    <x v="5"/>
    <x v="41"/>
    <x v="8"/>
    <d v="2019-01-22T00:00:00"/>
    <n v="150"/>
    <s v="días BL"/>
    <s v="B7FE-19-0101-ANPE-02"/>
    <m/>
    <d v="2019-06-17T00:00:00"/>
    <s v="CANCELADO"/>
    <s v="CFR"/>
    <m/>
    <x v="208"/>
    <n v="241"/>
    <m/>
    <x v="447"/>
    <x v="0"/>
    <s v="Granel"/>
    <m/>
    <s v="Granel Sólido"/>
    <m/>
    <m/>
    <s v="ENERO '19"/>
    <x v="0"/>
    <m/>
    <m/>
    <m/>
    <x v="272"/>
    <m/>
    <m/>
    <x v="242"/>
    <n v="3"/>
    <n v="2019"/>
    <x v="0"/>
    <x v="0"/>
    <s v="RIGA / LETONIA"/>
    <x v="3"/>
    <m/>
    <x v="0"/>
    <x v="1"/>
    <d v="2019-01-17T00:00:00"/>
    <s v="MV GLARUS"/>
    <x v="14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C"/>
    <x v="0"/>
    <x v="0"/>
    <m/>
    <m/>
    <x v="501"/>
    <m/>
    <x v="341"/>
    <m/>
    <m/>
    <m/>
    <s v="CERRADO"/>
    <n v="206573"/>
    <x v="5"/>
    <x v="41"/>
    <x v="8"/>
    <d v="2019-01-22T00:00:00"/>
    <n v="150"/>
    <s v="días BL"/>
    <s v="B7FE-19-0101-ANPE-03"/>
    <m/>
    <d v="2019-06-17T00:00:00"/>
    <s v="CANCELADO"/>
    <s v="CFR"/>
    <m/>
    <x v="247"/>
    <n v="241"/>
    <m/>
    <x v="448"/>
    <x v="0"/>
    <s v="Granel"/>
    <m/>
    <s v="Granel Sólido"/>
    <m/>
    <m/>
    <s v="ENERO '19"/>
    <x v="0"/>
    <m/>
    <m/>
    <m/>
    <x v="273"/>
    <m/>
    <m/>
    <x v="260"/>
    <n v="3"/>
    <n v="2019"/>
    <x v="0"/>
    <x v="0"/>
    <s v="RIGA / LETONIA"/>
    <x v="4"/>
    <m/>
    <x v="0"/>
    <x v="2"/>
    <d v="2019-01-17T00:00:00"/>
    <s v="MV GLARUS"/>
    <x v="14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502"/>
    <m/>
    <x v="342"/>
    <m/>
    <m/>
    <m/>
    <s v="CERRADO"/>
    <n v="207951"/>
    <x v="6"/>
    <x v="41"/>
    <x v="8"/>
    <d v="2019-01-22T00:00:00"/>
    <n v="150"/>
    <s v="días BL"/>
    <s v="B7FE-19-0102-URPE-01"/>
    <m/>
    <d v="2019-06-17T00:00:00"/>
    <s v="CANCELADO"/>
    <s v="CFR"/>
    <m/>
    <x v="138"/>
    <n v="313"/>
    <m/>
    <x v="449"/>
    <x v="0"/>
    <s v="Granel"/>
    <m/>
    <s v="Granel Sólido"/>
    <m/>
    <m/>
    <s v="ENERO '19"/>
    <x v="0"/>
    <m/>
    <m/>
    <m/>
    <x v="269"/>
    <m/>
    <m/>
    <x v="270"/>
    <n v="2"/>
    <n v="2019"/>
    <x v="0"/>
    <x v="0"/>
    <s v="RIGA / LETONIA"/>
    <x v="0"/>
    <m/>
    <x v="0"/>
    <x v="352"/>
    <d v="2019-01-17T00:00:00"/>
    <s v="MV GLARUS"/>
    <x v="14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503"/>
    <m/>
    <x v="343"/>
    <m/>
    <m/>
    <m/>
    <s v="CERRADO"/>
    <n v="207951"/>
    <x v="6"/>
    <x v="41"/>
    <x v="8"/>
    <d v="2019-01-22T00:00:00"/>
    <n v="150"/>
    <s v="días BL"/>
    <s v="B7FE-19-0102-URPE-02"/>
    <m/>
    <d v="2019-06-17T00:00:00"/>
    <s v="CANCELADO"/>
    <s v="CFR"/>
    <m/>
    <x v="212"/>
    <n v="313"/>
    <m/>
    <x v="450"/>
    <x v="0"/>
    <s v="Granel"/>
    <m/>
    <s v="Granel Sólido"/>
    <m/>
    <m/>
    <s v="ENERO '19"/>
    <x v="0"/>
    <m/>
    <m/>
    <m/>
    <x v="274"/>
    <m/>
    <m/>
    <x v="243"/>
    <n v="2"/>
    <n v="2019"/>
    <x v="0"/>
    <x v="0"/>
    <s v="RIGA / LETONIA"/>
    <x v="1"/>
    <m/>
    <x v="0"/>
    <x v="353"/>
    <d v="2019-01-17T00:00:00"/>
    <s v="MV GLARUS"/>
    <x v="14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504"/>
    <m/>
    <x v="344"/>
    <m/>
    <m/>
    <m/>
    <s v="CERRADO"/>
    <n v="207951"/>
    <x v="6"/>
    <x v="41"/>
    <x v="8"/>
    <d v="2019-01-22T00:00:00"/>
    <n v="150"/>
    <s v="días BL"/>
    <s v="B7FE-19-0102-URPE-03"/>
    <m/>
    <d v="2019-06-17T00:00:00"/>
    <s v="CANCELADO"/>
    <s v="CFR"/>
    <m/>
    <x v="17"/>
    <n v="313"/>
    <m/>
    <x v="451"/>
    <x v="0"/>
    <s v="Granel"/>
    <m/>
    <s v="Granel Sólido"/>
    <m/>
    <m/>
    <s v="ENERO '19"/>
    <x v="0"/>
    <m/>
    <m/>
    <m/>
    <x v="275"/>
    <m/>
    <m/>
    <x v="266"/>
    <n v="2"/>
    <n v="2019"/>
    <x v="0"/>
    <x v="0"/>
    <s v="RIGA / LETONIA"/>
    <x v="2"/>
    <m/>
    <x v="0"/>
    <x v="354"/>
    <d v="2019-01-17T00:00:00"/>
    <s v="MV GLARUS"/>
    <x v="14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505"/>
    <m/>
    <x v="345"/>
    <m/>
    <m/>
    <m/>
    <s v="CERRADO"/>
    <n v="207951"/>
    <x v="6"/>
    <x v="41"/>
    <x v="8"/>
    <d v="2019-01-22T00:00:00"/>
    <n v="150"/>
    <s v="días BL"/>
    <s v="B7FE-19-0102-URPE-04"/>
    <m/>
    <d v="2019-06-17T00:00:00"/>
    <s v="CANCELADO"/>
    <s v="CFR"/>
    <m/>
    <x v="70"/>
    <n v="313"/>
    <m/>
    <x v="452"/>
    <x v="0"/>
    <s v="Granel"/>
    <m/>
    <s v="Granel Sólido"/>
    <m/>
    <m/>
    <s v="ENERO '19"/>
    <x v="0"/>
    <m/>
    <m/>
    <m/>
    <x v="272"/>
    <m/>
    <m/>
    <x v="242"/>
    <n v="3"/>
    <n v="2019"/>
    <x v="0"/>
    <x v="0"/>
    <s v="RIGA / LETONIA"/>
    <x v="3"/>
    <m/>
    <x v="0"/>
    <x v="355"/>
    <d v="2019-01-17T00:00:00"/>
    <s v="MV GLARUS"/>
    <x v="14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506"/>
    <m/>
    <x v="346"/>
    <m/>
    <m/>
    <m/>
    <s v="CERRADO"/>
    <n v="207951"/>
    <x v="6"/>
    <x v="41"/>
    <x v="8"/>
    <d v="2019-01-22T00:00:00"/>
    <n v="150"/>
    <s v="días BL"/>
    <s v="B7FE-19-0102-URPE-05"/>
    <m/>
    <d v="2019-06-17T00:00:00"/>
    <s v="CANCELADO"/>
    <s v="CFR"/>
    <m/>
    <x v="35"/>
    <n v="313"/>
    <m/>
    <x v="453"/>
    <x v="0"/>
    <s v="Granel"/>
    <m/>
    <s v="Granel Sólido"/>
    <m/>
    <m/>
    <s v="ENERO '19"/>
    <x v="0"/>
    <m/>
    <m/>
    <m/>
    <x v="273"/>
    <m/>
    <m/>
    <x v="260"/>
    <n v="3"/>
    <n v="2019"/>
    <x v="0"/>
    <x v="0"/>
    <s v="RIGA / LETONIA"/>
    <x v="4"/>
    <m/>
    <x v="0"/>
    <x v="356"/>
    <d v="2019-01-17T00:00:00"/>
    <s v="MV GLARUS"/>
    <x v="14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E-S"/>
    <x v="0"/>
    <x v="0"/>
    <m/>
    <m/>
    <x v="507"/>
    <m/>
    <x v="347"/>
    <m/>
    <m/>
    <m/>
    <s v="CERRADO"/>
    <n v="208053"/>
    <x v="53"/>
    <x v="36"/>
    <x v="219"/>
    <d v="2019-01-22T00:00:00"/>
    <n v="120"/>
    <s v="días FACT."/>
    <s v="5913"/>
    <m/>
    <d v="2019-06-22T00:00:00"/>
    <s v="CANCELADO"/>
    <s v="CIF"/>
    <m/>
    <x v="8"/>
    <n v="340"/>
    <m/>
    <x v="454"/>
    <x v="7"/>
    <s v="Granel - BB"/>
    <m/>
    <s v="Bigbag"/>
    <m/>
    <m/>
    <s v="FEBRERO '19"/>
    <x v="0"/>
    <m/>
    <m/>
    <m/>
    <x v="276"/>
    <m/>
    <m/>
    <x v="271"/>
    <n v="4"/>
    <n v="2019"/>
    <x v="0"/>
    <x v="0"/>
    <s v="BAYUQUAN / CHINA"/>
    <x v="2"/>
    <m/>
    <x v="0"/>
    <x v="357"/>
    <d v="2019-02-22T00:00:00"/>
    <s v="TENCA ARROW"/>
    <x v="145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508"/>
    <m/>
    <x v="348"/>
    <m/>
    <m/>
    <m/>
    <s v="CERRADO"/>
    <n v="209677"/>
    <x v="80"/>
    <x v="3"/>
    <x v="220"/>
    <d v="2019-01-25T00:00:00"/>
    <n v="90"/>
    <s v="días BL"/>
    <s v="20190223"/>
    <m/>
    <d v="2019-05-23T00:00:00"/>
    <s v="CANCELADO"/>
    <s v="CPT"/>
    <m/>
    <x v="248"/>
    <n v="718"/>
    <m/>
    <x v="455"/>
    <x v="5"/>
    <s v="Contenedor 20'"/>
    <m/>
    <s v="25 kg"/>
    <m/>
    <m/>
    <s v="FEBRERO '19"/>
    <x v="0"/>
    <m/>
    <m/>
    <m/>
    <x v="244"/>
    <m/>
    <m/>
    <x v="272"/>
    <n v="4"/>
    <n v="2019"/>
    <x v="0"/>
    <x v="0"/>
    <s v="CHONGQING / CHINA"/>
    <x v="2"/>
    <m/>
    <x v="0"/>
    <x v="358"/>
    <d v="2019-02-22T00:00:00"/>
    <s v="XIN CHANG FENG"/>
    <x v="146"/>
    <x v="21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P"/>
    <x v="0"/>
    <x v="0"/>
    <m/>
    <m/>
    <x v="509"/>
    <m/>
    <x v="349"/>
    <m/>
    <m/>
    <m/>
    <s v="CERRADO"/>
    <n v="206766"/>
    <x v="10"/>
    <x v="37"/>
    <x v="221"/>
    <d v="2019-01-24T00:00:00"/>
    <s v="CAD"/>
    <m/>
    <s v="25201"/>
    <m/>
    <d v="2019-02-27T00:00:00"/>
    <s v="CANCELADO"/>
    <s v="CFR"/>
    <m/>
    <x v="140"/>
    <n v="868"/>
    <m/>
    <x v="456"/>
    <x v="22"/>
    <s v="Contenedor 20'"/>
    <m/>
    <s v="Bidones 50kg"/>
    <m/>
    <m/>
    <s v="ENERO '19"/>
    <x v="0"/>
    <m/>
    <m/>
    <m/>
    <x v="258"/>
    <m/>
    <m/>
    <x v="255"/>
    <n v="3"/>
    <n v="2019"/>
    <x v="0"/>
    <x v="0"/>
    <s v="VERACRUZ / MEXICO"/>
    <x v="0"/>
    <m/>
    <x v="0"/>
    <x v="359"/>
    <d v="2019-02-22T00:00:00"/>
    <s v="MSC CADIZ"/>
    <x v="45"/>
    <x v="6"/>
    <m/>
    <m/>
    <m/>
    <m/>
    <m/>
    <m/>
    <x v="0"/>
    <d v="2019-04-15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P"/>
    <x v="0"/>
    <x v="0"/>
    <m/>
    <m/>
    <x v="510"/>
    <m/>
    <x v="350"/>
    <m/>
    <m/>
    <m/>
    <s v="CERRADO"/>
    <n v="206766"/>
    <x v="10"/>
    <x v="37"/>
    <x v="222"/>
    <d v="2019-01-24T00:00:00"/>
    <s v="CAD"/>
    <m/>
    <s v="25333"/>
    <m/>
    <d v="2019-03-19T00:00:00"/>
    <s v="CANCELADO"/>
    <s v="CFR"/>
    <m/>
    <x v="249"/>
    <n v="858"/>
    <m/>
    <x v="457"/>
    <x v="9"/>
    <s v="Contenedor 20'"/>
    <m/>
    <s v="Bidones 50kg"/>
    <m/>
    <m/>
    <s v="MARZO '19"/>
    <x v="0"/>
    <m/>
    <m/>
    <m/>
    <x v="277"/>
    <m/>
    <m/>
    <x v="273"/>
    <n v="4"/>
    <n v="2019"/>
    <x v="0"/>
    <x v="0"/>
    <s v="VERACRUZ / MEXICO"/>
    <x v="2"/>
    <m/>
    <x v="0"/>
    <x v="360"/>
    <d v="2019-03-09T00:00:00"/>
    <s v="MONTE VERDE"/>
    <x v="147"/>
    <x v="6"/>
    <m/>
    <m/>
    <m/>
    <m/>
    <m/>
    <m/>
    <x v="0"/>
    <d v="2019-05-07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P"/>
    <x v="0"/>
    <x v="0"/>
    <m/>
    <m/>
    <x v="511"/>
    <m/>
    <x v="351"/>
    <m/>
    <m/>
    <m/>
    <s v="CERRADO"/>
    <n v="206766"/>
    <x v="10"/>
    <x v="37"/>
    <x v="223"/>
    <d v="2019-01-25T00:00:00"/>
    <s v="CAD"/>
    <m/>
    <s v="25390"/>
    <m/>
    <d v="2019-03-19T00:00:00"/>
    <s v="CANCELADO"/>
    <s v="CFR"/>
    <m/>
    <x v="73"/>
    <n v="868"/>
    <m/>
    <x v="458"/>
    <x v="33"/>
    <s v="Contenedor 20'"/>
    <m/>
    <s v="Bidones 50kg"/>
    <m/>
    <m/>
    <s v="MARZO '19"/>
    <x v="0"/>
    <m/>
    <m/>
    <m/>
    <x v="278"/>
    <m/>
    <m/>
    <x v="274"/>
    <n v="4"/>
    <n v="2019"/>
    <x v="0"/>
    <x v="0"/>
    <s v="VERACRUZ / MEXICO"/>
    <x v="0"/>
    <m/>
    <x v="0"/>
    <x v="361"/>
    <d v="2019-03-15T00:00:00"/>
    <s v="MSC MICHAELA"/>
    <x v="42"/>
    <x v="6"/>
    <m/>
    <m/>
    <m/>
    <m/>
    <m/>
    <m/>
    <x v="0"/>
    <d v="2019-04-28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512"/>
    <m/>
    <x v="352"/>
    <m/>
    <m/>
    <m/>
    <s v="CERRADO"/>
    <n v="208300"/>
    <x v="47"/>
    <x v="37"/>
    <x v="224"/>
    <d v="2019-01-23T00:00:00"/>
    <s v="CAD"/>
    <m/>
    <s v="I-25277"/>
    <m/>
    <d v="2019-03-14T00:00:00"/>
    <s v="CANCELADO"/>
    <s v="CFR"/>
    <m/>
    <x v="153"/>
    <n v="190"/>
    <m/>
    <x v="459"/>
    <x v="17"/>
    <s v="Granel - BB"/>
    <m/>
    <s v="Bigbag"/>
    <m/>
    <m/>
    <s v="1-3 FEB"/>
    <x v="0"/>
    <m/>
    <m/>
    <m/>
    <x v="279"/>
    <m/>
    <m/>
    <x v="271"/>
    <n v="4"/>
    <n v="2019"/>
    <x v="0"/>
    <x v="0"/>
    <s v="ZHENJIANG/CHINA"/>
    <x v="0"/>
    <m/>
    <x v="0"/>
    <x v="362"/>
    <d v="2019-02-25T00:00:00"/>
    <s v="MV TN DAWN"/>
    <x v="148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513"/>
    <m/>
    <x v="353"/>
    <m/>
    <m/>
    <m/>
    <s v="CERRADO"/>
    <n v="208300"/>
    <x v="47"/>
    <x v="37"/>
    <x v="224"/>
    <d v="2019-01-23T00:00:00"/>
    <s v="CAD"/>
    <m/>
    <s v="I-25278"/>
    <m/>
    <d v="2019-03-15T00:00:00"/>
    <s v="CANCELADO"/>
    <s v="CFR"/>
    <m/>
    <x v="250"/>
    <n v="190"/>
    <m/>
    <x v="460"/>
    <x v="17"/>
    <s v="Granel - BB"/>
    <m/>
    <s v="Bigbag"/>
    <m/>
    <m/>
    <s v="1-3 FEB"/>
    <x v="0"/>
    <m/>
    <m/>
    <m/>
    <x v="280"/>
    <m/>
    <m/>
    <x v="275"/>
    <n v="4"/>
    <n v="2019"/>
    <x v="0"/>
    <x v="0"/>
    <s v="ZHENJIANG/CHINA"/>
    <x v="1"/>
    <m/>
    <x v="0"/>
    <x v="363"/>
    <d v="2019-02-25T00:00:00"/>
    <s v="MV TN DAWN"/>
    <x v="148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514"/>
    <m/>
    <x v="354"/>
    <m/>
    <m/>
    <m/>
    <s v="CERRADO"/>
    <n v="206966"/>
    <x v="16"/>
    <x v="37"/>
    <x v="225"/>
    <d v="2019-01-23T00:00:00"/>
    <s v="CAD"/>
    <m/>
    <s v="I-25267"/>
    <m/>
    <d v="2019-03-14T00:00:00"/>
    <s v="CANCELADO"/>
    <s v="CFR"/>
    <m/>
    <x v="73"/>
    <n v="615"/>
    <m/>
    <x v="461"/>
    <x v="17"/>
    <s v="Granel - BB"/>
    <m/>
    <s v="25 kg"/>
    <m/>
    <m/>
    <s v="1-3 FEB"/>
    <x v="0"/>
    <m/>
    <m/>
    <m/>
    <x v="279"/>
    <m/>
    <m/>
    <x v="271"/>
    <n v="4"/>
    <n v="2019"/>
    <x v="0"/>
    <x v="0"/>
    <s v="ZHENJIANG/CHINA"/>
    <x v="0"/>
    <m/>
    <x v="0"/>
    <x v="364"/>
    <d v="2019-02-25T00:00:00"/>
    <s v="MV TN DAWN"/>
    <x v="148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515"/>
    <m/>
    <x v="355"/>
    <m/>
    <m/>
    <m/>
    <s v="CERRADO"/>
    <n v="206966"/>
    <x v="16"/>
    <x v="37"/>
    <x v="225"/>
    <d v="2019-01-23T00:00:00"/>
    <s v="CAD"/>
    <m/>
    <s v="I-25268"/>
    <m/>
    <d v="2019-03-15T00:00:00"/>
    <s v="CANCELADO"/>
    <s v="CFR"/>
    <m/>
    <x v="35"/>
    <n v="615"/>
    <m/>
    <x v="462"/>
    <x v="17"/>
    <s v="Granel - BB"/>
    <m/>
    <s v="25 kg"/>
    <m/>
    <m/>
    <s v="1-3 FEB"/>
    <x v="0"/>
    <m/>
    <m/>
    <m/>
    <x v="280"/>
    <m/>
    <m/>
    <x v="275"/>
    <n v="4"/>
    <n v="2019"/>
    <x v="0"/>
    <x v="0"/>
    <s v="ZHENJIANG/CHINA"/>
    <x v="1"/>
    <m/>
    <x v="0"/>
    <x v="365"/>
    <d v="2019-02-25T00:00:00"/>
    <s v="MV TN DAWN"/>
    <x v="148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516"/>
    <m/>
    <x v="356"/>
    <m/>
    <m/>
    <m/>
    <s v="CERRADO"/>
    <n v="206914"/>
    <x v="12"/>
    <x v="33"/>
    <x v="226"/>
    <d v="2019-01-25T00:00:00"/>
    <n v="90"/>
    <s v="días BL"/>
    <s v="4755"/>
    <m/>
    <d v="2019-05-30T00:00:00"/>
    <s v="CANCELADO"/>
    <s v="CFR"/>
    <m/>
    <x v="251"/>
    <n v="125"/>
    <m/>
    <x v="463"/>
    <x v="7"/>
    <s v="Contenedor 40'"/>
    <m/>
    <s v="25 kg"/>
    <m/>
    <m/>
    <s v="2H FEBRERO 19'"/>
    <x v="0"/>
    <m/>
    <m/>
    <m/>
    <x v="281"/>
    <m/>
    <m/>
    <x v="276"/>
    <n v="4"/>
    <n v="2019"/>
    <x v="0"/>
    <x v="0"/>
    <s v="QINGDAO / CHINA"/>
    <x v="0"/>
    <m/>
    <x v="0"/>
    <x v="366"/>
    <d v="2019-03-01T00:00:00"/>
    <s v="NYK LYNX"/>
    <x v="149"/>
    <x v="16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517"/>
    <m/>
    <x v="357"/>
    <m/>
    <m/>
    <m/>
    <s v="CERRADO"/>
    <n v="206914"/>
    <x v="12"/>
    <x v="33"/>
    <x v="226"/>
    <d v="2019-01-25T00:00:00"/>
    <n v="90"/>
    <s v="días BL"/>
    <s v="4755"/>
    <m/>
    <d v="2019-05-30T00:00:00"/>
    <s v="CANCELADO"/>
    <s v="CFR"/>
    <m/>
    <x v="252"/>
    <n v="125"/>
    <m/>
    <x v="464"/>
    <x v="8"/>
    <s v="Contenedor 40'"/>
    <m/>
    <s v="25 kg"/>
    <m/>
    <m/>
    <s v="2H FEBRERO 19'"/>
    <x v="0"/>
    <m/>
    <m/>
    <m/>
    <x v="282"/>
    <m/>
    <m/>
    <x v="277"/>
    <n v="5"/>
    <n v="2019"/>
    <x v="0"/>
    <x v="0"/>
    <s v="QINGDAO / CHINA"/>
    <x v="0"/>
    <m/>
    <x v="0"/>
    <x v="366"/>
    <d v="2019-03-01T00:00:00"/>
    <s v="NYK LYNX"/>
    <x v="69"/>
    <x v="16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518"/>
    <m/>
    <x v="358"/>
    <m/>
    <m/>
    <m/>
    <s v="CERRADO"/>
    <n v="206914"/>
    <x v="12"/>
    <x v="33"/>
    <x v="226"/>
    <d v="2019-01-25T00:00:00"/>
    <n v="90"/>
    <s v="días BL"/>
    <s v="4769"/>
    <m/>
    <d v="2019-06-14T00:00:00"/>
    <s v="CANCELADO"/>
    <s v="CFR"/>
    <m/>
    <x v="253"/>
    <n v="125"/>
    <m/>
    <x v="465"/>
    <x v="19"/>
    <s v="Contenedor 40'"/>
    <m/>
    <s v="25 kg"/>
    <m/>
    <m/>
    <s v="1HMARZO 19'"/>
    <x v="0"/>
    <m/>
    <m/>
    <m/>
    <x v="283"/>
    <m/>
    <m/>
    <x v="276"/>
    <n v="4"/>
    <n v="2019"/>
    <x v="0"/>
    <x v="0"/>
    <s v="QINGDAO / CHINA"/>
    <x v="0"/>
    <m/>
    <x v="0"/>
    <x v="367"/>
    <d v="2019-03-16T00:00:00"/>
    <s v="SAN FRANCISCO BRIDGE"/>
    <x v="45"/>
    <x v="2"/>
    <m/>
    <m/>
    <m/>
    <m/>
    <m/>
    <m/>
    <x v="0"/>
    <d v="2019-05-06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519"/>
    <m/>
    <x v="359"/>
    <m/>
    <m/>
    <m/>
    <s v="CERRADO"/>
    <n v="206914"/>
    <x v="12"/>
    <x v="33"/>
    <x v="227"/>
    <d v="2019-01-25T00:00:00"/>
    <n v="90"/>
    <s v="días BL"/>
    <s v="4777"/>
    <m/>
    <d v="2019-06-05T00:00:00"/>
    <s v="CANCELADO"/>
    <s v="CFR"/>
    <m/>
    <x v="1"/>
    <n v="125"/>
    <m/>
    <x v="138"/>
    <x v="7"/>
    <s v="Granel - BB"/>
    <m/>
    <s v="25 kg"/>
    <m/>
    <m/>
    <s v="2H FEBRERO 19'"/>
    <x v="0"/>
    <m/>
    <m/>
    <m/>
    <x v="265"/>
    <m/>
    <m/>
    <x v="276"/>
    <n v="4"/>
    <n v="2019"/>
    <x v="0"/>
    <x v="0"/>
    <s v="TIAJIN / CHINA"/>
    <x v="2"/>
    <m/>
    <x v="0"/>
    <x v="368"/>
    <d v="2019-03-07T00:00:00"/>
    <s v="CYPRESS ARROW"/>
    <x v="150"/>
    <x v="0"/>
    <m/>
    <m/>
    <m/>
    <m/>
    <m/>
    <m/>
    <x v="0"/>
    <s v="-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s v="URGENTE"/>
    <m/>
    <x v="520"/>
    <m/>
    <x v="360"/>
    <m/>
    <m/>
    <m/>
    <s v="CERRADO"/>
    <n v="207579"/>
    <x v="9"/>
    <x v="11"/>
    <x v="228"/>
    <d v="2019-02-11T00:00:00"/>
    <n v="90"/>
    <s v="días BL"/>
    <s v="ROM19020210"/>
    <m/>
    <d v="2019-06-28T00:00:00"/>
    <s v="CANCELADO"/>
    <s v="CFR"/>
    <m/>
    <x v="0"/>
    <n v="268"/>
    <m/>
    <x v="466"/>
    <x v="14"/>
    <s v="Contenedor 20'"/>
    <m/>
    <s v="25 kg"/>
    <m/>
    <m/>
    <s v="MARZO '19"/>
    <x v="0"/>
    <m/>
    <m/>
    <m/>
    <x v="282"/>
    <m/>
    <m/>
    <x v="278"/>
    <n v="5"/>
    <n v="2019"/>
    <x v="0"/>
    <x v="0"/>
    <s v="XINGANG / CHINA"/>
    <x v="2"/>
    <m/>
    <x v="0"/>
    <x v="369"/>
    <d v="2019-03-31T00:00:00"/>
    <s v="BARZAN"/>
    <x v="141"/>
    <x v="2"/>
    <m/>
    <m/>
    <m/>
    <m/>
    <m/>
    <m/>
    <x v="0"/>
    <d v="2019-05-14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s v="URGENTE"/>
    <m/>
    <x v="521"/>
    <m/>
    <x v="361"/>
    <m/>
    <m/>
    <m/>
    <s v="CERRADO"/>
    <n v="207579"/>
    <x v="9"/>
    <x v="11"/>
    <x v="229"/>
    <d v="2019-02-11T00:00:00"/>
    <n v="90"/>
    <s v="días BL"/>
    <s v="ROM19020211"/>
    <m/>
    <d v="2019-06-28T00:00:00"/>
    <s v="CANCELADO"/>
    <s v="CFR"/>
    <m/>
    <x v="93"/>
    <n v="278"/>
    <m/>
    <x v="467"/>
    <x v="7"/>
    <s v="Contenedor 20'"/>
    <m/>
    <s v="25 kg"/>
    <m/>
    <m/>
    <s v="MARZO '19"/>
    <x v="0"/>
    <m/>
    <m/>
    <m/>
    <x v="284"/>
    <m/>
    <m/>
    <x v="279"/>
    <n v="5"/>
    <n v="2019"/>
    <x v="0"/>
    <x v="0"/>
    <s v="XINGANG / CHINA"/>
    <x v="0"/>
    <m/>
    <x v="0"/>
    <x v="370"/>
    <d v="2019-03-31T00:00:00"/>
    <s v="EASLINE DALIAN"/>
    <x v="45"/>
    <x v="2"/>
    <m/>
    <m/>
    <m/>
    <m/>
    <m/>
    <m/>
    <x v="0"/>
    <d v="2019-05-27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522"/>
    <m/>
    <x v="362"/>
    <m/>
    <m/>
    <m/>
    <s v="CERRADO"/>
    <n v="206914"/>
    <x v="12"/>
    <x v="27"/>
    <x v="230"/>
    <d v="2019-01-28T00:00:00"/>
    <n v="150"/>
    <s v="días BL"/>
    <s v="B7FE-19-0202-MSPE-01"/>
    <m/>
    <d v="2019-08-12T00:00:00"/>
    <s v="CANCELADO"/>
    <s v="CFR"/>
    <m/>
    <x v="250"/>
    <n v="125"/>
    <m/>
    <x v="468"/>
    <x v="20"/>
    <s v="Contenedor 40'"/>
    <m/>
    <s v="25 kg"/>
    <m/>
    <m/>
    <s v="2H FEB - MARCH"/>
    <x v="0"/>
    <m/>
    <m/>
    <m/>
    <x v="285"/>
    <m/>
    <m/>
    <x v="280"/>
    <n v="4"/>
    <n v="2019"/>
    <x v="0"/>
    <x v="0"/>
    <s v="XINGANG / CHINA"/>
    <x v="2"/>
    <m/>
    <x v="0"/>
    <x v="371"/>
    <d v="2019-03-13T00:00:00"/>
    <s v="CAPE MAHON"/>
    <x v="151"/>
    <x v="8"/>
    <m/>
    <m/>
    <m/>
    <m/>
    <m/>
    <m/>
    <x v="0"/>
    <d v="2019-05-19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523"/>
    <m/>
    <x v="363"/>
    <m/>
    <m/>
    <m/>
    <s v="CERRADO"/>
    <n v="206914"/>
    <x v="12"/>
    <x v="27"/>
    <x v="230"/>
    <d v="2019-01-28T00:00:00"/>
    <n v="150"/>
    <s v="días BL"/>
    <s v="B7FE-19-0202-MSPE-02"/>
    <m/>
    <d v="2019-08-12T00:00:00"/>
    <s v="CANCELADO"/>
    <s v="CFR"/>
    <m/>
    <x v="254"/>
    <n v="125"/>
    <m/>
    <x v="469"/>
    <x v="31"/>
    <s v="Contenedor 20'"/>
    <m/>
    <s v="25 kg"/>
    <m/>
    <m/>
    <s v="2H FEB - MARCH"/>
    <x v="0"/>
    <m/>
    <m/>
    <m/>
    <x v="286"/>
    <m/>
    <m/>
    <x v="262"/>
    <n v="5"/>
    <n v="2019"/>
    <x v="0"/>
    <x v="0"/>
    <s v="QINGDAO / CHINA"/>
    <x v="2"/>
    <m/>
    <x v="0"/>
    <x v="372"/>
    <d v="2019-03-14T00:00:00"/>
    <s v="SOFIE MAERSK"/>
    <x v="152"/>
    <x v="6"/>
    <m/>
    <m/>
    <m/>
    <m/>
    <m/>
    <m/>
    <x v="0"/>
    <d v="2019-05-17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524"/>
    <m/>
    <x v="364"/>
    <m/>
    <m/>
    <m/>
    <s v="CERRADO"/>
    <n v="203616"/>
    <x v="34"/>
    <x v="37"/>
    <x v="231"/>
    <d v="2019-01-23T00:00:00"/>
    <s v="CAD"/>
    <m/>
    <s v="I-25269"/>
    <m/>
    <d v="2019-03-15T00:00:00"/>
    <s v="CANCELADO"/>
    <s v="CFR"/>
    <m/>
    <x v="204"/>
    <n v="142"/>
    <m/>
    <x v="470"/>
    <x v="17"/>
    <s v="Granel"/>
    <m/>
    <s v="Granel Sólido"/>
    <m/>
    <m/>
    <s v="1-3 FEB"/>
    <x v="0"/>
    <m/>
    <m/>
    <m/>
    <x v="280"/>
    <m/>
    <m/>
    <x v="275"/>
    <n v="4"/>
    <n v="2019"/>
    <x v="0"/>
    <x v="0"/>
    <s v="ZHENJIANG/CHINA"/>
    <x v="1"/>
    <m/>
    <x v="0"/>
    <x v="373"/>
    <d v="2019-02-25T00:00:00"/>
    <s v="MV TN DAWN"/>
    <x v="148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525"/>
    <m/>
    <x v="365"/>
    <m/>
    <m/>
    <m/>
    <s v="CERRADO"/>
    <n v="207578"/>
    <x v="51"/>
    <x v="14"/>
    <x v="232"/>
    <d v="2019-01-01T00:00:00"/>
    <n v="60"/>
    <s v="días BL"/>
    <s v="19030022"/>
    <m/>
    <d v="2019-05-13T00:00:00"/>
    <s v="CANCELADO"/>
    <s v="CFR"/>
    <m/>
    <x v="139"/>
    <n v="257"/>
    <m/>
    <x v="471"/>
    <x v="21"/>
    <s v="Contenedor 40'"/>
    <m/>
    <s v="25 kg"/>
    <m/>
    <m/>
    <s v="FEBRERO '19"/>
    <x v="0"/>
    <m/>
    <m/>
    <m/>
    <x v="265"/>
    <m/>
    <m/>
    <x v="261"/>
    <n v="4"/>
    <n v="2019"/>
    <x v="0"/>
    <x v="0"/>
    <s v="XINGANG / CHINA"/>
    <x v="0"/>
    <m/>
    <x v="0"/>
    <x v="374"/>
    <d v="2019-03-02T00:00:00"/>
    <s v="NYK LIBRA"/>
    <x v="69"/>
    <x v="16"/>
    <m/>
    <m/>
    <m/>
    <m/>
    <m/>
    <m/>
    <x v="0"/>
    <d v="2019-05-08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526"/>
    <m/>
    <x v="366"/>
    <m/>
    <m/>
    <m/>
    <s v="CERRADO"/>
    <n v="207578"/>
    <x v="51"/>
    <x v="14"/>
    <x v="232"/>
    <d v="2019-01-01T00:00:00"/>
    <n v="60"/>
    <s v="días BL"/>
    <s v="19030070"/>
    <m/>
    <d v="2019-05-24T00:00:00"/>
    <s v="CANCELADO"/>
    <s v="CFR"/>
    <m/>
    <x v="139"/>
    <n v="257"/>
    <m/>
    <x v="471"/>
    <x v="21"/>
    <s v="Contenedor 40'"/>
    <m/>
    <s v="25 kg"/>
    <m/>
    <m/>
    <s v="1H MARZO '19"/>
    <x v="0"/>
    <m/>
    <m/>
    <m/>
    <x v="287"/>
    <m/>
    <m/>
    <x v="281"/>
    <n v="5"/>
    <n v="2019"/>
    <x v="0"/>
    <x v="0"/>
    <s v="XINGANG / CHINA"/>
    <x v="0"/>
    <m/>
    <x v="0"/>
    <x v="375"/>
    <d v="2019-03-25T00:00:00"/>
    <s v="COSCO FOS"/>
    <x v="45"/>
    <x v="2"/>
    <m/>
    <m/>
    <m/>
    <m/>
    <m/>
    <m/>
    <x v="0"/>
    <d v="2019-05-20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527"/>
    <m/>
    <x v="367"/>
    <m/>
    <m/>
    <m/>
    <s v="CERRADO"/>
    <n v="206914"/>
    <x v="12"/>
    <x v="19"/>
    <x v="233"/>
    <d v="2019-02-01T00:00:00"/>
    <n v="90"/>
    <s v="días BL"/>
    <s v="SG-MSL-12329-4A"/>
    <m/>
    <d v="2019-06-11T00:00:00"/>
    <s v="CANCELADO"/>
    <s v="CFR"/>
    <m/>
    <x v="147"/>
    <n v="154"/>
    <m/>
    <x v="472"/>
    <x v="4"/>
    <s v="Contenedor 20'"/>
    <m/>
    <s v="25 kg"/>
    <m/>
    <m/>
    <s v="MARZO '19"/>
    <x v="0"/>
    <m/>
    <m/>
    <m/>
    <x v="288"/>
    <m/>
    <m/>
    <x v="276"/>
    <n v="4"/>
    <n v="2019"/>
    <x v="0"/>
    <x v="0"/>
    <s v="DALIAN / CHINA"/>
    <x v="4"/>
    <m/>
    <x v="0"/>
    <x v="376"/>
    <d v="2019-03-11T00:00:00"/>
    <s v="EVER SMILE"/>
    <x v="134"/>
    <x v="8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528"/>
    <m/>
    <x v="368"/>
    <m/>
    <m/>
    <m/>
    <s v="CERRADO"/>
    <n v="206914"/>
    <x v="12"/>
    <x v="19"/>
    <x v="234"/>
    <d v="2019-02-01T00:00:00"/>
    <n v="90"/>
    <s v="días BL"/>
    <s v="SG-MSL-12329-4B"/>
    <m/>
    <d v="2019-06-16T00:00:00"/>
    <s v="CANCELADO"/>
    <s v="CFR"/>
    <m/>
    <x v="147"/>
    <n v="154"/>
    <m/>
    <x v="472"/>
    <x v="4"/>
    <s v="Contenedor 20'"/>
    <m/>
    <s v="25 kg"/>
    <m/>
    <m/>
    <s v="MARZO '19"/>
    <x v="0"/>
    <m/>
    <m/>
    <m/>
    <x v="289"/>
    <m/>
    <m/>
    <x v="282"/>
    <n v="5"/>
    <n v="2019"/>
    <x v="0"/>
    <x v="0"/>
    <s v="DALIAN / CHINA"/>
    <x v="4"/>
    <m/>
    <x v="0"/>
    <x v="377"/>
    <d v="2019-03-18T00:00:00"/>
    <s v="SYDNEY TRADER"/>
    <x v="135"/>
    <x v="8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529"/>
    <m/>
    <x v="369"/>
    <m/>
    <m/>
    <m/>
    <s v="CERRADO"/>
    <n v="206971"/>
    <x v="3"/>
    <x v="11"/>
    <x v="235"/>
    <d v="2019-02-11T00:00:00"/>
    <n v="90"/>
    <s v="días BL"/>
    <s v="ROM19020213"/>
    <m/>
    <d v="2019-06-28T00:00:00"/>
    <s v="CANCELADO"/>
    <s v="CIF"/>
    <m/>
    <x v="255"/>
    <n v="530"/>
    <m/>
    <x v="473"/>
    <x v="5"/>
    <s v="Contenedor 20'"/>
    <m/>
    <s v="25 kg"/>
    <m/>
    <m/>
    <s v="MARZO '19"/>
    <x v="0"/>
    <m/>
    <m/>
    <m/>
    <x v="271"/>
    <m/>
    <m/>
    <x v="283"/>
    <n v="5"/>
    <n v="2019"/>
    <x v="0"/>
    <x v="0"/>
    <s v="XINGANG / CHINA"/>
    <x v="4"/>
    <m/>
    <x v="0"/>
    <x v="378"/>
    <d v="2019-04-01T00:00:00"/>
    <s v="EVER DYNAMIC"/>
    <x v="134"/>
    <x v="8"/>
    <m/>
    <m/>
    <m/>
    <m/>
    <m/>
    <m/>
    <x v="0"/>
    <d v="2019-06-12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530"/>
    <m/>
    <x v="370"/>
    <m/>
    <m/>
    <m/>
    <s v="CERRADO"/>
    <n v="206966"/>
    <x v="16"/>
    <x v="37"/>
    <x v="236"/>
    <d v="2019-02-11T00:00:00"/>
    <n v="90"/>
    <s v="días BL"/>
    <s v="25227"/>
    <m/>
    <d v="2019-05-29T00:00:00"/>
    <s v="CANCELADO"/>
    <s v="CFR"/>
    <m/>
    <x v="8"/>
    <n v="668"/>
    <m/>
    <x v="474"/>
    <x v="5"/>
    <s v="Contenedor 20'"/>
    <m/>
    <s v="25 kg"/>
    <m/>
    <m/>
    <s v="MARZO '19"/>
    <x v="0"/>
    <m/>
    <m/>
    <m/>
    <x v="290"/>
    <m/>
    <m/>
    <x v="284"/>
    <n v="5"/>
    <n v="2019"/>
    <x v="0"/>
    <x v="0"/>
    <s v="JINGZHOU / CHINA"/>
    <x v="4"/>
    <m/>
    <x v="0"/>
    <x v="379"/>
    <d v="2019-02-27T00:00:00"/>
    <s v="HAO HANG"/>
    <x v="129"/>
    <x v="2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E-S"/>
    <x v="0"/>
    <x v="0"/>
    <m/>
    <m/>
    <x v="531"/>
    <m/>
    <x v="371"/>
    <m/>
    <m/>
    <m/>
    <s v="CERRADO"/>
    <n v="207522"/>
    <x v="11"/>
    <x v="10"/>
    <x v="237"/>
    <d v="2019-02-25T00:00:00"/>
    <n v="90"/>
    <s v="días BL"/>
    <s v="301000830"/>
    <m/>
    <d v="2019-06-28T00:00:00"/>
    <s v="CANCELADO"/>
    <s v="CFR"/>
    <m/>
    <x v="256"/>
    <n v="225"/>
    <m/>
    <x v="475"/>
    <x v="5"/>
    <s v="Contenedor 20'"/>
    <m/>
    <s v="Granel Sólido"/>
    <m/>
    <m/>
    <s v="MARZO '19"/>
    <x v="0"/>
    <m/>
    <m/>
    <m/>
    <x v="291"/>
    <m/>
    <m/>
    <x v="261"/>
    <n v="4"/>
    <n v="2019"/>
    <x v="0"/>
    <x v="0"/>
    <s v="AMBERES / BELGICA"/>
    <x v="2"/>
    <m/>
    <x v="0"/>
    <x v="380"/>
    <d v="2019-03-29T00:00:00"/>
    <s v="SAN CLEMENTE"/>
    <x v="37"/>
    <x v="2"/>
    <m/>
    <m/>
    <m/>
    <m/>
    <m/>
    <m/>
    <x v="0"/>
    <d v="2019-05-02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E-S"/>
    <x v="0"/>
    <x v="0"/>
    <m/>
    <m/>
    <x v="532"/>
    <m/>
    <x v="372"/>
    <m/>
    <m/>
    <m/>
    <s v="CERRADO"/>
    <n v="207522"/>
    <x v="11"/>
    <x v="10"/>
    <x v="237"/>
    <d v="2019-02-25T00:00:00"/>
    <n v="90"/>
    <s v="días BL"/>
    <s v="301000829"/>
    <m/>
    <d v="2019-06-28T00:00:00"/>
    <s v="CANCELADO"/>
    <s v="CFR"/>
    <m/>
    <x v="257"/>
    <n v="225"/>
    <m/>
    <x v="476"/>
    <x v="4"/>
    <s v="Contenedor 20'"/>
    <m/>
    <s v="Granel Sólido"/>
    <m/>
    <m/>
    <s v="MARZO '19"/>
    <x v="0"/>
    <m/>
    <m/>
    <m/>
    <x v="283"/>
    <m/>
    <m/>
    <x v="285"/>
    <n v="4"/>
    <n v="2019"/>
    <x v="0"/>
    <x v="0"/>
    <s v="AMBERES / BELGICA"/>
    <x v="0"/>
    <m/>
    <x v="0"/>
    <x v="381"/>
    <d v="2019-03-29T00:00:00"/>
    <s v="SAN CLEMENTE"/>
    <x v="45"/>
    <x v="2"/>
    <m/>
    <m/>
    <m/>
    <m/>
    <m/>
    <m/>
    <x v="0"/>
    <d v="2019-05-05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E-S"/>
    <x v="0"/>
    <x v="0"/>
    <m/>
    <m/>
    <x v="533"/>
    <m/>
    <x v="373"/>
    <m/>
    <m/>
    <m/>
    <s v="CERRADO"/>
    <n v="207522"/>
    <x v="11"/>
    <x v="10"/>
    <x v="237"/>
    <d v="2019-02-25T00:00:00"/>
    <n v="90"/>
    <s v="días BL"/>
    <s v="301000848"/>
    <m/>
    <d v="2019-07-11T00:00:00"/>
    <s v="CANCELADO"/>
    <s v="CFR"/>
    <m/>
    <x v="256"/>
    <n v="225"/>
    <m/>
    <x v="475"/>
    <x v="5"/>
    <s v="Contenedor 20'"/>
    <m/>
    <s v="Granel Sólido"/>
    <m/>
    <m/>
    <s v="ABRIL '19"/>
    <x v="0"/>
    <m/>
    <m/>
    <m/>
    <x v="286"/>
    <m/>
    <m/>
    <x v="286"/>
    <n v="5"/>
    <n v="2019"/>
    <x v="0"/>
    <x v="0"/>
    <s v="AMBERES / BELGICA"/>
    <x v="2"/>
    <m/>
    <x v="0"/>
    <x v="382"/>
    <d v="2019-04-12T00:00:00"/>
    <s v="VALPARAISO EXPRESS"/>
    <x v="30"/>
    <x v="2"/>
    <m/>
    <m/>
    <m/>
    <m/>
    <m/>
    <m/>
    <x v="0"/>
    <d v="2019-05-17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E-S"/>
    <x v="0"/>
    <x v="0"/>
    <m/>
    <m/>
    <x v="534"/>
    <m/>
    <x v="374"/>
    <m/>
    <m/>
    <m/>
    <s v="CERRADO"/>
    <n v="207522"/>
    <x v="11"/>
    <x v="10"/>
    <x v="237"/>
    <d v="2019-02-25T00:00:00"/>
    <n v="90"/>
    <s v="días BL"/>
    <s v="301000849"/>
    <m/>
    <d v="2019-07-11T00:00:00"/>
    <s v="CANCELADO"/>
    <s v="CFR"/>
    <m/>
    <x v="258"/>
    <n v="225"/>
    <m/>
    <x v="477"/>
    <x v="2"/>
    <s v="Contenedor 20'"/>
    <m/>
    <s v="Granel Sólido"/>
    <m/>
    <m/>
    <s v="ABRIL '19"/>
    <x v="0"/>
    <m/>
    <m/>
    <m/>
    <x v="287"/>
    <m/>
    <m/>
    <x v="281"/>
    <n v="5"/>
    <n v="2019"/>
    <x v="0"/>
    <x v="0"/>
    <s v="AMBERES / BELGICA"/>
    <x v="0"/>
    <m/>
    <x v="0"/>
    <x v="383"/>
    <d v="2019-04-12T00:00:00"/>
    <s v="VALPARAISO EXPRESS"/>
    <x v="45"/>
    <x v="2"/>
    <m/>
    <m/>
    <m/>
    <m/>
    <m/>
    <m/>
    <x v="0"/>
    <d v="2019-05-19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E-S"/>
    <x v="0"/>
    <x v="0"/>
    <m/>
    <m/>
    <x v="535"/>
    <m/>
    <x v="375"/>
    <m/>
    <m/>
    <m/>
    <s v="CERRADO"/>
    <n v="207522"/>
    <x v="11"/>
    <x v="10"/>
    <x v="237"/>
    <d v="2019-02-25T00:00:00"/>
    <n v="90"/>
    <s v="días BL"/>
    <s v="301000887"/>
    <m/>
    <d v="2019-08-26T00:00:00"/>
    <s v="CANCELADO"/>
    <s v="CFR"/>
    <m/>
    <x v="259"/>
    <n v="225"/>
    <m/>
    <x v="478"/>
    <x v="2"/>
    <s v="Contenedor 20'"/>
    <m/>
    <s v="Granel Sólido"/>
    <m/>
    <m/>
    <s v="MAYO '19"/>
    <x v="0"/>
    <m/>
    <m/>
    <m/>
    <x v="292"/>
    <m/>
    <m/>
    <x v="287"/>
    <n v="6"/>
    <n v="2019"/>
    <x v="0"/>
    <x v="0"/>
    <s v="AMBERES / BELGICA"/>
    <x v="2"/>
    <m/>
    <x v="0"/>
    <x v="384"/>
    <d v="2019-05-23T00:00:00"/>
    <s v="CMA CGM NIAGARA"/>
    <x v="50"/>
    <x v="2"/>
    <m/>
    <m/>
    <m/>
    <m/>
    <m/>
    <m/>
    <x v="0"/>
    <d v="2019-06-28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E-S"/>
    <x v="0"/>
    <x v="0"/>
    <m/>
    <m/>
    <x v="536"/>
    <m/>
    <x v="376"/>
    <m/>
    <m/>
    <m/>
    <s v="CERRADO"/>
    <n v="207522"/>
    <x v="11"/>
    <x v="10"/>
    <x v="237"/>
    <d v="2019-02-25T00:00:00"/>
    <n v="90"/>
    <s v="días BL"/>
    <s v="301000886"/>
    <m/>
    <d v="2019-08-26T00:00:00"/>
    <s v="CANCELADO"/>
    <s v="CFR"/>
    <m/>
    <x v="260"/>
    <n v="225"/>
    <m/>
    <x v="479"/>
    <x v="2"/>
    <s v="Contenedor 20'"/>
    <m/>
    <s v="Granel Sólido"/>
    <m/>
    <m/>
    <s v="MAYO '19"/>
    <x v="0"/>
    <m/>
    <m/>
    <m/>
    <x v="293"/>
    <m/>
    <m/>
    <x v="288"/>
    <n v="6"/>
    <n v="2019"/>
    <x v="0"/>
    <x v="0"/>
    <s v="AMBERES / BELGICA"/>
    <x v="0"/>
    <m/>
    <x v="0"/>
    <x v="385"/>
    <d v="2019-05-23T00:00:00"/>
    <s v="CMA CGM NIAGARA"/>
    <x v="45"/>
    <x v="2"/>
    <m/>
    <m/>
    <m/>
    <m/>
    <m/>
    <m/>
    <x v="0"/>
    <d v="2019-07-01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E-S"/>
    <x v="0"/>
    <x v="0"/>
    <m/>
    <m/>
    <x v="537"/>
    <m/>
    <x v="371"/>
    <m/>
    <m/>
    <m/>
    <s v="CERRADO"/>
    <n v="206613"/>
    <x v="81"/>
    <x v="10"/>
    <x v="238"/>
    <d v="2019-02-25T00:00:00"/>
    <n v="90"/>
    <s v="días BL"/>
    <s v="301000830"/>
    <m/>
    <d v="2019-06-28T00:00:00"/>
    <s v="CANCELADO"/>
    <s v="CFR"/>
    <m/>
    <x v="261"/>
    <n v="275"/>
    <m/>
    <x v="480"/>
    <x v="1"/>
    <s v="Contenedor 20'"/>
    <m/>
    <s v="Granel Sólido"/>
    <m/>
    <m/>
    <s v="MARZO '19"/>
    <x v="0"/>
    <m/>
    <m/>
    <m/>
    <x v="291"/>
    <m/>
    <m/>
    <x v="261"/>
    <n v="4"/>
    <n v="2019"/>
    <x v="0"/>
    <x v="0"/>
    <s v="AMBERES / BELGICA"/>
    <x v="2"/>
    <m/>
    <x v="0"/>
    <x v="380"/>
    <d v="2019-03-29T00:00:00"/>
    <s v="SAN CLEMENTE"/>
    <x v="37"/>
    <x v="2"/>
    <m/>
    <m/>
    <m/>
    <m/>
    <m/>
    <m/>
    <x v="0"/>
    <d v="2019-05-02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E-S"/>
    <x v="0"/>
    <x v="0"/>
    <m/>
    <m/>
    <x v="538"/>
    <m/>
    <x v="372"/>
    <m/>
    <m/>
    <m/>
    <s v="CERRADO"/>
    <n v="206613"/>
    <x v="81"/>
    <x v="10"/>
    <x v="238"/>
    <d v="2019-02-25T00:00:00"/>
    <n v="90"/>
    <s v="días BL"/>
    <s v="301000829"/>
    <m/>
    <d v="2019-06-28T00:00:00"/>
    <s v="CANCELADO"/>
    <s v="CFR"/>
    <m/>
    <x v="262"/>
    <n v="275"/>
    <m/>
    <x v="481"/>
    <x v="1"/>
    <s v="Contenedor 20'"/>
    <m/>
    <s v="Granel Sólido"/>
    <m/>
    <m/>
    <s v="MARZO '19"/>
    <x v="0"/>
    <m/>
    <m/>
    <m/>
    <x v="283"/>
    <m/>
    <m/>
    <x v="285"/>
    <n v="4"/>
    <n v="2019"/>
    <x v="0"/>
    <x v="0"/>
    <s v="AMBERES / BELGICA"/>
    <x v="0"/>
    <m/>
    <x v="0"/>
    <x v="381"/>
    <d v="2019-03-29T00:00:00"/>
    <s v="SAN CLEMENTE"/>
    <x v="45"/>
    <x v="2"/>
    <m/>
    <m/>
    <m/>
    <m/>
    <m/>
    <m/>
    <x v="0"/>
    <d v="2019-05-05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E-S"/>
    <x v="0"/>
    <x v="0"/>
    <m/>
    <m/>
    <x v="539"/>
    <m/>
    <x v="377"/>
    <m/>
    <m/>
    <m/>
    <s v="CERRADO"/>
    <n v="205972"/>
    <x v="82"/>
    <x v="42"/>
    <x v="8"/>
    <m/>
    <s v="PREPAGO"/>
    <m/>
    <s v="FXE 190.004"/>
    <m/>
    <d v="2019-02-15T00:00:00"/>
    <s v="CANCELADO"/>
    <s v="CIF"/>
    <m/>
    <x v="263"/>
    <n v="3933.5"/>
    <m/>
    <x v="482"/>
    <x v="11"/>
    <s v="Contenedor 40'"/>
    <m/>
    <s v="20 kg"/>
    <m/>
    <m/>
    <s v="FEBRERO '19"/>
    <x v="0"/>
    <m/>
    <m/>
    <m/>
    <x v="294"/>
    <m/>
    <m/>
    <x v="289"/>
    <n v="4"/>
    <n v="2019"/>
    <x v="0"/>
    <x v="0"/>
    <s v="BARCELONA / ESPAÑA"/>
    <x v="2"/>
    <m/>
    <x v="0"/>
    <x v="386"/>
    <d v="2019-03-05T00:00:00"/>
    <s v="DIMITRI C"/>
    <x v="153"/>
    <x v="9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540"/>
    <m/>
    <x v="378"/>
    <m/>
    <m/>
    <m/>
    <s v="CERRADO"/>
    <n v="207951"/>
    <x v="6"/>
    <x v="15"/>
    <x v="239"/>
    <d v="2019-02-18T00:00:00"/>
    <s v="CAD"/>
    <m/>
    <s v="234/19 AZ"/>
    <m/>
    <d v="2019-04-10T00:00:00"/>
    <s v="CANCELADO"/>
    <s v="CFR"/>
    <m/>
    <x v="42"/>
    <n v="279"/>
    <m/>
    <x v="483"/>
    <x v="17"/>
    <s v="Granel"/>
    <m/>
    <s v="Granel Sólido"/>
    <m/>
    <m/>
    <s v="1H MARZO '19"/>
    <x v="0"/>
    <m/>
    <m/>
    <m/>
    <x v="295"/>
    <m/>
    <m/>
    <x v="290"/>
    <n v="4"/>
    <n v="2019"/>
    <x v="0"/>
    <x v="0"/>
    <s v="RIGA / LETONIA"/>
    <x v="0"/>
    <m/>
    <x v="0"/>
    <x v="23"/>
    <d v="2019-03-28T00:00:00"/>
    <s v="MV STRATEGIC EQUITY"/>
    <x v="15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541"/>
    <m/>
    <x v="379"/>
    <m/>
    <m/>
    <m/>
    <s v="CERRADO"/>
    <n v="207951"/>
    <x v="6"/>
    <x v="15"/>
    <x v="239"/>
    <d v="2019-02-18T00:00:00"/>
    <s v="CAD"/>
    <m/>
    <s v="235/19 AZ"/>
    <m/>
    <d v="2019-04-10T00:00:00"/>
    <s v="CANCELADO"/>
    <s v="CFR"/>
    <m/>
    <x v="132"/>
    <n v="279"/>
    <m/>
    <x v="15"/>
    <x v="17"/>
    <s v="Granel"/>
    <m/>
    <s v="Granel Sólido"/>
    <m/>
    <m/>
    <s v="1H MARZO '19"/>
    <x v="0"/>
    <m/>
    <m/>
    <m/>
    <x v="285"/>
    <m/>
    <m/>
    <x v="291"/>
    <n v="4"/>
    <n v="2019"/>
    <x v="0"/>
    <x v="0"/>
    <s v="RIGA / LETONIA"/>
    <x v="1"/>
    <m/>
    <x v="0"/>
    <x v="3"/>
    <d v="2019-03-28T00:00:00"/>
    <s v="MV STRATEGIC EQUITY"/>
    <x v="15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542"/>
    <m/>
    <x v="380"/>
    <m/>
    <m/>
    <m/>
    <s v="CERRADO"/>
    <n v="207951"/>
    <x v="6"/>
    <x v="15"/>
    <x v="239"/>
    <d v="2019-02-18T00:00:00"/>
    <s v="CAD"/>
    <m/>
    <s v="236/19 AZ"/>
    <m/>
    <d v="2019-04-08T00:00:00"/>
    <s v="CANCELADO"/>
    <s v="CFR"/>
    <m/>
    <x v="212"/>
    <n v="279"/>
    <m/>
    <x v="484"/>
    <x v="17"/>
    <s v="Granel"/>
    <m/>
    <s v="Granel Sólido"/>
    <m/>
    <m/>
    <s v="1H MARZO '19"/>
    <x v="0"/>
    <m/>
    <m/>
    <m/>
    <x v="296"/>
    <m/>
    <m/>
    <x v="281"/>
    <n v="5"/>
    <n v="2019"/>
    <x v="0"/>
    <x v="0"/>
    <s v="RIGA / LETONIA"/>
    <x v="2"/>
    <m/>
    <x v="0"/>
    <x v="261"/>
    <d v="2019-03-28T00:00:00"/>
    <s v="MV STRATEGIC EQUITY"/>
    <x v="15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543"/>
    <m/>
    <x v="381"/>
    <m/>
    <m/>
    <m/>
    <s v="CERRADO"/>
    <n v="207485"/>
    <x v="13"/>
    <x v="15"/>
    <x v="239"/>
    <d v="2019-02-18T00:00:00"/>
    <s v="CAD"/>
    <m/>
    <s v="005/19 AM"/>
    <m/>
    <d v="2019-04-10T00:00:00"/>
    <s v="CANCELADO"/>
    <s v="CFR"/>
    <m/>
    <x v="99"/>
    <n v="291"/>
    <m/>
    <x v="485"/>
    <x v="17"/>
    <s v="Granel"/>
    <m/>
    <s v="Granel Sólido"/>
    <m/>
    <m/>
    <s v="1H MARZO '19"/>
    <x v="0"/>
    <m/>
    <m/>
    <m/>
    <x v="295"/>
    <m/>
    <m/>
    <x v="290"/>
    <n v="4"/>
    <n v="2019"/>
    <x v="0"/>
    <x v="0"/>
    <s v="RIGA / LETONIA"/>
    <x v="0"/>
    <m/>
    <x v="0"/>
    <x v="387"/>
    <d v="2019-03-28T00:00:00"/>
    <s v="MV STRATEGIC EQUITY"/>
    <x v="15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544"/>
    <m/>
    <x v="382"/>
    <m/>
    <m/>
    <m/>
    <s v="CERRADO"/>
    <n v="207485"/>
    <x v="13"/>
    <x v="15"/>
    <x v="239"/>
    <d v="2019-02-18T00:00:00"/>
    <s v="CAD"/>
    <m/>
    <s v="006/19 AM"/>
    <m/>
    <d v="2019-04-10T00:00:00"/>
    <s v="CANCELADO"/>
    <s v="CFR"/>
    <m/>
    <x v="3"/>
    <n v="291"/>
    <m/>
    <x v="486"/>
    <x v="17"/>
    <s v="Granel"/>
    <m/>
    <s v="Granel Sólido"/>
    <m/>
    <m/>
    <s v="1H MARZO '19"/>
    <x v="0"/>
    <m/>
    <m/>
    <m/>
    <x v="285"/>
    <m/>
    <m/>
    <x v="291"/>
    <n v="4"/>
    <n v="2019"/>
    <x v="0"/>
    <x v="0"/>
    <s v="RIGA / LETONIA"/>
    <x v="1"/>
    <m/>
    <x v="0"/>
    <x v="388"/>
    <d v="2019-03-28T00:00:00"/>
    <s v="MV STRATEGIC EQUITY"/>
    <x v="15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545"/>
    <m/>
    <x v="383"/>
    <m/>
    <m/>
    <m/>
    <s v="CERRADO"/>
    <n v="207485"/>
    <x v="13"/>
    <x v="15"/>
    <x v="239"/>
    <d v="2019-02-18T00:00:00"/>
    <s v="CAD"/>
    <m/>
    <s v="007/19 AM"/>
    <m/>
    <d v="2019-04-08T00:00:00"/>
    <s v="CANCELADO"/>
    <s v="CFR"/>
    <m/>
    <x v="115"/>
    <n v="291"/>
    <m/>
    <x v="487"/>
    <x v="17"/>
    <s v="Granel"/>
    <m/>
    <s v="Granel Sólido"/>
    <m/>
    <m/>
    <s v="1H MARZO '19"/>
    <x v="0"/>
    <m/>
    <m/>
    <m/>
    <x v="296"/>
    <m/>
    <m/>
    <x v="281"/>
    <n v="5"/>
    <n v="2019"/>
    <x v="0"/>
    <x v="0"/>
    <s v="RIGA / LETONIA"/>
    <x v="2"/>
    <m/>
    <x v="0"/>
    <x v="389"/>
    <d v="2019-03-28T00:00:00"/>
    <s v="MV STRATEGIC EQUITY"/>
    <x v="15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C"/>
    <x v="0"/>
    <x v="0"/>
    <m/>
    <m/>
    <x v="546"/>
    <m/>
    <x v="384"/>
    <m/>
    <m/>
    <m/>
    <s v="CERRADO"/>
    <n v="206573"/>
    <x v="5"/>
    <x v="15"/>
    <x v="239"/>
    <d v="2019-02-18T00:00:00"/>
    <s v="CAD"/>
    <m/>
    <s v="269/19 ZMU"/>
    <m/>
    <d v="2019-04-10T00:00:00"/>
    <s v="CANCELADO"/>
    <s v="CFR"/>
    <m/>
    <x v="1"/>
    <n v="237"/>
    <m/>
    <x v="488"/>
    <x v="17"/>
    <s v="Granel"/>
    <m/>
    <s v="Granel Sólido"/>
    <m/>
    <m/>
    <s v="1H MARZO '19"/>
    <x v="0"/>
    <m/>
    <m/>
    <m/>
    <x v="285"/>
    <m/>
    <m/>
    <x v="291"/>
    <n v="4"/>
    <n v="2019"/>
    <x v="0"/>
    <x v="0"/>
    <s v="RIGA / LETONIA"/>
    <x v="1"/>
    <m/>
    <x v="0"/>
    <x v="390"/>
    <d v="2019-03-28T00:00:00"/>
    <s v="MV STRATEGIC EQUITY"/>
    <x v="15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C"/>
    <x v="0"/>
    <x v="0"/>
    <m/>
    <m/>
    <x v="547"/>
    <m/>
    <x v="385"/>
    <m/>
    <m/>
    <m/>
    <s v="CERRADO"/>
    <n v="206573"/>
    <x v="5"/>
    <x v="15"/>
    <x v="239"/>
    <d v="2019-02-18T00:00:00"/>
    <s v="CAD"/>
    <m/>
    <s v="270/19 ZMU"/>
    <m/>
    <d v="2019-04-08T00:00:00"/>
    <s v="CANCELADO"/>
    <s v="CFR"/>
    <m/>
    <x v="131"/>
    <n v="237"/>
    <m/>
    <x v="489"/>
    <x v="17"/>
    <s v="Granel"/>
    <m/>
    <s v="Granel Sólido"/>
    <m/>
    <m/>
    <s v="1H MARZO '19"/>
    <x v="0"/>
    <m/>
    <m/>
    <m/>
    <x v="296"/>
    <m/>
    <m/>
    <x v="281"/>
    <n v="5"/>
    <n v="2019"/>
    <x v="0"/>
    <x v="0"/>
    <s v="RIGA / LETONIA"/>
    <x v="2"/>
    <m/>
    <x v="0"/>
    <x v="16"/>
    <d v="2019-03-28T00:00:00"/>
    <s v="MV STRATEGIC EQUITY"/>
    <x v="15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C"/>
    <x v="0"/>
    <x v="0"/>
    <m/>
    <m/>
    <x v="548"/>
    <m/>
    <x v="386"/>
    <m/>
    <m/>
    <m/>
    <s v="CERRADO"/>
    <n v="206573"/>
    <x v="5"/>
    <x v="15"/>
    <x v="239"/>
    <d v="2019-02-18T00:00:00"/>
    <s v="CAD"/>
    <m/>
    <s v="271/19 ZMU"/>
    <m/>
    <d v="2019-04-08T00:00:00"/>
    <s v="CANCELADO"/>
    <s v="CFR"/>
    <m/>
    <x v="1"/>
    <n v="237"/>
    <m/>
    <x v="488"/>
    <x v="17"/>
    <s v="Granel"/>
    <m/>
    <s v="Granel Sólido"/>
    <m/>
    <m/>
    <s v="1H MARZO '19"/>
    <x v="0"/>
    <m/>
    <m/>
    <m/>
    <x v="297"/>
    <m/>
    <m/>
    <x v="282"/>
    <n v="5"/>
    <n v="2019"/>
    <x v="0"/>
    <x v="0"/>
    <s v="RIGA / LETONIA"/>
    <x v="3"/>
    <m/>
    <x v="0"/>
    <x v="22"/>
    <d v="2019-03-28T00:00:00"/>
    <s v="MV STRATEGIC EQUITY"/>
    <x v="15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E-S"/>
    <x v="0"/>
    <x v="0"/>
    <m/>
    <m/>
    <x v="549"/>
    <m/>
    <x v="387"/>
    <m/>
    <m/>
    <m/>
    <s v="CERRADO"/>
    <n v="204378"/>
    <x v="35"/>
    <x v="4"/>
    <x v="240"/>
    <d v="2019-02-19T00:00:00"/>
    <n v="90"/>
    <s v="días BL"/>
    <s v="I43962"/>
    <m/>
    <d v="2020-05-28T00:00:00"/>
    <s v="CANCELADO"/>
    <s v="CPT"/>
    <m/>
    <x v="264"/>
    <n v="2359.6620314489332"/>
    <m/>
    <x v="490"/>
    <x v="17"/>
    <s v="Contenedor 20'"/>
    <m/>
    <s v="50 Lb"/>
    <m/>
    <m/>
    <s v="ABRIL '19"/>
    <x v="0"/>
    <m/>
    <m/>
    <m/>
    <x v="298"/>
    <m/>
    <m/>
    <x v="292"/>
    <n v="7"/>
    <n v="2019"/>
    <x v="0"/>
    <x v="0"/>
    <s v="SAVANHA / USA"/>
    <x v="2"/>
    <m/>
    <x v="0"/>
    <x v="391"/>
    <d v="2019-06-24T00:00:00"/>
    <s v="SEATRADE ORANGE"/>
    <x v="155"/>
    <x v="9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E-S"/>
    <x v="0"/>
    <x v="0"/>
    <m/>
    <m/>
    <x v="550"/>
    <m/>
    <x v="387"/>
    <m/>
    <m/>
    <m/>
    <s v="CERRADO"/>
    <n v="204377"/>
    <x v="36"/>
    <x v="4"/>
    <x v="240"/>
    <d v="2019-02-19T00:00:00"/>
    <n v="90"/>
    <s v="días BL"/>
    <s v="I43962"/>
    <m/>
    <d v="2020-05-28T00:00:00"/>
    <s v="CANCELADO"/>
    <s v="CPT"/>
    <m/>
    <x v="265"/>
    <n v="2359.6620314489328"/>
    <m/>
    <x v="491"/>
    <x v="17"/>
    <s v="Contenedor 20'"/>
    <m/>
    <s v="50 Lb"/>
    <m/>
    <m/>
    <s v="ABRIL '19"/>
    <x v="0"/>
    <m/>
    <m/>
    <m/>
    <x v="298"/>
    <m/>
    <m/>
    <x v="292"/>
    <n v="7"/>
    <n v="2019"/>
    <x v="0"/>
    <x v="0"/>
    <s v="SAVANHA / USA"/>
    <x v="2"/>
    <m/>
    <x v="0"/>
    <x v="391"/>
    <d v="2019-06-24T00:00:00"/>
    <s v="SEATRADE ORANGE"/>
    <x v="155"/>
    <x v="9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E-S"/>
    <x v="0"/>
    <x v="0"/>
    <m/>
    <m/>
    <x v="551"/>
    <m/>
    <x v="388"/>
    <m/>
    <m/>
    <m/>
    <s v="CERRADO"/>
    <n v="204377"/>
    <x v="36"/>
    <x v="4"/>
    <x v="241"/>
    <d v="2019-02-19T00:00:00"/>
    <n v="90"/>
    <s v="días BL"/>
    <s v="I43127"/>
    <m/>
    <d v="2019-07-17T00:00:00"/>
    <s v="CANCELADO"/>
    <s v="CPT"/>
    <m/>
    <x v="266"/>
    <n v="2354.0793825799337"/>
    <m/>
    <x v="492"/>
    <x v="17"/>
    <s v="Contenedor 20'"/>
    <m/>
    <s v="50 Lb"/>
    <m/>
    <m/>
    <s v="ABRIL '19"/>
    <x v="0"/>
    <m/>
    <m/>
    <m/>
    <x v="299"/>
    <m/>
    <m/>
    <x v="293"/>
    <n v="5"/>
    <n v="2019"/>
    <x v="0"/>
    <x v="0"/>
    <s v="SAVANHA / USA"/>
    <x v="2"/>
    <m/>
    <x v="0"/>
    <x v="392"/>
    <d v="2019-04-18T00:00:00"/>
    <s v="CONTSHIP ICE"/>
    <x v="119"/>
    <x v="9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E-S"/>
    <x v="0"/>
    <x v="0"/>
    <m/>
    <m/>
    <x v="552"/>
    <m/>
    <x v="389"/>
    <m/>
    <m/>
    <m/>
    <s v="CERRADO"/>
    <n v="204375"/>
    <x v="83"/>
    <x v="4"/>
    <x v="241"/>
    <d v="2019-02-19T00:00:00"/>
    <n v="90"/>
    <s v="días BL"/>
    <s v="I43127"/>
    <m/>
    <d v="2019-07-17T00:00:00"/>
    <s v="CANCELADO"/>
    <s v="CPT"/>
    <m/>
    <x v="267"/>
    <n v="2588.6120251106445"/>
    <m/>
    <x v="493"/>
    <x v="17"/>
    <s v="Contenedor 20'"/>
    <m/>
    <s v="50 Lb"/>
    <m/>
    <m/>
    <s v="ABRIL '19"/>
    <x v="0"/>
    <m/>
    <m/>
    <m/>
    <x v="299"/>
    <m/>
    <m/>
    <x v="293"/>
    <n v="5"/>
    <n v="2019"/>
    <x v="0"/>
    <x v="0"/>
    <s v="SAVANHA / USA"/>
    <x v="2"/>
    <m/>
    <x v="0"/>
    <x v="392"/>
    <d v="2019-04-18T00:00:00"/>
    <s v="CONTSHIP ICE"/>
    <x v="119"/>
    <x v="9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E-S"/>
    <x v="0"/>
    <x v="0"/>
    <m/>
    <m/>
    <x v="553"/>
    <m/>
    <x v="390"/>
    <m/>
    <m/>
    <m/>
    <s v="CERRADO"/>
    <n v="204376"/>
    <x v="84"/>
    <x v="4"/>
    <x v="242"/>
    <d v="2019-02-19T00:00:00"/>
    <n v="90"/>
    <s v="días BL"/>
    <s v="I43126"/>
    <m/>
    <d v="2019-07-17T00:00:00"/>
    <s v="CANCELADO"/>
    <s v="CPT"/>
    <m/>
    <x v="268"/>
    <n v="2314.4685562859595"/>
    <m/>
    <x v="494"/>
    <x v="11"/>
    <s v="Contenedor 20'"/>
    <m/>
    <s v="50 Lb"/>
    <m/>
    <m/>
    <s v="ABRIL '19"/>
    <x v="0"/>
    <m/>
    <m/>
    <m/>
    <x v="299"/>
    <m/>
    <m/>
    <x v="293"/>
    <n v="5"/>
    <n v="2019"/>
    <x v="0"/>
    <x v="0"/>
    <s v="SAVANHA / USA"/>
    <x v="2"/>
    <m/>
    <x v="0"/>
    <x v="393"/>
    <d v="2019-04-18T00:00:00"/>
    <s v="CONTSHIP ICE"/>
    <x v="119"/>
    <x v="9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554"/>
    <m/>
    <x v="391"/>
    <m/>
    <m/>
    <m/>
    <s v="CERRADO"/>
    <s v="204712/209852"/>
    <x v="43"/>
    <x v="3"/>
    <x v="243"/>
    <d v="2019-03-08T00:00:00"/>
    <s v="CAD"/>
    <m/>
    <s v="KTI20190456"/>
    <m/>
    <d v="2019-04-26T00:00:00"/>
    <s v="CANCELADO"/>
    <s v="CFR"/>
    <m/>
    <x v="269"/>
    <n v="140"/>
    <m/>
    <x v="495"/>
    <x v="17"/>
    <s v="Granel - BB"/>
    <m/>
    <s v="50 kg"/>
    <m/>
    <m/>
    <s v="2H MAR - 1H ABR"/>
    <x v="0"/>
    <m/>
    <m/>
    <m/>
    <x v="300"/>
    <m/>
    <m/>
    <x v="294"/>
    <n v="6"/>
    <n v="2019"/>
    <x v="0"/>
    <x v="0"/>
    <s v="BAYUQUAN / CHINA"/>
    <x v="2"/>
    <m/>
    <x v="0"/>
    <x v="394"/>
    <d v="2019-04-11T00:00:00"/>
    <s v="BIWA ARROW"/>
    <x v="35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555"/>
    <m/>
    <x v="392"/>
    <m/>
    <m/>
    <m/>
    <s v="CERRADO"/>
    <n v="204712"/>
    <x v="43"/>
    <x v="3"/>
    <x v="244"/>
    <d v="2019-03-08T00:00:00"/>
    <s v="CAD"/>
    <m/>
    <s v="KTI20190377"/>
    <m/>
    <d v="2019-04-09T00:00:00"/>
    <s v="CANCELADO"/>
    <s v="CFR"/>
    <m/>
    <x v="270"/>
    <n v="160"/>
    <m/>
    <x v="496"/>
    <x v="21"/>
    <s v="Contenedor 40'"/>
    <m/>
    <s v="50 kg"/>
    <m/>
    <m/>
    <s v="2H MAR - 1H ABR"/>
    <x v="0"/>
    <m/>
    <m/>
    <m/>
    <x v="301"/>
    <m/>
    <m/>
    <x v="295"/>
    <n v="5"/>
    <n v="2019"/>
    <x v="0"/>
    <x v="0"/>
    <s v="DALIAN / CHINA"/>
    <x v="0"/>
    <m/>
    <x v="0"/>
    <x v="395"/>
    <d v="2019-03-28T00:00:00"/>
    <s v="ALS APOLLO"/>
    <x v="69"/>
    <x v="16"/>
    <m/>
    <m/>
    <m/>
    <m/>
    <m/>
    <m/>
    <x v="0"/>
    <m/>
    <m/>
    <x v="0"/>
    <x v="0"/>
    <m/>
    <m/>
    <x v="0"/>
    <e v="#REF!"/>
    <m/>
    <m/>
    <m/>
    <m/>
    <m/>
    <x v="0"/>
    <m/>
    <m/>
    <m/>
    <m/>
    <s v="DEPÓSITO"/>
    <m/>
    <m/>
    <m/>
  </r>
  <r>
    <n v="2019"/>
    <s v="G-S"/>
    <x v="0"/>
    <x v="0"/>
    <m/>
    <m/>
    <x v="556"/>
    <m/>
    <x v="393"/>
    <m/>
    <m/>
    <m/>
    <s v="CERRADO"/>
    <n v="204712"/>
    <x v="43"/>
    <x v="3"/>
    <x v="245"/>
    <d v="2019-03-08T00:00:00"/>
    <s v="CAD"/>
    <m/>
    <s v="KTI20190402"/>
    <m/>
    <d v="2019-04-09T00:00:00"/>
    <s v="CANCELADO"/>
    <s v="CFR"/>
    <m/>
    <x v="271"/>
    <n v="160"/>
    <m/>
    <x v="497"/>
    <x v="22"/>
    <s v="Contenedor 40'"/>
    <m/>
    <s v="50 kg"/>
    <m/>
    <m/>
    <s v="2H MAR - 1H ABR"/>
    <x v="0"/>
    <m/>
    <m/>
    <m/>
    <x v="301"/>
    <m/>
    <m/>
    <x v="295"/>
    <n v="5"/>
    <n v="2019"/>
    <x v="0"/>
    <x v="0"/>
    <s v="DALIAN / CHINA"/>
    <x v="0"/>
    <m/>
    <x v="0"/>
    <x v="396"/>
    <d v="2019-03-28T00:00:00"/>
    <s v="ALS APOLLO"/>
    <x v="69"/>
    <x v="16"/>
    <m/>
    <m/>
    <m/>
    <m/>
    <m/>
    <m/>
    <x v="0"/>
    <m/>
    <m/>
    <x v="0"/>
    <x v="0"/>
    <m/>
    <m/>
    <x v="0"/>
    <e v="#REF!"/>
    <m/>
    <m/>
    <m/>
    <m/>
    <m/>
    <x v="0"/>
    <m/>
    <m/>
    <m/>
    <m/>
    <s v="DEPÓSITO"/>
    <m/>
    <m/>
    <m/>
  </r>
  <r>
    <n v="2019"/>
    <s v="G-S"/>
    <x v="0"/>
    <x v="0"/>
    <m/>
    <m/>
    <x v="557"/>
    <m/>
    <x v="394"/>
    <m/>
    <m/>
    <m/>
    <s v="CERRADO"/>
    <n v="204712"/>
    <x v="43"/>
    <x v="3"/>
    <x v="246"/>
    <d v="2019-03-08T00:00:00"/>
    <s v="CAD"/>
    <m/>
    <s v="KTI 20190451 "/>
    <m/>
    <d v="2019-04-26T00:00:00"/>
    <s v="CANCELADO"/>
    <s v="CFR"/>
    <m/>
    <x v="272"/>
    <n v="160"/>
    <m/>
    <x v="498"/>
    <x v="32"/>
    <s v="Contenedor 40'"/>
    <m/>
    <s v="50 kg"/>
    <m/>
    <m/>
    <s v="2H MAR - 1H ABR"/>
    <x v="0"/>
    <m/>
    <m/>
    <m/>
    <x v="302"/>
    <m/>
    <m/>
    <x v="296"/>
    <n v="6"/>
    <n v="2019"/>
    <x v="0"/>
    <x v="0"/>
    <s v="DALIAN / CHINA"/>
    <x v="0"/>
    <m/>
    <x v="0"/>
    <x v="397"/>
    <d v="2019-04-15T00:00:00"/>
    <s v="MOSCOW MAERSK"/>
    <x v="156"/>
    <x v="6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558"/>
    <m/>
    <x v="395"/>
    <m/>
    <m/>
    <m/>
    <s v="CERRADO"/>
    <n v="204712"/>
    <x v="43"/>
    <x v="3"/>
    <x v="247"/>
    <d v="2019-03-08T00:00:00"/>
    <s v="CAD"/>
    <m/>
    <s v="KTI 20190455 "/>
    <m/>
    <d v="2019-05-06T00:00:00"/>
    <s v="CANCELADO"/>
    <s v="CFR"/>
    <m/>
    <x v="273"/>
    <n v="160"/>
    <m/>
    <x v="499"/>
    <x v="5"/>
    <s v="Contenedor 40'"/>
    <m/>
    <s v="50 kg"/>
    <m/>
    <m/>
    <s v="2H MAR - 1H ABR"/>
    <x v="0"/>
    <m/>
    <m/>
    <m/>
    <x v="302"/>
    <m/>
    <m/>
    <x v="296"/>
    <n v="6"/>
    <n v="2019"/>
    <x v="0"/>
    <x v="0"/>
    <s v="DALIAN / CHINA"/>
    <x v="0"/>
    <m/>
    <x v="0"/>
    <x v="398"/>
    <d v="2019-04-15T00:00:00"/>
    <s v="MOSCOW MAERSK"/>
    <x v="156"/>
    <x v="6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559"/>
    <m/>
    <x v="396"/>
    <m/>
    <m/>
    <m/>
    <s v="CERRADO"/>
    <n v="207578"/>
    <x v="8"/>
    <x v="3"/>
    <x v="248"/>
    <d v="2019-02-27T00:00:00"/>
    <s v="CAD"/>
    <m/>
    <s v="KTI 20190370 "/>
    <m/>
    <d v="2019-04-29T00:00:00"/>
    <s v="CANCELADO"/>
    <s v="CFR"/>
    <m/>
    <x v="274"/>
    <n v="247"/>
    <m/>
    <x v="500"/>
    <x v="34"/>
    <s v="Contenedor 20'"/>
    <m/>
    <s v="25 kg"/>
    <m/>
    <m/>
    <s v="2H MAR - 1H ABR"/>
    <x v="0"/>
    <m/>
    <m/>
    <m/>
    <x v="303"/>
    <m/>
    <m/>
    <x v="279"/>
    <n v="5"/>
    <n v="2019"/>
    <x v="0"/>
    <x v="0"/>
    <s v="XINGANG / CHINA"/>
    <x v="2"/>
    <m/>
    <x v="0"/>
    <x v="399"/>
    <d v="2019-03-31T00:00:00"/>
    <s v="NYK LIBRA "/>
    <x v="157"/>
    <x v="16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560"/>
    <m/>
    <x v="397"/>
    <m/>
    <m/>
    <m/>
    <s v="CERRADO"/>
    <n v="207578"/>
    <x v="8"/>
    <x v="3"/>
    <x v="249"/>
    <d v="2019-02-27T00:00:00"/>
    <s v="CAD"/>
    <m/>
    <s v="KTI20190371"/>
    <m/>
    <d v="2019-04-29T00:00:00"/>
    <s v="CANCELADO"/>
    <s v="CFR"/>
    <m/>
    <x v="175"/>
    <n v="252"/>
    <m/>
    <x v="501"/>
    <x v="26"/>
    <s v="Contenedor 20'"/>
    <m/>
    <s v="25 kg"/>
    <m/>
    <m/>
    <s v="2H MAR - 1H ABR"/>
    <x v="0"/>
    <m/>
    <m/>
    <m/>
    <x v="287"/>
    <m/>
    <m/>
    <x v="282"/>
    <n v="5"/>
    <n v="2019"/>
    <x v="0"/>
    <x v="0"/>
    <s v="XINGANG / CHINA"/>
    <x v="0"/>
    <m/>
    <x v="0"/>
    <x v="400"/>
    <d v="2019-03-23T00:00:00"/>
    <s v="NYK LIBRA"/>
    <x v="45"/>
    <x v="2"/>
    <m/>
    <m/>
    <m/>
    <m/>
    <m/>
    <m/>
    <x v="0"/>
    <d v="2019-05-20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561"/>
    <m/>
    <x v="398"/>
    <m/>
    <m/>
    <m/>
    <s v="CERRADO"/>
    <n v="206971"/>
    <x v="3"/>
    <x v="3"/>
    <x v="250"/>
    <d v="2019-03-04T00:00:00"/>
    <s v="CAD"/>
    <m/>
    <s v="KTI20190447"/>
    <m/>
    <d v="2019-04-26T00:00:00"/>
    <s v="CANCELADO"/>
    <s v="CFR"/>
    <m/>
    <x v="35"/>
    <n v="523.5"/>
    <m/>
    <x v="502"/>
    <x v="26"/>
    <s v="Contenedor 20'"/>
    <m/>
    <s v="25 kg"/>
    <m/>
    <m/>
    <s v="2H MAR - 1H ABR"/>
    <x v="0"/>
    <m/>
    <m/>
    <m/>
    <x v="304"/>
    <m/>
    <m/>
    <x v="297"/>
    <n v="5"/>
    <n v="2019"/>
    <x v="0"/>
    <x v="0"/>
    <s v="KAOHSIUNG / TAIWAN"/>
    <x v="2"/>
    <m/>
    <x v="0"/>
    <x v="401"/>
    <d v="2019-04-13T00:00:00"/>
    <s v="EVER EXCEL"/>
    <x v="158"/>
    <x v="22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562"/>
    <m/>
    <x v="399"/>
    <m/>
    <m/>
    <m/>
    <s v="CERRADO"/>
    <n v="206971"/>
    <x v="3"/>
    <x v="3"/>
    <x v="251"/>
    <d v="2019-03-04T00:00:00"/>
    <s v="CAD"/>
    <m/>
    <s v="KTI201900429"/>
    <m/>
    <d v="2019-04-23T00:00:00"/>
    <s v="CANCELADO"/>
    <s v="CFR"/>
    <m/>
    <x v="70"/>
    <n v="528.5"/>
    <m/>
    <x v="503"/>
    <x v="19"/>
    <s v="Contenedor 20'"/>
    <m/>
    <s v="25 kg"/>
    <m/>
    <m/>
    <s v="2H MAR - 1H ABR"/>
    <x v="0"/>
    <m/>
    <m/>
    <m/>
    <x v="305"/>
    <m/>
    <m/>
    <x v="298"/>
    <n v="5"/>
    <n v="2019"/>
    <x v="0"/>
    <x v="0"/>
    <s v="KAOHSIUNG / TAIWAN"/>
    <x v="0"/>
    <m/>
    <x v="0"/>
    <x v="402"/>
    <d v="2019-04-03T00:00:00"/>
    <s v="YM WIDTH"/>
    <x v="149"/>
    <x v="16"/>
    <m/>
    <m/>
    <m/>
    <m/>
    <m/>
    <m/>
    <x v="0"/>
    <d v="2019-06-11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563"/>
    <m/>
    <x v="400"/>
    <m/>
    <m/>
    <m/>
    <s v="CERRADO"/>
    <n v="206971"/>
    <x v="3"/>
    <x v="3"/>
    <x v="251"/>
    <d v="2019-03-04T00:00:00"/>
    <s v="CAD"/>
    <m/>
    <s v="KTI 20190498"/>
    <m/>
    <d v="2019-05-13T00:00:00"/>
    <s v="CANCELADO"/>
    <s v="CFR"/>
    <m/>
    <x v="70"/>
    <n v="528.5"/>
    <m/>
    <x v="503"/>
    <x v="19"/>
    <s v="Contenedor 20'"/>
    <m/>
    <s v="25 kg"/>
    <m/>
    <m/>
    <s v="2H MAR - 1H ABR"/>
    <x v="0"/>
    <m/>
    <m/>
    <m/>
    <x v="306"/>
    <m/>
    <m/>
    <x v="299"/>
    <n v="6"/>
    <n v="2019"/>
    <x v="0"/>
    <x v="0"/>
    <s v="KAOHSIUNG / TAIWAN"/>
    <x v="0"/>
    <m/>
    <x v="0"/>
    <x v="403"/>
    <d v="2019-04-24T00:00:00"/>
    <s v="YM WINNER"/>
    <x v="159"/>
    <x v="16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564"/>
    <m/>
    <x v="401"/>
    <m/>
    <m/>
    <m/>
    <s v="CERRADO"/>
    <n v="206971"/>
    <x v="3"/>
    <x v="3"/>
    <x v="251"/>
    <d v="2019-03-04T00:00:00"/>
    <s v="CAD"/>
    <m/>
    <s v="KTI20190502"/>
    <m/>
    <d v="2019-05-13T00:00:00"/>
    <s v="CANCELADO"/>
    <s v="CFR"/>
    <m/>
    <x v="99"/>
    <n v="528.5"/>
    <m/>
    <x v="504"/>
    <x v="21"/>
    <s v="Contenedor 20'"/>
    <m/>
    <s v="25 kg"/>
    <m/>
    <m/>
    <s v="2H MAR - 1H ABR"/>
    <x v="0"/>
    <m/>
    <m/>
    <m/>
    <x v="307"/>
    <m/>
    <m/>
    <x v="300"/>
    <n v="6"/>
    <n v="2019"/>
    <x v="0"/>
    <x v="0"/>
    <s v="KAOHSIUNG / TAIWAN"/>
    <x v="0"/>
    <m/>
    <x v="0"/>
    <x v="404"/>
    <d v="2019-05-01T00:00:00"/>
    <s v="KMTC KULSAN"/>
    <x v="149"/>
    <x v="16"/>
    <m/>
    <m/>
    <m/>
    <m/>
    <m/>
    <m/>
    <x v="0"/>
    <d v="2019-07-09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565"/>
    <m/>
    <x v="402"/>
    <m/>
    <m/>
    <m/>
    <s v="CERRADO"/>
    <n v="206971"/>
    <x v="3"/>
    <x v="3"/>
    <x v="251"/>
    <d v="2019-03-04T00:00:00"/>
    <s v="CAD"/>
    <m/>
    <s v="KTI20190503"/>
    <m/>
    <d v="2019-05-13T00:00:00"/>
    <s v="CANCELADO"/>
    <s v="CFR"/>
    <m/>
    <x v="180"/>
    <n v="528.5"/>
    <m/>
    <x v="505"/>
    <x v="35"/>
    <s v="Contenedor 20'"/>
    <m/>
    <s v="25 kg"/>
    <m/>
    <m/>
    <s v="2H MAR - 1H ABR"/>
    <x v="0"/>
    <m/>
    <m/>
    <m/>
    <x v="307"/>
    <m/>
    <m/>
    <x v="300"/>
    <n v="6"/>
    <n v="2019"/>
    <x v="0"/>
    <x v="0"/>
    <s v="KAOHSIUNG / TAIWAN"/>
    <x v="0"/>
    <m/>
    <x v="0"/>
    <x v="405"/>
    <d v="2019-05-01T00:00:00"/>
    <s v="KMTC KULSAN"/>
    <x v="149"/>
    <x v="16"/>
    <m/>
    <m/>
    <m/>
    <m/>
    <m/>
    <m/>
    <x v="0"/>
    <d v="2019-07-09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C"/>
    <x v="0"/>
    <x v="0"/>
    <m/>
    <m/>
    <x v="566"/>
    <m/>
    <x v="403"/>
    <m/>
    <m/>
    <m/>
    <s v="CERRADO"/>
    <n v="207580"/>
    <x v="32"/>
    <x v="3"/>
    <x v="252"/>
    <d v="2019-03-04T00:00:00"/>
    <s v="CAD"/>
    <m/>
    <s v="20190333"/>
    <m/>
    <d v="2019-03-29T00:00:00"/>
    <s v="CANCELADO"/>
    <s v="CFR"/>
    <m/>
    <x v="80"/>
    <n v="765"/>
    <m/>
    <x v="506"/>
    <x v="19"/>
    <s v="Contenedor 20'"/>
    <m/>
    <s v="25 kg"/>
    <m/>
    <m/>
    <s v="2H MAR - 1H ABR"/>
    <x v="0"/>
    <m/>
    <m/>
    <m/>
    <x v="296"/>
    <m/>
    <m/>
    <x v="301"/>
    <n v="5"/>
    <n v="2019"/>
    <x v="0"/>
    <x v="0"/>
    <s v="LIANYUNGANG / CHINA"/>
    <x v="2"/>
    <m/>
    <x v="0"/>
    <x v="406"/>
    <d v="2019-03-22T00:00:00"/>
    <s v="XIANG SHUN 1912E"/>
    <x v="160"/>
    <x v="2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C"/>
    <x v="0"/>
    <x v="0"/>
    <m/>
    <m/>
    <x v="567"/>
    <m/>
    <x v="404"/>
    <m/>
    <m/>
    <m/>
    <s v="CERRADO"/>
    <n v="207580"/>
    <x v="32"/>
    <x v="3"/>
    <x v="253"/>
    <d v="2019-03-04T00:00:00"/>
    <s v="CAD"/>
    <m/>
    <s v="20190334"/>
    <m/>
    <d v="2019-04-03T00:00:00"/>
    <s v="CANCELADO"/>
    <s v="CFR"/>
    <m/>
    <x v="275"/>
    <n v="775"/>
    <m/>
    <x v="507"/>
    <x v="36"/>
    <s v="Contenedor 20'"/>
    <m/>
    <s v="25 kg"/>
    <m/>
    <m/>
    <s v="2H MAR - 1H ABR"/>
    <x v="0"/>
    <m/>
    <m/>
    <m/>
    <x v="287"/>
    <m/>
    <m/>
    <x v="281"/>
    <n v="5"/>
    <n v="2019"/>
    <x v="0"/>
    <x v="0"/>
    <s v="LIANYUNGANG / CHINA"/>
    <x v="0"/>
    <m/>
    <x v="0"/>
    <x v="407"/>
    <d v="2019-03-22T00:00:00"/>
    <s v="XIANG SHUN 1912E"/>
    <x v="45"/>
    <x v="2"/>
    <m/>
    <m/>
    <m/>
    <m/>
    <m/>
    <m/>
    <x v="0"/>
    <d v="2019-05-23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E-S"/>
    <x v="0"/>
    <x v="0"/>
    <m/>
    <m/>
    <x v="568"/>
    <m/>
    <x v="405"/>
    <m/>
    <m/>
    <m/>
    <s v="CERRADO"/>
    <n v="208053"/>
    <x v="53"/>
    <x v="36"/>
    <x v="254"/>
    <d v="2019-03-05T00:00:00"/>
    <n v="120"/>
    <s v="días FACT."/>
    <s v="6277"/>
    <m/>
    <d v="2019-08-08T00:00:00"/>
    <s v="CANCELADO"/>
    <s v="CIF"/>
    <m/>
    <x v="8"/>
    <n v="340"/>
    <m/>
    <x v="454"/>
    <x v="17"/>
    <s v="Granel - BB"/>
    <m/>
    <s v="Bigbag"/>
    <m/>
    <m/>
    <s v="MARZO '19"/>
    <x v="0"/>
    <m/>
    <m/>
    <m/>
    <x v="300"/>
    <m/>
    <m/>
    <x v="302"/>
    <n v="6"/>
    <n v="2019"/>
    <x v="0"/>
    <x v="0"/>
    <s v="BAYUQUAN / CHINA"/>
    <x v="2"/>
    <m/>
    <x v="0"/>
    <x v="408"/>
    <d v="2019-04-09T00:00:00"/>
    <s v="BIWA ARROW"/>
    <x v="35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E-S"/>
    <x v="0"/>
    <x v="0"/>
    <m/>
    <m/>
    <x v="569"/>
    <m/>
    <x v="406"/>
    <m/>
    <m/>
    <m/>
    <s v="CERRADO"/>
    <n v="209986"/>
    <x v="55"/>
    <x v="28"/>
    <x v="255"/>
    <d v="2019-03-05T00:00:00"/>
    <n v="30"/>
    <s v="días BL"/>
    <s v="903"/>
    <m/>
    <d v="2019-04-29T00:00:00"/>
    <s v="CANCELADO"/>
    <s v="CFR"/>
    <m/>
    <x v="145"/>
    <n v="280"/>
    <m/>
    <x v="237"/>
    <x v="1"/>
    <s v="Contenedor 20'"/>
    <m/>
    <s v="50 kg"/>
    <m/>
    <m/>
    <s v="MARZO '19"/>
    <x v="0"/>
    <m/>
    <m/>
    <m/>
    <x v="308"/>
    <m/>
    <m/>
    <x v="303"/>
    <n v="4"/>
    <n v="2019"/>
    <x v="0"/>
    <x v="0"/>
    <s v="QUETZAL/ GUATEMALA"/>
    <x v="2"/>
    <m/>
    <x v="0"/>
    <x v="409"/>
    <d v="2019-03-31T00:00:00"/>
    <s v="WAN HAI 613   "/>
    <x v="161"/>
    <x v="14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E-S"/>
    <x v="0"/>
    <x v="0"/>
    <m/>
    <m/>
    <x v="570"/>
    <m/>
    <x v="407"/>
    <m/>
    <m/>
    <m/>
    <s v="CERRADO"/>
    <n v="209986"/>
    <x v="55"/>
    <x v="28"/>
    <x v="256"/>
    <d v="2019-03-05T00:00:00"/>
    <n v="30"/>
    <s v="días BL"/>
    <s v="902"/>
    <m/>
    <d v="2019-05-09T00:00:00"/>
    <s v="CANCELADO"/>
    <s v="CFR"/>
    <m/>
    <x v="145"/>
    <n v="286"/>
    <m/>
    <x v="508"/>
    <x v="1"/>
    <s v="Contenedor 20'"/>
    <m/>
    <s v="50 kg"/>
    <m/>
    <m/>
    <s v="MARZO '19"/>
    <x v="0"/>
    <m/>
    <m/>
    <m/>
    <x v="277"/>
    <m/>
    <m/>
    <x v="303"/>
    <n v="4"/>
    <n v="2019"/>
    <x v="0"/>
    <x v="0"/>
    <s v="QUETZAL/ GUATEMALA"/>
    <x v="0"/>
    <m/>
    <x v="0"/>
    <x v="410"/>
    <d v="2019-04-03T00:00:00"/>
    <s v="NYK LYRA "/>
    <x v="45"/>
    <x v="23"/>
    <m/>
    <m/>
    <m/>
    <m/>
    <m/>
    <m/>
    <x v="0"/>
    <d v="2019-04-20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B-S"/>
    <x v="0"/>
    <x v="0"/>
    <m/>
    <m/>
    <x v="571"/>
    <m/>
    <x v="408"/>
    <m/>
    <m/>
    <m/>
    <s v="CERRADO"/>
    <n v="206603"/>
    <x v="85"/>
    <x v="43"/>
    <x v="257"/>
    <d v="2019-03-06T00:00:00"/>
    <n v="120"/>
    <s v="días FACT."/>
    <s v="FV194E000021"/>
    <m/>
    <d v="2019-08-08T00:00:00"/>
    <s v="CANCELADO"/>
    <s v="CIF"/>
    <m/>
    <x v="276"/>
    <n v="18671.229892761392"/>
    <m/>
    <x v="509"/>
    <x v="3"/>
    <s v="Contenedor 20'"/>
    <m/>
    <s v="1L"/>
    <m/>
    <m/>
    <s v="MARZO - ABRIL"/>
    <x v="0"/>
    <m/>
    <m/>
    <m/>
    <x v="282"/>
    <m/>
    <m/>
    <x v="278"/>
    <n v="5"/>
    <n v="2019"/>
    <x v="0"/>
    <x v="0"/>
    <s v="VALENCIA / ESPAÑA"/>
    <x v="2"/>
    <m/>
    <x v="0"/>
    <x v="411"/>
    <d v="2019-04-11T00:00:00"/>
    <s v="CELINE STAR"/>
    <x v="162"/>
    <x v="24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B-S"/>
    <x v="0"/>
    <x v="0"/>
    <m/>
    <m/>
    <x v="572"/>
    <m/>
    <x v="408"/>
    <m/>
    <m/>
    <m/>
    <s v="CERRADO"/>
    <n v="206604"/>
    <x v="86"/>
    <x v="43"/>
    <x v="257"/>
    <d v="2019-03-06T00:00:00"/>
    <n v="120"/>
    <s v="días FACT."/>
    <s v="FV194E000021"/>
    <m/>
    <d v="2019-08-08T00:00:00"/>
    <s v="CANCELADO"/>
    <s v="CIF"/>
    <m/>
    <x v="142"/>
    <n v="17471.229892761396"/>
    <m/>
    <x v="510"/>
    <x v="3"/>
    <s v="Contenedor 20'"/>
    <m/>
    <s v="5L"/>
    <m/>
    <m/>
    <s v="MARZO - ABRIL"/>
    <x v="0"/>
    <m/>
    <m/>
    <m/>
    <x v="282"/>
    <m/>
    <m/>
    <x v="278"/>
    <n v="5"/>
    <n v="2019"/>
    <x v="0"/>
    <x v="0"/>
    <s v="VALENCIA / ESPAÑA"/>
    <x v="2"/>
    <m/>
    <x v="0"/>
    <x v="411"/>
    <d v="2019-04-11T00:00:00"/>
    <s v="CELINE STAR"/>
    <x v="162"/>
    <x v="24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B-S"/>
    <x v="0"/>
    <x v="0"/>
    <m/>
    <m/>
    <x v="573"/>
    <m/>
    <x v="408"/>
    <m/>
    <m/>
    <m/>
    <s v="CERRADO"/>
    <n v="206612"/>
    <x v="87"/>
    <x v="43"/>
    <x v="257"/>
    <d v="2019-03-06T00:00:00"/>
    <n v="120"/>
    <s v="días FACT."/>
    <s v="FV194E000021"/>
    <m/>
    <d v="2019-08-08T00:00:00"/>
    <s v="CANCELADO"/>
    <s v="CIF"/>
    <m/>
    <x v="277"/>
    <n v="4721.2298927613938"/>
    <m/>
    <x v="511"/>
    <x v="3"/>
    <s v="Contenedor 20'"/>
    <m/>
    <s v="25 kg"/>
    <m/>
    <m/>
    <s v="MARZO - ABRIL"/>
    <x v="0"/>
    <m/>
    <m/>
    <m/>
    <x v="282"/>
    <m/>
    <m/>
    <x v="278"/>
    <n v="5"/>
    <n v="2019"/>
    <x v="0"/>
    <x v="0"/>
    <s v="VALENCIA / ESPAÑA"/>
    <x v="2"/>
    <m/>
    <x v="0"/>
    <x v="411"/>
    <d v="2019-04-11T00:00:00"/>
    <s v="CELINE STAR"/>
    <x v="162"/>
    <x v="24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B-S"/>
    <x v="0"/>
    <x v="0"/>
    <m/>
    <m/>
    <x v="574"/>
    <m/>
    <x v="408"/>
    <m/>
    <m/>
    <m/>
    <s v="CERRADO"/>
    <n v="206606"/>
    <x v="88"/>
    <x v="43"/>
    <x v="257"/>
    <d v="2019-03-06T00:00:00"/>
    <n v="120"/>
    <s v="días FACT."/>
    <s v="FV194E000021"/>
    <m/>
    <d v="2019-08-08T00:00:00"/>
    <s v="CANCELADO"/>
    <s v="CIF"/>
    <m/>
    <x v="276"/>
    <n v="6771.2298927613947"/>
    <m/>
    <x v="512"/>
    <x v="3"/>
    <s v="Contenedor 20'"/>
    <m/>
    <s v="1L"/>
    <m/>
    <m/>
    <s v="MARZO - ABRIL"/>
    <x v="0"/>
    <m/>
    <m/>
    <m/>
    <x v="282"/>
    <m/>
    <m/>
    <x v="278"/>
    <n v="5"/>
    <n v="2019"/>
    <x v="0"/>
    <x v="0"/>
    <s v="VALENCIA / ESPAÑA"/>
    <x v="2"/>
    <m/>
    <x v="0"/>
    <x v="411"/>
    <d v="2019-04-11T00:00:00"/>
    <s v="CELINE STAR"/>
    <x v="162"/>
    <x v="24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B-S"/>
    <x v="0"/>
    <x v="0"/>
    <m/>
    <m/>
    <x v="575"/>
    <m/>
    <x v="408"/>
    <m/>
    <m/>
    <m/>
    <s v="CERRADO"/>
    <n v="206607"/>
    <x v="89"/>
    <x v="43"/>
    <x v="257"/>
    <d v="2019-03-06T00:00:00"/>
    <n v="120"/>
    <s v="días FACT."/>
    <s v="FV194E000021"/>
    <m/>
    <d v="2019-08-08T00:00:00"/>
    <s v="CANCELADO"/>
    <s v="CIF"/>
    <m/>
    <x v="142"/>
    <n v="5571.2298927613938"/>
    <m/>
    <x v="513"/>
    <x v="3"/>
    <s v="Contenedor 20'"/>
    <m/>
    <s v="5L"/>
    <m/>
    <m/>
    <s v="MARZO - ABRIL"/>
    <x v="0"/>
    <m/>
    <m/>
    <m/>
    <x v="282"/>
    <m/>
    <m/>
    <x v="278"/>
    <n v="5"/>
    <n v="2019"/>
    <x v="0"/>
    <x v="0"/>
    <s v="VALENCIA / ESPAÑA"/>
    <x v="2"/>
    <m/>
    <x v="0"/>
    <x v="411"/>
    <d v="2019-04-11T00:00:00"/>
    <s v="CELINE STAR"/>
    <x v="162"/>
    <x v="24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B-S"/>
    <x v="0"/>
    <x v="0"/>
    <m/>
    <m/>
    <x v="576"/>
    <m/>
    <x v="408"/>
    <m/>
    <m/>
    <m/>
    <s v="CERRADO"/>
    <n v="206608"/>
    <x v="90"/>
    <x v="43"/>
    <x v="257"/>
    <d v="2019-03-06T00:00:00"/>
    <n v="120"/>
    <s v="días FACT."/>
    <s v="FV194E000021"/>
    <m/>
    <d v="2019-08-08T00:00:00"/>
    <s v="CANCELADO"/>
    <s v="CIF"/>
    <m/>
    <x v="278"/>
    <n v="48271.229892761388"/>
    <m/>
    <x v="514"/>
    <x v="3"/>
    <s v="Contenedor 20'"/>
    <m/>
    <s v="1L"/>
    <m/>
    <m/>
    <s v="MARZO - ABRIL"/>
    <x v="0"/>
    <m/>
    <m/>
    <m/>
    <x v="282"/>
    <m/>
    <m/>
    <x v="278"/>
    <n v="5"/>
    <n v="2019"/>
    <x v="0"/>
    <x v="0"/>
    <s v="VALENCIA / ESPAÑA"/>
    <x v="2"/>
    <m/>
    <x v="0"/>
    <x v="411"/>
    <d v="2019-04-11T00:00:00"/>
    <s v="CELINE STAR"/>
    <x v="162"/>
    <x v="24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B-S"/>
    <x v="0"/>
    <x v="0"/>
    <m/>
    <m/>
    <x v="577"/>
    <m/>
    <x v="408"/>
    <m/>
    <m/>
    <m/>
    <s v="CERRADO"/>
    <n v="206609"/>
    <x v="91"/>
    <x v="43"/>
    <x v="257"/>
    <d v="2019-03-06T00:00:00"/>
    <n v="120"/>
    <s v="días FACT."/>
    <s v="FV194E000021"/>
    <m/>
    <d v="2019-08-08T00:00:00"/>
    <s v="CANCELADO"/>
    <s v="CIF"/>
    <m/>
    <x v="276"/>
    <n v="21421.229892761392"/>
    <m/>
    <x v="515"/>
    <x v="3"/>
    <s v="Contenedor 20'"/>
    <m/>
    <s v="1L"/>
    <m/>
    <m/>
    <s v="MARZO - ABRIL"/>
    <x v="0"/>
    <m/>
    <m/>
    <m/>
    <x v="282"/>
    <m/>
    <m/>
    <x v="278"/>
    <n v="5"/>
    <n v="2019"/>
    <x v="0"/>
    <x v="0"/>
    <s v="VALENCIA / ESPAÑA"/>
    <x v="2"/>
    <m/>
    <x v="0"/>
    <x v="411"/>
    <d v="2019-04-11T00:00:00"/>
    <s v="CELINE STAR"/>
    <x v="162"/>
    <x v="24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B-S"/>
    <x v="0"/>
    <x v="0"/>
    <m/>
    <m/>
    <x v="578"/>
    <m/>
    <x v="408"/>
    <m/>
    <m/>
    <m/>
    <s v="CERRADO"/>
    <n v="206610"/>
    <x v="92"/>
    <x v="43"/>
    <x v="257"/>
    <d v="2019-03-06T00:00:00"/>
    <n v="120"/>
    <s v="días FACT."/>
    <s v="FV194E000021"/>
    <m/>
    <d v="2019-08-08T00:00:00"/>
    <s v="CANCELADO"/>
    <s v="CIF"/>
    <m/>
    <x v="142"/>
    <n v="20221.229892761396"/>
    <m/>
    <x v="516"/>
    <x v="3"/>
    <s v="Contenedor 20'"/>
    <m/>
    <s v="5L"/>
    <m/>
    <m/>
    <s v="MARZO - ABRIL"/>
    <x v="0"/>
    <m/>
    <m/>
    <m/>
    <x v="282"/>
    <m/>
    <m/>
    <x v="278"/>
    <n v="5"/>
    <n v="2019"/>
    <x v="0"/>
    <x v="0"/>
    <s v="VALENCIA / ESPAÑA"/>
    <x v="2"/>
    <m/>
    <x v="0"/>
    <x v="411"/>
    <d v="2019-04-11T00:00:00"/>
    <s v="CELINE STAR"/>
    <x v="162"/>
    <x v="24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B-S"/>
    <x v="0"/>
    <x v="0"/>
    <m/>
    <m/>
    <x v="579"/>
    <m/>
    <x v="408"/>
    <m/>
    <m/>
    <m/>
    <s v="CERRADO"/>
    <n v="206611"/>
    <x v="93"/>
    <x v="43"/>
    <x v="257"/>
    <d v="2019-03-06T00:00:00"/>
    <n v="120"/>
    <s v="días FACT."/>
    <s v="FV194E000021"/>
    <m/>
    <d v="2019-08-08T00:00:00"/>
    <s v="CANCELADO"/>
    <s v="CIF"/>
    <m/>
    <x v="276"/>
    <n v="22571.229892761399"/>
    <m/>
    <x v="517"/>
    <x v="3"/>
    <s v="Contenedor 20'"/>
    <m/>
    <s v="1L"/>
    <m/>
    <m/>
    <s v="MARZO - ABRIL"/>
    <x v="0"/>
    <m/>
    <m/>
    <m/>
    <x v="282"/>
    <m/>
    <m/>
    <x v="278"/>
    <n v="5"/>
    <n v="2019"/>
    <x v="0"/>
    <x v="0"/>
    <s v="VALENCIA / ESPAÑA"/>
    <x v="2"/>
    <m/>
    <x v="0"/>
    <x v="411"/>
    <d v="2019-04-11T00:00:00"/>
    <s v="CELINE STAR"/>
    <x v="162"/>
    <x v="24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-"/>
    <x v="0"/>
    <x v="0"/>
    <m/>
    <m/>
    <x v="580"/>
    <m/>
    <x v="409"/>
    <m/>
    <m/>
    <m/>
    <s v="CERRADO"/>
    <n v="209856"/>
    <x v="94"/>
    <x v="37"/>
    <x v="258"/>
    <d v="2019-03-14T00:00:00"/>
    <s v="CAD"/>
    <m/>
    <s v="25748"/>
    <m/>
    <d v="2019-04-23T00:00:00"/>
    <s v="CANCELADO"/>
    <s v="CFR"/>
    <m/>
    <x v="279"/>
    <n v="945"/>
    <m/>
    <x v="518"/>
    <x v="7"/>
    <s v="Contenedor 20'"/>
    <m/>
    <s v="25 kg"/>
    <m/>
    <m/>
    <s v="MARZO '19"/>
    <x v="0"/>
    <m/>
    <m/>
    <m/>
    <x v="306"/>
    <m/>
    <m/>
    <x v="302"/>
    <n v="6"/>
    <n v="2019"/>
    <x v="0"/>
    <x v="0"/>
    <s v="VERACRUZ / MEXICO"/>
    <x v="4"/>
    <m/>
    <x v="0"/>
    <x v="412"/>
    <d v="2019-04-16T00:00:00"/>
    <s v="MINERVA"/>
    <x v="129"/>
    <x v="2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s v="URGENTE"/>
    <m/>
    <x v="581"/>
    <m/>
    <x v="410"/>
    <m/>
    <m/>
    <m/>
    <s v="CERRADO"/>
    <n v="207579"/>
    <x v="9"/>
    <x v="3"/>
    <x v="259"/>
    <d v="2019-03-15T00:00:00"/>
    <s v="CAD"/>
    <m/>
    <s v="KTI 20190315"/>
    <m/>
    <d v="2019-05-06T00:00:00"/>
    <s v="CANCELADO"/>
    <s v="CFR"/>
    <m/>
    <x v="78"/>
    <n v="304"/>
    <m/>
    <x v="519"/>
    <x v="3"/>
    <s v="Granel - BB"/>
    <m/>
    <s v="25 kg"/>
    <m/>
    <m/>
    <s v="2H ABRIL"/>
    <x v="0"/>
    <m/>
    <m/>
    <m/>
    <x v="302"/>
    <m/>
    <m/>
    <x v="304"/>
    <n v="6"/>
    <n v="2019"/>
    <x v="0"/>
    <x v="0"/>
    <s v="TIANJING / CHINA"/>
    <x v="4"/>
    <m/>
    <x v="0"/>
    <x v="413"/>
    <d v="2019-04-17T00:00:00"/>
    <s v="JAVA STAR"/>
    <x v="163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582"/>
    <m/>
    <x v="411"/>
    <m/>
    <m/>
    <m/>
    <s v="CERRADO"/>
    <n v="207578"/>
    <x v="8"/>
    <x v="3"/>
    <x v="260"/>
    <d v="2019-03-15T00:00:00"/>
    <s v="CAD"/>
    <m/>
    <s v="KTI 201910157"/>
    <m/>
    <d v="2019-04-26T00:00:00"/>
    <s v="CANCELADO"/>
    <s v="CFR"/>
    <m/>
    <x v="280"/>
    <n v="269"/>
    <m/>
    <x v="520"/>
    <x v="3"/>
    <s v="Granel - BB"/>
    <m/>
    <s v="25 kg"/>
    <m/>
    <m/>
    <s v="2H ABRIL"/>
    <x v="0"/>
    <m/>
    <m/>
    <m/>
    <x v="302"/>
    <m/>
    <m/>
    <x v="304"/>
    <n v="6"/>
    <n v="2019"/>
    <x v="0"/>
    <x v="0"/>
    <s v="TIANJING / CHINA"/>
    <x v="4"/>
    <m/>
    <x v="0"/>
    <x v="414"/>
    <d v="2019-04-17T00:00:00"/>
    <s v="JAVA STAR"/>
    <x v="163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C"/>
    <x v="0"/>
    <x v="0"/>
    <m/>
    <m/>
    <x v="583"/>
    <m/>
    <x v="412"/>
    <m/>
    <m/>
    <m/>
    <s v="CERRADO"/>
    <n v="207580"/>
    <x v="32"/>
    <x v="3"/>
    <x v="261"/>
    <d v="2019-03-15T00:00:00"/>
    <s v="CAD"/>
    <m/>
    <s v="KTI20190301"/>
    <m/>
    <d v="2019-04-24T00:00:00"/>
    <s v="CANCELADO"/>
    <s v="CFR"/>
    <m/>
    <x v="147"/>
    <n v="788"/>
    <m/>
    <x v="521"/>
    <x v="4"/>
    <s v="Contenedor 20'"/>
    <m/>
    <s v="25 kg"/>
    <m/>
    <m/>
    <s v="APRIL '19"/>
    <x v="0"/>
    <m/>
    <m/>
    <m/>
    <x v="309"/>
    <m/>
    <m/>
    <x v="305"/>
    <n v="6"/>
    <n v="2019"/>
    <x v="0"/>
    <x v="0"/>
    <s v="LIANYUNGANG / CHINA"/>
    <x v="4"/>
    <m/>
    <x v="0"/>
    <x v="415"/>
    <d v="2019-04-12T00:00:00"/>
    <s v="ADRIAN SCHULTE"/>
    <x v="143"/>
    <x v="2"/>
    <m/>
    <m/>
    <m/>
    <m/>
    <m/>
    <m/>
    <x v="0"/>
    <d v="2019-06-25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584"/>
    <m/>
    <x v="413"/>
    <m/>
    <m/>
    <m/>
    <s v="CERRADO"/>
    <n v="207951"/>
    <x v="6"/>
    <x v="2"/>
    <x v="262"/>
    <d v="2019-03-14T00:00:00"/>
    <n v="120"/>
    <s v="días BL"/>
    <s v="SI0010329a"/>
    <m/>
    <d v="2019-08-26T00:00:00"/>
    <s v="CANCELADO"/>
    <s v="CFR"/>
    <m/>
    <x v="281"/>
    <n v="275.94"/>
    <m/>
    <x v="522"/>
    <x v="17"/>
    <s v="Granel"/>
    <m/>
    <s v="Granel Sólido"/>
    <m/>
    <m/>
    <s v="APRIL '19"/>
    <x v="0"/>
    <m/>
    <m/>
    <m/>
    <x v="310"/>
    <m/>
    <m/>
    <x v="306"/>
    <n v="5"/>
    <n v="2019"/>
    <x v="0"/>
    <x v="0"/>
    <s v="KOTKA / FINLANDIA"/>
    <x v="0"/>
    <m/>
    <x v="0"/>
    <x v="416"/>
    <d v="2019-04-22T00:00:00"/>
    <s v="MV TS GOLF"/>
    <x v="16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585"/>
    <m/>
    <x v="413"/>
    <m/>
    <m/>
    <m/>
    <s v="CERRADO"/>
    <n v="207951"/>
    <x v="6"/>
    <x v="2"/>
    <x v="262"/>
    <d v="2019-03-14T00:00:00"/>
    <n v="120"/>
    <s v="días BL"/>
    <s v="SI0010329b"/>
    <m/>
    <d v="2019-08-26T00:00:00"/>
    <s v="CANCELADO"/>
    <s v="CFR"/>
    <m/>
    <x v="282"/>
    <n v="275.94"/>
    <m/>
    <x v="523"/>
    <x v="17"/>
    <s v="Granel"/>
    <m/>
    <s v="Granel Sólido"/>
    <m/>
    <m/>
    <s v="APRIL '19"/>
    <x v="0"/>
    <m/>
    <m/>
    <m/>
    <x v="310"/>
    <m/>
    <m/>
    <x v="306"/>
    <n v="5"/>
    <n v="2019"/>
    <x v="0"/>
    <x v="0"/>
    <s v="KOTKA / FINLANDIA"/>
    <x v="0"/>
    <m/>
    <x v="0"/>
    <x v="417"/>
    <d v="2019-04-22T00:00:00"/>
    <s v="MV TS GOLF"/>
    <x v="16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586"/>
    <m/>
    <x v="414"/>
    <m/>
    <m/>
    <m/>
    <s v="CERRADO"/>
    <n v="207951"/>
    <x v="6"/>
    <x v="2"/>
    <x v="262"/>
    <d v="2019-03-14T00:00:00"/>
    <n v="120"/>
    <s v="días BL"/>
    <s v="SI0010329c"/>
    <m/>
    <d v="2019-08-26T00:00:00"/>
    <s v="CANCELADO"/>
    <s v="CFR"/>
    <m/>
    <x v="283"/>
    <n v="275.94"/>
    <m/>
    <x v="524"/>
    <x v="17"/>
    <s v="Granel"/>
    <m/>
    <s v="Granel Sólido"/>
    <m/>
    <m/>
    <s v="APRIL '19"/>
    <x v="0"/>
    <m/>
    <m/>
    <m/>
    <x v="299"/>
    <m/>
    <m/>
    <x v="307"/>
    <n v="5"/>
    <n v="2019"/>
    <x v="0"/>
    <x v="0"/>
    <s v="KOTKA / FINLANDIA"/>
    <x v="1"/>
    <m/>
    <x v="0"/>
    <x v="51"/>
    <d v="2019-04-22T00:00:00"/>
    <s v="MV TS GOLF"/>
    <x v="16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587"/>
    <m/>
    <x v="415"/>
    <m/>
    <m/>
    <m/>
    <s v="CERRADO"/>
    <n v="207951"/>
    <x v="6"/>
    <x v="2"/>
    <x v="262"/>
    <d v="2019-03-14T00:00:00"/>
    <n v="120"/>
    <s v="días BL"/>
    <s v="SI0010329d"/>
    <m/>
    <d v="2019-08-26T00:00:00"/>
    <s v="CANCELADO"/>
    <s v="CFR"/>
    <m/>
    <x v="284"/>
    <n v="275.94"/>
    <m/>
    <x v="525"/>
    <x v="17"/>
    <s v="Granel"/>
    <m/>
    <s v="Granel Sólido"/>
    <m/>
    <m/>
    <s v="APRIL '19"/>
    <x v="0"/>
    <m/>
    <m/>
    <m/>
    <x v="311"/>
    <m/>
    <m/>
    <x v="294"/>
    <n v="6"/>
    <n v="2019"/>
    <x v="0"/>
    <x v="0"/>
    <s v="KOTKA / FINLANDIA"/>
    <x v="2"/>
    <m/>
    <x v="0"/>
    <x v="418"/>
    <d v="2019-04-22T00:00:00"/>
    <s v="MV TS GOLF"/>
    <x v="16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588"/>
    <m/>
    <x v="415"/>
    <m/>
    <m/>
    <m/>
    <s v="CERRADO"/>
    <n v="207951"/>
    <x v="6"/>
    <x v="2"/>
    <x v="262"/>
    <d v="2019-03-14T00:00:00"/>
    <n v="120"/>
    <s v="días BL"/>
    <s v="SI0010329e"/>
    <m/>
    <d v="2019-08-26T00:00:00"/>
    <s v="CANCELADO"/>
    <s v="CFR"/>
    <m/>
    <x v="15"/>
    <n v="275.94"/>
    <m/>
    <x v="526"/>
    <x v="17"/>
    <s v="Granel"/>
    <m/>
    <s v="Granel Sólido"/>
    <m/>
    <m/>
    <s v="APRIL '19"/>
    <x v="0"/>
    <m/>
    <m/>
    <m/>
    <x v="311"/>
    <m/>
    <m/>
    <x v="294"/>
    <n v="6"/>
    <n v="2019"/>
    <x v="0"/>
    <x v="0"/>
    <s v="KOTKA / FINLANDIA"/>
    <x v="2"/>
    <m/>
    <x v="0"/>
    <x v="419"/>
    <d v="2019-04-22T00:00:00"/>
    <s v="MV TS GOLF"/>
    <x v="16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589"/>
    <m/>
    <x v="416"/>
    <m/>
    <m/>
    <m/>
    <s v="CERRADO"/>
    <n v="207951"/>
    <x v="6"/>
    <x v="2"/>
    <x v="262"/>
    <d v="2019-03-14T00:00:00"/>
    <n v="120"/>
    <s v="días BL"/>
    <s v="SI0010329f"/>
    <m/>
    <d v="2019-08-26T00:00:00"/>
    <s v="CANCELADO"/>
    <s v="CFR"/>
    <m/>
    <x v="285"/>
    <n v="275.94"/>
    <m/>
    <x v="527"/>
    <x v="17"/>
    <s v="Granel"/>
    <m/>
    <s v="Granel Sólido"/>
    <m/>
    <m/>
    <s v="APRIL '19"/>
    <x v="0"/>
    <m/>
    <m/>
    <m/>
    <x v="312"/>
    <m/>
    <m/>
    <x v="308"/>
    <n v="6"/>
    <n v="2019"/>
    <x v="0"/>
    <x v="0"/>
    <s v="KOTKA / FINLANDIA"/>
    <x v="4"/>
    <m/>
    <x v="0"/>
    <x v="19"/>
    <d v="2019-04-22T00:00:00"/>
    <s v="MV TS GOLF"/>
    <x v="16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590"/>
    <m/>
    <x v="417"/>
    <m/>
    <m/>
    <m/>
    <s v="CERRADO"/>
    <n v="203616"/>
    <x v="34"/>
    <x v="6"/>
    <x v="8"/>
    <d v="2019-03-21T00:00:00"/>
    <s v="CAD"/>
    <m/>
    <s v="F001-32621"/>
    <m/>
    <d v="2019-05-02T00:00:00"/>
    <s v="CANCELADO"/>
    <s v="CFR"/>
    <m/>
    <x v="286"/>
    <n v="147"/>
    <m/>
    <x v="528"/>
    <x v="3"/>
    <s v="Granel"/>
    <m/>
    <s v="Granel Sólido"/>
    <m/>
    <m/>
    <s v="ABRIL '19"/>
    <x v="0"/>
    <m/>
    <m/>
    <m/>
    <x v="313"/>
    <m/>
    <m/>
    <x v="298"/>
    <n v="5"/>
    <n v="2019"/>
    <x v="0"/>
    <x v="0"/>
    <s v="NANJING / CHINA"/>
    <x v="0"/>
    <m/>
    <x v="0"/>
    <x v="420"/>
    <d v="2019-04-18T00:00:00"/>
    <s v="MV OCEAN SATOKO"/>
    <x v="165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591"/>
    <m/>
    <x v="418"/>
    <m/>
    <m/>
    <m/>
    <s v="CERRADO"/>
    <n v="203616"/>
    <x v="34"/>
    <x v="6"/>
    <x v="8"/>
    <d v="2019-03-21T00:00:00"/>
    <s v="CAD"/>
    <m/>
    <s v="F001-32622"/>
    <m/>
    <d v="2019-05-02T00:00:00"/>
    <s v="CANCELADO"/>
    <s v="CFR"/>
    <m/>
    <x v="283"/>
    <n v="147"/>
    <m/>
    <x v="529"/>
    <x v="3"/>
    <s v="Granel"/>
    <m/>
    <s v="Granel Sólido"/>
    <m/>
    <m/>
    <s v="ABRIL '19"/>
    <x v="0"/>
    <m/>
    <m/>
    <m/>
    <x v="314"/>
    <m/>
    <m/>
    <x v="307"/>
    <n v="5"/>
    <n v="2019"/>
    <x v="0"/>
    <x v="0"/>
    <s v="NANJING / CHINA"/>
    <x v="1"/>
    <m/>
    <x v="0"/>
    <x v="421"/>
    <d v="2019-04-18T00:00:00"/>
    <s v="MV OCEAN SATOKO"/>
    <x v="165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592"/>
    <m/>
    <x v="419"/>
    <m/>
    <m/>
    <m/>
    <s v="CERRADO"/>
    <n v="203616"/>
    <x v="34"/>
    <x v="6"/>
    <x v="8"/>
    <d v="2019-03-21T00:00:00"/>
    <s v="CAD"/>
    <m/>
    <s v="F001-32623"/>
    <m/>
    <d v="2019-05-02T00:00:00"/>
    <s v="CANCELADO"/>
    <s v="CFR"/>
    <m/>
    <x v="4"/>
    <n v="147"/>
    <m/>
    <x v="530"/>
    <x v="3"/>
    <s v="Granel"/>
    <m/>
    <s v="Granel Sólido"/>
    <m/>
    <m/>
    <s v="ABRIL '19"/>
    <x v="0"/>
    <m/>
    <m/>
    <m/>
    <x v="315"/>
    <m/>
    <m/>
    <x v="309"/>
    <n v="6"/>
    <n v="2019"/>
    <x v="0"/>
    <x v="0"/>
    <s v="NANJING / CHINA"/>
    <x v="4"/>
    <m/>
    <x v="0"/>
    <x v="422"/>
    <d v="2019-04-18T00:00:00"/>
    <s v="MV OCEAN SATOKO"/>
    <x v="165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593"/>
    <m/>
    <x v="420"/>
    <m/>
    <m/>
    <m/>
    <s v="CERRADO"/>
    <n v="206569"/>
    <x v="14"/>
    <x v="6"/>
    <x v="8"/>
    <d v="2019-03-21T00:00:00"/>
    <s v="CAD"/>
    <m/>
    <s v="F001-32613"/>
    <m/>
    <d v="2019-05-02T00:00:00"/>
    <s v="CANCELADO"/>
    <s v="CFR"/>
    <m/>
    <x v="99"/>
    <n v="420"/>
    <m/>
    <x v="412"/>
    <x v="3"/>
    <s v="Granel"/>
    <m/>
    <s v="Granel Sólido"/>
    <m/>
    <m/>
    <s v="ABRIL '19"/>
    <x v="0"/>
    <m/>
    <m/>
    <m/>
    <x v="313"/>
    <m/>
    <m/>
    <x v="298"/>
    <n v="5"/>
    <n v="2019"/>
    <x v="0"/>
    <x v="0"/>
    <s v="NANJING / CHINA"/>
    <x v="0"/>
    <m/>
    <x v="0"/>
    <x v="423"/>
    <d v="2019-04-18T00:00:00"/>
    <s v="MV OCEAN SATOKO"/>
    <x v="165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594"/>
    <m/>
    <x v="421"/>
    <m/>
    <m/>
    <m/>
    <s v="CERRADO"/>
    <n v="206569"/>
    <x v="14"/>
    <x v="6"/>
    <x v="8"/>
    <d v="2019-03-21T00:00:00"/>
    <s v="CAD"/>
    <m/>
    <s v="F001-32617"/>
    <m/>
    <d v="2019-05-02T00:00:00"/>
    <s v="CANCELADO"/>
    <s v="CFR"/>
    <m/>
    <x v="4"/>
    <n v="420"/>
    <m/>
    <x v="531"/>
    <x v="3"/>
    <s v="Granel"/>
    <m/>
    <s v="Granel Sólido"/>
    <m/>
    <m/>
    <s v="ABRIL '19"/>
    <x v="0"/>
    <m/>
    <m/>
    <m/>
    <x v="314"/>
    <m/>
    <m/>
    <x v="307"/>
    <n v="5"/>
    <n v="2019"/>
    <x v="0"/>
    <x v="0"/>
    <s v="NANJING / CHINA"/>
    <x v="1"/>
    <m/>
    <x v="0"/>
    <x v="424"/>
    <d v="2019-04-18T00:00:00"/>
    <s v="MV OCEAN SATOKO"/>
    <x v="165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595"/>
    <m/>
    <x v="422"/>
    <m/>
    <m/>
    <m/>
    <s v="CERRADO"/>
    <n v="206569"/>
    <x v="14"/>
    <x v="6"/>
    <x v="8"/>
    <d v="2019-03-21T00:00:00"/>
    <s v="CAD"/>
    <m/>
    <s v="F001-32618"/>
    <m/>
    <d v="2019-05-02T00:00:00"/>
    <s v="CANCELADO"/>
    <s v="CFR"/>
    <m/>
    <x v="287"/>
    <n v="420"/>
    <m/>
    <x v="532"/>
    <x v="3"/>
    <s v="Granel"/>
    <m/>
    <s v="Granel Sólido"/>
    <m/>
    <m/>
    <s v="ABRIL '19"/>
    <x v="0"/>
    <m/>
    <m/>
    <m/>
    <x v="316"/>
    <m/>
    <m/>
    <x v="310"/>
    <n v="6"/>
    <n v="2019"/>
    <x v="0"/>
    <x v="0"/>
    <s v="NANJING / CHINA"/>
    <x v="2"/>
    <m/>
    <x v="0"/>
    <x v="425"/>
    <d v="2019-04-18T00:00:00"/>
    <s v="MV OCEAN SATOKO"/>
    <x v="165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596"/>
    <m/>
    <x v="423"/>
    <m/>
    <m/>
    <m/>
    <s v="CERRADO"/>
    <n v="206569"/>
    <x v="14"/>
    <x v="6"/>
    <x v="8"/>
    <d v="2019-03-21T00:00:00"/>
    <s v="CAD"/>
    <m/>
    <s v="F001-32619"/>
    <m/>
    <d v="2019-05-02T00:00:00"/>
    <s v="CANCELADO"/>
    <s v="CFR"/>
    <m/>
    <x v="287"/>
    <n v="420"/>
    <m/>
    <x v="532"/>
    <x v="3"/>
    <s v="Granel"/>
    <m/>
    <s v="Granel Sólido"/>
    <m/>
    <m/>
    <s v="ABRIL '19"/>
    <x v="0"/>
    <m/>
    <m/>
    <m/>
    <x v="315"/>
    <m/>
    <m/>
    <x v="309"/>
    <n v="6"/>
    <n v="2019"/>
    <x v="0"/>
    <x v="0"/>
    <s v="NANJING / CHINA"/>
    <x v="4"/>
    <m/>
    <x v="0"/>
    <x v="426"/>
    <d v="2019-04-18T00:00:00"/>
    <s v="MV OCEAN SATOKO"/>
    <x v="165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597"/>
    <m/>
    <x v="424"/>
    <m/>
    <m/>
    <m/>
    <s v="CERRADO"/>
    <n v="206971"/>
    <x v="3"/>
    <x v="3"/>
    <x v="263"/>
    <d v="2019-04-10T00:00:00"/>
    <s v="CAD"/>
    <m/>
    <s v="KTI20190544"/>
    <m/>
    <d v="2019-05-21T00:00:00"/>
    <s v="CANCELADO"/>
    <s v="CPT"/>
    <m/>
    <x v="100"/>
    <n v="515"/>
    <m/>
    <x v="533"/>
    <x v="37"/>
    <s v="Contenedor 20'"/>
    <m/>
    <s v="25 kg"/>
    <m/>
    <m/>
    <s v="MAYO '19"/>
    <x v="0"/>
    <m/>
    <m/>
    <m/>
    <x v="317"/>
    <m/>
    <m/>
    <x v="269"/>
    <n v="6"/>
    <n v="2019"/>
    <x v="0"/>
    <x v="0"/>
    <s v="KAOHSIUNG / TAIWAN"/>
    <x v="2"/>
    <m/>
    <x v="0"/>
    <x v="427"/>
    <d v="2019-05-04T00:00:00"/>
    <s v="KOTA CEPAT"/>
    <x v="166"/>
    <x v="22"/>
    <m/>
    <m/>
    <m/>
    <m/>
    <m/>
    <m/>
    <x v="0"/>
    <d v="2019-06-22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598"/>
    <m/>
    <x v="425"/>
    <m/>
    <m/>
    <m/>
    <s v="CERRADO"/>
    <n v="206971"/>
    <x v="3"/>
    <x v="3"/>
    <x v="264"/>
    <d v="2019-04-10T00:00:00"/>
    <s v="CAD"/>
    <m/>
    <s v="KTI20190545"/>
    <m/>
    <d v="2019-05-21T00:00:00"/>
    <s v="CANCELADO"/>
    <s v="CPT"/>
    <m/>
    <x v="35"/>
    <n v="530"/>
    <m/>
    <x v="534"/>
    <x v="26"/>
    <s v="Contenedor 20'"/>
    <m/>
    <s v="25 kg"/>
    <m/>
    <m/>
    <s v="MAYO '19"/>
    <x v="0"/>
    <m/>
    <m/>
    <m/>
    <x v="318"/>
    <m/>
    <m/>
    <x v="311"/>
    <n v="6"/>
    <n v="2019"/>
    <x v="0"/>
    <x v="0"/>
    <s v="KEELUNG / TAIWAN"/>
    <x v="0"/>
    <m/>
    <x v="0"/>
    <x v="428"/>
    <d v="2019-05-07T00:00:00"/>
    <s v="COPIAPO"/>
    <x v="69"/>
    <x v="16"/>
    <m/>
    <m/>
    <m/>
    <m/>
    <m/>
    <m/>
    <x v="0"/>
    <d v="2019-07-16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599"/>
    <m/>
    <x v="426"/>
    <m/>
    <m/>
    <m/>
    <s v="CERRADO"/>
    <n v="206914"/>
    <x v="12"/>
    <x v="19"/>
    <x v="265"/>
    <d v="2019-04-22T00:00:00"/>
    <n v="90"/>
    <s v="días BL"/>
    <s v="SG-MSL-12329-5"/>
    <m/>
    <d v="2019-08-20T00:00:00"/>
    <s v="CANCELADO"/>
    <s v="CFR"/>
    <m/>
    <x v="4"/>
    <n v="123"/>
    <m/>
    <x v="535"/>
    <x v="17"/>
    <s v="Granel - BB"/>
    <m/>
    <s v="25 kg"/>
    <m/>
    <m/>
    <s v="ABRIL '19"/>
    <x v="0"/>
    <m/>
    <m/>
    <m/>
    <x v="298"/>
    <m/>
    <m/>
    <x v="312"/>
    <n v="7"/>
    <n v="2019"/>
    <x v="0"/>
    <x v="0"/>
    <s v="BAYUQUAN / CHINA"/>
    <x v="2"/>
    <m/>
    <x v="0"/>
    <x v="429"/>
    <d v="2019-05-22T00:00:00"/>
    <s v="MV MACAW ARROW"/>
    <x v="167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P"/>
    <x v="0"/>
    <x v="0"/>
    <m/>
    <m/>
    <x v="600"/>
    <m/>
    <x v="427"/>
    <m/>
    <m/>
    <m/>
    <s v="CERRADO"/>
    <n v="206766"/>
    <x v="10"/>
    <x v="37"/>
    <x v="266"/>
    <d v="2019-04-25T00:00:00"/>
    <n v="90"/>
    <s v="días BL"/>
    <s v="27034"/>
    <m/>
    <d v="2019-09-27T00:00:00"/>
    <s v="CANCELADO"/>
    <s v="CFR"/>
    <m/>
    <x v="60"/>
    <n v="879"/>
    <m/>
    <x v="536"/>
    <x v="8"/>
    <s v="Contenedor 20'"/>
    <m/>
    <s v="Bidones 50kg"/>
    <m/>
    <m/>
    <s v="JUNIO '19"/>
    <x v="0"/>
    <m/>
    <m/>
    <m/>
    <x v="319"/>
    <m/>
    <m/>
    <x v="313"/>
    <n v="7"/>
    <n v="2019"/>
    <x v="0"/>
    <x v="0"/>
    <s v="VERACRUZ / MEXICO"/>
    <x v="2"/>
    <m/>
    <x v="0"/>
    <x v="430"/>
    <d v="2019-06-28T00:00:00"/>
    <s v="MONTE OLIVIA"/>
    <x v="168"/>
    <x v="6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P"/>
    <x v="0"/>
    <x v="0"/>
    <m/>
    <m/>
    <x v="601"/>
    <m/>
    <x v="428"/>
    <m/>
    <m/>
    <m/>
    <s v="CERRADO"/>
    <n v="206766"/>
    <x v="10"/>
    <x v="37"/>
    <x v="267"/>
    <d v="2019-05-03T00:00:00"/>
    <n v="90"/>
    <s v="días BL"/>
    <s v="27215"/>
    <m/>
    <d v="2019-10-11T00:00:00"/>
    <s v="CANCELADO"/>
    <s v="CFR"/>
    <m/>
    <x v="86"/>
    <n v="889"/>
    <m/>
    <x v="537"/>
    <x v="20"/>
    <s v="Contenedor 20'"/>
    <m/>
    <s v="Bidones 50kg"/>
    <m/>
    <m/>
    <s v="JUNIO '19"/>
    <x v="0"/>
    <m/>
    <m/>
    <m/>
    <x v="320"/>
    <m/>
    <m/>
    <x v="314"/>
    <n v="8"/>
    <n v="2019"/>
    <x v="0"/>
    <x v="0"/>
    <s v="VERACRUZ / MEXICO"/>
    <x v="0"/>
    <m/>
    <x v="0"/>
    <x v="431"/>
    <d v="2019-07-13T00:00:00"/>
    <s v="POLAR ARGENTINA"/>
    <x v="13"/>
    <x v="6"/>
    <m/>
    <m/>
    <m/>
    <m/>
    <m/>
    <m/>
    <x v="0"/>
    <d v="2019-08-31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P"/>
    <x v="0"/>
    <x v="0"/>
    <m/>
    <m/>
    <x v="602"/>
    <m/>
    <x v="429"/>
    <m/>
    <m/>
    <m/>
    <s v="CERRADO"/>
    <n v="206766"/>
    <x v="10"/>
    <x v="37"/>
    <x v="267"/>
    <d v="2019-05-03T00:00:00"/>
    <n v="90"/>
    <s v="días BL"/>
    <s v="27658"/>
    <m/>
    <d v="2019-10-25T00:00:00"/>
    <s v="CANCELADO"/>
    <s v="CFR"/>
    <m/>
    <x v="222"/>
    <n v="889"/>
    <m/>
    <x v="538"/>
    <x v="10"/>
    <s v="Contenedor 20'"/>
    <m/>
    <s v="Bidones 50kg"/>
    <m/>
    <m/>
    <s v="JUNIO '19"/>
    <x v="0"/>
    <m/>
    <m/>
    <m/>
    <x v="321"/>
    <m/>
    <m/>
    <x v="315"/>
    <n v="8"/>
    <n v="2019"/>
    <x v="0"/>
    <x v="0"/>
    <s v="VERACRUZ / MEXICO"/>
    <x v="0"/>
    <m/>
    <x v="0"/>
    <x v="432"/>
    <d v="2019-07-27T00:00:00"/>
    <s v="POLAR ECUADOR"/>
    <x v="31"/>
    <x v="6"/>
    <m/>
    <m/>
    <m/>
    <m/>
    <m/>
    <m/>
    <x v="0"/>
    <d v="2019-09-09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P"/>
    <x v="0"/>
    <x v="0"/>
    <m/>
    <m/>
    <x v="603"/>
    <m/>
    <x v="430"/>
    <m/>
    <m/>
    <m/>
    <s v="CERRADO"/>
    <n v="208510"/>
    <x v="10"/>
    <x v="11"/>
    <x v="268"/>
    <d v="2019-04-30T00:00:00"/>
    <n v="90"/>
    <s v="días BL"/>
    <s v=" ROM19020781"/>
    <m/>
    <d v="2019-08-20T00:00:00"/>
    <s v="CANCELADO"/>
    <s v="CIF"/>
    <m/>
    <x v="288"/>
    <n v="875"/>
    <m/>
    <x v="539"/>
    <x v="4"/>
    <s v="Contenedor 20'"/>
    <m/>
    <s v="Bidones 35kg"/>
    <m/>
    <m/>
    <s v="MAYO '19"/>
    <x v="0"/>
    <m/>
    <m/>
    <m/>
    <x v="322"/>
    <m/>
    <m/>
    <x v="316"/>
    <n v="7"/>
    <n v="2019"/>
    <x v="0"/>
    <x v="0"/>
    <s v="XIAMEN / CHINA"/>
    <x v="2"/>
    <m/>
    <x v="0"/>
    <x v="433"/>
    <d v="2019-05-22T00:00:00"/>
    <s v="HAMMONIA BEROLINA"/>
    <x v="169"/>
    <x v="6"/>
    <m/>
    <m/>
    <m/>
    <m/>
    <m/>
    <m/>
    <x v="0"/>
    <d v="2019-07-12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P"/>
    <x v="0"/>
    <x v="0"/>
    <m/>
    <m/>
    <x v="604"/>
    <m/>
    <x v="431"/>
    <m/>
    <m/>
    <m/>
    <s v="CERRADO"/>
    <n v="208510"/>
    <x v="10"/>
    <x v="11"/>
    <x v="269"/>
    <d v="2019-04-30T00:00:00"/>
    <n v="90"/>
    <s v="días BL"/>
    <s v="ROM19020782"/>
    <m/>
    <d v="2019-08-23T00:00:00"/>
    <s v="CANCELADO"/>
    <s v="CIF"/>
    <m/>
    <x v="289"/>
    <n v="885"/>
    <m/>
    <x v="540"/>
    <x v="15"/>
    <s v="Contenedor 20'"/>
    <m/>
    <s v="Bidones 35kg"/>
    <m/>
    <m/>
    <s v="MAYO '19"/>
    <x v="0"/>
    <m/>
    <m/>
    <m/>
    <x v="298"/>
    <m/>
    <m/>
    <x v="292"/>
    <n v="7"/>
    <n v="2019"/>
    <x v="0"/>
    <x v="0"/>
    <s v="XIAMEN / CHINA"/>
    <x v="0"/>
    <m/>
    <x v="0"/>
    <x v="434"/>
    <d v="2019-05-24T00:00:00"/>
    <s v="CAPT.THANASIS"/>
    <x v="31"/>
    <x v="6"/>
    <m/>
    <m/>
    <m/>
    <m/>
    <m/>
    <m/>
    <x v="0"/>
    <d v="2019-07-25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P"/>
    <x v="0"/>
    <x v="0"/>
    <m/>
    <m/>
    <x v="605"/>
    <m/>
    <x v="432"/>
    <m/>
    <m/>
    <m/>
    <s v="CERRADO"/>
    <n v="208510"/>
    <x v="10"/>
    <x v="11"/>
    <x v="270"/>
    <d v="2019-04-30T00:00:00"/>
    <n v="90"/>
    <s v="días BL"/>
    <s v="ROM19020783"/>
    <m/>
    <d v="2019-09-17T00:00:00"/>
    <s v="CANCELADO"/>
    <s v="CIF"/>
    <m/>
    <x v="290"/>
    <n v="875"/>
    <m/>
    <x v="541"/>
    <x v="14"/>
    <s v="Contenedor 20'"/>
    <m/>
    <s v="Bidones 35kg"/>
    <m/>
    <m/>
    <s v="JUNIO '19"/>
    <x v="0"/>
    <m/>
    <m/>
    <m/>
    <x v="323"/>
    <m/>
    <m/>
    <x v="317"/>
    <n v="7"/>
    <n v="2019"/>
    <x v="0"/>
    <x v="0"/>
    <s v="XIAMEN / CHINA"/>
    <x v="2"/>
    <m/>
    <x v="0"/>
    <x v="435"/>
    <d v="2019-06-16T00:00:00"/>
    <s v="TYGRA"/>
    <x v="170"/>
    <x v="6"/>
    <m/>
    <m/>
    <m/>
    <m/>
    <m/>
    <m/>
    <x v="0"/>
    <d v="2019-08-09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P"/>
    <x v="0"/>
    <x v="0"/>
    <m/>
    <m/>
    <x v="606"/>
    <m/>
    <x v="433"/>
    <m/>
    <m/>
    <m/>
    <s v="CERRADO"/>
    <n v="208510"/>
    <x v="10"/>
    <x v="11"/>
    <x v="271"/>
    <d v="2019-04-30T00:00:00"/>
    <n v="90"/>
    <s v="días BL"/>
    <s v="ROM19020784"/>
    <m/>
    <d v="2019-09-22T00:00:00"/>
    <s v="CANCELADO"/>
    <s v="CIF"/>
    <m/>
    <x v="291"/>
    <n v="885"/>
    <m/>
    <x v="542"/>
    <x v="6"/>
    <s v="Contenedor 20'"/>
    <m/>
    <s v="Bidones 35kg"/>
    <m/>
    <m/>
    <s v="JUNIO '19"/>
    <x v="0"/>
    <m/>
    <m/>
    <m/>
    <x v="324"/>
    <m/>
    <m/>
    <x v="318"/>
    <n v="9"/>
    <n v="2019"/>
    <x v="0"/>
    <x v="0"/>
    <s v="XIAMEN / CHINA"/>
    <x v="0"/>
    <m/>
    <x v="0"/>
    <x v="436"/>
    <d v="2019-06-24T00:00:00"/>
    <s v="SEASPAN BRAVO"/>
    <x v="171"/>
    <x v="2"/>
    <m/>
    <m/>
    <m/>
    <m/>
    <m/>
    <m/>
    <x v="0"/>
    <d v="2019-10-01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607"/>
    <m/>
    <x v="434"/>
    <m/>
    <m/>
    <m/>
    <s v="CERRADO"/>
    <n v="206966"/>
    <x v="16"/>
    <x v="3"/>
    <x v="272"/>
    <d v="2019-04-24T00:00:00"/>
    <n v="90"/>
    <s v="días BL"/>
    <s v="20190629"/>
    <m/>
    <d v="2019-09-04T00:00:00"/>
    <s v="CANCELADO"/>
    <s v="CPT"/>
    <m/>
    <x v="35"/>
    <n v="640"/>
    <m/>
    <x v="543"/>
    <x v="26"/>
    <s v="Contenedor 20'"/>
    <m/>
    <s v="25 kg"/>
    <m/>
    <m/>
    <s v="MAYO '19"/>
    <x v="0"/>
    <m/>
    <m/>
    <m/>
    <x v="325"/>
    <m/>
    <m/>
    <x v="292"/>
    <n v="7"/>
    <n v="2019"/>
    <x v="0"/>
    <x v="0"/>
    <s v="NOVOROSSIYSK, RUSSIA"/>
    <x v="2"/>
    <m/>
    <x v="0"/>
    <x v="437"/>
    <d v="2019-06-03T00:00:00"/>
    <s v="MSC NILGUN"/>
    <x v="172"/>
    <x v="4"/>
    <m/>
    <m/>
    <m/>
    <m/>
    <m/>
    <m/>
    <x v="0"/>
    <d v="2019-07-25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s v="URGENTE"/>
    <m/>
    <x v="608"/>
    <m/>
    <x v="435"/>
    <m/>
    <m/>
    <m/>
    <s v="CERRADO"/>
    <n v="207579"/>
    <x v="9"/>
    <x v="3"/>
    <x v="273"/>
    <d v="2019-04-24T00:00:00"/>
    <n v="90"/>
    <s v="días BL"/>
    <s v="20190653"/>
    <m/>
    <d v="2019-09-17T00:00:00"/>
    <s v="CANCELADO"/>
    <s v="CPT"/>
    <m/>
    <x v="292"/>
    <n v="297"/>
    <m/>
    <x v="472"/>
    <x v="7"/>
    <s v="Contenedor 40'"/>
    <m/>
    <s v="25 kg"/>
    <m/>
    <m/>
    <s v="MAYO '19"/>
    <x v="0"/>
    <m/>
    <m/>
    <m/>
    <x v="326"/>
    <m/>
    <m/>
    <x v="319"/>
    <n v="8"/>
    <n v="2019"/>
    <x v="0"/>
    <x v="0"/>
    <s v="XINGANG / CHINA"/>
    <x v="0"/>
    <m/>
    <x v="0"/>
    <x v="438"/>
    <d v="2019-06-17T00:00:00"/>
    <s v="NYK LIBRA"/>
    <x v="129"/>
    <x v="2"/>
    <m/>
    <m/>
    <m/>
    <m/>
    <m/>
    <m/>
    <x v="0"/>
    <d v="2019-09-03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E-S"/>
    <x v="0"/>
    <x v="0"/>
    <m/>
    <m/>
    <x v="609"/>
    <m/>
    <x v="436"/>
    <m/>
    <m/>
    <m/>
    <s v="CERRADO"/>
    <n v="205972"/>
    <x v="82"/>
    <x v="42"/>
    <x v="8"/>
    <m/>
    <s v="PREPAGO"/>
    <m/>
    <s v="FXE 190.099"/>
    <m/>
    <d v="2019-04-29T00:00:00"/>
    <s v="CANCELADO"/>
    <s v="CIF"/>
    <m/>
    <x v="263"/>
    <n v="3933.5"/>
    <m/>
    <x v="482"/>
    <x v="11"/>
    <s v="Contenedor 40'"/>
    <m/>
    <s v="20 kg"/>
    <m/>
    <m/>
    <s v="MAYO '19"/>
    <x v="0"/>
    <m/>
    <m/>
    <m/>
    <x v="307"/>
    <m/>
    <m/>
    <x v="305"/>
    <n v="6"/>
    <n v="2019"/>
    <x v="0"/>
    <x v="0"/>
    <s v="BARCELONA / ESPAÑA"/>
    <x v="2"/>
    <m/>
    <x v="0"/>
    <x v="439"/>
    <d v="2019-05-25T00:00:00"/>
    <s v="CRISTINA STAR"/>
    <x v="173"/>
    <x v="9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610"/>
    <m/>
    <x v="437"/>
    <m/>
    <m/>
    <m/>
    <s v="CERRADO"/>
    <n v="207951"/>
    <x v="6"/>
    <x v="44"/>
    <x v="274"/>
    <d v="2019-04-29T00:00:00"/>
    <n v="150"/>
    <s v="días BL"/>
    <s v="B7FE-19-0601-PUPE-01"/>
    <m/>
    <d v="2019-11-21T00:00:00"/>
    <s v="CANCELADO"/>
    <s v="CFR"/>
    <m/>
    <x v="151"/>
    <n v="286.05"/>
    <m/>
    <x v="544"/>
    <x v="17"/>
    <s v="Granel"/>
    <m/>
    <s v="Granel Sólido"/>
    <m/>
    <m/>
    <s v="JUNIO '19"/>
    <x v="0"/>
    <m/>
    <m/>
    <m/>
    <x v="327"/>
    <m/>
    <m/>
    <x v="320"/>
    <n v="7"/>
    <n v="2019"/>
    <x v="0"/>
    <x v="0"/>
    <s v="UST-LUGA / RUSIA"/>
    <x v="0"/>
    <m/>
    <x v="0"/>
    <x v="52"/>
    <d v="2019-06-23T00:00:00"/>
    <s v="MV CHINA SPIRIT"/>
    <x v="17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611"/>
    <m/>
    <x v="438"/>
    <m/>
    <m/>
    <m/>
    <s v="CERRADO"/>
    <n v="207951"/>
    <x v="6"/>
    <x v="44"/>
    <x v="274"/>
    <d v="2019-04-29T00:00:00"/>
    <n v="150"/>
    <s v="días BL"/>
    <s v="B7FE-19-0601-PUPE-02"/>
    <m/>
    <d v="2019-11-21T00:00:00"/>
    <s v="CANCELADO"/>
    <s v="CFR"/>
    <m/>
    <x v="152"/>
    <n v="286.05"/>
    <m/>
    <x v="545"/>
    <x v="17"/>
    <s v="Granel"/>
    <m/>
    <s v="Granel Sólido"/>
    <m/>
    <m/>
    <s v="JUNIO '19"/>
    <x v="0"/>
    <m/>
    <m/>
    <m/>
    <x v="319"/>
    <m/>
    <m/>
    <x v="321"/>
    <n v="7"/>
    <n v="2019"/>
    <x v="0"/>
    <x v="0"/>
    <s v="UST-LUGA / RUSIA"/>
    <x v="1"/>
    <m/>
    <x v="0"/>
    <x v="19"/>
    <d v="2019-06-23T00:00:00"/>
    <s v="MV CHINA SPIRIT"/>
    <x v="17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612"/>
    <m/>
    <x v="439"/>
    <m/>
    <m/>
    <m/>
    <s v="CERRADO"/>
    <n v="207951"/>
    <x v="6"/>
    <x v="44"/>
    <x v="274"/>
    <d v="2019-04-29T00:00:00"/>
    <n v="150"/>
    <s v="días BL"/>
    <s v="B7FE-19-0601-PUPE-03"/>
    <m/>
    <d v="2019-11-21T00:00:00"/>
    <s v="CANCELADO"/>
    <s v="CFR"/>
    <m/>
    <x v="293"/>
    <n v="286.05"/>
    <m/>
    <x v="546"/>
    <x v="17"/>
    <s v="Granel"/>
    <m/>
    <s v="Granel Sólido"/>
    <m/>
    <m/>
    <s v="JUNIO '19"/>
    <x v="0"/>
    <m/>
    <m/>
    <m/>
    <x v="328"/>
    <m/>
    <m/>
    <x v="322"/>
    <n v="7"/>
    <n v="2019"/>
    <x v="0"/>
    <x v="0"/>
    <s v="UST-LUGA / RUSIA"/>
    <x v="2"/>
    <m/>
    <x v="0"/>
    <x v="44"/>
    <d v="2019-06-23T00:00:00"/>
    <s v="MV CHINA SPIRIT"/>
    <x v="17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613"/>
    <m/>
    <x v="440"/>
    <m/>
    <m/>
    <m/>
    <s v="CERRADO"/>
    <n v="207951"/>
    <x v="6"/>
    <x v="44"/>
    <x v="274"/>
    <d v="2019-04-29T00:00:00"/>
    <n v="150"/>
    <s v="días BL"/>
    <s v="B7FE-19-0601-PUPE-04"/>
    <m/>
    <d v="2019-11-21T00:00:00"/>
    <s v="CANCELADO"/>
    <s v="CFR"/>
    <m/>
    <x v="294"/>
    <n v="286.05"/>
    <m/>
    <x v="547"/>
    <x v="17"/>
    <s v="Granel"/>
    <m/>
    <s v="Granel Sólido"/>
    <m/>
    <m/>
    <s v="JUNIO '19"/>
    <x v="0"/>
    <m/>
    <m/>
    <m/>
    <x v="329"/>
    <m/>
    <m/>
    <x v="323"/>
    <n v="8"/>
    <n v="2019"/>
    <x v="0"/>
    <x v="0"/>
    <s v="UST-LUGA / RUSIA"/>
    <x v="2"/>
    <m/>
    <x v="0"/>
    <x v="20"/>
    <d v="2019-06-23T00:00:00"/>
    <s v="MV CHINA SPIRIT"/>
    <x v="17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614"/>
    <m/>
    <x v="441"/>
    <m/>
    <m/>
    <m/>
    <s v="CERRADO"/>
    <n v="207485"/>
    <x v="13"/>
    <x v="44"/>
    <x v="274"/>
    <d v="2019-04-29T00:00:00"/>
    <n v="150"/>
    <s v="días BL"/>
    <s v="B7FE-19-0602-GUPE-01"/>
    <m/>
    <d v="2019-11-21T00:00:00"/>
    <s v="CANCELADO"/>
    <s v="CFR"/>
    <m/>
    <x v="71"/>
    <n v="291.13"/>
    <m/>
    <x v="548"/>
    <x v="17"/>
    <s v="Granel"/>
    <m/>
    <s v="Granel Sólido"/>
    <m/>
    <m/>
    <s v="JUNIO '19"/>
    <x v="0"/>
    <m/>
    <m/>
    <m/>
    <x v="327"/>
    <m/>
    <m/>
    <x v="320"/>
    <n v="7"/>
    <n v="2019"/>
    <x v="0"/>
    <x v="0"/>
    <s v="UST-LUGA / RUSIA"/>
    <x v="0"/>
    <m/>
    <x v="0"/>
    <x v="50"/>
    <d v="2019-06-23T00:00:00"/>
    <s v="MV CHINA SPIRIT"/>
    <x v="17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615"/>
    <m/>
    <x v="442"/>
    <m/>
    <m/>
    <m/>
    <s v="CERRADO"/>
    <n v="207485"/>
    <x v="13"/>
    <x v="44"/>
    <x v="274"/>
    <d v="2019-04-29T00:00:00"/>
    <n v="150"/>
    <s v="días BL"/>
    <s v="B7FE-19-0602-GUPE-02"/>
    <m/>
    <d v="2019-11-21T00:00:00"/>
    <s v="CANCELADO"/>
    <s v="CFR"/>
    <m/>
    <x v="44"/>
    <n v="291.13"/>
    <m/>
    <x v="549"/>
    <x v="17"/>
    <s v="Granel"/>
    <m/>
    <s v="Granel Sólido"/>
    <m/>
    <m/>
    <s v="JUNIO '19"/>
    <x v="0"/>
    <m/>
    <m/>
    <m/>
    <x v="319"/>
    <m/>
    <m/>
    <x v="312"/>
    <n v="7"/>
    <n v="2019"/>
    <x v="0"/>
    <x v="0"/>
    <s v="UST-LUGA / RUSIA"/>
    <x v="1"/>
    <m/>
    <x v="0"/>
    <x v="17"/>
    <d v="2019-06-23T00:00:00"/>
    <s v="MV CHINA SPIRIT"/>
    <x v="17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616"/>
    <m/>
    <x v="443"/>
    <m/>
    <m/>
    <m/>
    <s v="CERRADO"/>
    <n v="207485"/>
    <x v="13"/>
    <x v="44"/>
    <x v="274"/>
    <d v="2019-04-29T00:00:00"/>
    <n v="150"/>
    <s v="días BL"/>
    <s v="B7FE-19-0602-GUPE-03"/>
    <m/>
    <d v="2019-11-21T00:00:00"/>
    <s v="CANCELADO"/>
    <s v="CFR"/>
    <m/>
    <x v="44"/>
    <n v="291.13"/>
    <m/>
    <x v="549"/>
    <x v="17"/>
    <s v="Granel"/>
    <m/>
    <s v="Granel Sólido"/>
    <m/>
    <m/>
    <s v="JUNIO '19"/>
    <x v="0"/>
    <m/>
    <m/>
    <m/>
    <x v="328"/>
    <m/>
    <m/>
    <x v="324"/>
    <n v="7"/>
    <n v="2019"/>
    <x v="0"/>
    <x v="0"/>
    <s v="UST-LUGA / RUSIA"/>
    <x v="2"/>
    <m/>
    <x v="0"/>
    <x v="51"/>
    <d v="2019-06-23T00:00:00"/>
    <s v="MV CHINA SPIRIT"/>
    <x v="17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617"/>
    <m/>
    <x v="444"/>
    <m/>
    <m/>
    <m/>
    <s v="CERRADO"/>
    <n v="207485"/>
    <x v="13"/>
    <x v="44"/>
    <x v="274"/>
    <d v="2019-04-29T00:00:00"/>
    <n v="150"/>
    <s v="días BL"/>
    <s v="B7FE-19-0602-GUPE-04"/>
    <m/>
    <d v="2019-11-21T00:00:00"/>
    <s v="CANCELADO"/>
    <s v="CFR"/>
    <m/>
    <x v="208"/>
    <n v="291.13"/>
    <m/>
    <x v="550"/>
    <x v="17"/>
    <s v="Granel"/>
    <m/>
    <s v="Granel Sólido"/>
    <m/>
    <m/>
    <s v="JUNIO '19"/>
    <x v="0"/>
    <m/>
    <m/>
    <m/>
    <x v="329"/>
    <m/>
    <m/>
    <x v="323"/>
    <n v="8"/>
    <n v="2019"/>
    <x v="0"/>
    <x v="0"/>
    <s v="UST-LUGA / RUSIA"/>
    <x v="2"/>
    <m/>
    <x v="0"/>
    <x v="18"/>
    <d v="2019-06-23T00:00:00"/>
    <s v="MV CHINA SPIRIT"/>
    <x v="17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A-S"/>
    <x v="0"/>
    <x v="0"/>
    <m/>
    <m/>
    <x v="618"/>
    <m/>
    <x v="445"/>
    <m/>
    <m/>
    <m/>
    <s v="CERRADO"/>
    <n v="209882"/>
    <x v="95"/>
    <x v="45"/>
    <x v="8"/>
    <d v="2019-05-27T00:00:00"/>
    <n v="60"/>
    <s v="días BL"/>
    <s v="49672"/>
    <m/>
    <d v="2019-10-24T00:00:00"/>
    <s v="CANCELADO"/>
    <s v="CIF"/>
    <m/>
    <x v="295"/>
    <e v="#REF!"/>
    <m/>
    <x v="551"/>
    <x v="3"/>
    <s v="Contenedor 20'"/>
    <m/>
    <s v="LTS"/>
    <m/>
    <m/>
    <s v="MAYO '19"/>
    <x v="0"/>
    <m/>
    <m/>
    <m/>
    <x v="330"/>
    <m/>
    <m/>
    <x v="325"/>
    <n v="9"/>
    <n v="2019"/>
    <x v="0"/>
    <x v="0"/>
    <s v="CALIFORNIA / USA"/>
    <x v="2"/>
    <m/>
    <x v="0"/>
    <x v="440"/>
    <d v="2019-08-25T00:00:00"/>
    <s v="MSC ADELAIDE"/>
    <x v="175"/>
    <x v="4"/>
    <m/>
    <m/>
    <m/>
    <m/>
    <m/>
    <m/>
    <x v="0"/>
    <d v="2019-10-05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A-S"/>
    <x v="0"/>
    <x v="0"/>
    <m/>
    <m/>
    <x v="619"/>
    <m/>
    <x v="445"/>
    <m/>
    <m/>
    <m/>
    <s v="CERRADO"/>
    <n v="209881"/>
    <x v="96"/>
    <x v="45"/>
    <x v="8"/>
    <d v="2019-05-27T00:00:00"/>
    <n v="60"/>
    <s v="días BL"/>
    <s v="49672"/>
    <m/>
    <d v="2019-10-24T00:00:00"/>
    <s v="CANCELADO"/>
    <s v="CIF"/>
    <m/>
    <x v="296"/>
    <e v="#REF!"/>
    <m/>
    <x v="551"/>
    <x v="3"/>
    <s v="Contenedor 20'"/>
    <m/>
    <s v="LTS"/>
    <m/>
    <m/>
    <s v="MAYO '19"/>
    <x v="0"/>
    <m/>
    <m/>
    <m/>
    <x v="330"/>
    <m/>
    <m/>
    <x v="325"/>
    <n v="9"/>
    <n v="2019"/>
    <x v="0"/>
    <x v="0"/>
    <s v="CALIFORNIA / USA"/>
    <x v="2"/>
    <m/>
    <x v="0"/>
    <x v="440"/>
    <d v="2019-08-25T00:00:00"/>
    <s v="MSC ADELAIDE"/>
    <x v="175"/>
    <x v="4"/>
    <m/>
    <m/>
    <m/>
    <m/>
    <m/>
    <m/>
    <x v="0"/>
    <d v="2019-10-05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A-S"/>
    <x v="0"/>
    <x v="0"/>
    <m/>
    <m/>
    <x v="620"/>
    <m/>
    <x v="445"/>
    <m/>
    <m/>
    <m/>
    <s v="CERRADO"/>
    <n v="209885"/>
    <x v="97"/>
    <x v="45"/>
    <x v="8"/>
    <d v="2019-05-27T00:00:00"/>
    <n v="60"/>
    <s v="días BL"/>
    <s v="49672"/>
    <m/>
    <d v="2019-10-24T00:00:00"/>
    <s v="CANCELADO"/>
    <s v="CIF"/>
    <m/>
    <x v="297"/>
    <e v="#REF!"/>
    <m/>
    <x v="551"/>
    <x v="3"/>
    <s v="Contenedor 20'"/>
    <m/>
    <s v="LTS"/>
    <m/>
    <m/>
    <s v="MAYO '19"/>
    <x v="0"/>
    <m/>
    <m/>
    <m/>
    <x v="330"/>
    <m/>
    <m/>
    <x v="325"/>
    <n v="9"/>
    <n v="2019"/>
    <x v="0"/>
    <x v="0"/>
    <s v="CALIFORNIA / USA"/>
    <x v="2"/>
    <m/>
    <x v="0"/>
    <x v="440"/>
    <d v="2019-08-25T00:00:00"/>
    <s v="MSC ADELAIDE"/>
    <x v="175"/>
    <x v="4"/>
    <m/>
    <m/>
    <m/>
    <m/>
    <m/>
    <m/>
    <x v="0"/>
    <d v="2019-10-05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A-S"/>
    <x v="0"/>
    <x v="0"/>
    <m/>
    <m/>
    <x v="621"/>
    <m/>
    <x v="445"/>
    <m/>
    <m/>
    <m/>
    <s v="CERRADO"/>
    <n v="209886"/>
    <x v="98"/>
    <x v="45"/>
    <x v="8"/>
    <d v="2019-05-27T00:00:00"/>
    <n v="60"/>
    <s v="días BL"/>
    <s v="49672"/>
    <m/>
    <d v="2019-10-24T00:00:00"/>
    <s v="CANCELADO"/>
    <s v="CIF"/>
    <m/>
    <x v="298"/>
    <e v="#REF!"/>
    <m/>
    <x v="551"/>
    <x v="3"/>
    <s v="Contenedor 20'"/>
    <m/>
    <s v="LTS"/>
    <m/>
    <m/>
    <s v="MAYO '19"/>
    <x v="0"/>
    <m/>
    <m/>
    <m/>
    <x v="330"/>
    <m/>
    <m/>
    <x v="325"/>
    <n v="9"/>
    <n v="2019"/>
    <x v="0"/>
    <x v="0"/>
    <s v="CALIFORNIA / USA"/>
    <x v="2"/>
    <m/>
    <x v="0"/>
    <x v="440"/>
    <d v="2019-08-25T00:00:00"/>
    <s v="MSC ADELAIDE"/>
    <x v="175"/>
    <x v="4"/>
    <m/>
    <m/>
    <m/>
    <m/>
    <m/>
    <m/>
    <x v="0"/>
    <d v="2019-10-05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A-S"/>
    <x v="0"/>
    <x v="0"/>
    <m/>
    <m/>
    <x v="622"/>
    <m/>
    <x v="445"/>
    <m/>
    <m/>
    <m/>
    <s v="CERRADO"/>
    <n v="209887"/>
    <x v="99"/>
    <x v="45"/>
    <x v="8"/>
    <d v="2019-05-27T00:00:00"/>
    <n v="60"/>
    <s v="días BL"/>
    <s v="49672"/>
    <m/>
    <d v="2019-10-24T00:00:00"/>
    <s v="CANCELADO"/>
    <s v="CIF"/>
    <m/>
    <x v="299"/>
    <e v="#REF!"/>
    <m/>
    <x v="551"/>
    <x v="3"/>
    <s v="Contenedor 20'"/>
    <m/>
    <s v="LTS"/>
    <m/>
    <m/>
    <s v="MAYO '19"/>
    <x v="0"/>
    <m/>
    <m/>
    <m/>
    <x v="330"/>
    <m/>
    <m/>
    <x v="325"/>
    <n v="9"/>
    <n v="2019"/>
    <x v="0"/>
    <x v="0"/>
    <s v="CALIFORNIA / USA"/>
    <x v="2"/>
    <m/>
    <x v="0"/>
    <x v="440"/>
    <d v="2019-08-25T00:00:00"/>
    <s v="MSC ADELAIDE"/>
    <x v="175"/>
    <x v="4"/>
    <m/>
    <m/>
    <m/>
    <m/>
    <m/>
    <m/>
    <x v="0"/>
    <d v="2019-10-05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623"/>
    <m/>
    <x v="446"/>
    <m/>
    <m/>
    <m/>
    <s v="CERRADO"/>
    <n v="203747"/>
    <x v="1"/>
    <x v="3"/>
    <x v="275"/>
    <d v="2019-05-21T00:00:00"/>
    <n v="90"/>
    <s v="días BL"/>
    <s v="20190655"/>
    <m/>
    <d v="2019-09-30T00:00:00"/>
    <s v="CANCELADO"/>
    <s v="CFR"/>
    <m/>
    <x v="300"/>
    <n v="500"/>
    <m/>
    <x v="552"/>
    <x v="17"/>
    <s v="Granel - BB"/>
    <m/>
    <s v="Bigbag"/>
    <m/>
    <m/>
    <s v="JUNIO '19"/>
    <x v="0"/>
    <m/>
    <m/>
    <m/>
    <x v="331"/>
    <m/>
    <m/>
    <x v="326"/>
    <n v="8"/>
    <n v="2019"/>
    <x v="0"/>
    <x v="0"/>
    <s v="XINGANG / CHINA"/>
    <x v="2"/>
    <m/>
    <x v="0"/>
    <x v="441"/>
    <d v="2019-06-17T00:00:00"/>
    <s v="MV TUJU ARROW "/>
    <x v="176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624"/>
    <m/>
    <x v="447"/>
    <m/>
    <m/>
    <m/>
    <s v="CERRADO"/>
    <n v="206966"/>
    <x v="16"/>
    <x v="3"/>
    <x v="276"/>
    <d v="2019-05-21T00:00:00"/>
    <n v="90"/>
    <s v="días BL"/>
    <s v="20190687"/>
    <m/>
    <d v="2019-10-09T00:00:00"/>
    <s v="CANCELADO"/>
    <s v="CPT"/>
    <m/>
    <x v="171"/>
    <n v="672"/>
    <m/>
    <x v="220"/>
    <x v="8"/>
    <s v="Contenedor 20'"/>
    <m/>
    <s v="25 kg"/>
    <m/>
    <m/>
    <s v="JUNIO '19"/>
    <x v="0"/>
    <m/>
    <m/>
    <m/>
    <x v="332"/>
    <m/>
    <m/>
    <x v="315"/>
    <n v="8"/>
    <n v="2019"/>
    <x v="0"/>
    <x v="0"/>
    <s v="NOVOROSSIYSK, RUSSIA"/>
    <x v="0"/>
    <m/>
    <x v="0"/>
    <x v="442"/>
    <d v="2019-07-02T00:00:00"/>
    <s v="MSC LARA"/>
    <x v="177"/>
    <x v="4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E-S"/>
    <x v="0"/>
    <x v="0"/>
    <m/>
    <m/>
    <x v="625"/>
    <m/>
    <x v="448"/>
    <m/>
    <m/>
    <m/>
    <s v="CERRADO"/>
    <n v="204826"/>
    <x v="48"/>
    <x v="18"/>
    <x v="277"/>
    <d v="2019-05-21T00:00:00"/>
    <s v="CAD"/>
    <m/>
    <s v="19CH-40101332"/>
    <m/>
    <d v="2019-06-26T00:00:00"/>
    <s v="CANCELADO"/>
    <s v="CFR"/>
    <m/>
    <x v="301"/>
    <n v="325"/>
    <m/>
    <x v="553"/>
    <x v="5"/>
    <s v="Contenedor 40'"/>
    <m/>
    <s v="Bigbag"/>
    <m/>
    <m/>
    <s v="JUNIO '19"/>
    <x v="0"/>
    <m/>
    <m/>
    <m/>
    <x v="333"/>
    <m/>
    <m/>
    <x v="327"/>
    <n v="8"/>
    <n v="2019"/>
    <x v="0"/>
    <x v="0"/>
    <s v="ST. PETERSBURG / RUSSIA"/>
    <x v="2"/>
    <m/>
    <x v="0"/>
    <x v="443"/>
    <d v="2019-06-24T00:00:00"/>
    <s v="VILNIA MAERSK "/>
    <x v="178"/>
    <x v="6"/>
    <m/>
    <m/>
    <m/>
    <m/>
    <m/>
    <m/>
    <x v="0"/>
    <d v="2019-08-13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C"/>
    <x v="0"/>
    <x v="0"/>
    <m/>
    <m/>
    <x v="626"/>
    <m/>
    <x v="449"/>
    <m/>
    <m/>
    <m/>
    <s v="CERRADO"/>
    <n v="206573"/>
    <x v="5"/>
    <x v="41"/>
    <x v="278"/>
    <d v="2019-05-15T00:00:00"/>
    <n v="150"/>
    <s v="días BL"/>
    <s v="B7FE-19-0601-ANPE-01"/>
    <m/>
    <d v="2019-11-12T00:00:00"/>
    <s v="CANCELADO"/>
    <s v="CFR"/>
    <m/>
    <x v="35"/>
    <n v="260.7"/>
    <m/>
    <x v="554"/>
    <x v="17"/>
    <s v="Granel"/>
    <m/>
    <s v="Granel Sólido"/>
    <m/>
    <m/>
    <s v="JUNIO '19"/>
    <x v="0"/>
    <m/>
    <m/>
    <m/>
    <x v="334"/>
    <m/>
    <m/>
    <x v="292"/>
    <n v="7"/>
    <n v="2019"/>
    <x v="0"/>
    <x v="0"/>
    <s v="RIGA / LETONIA"/>
    <x v="0"/>
    <m/>
    <x v="0"/>
    <x v="2"/>
    <d v="2019-06-14T00:00:00"/>
    <s v="MV CARLOTA BOLTEN "/>
    <x v="179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C"/>
    <x v="0"/>
    <x v="0"/>
    <m/>
    <m/>
    <x v="627"/>
    <m/>
    <x v="450"/>
    <m/>
    <m/>
    <m/>
    <s v="CERRADO"/>
    <n v="206573"/>
    <x v="5"/>
    <x v="41"/>
    <x v="278"/>
    <d v="2019-05-15T00:00:00"/>
    <n v="150"/>
    <s v="días BL"/>
    <s v="B7FE-19-0601-ANPE-02"/>
    <m/>
    <d v="2019-11-12T00:00:00"/>
    <s v="CANCELADO"/>
    <s v="CFR"/>
    <m/>
    <x v="221"/>
    <n v="260.7"/>
    <m/>
    <x v="555"/>
    <x v="17"/>
    <s v="Granel"/>
    <m/>
    <s v="Granel Sólido"/>
    <m/>
    <m/>
    <s v="JUNIO '19"/>
    <x v="0"/>
    <m/>
    <m/>
    <m/>
    <x v="335"/>
    <m/>
    <m/>
    <x v="328"/>
    <n v="7"/>
    <n v="2019"/>
    <x v="0"/>
    <x v="0"/>
    <s v="RIGA / LETONIA"/>
    <x v="1"/>
    <m/>
    <x v="0"/>
    <x v="11"/>
    <d v="2019-06-14T00:00:00"/>
    <s v="MV CARLOTA BOLTEN "/>
    <x v="179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C"/>
    <x v="0"/>
    <x v="0"/>
    <m/>
    <m/>
    <x v="628"/>
    <m/>
    <x v="451"/>
    <m/>
    <m/>
    <m/>
    <s v="CERRADO"/>
    <n v="206573"/>
    <x v="5"/>
    <x v="41"/>
    <x v="278"/>
    <d v="2019-05-15T00:00:00"/>
    <n v="150"/>
    <s v="días BL"/>
    <s v="B7FE-19-0601-ANPE-03"/>
    <m/>
    <d v="2019-11-12T00:00:00"/>
    <s v="CANCELADO"/>
    <s v="CFR"/>
    <m/>
    <x v="100"/>
    <n v="260.7"/>
    <m/>
    <x v="556"/>
    <x v="17"/>
    <s v="Granel"/>
    <m/>
    <s v="Granel Sólido"/>
    <m/>
    <m/>
    <s v="JUNIO '19"/>
    <x v="0"/>
    <m/>
    <m/>
    <m/>
    <x v="336"/>
    <m/>
    <m/>
    <x v="322"/>
    <n v="7"/>
    <n v="2019"/>
    <x v="0"/>
    <x v="0"/>
    <s v="RIGA / LETONIA"/>
    <x v="2"/>
    <m/>
    <x v="0"/>
    <x v="12"/>
    <d v="2019-06-14T00:00:00"/>
    <s v="MV CARLOTA BOLTEN "/>
    <x v="179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C"/>
    <x v="0"/>
    <x v="0"/>
    <m/>
    <m/>
    <x v="629"/>
    <m/>
    <x v="452"/>
    <m/>
    <m/>
    <m/>
    <s v="CERRADO"/>
    <n v="206573"/>
    <x v="5"/>
    <x v="41"/>
    <x v="278"/>
    <d v="2019-05-15T00:00:00"/>
    <n v="150"/>
    <s v="días BL"/>
    <s v="B7FE-19-0601-ANPE-04"/>
    <m/>
    <d v="2019-11-12T00:00:00"/>
    <s v="CANCELADO"/>
    <s v="CFR"/>
    <m/>
    <x v="70"/>
    <n v="260.7"/>
    <m/>
    <x v="557"/>
    <x v="17"/>
    <s v="Granel"/>
    <m/>
    <s v="Granel Sólido"/>
    <m/>
    <m/>
    <s v="JUNIO '19"/>
    <x v="0"/>
    <m/>
    <m/>
    <m/>
    <x v="337"/>
    <m/>
    <m/>
    <x v="321"/>
    <n v="7"/>
    <n v="2019"/>
    <x v="0"/>
    <x v="0"/>
    <s v="RIGA / LETONIA"/>
    <x v="3"/>
    <m/>
    <x v="0"/>
    <x v="13"/>
    <d v="2019-06-14T00:00:00"/>
    <s v="MV CARLOTA BOLTEN "/>
    <x v="179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C"/>
    <x v="0"/>
    <x v="0"/>
    <m/>
    <m/>
    <x v="630"/>
    <m/>
    <x v="453"/>
    <m/>
    <m/>
    <m/>
    <s v="CERRADO"/>
    <n v="206573"/>
    <x v="5"/>
    <x v="41"/>
    <x v="278"/>
    <d v="2019-05-15T00:00:00"/>
    <n v="150"/>
    <s v="días BL"/>
    <s v="B7FE-19-0601-ANPE-05"/>
    <m/>
    <d v="2019-11-12T00:00:00"/>
    <s v="CANCELADO"/>
    <s v="CFR"/>
    <m/>
    <x v="70"/>
    <n v="260.7"/>
    <m/>
    <x v="557"/>
    <x v="17"/>
    <s v="Granel"/>
    <m/>
    <s v="Granel Sólido"/>
    <m/>
    <m/>
    <s v="JUNIO '19"/>
    <x v="0"/>
    <m/>
    <m/>
    <m/>
    <x v="323"/>
    <m/>
    <m/>
    <x v="329"/>
    <n v="8"/>
    <n v="2019"/>
    <x v="0"/>
    <x v="0"/>
    <s v="RIGA / LETONIA"/>
    <x v="3"/>
    <m/>
    <x v="0"/>
    <x v="14"/>
    <d v="2019-06-14T00:00:00"/>
    <s v="MV CARLOTA BOLTEN "/>
    <x v="179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631"/>
    <m/>
    <x v="454"/>
    <m/>
    <m/>
    <m/>
    <s v="CERRADO"/>
    <n v="208300"/>
    <x v="47"/>
    <x v="3"/>
    <x v="279"/>
    <d v="2019-05-23T00:00:00"/>
    <n v="90"/>
    <s v="días BL"/>
    <s v="KTI20190636"/>
    <m/>
    <d v="2019-09-17T00:00:00"/>
    <s v="CANCELADO"/>
    <s v="CFR"/>
    <m/>
    <x v="54"/>
    <n v="200.97"/>
    <m/>
    <x v="558"/>
    <x v="17"/>
    <s v="Granel - BB"/>
    <m/>
    <s v="Bigbag"/>
    <m/>
    <m/>
    <s v="JUNIO - JULIO '19"/>
    <x v="0"/>
    <m/>
    <m/>
    <m/>
    <x v="320"/>
    <m/>
    <m/>
    <x v="330"/>
    <n v="8"/>
    <n v="2019"/>
    <x v="0"/>
    <x v="0"/>
    <s v="TIANJING / CHINA"/>
    <x v="4"/>
    <m/>
    <x v="0"/>
    <x v="444"/>
    <d v="2019-06-17T00:00:00"/>
    <s v="MV TUJU ARROW "/>
    <x v="176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632"/>
    <m/>
    <x v="455"/>
    <m/>
    <m/>
    <m/>
    <s v="CERRADO"/>
    <n v="206971"/>
    <x v="3"/>
    <x v="3"/>
    <x v="280"/>
    <d v="2019-05-30T00:00:00"/>
    <n v="90"/>
    <s v="días BL"/>
    <s v="20190668"/>
    <m/>
    <d v="2019-10-09T00:00:00"/>
    <s v="CANCELADO"/>
    <s v="CFR"/>
    <m/>
    <x v="302"/>
    <n v="534"/>
    <m/>
    <x v="559"/>
    <x v="17"/>
    <s v="Granel - BB"/>
    <m/>
    <s v="25 kg"/>
    <m/>
    <m/>
    <s v="JUNIO '19"/>
    <x v="0"/>
    <m/>
    <m/>
    <m/>
    <x v="320"/>
    <m/>
    <m/>
    <x v="330"/>
    <n v="8"/>
    <n v="2019"/>
    <x v="0"/>
    <x v="0"/>
    <s v="BAYUQUAN / CHINA"/>
    <x v="4"/>
    <m/>
    <x v="0"/>
    <x v="445"/>
    <d v="2019-06-25T00:00:00"/>
    <s v="MV TUJU ARROW "/>
    <x v="176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633"/>
    <m/>
    <x v="456"/>
    <m/>
    <m/>
    <m/>
    <s v="CERRADO"/>
    <n v="206599"/>
    <x v="1"/>
    <x v="3"/>
    <x v="281"/>
    <d v="2019-05-30T00:00:00"/>
    <n v="90"/>
    <s v="días BL"/>
    <s v="20190656"/>
    <m/>
    <d v="2019-09-15T00:00:00"/>
    <s v="CANCELADO"/>
    <s v="CFR"/>
    <m/>
    <x v="303"/>
    <n v="515"/>
    <m/>
    <x v="560"/>
    <x v="17"/>
    <s v="Granel - BB"/>
    <m/>
    <s v="Bigbag"/>
    <m/>
    <m/>
    <s v="JUNIO '19"/>
    <x v="0"/>
    <m/>
    <m/>
    <m/>
    <x v="320"/>
    <m/>
    <m/>
    <x v="330"/>
    <n v="8"/>
    <n v="2019"/>
    <x v="0"/>
    <x v="0"/>
    <s v="XINGANG / CHINA"/>
    <x v="4"/>
    <m/>
    <x v="0"/>
    <x v="446"/>
    <d v="2019-06-17T00:00:00"/>
    <s v="MV TUJU ARROW "/>
    <x v="176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634"/>
    <m/>
    <x v="457"/>
    <m/>
    <m/>
    <m/>
    <s v="CERRADO"/>
    <n v="206971"/>
    <x v="3"/>
    <x v="3"/>
    <x v="282"/>
    <d v="2019-05-30T00:00:00"/>
    <n v="90"/>
    <s v="días BL"/>
    <s v="20190662"/>
    <m/>
    <d v="2019-10-02T00:00:00"/>
    <s v="CANCELADO"/>
    <s v="CPT"/>
    <m/>
    <x v="4"/>
    <n v="528.81500000000005"/>
    <m/>
    <x v="561"/>
    <x v="38"/>
    <s v="Contenedor 20'"/>
    <m/>
    <s v="25 kg"/>
    <m/>
    <m/>
    <s v="JUNIO - JULIO '19"/>
    <x v="0"/>
    <m/>
    <m/>
    <m/>
    <x v="333"/>
    <m/>
    <m/>
    <x v="331"/>
    <n v="7"/>
    <n v="2019"/>
    <x v="0"/>
    <x v="0"/>
    <s v="KAOHSIUNG / TAIWAN"/>
    <x v="0"/>
    <m/>
    <x v="0"/>
    <x v="447"/>
    <d v="2019-06-18T00:00:00"/>
    <s v="HAMBURG EXPRESS"/>
    <x v="149"/>
    <x v="16"/>
    <m/>
    <m/>
    <m/>
    <m/>
    <m/>
    <m/>
    <x v="0"/>
    <d v="2019-08-13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635"/>
    <m/>
    <x v="458"/>
    <m/>
    <m/>
    <m/>
    <s v="CERRADO"/>
    <n v="206971"/>
    <x v="3"/>
    <x v="3"/>
    <x v="282"/>
    <d v="2019-05-30T00:00:00"/>
    <n v="90"/>
    <s v="días BL"/>
    <s v="20190663"/>
    <m/>
    <d v="2019-09-23T00:00:00"/>
    <s v="CANCELADO"/>
    <s v="CPT"/>
    <m/>
    <x v="11"/>
    <n v="528.81500000000005"/>
    <m/>
    <x v="562"/>
    <x v="27"/>
    <s v="Contenedor 20'"/>
    <m/>
    <s v="25 kg"/>
    <m/>
    <m/>
    <s v="JUNIO - JULIO '19"/>
    <x v="0"/>
    <m/>
    <m/>
    <m/>
    <x v="326"/>
    <m/>
    <m/>
    <x v="319"/>
    <n v="8"/>
    <n v="2019"/>
    <x v="0"/>
    <x v="0"/>
    <s v="KAOHSIUNG / TAIWAN"/>
    <x v="0"/>
    <m/>
    <x v="0"/>
    <x v="448"/>
    <d v="2019-06-25T00:00:00"/>
    <s v="YM WELCOME "/>
    <x v="171"/>
    <x v="2"/>
    <m/>
    <m/>
    <m/>
    <m/>
    <m/>
    <m/>
    <x v="0"/>
    <d v="2019-08-27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636"/>
    <m/>
    <x v="459"/>
    <m/>
    <m/>
    <m/>
    <s v="CERRADO"/>
    <n v="206971"/>
    <x v="3"/>
    <x v="3"/>
    <x v="282"/>
    <d v="2019-05-30T00:00:00"/>
    <n v="90"/>
    <s v="días BL"/>
    <s v="20190678"/>
    <m/>
    <d v="2019-10-03T00:00:00"/>
    <s v="CANCELADO"/>
    <s v="CPT"/>
    <m/>
    <x v="11"/>
    <n v="528.81500000000005"/>
    <m/>
    <x v="562"/>
    <x v="27"/>
    <s v="Contenedor 20'"/>
    <m/>
    <s v="25 kg"/>
    <m/>
    <m/>
    <s v="JUNIO - JULIO '19"/>
    <x v="0"/>
    <m/>
    <m/>
    <m/>
    <x v="338"/>
    <m/>
    <m/>
    <x v="332"/>
    <n v="9"/>
    <n v="2019"/>
    <x v="0"/>
    <x v="0"/>
    <s v="KAOHSIUNG / TAIWAN"/>
    <x v="0"/>
    <m/>
    <x v="0"/>
    <x v="449"/>
    <d v="2019-07-03T00:00:00"/>
    <s v="YM WINNER "/>
    <x v="171"/>
    <x v="2"/>
    <m/>
    <m/>
    <m/>
    <m/>
    <m/>
    <m/>
    <x v="0"/>
    <d v="2019-09-17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637"/>
    <m/>
    <x v="460"/>
    <m/>
    <m/>
    <m/>
    <s v="CERRADO"/>
    <n v="206971"/>
    <x v="3"/>
    <x v="3"/>
    <x v="283"/>
    <d v="2019-05-30T00:00:00"/>
    <n v="90"/>
    <s v="días BL"/>
    <s v="20190689"/>
    <m/>
    <d v="2019-10-10T00:00:00"/>
    <s v="CANCELADO"/>
    <s v="CPT"/>
    <m/>
    <x v="304"/>
    <n v="506.48500000000001"/>
    <m/>
    <x v="563"/>
    <x v="6"/>
    <s v="Contenedor 20'"/>
    <m/>
    <s v="25 kg"/>
    <m/>
    <m/>
    <s v="JUNIO - JULIO '19"/>
    <x v="0"/>
    <m/>
    <m/>
    <m/>
    <x v="326"/>
    <m/>
    <m/>
    <x v="333"/>
    <n v="8"/>
    <n v="2019"/>
    <x v="0"/>
    <x v="0"/>
    <s v="DALIAN / CHINA"/>
    <x v="2"/>
    <m/>
    <x v="0"/>
    <x v="450"/>
    <d v="2019-07-12T00:00:00"/>
    <s v="ARICA BRIDGE"/>
    <x v="180"/>
    <x v="2"/>
    <m/>
    <m/>
    <m/>
    <m/>
    <m/>
    <m/>
    <x v="0"/>
    <d v="2019-08-29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s v="URGENTE"/>
    <m/>
    <x v="638"/>
    <m/>
    <x v="461"/>
    <m/>
    <m/>
    <m/>
    <s v="CERRADO"/>
    <n v="207579"/>
    <x v="9"/>
    <x v="33"/>
    <x v="284"/>
    <d v="2019-06-03T00:00:00"/>
    <n v="60"/>
    <s v="días BL"/>
    <s v="5036"/>
    <m/>
    <d v="2019-09-12T00:00:00"/>
    <s v="CANCELADO"/>
    <s v="CFR"/>
    <m/>
    <x v="249"/>
    <n v="257.76"/>
    <m/>
    <x v="564"/>
    <x v="4"/>
    <s v="Contenedor 40'"/>
    <m/>
    <s v="25 kg"/>
    <m/>
    <m/>
    <s v="JUNIO '19"/>
    <x v="0"/>
    <m/>
    <m/>
    <m/>
    <x v="321"/>
    <m/>
    <m/>
    <x v="334"/>
    <n v="8"/>
    <n v="2019"/>
    <x v="0"/>
    <x v="0"/>
    <s v="TIANJING / CHINA"/>
    <x v="2"/>
    <m/>
    <x v="0"/>
    <x v="451"/>
    <d v="2019-07-12T00:00:00"/>
    <s v="COSCO FOS"/>
    <x v="181"/>
    <x v="18"/>
    <m/>
    <m/>
    <m/>
    <m/>
    <m/>
    <m/>
    <x v="0"/>
    <d v="2019-09-01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E-S"/>
    <x v="0"/>
    <x v="0"/>
    <m/>
    <m/>
    <x v="639"/>
    <m/>
    <x v="462"/>
    <m/>
    <m/>
    <m/>
    <s v="CERRADO"/>
    <n v="207576"/>
    <x v="56"/>
    <x v="23"/>
    <x v="285"/>
    <d v="2019-06-04T00:00:00"/>
    <n v="120"/>
    <s v="días BL"/>
    <s v="201951668"/>
    <m/>
    <d v="2019-12-13T00:00:00"/>
    <s v="CANCELADO"/>
    <s v="CIF"/>
    <m/>
    <x v="58"/>
    <n v="1200"/>
    <m/>
    <x v="245"/>
    <x v="5"/>
    <s v="Contenedor 20'"/>
    <m/>
    <s v="Bigbag"/>
    <m/>
    <m/>
    <s v="JUNIO '19"/>
    <x v="0"/>
    <m/>
    <m/>
    <m/>
    <x v="339"/>
    <m/>
    <m/>
    <x v="335"/>
    <n v="9"/>
    <n v="2019"/>
    <x v="0"/>
    <x v="0"/>
    <s v="HAIFO / ISRAEL"/>
    <x v="2"/>
    <m/>
    <x v="0"/>
    <x v="452"/>
    <d v="2019-07-09T00:00:00"/>
    <s v="SEAGO PIRAEUS"/>
    <x v="182"/>
    <x v="6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E-S"/>
    <x v="0"/>
    <x v="0"/>
    <m/>
    <m/>
    <x v="640"/>
    <m/>
    <x v="463"/>
    <m/>
    <m/>
    <m/>
    <s v="CERRADO"/>
    <n v="203622"/>
    <x v="45"/>
    <x v="7"/>
    <x v="286"/>
    <d v="2019-06-07T00:00:00"/>
    <n v="90"/>
    <s v="días BL"/>
    <s v="4200640143"/>
    <m/>
    <d v="2019-10-04T00:00:00"/>
    <s v="CANCELADO"/>
    <s v="CFR"/>
    <m/>
    <x v="59"/>
    <n v="705"/>
    <m/>
    <x v="565"/>
    <x v="14"/>
    <s v="Contenedor 20'"/>
    <m/>
    <s v="25 kg"/>
    <m/>
    <m/>
    <s v="JUNIO '19"/>
    <x v="0"/>
    <m/>
    <m/>
    <m/>
    <x v="329"/>
    <m/>
    <m/>
    <x v="327"/>
    <n v="8"/>
    <n v="2019"/>
    <x v="0"/>
    <x v="0"/>
    <s v="HAMBURGO / ALEMANIA"/>
    <x v="0"/>
    <m/>
    <x v="0"/>
    <x v="453"/>
    <d v="2019-07-07T00:00:00"/>
    <s v="CMA CGM TANYA"/>
    <x v="183"/>
    <x v="9"/>
    <m/>
    <m/>
    <m/>
    <m/>
    <m/>
    <m/>
    <x v="0"/>
    <d v="2019-08-20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E-S"/>
    <x v="0"/>
    <x v="0"/>
    <m/>
    <m/>
    <x v="641"/>
    <m/>
    <x v="464"/>
    <m/>
    <m/>
    <m/>
    <s v="CERRADO"/>
    <n v="207522"/>
    <x v="11"/>
    <x v="10"/>
    <x v="287"/>
    <d v="2019-06-07T00:00:00"/>
    <n v="90"/>
    <s v="días BL"/>
    <s v="301000929"/>
    <m/>
    <d v="2019-10-03T00:00:00"/>
    <s v="CANCELADO"/>
    <s v="CFR"/>
    <m/>
    <x v="305"/>
    <n v="225"/>
    <m/>
    <x v="566"/>
    <x v="2"/>
    <s v="Contenedor 20'"/>
    <m/>
    <s v="Granel Sólido"/>
    <m/>
    <m/>
    <s v="JUNIO '19"/>
    <x v="0"/>
    <m/>
    <m/>
    <m/>
    <x v="323"/>
    <m/>
    <m/>
    <x v="322"/>
    <n v="7"/>
    <n v="2019"/>
    <x v="0"/>
    <x v="0"/>
    <s v="AMBERES / BELGICA"/>
    <x v="2"/>
    <m/>
    <x v="0"/>
    <x v="454"/>
    <d v="2019-07-03T00:00:00"/>
    <s v="SANTOS EXPRESS"/>
    <x v="184"/>
    <x v="2"/>
    <m/>
    <m/>
    <m/>
    <m/>
    <m/>
    <m/>
    <x v="0"/>
    <d v="2019-08-09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E-S"/>
    <x v="0"/>
    <x v="0"/>
    <m/>
    <m/>
    <x v="642"/>
    <m/>
    <x v="465"/>
    <m/>
    <m/>
    <m/>
    <s v="CERRADO"/>
    <n v="207522"/>
    <x v="11"/>
    <x v="10"/>
    <x v="287"/>
    <d v="2019-06-07T00:00:00"/>
    <n v="90"/>
    <s v="días BL"/>
    <s v="301000928"/>
    <m/>
    <d v="2019-10-03T00:00:00"/>
    <s v="CANCELADO"/>
    <s v="CFR"/>
    <m/>
    <x v="306"/>
    <n v="225"/>
    <m/>
    <x v="567"/>
    <x v="2"/>
    <s v="Contenedor 20'"/>
    <m/>
    <s v="Granel Sólido"/>
    <m/>
    <m/>
    <s v="JUNIO '19"/>
    <x v="0"/>
    <m/>
    <m/>
    <m/>
    <x v="340"/>
    <m/>
    <m/>
    <x v="336"/>
    <n v="8"/>
    <n v="2019"/>
    <x v="0"/>
    <x v="0"/>
    <s v="AMBERES / BELGICA"/>
    <x v="0"/>
    <m/>
    <x v="0"/>
    <x v="455"/>
    <d v="2019-07-03T00:00:00"/>
    <s v="SANTOS EXPRESS"/>
    <x v="171"/>
    <x v="2"/>
    <m/>
    <m/>
    <m/>
    <m/>
    <m/>
    <m/>
    <x v="0"/>
    <d v="2019-08-21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E-S"/>
    <x v="0"/>
    <x v="0"/>
    <m/>
    <m/>
    <x v="643"/>
    <m/>
    <x v="466"/>
    <m/>
    <m/>
    <m/>
    <s v="CERRADO"/>
    <n v="207522"/>
    <x v="11"/>
    <x v="10"/>
    <x v="287"/>
    <d v="2019-06-07T00:00:00"/>
    <n v="90"/>
    <s v="días BL"/>
    <s v="301000936"/>
    <m/>
    <d v="2019-10-07T00:00:00"/>
    <s v="CANCELADO"/>
    <s v="CFR"/>
    <m/>
    <x v="257"/>
    <n v="225"/>
    <m/>
    <x v="476"/>
    <x v="4"/>
    <s v="Contenedor 20'"/>
    <m/>
    <s v="Granel Sólido"/>
    <m/>
    <m/>
    <s v="JULIO '19"/>
    <x v="0"/>
    <m/>
    <m/>
    <m/>
    <x v="341"/>
    <m/>
    <m/>
    <x v="337"/>
    <n v="8"/>
    <n v="2019"/>
    <x v="0"/>
    <x v="0"/>
    <s v="AMBERES / BELGICA"/>
    <x v="2"/>
    <m/>
    <x v="0"/>
    <x v="456"/>
    <d v="2019-07-09T00:00:00"/>
    <s v="CMA CGM TANYA"/>
    <x v="41"/>
    <x v="2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E-S"/>
    <x v="0"/>
    <x v="0"/>
    <m/>
    <m/>
    <x v="644"/>
    <m/>
    <x v="467"/>
    <m/>
    <m/>
    <m/>
    <s v="CERRADO"/>
    <n v="207522"/>
    <x v="11"/>
    <x v="10"/>
    <x v="287"/>
    <d v="2019-06-07T00:00:00"/>
    <n v="90"/>
    <s v="días BL"/>
    <s v="301000935"/>
    <m/>
    <d v="2019-10-07T00:00:00"/>
    <s v="CANCELADO"/>
    <s v="CFR"/>
    <m/>
    <x v="307"/>
    <n v="225"/>
    <m/>
    <x v="568"/>
    <x v="4"/>
    <s v="Contenedor 20'"/>
    <m/>
    <s v="Granel Sólido"/>
    <m/>
    <m/>
    <s v="JULIO '19"/>
    <x v="0"/>
    <m/>
    <m/>
    <m/>
    <x v="329"/>
    <m/>
    <m/>
    <x v="338"/>
    <n v="8"/>
    <n v="2019"/>
    <x v="0"/>
    <x v="0"/>
    <s v="AMBERES / BELGICA"/>
    <x v="0"/>
    <m/>
    <x v="0"/>
    <x v="457"/>
    <d v="2019-07-09T00:00:00"/>
    <s v="CMA CGM TANYA"/>
    <x v="129"/>
    <x v="2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645"/>
    <m/>
    <x v="468"/>
    <m/>
    <m/>
    <m/>
    <s v="CERRADO"/>
    <n v="206914"/>
    <x v="12"/>
    <x v="19"/>
    <x v="288"/>
    <d v="2019-06-13T00:00:00"/>
    <n v="90"/>
    <s v="días BL"/>
    <s v="SG-MSL-12329-6"/>
    <m/>
    <d v="2019-10-28T00:00:00"/>
    <s v="CANCELADO"/>
    <s v="CFR"/>
    <m/>
    <x v="308"/>
    <n v="116"/>
    <m/>
    <x v="569"/>
    <x v="17"/>
    <s v="Granel - BB"/>
    <m/>
    <s v="25 kg"/>
    <m/>
    <m/>
    <s v="JUNIO - JULIO '19"/>
    <x v="0"/>
    <m/>
    <m/>
    <m/>
    <x v="338"/>
    <m/>
    <m/>
    <x v="339"/>
    <n v="9"/>
    <n v="2019"/>
    <x v="0"/>
    <x v="0"/>
    <s v="BAYUQUAN / CHINA"/>
    <x v="2"/>
    <m/>
    <x v="0"/>
    <x v="458"/>
    <d v="2019-07-28T00:00:00"/>
    <s v="MV PELICAN ARROW"/>
    <x v="185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646"/>
    <m/>
    <x v="469"/>
    <m/>
    <m/>
    <m/>
    <s v="CERRADO"/>
    <n v="206914"/>
    <x v="12"/>
    <x v="19"/>
    <x v="289"/>
    <d v="2019-06-13T00:00:00"/>
    <n v="90"/>
    <s v="días BL"/>
    <s v="SG-MSL-12329-7"/>
    <m/>
    <d v="2019-10-01T00:00:00"/>
    <s v="CANCELADO"/>
    <s v="CFR"/>
    <m/>
    <x v="270"/>
    <n v="123"/>
    <m/>
    <x v="570"/>
    <x v="21"/>
    <s v="Contenedor 40'"/>
    <m/>
    <s v="25 kg"/>
    <m/>
    <m/>
    <s v="JUNIO - JULIO '19"/>
    <x v="0"/>
    <m/>
    <m/>
    <m/>
    <x v="342"/>
    <m/>
    <m/>
    <x v="340"/>
    <n v="9"/>
    <n v="2019"/>
    <x v="0"/>
    <x v="0"/>
    <s v="BAYUQUAN / CHINA"/>
    <x v="0"/>
    <m/>
    <x v="0"/>
    <x v="459"/>
    <d v="2019-07-01T00:00:00"/>
    <s v="MARCHEN MAERSK"/>
    <x v="12"/>
    <x v="6"/>
    <m/>
    <m/>
    <m/>
    <m/>
    <m/>
    <m/>
    <x v="0"/>
    <d v="2019-09-16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647"/>
    <m/>
    <x v="470"/>
    <m/>
    <m/>
    <m/>
    <s v="CERRADO"/>
    <n v="206971"/>
    <x v="3"/>
    <x v="3"/>
    <x v="290"/>
    <d v="2019-06-18T00:00:00"/>
    <s v="CAD"/>
    <m/>
    <s v="1000101"/>
    <m/>
    <d v="2019-08-02T00:00:00"/>
    <s v="CANCELADO"/>
    <s v="CPT"/>
    <m/>
    <x v="1"/>
    <n v="511"/>
    <m/>
    <x v="571"/>
    <x v="6"/>
    <s v="Contenedor 40'"/>
    <m/>
    <s v="25 kg"/>
    <m/>
    <m/>
    <s v="JULIO '19"/>
    <x v="0"/>
    <m/>
    <m/>
    <m/>
    <x v="343"/>
    <m/>
    <m/>
    <x v="341"/>
    <n v="8"/>
    <n v="2019"/>
    <x v="0"/>
    <x v="0"/>
    <s v="KAOHSIUNG / TAIWAN"/>
    <x v="2"/>
    <m/>
    <x v="0"/>
    <x v="460"/>
    <d v="2019-07-17T00:00:00"/>
    <s v="YM WINDOW "/>
    <x v="186"/>
    <x v="16"/>
    <m/>
    <m/>
    <m/>
    <m/>
    <m/>
    <m/>
    <x v="0"/>
    <d v="2019-08-29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648"/>
    <m/>
    <x v="471"/>
    <m/>
    <m/>
    <m/>
    <s v="CERRADO"/>
    <n v="206971"/>
    <x v="3"/>
    <x v="3"/>
    <x v="291"/>
    <d v="2019-06-18T00:00:00"/>
    <s v="CAD"/>
    <m/>
    <s v="1000109"/>
    <m/>
    <d v="2019-08-02T00:00:00"/>
    <s v="CANCELADO"/>
    <s v="CPT"/>
    <m/>
    <x v="180"/>
    <n v="521"/>
    <m/>
    <x v="572"/>
    <x v="35"/>
    <s v="Contenedor 40'"/>
    <m/>
    <s v="25 kg"/>
    <m/>
    <m/>
    <s v="JULIO '19"/>
    <x v="0"/>
    <m/>
    <m/>
    <m/>
    <x v="338"/>
    <m/>
    <m/>
    <x v="332"/>
    <n v="9"/>
    <n v="2019"/>
    <x v="0"/>
    <x v="0"/>
    <s v="KAOHSIUNG / TAIWAN"/>
    <x v="0"/>
    <m/>
    <x v="0"/>
    <x v="461"/>
    <d v="2019-07-23T00:00:00"/>
    <s v="YM WISH "/>
    <x v="69"/>
    <x v="16"/>
    <m/>
    <m/>
    <m/>
    <m/>
    <m/>
    <m/>
    <x v="0"/>
    <d v="2019-09-18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P"/>
    <x v="0"/>
    <x v="0"/>
    <m/>
    <m/>
    <x v="649"/>
    <m/>
    <x v="472"/>
    <m/>
    <m/>
    <m/>
    <s v="CERRADO"/>
    <n v="207499"/>
    <x v="2"/>
    <x v="3"/>
    <x v="292"/>
    <d v="2019-06-19T00:00:00"/>
    <n v="90"/>
    <s v="días BL"/>
    <s v="1000079"/>
    <m/>
    <d v="2019-10-04T00:00:00"/>
    <s v="CANCELADO"/>
    <s v="CPT"/>
    <m/>
    <x v="309"/>
    <n v="552"/>
    <m/>
    <x v="573"/>
    <x v="5"/>
    <s v="Contenedor 20'"/>
    <m/>
    <s v="25 kg"/>
    <m/>
    <m/>
    <s v="JULIO '19"/>
    <x v="0"/>
    <m/>
    <m/>
    <m/>
    <x v="344"/>
    <m/>
    <m/>
    <x v="342"/>
    <n v="8"/>
    <n v="2019"/>
    <x v="0"/>
    <x v="0"/>
    <s v="HUANGPU / CHINA"/>
    <x v="2"/>
    <m/>
    <x v="0"/>
    <x v="462"/>
    <d v="2019-07-06T00:00:00"/>
    <s v="SUI DE YANG"/>
    <x v="187"/>
    <x v="9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P"/>
    <x v="0"/>
    <x v="0"/>
    <m/>
    <m/>
    <x v="650"/>
    <m/>
    <x v="473"/>
    <m/>
    <m/>
    <m/>
    <s v="CERRADO"/>
    <n v="207499"/>
    <x v="2"/>
    <x v="3"/>
    <x v="293"/>
    <d v="2019-06-19T00:00:00"/>
    <n v="90"/>
    <s v="días BL"/>
    <s v="KTI S1000106"/>
    <m/>
    <d v="2019-10-18T00:00:00"/>
    <s v="CANCELADO"/>
    <s v="CPT"/>
    <m/>
    <x v="304"/>
    <n v="557"/>
    <m/>
    <x v="574"/>
    <x v="6"/>
    <s v="Contenedor 20'"/>
    <m/>
    <s v="25 kg"/>
    <m/>
    <m/>
    <s v="JULIO '19"/>
    <x v="0"/>
    <m/>
    <m/>
    <m/>
    <x v="324"/>
    <m/>
    <m/>
    <x v="343"/>
    <n v="9"/>
    <n v="2019"/>
    <x v="0"/>
    <x v="0"/>
    <s v="HUANGPU / CHINA"/>
    <x v="0"/>
    <m/>
    <x v="0"/>
    <x v="463"/>
    <d v="2019-07-20T00:00:00"/>
    <s v="HAI BANG DA"/>
    <x v="171"/>
    <x v="2"/>
    <m/>
    <m/>
    <m/>
    <m/>
    <m/>
    <m/>
    <x v="0"/>
    <d v="2019-10-12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651"/>
    <m/>
    <x v="474"/>
    <m/>
    <m/>
    <m/>
    <s v="CERRADO"/>
    <n v="207578"/>
    <x v="51"/>
    <x v="33"/>
    <x v="294"/>
    <d v="2019-06-18T00:00:00"/>
    <n v="90"/>
    <s v="días BL"/>
    <s v="5057"/>
    <m/>
    <d v="2019-10-30T00:00:00"/>
    <s v="CANCELADO"/>
    <s v="CFR"/>
    <m/>
    <x v="3"/>
    <n v="240"/>
    <m/>
    <x v="575"/>
    <x v="24"/>
    <s v="Contenedor 40'"/>
    <m/>
    <s v="25 kg"/>
    <m/>
    <m/>
    <s v="JULIO '19"/>
    <x v="0"/>
    <m/>
    <m/>
    <m/>
    <x v="345"/>
    <m/>
    <m/>
    <x v="344"/>
    <n v="9"/>
    <n v="2019"/>
    <x v="0"/>
    <x v="0"/>
    <s v="XINGANG / CHINA"/>
    <x v="0"/>
    <m/>
    <x v="0"/>
    <x v="464"/>
    <d v="2019-08-01T00:00:00"/>
    <s v="NYK LIBRA 881E"/>
    <x v="149"/>
    <x v="16"/>
    <m/>
    <m/>
    <m/>
    <m/>
    <m/>
    <m/>
    <x v="0"/>
    <d v="2019-09-23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652"/>
    <m/>
    <x v="475"/>
    <m/>
    <m/>
    <m/>
    <s v="CERRADO"/>
    <n v="206600"/>
    <x v="1"/>
    <x v="33"/>
    <x v="295"/>
    <d v="2019-06-20T00:00:00"/>
    <n v="60"/>
    <s v="días BL"/>
    <s v="5051"/>
    <m/>
    <d v="2019-09-26T00:00:00"/>
    <s v="CANCELADO"/>
    <s v="CFR"/>
    <m/>
    <x v="35"/>
    <n v="482.17"/>
    <m/>
    <x v="576"/>
    <x v="3"/>
    <s v="Granel - BB"/>
    <m/>
    <s v="50 kg"/>
    <m/>
    <m/>
    <s v="JULIO '19"/>
    <x v="0"/>
    <m/>
    <m/>
    <m/>
    <x v="338"/>
    <m/>
    <m/>
    <x v="339"/>
    <n v="9"/>
    <n v="2019"/>
    <x v="0"/>
    <x v="0"/>
    <s v="BAYUQUAN / CHINA"/>
    <x v="2"/>
    <m/>
    <x v="0"/>
    <x v="465"/>
    <d v="2019-07-28T00:00:00"/>
    <s v="MV PELICAN ARROW"/>
    <x v="185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653"/>
    <m/>
    <x v="476"/>
    <m/>
    <m/>
    <m/>
    <s v="CERRADO"/>
    <n v="206600"/>
    <x v="1"/>
    <x v="39"/>
    <x v="296"/>
    <d v="2019-06-20T00:00:00"/>
    <n v="90"/>
    <s v="días BL"/>
    <s v="698/19"/>
    <m/>
    <d v="2019-11-12T00:00:00"/>
    <s v="CANCELADO"/>
    <s v="CFR"/>
    <m/>
    <x v="310"/>
    <n v="482"/>
    <m/>
    <x v="577"/>
    <x v="8"/>
    <s v="Contenedor 40'"/>
    <m/>
    <s v="50 kg"/>
    <m/>
    <m/>
    <s v="JULIO '19"/>
    <x v="0"/>
    <m/>
    <m/>
    <m/>
    <x v="346"/>
    <m/>
    <m/>
    <x v="345"/>
    <n v="10"/>
    <n v="2019"/>
    <x v="0"/>
    <x v="0"/>
    <s v="DALIAN / CHINA"/>
    <x v="0"/>
    <m/>
    <x v="0"/>
    <x v="466"/>
    <d v="2019-08-14T00:00:00"/>
    <s v="ARICA BRIDGE "/>
    <x v="69"/>
    <x v="16"/>
    <m/>
    <m/>
    <m/>
    <m/>
    <m/>
    <m/>
    <x v="0"/>
    <d v="2019-10-16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654"/>
    <m/>
    <x v="477"/>
    <m/>
    <m/>
    <m/>
    <s v="CERRADO"/>
    <n v="203631"/>
    <x v="3"/>
    <x v="1"/>
    <x v="297"/>
    <d v="2019-06-20T00:00:00"/>
    <n v="60"/>
    <s v="días BL"/>
    <s v="5062"/>
    <m/>
    <d v="2019-09-19T00:00:00"/>
    <s v="CANCELADO"/>
    <s v="CFR"/>
    <m/>
    <x v="8"/>
    <n v="467.01"/>
    <m/>
    <x v="578"/>
    <x v="3"/>
    <s v="Granel - BB"/>
    <m/>
    <s v="25 kg"/>
    <m/>
    <m/>
    <s v="JULIO '19"/>
    <x v="0"/>
    <m/>
    <m/>
    <m/>
    <x v="338"/>
    <m/>
    <m/>
    <x v="339"/>
    <n v="9"/>
    <n v="2019"/>
    <x v="0"/>
    <x v="0"/>
    <s v="TIANJING / CHINA"/>
    <x v="2"/>
    <m/>
    <x v="0"/>
    <x v="467"/>
    <d v="2019-07-21T00:00:00"/>
    <s v="MV PELICAN ARROW"/>
    <x v="185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655"/>
    <m/>
    <x v="478"/>
    <m/>
    <m/>
    <m/>
    <s v="CERRADO"/>
    <n v="203631"/>
    <x v="3"/>
    <x v="1"/>
    <x v="297"/>
    <d v="2019-06-20T00:00:00"/>
    <n v="60"/>
    <s v="días BL"/>
    <s v="5058"/>
    <m/>
    <d v="2019-09-25T00:00:00"/>
    <s v="CANCELADO"/>
    <s v="CFR"/>
    <m/>
    <x v="311"/>
    <n v="467.01"/>
    <m/>
    <x v="579"/>
    <x v="14"/>
    <s v="Contenedor 40'"/>
    <m/>
    <s v="25 kg"/>
    <m/>
    <m/>
    <s v="JULIO '19"/>
    <x v="0"/>
    <m/>
    <m/>
    <m/>
    <x v="338"/>
    <m/>
    <m/>
    <x v="332"/>
    <n v="9"/>
    <n v="2019"/>
    <x v="0"/>
    <x v="0"/>
    <s v="QINGDAO / CHINA"/>
    <x v="0"/>
    <m/>
    <x v="0"/>
    <x v="468"/>
    <d v="2019-07-27T00:00:00"/>
    <s v="MEHUIN"/>
    <x v="69"/>
    <x v="16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656"/>
    <m/>
    <x v="479"/>
    <m/>
    <m/>
    <m/>
    <s v="CERRADO"/>
    <n v="207578"/>
    <x v="51"/>
    <x v="39"/>
    <x v="298"/>
    <d v="2019-06-21T00:00:00"/>
    <n v="90"/>
    <s v="días BL"/>
    <s v="702/19"/>
    <m/>
    <d v="2019-08-26T00:00:00"/>
    <s v="CANCELADO"/>
    <s v="CFR"/>
    <m/>
    <x v="308"/>
    <n v="240"/>
    <m/>
    <x v="580"/>
    <x v="3"/>
    <s v="Granel - BB"/>
    <m/>
    <s v="25 kg"/>
    <m/>
    <m/>
    <s v="JULIO '19"/>
    <x v="0"/>
    <m/>
    <m/>
    <m/>
    <x v="338"/>
    <m/>
    <m/>
    <x v="339"/>
    <n v="9"/>
    <n v="2019"/>
    <x v="0"/>
    <x v="0"/>
    <s v="TIANJING / CHINA"/>
    <x v="2"/>
    <m/>
    <x v="0"/>
    <x v="469"/>
    <d v="2019-07-21T00:00:00"/>
    <s v="MV PELICAN ARROW"/>
    <x v="185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E-S"/>
    <x v="0"/>
    <x v="0"/>
    <m/>
    <m/>
    <x v="657"/>
    <m/>
    <x v="480"/>
    <m/>
    <m/>
    <m/>
    <s v="CERRADO"/>
    <n v="209865"/>
    <x v="49"/>
    <x v="3"/>
    <x v="299"/>
    <d v="2019-06-20T00:00:00"/>
    <s v="CAD"/>
    <m/>
    <s v="KTI20190661"/>
    <m/>
    <d v="2019-07-01T00:00:00"/>
    <s v="CANCELADO"/>
    <s v="CPT"/>
    <m/>
    <x v="312"/>
    <n v="11265.004616805172"/>
    <m/>
    <x v="581"/>
    <x v="11"/>
    <s v="Contenedor 40'"/>
    <m/>
    <s v="Granel Líquido"/>
    <m/>
    <m/>
    <s v="JULIO '19"/>
    <x v="0"/>
    <m/>
    <m/>
    <m/>
    <x v="319"/>
    <m/>
    <m/>
    <x v="317"/>
    <n v="7"/>
    <n v="2019"/>
    <x v="0"/>
    <x v="0"/>
    <s v="MIAMI / USA"/>
    <x v="2"/>
    <m/>
    <x v="0"/>
    <x v="470"/>
    <d v="2019-07-10T00:00:00"/>
    <s v="MAERSK GATESHEAD"/>
    <x v="168"/>
    <x v="6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C"/>
    <x v="0"/>
    <x v="0"/>
    <m/>
    <m/>
    <x v="658"/>
    <m/>
    <x v="481"/>
    <m/>
    <m/>
    <m/>
    <s v="CERRADO"/>
    <n v="207580"/>
    <x v="32"/>
    <x v="29"/>
    <x v="300"/>
    <d v="2019-06-19T00:00:00"/>
    <n v="120"/>
    <s v="días BL"/>
    <s v="GT-86821"/>
    <m/>
    <d v="2019-11-19T00:00:00"/>
    <s v="CANCELADO"/>
    <s v="CIF"/>
    <m/>
    <x v="73"/>
    <n v="733"/>
    <m/>
    <x v="582"/>
    <x v="33"/>
    <s v="Contenedor 20'"/>
    <m/>
    <s v="25 kg"/>
    <m/>
    <m/>
    <s v="JULIO '19"/>
    <x v="0"/>
    <m/>
    <m/>
    <m/>
    <x v="347"/>
    <m/>
    <m/>
    <x v="338"/>
    <n v="8"/>
    <n v="2019"/>
    <x v="0"/>
    <x v="0"/>
    <s v="ANGAMOS / CHILE"/>
    <x v="2"/>
    <m/>
    <x v="0"/>
    <x v="471"/>
    <d v="2019-07-22T00:00:00"/>
    <s v="MSC CAPELLA"/>
    <x v="188"/>
    <x v="4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C"/>
    <x v="0"/>
    <x v="0"/>
    <m/>
    <m/>
    <x v="659"/>
    <m/>
    <x v="482"/>
    <m/>
    <m/>
    <m/>
    <s v="CERRADO"/>
    <n v="207580"/>
    <x v="32"/>
    <x v="29"/>
    <x v="300"/>
    <d v="2019-06-19T00:00:00"/>
    <n v="120"/>
    <s v="días BL"/>
    <s v="GT-88354"/>
    <m/>
    <d v="2020-02-03T00:00:00"/>
    <s v="CANCELADO"/>
    <s v="CIF"/>
    <m/>
    <x v="136"/>
    <n v="733"/>
    <m/>
    <x v="583"/>
    <x v="16"/>
    <s v="Contenedor 20'"/>
    <m/>
    <s v="25 kg"/>
    <m/>
    <m/>
    <s v="JULIO '19"/>
    <x v="0"/>
    <m/>
    <m/>
    <m/>
    <x v="348"/>
    <m/>
    <m/>
    <x v="346"/>
    <n v="10"/>
    <n v="2019"/>
    <x v="0"/>
    <x v="0"/>
    <s v="ANGAMOS / CHILE"/>
    <x v="2"/>
    <m/>
    <x v="0"/>
    <x v="472"/>
    <d v="2019-10-03T00:00:00"/>
    <s v="SAFMARINE MAKUTU"/>
    <x v="170"/>
    <x v="6"/>
    <m/>
    <m/>
    <m/>
    <m/>
    <m/>
    <m/>
    <x v="0"/>
    <d v="2019-10-11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C"/>
    <x v="0"/>
    <x v="0"/>
    <m/>
    <m/>
    <x v="660"/>
    <m/>
    <x v="483"/>
    <m/>
    <m/>
    <m/>
    <s v="CERRADO"/>
    <n v="207580"/>
    <x v="32"/>
    <x v="29"/>
    <x v="300"/>
    <d v="2019-06-19T00:00:00"/>
    <n v="120"/>
    <s v="días BL"/>
    <s v="GT-88691"/>
    <m/>
    <d v="2020-02-12T00:00:00"/>
    <s v="CANCELADO"/>
    <s v="CIF"/>
    <m/>
    <x v="5"/>
    <n v="733"/>
    <m/>
    <x v="584"/>
    <x v="4"/>
    <s v="Contenedor 20'"/>
    <m/>
    <s v="25 kg"/>
    <m/>
    <m/>
    <s v="JULIO '19"/>
    <x v="0"/>
    <m/>
    <m/>
    <m/>
    <x v="349"/>
    <m/>
    <m/>
    <x v="347"/>
    <n v="10"/>
    <n v="2019"/>
    <x v="0"/>
    <x v="0"/>
    <s v="ARICA / CHILE"/>
    <x v="2"/>
    <m/>
    <x v="0"/>
    <x v="473"/>
    <d v="2019-10-10T00:00:00"/>
    <s v="MSC ZEBRA"/>
    <x v="189"/>
    <x v="4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661"/>
    <m/>
    <x v="484"/>
    <m/>
    <m/>
    <m/>
    <s v="CERRADO"/>
    <n v="207951"/>
    <x v="6"/>
    <x v="15"/>
    <x v="301"/>
    <d v="2019-06-25T00:00:00"/>
    <s v="CAD"/>
    <m/>
    <s v="383/19 PMU-01"/>
    <m/>
    <d v="2019-08-07T00:00:00"/>
    <s v="CANCELADO"/>
    <s v="CFR"/>
    <m/>
    <x v="3"/>
    <n v="307.5"/>
    <m/>
    <x v="585"/>
    <x v="3"/>
    <s v="Granel"/>
    <m/>
    <s v="Granel Sólido"/>
    <m/>
    <m/>
    <s v="JULIO '19"/>
    <x v="0"/>
    <m/>
    <m/>
    <m/>
    <x v="350"/>
    <m/>
    <m/>
    <x v="340"/>
    <n v="9"/>
    <n v="2019"/>
    <x v="0"/>
    <x v="0"/>
    <s v="RIGA / LETONIA"/>
    <x v="0"/>
    <m/>
    <x v="0"/>
    <x v="14"/>
    <d v="2019-07-27T00:00:00"/>
    <s v="INTERLINK PROBITY"/>
    <x v="190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662"/>
    <m/>
    <x v="485"/>
    <m/>
    <m/>
    <m/>
    <s v="CERRADO"/>
    <n v="207951"/>
    <x v="6"/>
    <x v="15"/>
    <x v="301"/>
    <d v="2019-06-25T00:00:00"/>
    <s v="CAD"/>
    <m/>
    <s v="383/19 PMU"/>
    <m/>
    <d v="2019-08-07T00:00:00"/>
    <s v="CANCELADO"/>
    <s v="CFR"/>
    <m/>
    <x v="0"/>
    <n v="307.5"/>
    <m/>
    <x v="586"/>
    <x v="3"/>
    <s v="Granel"/>
    <m/>
    <s v="Granel Sólido"/>
    <m/>
    <m/>
    <s v="JULIO '19"/>
    <x v="0"/>
    <m/>
    <m/>
    <m/>
    <x v="351"/>
    <m/>
    <m/>
    <x v="348"/>
    <n v="9"/>
    <n v="2019"/>
    <x v="0"/>
    <x v="0"/>
    <s v="RIGA / LETONIA"/>
    <x v="1"/>
    <m/>
    <x v="0"/>
    <x v="131"/>
    <d v="2019-07-27T00:00:00"/>
    <s v="INTERLINK PROBITY"/>
    <x v="190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663"/>
    <m/>
    <x v="486"/>
    <m/>
    <m/>
    <m/>
    <s v="CERRADO"/>
    <n v="207951"/>
    <x v="6"/>
    <x v="15"/>
    <x v="301"/>
    <d v="2019-06-25T00:00:00"/>
    <s v="CAD"/>
    <m/>
    <s v="384/19 PMU"/>
    <m/>
    <d v="2019-08-07T00:00:00"/>
    <s v="CANCELADO"/>
    <s v="CFR"/>
    <m/>
    <x v="99"/>
    <n v="307.5"/>
    <m/>
    <x v="587"/>
    <x v="3"/>
    <s v="Granel"/>
    <m/>
    <s v="Granel Sólido"/>
    <m/>
    <m/>
    <s v="JULIO '19"/>
    <x v="0"/>
    <m/>
    <m/>
    <m/>
    <x v="352"/>
    <m/>
    <m/>
    <x v="349"/>
    <n v="9"/>
    <n v="2019"/>
    <x v="0"/>
    <x v="0"/>
    <s v="RIGA / LETONIA"/>
    <x v="2"/>
    <m/>
    <x v="0"/>
    <x v="132"/>
    <d v="2019-07-27T00:00:00"/>
    <s v="INTERLINK PROBITY"/>
    <x v="190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664"/>
    <m/>
    <x v="487"/>
    <m/>
    <m/>
    <m/>
    <s v="CERRADO"/>
    <n v="207951"/>
    <x v="6"/>
    <x v="15"/>
    <x v="301"/>
    <d v="2019-06-25T00:00:00"/>
    <s v="CAD"/>
    <m/>
    <s v="385/19 PMU"/>
    <m/>
    <d v="2019-08-07T00:00:00"/>
    <s v="CANCELADO"/>
    <s v="CFR"/>
    <m/>
    <x v="313"/>
    <n v="307.5"/>
    <m/>
    <x v="588"/>
    <x v="3"/>
    <s v="Granel"/>
    <m/>
    <s v="Granel Sólido"/>
    <m/>
    <m/>
    <s v="JULIO '19"/>
    <x v="0"/>
    <m/>
    <m/>
    <m/>
    <x v="353"/>
    <m/>
    <m/>
    <x v="339"/>
    <n v="9"/>
    <n v="2019"/>
    <x v="0"/>
    <x v="0"/>
    <s v="RIGA / LETONIA"/>
    <x v="4"/>
    <m/>
    <x v="0"/>
    <x v="15"/>
    <d v="2019-07-27T00:00:00"/>
    <s v="INTERLINK PROBITY"/>
    <x v="190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665"/>
    <m/>
    <x v="488"/>
    <m/>
    <m/>
    <m/>
    <s v="CERRADO"/>
    <n v="207951"/>
    <x v="6"/>
    <x v="15"/>
    <x v="301"/>
    <d v="2019-06-25T00:00:00"/>
    <s v="CAD"/>
    <m/>
    <s v="474/19 AZ"/>
    <m/>
    <d v="2019-08-07T00:00:00"/>
    <s v="CANCELADO"/>
    <s v="CFR"/>
    <m/>
    <x v="314"/>
    <n v="307.5"/>
    <m/>
    <x v="589"/>
    <x v="3"/>
    <s v="Granel"/>
    <m/>
    <s v="Granel Sólido"/>
    <m/>
    <m/>
    <s v="JULIO '19"/>
    <x v="0"/>
    <m/>
    <m/>
    <m/>
    <x v="353"/>
    <m/>
    <m/>
    <x v="339"/>
    <n v="9"/>
    <n v="2019"/>
    <x v="0"/>
    <x v="0"/>
    <s v="RIGA / LETONIA"/>
    <x v="4"/>
    <m/>
    <x v="0"/>
    <x v="266"/>
    <d v="2019-07-27T00:00:00"/>
    <s v="INTERLINK PROBITY"/>
    <x v="190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C"/>
    <x v="0"/>
    <x v="0"/>
    <m/>
    <m/>
    <x v="666"/>
    <m/>
    <x v="489"/>
    <m/>
    <m/>
    <m/>
    <s v="CERRADO"/>
    <n v="206573"/>
    <x v="5"/>
    <x v="15"/>
    <x v="302"/>
    <d v="2019-06-25T00:00:00"/>
    <s v="CAD"/>
    <m/>
    <s v="626/19 ZMU"/>
    <m/>
    <d v="2019-08-07T00:00:00"/>
    <s v="CANCELADO"/>
    <s v="CFR"/>
    <m/>
    <x v="180"/>
    <n v="274"/>
    <m/>
    <x v="590"/>
    <x v="3"/>
    <s v="Granel"/>
    <m/>
    <s v="Granel Sólido"/>
    <m/>
    <m/>
    <s v="JULIO '19"/>
    <x v="0"/>
    <m/>
    <m/>
    <m/>
    <x v="350"/>
    <m/>
    <m/>
    <x v="340"/>
    <n v="9"/>
    <n v="2019"/>
    <x v="0"/>
    <x v="0"/>
    <s v="RIGA / LETONIA"/>
    <x v="0"/>
    <m/>
    <x v="0"/>
    <x v="52"/>
    <d v="2019-07-27T00:00:00"/>
    <s v="INTERLINK PROBITY"/>
    <x v="190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C"/>
    <x v="0"/>
    <x v="0"/>
    <m/>
    <m/>
    <x v="667"/>
    <m/>
    <x v="490"/>
    <m/>
    <m/>
    <m/>
    <s v="CERRADO"/>
    <n v="206573"/>
    <x v="5"/>
    <x v="15"/>
    <x v="302"/>
    <d v="2019-06-25T00:00:00"/>
    <s v="CAD"/>
    <m/>
    <s v="622/19 ZMU"/>
    <m/>
    <d v="2019-08-07T00:00:00"/>
    <s v="CANCELADO"/>
    <s v="CFR"/>
    <m/>
    <x v="189"/>
    <n v="274"/>
    <m/>
    <x v="591"/>
    <x v="3"/>
    <s v="Granel"/>
    <m/>
    <s v="Granel Sólido"/>
    <m/>
    <m/>
    <s v="JULIO '19"/>
    <x v="0"/>
    <m/>
    <m/>
    <m/>
    <x v="351"/>
    <m/>
    <m/>
    <x v="348"/>
    <n v="9"/>
    <n v="2019"/>
    <x v="0"/>
    <x v="0"/>
    <s v="RIGA / LETONIA"/>
    <x v="1"/>
    <m/>
    <x v="0"/>
    <x v="19"/>
    <d v="2019-07-27T00:00:00"/>
    <s v="INTERLINK PROBITY"/>
    <x v="190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C"/>
    <x v="0"/>
    <x v="0"/>
    <m/>
    <m/>
    <x v="668"/>
    <m/>
    <x v="491"/>
    <m/>
    <m/>
    <m/>
    <s v="CERRADO"/>
    <n v="206573"/>
    <x v="5"/>
    <x v="15"/>
    <x v="302"/>
    <d v="2019-06-25T00:00:00"/>
    <s v="CAD"/>
    <m/>
    <s v="623/19 ZMU"/>
    <m/>
    <d v="2019-08-07T00:00:00"/>
    <s v="CANCELADO"/>
    <s v="CFR"/>
    <m/>
    <x v="152"/>
    <n v="274"/>
    <m/>
    <x v="592"/>
    <x v="3"/>
    <s v="Granel"/>
    <m/>
    <s v="Granel Sólido"/>
    <m/>
    <m/>
    <s v="JULIO '19"/>
    <x v="0"/>
    <m/>
    <m/>
    <m/>
    <x v="354"/>
    <m/>
    <m/>
    <x v="349"/>
    <n v="9"/>
    <n v="2019"/>
    <x v="0"/>
    <x v="0"/>
    <s v="RIGA / LETONIA"/>
    <x v="2"/>
    <m/>
    <x v="0"/>
    <x v="44"/>
    <d v="2019-07-27T00:00:00"/>
    <s v="INTERLINK PROBITY"/>
    <x v="190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C"/>
    <x v="0"/>
    <x v="0"/>
    <m/>
    <m/>
    <x v="669"/>
    <m/>
    <x v="492"/>
    <m/>
    <m/>
    <m/>
    <s v="CERRADO"/>
    <n v="206573"/>
    <x v="5"/>
    <x v="15"/>
    <x v="302"/>
    <d v="2019-06-25T00:00:00"/>
    <s v="CAD"/>
    <m/>
    <s v="624/19 ZMU"/>
    <m/>
    <d v="2019-08-07T00:00:00"/>
    <s v="CANCELADO"/>
    <s v="CFR"/>
    <m/>
    <x v="11"/>
    <n v="274"/>
    <m/>
    <x v="593"/>
    <x v="3"/>
    <s v="Granel"/>
    <m/>
    <s v="Granel Sólido"/>
    <m/>
    <m/>
    <s v="JULIO '19"/>
    <x v="0"/>
    <m/>
    <m/>
    <m/>
    <x v="352"/>
    <m/>
    <m/>
    <x v="349"/>
    <n v="9"/>
    <n v="2019"/>
    <x v="0"/>
    <x v="0"/>
    <s v="RIGA / LETONIA"/>
    <x v="2"/>
    <m/>
    <x v="0"/>
    <x v="20"/>
    <d v="2019-07-27T00:00:00"/>
    <s v="INTERLINK PROBITY"/>
    <x v="190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C"/>
    <x v="0"/>
    <x v="0"/>
    <m/>
    <m/>
    <x v="670"/>
    <m/>
    <x v="493"/>
    <m/>
    <m/>
    <m/>
    <s v="CERRADO"/>
    <n v="206573"/>
    <x v="5"/>
    <x v="15"/>
    <x v="302"/>
    <d v="2019-06-25T00:00:00"/>
    <s v="CAD"/>
    <m/>
    <s v="625/19 ZMU"/>
    <m/>
    <d v="2019-08-07T00:00:00"/>
    <s v="CANCELADO"/>
    <s v="CFR"/>
    <m/>
    <x v="315"/>
    <n v="274"/>
    <m/>
    <x v="594"/>
    <x v="3"/>
    <s v="Granel"/>
    <m/>
    <s v="Granel Sólido"/>
    <m/>
    <m/>
    <s v="JULIO '19"/>
    <x v="0"/>
    <m/>
    <m/>
    <m/>
    <x v="353"/>
    <m/>
    <m/>
    <x v="339"/>
    <n v="9"/>
    <n v="2019"/>
    <x v="0"/>
    <x v="0"/>
    <s v="RIGA / LETONIA"/>
    <x v="4"/>
    <m/>
    <x v="0"/>
    <x v="45"/>
    <d v="2019-07-27T00:00:00"/>
    <s v="INTERLINK PROBITY"/>
    <x v="190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E-S"/>
    <x v="0"/>
    <x v="0"/>
    <m/>
    <m/>
    <x v="671"/>
    <m/>
    <x v="494"/>
    <m/>
    <m/>
    <m/>
    <s v="CERRADO"/>
    <n v="204826"/>
    <x v="48"/>
    <x v="18"/>
    <x v="303"/>
    <d v="2019-07-01T00:00:00"/>
    <s v="CAD"/>
    <m/>
    <s v="19CH-40101695"/>
    <m/>
    <d v="2019-08-15T00:00:00"/>
    <s v="CANCELADO"/>
    <s v="CFR"/>
    <m/>
    <x v="301"/>
    <n v="340"/>
    <m/>
    <x v="595"/>
    <x v="5"/>
    <s v="Contenedor 40'"/>
    <m/>
    <s v="Bigbag"/>
    <m/>
    <m/>
    <s v="JULIO - AGOSTO '19"/>
    <x v="0"/>
    <m/>
    <m/>
    <m/>
    <x v="355"/>
    <m/>
    <m/>
    <x v="339"/>
    <n v="9"/>
    <n v="2019"/>
    <x v="0"/>
    <x v="0"/>
    <s v="ST. PETERSBURG / RUSSIA"/>
    <x v="2"/>
    <m/>
    <x v="0"/>
    <x v="474"/>
    <d v="2019-08-05T00:00:00"/>
    <s v="CMA CGM PREGOLIA"/>
    <x v="155"/>
    <x v="9"/>
    <m/>
    <m/>
    <m/>
    <m/>
    <m/>
    <m/>
    <x v="0"/>
    <d v="2019-10-04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672"/>
    <m/>
    <x v="495"/>
    <m/>
    <m/>
    <m/>
    <s v="CERRADO"/>
    <n v="206597"/>
    <x v="0"/>
    <x v="6"/>
    <x v="8"/>
    <d v="2019-08-01T00:00:00"/>
    <s v="CAD"/>
    <m/>
    <s v="F001-36064"/>
    <m/>
    <d v="2019-08-15T00:00:00"/>
    <s v="CANCELADO"/>
    <s v="CFR"/>
    <m/>
    <x v="0"/>
    <n v="325"/>
    <m/>
    <x v="12"/>
    <x v="3"/>
    <s v="Granel"/>
    <m/>
    <s v="Granel Sólido"/>
    <m/>
    <m/>
    <s v="JULIO '19"/>
    <x v="0"/>
    <m/>
    <m/>
    <m/>
    <x v="350"/>
    <m/>
    <m/>
    <x v="340"/>
    <n v="9"/>
    <n v="2019"/>
    <x v="0"/>
    <x v="0"/>
    <s v="KLAIPEDA / LITUANIA"/>
    <x v="0"/>
    <m/>
    <x v="0"/>
    <x v="19"/>
    <d v="2019-08-02T00:00:00"/>
    <s v="INTERLINK PROBITY"/>
    <x v="190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673"/>
    <m/>
    <x v="496"/>
    <m/>
    <m/>
    <m/>
    <s v="CERRADO"/>
    <n v="206597"/>
    <x v="0"/>
    <x v="6"/>
    <x v="8"/>
    <d v="2019-08-01T00:00:00"/>
    <s v="CAD"/>
    <m/>
    <s v="F001-36059"/>
    <m/>
    <d v="2019-08-15T00:00:00"/>
    <s v="CANCELADO"/>
    <s v="CFR"/>
    <m/>
    <x v="4"/>
    <n v="325"/>
    <m/>
    <x v="596"/>
    <x v="3"/>
    <s v="Granel"/>
    <m/>
    <s v="Granel Sólido"/>
    <m/>
    <m/>
    <s v="JULIO '19"/>
    <x v="0"/>
    <m/>
    <m/>
    <m/>
    <x v="351"/>
    <m/>
    <m/>
    <x v="348"/>
    <n v="9"/>
    <n v="2019"/>
    <x v="0"/>
    <x v="0"/>
    <s v="KLAIPEDA / LITUANIA"/>
    <x v="1"/>
    <m/>
    <x v="0"/>
    <x v="44"/>
    <d v="2019-08-02T00:00:00"/>
    <s v="INTERLINK PROBITY"/>
    <x v="190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674"/>
    <m/>
    <x v="497"/>
    <m/>
    <m/>
    <m/>
    <s v="CERRADO"/>
    <n v="206597"/>
    <x v="0"/>
    <x v="6"/>
    <x v="8"/>
    <d v="2019-08-01T00:00:00"/>
    <s v="CAD"/>
    <m/>
    <s v="F001-36065"/>
    <m/>
    <d v="2019-08-15T00:00:00"/>
    <s v="CANCELADO"/>
    <s v="CFR"/>
    <m/>
    <x v="221"/>
    <n v="325"/>
    <m/>
    <x v="597"/>
    <x v="3"/>
    <s v="Granel"/>
    <m/>
    <s v="Granel Sólido"/>
    <m/>
    <m/>
    <s v="JULIO '19"/>
    <x v="0"/>
    <m/>
    <m/>
    <m/>
    <x v="354"/>
    <m/>
    <m/>
    <x v="349"/>
    <n v="9"/>
    <n v="2019"/>
    <x v="0"/>
    <x v="0"/>
    <s v="KLAIPEDA / LITUANIA"/>
    <x v="2"/>
    <m/>
    <x v="0"/>
    <x v="20"/>
    <d v="2019-08-02T00:00:00"/>
    <s v="INTERLINK PROBITY"/>
    <x v="190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675"/>
    <m/>
    <x v="498"/>
    <m/>
    <m/>
    <m/>
    <s v="CERRADO"/>
    <n v="206597"/>
    <x v="0"/>
    <x v="6"/>
    <x v="8"/>
    <d v="2019-08-01T00:00:00"/>
    <s v="CAD"/>
    <m/>
    <s v="F001-36060"/>
    <m/>
    <d v="2019-08-15T00:00:00"/>
    <s v="CANCELADO"/>
    <s v="CFR"/>
    <m/>
    <x v="0"/>
    <n v="325"/>
    <m/>
    <x v="12"/>
    <x v="3"/>
    <s v="Granel"/>
    <m/>
    <s v="Granel Sólido"/>
    <m/>
    <m/>
    <s v="JULIO '19"/>
    <x v="0"/>
    <m/>
    <m/>
    <m/>
    <x v="352"/>
    <m/>
    <m/>
    <x v="349"/>
    <n v="9"/>
    <n v="2019"/>
    <x v="0"/>
    <x v="0"/>
    <s v="KLAIPEDA / LITUANIA"/>
    <x v="2"/>
    <m/>
    <x v="0"/>
    <x v="45"/>
    <d v="2019-08-02T00:00:00"/>
    <s v="INTERLINK PROBITY"/>
    <x v="190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676"/>
    <m/>
    <x v="499"/>
    <m/>
    <m/>
    <m/>
    <s v="CERRADO"/>
    <n v="206597"/>
    <x v="0"/>
    <x v="6"/>
    <x v="8"/>
    <d v="2019-08-01T00:00:00"/>
    <s v="CAD"/>
    <m/>
    <s v="F001-36058"/>
    <m/>
    <d v="2019-08-15T00:00:00"/>
    <s v="CANCELADO"/>
    <s v="CFR"/>
    <m/>
    <x v="35"/>
    <n v="325"/>
    <m/>
    <x v="598"/>
    <x v="3"/>
    <s v="Granel"/>
    <m/>
    <s v="Granel Sólido"/>
    <m/>
    <m/>
    <s v="JULIO '19"/>
    <x v="0"/>
    <m/>
    <m/>
    <m/>
    <x v="353"/>
    <m/>
    <m/>
    <x v="339"/>
    <n v="9"/>
    <n v="2019"/>
    <x v="0"/>
    <x v="0"/>
    <s v="KLAIPEDA / LITUANIA"/>
    <x v="4"/>
    <m/>
    <x v="0"/>
    <x v="1"/>
    <d v="2019-08-02T00:00:00"/>
    <s v="INTERLINK PROBITY"/>
    <x v="190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677"/>
    <m/>
    <x v="500"/>
    <m/>
    <m/>
    <m/>
    <s v="CERRADO"/>
    <n v="207791"/>
    <x v="7"/>
    <x v="6"/>
    <x v="8"/>
    <d v="2019-08-01T00:00:00"/>
    <s v="CAD"/>
    <m/>
    <s v="F001-36061"/>
    <m/>
    <d v="2019-08-15T00:00:00"/>
    <s v="CANCELADO"/>
    <s v="CFR"/>
    <m/>
    <x v="7"/>
    <n v="315"/>
    <m/>
    <x v="599"/>
    <x v="3"/>
    <s v="Granel"/>
    <m/>
    <s v="Granel Sólido"/>
    <m/>
    <m/>
    <s v="JULIO '19"/>
    <x v="0"/>
    <m/>
    <m/>
    <m/>
    <x v="350"/>
    <m/>
    <m/>
    <x v="340"/>
    <n v="9"/>
    <n v="2019"/>
    <x v="0"/>
    <x v="0"/>
    <s v="KLAIPEDA / LITUANIA"/>
    <x v="0"/>
    <m/>
    <x v="0"/>
    <x v="131"/>
    <d v="2019-08-02T00:00:00"/>
    <s v="INTERLINK PROBITY"/>
    <x v="190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678"/>
    <m/>
    <x v="501"/>
    <m/>
    <m/>
    <m/>
    <s v="CERRADO"/>
    <n v="207791"/>
    <x v="7"/>
    <x v="6"/>
    <x v="8"/>
    <d v="2019-08-01T00:00:00"/>
    <s v="CAD"/>
    <m/>
    <s v="F001-36062"/>
    <m/>
    <d v="2019-08-15T00:00:00"/>
    <s v="CANCELADO"/>
    <s v="CFR"/>
    <m/>
    <x v="228"/>
    <n v="315"/>
    <m/>
    <x v="600"/>
    <x v="3"/>
    <s v="Granel"/>
    <m/>
    <s v="Granel Sólido"/>
    <m/>
    <m/>
    <s v="JULIO '19"/>
    <x v="0"/>
    <m/>
    <m/>
    <m/>
    <x v="351"/>
    <m/>
    <m/>
    <x v="348"/>
    <n v="9"/>
    <n v="2019"/>
    <x v="0"/>
    <x v="0"/>
    <s v="KLAIPEDA / LITUANIA"/>
    <x v="1"/>
    <m/>
    <x v="0"/>
    <x v="132"/>
    <d v="2019-08-02T00:00:00"/>
    <s v="INTERLINK PROBITY"/>
    <x v="190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679"/>
    <m/>
    <x v="502"/>
    <m/>
    <m/>
    <m/>
    <s v="CERRADO"/>
    <n v="207791"/>
    <x v="7"/>
    <x v="6"/>
    <x v="8"/>
    <d v="2019-08-01T00:00:00"/>
    <s v="CAD"/>
    <m/>
    <s v="F001-36066"/>
    <m/>
    <d v="2019-08-15T00:00:00"/>
    <s v="CANCELADO"/>
    <s v="CFR"/>
    <m/>
    <x v="7"/>
    <n v="315"/>
    <m/>
    <x v="599"/>
    <x v="3"/>
    <s v="Granel"/>
    <m/>
    <s v="Granel Sólido"/>
    <m/>
    <m/>
    <s v="JULIO '19"/>
    <x v="0"/>
    <m/>
    <m/>
    <m/>
    <x v="354"/>
    <m/>
    <m/>
    <x v="349"/>
    <n v="9"/>
    <n v="2019"/>
    <x v="0"/>
    <x v="0"/>
    <s v="KLAIPEDA / LITUANIA"/>
    <x v="2"/>
    <m/>
    <x v="0"/>
    <x v="15"/>
    <d v="2019-08-02T00:00:00"/>
    <s v="INTERLINK PROBITY"/>
    <x v="190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680"/>
    <m/>
    <x v="503"/>
    <m/>
    <m/>
    <m/>
    <s v="CERRADO"/>
    <n v="207791"/>
    <x v="7"/>
    <x v="6"/>
    <x v="8"/>
    <d v="2019-08-01T00:00:00"/>
    <s v="CAD"/>
    <m/>
    <s v="F001-36063"/>
    <m/>
    <d v="2019-08-15T00:00:00"/>
    <s v="CANCELADO"/>
    <s v="CFR"/>
    <m/>
    <x v="0"/>
    <n v="315"/>
    <m/>
    <x v="601"/>
    <x v="3"/>
    <s v="Granel"/>
    <m/>
    <s v="Granel Sólido"/>
    <m/>
    <m/>
    <s v="JULIO '19"/>
    <x v="0"/>
    <m/>
    <m/>
    <m/>
    <x v="352"/>
    <m/>
    <m/>
    <x v="349"/>
    <n v="9"/>
    <n v="2019"/>
    <x v="0"/>
    <x v="0"/>
    <s v="KLAIPEDA / LITUANIA"/>
    <x v="2"/>
    <m/>
    <x v="0"/>
    <x v="266"/>
    <d v="2019-08-02T00:00:00"/>
    <s v="INTERLINK PROBITY"/>
    <x v="190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681"/>
    <m/>
    <x v="504"/>
    <m/>
    <m/>
    <m/>
    <s v="CERRADO"/>
    <n v="207791"/>
    <x v="7"/>
    <x v="6"/>
    <x v="8"/>
    <d v="2019-08-01T00:00:00"/>
    <s v="CAD"/>
    <m/>
    <s v="F001-36057"/>
    <m/>
    <d v="2019-08-15T00:00:00"/>
    <s v="CANCELADO"/>
    <s v="CFR"/>
    <m/>
    <x v="1"/>
    <n v="315"/>
    <m/>
    <x v="602"/>
    <x v="3"/>
    <s v="Granel"/>
    <m/>
    <s v="Granel Sólido"/>
    <m/>
    <m/>
    <s v="JULIO '19"/>
    <x v="0"/>
    <m/>
    <m/>
    <m/>
    <x v="353"/>
    <m/>
    <m/>
    <x v="339"/>
    <n v="9"/>
    <n v="2019"/>
    <x v="0"/>
    <x v="0"/>
    <s v="KLAIPEDA / LITUANIA"/>
    <x v="4"/>
    <m/>
    <x v="0"/>
    <x v="390"/>
    <d v="2019-08-02T00:00:00"/>
    <s v="INTERLINK PROBITY"/>
    <x v="190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E-S"/>
    <x v="0"/>
    <x v="0"/>
    <m/>
    <m/>
    <x v="682"/>
    <m/>
    <x v="505"/>
    <m/>
    <m/>
    <m/>
    <s v="CERRADO"/>
    <n v="206720"/>
    <x v="46"/>
    <x v="7"/>
    <x v="304"/>
    <d v="2019-07-12T00:00:00"/>
    <n v="90"/>
    <s v="días BL"/>
    <s v="4200644173"/>
    <m/>
    <d v="2019-11-23T00:00:00"/>
    <s v="CANCELADO"/>
    <s v="CFR"/>
    <m/>
    <x v="316"/>
    <n v="310"/>
    <m/>
    <x v="603"/>
    <x v="2"/>
    <s v="Contenedor 20'"/>
    <m/>
    <s v="25 kg"/>
    <m/>
    <m/>
    <s v="JULIO '19"/>
    <x v="0"/>
    <m/>
    <m/>
    <m/>
    <x v="324"/>
    <m/>
    <m/>
    <x v="350"/>
    <n v="10"/>
    <n v="2019"/>
    <x v="0"/>
    <x v="0"/>
    <s v="HAMBURGO / ALEMANIA"/>
    <x v="0"/>
    <m/>
    <x v="0"/>
    <x v="475"/>
    <d v="2019-08-25T00:00:00"/>
    <s v="CALLAO EXPRESS"/>
    <x v="191"/>
    <x v="9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683"/>
    <m/>
    <x v="506"/>
    <m/>
    <m/>
    <m/>
    <s v="CERRADO"/>
    <n v="207485"/>
    <x v="13"/>
    <x v="6"/>
    <x v="8"/>
    <d v="2019-06-28T00:00:00"/>
    <s v="CAD"/>
    <m/>
    <s v="F001-36565"/>
    <m/>
    <d v="2019-09-05T00:00:00"/>
    <s v="CANCELADO"/>
    <s v="CFR"/>
    <m/>
    <x v="3"/>
    <n v="316.75"/>
    <m/>
    <x v="604"/>
    <x v="17"/>
    <s v="Granel"/>
    <m/>
    <s v="Granel Sólido"/>
    <m/>
    <m/>
    <s v="AGOSTO '19"/>
    <x v="0"/>
    <m/>
    <m/>
    <m/>
    <x v="356"/>
    <m/>
    <m/>
    <x v="351"/>
    <n v="9"/>
    <n v="2019"/>
    <x v="0"/>
    <x v="0"/>
    <s v="NANJING / CHINA"/>
    <x v="0"/>
    <m/>
    <x v="0"/>
    <x v="476"/>
    <d v="2019-08-22T00:00:00"/>
    <s v="GRANDE ISLAND"/>
    <x v="192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684"/>
    <m/>
    <x v="507"/>
    <m/>
    <m/>
    <m/>
    <s v="CERRADO"/>
    <n v="207485"/>
    <x v="13"/>
    <x v="6"/>
    <x v="8"/>
    <d v="2019-06-28T00:00:00"/>
    <s v="CAD"/>
    <m/>
    <s v="F001-36556"/>
    <m/>
    <d v="2019-09-05T00:00:00"/>
    <s v="CANCELADO"/>
    <s v="CFR"/>
    <m/>
    <x v="3"/>
    <n v="316.75"/>
    <m/>
    <x v="604"/>
    <x v="17"/>
    <s v="Granel"/>
    <m/>
    <s v="Granel Sólido"/>
    <m/>
    <m/>
    <s v="AGOSTO '19"/>
    <x v="0"/>
    <m/>
    <m/>
    <m/>
    <x v="357"/>
    <m/>
    <m/>
    <x v="352"/>
    <n v="10"/>
    <n v="2019"/>
    <x v="0"/>
    <x v="0"/>
    <s v="NANJING / CHINA"/>
    <x v="1"/>
    <m/>
    <x v="0"/>
    <x v="477"/>
    <d v="2019-08-22T00:00:00"/>
    <s v="GRANDE ISLAND"/>
    <x v="192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685"/>
    <m/>
    <x v="508"/>
    <m/>
    <m/>
    <m/>
    <s v="CERRADO"/>
    <n v="207485"/>
    <x v="13"/>
    <x v="6"/>
    <x v="8"/>
    <d v="2019-06-28T00:00:00"/>
    <s v="CAD"/>
    <m/>
    <s v="F001-36559"/>
    <m/>
    <d v="2019-09-05T00:00:00"/>
    <s v="CANCELADO"/>
    <s v="CFR"/>
    <m/>
    <x v="317"/>
    <n v="316.75"/>
    <m/>
    <x v="605"/>
    <x v="17"/>
    <s v="Granel"/>
    <m/>
    <s v="Granel Sólido"/>
    <m/>
    <m/>
    <s v="AGOSTO '19"/>
    <x v="0"/>
    <m/>
    <m/>
    <m/>
    <x v="358"/>
    <m/>
    <m/>
    <x v="353"/>
    <n v="10"/>
    <n v="2019"/>
    <x v="0"/>
    <x v="0"/>
    <s v="NANJING / CHINA"/>
    <x v="2"/>
    <m/>
    <x v="0"/>
    <x v="478"/>
    <d v="2019-08-22T00:00:00"/>
    <s v="GRANDE ISLAND"/>
    <x v="192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686"/>
    <m/>
    <x v="509"/>
    <m/>
    <m/>
    <m/>
    <s v="CERRADO"/>
    <n v="207485"/>
    <x v="13"/>
    <x v="6"/>
    <x v="8"/>
    <d v="2019-06-28T00:00:00"/>
    <s v="CAD"/>
    <m/>
    <s v="F001-36573"/>
    <m/>
    <d v="2019-09-05T00:00:00"/>
    <s v="CANCELADO"/>
    <s v="CFR"/>
    <m/>
    <x v="21"/>
    <n v="316.75"/>
    <m/>
    <x v="606"/>
    <x v="0"/>
    <s v="Granel"/>
    <m/>
    <s v="Granel Sólido"/>
    <m/>
    <m/>
    <s v="AGOSTO '19"/>
    <x v="0"/>
    <m/>
    <m/>
    <m/>
    <x v="359"/>
    <m/>
    <m/>
    <x v="354"/>
    <n v="10"/>
    <n v="2019"/>
    <x v="0"/>
    <x v="0"/>
    <s v="NANJING / CHINA"/>
    <x v="3"/>
    <m/>
    <x v="0"/>
    <x v="479"/>
    <d v="2019-08-22T00:00:00"/>
    <s v="GRANDE ISLAND"/>
    <x v="192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687"/>
    <m/>
    <x v="510"/>
    <m/>
    <m/>
    <m/>
    <s v="CERRADO"/>
    <n v="207485"/>
    <x v="13"/>
    <x v="6"/>
    <x v="8"/>
    <d v="2019-06-28T00:00:00"/>
    <s v="CAD"/>
    <m/>
    <s v="F001-36570"/>
    <m/>
    <d v="2019-09-05T00:00:00"/>
    <s v="CANCELADO"/>
    <s v="CFR"/>
    <m/>
    <x v="318"/>
    <n v="316.75"/>
    <m/>
    <x v="607"/>
    <x v="0"/>
    <s v="Granel"/>
    <m/>
    <s v="Granel Sólido"/>
    <m/>
    <m/>
    <s v="AGOSTO '19"/>
    <x v="0"/>
    <m/>
    <m/>
    <m/>
    <x v="360"/>
    <m/>
    <m/>
    <x v="346"/>
    <n v="10"/>
    <n v="2019"/>
    <x v="0"/>
    <x v="0"/>
    <s v="NANJING / CHINA"/>
    <x v="4"/>
    <m/>
    <x v="0"/>
    <x v="480"/>
    <d v="2019-08-22T00:00:00"/>
    <s v="GRANDE ISLAND"/>
    <x v="192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688"/>
    <m/>
    <x v="511"/>
    <m/>
    <m/>
    <m/>
    <s v="CERRADO"/>
    <n v="206569"/>
    <x v="14"/>
    <x v="6"/>
    <x v="8"/>
    <d v="2019-06-28T00:00:00"/>
    <s v="CAD"/>
    <m/>
    <s v="F001-36561"/>
    <m/>
    <d v="2019-09-05T00:00:00"/>
    <s v="CANCELADO"/>
    <s v="CFR"/>
    <m/>
    <x v="8"/>
    <n v="372"/>
    <m/>
    <x v="608"/>
    <x v="17"/>
    <s v="Granel"/>
    <m/>
    <s v="Granel Sólido"/>
    <m/>
    <m/>
    <s v="AGOSTO '19"/>
    <x v="0"/>
    <m/>
    <m/>
    <m/>
    <x v="356"/>
    <m/>
    <m/>
    <x v="351"/>
    <n v="9"/>
    <n v="2019"/>
    <x v="0"/>
    <x v="0"/>
    <s v="NANJING / CHINA"/>
    <x v="0"/>
    <m/>
    <x v="0"/>
    <x v="481"/>
    <d v="2019-08-22T00:00:00"/>
    <s v="GRANDE ISLAND"/>
    <x v="192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689"/>
    <m/>
    <x v="512"/>
    <m/>
    <m/>
    <m/>
    <s v="CERRADO"/>
    <n v="206569"/>
    <x v="14"/>
    <x v="6"/>
    <x v="8"/>
    <d v="2019-06-28T00:00:00"/>
    <s v="CAD"/>
    <m/>
    <s v="F001-36566"/>
    <m/>
    <d v="2019-09-05T00:00:00"/>
    <s v="CANCELADO"/>
    <s v="CFR"/>
    <m/>
    <x v="319"/>
    <n v="372"/>
    <m/>
    <x v="609"/>
    <x v="17"/>
    <s v="Granel"/>
    <m/>
    <s v="Granel Sólido"/>
    <m/>
    <m/>
    <s v="AGOSTO '19"/>
    <x v="0"/>
    <m/>
    <m/>
    <m/>
    <x v="357"/>
    <m/>
    <m/>
    <x v="352"/>
    <n v="10"/>
    <n v="2019"/>
    <x v="0"/>
    <x v="0"/>
    <s v="NANJING / CHINA"/>
    <x v="1"/>
    <m/>
    <x v="0"/>
    <x v="482"/>
    <d v="2019-08-22T00:00:00"/>
    <s v="GRANDE ISLAND"/>
    <x v="192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690"/>
    <m/>
    <x v="513"/>
    <m/>
    <m/>
    <m/>
    <s v="CERRADO"/>
    <n v="206569"/>
    <x v="14"/>
    <x v="6"/>
    <x v="8"/>
    <d v="2019-06-28T00:00:00"/>
    <s v="CAD"/>
    <m/>
    <s v="F001-36567"/>
    <m/>
    <d v="2019-09-05T00:00:00"/>
    <s v="CANCELADO"/>
    <s v="CFR"/>
    <m/>
    <x v="227"/>
    <n v="372"/>
    <m/>
    <x v="610"/>
    <x v="17"/>
    <s v="Granel"/>
    <m/>
    <s v="Granel Sólido"/>
    <m/>
    <m/>
    <s v="AGOSTO '19"/>
    <x v="0"/>
    <m/>
    <m/>
    <m/>
    <x v="358"/>
    <m/>
    <m/>
    <x v="353"/>
    <n v="10"/>
    <n v="2019"/>
    <x v="0"/>
    <x v="0"/>
    <s v="NANJING / CHINA"/>
    <x v="2"/>
    <m/>
    <x v="0"/>
    <x v="483"/>
    <d v="2019-08-22T00:00:00"/>
    <s v="GRANDE ISLAND"/>
    <x v="192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691"/>
    <m/>
    <x v="514"/>
    <m/>
    <m/>
    <m/>
    <s v="CERRADO"/>
    <n v="206569"/>
    <x v="14"/>
    <x v="6"/>
    <x v="8"/>
    <d v="2019-06-28T00:00:00"/>
    <s v="CAD"/>
    <m/>
    <s v="F001-36572"/>
    <m/>
    <d v="2019-09-05T00:00:00"/>
    <s v="CANCELADO"/>
    <s v="CFR"/>
    <m/>
    <x v="70"/>
    <n v="372"/>
    <m/>
    <x v="14"/>
    <x v="0"/>
    <s v="Granel"/>
    <m/>
    <s v="Granel Sólido"/>
    <m/>
    <m/>
    <s v="AGOSTO '19"/>
    <x v="0"/>
    <m/>
    <m/>
    <m/>
    <x v="359"/>
    <m/>
    <m/>
    <x v="354"/>
    <n v="10"/>
    <n v="2019"/>
    <x v="0"/>
    <x v="0"/>
    <s v="NANJING / CHINA"/>
    <x v="3"/>
    <m/>
    <x v="0"/>
    <x v="484"/>
    <d v="2019-08-22T00:00:00"/>
    <s v="GRANDE ISLAND"/>
    <x v="192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692"/>
    <m/>
    <x v="515"/>
    <m/>
    <m/>
    <m/>
    <s v="CERRADO"/>
    <n v="206569"/>
    <x v="14"/>
    <x v="6"/>
    <x v="8"/>
    <d v="2019-06-28T00:00:00"/>
    <s v="CAD"/>
    <m/>
    <s v="F001-36568"/>
    <m/>
    <d v="2019-09-05T00:00:00"/>
    <s v="CANCELADO"/>
    <s v="CFR"/>
    <m/>
    <x v="320"/>
    <n v="372"/>
    <m/>
    <x v="611"/>
    <x v="0"/>
    <s v="Granel"/>
    <m/>
    <s v="Granel Sólido"/>
    <m/>
    <m/>
    <s v="AGOSTO '19"/>
    <x v="0"/>
    <m/>
    <m/>
    <m/>
    <x v="360"/>
    <m/>
    <m/>
    <x v="346"/>
    <n v="10"/>
    <n v="2019"/>
    <x v="0"/>
    <x v="0"/>
    <s v="NANJING / CHINA"/>
    <x v="4"/>
    <m/>
    <x v="0"/>
    <x v="485"/>
    <d v="2019-08-22T00:00:00"/>
    <s v="GRANDE ISLAND"/>
    <x v="192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693"/>
    <m/>
    <x v="516"/>
    <m/>
    <m/>
    <m/>
    <s v="CERRADO"/>
    <n v="203616"/>
    <x v="34"/>
    <x v="6"/>
    <x v="8"/>
    <d v="2019-06-28T00:00:00"/>
    <s v="CAD"/>
    <m/>
    <s v="F001-36575"/>
    <m/>
    <d v="2019-09-05T00:00:00"/>
    <s v="CANCELADO"/>
    <s v="CFR"/>
    <m/>
    <x v="286"/>
    <n v="147.5"/>
    <m/>
    <x v="612"/>
    <x v="17"/>
    <s v="Granel"/>
    <m/>
    <s v="Granel Sólido"/>
    <m/>
    <m/>
    <s v="AGOSTO '19"/>
    <x v="0"/>
    <m/>
    <m/>
    <m/>
    <x v="356"/>
    <m/>
    <m/>
    <x v="351"/>
    <n v="9"/>
    <n v="2019"/>
    <x v="0"/>
    <x v="0"/>
    <s v="NANJING / CHINA"/>
    <x v="0"/>
    <m/>
    <x v="0"/>
    <x v="486"/>
    <d v="2019-08-22T00:00:00"/>
    <s v="GRANDE ISLAND"/>
    <x v="192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694"/>
    <m/>
    <x v="517"/>
    <m/>
    <m/>
    <m/>
    <s v="CERRADO"/>
    <n v="203616"/>
    <x v="34"/>
    <x v="6"/>
    <x v="8"/>
    <d v="2019-06-28T00:00:00"/>
    <s v="CAD"/>
    <m/>
    <s v="F001-36558"/>
    <m/>
    <d v="2019-09-05T00:00:00"/>
    <s v="CANCELADO"/>
    <s v="CFR"/>
    <m/>
    <x v="321"/>
    <n v="147.5"/>
    <m/>
    <x v="613"/>
    <x v="17"/>
    <s v="Granel"/>
    <m/>
    <s v="Granel Sólido"/>
    <m/>
    <m/>
    <s v="AGOSTO '19"/>
    <x v="0"/>
    <m/>
    <m/>
    <m/>
    <x v="361"/>
    <m/>
    <m/>
    <x v="352"/>
    <n v="10"/>
    <n v="2019"/>
    <x v="0"/>
    <x v="0"/>
    <s v="NANJING / CHINA"/>
    <x v="1"/>
    <m/>
    <x v="0"/>
    <x v="487"/>
    <d v="2019-08-22T00:00:00"/>
    <s v="GRANDE ISLAND"/>
    <x v="192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695"/>
    <m/>
    <x v="518"/>
    <m/>
    <m/>
    <m/>
    <s v="CERRADO"/>
    <n v="203616"/>
    <x v="34"/>
    <x v="6"/>
    <x v="8"/>
    <d v="2019-06-28T00:00:00"/>
    <s v="CAD"/>
    <m/>
    <s v="F001-36560"/>
    <m/>
    <d v="2019-09-05T00:00:00"/>
    <s v="CANCELADO"/>
    <s v="CFR"/>
    <m/>
    <x v="13"/>
    <n v="147.5"/>
    <m/>
    <x v="614"/>
    <x v="17"/>
    <s v="Granel"/>
    <m/>
    <s v="Granel Sólido"/>
    <m/>
    <m/>
    <s v="AGOSTO '19"/>
    <x v="0"/>
    <m/>
    <m/>
    <m/>
    <x v="358"/>
    <m/>
    <m/>
    <x v="353"/>
    <n v="10"/>
    <n v="2019"/>
    <x v="0"/>
    <x v="0"/>
    <s v="NANJING / CHINA"/>
    <x v="2"/>
    <m/>
    <x v="0"/>
    <x v="488"/>
    <d v="2019-08-22T00:00:00"/>
    <s v="GRANDE ISLAND"/>
    <x v="192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696"/>
    <m/>
    <x v="519"/>
    <m/>
    <m/>
    <m/>
    <s v="CERRADO"/>
    <n v="203616"/>
    <x v="34"/>
    <x v="6"/>
    <x v="8"/>
    <d v="2019-06-28T00:00:00"/>
    <s v="CAD"/>
    <m/>
    <s v="F001-36574"/>
    <m/>
    <d v="2019-09-05T00:00:00"/>
    <s v="CANCELADO"/>
    <s v="CFR"/>
    <m/>
    <x v="322"/>
    <n v="147.5"/>
    <m/>
    <x v="615"/>
    <x v="0"/>
    <s v="Granel"/>
    <m/>
    <s v="Granel Sólido"/>
    <m/>
    <m/>
    <s v="AGOSTO '19"/>
    <x v="0"/>
    <m/>
    <m/>
    <m/>
    <x v="359"/>
    <m/>
    <m/>
    <x v="354"/>
    <n v="10"/>
    <n v="2019"/>
    <x v="0"/>
    <x v="0"/>
    <s v="NANJING / CHINA"/>
    <x v="3"/>
    <m/>
    <x v="0"/>
    <x v="489"/>
    <d v="2019-08-22T00:00:00"/>
    <s v="GRANDE ISLAND"/>
    <x v="192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697"/>
    <m/>
    <x v="520"/>
    <m/>
    <m/>
    <m/>
    <s v="CERRADO"/>
    <n v="203616"/>
    <x v="34"/>
    <x v="6"/>
    <x v="8"/>
    <d v="2019-06-28T00:00:00"/>
    <s v="CAD"/>
    <m/>
    <s v="F001-36571"/>
    <m/>
    <d v="2019-09-05T00:00:00"/>
    <s v="CANCELADO"/>
    <s v="CFR"/>
    <m/>
    <x v="146"/>
    <n v="147.5"/>
    <m/>
    <x v="616"/>
    <x v="0"/>
    <s v="Granel"/>
    <m/>
    <s v="Granel Sólido"/>
    <m/>
    <m/>
    <s v="AGOSTO '19"/>
    <x v="0"/>
    <m/>
    <m/>
    <m/>
    <x v="360"/>
    <m/>
    <m/>
    <x v="346"/>
    <n v="10"/>
    <n v="2019"/>
    <x v="0"/>
    <x v="0"/>
    <s v="NANJING / CHINA"/>
    <x v="4"/>
    <m/>
    <x v="0"/>
    <x v="490"/>
    <d v="2019-08-22T00:00:00"/>
    <s v="GRANDE ISLAND"/>
    <x v="192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P"/>
    <x v="0"/>
    <x v="0"/>
    <m/>
    <m/>
    <x v="698"/>
    <m/>
    <x v="521"/>
    <m/>
    <m/>
    <m/>
    <s v="CERRADO"/>
    <n v="206710"/>
    <x v="17"/>
    <x v="15"/>
    <x v="305"/>
    <d v="2019-07-22T00:00:00"/>
    <s v="PREPAGO"/>
    <m/>
    <s v="588/19 ZMU"/>
    <m/>
    <d v="2019-08-14T00:00:00"/>
    <s v="CANCELADO"/>
    <s v="CFR"/>
    <m/>
    <x v="249"/>
    <n v="340"/>
    <m/>
    <x v="617"/>
    <x v="9"/>
    <s v="Contenedor 20'"/>
    <m/>
    <s v="Bigbag"/>
    <m/>
    <m/>
    <s v="AGOSTO'19"/>
    <x v="0"/>
    <m/>
    <m/>
    <m/>
    <x v="362"/>
    <m/>
    <m/>
    <x v="355"/>
    <n v="11"/>
    <n v="2019"/>
    <x v="0"/>
    <x v="0"/>
    <s v="SAN PETERSBURGO / RUSIA"/>
    <x v="0"/>
    <m/>
    <x v="0"/>
    <x v="491"/>
    <d v="2019-09-21T00:00:00"/>
    <s v="CMA CGM NEVA"/>
    <x v="191"/>
    <x v="9"/>
    <m/>
    <m/>
    <m/>
    <m/>
    <m/>
    <m/>
    <x v="0"/>
    <d v="2019-11-13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P"/>
    <x v="0"/>
    <x v="0"/>
    <m/>
    <m/>
    <x v="699"/>
    <m/>
    <x v="522"/>
    <m/>
    <m/>
    <m/>
    <s v="CERRADO"/>
    <n v="206710"/>
    <x v="17"/>
    <x v="15"/>
    <x v="306"/>
    <d v="2019-07-22T00:00:00"/>
    <s v="PREPAGO"/>
    <m/>
    <s v="587/19 ZMU"/>
    <m/>
    <d v="2019-08-14T00:00:00"/>
    <s v="CANCELADO"/>
    <s v="CFR"/>
    <m/>
    <x v="21"/>
    <n v="338"/>
    <m/>
    <x v="618"/>
    <x v="2"/>
    <s v="Contenedor 20'"/>
    <m/>
    <s v="Bigbag"/>
    <m/>
    <m/>
    <s v="AGOSTO'19"/>
    <x v="0"/>
    <m/>
    <m/>
    <m/>
    <x v="363"/>
    <m/>
    <m/>
    <x v="356"/>
    <n v="11"/>
    <n v="2019"/>
    <x v="0"/>
    <x v="0"/>
    <s v="SAN PETERSBURGO / RUSIA"/>
    <x v="2"/>
    <m/>
    <x v="0"/>
    <x v="492"/>
    <d v="2019-09-21T00:00:00"/>
    <s v="CMA CGM NEVA"/>
    <x v="39"/>
    <x v="9"/>
    <m/>
    <m/>
    <m/>
    <m/>
    <m/>
    <m/>
    <x v="0"/>
    <d v="2019-11-15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700"/>
    <m/>
    <x v="523"/>
    <m/>
    <m/>
    <m/>
    <s v="CERRADO"/>
    <n v="206914"/>
    <x v="12"/>
    <x v="19"/>
    <x v="307"/>
    <d v="2019-07-22T00:00:00"/>
    <n v="90"/>
    <s v="días BL"/>
    <s v="SG-MSL-12329-8 "/>
    <m/>
    <d v="2019-12-03T00:00:00"/>
    <s v="CANCELADO"/>
    <s v="CFR"/>
    <m/>
    <x v="323"/>
    <n v="124"/>
    <m/>
    <x v="619"/>
    <x v="15"/>
    <s v="Contenedor 40'"/>
    <m/>
    <s v="25 kg"/>
    <m/>
    <m/>
    <s v="AGO'19"/>
    <x v="0"/>
    <m/>
    <m/>
    <m/>
    <x v="364"/>
    <m/>
    <m/>
    <x v="357"/>
    <n v="10"/>
    <n v="2019"/>
    <x v="0"/>
    <x v="0"/>
    <s v="DALIAN / CHINA"/>
    <x v="0"/>
    <m/>
    <x v="0"/>
    <x v="493"/>
    <d v="2019-09-04T00:00:00"/>
    <s v="NYK ISABEL"/>
    <x v="69"/>
    <x v="25"/>
    <m/>
    <m/>
    <m/>
    <m/>
    <m/>
    <m/>
    <x v="0"/>
    <d v="2019-11-07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s v="URGENTE"/>
    <m/>
    <x v="701"/>
    <m/>
    <x v="524"/>
    <m/>
    <m/>
    <m/>
    <s v="CERRADO"/>
    <n v="207579"/>
    <x v="9"/>
    <x v="27"/>
    <x v="308"/>
    <d v="2019-07-23T00:00:00"/>
    <n v="90"/>
    <s v="días BL"/>
    <s v="B7FE-19-0701-MNPE"/>
    <m/>
    <d v="2019-11-07T00:00:00"/>
    <s v="CANCELADO"/>
    <s v="CFR"/>
    <m/>
    <x v="324"/>
    <n v="270"/>
    <m/>
    <x v="620"/>
    <x v="4"/>
    <s v="Contenedor 40'"/>
    <m/>
    <s v="25 kg"/>
    <m/>
    <m/>
    <s v="1H AGOSTO'19"/>
    <x v="0"/>
    <m/>
    <m/>
    <m/>
    <x v="365"/>
    <m/>
    <m/>
    <x v="318"/>
    <n v="9"/>
    <n v="2019"/>
    <x v="0"/>
    <x v="0"/>
    <s v="QINGDAO / CHINA"/>
    <x v="0"/>
    <m/>
    <x v="0"/>
    <x v="494"/>
    <d v="2019-08-09T00:00:00"/>
    <s v="NYK LYRA   "/>
    <x v="69"/>
    <x v="16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702"/>
    <m/>
    <x v="525"/>
    <m/>
    <m/>
    <m/>
    <s v="CERRADO"/>
    <n v="206966"/>
    <x v="16"/>
    <x v="3"/>
    <x v="309"/>
    <d v="2019-07-29T00:00:00"/>
    <n v="90"/>
    <s v="días BL"/>
    <s v="1000352"/>
    <m/>
    <d v="2020-01-23T00:00:00"/>
    <s v="CANCELADO"/>
    <s v="CPT"/>
    <m/>
    <x v="325"/>
    <n v="670"/>
    <m/>
    <x v="621"/>
    <x v="31"/>
    <s v="Contenedor 40'"/>
    <m/>
    <s v="25 kg"/>
    <m/>
    <m/>
    <s v="AGO - SET '19"/>
    <x v="0"/>
    <m/>
    <m/>
    <m/>
    <x v="366"/>
    <m/>
    <m/>
    <x v="358"/>
    <n v="12"/>
    <n v="2019"/>
    <x v="0"/>
    <x v="0"/>
    <s v="NANJING / CHINA"/>
    <x v="0"/>
    <m/>
    <x v="0"/>
    <x v="495"/>
    <d v="2019-10-10T00:00:00"/>
    <s v="KAI TONG "/>
    <x v="193"/>
    <x v="6"/>
    <m/>
    <m/>
    <m/>
    <m/>
    <m/>
    <m/>
    <x v="0"/>
    <d v="2019-12-12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703"/>
    <m/>
    <x v="526"/>
    <m/>
    <m/>
    <m/>
    <s v="CERRADO"/>
    <n v="206966"/>
    <x v="16"/>
    <x v="3"/>
    <x v="310"/>
    <d v="2019-07-29T00:00:00"/>
    <n v="90"/>
    <s v="días BL"/>
    <s v="1000231"/>
    <m/>
    <d v="2019-11-25T00:00:00"/>
    <s v="CANCELADO"/>
    <s v="CPT"/>
    <m/>
    <x v="78"/>
    <n v="703"/>
    <m/>
    <x v="622"/>
    <x v="17"/>
    <s v="Granel - BB"/>
    <m/>
    <s v="25 kg"/>
    <m/>
    <m/>
    <s v="AGO - SET '19"/>
    <x v="0"/>
    <m/>
    <m/>
    <m/>
    <x v="363"/>
    <m/>
    <m/>
    <x v="355"/>
    <n v="11"/>
    <n v="2019"/>
    <x v="0"/>
    <x v="0"/>
    <s v="CHANGSHU / CHINA"/>
    <x v="4"/>
    <m/>
    <x v="0"/>
    <x v="496"/>
    <d v="2019-08-27T00:00:00"/>
    <s v="CORELLA ARROW"/>
    <x v="194"/>
    <x v="0"/>
    <m/>
    <m/>
    <m/>
    <m/>
    <m/>
    <m/>
    <x v="0"/>
    <s v="-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-"/>
    <x v="0"/>
    <x v="0"/>
    <m/>
    <m/>
    <x v="704"/>
    <m/>
    <x v="527"/>
    <m/>
    <m/>
    <m/>
    <s v="CERRADO"/>
    <n v="209856"/>
    <x v="94"/>
    <x v="37"/>
    <x v="311"/>
    <d v="2019-07-25T00:00:00"/>
    <n v="90"/>
    <s v="días BL"/>
    <s v="28230"/>
    <m/>
    <d v="2019-12-04T00:00:00"/>
    <s v="CANCELADO"/>
    <s v="CFR"/>
    <m/>
    <x v="8"/>
    <n v="957"/>
    <m/>
    <x v="623"/>
    <x v="2"/>
    <s v="Contenedor 20'"/>
    <m/>
    <s v="25 kg"/>
    <m/>
    <m/>
    <s v="AGOSTO '19"/>
    <x v="0"/>
    <m/>
    <m/>
    <m/>
    <x v="367"/>
    <m/>
    <m/>
    <x v="359"/>
    <n v="10"/>
    <n v="2019"/>
    <x v="0"/>
    <x v="0"/>
    <s v="VERACRUZ / MEXICO"/>
    <x v="4"/>
    <m/>
    <x v="0"/>
    <x v="497"/>
    <d v="2019-09-05T00:00:00"/>
    <s v="E.R CANADA"/>
    <x v="195"/>
    <x v="2"/>
    <m/>
    <m/>
    <m/>
    <m/>
    <m/>
    <m/>
    <x v="0"/>
    <d v="2019-11-08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E-S"/>
    <x v="0"/>
    <x v="0"/>
    <m/>
    <m/>
    <x v="705"/>
    <m/>
    <x v="528"/>
    <m/>
    <m/>
    <m/>
    <s v="CERRADO"/>
    <n v="204826"/>
    <x v="48"/>
    <x v="18"/>
    <x v="312"/>
    <d v="2019-08-02T00:00:00"/>
    <s v="CAD"/>
    <m/>
    <s v="19CH-40101951"/>
    <m/>
    <d v="2019-09-20T00:00:00"/>
    <s v="CANCELADO"/>
    <s v="CFR"/>
    <m/>
    <x v="326"/>
    <n v="340"/>
    <m/>
    <x v="624"/>
    <x v="8"/>
    <s v="Contenedor 40'"/>
    <m/>
    <s v="Bigbag"/>
    <m/>
    <m/>
    <s v="SET '19"/>
    <x v="0"/>
    <m/>
    <m/>
    <m/>
    <x v="368"/>
    <m/>
    <m/>
    <x v="360"/>
    <n v="10"/>
    <n v="2019"/>
    <x v="0"/>
    <x v="0"/>
    <s v="ST. PETERSBURG / RUSSIA"/>
    <x v="2"/>
    <m/>
    <x v="0"/>
    <x v="498"/>
    <d v="2019-09-07T00:00:00"/>
    <s v="CMA CGM LOUGA "/>
    <x v="42"/>
    <x v="9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s v="URGENTE"/>
    <m/>
    <x v="706"/>
    <m/>
    <x v="529"/>
    <m/>
    <m/>
    <m/>
    <s v="CERRADO"/>
    <n v="207579"/>
    <x v="9"/>
    <x v="39"/>
    <x v="313"/>
    <d v="2019-08-01T00:00:00"/>
    <n v="90"/>
    <s v="días BL"/>
    <s v="788/19"/>
    <m/>
    <d v="2019-12-13T00:00:00"/>
    <s v="CANCELADO"/>
    <s v="CFR"/>
    <m/>
    <x v="1"/>
    <n v="269"/>
    <m/>
    <x v="625"/>
    <x v="3"/>
    <s v="Granel - BB"/>
    <m/>
    <s v="25 kg"/>
    <m/>
    <m/>
    <s v="AGO - SET '19"/>
    <x v="0"/>
    <m/>
    <m/>
    <m/>
    <x v="369"/>
    <m/>
    <m/>
    <x v="361"/>
    <n v="10"/>
    <n v="2019"/>
    <x v="0"/>
    <x v="0"/>
    <s v="TIANJING / CHINA"/>
    <x v="2"/>
    <m/>
    <x v="0"/>
    <x v="499"/>
    <d v="2019-09-15T00:00:00"/>
    <s v="CORELLA ARROW"/>
    <x v="19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707"/>
    <m/>
    <x v="530"/>
    <m/>
    <m/>
    <m/>
    <s v="CERRADO"/>
    <n v="207578"/>
    <x v="8"/>
    <x v="3"/>
    <x v="314"/>
    <d v="2019-08-13T00:00:00"/>
    <n v="90"/>
    <s v="días BL"/>
    <s v="1000279"/>
    <m/>
    <d v="2019-12-16T00:00:00"/>
    <s v="CANCELADO"/>
    <s v="CFR"/>
    <m/>
    <x v="327"/>
    <n v="244.5"/>
    <m/>
    <x v="626"/>
    <x v="17"/>
    <s v="Granel - BB"/>
    <m/>
    <s v="25 kg"/>
    <m/>
    <m/>
    <s v="AGO - SET '19"/>
    <x v="0"/>
    <m/>
    <m/>
    <m/>
    <x v="369"/>
    <m/>
    <m/>
    <x v="362"/>
    <n v="10"/>
    <n v="2019"/>
    <x v="0"/>
    <x v="0"/>
    <s v="XINGANG / CHINA"/>
    <x v="2"/>
    <m/>
    <x v="0"/>
    <x v="500"/>
    <d v="2019-09-16T00:00:00"/>
    <s v="CORELLA ARROW"/>
    <x v="194"/>
    <x v="0"/>
    <m/>
    <m/>
    <m/>
    <m/>
    <m/>
    <m/>
    <x v="0"/>
    <s v="-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708"/>
    <m/>
    <x v="531"/>
    <m/>
    <m/>
    <m/>
    <s v="CERRADO"/>
    <n v="207578"/>
    <x v="8"/>
    <x v="3"/>
    <x v="314"/>
    <d v="2019-08-13T00:00:00"/>
    <n v="90"/>
    <s v="días BL"/>
    <s v="1000281"/>
    <m/>
    <d v="2019-12-16T00:00:00"/>
    <s v="CANCELADO"/>
    <s v="CFR"/>
    <m/>
    <x v="4"/>
    <n v="244.5"/>
    <m/>
    <x v="627"/>
    <x v="17"/>
    <s v="Granel - BB"/>
    <m/>
    <s v="25 kg"/>
    <m/>
    <m/>
    <s v="AGO - SET '19"/>
    <x v="0"/>
    <m/>
    <m/>
    <m/>
    <x v="369"/>
    <m/>
    <m/>
    <x v="362"/>
    <n v="10"/>
    <n v="2019"/>
    <x v="0"/>
    <x v="0"/>
    <s v="XINGANG / CHINA"/>
    <x v="2"/>
    <m/>
    <x v="0"/>
    <x v="501"/>
    <d v="2019-09-16T00:00:00"/>
    <s v="CORELLA ARROW"/>
    <x v="194"/>
    <x v="0"/>
    <m/>
    <m/>
    <m/>
    <m/>
    <m/>
    <m/>
    <x v="0"/>
    <s v="-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709"/>
    <m/>
    <x v="532"/>
    <m/>
    <m/>
    <m/>
    <s v="CERRADO"/>
    <n v="207578"/>
    <x v="8"/>
    <x v="3"/>
    <x v="315"/>
    <d v="2019-08-13T00:00:00"/>
    <n v="90"/>
    <s v="días BL"/>
    <s v="1000230"/>
    <m/>
    <d v="2019-11-29T00:00:00"/>
    <s v="CANCELADO"/>
    <s v="CPT"/>
    <m/>
    <x v="328"/>
    <n v="244"/>
    <m/>
    <x v="628"/>
    <x v="37"/>
    <s v="Contenedor 40'"/>
    <m/>
    <s v="25 kg"/>
    <m/>
    <m/>
    <s v="AGOSTO '19"/>
    <x v="0"/>
    <m/>
    <m/>
    <m/>
    <x v="364"/>
    <m/>
    <m/>
    <x v="361"/>
    <n v="10"/>
    <n v="2019"/>
    <x v="0"/>
    <x v="0"/>
    <s v="XINGANG / CHINA"/>
    <x v="0"/>
    <m/>
    <x v="0"/>
    <x v="502"/>
    <d v="2019-08-31T00:00:00"/>
    <s v="SEADREAM"/>
    <x v="149"/>
    <x v="16"/>
    <m/>
    <m/>
    <m/>
    <m/>
    <m/>
    <m/>
    <x v="0"/>
    <d v="2019-11-05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710"/>
    <m/>
    <x v="533"/>
    <m/>
    <m/>
    <m/>
    <s v="CERRADO"/>
    <n v="207578"/>
    <x v="8"/>
    <x v="3"/>
    <x v="315"/>
    <d v="2019-08-13T00:00:00"/>
    <n v="90"/>
    <s v="días BL"/>
    <s v="1000267"/>
    <m/>
    <d v="2019-12-16T00:00:00"/>
    <s v="CANCELADO"/>
    <s v="CPT"/>
    <m/>
    <x v="3"/>
    <n v="244"/>
    <m/>
    <x v="629"/>
    <x v="36"/>
    <s v="Contenedor 40'"/>
    <m/>
    <s v="25 kg"/>
    <m/>
    <m/>
    <s v="AGOSTO '19"/>
    <x v="0"/>
    <m/>
    <m/>
    <m/>
    <x v="370"/>
    <m/>
    <m/>
    <x v="363"/>
    <n v="11"/>
    <n v="2019"/>
    <x v="0"/>
    <x v="0"/>
    <s v="XINGANG / CHINA"/>
    <x v="0"/>
    <m/>
    <x v="0"/>
    <x v="503"/>
    <d v="2019-09-15T00:00:00"/>
    <s v="GENOVA"/>
    <x v="149"/>
    <x v="16"/>
    <m/>
    <m/>
    <m/>
    <m/>
    <m/>
    <m/>
    <x v="0"/>
    <d v="2019-12-03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E-S"/>
    <x v="0"/>
    <x v="0"/>
    <m/>
    <m/>
    <x v="711"/>
    <m/>
    <x v="534"/>
    <m/>
    <m/>
    <m/>
    <s v="CERRADO"/>
    <n v="206613"/>
    <x v="81"/>
    <x v="10"/>
    <x v="316"/>
    <d v="2019-08-11T00:00:00"/>
    <n v="90"/>
    <s v="días BL"/>
    <s v="301001036"/>
    <m/>
    <d v="2019-12-05T00:00:00"/>
    <s v="CANCELADO"/>
    <s v="CFR"/>
    <m/>
    <x v="329"/>
    <n v="275"/>
    <m/>
    <x v="630"/>
    <x v="9"/>
    <s v="Contenedor 20'"/>
    <m/>
    <s v="Granel Sólido"/>
    <m/>
    <m/>
    <s v="AGO - SET '19"/>
    <x v="0"/>
    <m/>
    <m/>
    <m/>
    <x v="346"/>
    <m/>
    <m/>
    <x v="364"/>
    <n v="10"/>
    <n v="2019"/>
    <x v="0"/>
    <x v="0"/>
    <s v="AMBERES / BELGICA"/>
    <x v="2"/>
    <m/>
    <x v="0"/>
    <x v="504"/>
    <d v="2019-09-06T00:00:00"/>
    <s v="LARS MAERSK "/>
    <x v="196"/>
    <x v="6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E-S"/>
    <x v="0"/>
    <x v="0"/>
    <m/>
    <m/>
    <x v="712"/>
    <m/>
    <x v="535"/>
    <m/>
    <m/>
    <m/>
    <s v="CERRADO"/>
    <n v="206613"/>
    <x v="81"/>
    <x v="10"/>
    <x v="316"/>
    <d v="2019-08-11T00:00:00"/>
    <n v="90"/>
    <s v="días BL"/>
    <s v="301001037"/>
    <m/>
    <d v="2019-12-05T00:00:00"/>
    <s v="CANCELADO"/>
    <s v="CFR"/>
    <m/>
    <x v="67"/>
    <n v="275"/>
    <m/>
    <x v="631"/>
    <x v="5"/>
    <s v="Contenedor 20'"/>
    <m/>
    <s v="Granel Sólido"/>
    <m/>
    <m/>
    <s v="AGO - SET '19"/>
    <x v="0"/>
    <m/>
    <m/>
    <m/>
    <x v="358"/>
    <m/>
    <m/>
    <x v="365"/>
    <n v="10"/>
    <n v="2019"/>
    <x v="0"/>
    <x v="0"/>
    <s v="AMBERES / BELGICA"/>
    <x v="0"/>
    <m/>
    <x v="0"/>
    <x v="505"/>
    <d v="2019-09-06T00:00:00"/>
    <s v="LARS MAERSK "/>
    <x v="12"/>
    <x v="6"/>
    <m/>
    <m/>
    <m/>
    <m/>
    <m/>
    <m/>
    <x v="0"/>
    <d v="2019-10-17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P"/>
    <x v="0"/>
    <x v="0"/>
    <m/>
    <m/>
    <x v="713"/>
    <m/>
    <x v="536"/>
    <m/>
    <m/>
    <m/>
    <s v="CERRADO"/>
    <n v="207499"/>
    <x v="2"/>
    <x v="33"/>
    <x v="317"/>
    <d v="2019-08-26T00:00:00"/>
    <n v="90"/>
    <s v="días BL"/>
    <s v="5144"/>
    <m/>
    <d v="2020-01-18T00:00:00"/>
    <s v="CANCELADO"/>
    <s v="CFR"/>
    <m/>
    <x v="1"/>
    <n v="500"/>
    <m/>
    <x v="632"/>
    <x v="3"/>
    <s v="Granel - BB"/>
    <m/>
    <s v="25 kg"/>
    <m/>
    <m/>
    <s v="AGO - SET '19"/>
    <x v="0"/>
    <m/>
    <m/>
    <m/>
    <x v="371"/>
    <m/>
    <m/>
    <x v="366"/>
    <n v="12"/>
    <n v="2019"/>
    <x v="0"/>
    <x v="0"/>
    <s v="BAYUQUAN / CHINA"/>
    <x v="2"/>
    <m/>
    <x v="0"/>
    <x v="506"/>
    <d v="2019-10-20T00:00:00"/>
    <s v="SAGA FJORD "/>
    <x v="197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P"/>
    <x v="0"/>
    <x v="0"/>
    <m/>
    <m/>
    <x v="714"/>
    <m/>
    <x v="537"/>
    <m/>
    <m/>
    <m/>
    <s v="CERRADO"/>
    <n v="207499"/>
    <x v="2"/>
    <x v="33"/>
    <x v="317"/>
    <d v="2019-08-26T00:00:00"/>
    <n v="90"/>
    <s v="días BL"/>
    <n v="5110"/>
    <m/>
    <d v="2019-12-20T00:00:00"/>
    <s v="CANCELADO"/>
    <s v="CFR"/>
    <m/>
    <x v="330"/>
    <n v="505"/>
    <m/>
    <x v="633"/>
    <x v="9"/>
    <s v="Contenedor 40'"/>
    <m/>
    <s v="25 kg"/>
    <m/>
    <m/>
    <s v="AGO - SET '19"/>
    <x v="0"/>
    <m/>
    <m/>
    <m/>
    <x v="370"/>
    <m/>
    <m/>
    <x v="367"/>
    <n v="11"/>
    <n v="2019"/>
    <x v="0"/>
    <x v="0"/>
    <s v="XINGANG / CHINA"/>
    <x v="0"/>
    <m/>
    <x v="0"/>
    <x v="507"/>
    <d v="2019-09-21T00:00:00"/>
    <s v="GENOVA"/>
    <x v="69"/>
    <x v="16"/>
    <m/>
    <m/>
    <m/>
    <m/>
    <m/>
    <m/>
    <x v="0"/>
    <d v="2019-12-03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P"/>
    <x v="0"/>
    <x v="0"/>
    <m/>
    <m/>
    <x v="715"/>
    <m/>
    <x v="538"/>
    <m/>
    <m/>
    <m/>
    <s v="CERRADO"/>
    <n v="206766"/>
    <x v="10"/>
    <x v="37"/>
    <x v="318"/>
    <d v="2019-08-22T00:00:00"/>
    <n v="90"/>
    <s v="días BL"/>
    <s v="28360"/>
    <m/>
    <d v="2019-12-19T00:00:00"/>
    <s v="CANCELADO"/>
    <s v="CFR"/>
    <m/>
    <x v="139"/>
    <n v="884"/>
    <m/>
    <x v="634"/>
    <x v="13"/>
    <s v="Contenedor 20'"/>
    <m/>
    <s v="Bidones 50kg"/>
    <m/>
    <m/>
    <s v="SET '19"/>
    <x v="0"/>
    <m/>
    <m/>
    <m/>
    <x v="372"/>
    <m/>
    <m/>
    <x v="359"/>
    <n v="10"/>
    <n v="2019"/>
    <x v="0"/>
    <x v="0"/>
    <s v="VERACRUZ / MEXICO"/>
    <x v="2"/>
    <m/>
    <x v="0"/>
    <x v="508"/>
    <d v="2019-09-20T00:00:00"/>
    <s v="TORRENTE"/>
    <x v="50"/>
    <x v="2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P"/>
    <x v="0"/>
    <x v="0"/>
    <m/>
    <m/>
    <x v="716"/>
    <m/>
    <x v="539"/>
    <m/>
    <m/>
    <m/>
    <s v="CERRADO"/>
    <n v="206766"/>
    <x v="10"/>
    <x v="37"/>
    <x v="318"/>
    <d v="2019-08-22T00:00:00"/>
    <n v="90"/>
    <s v="días BL"/>
    <s v="28518-A"/>
    <m/>
    <d v="2020-01-06T00:00:00"/>
    <s v="CANCELADO"/>
    <s v="CFR"/>
    <m/>
    <x v="331"/>
    <n v="884"/>
    <m/>
    <x v="635"/>
    <x v="19"/>
    <s v="Contenedor 20'"/>
    <m/>
    <s v="Bidones 50kg"/>
    <m/>
    <m/>
    <s v="OCT '19"/>
    <x v="0"/>
    <m/>
    <m/>
    <m/>
    <x v="364"/>
    <m/>
    <m/>
    <x v="362"/>
    <n v="10"/>
    <n v="2019"/>
    <x v="0"/>
    <x v="0"/>
    <s v="VERACRUZ / MEXICO"/>
    <x v="2"/>
    <m/>
    <x v="0"/>
    <x v="509"/>
    <d v="2019-09-28T00:00:00"/>
    <s v="LUTETIA"/>
    <x v="198"/>
    <x v="6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P"/>
    <x v="0"/>
    <x v="0"/>
    <m/>
    <m/>
    <x v="717"/>
    <m/>
    <x v="540"/>
    <m/>
    <m/>
    <m/>
    <s v="CERRADO"/>
    <n v="206766"/>
    <x v="10"/>
    <x v="37"/>
    <x v="318"/>
    <d v="2019-08-22T00:00:00"/>
    <n v="90"/>
    <s v="días BL"/>
    <s v="28518-B"/>
    <m/>
    <d v="2020-01-23T00:00:00"/>
    <s v="CANCELADO"/>
    <s v="CFR"/>
    <m/>
    <x v="332"/>
    <n v="884"/>
    <m/>
    <x v="636"/>
    <x v="11"/>
    <s v="Contenedor 20'"/>
    <m/>
    <s v="Bidones 50kg"/>
    <m/>
    <m/>
    <s v="OCT '19"/>
    <x v="0"/>
    <m/>
    <m/>
    <m/>
    <x v="373"/>
    <m/>
    <m/>
    <x v="368"/>
    <n v="11"/>
    <n v="2019"/>
    <x v="0"/>
    <x v="0"/>
    <s v="VERACRUZ / MEXICO"/>
    <x v="2"/>
    <m/>
    <x v="0"/>
    <x v="510"/>
    <d v="2019-10-31T00:00:00"/>
    <s v="LUTETIA"/>
    <x v="199"/>
    <x v="6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P"/>
    <x v="0"/>
    <x v="0"/>
    <m/>
    <m/>
    <x v="718"/>
    <m/>
    <x v="541"/>
    <m/>
    <m/>
    <m/>
    <s v="CERRADO"/>
    <n v="206766"/>
    <x v="10"/>
    <x v="37"/>
    <x v="318"/>
    <d v="2019-08-22T00:00:00"/>
    <n v="90"/>
    <s v="días BL"/>
    <s v="28518-C"/>
    <m/>
    <d v="2020-01-23T00:00:00"/>
    <s v="CANCELADO"/>
    <s v="CFR"/>
    <m/>
    <x v="333"/>
    <n v="884"/>
    <m/>
    <x v="637"/>
    <x v="11"/>
    <s v="Contenedor 20'"/>
    <m/>
    <s v="Bidones 50kg"/>
    <m/>
    <m/>
    <s v="OCT '19"/>
    <x v="0"/>
    <m/>
    <m/>
    <m/>
    <x v="374"/>
    <m/>
    <m/>
    <x v="369"/>
    <n v="3"/>
    <n v="2020"/>
    <x v="0"/>
    <x v="0"/>
    <s v="VERACRUZ / MEXICO"/>
    <x v="2"/>
    <m/>
    <x v="1"/>
    <x v="511"/>
    <d v="2019-10-31T00:00:00"/>
    <s v="POLAR"/>
    <x v="200"/>
    <x v="6"/>
    <m/>
    <m/>
    <m/>
    <m/>
    <m/>
    <m/>
    <x v="0"/>
    <d v="2020-04-10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719"/>
    <m/>
    <x v="542"/>
    <m/>
    <m/>
    <m/>
    <s v="CERRADO"/>
    <n v="206914"/>
    <x v="12"/>
    <x v="19"/>
    <x v="319"/>
    <d v="2019-08-26T00:00:00"/>
    <n v="90"/>
    <s v="días BL"/>
    <s v="SG-MSL-12329-9A"/>
    <m/>
    <d v="2020-01-14T00:00:00"/>
    <s v="CANCELADO"/>
    <s v="CFR"/>
    <m/>
    <x v="334"/>
    <n v="123"/>
    <m/>
    <x v="638"/>
    <x v="20"/>
    <s v="Contenedor 40'"/>
    <m/>
    <s v="25 kg"/>
    <m/>
    <m/>
    <s v="OCT '19"/>
    <x v="0"/>
    <m/>
    <m/>
    <m/>
    <x v="375"/>
    <m/>
    <m/>
    <x v="370"/>
    <n v="12"/>
    <n v="2019"/>
    <x v="0"/>
    <x v="0"/>
    <s v="DALIAN / CHINA"/>
    <x v="0"/>
    <m/>
    <x v="0"/>
    <x v="512"/>
    <d v="2019-10-16T00:00:00"/>
    <s v="MSC NATASHA"/>
    <x v="149"/>
    <x v="16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720"/>
    <m/>
    <x v="543"/>
    <m/>
    <m/>
    <m/>
    <s v="CERRADO"/>
    <n v="206914"/>
    <x v="12"/>
    <x v="19"/>
    <x v="320"/>
    <d v="2019-08-26T00:00:00"/>
    <n v="90"/>
    <s v="días BL"/>
    <s v="SG-MSL-12329-9B"/>
    <m/>
    <d v="2020-04-02T00:00:00"/>
    <s v="CANCELADO"/>
    <s v="CFR"/>
    <m/>
    <x v="335"/>
    <n v="123"/>
    <m/>
    <x v="639"/>
    <x v="10"/>
    <s v="Contenedor 40'"/>
    <m/>
    <s v="25 kg"/>
    <m/>
    <m/>
    <s v="NOVIEMBRE '19"/>
    <x v="0"/>
    <m/>
    <m/>
    <m/>
    <x v="376"/>
    <m/>
    <m/>
    <x v="371"/>
    <n v="3"/>
    <n v="2020"/>
    <x v="0"/>
    <x v="0"/>
    <s v="DALIAN / CHINA"/>
    <x v="0"/>
    <m/>
    <x v="1"/>
    <x v="513"/>
    <d v="2020-01-04T00:00:00"/>
    <s v="NYK ISABEL"/>
    <x v="149"/>
    <x v="16"/>
    <m/>
    <m/>
    <m/>
    <m/>
    <m/>
    <m/>
    <x v="0"/>
    <d v="2020-03-10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721"/>
    <m/>
    <x v="544"/>
    <m/>
    <m/>
    <m/>
    <s v="CERRADO"/>
    <n v="206914"/>
    <x v="12"/>
    <x v="39"/>
    <x v="321"/>
    <d v="2019-08-28T00:00:00"/>
    <n v="150"/>
    <s v="días BL"/>
    <s v="861/19"/>
    <m/>
    <d v="2020-03-24T00:00:00"/>
    <s v="CANCELADO"/>
    <s v="CFR"/>
    <m/>
    <x v="336"/>
    <n v="112"/>
    <m/>
    <x v="640"/>
    <x v="17"/>
    <s v="Granel - BB"/>
    <m/>
    <s v="25 kg"/>
    <m/>
    <m/>
    <s v="SET '19"/>
    <x v="0"/>
    <m/>
    <m/>
    <m/>
    <x v="371"/>
    <m/>
    <m/>
    <x v="366"/>
    <n v="12"/>
    <n v="2019"/>
    <x v="0"/>
    <x v="0"/>
    <s v="BAYUQUAN / CHINA"/>
    <x v="2"/>
    <m/>
    <x v="0"/>
    <x v="514"/>
    <d v="2019-10-26T00:00:00"/>
    <s v="SAGA FJORD"/>
    <x v="201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722"/>
    <m/>
    <x v="545"/>
    <m/>
    <m/>
    <m/>
    <s v="CERRADO"/>
    <n v="206914"/>
    <x v="12"/>
    <x v="39"/>
    <x v="322"/>
    <d v="2019-08-28T00:00:00"/>
    <n v="150"/>
    <s v="días BL"/>
    <s v="861-1/19"/>
    <m/>
    <d v="2020-04-08T00:00:00"/>
    <s v="CANCELADO"/>
    <s v="CFR"/>
    <m/>
    <x v="337"/>
    <n v="112"/>
    <m/>
    <x v="641"/>
    <x v="9"/>
    <s v="Contenedor 20'"/>
    <m/>
    <s v="25 kg"/>
    <m/>
    <m/>
    <s v="OCT '19"/>
    <x v="0"/>
    <m/>
    <m/>
    <m/>
    <x v="371"/>
    <m/>
    <m/>
    <x v="372"/>
    <n v="12"/>
    <n v="2019"/>
    <x v="0"/>
    <x v="0"/>
    <s v="QINGDAO / CHINA"/>
    <x v="2"/>
    <m/>
    <x v="0"/>
    <x v="515"/>
    <d v="2019-11-09T00:00:00"/>
    <s v="MOL PROSPERITY "/>
    <x v="202"/>
    <x v="4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723"/>
    <m/>
    <x v="546"/>
    <m/>
    <m/>
    <m/>
    <s v="CERRADO"/>
    <n v="206914"/>
    <x v="12"/>
    <x v="39"/>
    <x v="323"/>
    <d v="2019-08-28T00:00:00"/>
    <n v="150"/>
    <s v="días BL"/>
    <s v="862-863/19"/>
    <m/>
    <d v="2020-04-08T00:00:00"/>
    <s v="CANCELADO"/>
    <s v="CFR"/>
    <m/>
    <x v="338"/>
    <n v="112"/>
    <m/>
    <x v="642"/>
    <x v="17"/>
    <s v="Granel - BB"/>
    <m/>
    <s v="25 kg"/>
    <m/>
    <m/>
    <s v="NOVIEMBRE '19"/>
    <x v="0"/>
    <m/>
    <m/>
    <m/>
    <x v="377"/>
    <m/>
    <m/>
    <x v="373"/>
    <n v="1"/>
    <n v="2020"/>
    <x v="0"/>
    <x v="0"/>
    <s v="BAYUQUAN / CHINA"/>
    <x v="2"/>
    <m/>
    <x v="1"/>
    <x v="516"/>
    <d v="2019-11-10T00:00:00"/>
    <s v="JAPIN ARROW"/>
    <x v="203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724"/>
    <m/>
    <x v="547"/>
    <m/>
    <m/>
    <m/>
    <s v="CERRADO"/>
    <n v="206971"/>
    <x v="3"/>
    <x v="38"/>
    <x v="324"/>
    <d v="2019-08-27T00:00:00"/>
    <n v="120"/>
    <s v="días BL"/>
    <s v="20191004"/>
    <m/>
    <d v="2020-01-07T00:00:00"/>
    <s v="CANCELADO"/>
    <s v="CPT"/>
    <m/>
    <x v="339"/>
    <n v="505.49"/>
    <m/>
    <x v="643"/>
    <x v="26"/>
    <s v="Contenedor 20'"/>
    <m/>
    <s v="25 kg"/>
    <m/>
    <m/>
    <s v="2H SET '19"/>
    <x v="0"/>
    <m/>
    <m/>
    <m/>
    <x v="378"/>
    <m/>
    <m/>
    <x v="374"/>
    <n v="10"/>
    <n v="2019"/>
    <x v="0"/>
    <x v="0"/>
    <s v="HELSINGBORG / SUECIA"/>
    <x v="2"/>
    <m/>
    <x v="1"/>
    <x v="517"/>
    <d v="2019-09-09T00:00:00"/>
    <s v="PETKUM"/>
    <x v="204"/>
    <x v="26"/>
    <m/>
    <m/>
    <m/>
    <m/>
    <m/>
    <m/>
    <x v="0"/>
    <d v="2019-10-29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725"/>
    <m/>
    <x v="548"/>
    <m/>
    <m/>
    <m/>
    <s v="CERRADO"/>
    <n v="206971"/>
    <x v="3"/>
    <x v="38"/>
    <x v="324"/>
    <d v="2019-08-27T00:00:00"/>
    <n v="120"/>
    <s v="días BL"/>
    <s v="20191014"/>
    <m/>
    <d v="2020-01-14T00:00:00"/>
    <s v="CANCELADO"/>
    <s v="CPT"/>
    <m/>
    <x v="340"/>
    <n v="513.59"/>
    <m/>
    <x v="644"/>
    <x v="39"/>
    <s v="Contenedor 20'"/>
    <m/>
    <s v="25 kg"/>
    <m/>
    <m/>
    <s v="2H SET '19"/>
    <x v="0"/>
    <m/>
    <m/>
    <m/>
    <x v="379"/>
    <m/>
    <m/>
    <x v="375"/>
    <n v="11"/>
    <n v="2019"/>
    <x v="0"/>
    <x v="0"/>
    <s v="HELSINGBORG / SUECIA"/>
    <x v="0"/>
    <m/>
    <x v="1"/>
    <x v="518"/>
    <d v="2019-09-16T00:00:00"/>
    <s v="PETKUM"/>
    <x v="31"/>
    <x v="27"/>
    <m/>
    <m/>
    <m/>
    <m/>
    <m/>
    <m/>
    <x v="0"/>
    <d v="2019-11-16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726"/>
    <m/>
    <x v="549"/>
    <m/>
    <m/>
    <m/>
    <s v="CERRADO"/>
    <n v="206971"/>
    <x v="3"/>
    <x v="38"/>
    <x v="324"/>
    <d v="2019-08-27T00:00:00"/>
    <n v="120"/>
    <s v="días BL"/>
    <s v="20191062"/>
    <m/>
    <d v="2020-01-25T00:00:00"/>
    <s v="CANCELADO"/>
    <s v="CPT"/>
    <m/>
    <x v="341"/>
    <n v="513.59"/>
    <m/>
    <x v="645"/>
    <x v="40"/>
    <s v="Contenedor 20'"/>
    <m/>
    <s v="25 kg"/>
    <m/>
    <m/>
    <s v="2H SET '19"/>
    <x v="0"/>
    <m/>
    <m/>
    <m/>
    <x v="380"/>
    <m/>
    <m/>
    <x v="376"/>
    <n v="11"/>
    <n v="2019"/>
    <x v="0"/>
    <x v="0"/>
    <s v="HELSINGBORG / SUECIA"/>
    <x v="0"/>
    <m/>
    <x v="1"/>
    <x v="519"/>
    <d v="2019-09-27T00:00:00"/>
    <s v="EXPANSA"/>
    <x v="12"/>
    <x v="27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E-S"/>
    <x v="0"/>
    <x v="0"/>
    <m/>
    <m/>
    <x v="727"/>
    <m/>
    <x v="550"/>
    <m/>
    <m/>
    <m/>
    <s v="CERRADO"/>
    <n v="209624"/>
    <x v="44"/>
    <x v="28"/>
    <x v="16"/>
    <d v="2019-08-27T00:00:00"/>
    <n v="60"/>
    <s v="días BL"/>
    <s v="1012026"/>
    <m/>
    <d v="2020-11-11T00:00:00"/>
    <s v="CANCELADO"/>
    <s v="CFR"/>
    <m/>
    <x v="145"/>
    <n v="285"/>
    <m/>
    <x v="646"/>
    <x v="1"/>
    <s v="Contenedor 40'"/>
    <m/>
    <s v="Bigbag"/>
    <m/>
    <m/>
    <s v="SET '19"/>
    <x v="0"/>
    <m/>
    <m/>
    <m/>
    <x v="324"/>
    <m/>
    <m/>
    <x v="377"/>
    <n v="9"/>
    <n v="2019"/>
    <x v="0"/>
    <x v="0"/>
    <s v="QUETZAL/ GUATEMALA"/>
    <x v="2"/>
    <m/>
    <x v="1"/>
    <x v="520"/>
    <d v="2019-09-11T00:00:00"/>
    <s v="SAN FRANCISCO BRIDGE "/>
    <x v="205"/>
    <x v="28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E-S"/>
    <x v="0"/>
    <x v="0"/>
    <m/>
    <m/>
    <x v="728"/>
    <m/>
    <x v="551"/>
    <m/>
    <m/>
    <m/>
    <s v="CERRADO"/>
    <n v="204826"/>
    <x v="48"/>
    <x v="18"/>
    <x v="325"/>
    <d v="2019-08-16T00:00:00"/>
    <s v="CAD"/>
    <m/>
    <s v="19CH-40102290"/>
    <m/>
    <d v="2019-10-22T00:00:00"/>
    <s v="CANCELADO"/>
    <s v="CFR"/>
    <m/>
    <x v="326"/>
    <n v="320"/>
    <m/>
    <x v="647"/>
    <x v="8"/>
    <s v="Contenedor 40'"/>
    <m/>
    <s v="Bigbag"/>
    <m/>
    <m/>
    <s v="OCT '19"/>
    <x v="0"/>
    <m/>
    <m/>
    <m/>
    <x v="373"/>
    <m/>
    <m/>
    <x v="378"/>
    <n v="11"/>
    <n v="2019"/>
    <x v="0"/>
    <x v="0"/>
    <s v="ST. PETERSBURG / RUSSIA"/>
    <x v="2"/>
    <m/>
    <x v="1"/>
    <x v="521"/>
    <d v="2019-10-06T00:00:00"/>
    <s v="VISTULA MAERSK"/>
    <x v="199"/>
    <x v="6"/>
    <m/>
    <m/>
    <m/>
    <m/>
    <m/>
    <m/>
    <x v="0"/>
    <d v="2019-11-26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E-S"/>
    <x v="0"/>
    <x v="0"/>
    <m/>
    <m/>
    <x v="729"/>
    <m/>
    <x v="552"/>
    <m/>
    <m/>
    <m/>
    <s v="CERRADO"/>
    <n v="204826"/>
    <x v="48"/>
    <x v="18"/>
    <x v="325"/>
    <d v="2019-08-16T00:00:00"/>
    <s v="CAD"/>
    <m/>
    <s v="19CH-40102392"/>
    <m/>
    <d v="2019-10-30T00:00:00"/>
    <s v="CANCELADO"/>
    <s v="CFR"/>
    <m/>
    <x v="342"/>
    <n v="320"/>
    <m/>
    <x v="648"/>
    <x v="8"/>
    <s v="Contenedor 40'"/>
    <m/>
    <s v="Bigbag"/>
    <m/>
    <m/>
    <s v="OCT '19"/>
    <x v="0"/>
    <m/>
    <m/>
    <m/>
    <x v="381"/>
    <m/>
    <m/>
    <x v="367"/>
    <n v="11"/>
    <n v="2019"/>
    <x v="0"/>
    <x v="0"/>
    <s v="ST. PETERSBURG / RUSSIA"/>
    <x v="2"/>
    <m/>
    <x v="1"/>
    <x v="522"/>
    <d v="2019-10-20T00:00:00"/>
    <s v="VISTULA MAERSK "/>
    <x v="178"/>
    <x v="6"/>
    <m/>
    <m/>
    <m/>
    <m/>
    <m/>
    <m/>
    <x v="0"/>
    <d v="2019-12-11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730"/>
    <m/>
    <x v="553"/>
    <m/>
    <m/>
    <m/>
    <s v="CERRADO"/>
    <n v="209371"/>
    <x v="19"/>
    <x v="46"/>
    <x v="326"/>
    <d v="2019-08-30T00:00:00"/>
    <n v="120"/>
    <m/>
    <s v="1039700"/>
    <m/>
    <d v="2020-01-10T00:00:00"/>
    <s v="CANCELADO"/>
    <s v="CFR"/>
    <m/>
    <x v="100"/>
    <n v="366.6"/>
    <m/>
    <x v="649"/>
    <x v="17"/>
    <s v="Granel"/>
    <m/>
    <s v="Granel Sólido"/>
    <m/>
    <m/>
    <s v="SET '19"/>
    <x v="0"/>
    <m/>
    <m/>
    <m/>
    <x v="382"/>
    <m/>
    <m/>
    <x v="379"/>
    <n v="9"/>
    <n v="2019"/>
    <x v="0"/>
    <x v="0"/>
    <s v="LAZARO CARDENAS, MEXICO"/>
    <x v="1"/>
    <m/>
    <x v="1"/>
    <x v="44"/>
    <d v="2019-09-13T00:00:00"/>
    <s v="MV GREENWING "/>
    <x v="206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731"/>
    <m/>
    <x v="554"/>
    <m/>
    <m/>
    <m/>
    <s v="CERRADO"/>
    <n v="206226"/>
    <x v="19"/>
    <x v="46"/>
    <x v="326"/>
    <d v="2019-08-30T00:00:00"/>
    <s v="CAD"/>
    <m/>
    <s v="1039696"/>
    <m/>
    <d v="2019-09-18T00:00:00"/>
    <s v="CANCELADO"/>
    <s v="CFR"/>
    <m/>
    <x v="17"/>
    <n v="360"/>
    <m/>
    <x v="650"/>
    <x v="17"/>
    <s v="Granel"/>
    <m/>
    <s v="Granel Sólido"/>
    <m/>
    <m/>
    <s v="SET '19"/>
    <x v="0"/>
    <m/>
    <m/>
    <m/>
    <x v="382"/>
    <m/>
    <m/>
    <x v="379"/>
    <n v="9"/>
    <n v="2019"/>
    <x v="0"/>
    <x v="0"/>
    <s v="LAZARO CARDENAS, MEXICO"/>
    <x v="1"/>
    <m/>
    <x v="1"/>
    <x v="19"/>
    <d v="2019-09-13T00:00:00"/>
    <s v="MV GREENWING "/>
    <x v="206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732"/>
    <m/>
    <x v="555"/>
    <m/>
    <m/>
    <m/>
    <s v="CERRADO"/>
    <n v="209371"/>
    <x v="19"/>
    <x v="46"/>
    <x v="326"/>
    <d v="2019-08-30T00:00:00"/>
    <n v="120"/>
    <m/>
    <s v="1039698"/>
    <m/>
    <d v="2020-01-10T00:00:00"/>
    <s v="CANCELADO"/>
    <s v="CFR"/>
    <m/>
    <x v="130"/>
    <n v="366.6"/>
    <m/>
    <x v="651"/>
    <x v="17"/>
    <s v="Granel"/>
    <m/>
    <s v="Granel Sólido"/>
    <m/>
    <m/>
    <s v="SET '19"/>
    <x v="0"/>
    <m/>
    <m/>
    <m/>
    <x v="383"/>
    <m/>
    <m/>
    <x v="351"/>
    <n v="9"/>
    <n v="2019"/>
    <x v="0"/>
    <x v="0"/>
    <s v="LAZARO CARDENAS, MEXICO"/>
    <x v="4"/>
    <m/>
    <x v="1"/>
    <x v="52"/>
    <d v="2019-09-13T00:00:00"/>
    <s v="MV GREENWING "/>
    <x v="206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733"/>
    <m/>
    <x v="556"/>
    <m/>
    <m/>
    <m/>
    <s v="CERRADO"/>
    <n v="206226"/>
    <x v="19"/>
    <x v="46"/>
    <x v="326"/>
    <d v="2019-08-30T00:00:00"/>
    <s v="CAD"/>
    <m/>
    <s v="1039693"/>
    <m/>
    <d v="2019-09-17T00:00:00"/>
    <s v="CANCELADO"/>
    <s v="CFR"/>
    <m/>
    <x v="189"/>
    <n v="360"/>
    <m/>
    <x v="652"/>
    <x v="17"/>
    <s v="Granel"/>
    <m/>
    <s v="Granel Sólido"/>
    <m/>
    <m/>
    <s v="SET '19"/>
    <x v="0"/>
    <m/>
    <m/>
    <m/>
    <x v="383"/>
    <m/>
    <m/>
    <x v="351"/>
    <n v="9"/>
    <n v="2019"/>
    <x v="0"/>
    <x v="0"/>
    <s v="LAZARO CARDENAS, MEXICO"/>
    <x v="4"/>
    <m/>
    <x v="1"/>
    <x v="18"/>
    <d v="2019-09-13T00:00:00"/>
    <s v="MV GREENWING "/>
    <x v="206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P"/>
    <x v="0"/>
    <x v="0"/>
    <m/>
    <m/>
    <x v="734"/>
    <m/>
    <x v="557"/>
    <m/>
    <m/>
    <m/>
    <s v="CERRADO"/>
    <n v="207374"/>
    <x v="17"/>
    <x v="15"/>
    <x v="327"/>
    <d v="2019-09-13T00:00:00"/>
    <s v="PREPAGO"/>
    <m/>
    <s v="747/19 ZMU"/>
    <m/>
    <d v="2019-09-20T00:00:00"/>
    <s v="CANCELADO"/>
    <s v="CFR"/>
    <m/>
    <x v="222"/>
    <n v="327"/>
    <m/>
    <x v="653"/>
    <x v="10"/>
    <s v="Contenedor 20'"/>
    <m/>
    <s v="25 kg"/>
    <m/>
    <m/>
    <s v="OCT '19"/>
    <x v="0"/>
    <m/>
    <m/>
    <m/>
    <x v="384"/>
    <m/>
    <m/>
    <x v="380"/>
    <n v="12"/>
    <n v="2019"/>
    <x v="0"/>
    <x v="0"/>
    <s v="SAN PETERSBURGO / RUSIA"/>
    <x v="0"/>
    <m/>
    <x v="1"/>
    <x v="523"/>
    <d v="2019-10-27T00:00:00"/>
    <s v="CMA CGM TANYA"/>
    <x v="183"/>
    <x v="9"/>
    <m/>
    <m/>
    <m/>
    <m/>
    <m/>
    <m/>
    <x v="0"/>
    <d v="2019-12-16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P"/>
    <x v="0"/>
    <x v="0"/>
    <m/>
    <m/>
    <x v="735"/>
    <m/>
    <x v="558"/>
    <m/>
    <m/>
    <m/>
    <s v="CERRADO"/>
    <n v="207374"/>
    <x v="17"/>
    <x v="15"/>
    <x v="328"/>
    <d v="2019-09-13T00:00:00"/>
    <s v="PREPAGO"/>
    <m/>
    <s v="746/19 ZMU"/>
    <m/>
    <d v="2019-09-20T00:00:00"/>
    <s v="CANCELADO"/>
    <s v="CFR"/>
    <m/>
    <x v="222"/>
    <n v="327"/>
    <m/>
    <x v="653"/>
    <x v="10"/>
    <s v="Contenedor 20'"/>
    <m/>
    <s v="25 kg"/>
    <m/>
    <m/>
    <s v="OCT '19"/>
    <x v="0"/>
    <m/>
    <m/>
    <m/>
    <x v="385"/>
    <m/>
    <m/>
    <x v="381"/>
    <n v="12"/>
    <n v="2019"/>
    <x v="0"/>
    <x v="0"/>
    <s v="SAN PETERSBURGO / RUSIA"/>
    <x v="2"/>
    <m/>
    <x v="1"/>
    <x v="524"/>
    <d v="2019-10-26T00:00:00"/>
    <s v="CMA CGM TANYA"/>
    <x v="41"/>
    <x v="9"/>
    <m/>
    <m/>
    <m/>
    <m/>
    <m/>
    <m/>
    <x v="0"/>
    <d v="2019-12-20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736"/>
    <m/>
    <x v="559"/>
    <m/>
    <m/>
    <m/>
    <s v="CERRADO"/>
    <n v="203631"/>
    <x v="3"/>
    <x v="8"/>
    <x v="329"/>
    <d v="2019-09-04T00:00:00"/>
    <n v="90"/>
    <s v="días BL"/>
    <s v="4610007104"/>
    <m/>
    <d v="2019-12-23T00:00:00"/>
    <s v="CANCELADO"/>
    <s v="CPT"/>
    <m/>
    <x v="63"/>
    <n v="495"/>
    <m/>
    <x v="654"/>
    <x v="7"/>
    <s v="Contenedor 20'"/>
    <m/>
    <s v="25 kg"/>
    <m/>
    <m/>
    <s v="OCT '19"/>
    <x v="0"/>
    <m/>
    <m/>
    <m/>
    <x v="386"/>
    <m/>
    <m/>
    <x v="368"/>
    <n v="11"/>
    <n v="2019"/>
    <x v="0"/>
    <x v="0"/>
    <s v="JAKARTA / INDONESIA"/>
    <x v="2"/>
    <m/>
    <x v="0"/>
    <x v="525"/>
    <d v="2019-09-24T00:00:00"/>
    <s v="NYK FUSHIMI"/>
    <x v="207"/>
    <x v="2"/>
    <m/>
    <m/>
    <m/>
    <m/>
    <m/>
    <m/>
    <x v="0"/>
    <d v="2019-12-06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737"/>
    <m/>
    <x v="560"/>
    <m/>
    <m/>
    <m/>
    <s v="CERRADO"/>
    <n v="203631"/>
    <x v="3"/>
    <x v="8"/>
    <x v="329"/>
    <d v="2019-09-04T00:00:00"/>
    <n v="90"/>
    <s v="días BL"/>
    <s v="4610007175"/>
    <m/>
    <d v="2019-12-27T00:00:00"/>
    <s v="CANCELADO"/>
    <s v="CPT"/>
    <m/>
    <x v="63"/>
    <n v="499"/>
    <m/>
    <x v="655"/>
    <x v="7"/>
    <s v="Contenedor 20'"/>
    <m/>
    <s v="25 kg"/>
    <m/>
    <m/>
    <s v="OCT '19"/>
    <x v="0"/>
    <m/>
    <m/>
    <m/>
    <x v="387"/>
    <m/>
    <m/>
    <x v="358"/>
    <n v="12"/>
    <n v="2019"/>
    <x v="0"/>
    <x v="0"/>
    <s v="JAKARTA / INDONESIA"/>
    <x v="0"/>
    <m/>
    <x v="0"/>
    <x v="526"/>
    <d v="2019-09-28T00:00:00"/>
    <s v="SEASPAN NEW DELHI"/>
    <x v="129"/>
    <x v="2"/>
    <m/>
    <m/>
    <m/>
    <m/>
    <m/>
    <m/>
    <x v="0"/>
    <d v="2019-12-23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738"/>
    <m/>
    <x v="561"/>
    <m/>
    <m/>
    <m/>
    <s v="CERRADO"/>
    <n v="206966"/>
    <x v="16"/>
    <x v="3"/>
    <x v="330"/>
    <d v="2019-09-05T00:00:00"/>
    <n v="90"/>
    <s v="días BL"/>
    <s v="1000348"/>
    <m/>
    <d v="2020-01-23T00:00:00"/>
    <s v="CANCELADO"/>
    <s v="CPT"/>
    <m/>
    <x v="343"/>
    <n v="665"/>
    <m/>
    <x v="656"/>
    <x v="4"/>
    <s v="Contenedor 20'"/>
    <m/>
    <s v="25 kg"/>
    <m/>
    <m/>
    <s v="AGO - SET '19"/>
    <x v="0"/>
    <m/>
    <m/>
    <m/>
    <x v="388"/>
    <m/>
    <m/>
    <x v="363"/>
    <n v="11"/>
    <n v="2019"/>
    <x v="0"/>
    <x v="0"/>
    <s v="NANJING / CHINA"/>
    <x v="2"/>
    <m/>
    <x v="0"/>
    <x v="527"/>
    <d v="2019-10-10T00:00:00"/>
    <s v="ZHONG YI ZE TAI "/>
    <x v="208"/>
    <x v="22"/>
    <m/>
    <m/>
    <m/>
    <m/>
    <m/>
    <m/>
    <x v="0"/>
    <d v="2019-12-14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739"/>
    <m/>
    <x v="562"/>
    <m/>
    <m/>
    <m/>
    <s v="CERRADO"/>
    <n v="207951"/>
    <x v="6"/>
    <x v="41"/>
    <x v="331"/>
    <d v="2019-09-10T00:00:00"/>
    <n v="120"/>
    <s v="días BL"/>
    <s v="B7FE-19-1002-URPE-04"/>
    <m/>
    <d v="2020-02-28T00:00:00"/>
    <s v="CANCELADO"/>
    <s v="CFR"/>
    <m/>
    <x v="344"/>
    <n v="287.8"/>
    <m/>
    <x v="657"/>
    <x v="0"/>
    <s v="Granel"/>
    <m/>
    <s v="Granel Sólido"/>
    <m/>
    <m/>
    <s v="OCT '19"/>
    <x v="0"/>
    <m/>
    <m/>
    <m/>
    <x v="389"/>
    <m/>
    <m/>
    <x v="382"/>
    <n v="12"/>
    <n v="2019"/>
    <x v="0"/>
    <x v="0"/>
    <s v="RIGA / LETONIA"/>
    <x v="0"/>
    <m/>
    <x v="0"/>
    <x v="12"/>
    <d v="2019-10-30T00:00:00"/>
    <s v="MV ROJEN"/>
    <x v="209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740"/>
    <m/>
    <x v="562"/>
    <m/>
    <m/>
    <m/>
    <s v="CERRADO"/>
    <n v="207951"/>
    <x v="6"/>
    <x v="41"/>
    <x v="331"/>
    <d v="2019-09-10T00:00:00"/>
    <n v="120"/>
    <s v="días BL"/>
    <s v="B7FE-19-1002-URPE-05"/>
    <m/>
    <d v="2020-02-28T00:00:00"/>
    <s v="CANCELADO"/>
    <s v="CFR"/>
    <m/>
    <x v="345"/>
    <n v="287.8"/>
    <m/>
    <x v="658"/>
    <x v="0"/>
    <s v="Granel"/>
    <m/>
    <s v="Granel Sólido"/>
    <m/>
    <m/>
    <s v="OCT '19"/>
    <x v="0"/>
    <m/>
    <m/>
    <m/>
    <x v="389"/>
    <m/>
    <m/>
    <x v="382"/>
    <n v="12"/>
    <n v="2019"/>
    <x v="0"/>
    <x v="0"/>
    <s v="RIGA / LETONIA"/>
    <x v="0"/>
    <m/>
    <x v="0"/>
    <x v="13"/>
    <d v="2019-10-30T00:00:00"/>
    <s v="MV ROJEN"/>
    <x v="209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741"/>
    <m/>
    <x v="563"/>
    <m/>
    <m/>
    <m/>
    <s v="CERRADO"/>
    <n v="207951"/>
    <x v="6"/>
    <x v="41"/>
    <x v="331"/>
    <d v="2019-09-10T00:00:00"/>
    <n v="120"/>
    <s v="días BL"/>
    <s v="B7FE-19-1002-URPE-06"/>
    <m/>
    <d v="2020-02-28T00:00:00"/>
    <s v="CANCELADO"/>
    <s v="CFR"/>
    <m/>
    <x v="346"/>
    <n v="287.8"/>
    <m/>
    <x v="659"/>
    <x v="0"/>
    <s v="Granel"/>
    <m/>
    <s v="Granel Sólido"/>
    <m/>
    <m/>
    <s v="OCT '19"/>
    <x v="0"/>
    <m/>
    <m/>
    <m/>
    <x v="387"/>
    <m/>
    <m/>
    <x v="383"/>
    <n v="12"/>
    <n v="2019"/>
    <x v="0"/>
    <x v="0"/>
    <s v="RIGA / LETONIA"/>
    <x v="1"/>
    <m/>
    <x v="0"/>
    <x v="14"/>
    <d v="2019-10-30T00:00:00"/>
    <s v="MV ROJEN"/>
    <x v="209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742"/>
    <m/>
    <x v="564"/>
    <m/>
    <m/>
    <m/>
    <s v="CERRADO"/>
    <n v="207951"/>
    <x v="6"/>
    <x v="41"/>
    <x v="331"/>
    <d v="2019-09-10T00:00:00"/>
    <n v="120"/>
    <s v="días BL"/>
    <s v="B7FE-19-1002-URPE-01"/>
    <m/>
    <d v="2020-02-28T00:00:00"/>
    <s v="CANCELADO"/>
    <s v="CFR"/>
    <m/>
    <x v="71"/>
    <n v="287.8"/>
    <m/>
    <x v="660"/>
    <x v="0"/>
    <s v="Granel"/>
    <m/>
    <s v="Granel Sólido"/>
    <m/>
    <m/>
    <s v="OCT '19"/>
    <x v="0"/>
    <m/>
    <m/>
    <m/>
    <x v="390"/>
    <m/>
    <m/>
    <x v="384"/>
    <n v="12"/>
    <n v="2019"/>
    <x v="0"/>
    <x v="0"/>
    <s v="RIGA / LETONIA"/>
    <x v="2"/>
    <m/>
    <x v="0"/>
    <x v="1"/>
    <d v="2019-10-30T00:00:00"/>
    <s v="MV ROJEN"/>
    <x v="209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743"/>
    <m/>
    <x v="565"/>
    <m/>
    <m/>
    <m/>
    <s v="CERRADO"/>
    <n v="207951"/>
    <x v="6"/>
    <x v="41"/>
    <x v="331"/>
    <d v="2019-09-10T00:00:00"/>
    <n v="120"/>
    <s v="días BL"/>
    <s v="B7FE-19-1002-URPE-02"/>
    <m/>
    <d v="2020-02-28T00:00:00"/>
    <s v="CANCELADO"/>
    <s v="CFR"/>
    <m/>
    <x v="41"/>
    <n v="287.8"/>
    <m/>
    <x v="661"/>
    <x v="0"/>
    <s v="Granel"/>
    <m/>
    <s v="Granel Sólido"/>
    <m/>
    <m/>
    <s v="OCT '19"/>
    <x v="0"/>
    <m/>
    <m/>
    <m/>
    <x v="391"/>
    <m/>
    <m/>
    <x v="385"/>
    <n v="12"/>
    <n v="2019"/>
    <x v="0"/>
    <x v="0"/>
    <s v="RIGA / LETONIA"/>
    <x v="3"/>
    <m/>
    <x v="0"/>
    <x v="2"/>
    <d v="2019-10-30T00:00:00"/>
    <s v="MV ROJEN"/>
    <x v="209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744"/>
    <m/>
    <x v="566"/>
    <m/>
    <m/>
    <m/>
    <s v="CERRADO"/>
    <n v="207951"/>
    <x v="6"/>
    <x v="41"/>
    <x v="331"/>
    <d v="2019-09-10T00:00:00"/>
    <n v="120"/>
    <s v="días BL"/>
    <s v="B7FE-19-1002-URPE-03"/>
    <m/>
    <d v="2020-02-28T00:00:00"/>
    <s v="CANCELADO"/>
    <s v="CFR"/>
    <m/>
    <x v="41"/>
    <n v="287.8"/>
    <m/>
    <x v="661"/>
    <x v="0"/>
    <s v="Granel"/>
    <m/>
    <s v="Granel Sólido"/>
    <m/>
    <m/>
    <s v="OCT '19"/>
    <x v="0"/>
    <m/>
    <m/>
    <m/>
    <x v="371"/>
    <m/>
    <m/>
    <x v="386"/>
    <n v="12"/>
    <n v="2019"/>
    <x v="0"/>
    <x v="0"/>
    <s v="RIGA / LETONIA"/>
    <x v="4"/>
    <m/>
    <x v="0"/>
    <x v="11"/>
    <d v="2019-10-30T00:00:00"/>
    <s v="MV ROJEN"/>
    <x v="209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C"/>
    <x v="0"/>
    <x v="0"/>
    <m/>
    <m/>
    <x v="745"/>
    <m/>
    <x v="567"/>
    <m/>
    <m/>
    <m/>
    <s v="CERRADO"/>
    <n v="206573"/>
    <x v="5"/>
    <x v="41"/>
    <x v="331"/>
    <d v="2019-09-10T00:00:00"/>
    <n v="120"/>
    <s v="días BL"/>
    <s v="B7FE-19-1001-ANPE-01"/>
    <m/>
    <d v="2020-02-28T00:00:00"/>
    <s v="CANCELADO"/>
    <s v="CFR"/>
    <m/>
    <x v="347"/>
    <n v="257.5"/>
    <m/>
    <x v="662"/>
    <x v="0"/>
    <s v="Granel"/>
    <m/>
    <s v="Granel Sólido"/>
    <m/>
    <m/>
    <s v="OCT '19"/>
    <x v="0"/>
    <m/>
    <m/>
    <m/>
    <x v="389"/>
    <m/>
    <m/>
    <x v="382"/>
    <n v="12"/>
    <n v="2019"/>
    <x v="0"/>
    <x v="0"/>
    <s v="RIGA / LETONIA"/>
    <x v="0"/>
    <m/>
    <x v="0"/>
    <x v="52"/>
    <d v="2019-10-30T00:00:00"/>
    <s v="MV ROJEN"/>
    <x v="209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C"/>
    <x v="0"/>
    <x v="0"/>
    <m/>
    <m/>
    <x v="746"/>
    <m/>
    <x v="568"/>
    <m/>
    <m/>
    <m/>
    <s v="CERRADO"/>
    <n v="206573"/>
    <x v="5"/>
    <x v="41"/>
    <x v="331"/>
    <d v="2019-09-10T00:00:00"/>
    <n v="120"/>
    <s v="días BL"/>
    <s v="B7FE-19-1001-ANPE-02"/>
    <m/>
    <d v="2020-02-28T00:00:00"/>
    <s v="CANCELADO"/>
    <s v="CFR"/>
    <m/>
    <x v="41"/>
    <n v="257.5"/>
    <m/>
    <x v="663"/>
    <x v="0"/>
    <s v="Granel"/>
    <m/>
    <s v="Granel Sólido"/>
    <m/>
    <m/>
    <s v="OCT '19"/>
    <x v="0"/>
    <m/>
    <m/>
    <m/>
    <x v="387"/>
    <m/>
    <m/>
    <x v="383"/>
    <n v="12"/>
    <n v="2019"/>
    <x v="0"/>
    <x v="0"/>
    <s v="RIGA / LETONIA"/>
    <x v="1"/>
    <m/>
    <x v="0"/>
    <x v="19"/>
    <d v="2019-10-30T00:00:00"/>
    <s v="MV ROJEN"/>
    <x v="209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C"/>
    <x v="0"/>
    <x v="0"/>
    <m/>
    <m/>
    <x v="747"/>
    <m/>
    <x v="569"/>
    <m/>
    <m/>
    <m/>
    <s v="CERRADO"/>
    <n v="206573"/>
    <x v="5"/>
    <x v="41"/>
    <x v="331"/>
    <d v="2019-09-10T00:00:00"/>
    <n v="120"/>
    <s v="días BL"/>
    <s v="B7FE-19-1001-ANPE-03"/>
    <m/>
    <d v="2020-02-28T00:00:00"/>
    <s v="CANCELADO"/>
    <s v="CFR"/>
    <m/>
    <x v="41"/>
    <n v="257.5"/>
    <m/>
    <x v="663"/>
    <x v="0"/>
    <s v="Granel"/>
    <m/>
    <s v="Granel Sólido"/>
    <m/>
    <m/>
    <s v="OCT '19"/>
    <x v="0"/>
    <m/>
    <m/>
    <m/>
    <x v="390"/>
    <m/>
    <m/>
    <x v="384"/>
    <n v="12"/>
    <n v="2019"/>
    <x v="0"/>
    <x v="0"/>
    <s v="RIGA / LETONIA"/>
    <x v="2"/>
    <m/>
    <x v="0"/>
    <x v="44"/>
    <d v="2019-10-30T00:00:00"/>
    <s v="MV ROJEN"/>
    <x v="209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C"/>
    <x v="0"/>
    <x v="0"/>
    <m/>
    <m/>
    <x v="748"/>
    <m/>
    <x v="570"/>
    <m/>
    <m/>
    <m/>
    <s v="CERRADO"/>
    <n v="206573"/>
    <x v="5"/>
    <x v="41"/>
    <x v="331"/>
    <d v="2019-09-10T00:00:00"/>
    <n v="120"/>
    <s v="días BL"/>
    <s v="B7FE-19-1001-ANPE-04"/>
    <m/>
    <d v="2020-02-28T00:00:00"/>
    <s v="CANCELADO"/>
    <s v="CFR"/>
    <m/>
    <x v="208"/>
    <n v="257.5"/>
    <m/>
    <x v="664"/>
    <x v="0"/>
    <s v="Granel"/>
    <m/>
    <s v="Granel Sólido"/>
    <m/>
    <m/>
    <s v="OCT '19"/>
    <x v="0"/>
    <m/>
    <m/>
    <m/>
    <x v="391"/>
    <m/>
    <m/>
    <x v="385"/>
    <n v="12"/>
    <n v="2019"/>
    <x v="0"/>
    <x v="0"/>
    <s v="RIGA / LETONIA"/>
    <x v="3"/>
    <m/>
    <x v="0"/>
    <x v="20"/>
    <d v="2019-10-30T00:00:00"/>
    <s v="MV ROJEN"/>
    <x v="209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C"/>
    <x v="0"/>
    <x v="0"/>
    <m/>
    <m/>
    <x v="749"/>
    <m/>
    <x v="571"/>
    <m/>
    <m/>
    <m/>
    <s v="CERRADO"/>
    <n v="206573"/>
    <x v="5"/>
    <x v="41"/>
    <x v="331"/>
    <d v="2019-09-10T00:00:00"/>
    <n v="120"/>
    <s v="días BL"/>
    <s v="B7FE-19-1001-ANPE-05"/>
    <m/>
    <d v="2020-02-28T00:00:00"/>
    <s v="CANCELADO"/>
    <s v="CFR"/>
    <m/>
    <x v="348"/>
    <n v="257.5"/>
    <m/>
    <x v="665"/>
    <x v="0"/>
    <s v="Granel"/>
    <m/>
    <s v="Granel Sólido"/>
    <m/>
    <m/>
    <s v="OCT '19"/>
    <x v="0"/>
    <m/>
    <m/>
    <m/>
    <x v="371"/>
    <m/>
    <m/>
    <x v="386"/>
    <n v="12"/>
    <n v="2019"/>
    <x v="0"/>
    <x v="0"/>
    <s v="RIGA / LETONIA"/>
    <x v="4"/>
    <m/>
    <x v="0"/>
    <x v="45"/>
    <d v="2019-10-30T00:00:00"/>
    <s v="MV ROJEN"/>
    <x v="209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s v="URGENTE"/>
    <m/>
    <x v="750"/>
    <m/>
    <x v="572"/>
    <m/>
    <m/>
    <m/>
    <s v="CERRADO"/>
    <n v="207579"/>
    <x v="9"/>
    <x v="11"/>
    <x v="332"/>
    <d v="2019-09-23T00:00:00"/>
    <n v="90"/>
    <s v="días BL"/>
    <s v="ROM19021588"/>
    <m/>
    <d v="2020-02-12T00:00:00"/>
    <s v="CANCELADO"/>
    <s v="CIF"/>
    <m/>
    <x v="0"/>
    <n v="252"/>
    <m/>
    <x v="63"/>
    <x v="0"/>
    <s v="Granel - BB"/>
    <m/>
    <s v="25 kg"/>
    <m/>
    <m/>
    <s v="OCT '19"/>
    <x v="0"/>
    <m/>
    <m/>
    <m/>
    <x v="392"/>
    <m/>
    <m/>
    <x v="387"/>
    <n v="1"/>
    <n v="2020"/>
    <x v="0"/>
    <x v="0"/>
    <s v="TIAJIN / CHINA"/>
    <x v="2"/>
    <m/>
    <x v="1"/>
    <x v="528"/>
    <d v="2019-11-13T00:00:00"/>
    <s v="MV EARTH OCEAN"/>
    <x v="210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s v="URGENTE"/>
    <m/>
    <x v="751"/>
    <m/>
    <x v="573"/>
    <m/>
    <m/>
    <m/>
    <s v="CERRADO"/>
    <n v="207579"/>
    <x v="9"/>
    <x v="11"/>
    <x v="333"/>
    <d v="2019-09-23T00:00:00"/>
    <n v="90"/>
    <s v="días BL"/>
    <s v="ROM19021587"/>
    <m/>
    <d v="2020-01-27T00:00:00"/>
    <s v="CANCELADO"/>
    <s v="CIF"/>
    <m/>
    <x v="136"/>
    <n v="260"/>
    <m/>
    <x v="666"/>
    <x v="14"/>
    <s v="Contenedor 40'"/>
    <m/>
    <s v="25 kg"/>
    <m/>
    <m/>
    <s v="OCT '19"/>
    <x v="0"/>
    <m/>
    <m/>
    <m/>
    <x v="393"/>
    <m/>
    <m/>
    <x v="388"/>
    <n v="1"/>
    <n v="2020"/>
    <x v="0"/>
    <x v="0"/>
    <s v="XINGANG / CHINA"/>
    <x v="0"/>
    <m/>
    <x v="1"/>
    <x v="529"/>
    <d v="2019-10-29T00:00:00"/>
    <s v="GENOVA"/>
    <x v="149"/>
    <x v="16"/>
    <m/>
    <m/>
    <m/>
    <m/>
    <m/>
    <m/>
    <x v="0"/>
    <d v="2020-01-14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752"/>
    <m/>
    <x v="574"/>
    <m/>
    <m/>
    <m/>
    <s v="CERRADO"/>
    <n v="206971"/>
    <x v="3"/>
    <x v="3"/>
    <x v="334"/>
    <d v="2019-09-23T00:00:00"/>
    <n v="90"/>
    <s v="días BL"/>
    <s v="20190867"/>
    <m/>
    <d v="2020-01-28T00:00:00"/>
    <s v="CANCELADO"/>
    <s v="CPT"/>
    <m/>
    <x v="1"/>
    <n v="505"/>
    <m/>
    <x v="667"/>
    <x v="6"/>
    <s v="Contenedor 40'"/>
    <m/>
    <s v="25 kg"/>
    <m/>
    <m/>
    <s v="OCT '19"/>
    <x v="0"/>
    <m/>
    <m/>
    <m/>
    <x v="375"/>
    <m/>
    <m/>
    <x v="389"/>
    <n v="12"/>
    <n v="2019"/>
    <x v="0"/>
    <x v="0"/>
    <s v="KAOHSIUNG / TAIWAN"/>
    <x v="0"/>
    <m/>
    <x v="0"/>
    <x v="530"/>
    <d v="2019-10-30T00:00:00"/>
    <s v="YM WIDTH"/>
    <x v="149"/>
    <x v="16"/>
    <m/>
    <m/>
    <m/>
    <m/>
    <m/>
    <m/>
    <x v="0"/>
    <d v="2019-12-31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753"/>
    <m/>
    <x v="575"/>
    <m/>
    <m/>
    <m/>
    <s v="CERRADO"/>
    <n v="206971"/>
    <x v="3"/>
    <x v="3"/>
    <x v="335"/>
    <d v="2019-09-23T00:00:00"/>
    <n v="90"/>
    <s v="días BL"/>
    <s v="20190853"/>
    <m/>
    <d v="2020-01-21T00:00:00"/>
    <s v="CANCELADO"/>
    <s v="CPT"/>
    <m/>
    <x v="4"/>
    <n v="505"/>
    <m/>
    <x v="668"/>
    <x v="24"/>
    <s v="Contenedor 40'"/>
    <m/>
    <s v="25 kg"/>
    <m/>
    <m/>
    <s v="OCT '19"/>
    <x v="0"/>
    <m/>
    <m/>
    <m/>
    <x v="371"/>
    <m/>
    <m/>
    <x v="386"/>
    <n v="12"/>
    <n v="2019"/>
    <x v="0"/>
    <x v="0"/>
    <s v="KEELUNG / TAIWAN"/>
    <x v="0"/>
    <m/>
    <x v="0"/>
    <x v="531"/>
    <d v="2019-10-23T00:00:00"/>
    <s v="COCHRANE"/>
    <x v="171"/>
    <x v="2"/>
    <m/>
    <m/>
    <m/>
    <m/>
    <m/>
    <m/>
    <x v="0"/>
    <d v="2019-12-25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754"/>
    <m/>
    <x v="576"/>
    <m/>
    <m/>
    <m/>
    <s v="CERRADO"/>
    <n v="206971"/>
    <x v="3"/>
    <x v="3"/>
    <x v="335"/>
    <d v="2019-09-23T00:00:00"/>
    <n v="90"/>
    <s v="días BL"/>
    <s v="20190865"/>
    <m/>
    <d v="2020-01-28T00:00:00"/>
    <s v="CANCELADO"/>
    <s v="CPT"/>
    <m/>
    <x v="146"/>
    <n v="505"/>
    <m/>
    <x v="669"/>
    <x v="24"/>
    <s v="Contenedor 40'"/>
    <m/>
    <s v="25 kg"/>
    <m/>
    <m/>
    <s v="OCT '19"/>
    <x v="0"/>
    <m/>
    <m/>
    <m/>
    <x v="394"/>
    <m/>
    <m/>
    <x v="390"/>
    <n v="12"/>
    <n v="2019"/>
    <x v="0"/>
    <x v="0"/>
    <s v="KAOHSIUNG / TAIWAN"/>
    <x v="0"/>
    <m/>
    <x v="0"/>
    <x v="532"/>
    <d v="2019-10-30T00:00:00"/>
    <s v="YM WIDTH"/>
    <x v="129"/>
    <x v="2"/>
    <m/>
    <m/>
    <m/>
    <m/>
    <m/>
    <m/>
    <x v="0"/>
    <d v="2020-01-01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755"/>
    <m/>
    <x v="577"/>
    <m/>
    <m/>
    <m/>
    <s v="CERRADO"/>
    <n v="206914"/>
    <x v="12"/>
    <x v="19"/>
    <x v="336"/>
    <d v="2019-09-19T00:00:00"/>
    <n v="90"/>
    <s v="días BL"/>
    <s v="SG-MSL-12329-10A"/>
    <m/>
    <d v="2020-03-09T00:00:00"/>
    <s v="CANCELADO"/>
    <s v="CFR"/>
    <m/>
    <x v="349"/>
    <n v="118"/>
    <m/>
    <x v="670"/>
    <x v="31"/>
    <s v="Contenedor 40'"/>
    <m/>
    <s v="25 kg"/>
    <m/>
    <m/>
    <s v="OCT '19"/>
    <x v="0"/>
    <m/>
    <m/>
    <m/>
    <x v="395"/>
    <m/>
    <m/>
    <x v="391"/>
    <n v="2"/>
    <n v="2020"/>
    <x v="0"/>
    <x v="0"/>
    <s v="DALIAN / CHINA"/>
    <x v="0"/>
    <m/>
    <x v="1"/>
    <x v="533"/>
    <d v="2019-12-08T00:00:00"/>
    <s v="NYK ISABEL"/>
    <x v="69"/>
    <x v="25"/>
    <m/>
    <m/>
    <m/>
    <m/>
    <m/>
    <m/>
    <x v="0"/>
    <d v="2020-02-19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756"/>
    <m/>
    <x v="578"/>
    <m/>
    <m/>
    <m/>
    <s v="CERRADO"/>
    <n v="206914"/>
    <x v="12"/>
    <x v="19"/>
    <x v="336"/>
    <d v="2019-09-19T00:00:00"/>
    <n v="90"/>
    <s v="días BL"/>
    <s v="SG-MSL-12329-10B"/>
    <m/>
    <d v="2020-04-02T00:00:00"/>
    <s v="CANCELADO"/>
    <s v="CFR"/>
    <m/>
    <x v="350"/>
    <n v="118"/>
    <m/>
    <x v="671"/>
    <x v="4"/>
    <s v="Contenedor 40'"/>
    <m/>
    <s v="25 kg"/>
    <m/>
    <m/>
    <s v="OCT '19"/>
    <x v="0"/>
    <m/>
    <m/>
    <m/>
    <x v="376"/>
    <m/>
    <m/>
    <x v="371"/>
    <n v="3"/>
    <n v="2020"/>
    <x v="0"/>
    <x v="0"/>
    <s v="DALIAN / CHINA"/>
    <x v="0"/>
    <m/>
    <x v="1"/>
    <x v="534"/>
    <d v="2020-01-03T00:00:00"/>
    <s v="NYK ISABEL"/>
    <x v="149"/>
    <x v="25"/>
    <m/>
    <m/>
    <m/>
    <m/>
    <m/>
    <m/>
    <x v="0"/>
    <d v="2020-03-10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E-S"/>
    <x v="0"/>
    <x v="0"/>
    <m/>
    <m/>
    <x v="757"/>
    <m/>
    <x v="579"/>
    <m/>
    <m/>
    <m/>
    <s v="CERRADO"/>
    <n v="204826"/>
    <x v="48"/>
    <x v="18"/>
    <x v="337"/>
    <d v="2019-10-01T00:00:00"/>
    <s v="CAD"/>
    <m/>
    <s v="19CH-40102635"/>
    <m/>
    <d v="2019-11-21T00:00:00"/>
    <s v="CANCELADO"/>
    <s v="CFR"/>
    <m/>
    <x v="351"/>
    <n v="312"/>
    <m/>
    <x v="672"/>
    <x v="10"/>
    <s v="Contenedor 40'"/>
    <m/>
    <s v="Bigbag"/>
    <m/>
    <m/>
    <s v="1H NOVIEMBRE '19"/>
    <x v="0"/>
    <m/>
    <m/>
    <m/>
    <x v="396"/>
    <m/>
    <m/>
    <x v="392"/>
    <n v="12"/>
    <n v="2019"/>
    <x v="0"/>
    <x v="0"/>
    <s v="ST. PETERSBURG / RUSSIA"/>
    <x v="2"/>
    <m/>
    <x v="0"/>
    <x v="535"/>
    <d v="2019-11-11T00:00:00"/>
    <s v="CMA CGM PREGOLIA "/>
    <x v="211"/>
    <x v="9"/>
    <m/>
    <m/>
    <m/>
    <m/>
    <m/>
    <m/>
    <x v="0"/>
    <d v="2020-01-10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E-S"/>
    <x v="0"/>
    <x v="0"/>
    <m/>
    <m/>
    <x v="758"/>
    <m/>
    <x v="580"/>
    <m/>
    <m/>
    <m/>
    <s v="CERRADO"/>
    <n v="204826"/>
    <x v="48"/>
    <x v="18"/>
    <x v="337"/>
    <d v="2019-10-01T00:00:00"/>
    <s v="CAD"/>
    <m/>
    <s v="19CH-40102714"/>
    <m/>
    <d v="2019-11-26T00:00:00"/>
    <s v="CANCELADO"/>
    <s v="CFR"/>
    <m/>
    <x v="351"/>
    <n v="312"/>
    <m/>
    <x v="672"/>
    <x v="10"/>
    <s v="Contenedor 40'"/>
    <m/>
    <s v="Bigbag"/>
    <m/>
    <m/>
    <s v="2H NOVIEMBRE '19"/>
    <x v="0"/>
    <m/>
    <m/>
    <m/>
    <x v="397"/>
    <m/>
    <m/>
    <x v="390"/>
    <n v="12"/>
    <n v="2019"/>
    <x v="0"/>
    <x v="0"/>
    <s v="ST. PETERSBURG / RUSSIA"/>
    <x v="2"/>
    <m/>
    <x v="0"/>
    <x v="536"/>
    <d v="2019-11-16T00:00:00"/>
    <s v="ARIES J"/>
    <x v="50"/>
    <x v="9"/>
    <m/>
    <m/>
    <m/>
    <m/>
    <m/>
    <m/>
    <x v="0"/>
    <d v="2020-01-10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s v="URGENTE"/>
    <m/>
    <x v="759"/>
    <m/>
    <x v="581"/>
    <m/>
    <m/>
    <m/>
    <s v="CERRADO"/>
    <n v="207579"/>
    <x v="9"/>
    <x v="27"/>
    <x v="338"/>
    <d v="2019-09-26T00:00:00"/>
    <n v="90"/>
    <s v="días BL"/>
    <s v="B7FE-19-0902-MNPE"/>
    <m/>
    <d v="2020-02-26T00:00:00"/>
    <s v="CANCELADO"/>
    <s v="CFR"/>
    <m/>
    <x v="147"/>
    <n v="277"/>
    <m/>
    <x v="673"/>
    <x v="17"/>
    <s v="Granel - BB"/>
    <m/>
    <s v="25 kg"/>
    <m/>
    <m/>
    <s v="OCT '19"/>
    <x v="0"/>
    <m/>
    <m/>
    <m/>
    <x v="398"/>
    <m/>
    <m/>
    <x v="393"/>
    <n v="1"/>
    <n v="2020"/>
    <x v="0"/>
    <x v="0"/>
    <s v="TIAJIN / CHINA"/>
    <x v="4"/>
    <m/>
    <x v="1"/>
    <x v="537"/>
    <d v="2019-11-28T00:00:00"/>
    <s v="RONG AN CHENG "/>
    <x v="212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E-S"/>
    <x v="0"/>
    <x v="0"/>
    <m/>
    <m/>
    <x v="760"/>
    <m/>
    <x v="582"/>
    <m/>
    <m/>
    <m/>
    <s v="CERRADO"/>
    <n v="205972"/>
    <x v="82"/>
    <x v="42"/>
    <x v="16"/>
    <d v="2019-09-30T00:00:00"/>
    <s v="PREPAGO"/>
    <m/>
    <s v="FXE 190.019"/>
    <m/>
    <d v="2019-10-17T00:00:00"/>
    <s v="CANCELADO"/>
    <s v="CIF"/>
    <m/>
    <x v="263"/>
    <n v="3933.5"/>
    <m/>
    <x v="482"/>
    <x v="11"/>
    <s v="Contenedor 40'"/>
    <m/>
    <s v="20 kg"/>
    <m/>
    <m/>
    <s v="NOVIEMBRE '19"/>
    <x v="0"/>
    <m/>
    <m/>
    <m/>
    <x v="385"/>
    <m/>
    <m/>
    <x v="372"/>
    <n v="12"/>
    <n v="2019"/>
    <x v="0"/>
    <x v="0"/>
    <s v="BARCELONA / ESPAÑA"/>
    <x v="2"/>
    <m/>
    <x v="0"/>
    <x v="538"/>
    <d v="2019-11-10T00:00:00"/>
    <s v="ALEXIS"/>
    <x v="41"/>
    <x v="29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761"/>
    <m/>
    <x v="583"/>
    <m/>
    <m/>
    <m/>
    <s v="CERRADO"/>
    <n v="207951"/>
    <x v="6"/>
    <x v="12"/>
    <x v="339"/>
    <d v="2019-10-01T00:00:00"/>
    <n v="120"/>
    <s v="días BL"/>
    <s v="N-12530-A"/>
    <m/>
    <d v="2020-03-04T00:00:00"/>
    <s v="CANCELADO"/>
    <s v="CFR"/>
    <m/>
    <x v="146"/>
    <n v="294.35000000000002"/>
    <m/>
    <x v="674"/>
    <x v="3"/>
    <s v="Granel"/>
    <m/>
    <s v="Granel Sólido"/>
    <m/>
    <m/>
    <s v="NOVIEMBRE '19"/>
    <x v="0"/>
    <m/>
    <m/>
    <m/>
    <x v="399"/>
    <m/>
    <m/>
    <x v="380"/>
    <n v="12"/>
    <n v="2019"/>
    <x v="0"/>
    <x v="0"/>
    <s v="KOTKA / FINLANDIA"/>
    <x v="0"/>
    <m/>
    <x v="0"/>
    <x v="390"/>
    <d v="2019-11-05T00:00:00"/>
    <s v="MV BLUEBILL"/>
    <x v="5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762"/>
    <m/>
    <x v="584"/>
    <m/>
    <m/>
    <m/>
    <s v="CERRADO"/>
    <n v="207951"/>
    <x v="6"/>
    <x v="12"/>
    <x v="339"/>
    <d v="2019-10-01T00:00:00"/>
    <n v="120"/>
    <s v="días BL"/>
    <s v="N-12530-B"/>
    <m/>
    <d v="2020-03-04T00:00:00"/>
    <s v="CANCELADO"/>
    <s v="CFR"/>
    <m/>
    <x v="7"/>
    <n v="294.35000000000002"/>
    <m/>
    <x v="675"/>
    <x v="3"/>
    <s v="Granel"/>
    <m/>
    <s v="Granel Sólido"/>
    <m/>
    <m/>
    <s v="NOVIEMBRE '19"/>
    <x v="0"/>
    <m/>
    <m/>
    <m/>
    <x v="400"/>
    <m/>
    <m/>
    <x v="372"/>
    <n v="12"/>
    <n v="2019"/>
    <x v="0"/>
    <x v="0"/>
    <s v="KOTKA / FINLANDIA"/>
    <x v="1"/>
    <m/>
    <x v="0"/>
    <x v="16"/>
    <d v="2019-11-05T00:00:00"/>
    <s v="MV BLUEBILL"/>
    <x v="5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763"/>
    <m/>
    <x v="585"/>
    <m/>
    <m/>
    <m/>
    <s v="CERRADO"/>
    <n v="207951"/>
    <x v="6"/>
    <x v="12"/>
    <x v="339"/>
    <d v="2019-10-01T00:00:00"/>
    <n v="120"/>
    <s v="días BL"/>
    <s v="N-12530-C"/>
    <m/>
    <d v="2020-03-04T00:00:00"/>
    <s v="CANCELADO"/>
    <s v="CFR"/>
    <m/>
    <x v="35"/>
    <n v="294.35000000000002"/>
    <m/>
    <x v="676"/>
    <x v="3"/>
    <s v="Granel"/>
    <m/>
    <s v="Granel Sólido"/>
    <m/>
    <m/>
    <s v="NOVIEMBRE '19"/>
    <x v="0"/>
    <m/>
    <m/>
    <m/>
    <x v="401"/>
    <m/>
    <m/>
    <x v="394"/>
    <n v="12"/>
    <n v="2019"/>
    <x v="0"/>
    <x v="0"/>
    <s v="KOTKA / FINLANDIA"/>
    <x v="2"/>
    <m/>
    <x v="0"/>
    <x v="22"/>
    <d v="2019-11-05T00:00:00"/>
    <s v="MV BLUEBILL"/>
    <x v="5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764"/>
    <m/>
    <x v="586"/>
    <m/>
    <m/>
    <m/>
    <s v="CERRADO"/>
    <n v="207951"/>
    <x v="6"/>
    <x v="12"/>
    <x v="339"/>
    <d v="2019-10-01T00:00:00"/>
    <n v="120"/>
    <s v="días BL"/>
    <s v="N-12530-D"/>
    <m/>
    <d v="2020-03-04T00:00:00"/>
    <s v="CANCELADO"/>
    <s v="CFR"/>
    <m/>
    <x v="12"/>
    <n v="294.35000000000002"/>
    <m/>
    <x v="677"/>
    <x v="3"/>
    <s v="Granel"/>
    <m/>
    <s v="Granel Sólido"/>
    <m/>
    <m/>
    <s v="NOVIEMBRE '19"/>
    <x v="0"/>
    <m/>
    <m/>
    <m/>
    <x v="402"/>
    <m/>
    <m/>
    <x v="395"/>
    <n v="12"/>
    <n v="2019"/>
    <x v="0"/>
    <x v="0"/>
    <s v="KOTKA / FINLANDIA"/>
    <x v="4"/>
    <m/>
    <x v="0"/>
    <x v="23"/>
    <d v="2019-11-05T00:00:00"/>
    <s v="MV BLUEBILL"/>
    <x v="5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765"/>
    <m/>
    <x v="587"/>
    <m/>
    <m/>
    <m/>
    <s v="CERRADO"/>
    <n v="207485"/>
    <x v="13"/>
    <x v="12"/>
    <x v="340"/>
    <d v="2019-10-01T00:00:00"/>
    <n v="120"/>
    <s v="días BL"/>
    <s v="N-12529-A"/>
    <m/>
    <d v="2020-03-04T00:00:00"/>
    <s v="CANCELADO"/>
    <s v="CFR"/>
    <m/>
    <x v="131"/>
    <n v="307.54000000000002"/>
    <m/>
    <x v="678"/>
    <x v="3"/>
    <s v="Granel"/>
    <m/>
    <s v="Granel Sólido"/>
    <m/>
    <m/>
    <s v="NOVIEMBRE '19"/>
    <x v="0"/>
    <m/>
    <m/>
    <m/>
    <x v="399"/>
    <m/>
    <m/>
    <x v="380"/>
    <n v="12"/>
    <n v="2019"/>
    <x v="0"/>
    <x v="0"/>
    <s v="KOTKA / FINLANDIA"/>
    <x v="0"/>
    <m/>
    <x v="0"/>
    <x v="11"/>
    <d v="2019-11-05T00:00:00"/>
    <s v="MV BLUEBILL"/>
    <x v="5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766"/>
    <m/>
    <x v="588"/>
    <m/>
    <m/>
    <m/>
    <s v="CERRADO"/>
    <n v="207485"/>
    <x v="13"/>
    <x v="12"/>
    <x v="340"/>
    <d v="2019-10-01T00:00:00"/>
    <n v="120"/>
    <s v="días BL"/>
    <s v="N-12529-B"/>
    <m/>
    <d v="2020-03-04T00:00:00"/>
    <s v="CANCELADO"/>
    <s v="CFR"/>
    <m/>
    <x v="42"/>
    <n v="307.54000000000002"/>
    <m/>
    <x v="679"/>
    <x v="3"/>
    <s v="Granel"/>
    <m/>
    <s v="Granel Sólido"/>
    <m/>
    <m/>
    <s v="NOVIEMBRE '19"/>
    <x v="0"/>
    <m/>
    <m/>
    <m/>
    <x v="400"/>
    <m/>
    <m/>
    <x v="372"/>
    <n v="12"/>
    <n v="2019"/>
    <x v="0"/>
    <x v="0"/>
    <s v="KOTKA / FINLANDIA"/>
    <x v="1"/>
    <m/>
    <x v="0"/>
    <x v="12"/>
    <d v="2019-11-05T00:00:00"/>
    <s v="MV BLUEBILL"/>
    <x v="5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767"/>
    <m/>
    <x v="589"/>
    <m/>
    <m/>
    <m/>
    <s v="CERRADO"/>
    <n v="207485"/>
    <x v="13"/>
    <x v="12"/>
    <x v="340"/>
    <d v="2019-10-01T00:00:00"/>
    <n v="120"/>
    <s v="días BL"/>
    <s v="N-12529-C"/>
    <m/>
    <d v="2020-03-04T00:00:00"/>
    <s v="CANCELADO"/>
    <s v="CFR"/>
    <m/>
    <x v="35"/>
    <n v="307.54000000000002"/>
    <m/>
    <x v="680"/>
    <x v="3"/>
    <s v="Granel"/>
    <m/>
    <s v="Granel Sólido"/>
    <m/>
    <m/>
    <s v="NOVIEMBRE '19"/>
    <x v="0"/>
    <m/>
    <m/>
    <m/>
    <x v="401"/>
    <m/>
    <m/>
    <x v="394"/>
    <n v="12"/>
    <n v="2019"/>
    <x v="0"/>
    <x v="0"/>
    <s v="KOTKA / FINLANDIA"/>
    <x v="2"/>
    <m/>
    <x v="0"/>
    <x v="13"/>
    <d v="2019-11-05T00:00:00"/>
    <s v="MV BLUEBILL"/>
    <x v="5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768"/>
    <m/>
    <x v="590"/>
    <m/>
    <m/>
    <m/>
    <s v="CERRADO"/>
    <n v="207485"/>
    <x v="13"/>
    <x v="12"/>
    <x v="340"/>
    <d v="2019-10-01T00:00:00"/>
    <n v="120"/>
    <s v="días BL"/>
    <s v="N-12529-D"/>
    <m/>
    <d v="2020-03-04T00:00:00"/>
    <s v="CANCELADO"/>
    <s v="CFR"/>
    <m/>
    <x v="35"/>
    <n v="307.54000000000002"/>
    <m/>
    <x v="680"/>
    <x v="3"/>
    <s v="Granel"/>
    <m/>
    <s v="Granel Sólido"/>
    <m/>
    <m/>
    <s v="NOVIEMBRE '19"/>
    <x v="0"/>
    <m/>
    <m/>
    <m/>
    <x v="402"/>
    <m/>
    <m/>
    <x v="395"/>
    <n v="12"/>
    <n v="2019"/>
    <x v="0"/>
    <x v="0"/>
    <s v="KOTKA / FINLANDIA"/>
    <x v="4"/>
    <m/>
    <x v="0"/>
    <x v="14"/>
    <d v="2019-11-05T00:00:00"/>
    <s v="MV BLUEBILL"/>
    <x v="5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769"/>
    <m/>
    <x v="591"/>
    <m/>
    <m/>
    <m/>
    <s v="CERRADO"/>
    <n v="206569"/>
    <x v="14"/>
    <x v="12"/>
    <x v="341"/>
    <d v="2019-10-01T00:00:00"/>
    <n v="120"/>
    <s v="días BL"/>
    <s v="N-12528-A"/>
    <m/>
    <d v="2020-03-04T00:00:00"/>
    <s v="CANCELADO"/>
    <s v="CFR"/>
    <m/>
    <x v="0"/>
    <n v="346.11"/>
    <m/>
    <x v="681"/>
    <x v="3"/>
    <s v="Granel"/>
    <m/>
    <s v="Granel Sólido"/>
    <m/>
    <m/>
    <s v="NOVIEMBRE '19"/>
    <x v="0"/>
    <m/>
    <m/>
    <m/>
    <x v="400"/>
    <m/>
    <m/>
    <x v="372"/>
    <n v="12"/>
    <n v="2019"/>
    <x v="0"/>
    <x v="0"/>
    <s v="KOTKA / FINLANDIA"/>
    <x v="1"/>
    <m/>
    <x v="0"/>
    <x v="52"/>
    <d v="2019-11-05T00:00:00"/>
    <s v="MV BLUEBILL"/>
    <x v="5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770"/>
    <m/>
    <x v="592"/>
    <m/>
    <m/>
    <m/>
    <s v="CERRADO"/>
    <n v="206569"/>
    <x v="14"/>
    <x v="12"/>
    <x v="341"/>
    <d v="2019-10-01T00:00:00"/>
    <n v="120"/>
    <s v="días BL"/>
    <s v="N-12528-B"/>
    <m/>
    <d v="2020-03-04T00:00:00"/>
    <s v="CANCELADO"/>
    <s v="CFR"/>
    <m/>
    <x v="352"/>
    <n v="346.11"/>
    <m/>
    <x v="682"/>
    <x v="3"/>
    <s v="Granel"/>
    <m/>
    <s v="Granel Sólido"/>
    <m/>
    <m/>
    <s v="NOVIEMBRE '19"/>
    <x v="0"/>
    <m/>
    <m/>
    <m/>
    <x v="401"/>
    <m/>
    <m/>
    <x v="394"/>
    <n v="12"/>
    <n v="2019"/>
    <x v="0"/>
    <x v="0"/>
    <s v="KOTKA / FINLANDIA"/>
    <x v="2"/>
    <m/>
    <x v="0"/>
    <x v="19"/>
    <d v="2019-11-05T00:00:00"/>
    <s v="MV BLUEBILL"/>
    <x v="5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771"/>
    <m/>
    <x v="593"/>
    <m/>
    <m/>
    <m/>
    <s v="CERRADO"/>
    <n v="206569"/>
    <x v="14"/>
    <x v="12"/>
    <x v="341"/>
    <d v="2019-10-01T00:00:00"/>
    <n v="120"/>
    <s v="días BL"/>
    <s v="N-12528-C"/>
    <m/>
    <d v="2020-03-04T00:00:00"/>
    <s v="CANCELADO"/>
    <s v="CFR"/>
    <m/>
    <x v="221"/>
    <n v="346.11"/>
    <m/>
    <x v="683"/>
    <x v="3"/>
    <s v="Granel"/>
    <m/>
    <s v="Granel Sólido"/>
    <m/>
    <m/>
    <s v="NOVIEMBRE '19"/>
    <x v="0"/>
    <m/>
    <m/>
    <m/>
    <x v="402"/>
    <m/>
    <m/>
    <x v="395"/>
    <n v="12"/>
    <n v="2019"/>
    <x v="0"/>
    <x v="0"/>
    <s v="KOTKA / FINLANDIA"/>
    <x v="4"/>
    <m/>
    <x v="0"/>
    <x v="44"/>
    <d v="2019-11-05T00:00:00"/>
    <s v="MV BLUEBILL"/>
    <x v="5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772"/>
    <m/>
    <x v="594"/>
    <m/>
    <m/>
    <m/>
    <s v="CERRADO"/>
    <n v="206597"/>
    <x v="0"/>
    <x v="12"/>
    <x v="342"/>
    <d v="2019-10-01T00:00:00"/>
    <n v="120"/>
    <s v="días BL"/>
    <s v="N-12380-A"/>
    <m/>
    <d v="2020-02-28T00:00:00"/>
    <s v="CANCELADO"/>
    <s v="CFR"/>
    <m/>
    <x v="1"/>
    <n v="322.93"/>
    <m/>
    <x v="684"/>
    <x v="3"/>
    <s v="Granel"/>
    <m/>
    <s v="Granel Sólido"/>
    <m/>
    <m/>
    <s v="NOVIEMBRE '19"/>
    <x v="0"/>
    <m/>
    <m/>
    <m/>
    <x v="399"/>
    <m/>
    <m/>
    <x v="380"/>
    <n v="12"/>
    <n v="2019"/>
    <x v="0"/>
    <x v="0"/>
    <s v="KLAIPEDA / LITUANIA"/>
    <x v="0"/>
    <m/>
    <x v="0"/>
    <x v="52"/>
    <d v="2019-10-31T00:00:00"/>
    <s v="MV BLUEBILL"/>
    <x v="5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773"/>
    <m/>
    <x v="595"/>
    <m/>
    <m/>
    <m/>
    <s v="CERRADO"/>
    <n v="206597"/>
    <x v="0"/>
    <x v="12"/>
    <x v="342"/>
    <d v="2019-10-01T00:00:00"/>
    <n v="120"/>
    <s v="días BL"/>
    <s v="N-12380-B"/>
    <m/>
    <d v="2020-02-28T00:00:00"/>
    <s v="CANCELADO"/>
    <s v="CFR"/>
    <m/>
    <x v="146"/>
    <n v="322.93"/>
    <m/>
    <x v="685"/>
    <x v="3"/>
    <s v="Granel"/>
    <m/>
    <s v="Granel Sólido"/>
    <m/>
    <m/>
    <s v="NOVIEMBRE '19"/>
    <x v="0"/>
    <m/>
    <m/>
    <m/>
    <x v="400"/>
    <m/>
    <m/>
    <x v="372"/>
    <n v="12"/>
    <n v="2019"/>
    <x v="0"/>
    <x v="0"/>
    <s v="KLAIPEDA / LITUANIA"/>
    <x v="1"/>
    <m/>
    <x v="0"/>
    <x v="19"/>
    <d v="2019-10-31T00:00:00"/>
    <s v="MV BLUEBILL"/>
    <x v="5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774"/>
    <m/>
    <x v="596"/>
    <m/>
    <m/>
    <m/>
    <s v="CERRADO"/>
    <n v="206597"/>
    <x v="0"/>
    <x v="12"/>
    <x v="342"/>
    <d v="2019-10-01T00:00:00"/>
    <n v="120"/>
    <s v="días BL"/>
    <s v="N-12380-C"/>
    <m/>
    <d v="2020-02-28T00:00:00"/>
    <s v="CANCELADO"/>
    <s v="CFR"/>
    <m/>
    <x v="14"/>
    <n v="322.93"/>
    <m/>
    <x v="686"/>
    <x v="3"/>
    <s v="Granel"/>
    <m/>
    <s v="Granel Sólido"/>
    <m/>
    <m/>
    <s v="NOVIEMBRE '19"/>
    <x v="0"/>
    <m/>
    <m/>
    <m/>
    <x v="401"/>
    <m/>
    <m/>
    <x v="394"/>
    <n v="12"/>
    <n v="2019"/>
    <x v="0"/>
    <x v="0"/>
    <s v="KLAIPEDA / LITUANIA"/>
    <x v="2"/>
    <m/>
    <x v="0"/>
    <x v="44"/>
    <d v="2019-10-31T00:00:00"/>
    <s v="MV BLUEBILL"/>
    <x v="5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775"/>
    <m/>
    <x v="597"/>
    <m/>
    <m/>
    <m/>
    <s v="CERRADO"/>
    <n v="206597"/>
    <x v="0"/>
    <x v="12"/>
    <x v="342"/>
    <d v="2019-10-01T00:00:00"/>
    <n v="120"/>
    <s v="días BL"/>
    <s v="N-12380-D"/>
    <m/>
    <d v="2020-02-28T00:00:00"/>
    <s v="CANCELADO"/>
    <s v="CFR"/>
    <m/>
    <x v="99"/>
    <n v="322.93"/>
    <m/>
    <x v="687"/>
    <x v="3"/>
    <s v="Granel"/>
    <m/>
    <s v="Granel Sólido"/>
    <m/>
    <m/>
    <s v="NOVIEMBRE '19"/>
    <x v="0"/>
    <m/>
    <m/>
    <m/>
    <x v="402"/>
    <m/>
    <m/>
    <x v="395"/>
    <n v="12"/>
    <n v="2019"/>
    <x v="0"/>
    <x v="0"/>
    <s v="KLAIPEDA / LITUANIA"/>
    <x v="4"/>
    <m/>
    <x v="0"/>
    <x v="20"/>
    <d v="2019-10-31T00:00:00"/>
    <s v="MV BLUEBILL"/>
    <x v="54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P"/>
    <x v="0"/>
    <x v="0"/>
    <m/>
    <m/>
    <x v="776"/>
    <m/>
    <x v="598"/>
    <m/>
    <m/>
    <m/>
    <s v="CERRADO"/>
    <n v="207374"/>
    <x v="17"/>
    <x v="15"/>
    <x v="343"/>
    <d v="2019-10-16T00:00:00"/>
    <s v="PREPAGO"/>
    <m/>
    <s v="877/19 ZMU"/>
    <m/>
    <d v="2019-09-16T00:00:00"/>
    <s v="CANCELADO"/>
    <s v="CFR"/>
    <m/>
    <x v="222"/>
    <n v="327"/>
    <m/>
    <x v="653"/>
    <x v="10"/>
    <s v="Contenedor 20'"/>
    <m/>
    <s v="25 kg"/>
    <m/>
    <m/>
    <s v="NOVIEMBRE '19"/>
    <x v="0"/>
    <m/>
    <m/>
    <m/>
    <x v="403"/>
    <m/>
    <m/>
    <x v="396"/>
    <n v="1"/>
    <n v="2020"/>
    <x v="0"/>
    <x v="0"/>
    <s v="ST. PETERSBURG / RUSSIA"/>
    <x v="2"/>
    <m/>
    <x v="1"/>
    <x v="539"/>
    <d v="2019-11-30T00:00:00"/>
    <s v="CMA CGM LOUGA"/>
    <x v="39"/>
    <x v="9"/>
    <m/>
    <m/>
    <m/>
    <m/>
    <m/>
    <m/>
    <x v="0"/>
    <d v="2020-01-17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P"/>
    <x v="0"/>
    <x v="0"/>
    <m/>
    <m/>
    <x v="777"/>
    <m/>
    <x v="599"/>
    <m/>
    <m/>
    <m/>
    <s v="CERRADO"/>
    <n v="207374"/>
    <x v="17"/>
    <x v="15"/>
    <x v="344"/>
    <d v="2019-10-16T00:00:00"/>
    <s v="PREPAGO"/>
    <m/>
    <s v="878/19 ZMU"/>
    <m/>
    <d v="2019-09-16T00:00:00"/>
    <s v="CANCELADO"/>
    <s v="CFR"/>
    <m/>
    <x v="222"/>
    <n v="327"/>
    <m/>
    <x v="653"/>
    <x v="10"/>
    <s v="Contenedor 20'"/>
    <m/>
    <s v="25 kg"/>
    <m/>
    <m/>
    <s v="NOVIEMBRE '19"/>
    <x v="0"/>
    <m/>
    <m/>
    <m/>
    <x v="404"/>
    <m/>
    <m/>
    <x v="397"/>
    <n v="1"/>
    <n v="2020"/>
    <x v="0"/>
    <x v="0"/>
    <s v="ST. PETERSBURG / RUSSIA"/>
    <x v="0"/>
    <m/>
    <x v="1"/>
    <x v="540"/>
    <d v="2019-11-30T00:00:00"/>
    <s v="CMA CGM LOUGA"/>
    <x v="173"/>
    <x v="9"/>
    <m/>
    <m/>
    <m/>
    <m/>
    <m/>
    <m/>
    <x v="0"/>
    <d v="2020-01-22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P"/>
    <x v="0"/>
    <x v="0"/>
    <m/>
    <m/>
    <x v="778"/>
    <m/>
    <x v="600"/>
    <m/>
    <m/>
    <m/>
    <s v="CERRADO"/>
    <n v="206766"/>
    <x v="10"/>
    <x v="37"/>
    <x v="345"/>
    <d v="2019-11-01T00:00:00"/>
    <n v="90"/>
    <s v="días BL"/>
    <s v="29125"/>
    <m/>
    <d v="2020-02-20T00:00:00"/>
    <s v="CANCELADO"/>
    <s v="CFR"/>
    <m/>
    <x v="140"/>
    <n v="870"/>
    <m/>
    <x v="688"/>
    <x v="22"/>
    <s v="Contenedor 20'"/>
    <m/>
    <s v="Bidones 50kg"/>
    <m/>
    <m/>
    <s v="NOVIEMBRE '19"/>
    <x v="0"/>
    <m/>
    <m/>
    <m/>
    <x v="401"/>
    <m/>
    <m/>
    <x v="366"/>
    <n v="12"/>
    <n v="2019"/>
    <x v="0"/>
    <x v="0"/>
    <s v="VERACRUZ / MEXICO"/>
    <x v="2"/>
    <m/>
    <x v="0"/>
    <x v="541"/>
    <d v="2019-11-21T00:00:00"/>
    <s v="TUCAPEL"/>
    <x v="42"/>
    <x v="2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P"/>
    <x v="0"/>
    <x v="0"/>
    <m/>
    <m/>
    <x v="779"/>
    <m/>
    <x v="601"/>
    <m/>
    <m/>
    <m/>
    <s v="CERRADO"/>
    <n v="206766"/>
    <x v="10"/>
    <x v="37"/>
    <x v="346"/>
    <d v="2019-11-01T00:00:00"/>
    <n v="90"/>
    <s v="días BL"/>
    <s v="29126"/>
    <m/>
    <d v="2020-02-21T00:00:00"/>
    <s v="CANCELADO"/>
    <s v="CFR"/>
    <m/>
    <x v="140"/>
    <n v="880"/>
    <m/>
    <x v="689"/>
    <x v="22"/>
    <s v="Contenedor 20'"/>
    <m/>
    <s v="Bidones 50kg"/>
    <m/>
    <m/>
    <s v="NOVIEMBRE '19"/>
    <x v="0"/>
    <m/>
    <m/>
    <m/>
    <x v="396"/>
    <m/>
    <m/>
    <x v="398"/>
    <n v="12"/>
    <n v="2019"/>
    <x v="0"/>
    <x v="0"/>
    <s v="VERACRUZ / MEXICO"/>
    <x v="0"/>
    <m/>
    <x v="0"/>
    <x v="542"/>
    <d v="2019-11-23T00:00:00"/>
    <s v="POLAR COSTA RICA"/>
    <x v="193"/>
    <x v="6"/>
    <m/>
    <m/>
    <m/>
    <m/>
    <m/>
    <m/>
    <x v="0"/>
    <d v="2020-01-16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780"/>
    <m/>
    <x v="602"/>
    <m/>
    <m/>
    <m/>
    <s v="CERRADO"/>
    <n v="206914"/>
    <x v="12"/>
    <x v="19"/>
    <x v="347"/>
    <d v="2019-11-01T00:00:00"/>
    <n v="90"/>
    <s v="días BL"/>
    <s v="SG-MSL-12329-12"/>
    <m/>
    <d v="2020-03-03T00:00:00"/>
    <s v="CANCELADO"/>
    <s v="CFR"/>
    <m/>
    <x v="211"/>
    <n v="119.5"/>
    <m/>
    <x v="690"/>
    <x v="17"/>
    <s v="Granel - BB"/>
    <m/>
    <s v="25 kg"/>
    <m/>
    <m/>
    <s v="NOVIEMBRE '19"/>
    <x v="0"/>
    <m/>
    <m/>
    <m/>
    <x v="405"/>
    <m/>
    <m/>
    <x v="399"/>
    <n v="2"/>
    <n v="2020"/>
    <x v="0"/>
    <x v="0"/>
    <s v="BAYUQUAN / CHINA"/>
    <x v="2"/>
    <m/>
    <x v="1"/>
    <x v="543"/>
    <d v="2019-11-30T00:00:00"/>
    <s v="SAGA FLORA"/>
    <x v="213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781"/>
    <m/>
    <x v="603"/>
    <m/>
    <m/>
    <m/>
    <s v="CERRADO"/>
    <n v="206914"/>
    <x v="12"/>
    <x v="19"/>
    <x v="348"/>
    <d v="2019-11-01T00:00:00"/>
    <n v="90"/>
    <s v="días BL"/>
    <s v="SG-MSL-12329-11A"/>
    <m/>
    <d v="2020-03-13T00:00:00"/>
    <s v="CANCELADO"/>
    <s v="CFR"/>
    <m/>
    <x v="334"/>
    <n v="122"/>
    <m/>
    <x v="691"/>
    <x v="20"/>
    <s v="Contenedor 40'"/>
    <m/>
    <s v="25 kg"/>
    <m/>
    <m/>
    <s v="NOVIEMBRE '19"/>
    <x v="0"/>
    <m/>
    <m/>
    <m/>
    <x v="395"/>
    <m/>
    <m/>
    <x v="391"/>
    <n v="2"/>
    <n v="2020"/>
    <x v="0"/>
    <x v="0"/>
    <s v="DALIAN / CHINA"/>
    <x v="0"/>
    <m/>
    <x v="1"/>
    <x v="544"/>
    <d v="2019-12-13T00:00:00"/>
    <s v="MATAQUITO"/>
    <x v="69"/>
    <x v="25"/>
    <m/>
    <m/>
    <m/>
    <m/>
    <m/>
    <m/>
    <x v="0"/>
    <d v="2020-02-19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782"/>
    <m/>
    <x v="604"/>
    <m/>
    <m/>
    <m/>
    <s v="CERRADO"/>
    <n v="206914"/>
    <x v="12"/>
    <x v="19"/>
    <x v="348"/>
    <d v="2019-11-01T00:00:00"/>
    <n v="90"/>
    <s v="días BL"/>
    <s v="SG-MSL-12329-11B"/>
    <m/>
    <d v="2020-03-13T00:00:00"/>
    <s v="CANCELADO"/>
    <s v="CFR"/>
    <m/>
    <x v="270"/>
    <n v="122"/>
    <m/>
    <x v="692"/>
    <x v="21"/>
    <s v="Contenedor 40'"/>
    <m/>
    <s v="25 kg"/>
    <m/>
    <m/>
    <s v="NOVIEMBRE '19"/>
    <x v="0"/>
    <m/>
    <m/>
    <m/>
    <x v="395"/>
    <m/>
    <m/>
    <x v="400"/>
    <n v="2"/>
    <n v="2020"/>
    <x v="0"/>
    <x v="0"/>
    <s v="DALIAN / CHINA"/>
    <x v="0"/>
    <m/>
    <x v="1"/>
    <x v="545"/>
    <d v="2019-12-14T00:00:00"/>
    <s v="NYK ISABEL"/>
    <x v="69"/>
    <x v="25"/>
    <m/>
    <m/>
    <m/>
    <m/>
    <m/>
    <m/>
    <x v="0"/>
    <d v="2020-02-19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783"/>
    <m/>
    <x v="605"/>
    <m/>
    <m/>
    <m/>
    <s v="CERRADO"/>
    <n v="206914"/>
    <x v="12"/>
    <x v="19"/>
    <x v="349"/>
    <d v="2019-11-01T00:00:00"/>
    <n v="90"/>
    <s v="días BL"/>
    <s v="SG-MSL-12329-13"/>
    <m/>
    <d v="2020-02-19T00:00:00"/>
    <s v="CANCELADO"/>
    <s v="CFR"/>
    <m/>
    <x v="309"/>
    <n v="145"/>
    <m/>
    <x v="693"/>
    <x v="17"/>
    <s v="Granel - BB"/>
    <m/>
    <s v="25 kg"/>
    <m/>
    <m/>
    <s v="NOVIEMBRE '19"/>
    <x v="0"/>
    <m/>
    <m/>
    <m/>
    <x v="398"/>
    <m/>
    <m/>
    <x v="393"/>
    <n v="1"/>
    <n v="2020"/>
    <x v="0"/>
    <x v="0"/>
    <s v="BAYUQUAN / CHINA"/>
    <x v="4"/>
    <m/>
    <x v="1"/>
    <x v="546"/>
    <d v="2019-11-21T00:00:00"/>
    <s v="RONG AN CHENG "/>
    <x v="212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784"/>
    <m/>
    <x v="606"/>
    <m/>
    <m/>
    <m/>
    <s v="CERRADO"/>
    <n v="206971"/>
    <x v="3"/>
    <x v="2"/>
    <x v="350"/>
    <d v="2019-11-01T00:00:00"/>
    <n v="90"/>
    <s v="días BL"/>
    <s v="SI0015597"/>
    <m/>
    <d v="2020-02-17T00:00:00"/>
    <s v="CANCELADO"/>
    <s v="CFR"/>
    <m/>
    <x v="1"/>
    <n v="466.9"/>
    <m/>
    <x v="694"/>
    <x v="6"/>
    <s v="Contenedor 20'"/>
    <m/>
    <s v="25 kg"/>
    <m/>
    <m/>
    <s v="1H NOVIEMBRE '19"/>
    <x v="0"/>
    <m/>
    <m/>
    <m/>
    <x v="406"/>
    <m/>
    <m/>
    <x v="390"/>
    <n v="12"/>
    <n v="2019"/>
    <x v="0"/>
    <x v="0"/>
    <s v="KAOHSIUNG / TAIWAN"/>
    <x v="2"/>
    <m/>
    <x v="0"/>
    <x v="547"/>
    <d v="2019-11-18T00:00:00"/>
    <s v="AGIOS MINAS"/>
    <x v="214"/>
    <x v="22"/>
    <m/>
    <m/>
    <m/>
    <m/>
    <m/>
    <m/>
    <x v="0"/>
    <d v="2020-01-11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785"/>
    <m/>
    <x v="607"/>
    <m/>
    <m/>
    <m/>
    <s v="CERRADO"/>
    <n v="206971"/>
    <x v="3"/>
    <x v="2"/>
    <x v="350"/>
    <d v="2019-11-01T00:00:00"/>
    <n v="90"/>
    <s v="días BL"/>
    <s v="SI0015474"/>
    <m/>
    <d v="2020-02-12T00:00:00"/>
    <s v="CANCELADO"/>
    <s v="CFR"/>
    <m/>
    <x v="1"/>
    <n v="481"/>
    <m/>
    <x v="695"/>
    <x v="6"/>
    <s v="Contenedor 20'"/>
    <m/>
    <s v="25 kg"/>
    <m/>
    <m/>
    <s v="1H NOVIEMBRE '19"/>
    <x v="0"/>
    <m/>
    <m/>
    <m/>
    <x v="404"/>
    <m/>
    <m/>
    <x v="397"/>
    <n v="1"/>
    <n v="2020"/>
    <x v="0"/>
    <x v="0"/>
    <s v="KAOHSIUNG / TAIWAN"/>
    <x v="0"/>
    <m/>
    <x v="1"/>
    <x v="548"/>
    <d v="2019-11-13T00:00:00"/>
    <s v="CORCOVADO"/>
    <x v="215"/>
    <x v="2"/>
    <m/>
    <m/>
    <m/>
    <m/>
    <m/>
    <m/>
    <x v="0"/>
    <d v="2020-01-29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786"/>
    <m/>
    <x v="608"/>
    <m/>
    <m/>
    <m/>
    <s v="CERRADO"/>
    <n v="206971"/>
    <x v="3"/>
    <x v="2"/>
    <x v="350"/>
    <d v="2019-11-01T00:00:00"/>
    <n v="90"/>
    <s v="días BL"/>
    <s v="SI0015912"/>
    <m/>
    <d v="2020-02-28T00:00:00"/>
    <s v="CANCELADO"/>
    <s v="CFR"/>
    <m/>
    <x v="1"/>
    <n v="466.9"/>
    <m/>
    <x v="694"/>
    <x v="6"/>
    <s v="Contenedor 20'"/>
    <m/>
    <s v="25 kg"/>
    <m/>
    <m/>
    <s v="2H DICIEMBRE '19"/>
    <x v="0"/>
    <m/>
    <m/>
    <m/>
    <x v="407"/>
    <m/>
    <m/>
    <x v="401"/>
    <n v="1"/>
    <n v="2020"/>
    <x v="0"/>
    <x v="0"/>
    <s v="KEELUNG / TAIWAN"/>
    <x v="2"/>
    <m/>
    <x v="1"/>
    <x v="549"/>
    <d v="2019-11-30T00:00:00"/>
    <s v="KOTA CEPAT"/>
    <x v="216"/>
    <x v="22"/>
    <m/>
    <m/>
    <m/>
    <m/>
    <m/>
    <m/>
    <x v="0"/>
    <d v="2020-01-25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787"/>
    <m/>
    <x v="609"/>
    <m/>
    <m/>
    <m/>
    <s v="CERRADO"/>
    <n v="206971"/>
    <x v="3"/>
    <x v="2"/>
    <x v="350"/>
    <d v="2019-11-01T00:00:00"/>
    <n v="90"/>
    <s v="días BL"/>
    <s v="SI0015810"/>
    <m/>
    <d v="2020-02-24T00:00:00"/>
    <s v="CANCELADO"/>
    <s v="CFR"/>
    <m/>
    <x v="4"/>
    <n v="481"/>
    <m/>
    <x v="696"/>
    <x v="38"/>
    <s v="Contenedor 40'"/>
    <m/>
    <s v="25 kg"/>
    <m/>
    <m/>
    <s v="2H DICIEMBRE '19"/>
    <x v="0"/>
    <m/>
    <m/>
    <m/>
    <x v="408"/>
    <m/>
    <m/>
    <x v="402"/>
    <n v="1"/>
    <n v="2020"/>
    <x v="0"/>
    <x v="0"/>
    <s v="KEELUNG / TAIWAN"/>
    <x v="0"/>
    <m/>
    <x v="1"/>
    <x v="550"/>
    <d v="2019-11-26T00:00:00"/>
    <s v="CAUTIN"/>
    <x v="149"/>
    <x v="16"/>
    <m/>
    <m/>
    <m/>
    <m/>
    <m/>
    <m/>
    <x v="0"/>
    <d v="2020-02-04T00:00:00"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P"/>
    <x v="0"/>
    <x v="0"/>
    <m/>
    <m/>
    <x v="788"/>
    <m/>
    <x v="610"/>
    <m/>
    <m/>
    <m/>
    <s v="CERRADO"/>
    <n v="207499"/>
    <x v="2"/>
    <x v="19"/>
    <x v="351"/>
    <d v="2019-11-01T00:00:00"/>
    <n v="90"/>
    <s v="días BL"/>
    <s v="SG-ZSL-12329-15"/>
    <m/>
    <d v="2020-03-03T00:00:00"/>
    <s v="CANCELADO"/>
    <s v="CFR"/>
    <m/>
    <x v="1"/>
    <n v="515"/>
    <m/>
    <x v="697"/>
    <x v="17"/>
    <s v="Granel - BB"/>
    <m/>
    <s v="25 kg"/>
    <m/>
    <m/>
    <s v="NOVIEMBRE '19"/>
    <x v="0"/>
    <m/>
    <m/>
    <m/>
    <x v="405"/>
    <m/>
    <m/>
    <x v="399"/>
    <n v="2"/>
    <n v="2020"/>
    <x v="0"/>
    <x v="0"/>
    <s v="TIANJIN / CHINA"/>
    <x v="2"/>
    <m/>
    <x v="1"/>
    <x v="551"/>
    <d v="2019-11-30T00:00:00"/>
    <s v="SAGA FLORA"/>
    <x v="213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P"/>
    <x v="0"/>
    <x v="0"/>
    <m/>
    <m/>
    <x v="789"/>
    <m/>
    <x v="611"/>
    <m/>
    <m/>
    <m/>
    <s v="CERRADO"/>
    <n v="207499"/>
    <x v="2"/>
    <x v="19"/>
    <x v="352"/>
    <d v="2019-11-01T00:00:00"/>
    <n v="90"/>
    <s v="días BL"/>
    <s v="SG-ZSL-12329-14"/>
    <m/>
    <d v="2020-03-09T00:00:00"/>
    <s v="CANCELADO"/>
    <s v="CFR"/>
    <m/>
    <x v="353"/>
    <n v="512"/>
    <m/>
    <x v="698"/>
    <x v="4"/>
    <s v="Contenedor 40'"/>
    <m/>
    <s v="25 kg"/>
    <m/>
    <m/>
    <s v="NOVIEMBRE '19"/>
    <x v="0"/>
    <m/>
    <m/>
    <m/>
    <x v="409"/>
    <m/>
    <m/>
    <x v="403"/>
    <n v="2"/>
    <n v="2020"/>
    <x v="0"/>
    <x v="0"/>
    <s v="TIANJIN / CHINA"/>
    <x v="0"/>
    <m/>
    <x v="1"/>
    <x v="552"/>
    <d v="2019-12-07T00:00:00"/>
    <s v="CMA CGM ZHENG HE"/>
    <x v="217"/>
    <x v="3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790"/>
    <m/>
    <x v="612"/>
    <m/>
    <m/>
    <m/>
    <s v="CERRADO"/>
    <n v="206971"/>
    <x v="3"/>
    <x v="2"/>
    <x v="350"/>
    <d v="2019-11-01T00:00:00"/>
    <n v="90"/>
    <s v="días BL"/>
    <s v="SI0016421"/>
    <m/>
    <d v="2020-03-13T00:00:00"/>
    <s v="CANCELADO"/>
    <s v="CFR"/>
    <m/>
    <x v="1"/>
    <n v="466.9"/>
    <m/>
    <x v="694"/>
    <x v="6"/>
    <s v="Contenedor 20'"/>
    <m/>
    <s v="25 kg"/>
    <m/>
    <m/>
    <s v="1H DICIEMBRE '19"/>
    <x v="0"/>
    <m/>
    <m/>
    <m/>
    <x v="410"/>
    <m/>
    <m/>
    <x v="404"/>
    <n v="1"/>
    <n v="2020"/>
    <x v="0"/>
    <x v="0"/>
    <s v="KEELUNG / TAIWAN"/>
    <x v="2"/>
    <m/>
    <x v="1"/>
    <x v="553"/>
    <d v="2019-12-14T00:00:00"/>
    <s v="WAN HAI 613   "/>
    <x v="69"/>
    <x v="22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791"/>
    <m/>
    <x v="613"/>
    <m/>
    <m/>
    <m/>
    <s v="CERRADO"/>
    <n v="206971"/>
    <x v="3"/>
    <x v="2"/>
    <x v="350"/>
    <d v="2019-11-01T00:00:00"/>
    <n v="90"/>
    <s v="días BL"/>
    <s v="SI0016272-A"/>
    <m/>
    <d v="2020-03-09T00:00:00"/>
    <s v="CANCELADO"/>
    <s v="CFR"/>
    <m/>
    <x v="4"/>
    <n v="481"/>
    <m/>
    <x v="696"/>
    <x v="38"/>
    <s v="Contenedor 40'"/>
    <m/>
    <s v="25 kg"/>
    <m/>
    <m/>
    <s v="1H DICIEMBRE '19"/>
    <x v="0"/>
    <m/>
    <m/>
    <m/>
    <x v="405"/>
    <m/>
    <m/>
    <x v="403"/>
    <n v="2"/>
    <n v="2020"/>
    <x v="0"/>
    <x v="0"/>
    <s v="KEELUNG / TAIWAN"/>
    <x v="0"/>
    <m/>
    <x v="1"/>
    <x v="554"/>
    <d v="2019-12-10T00:00:00"/>
    <s v="MOL BENEFACTOR "/>
    <x v="149"/>
    <x v="16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S-S"/>
    <x v="0"/>
    <x v="0"/>
    <m/>
    <m/>
    <x v="792"/>
    <m/>
    <x v="614"/>
    <m/>
    <m/>
    <m/>
    <s v="CERRADO"/>
    <n v="206971"/>
    <x v="3"/>
    <x v="2"/>
    <x v="350"/>
    <d v="2019-11-01T00:00:00"/>
    <n v="90"/>
    <s v="días BL"/>
    <s v="SI0016272-B"/>
    <m/>
    <d v="2020-03-09T00:00:00"/>
    <s v="CANCELADO"/>
    <s v="CFR"/>
    <m/>
    <x v="4"/>
    <n v="481"/>
    <m/>
    <x v="696"/>
    <x v="38"/>
    <s v="Contenedor 40'"/>
    <m/>
    <s v="25 kg"/>
    <m/>
    <m/>
    <s v="1H DICIEMBRE '19"/>
    <x v="0"/>
    <m/>
    <m/>
    <m/>
    <x v="405"/>
    <m/>
    <m/>
    <x v="403"/>
    <n v="2"/>
    <n v="2020"/>
    <x v="0"/>
    <x v="0"/>
    <s v="KEELUNG / TAIWAN"/>
    <x v="0"/>
    <m/>
    <x v="1"/>
    <x v="555"/>
    <d v="2019-12-10T00:00:00"/>
    <s v="MOL BENEFACTOR "/>
    <x v="149"/>
    <x v="16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793"/>
    <m/>
    <x v="615"/>
    <m/>
    <m/>
    <m/>
    <s v="CERRADO"/>
    <n v="203616"/>
    <x v="34"/>
    <x v="12"/>
    <x v="353"/>
    <d v="2019-11-11T00:00:00"/>
    <n v="120"/>
    <s v="días BL"/>
    <s v="N-13985-A"/>
    <m/>
    <d v="2020-04-06T00:00:00"/>
    <s v="CANCELADO"/>
    <s v="CFR"/>
    <m/>
    <x v="354"/>
    <n v="151.04"/>
    <m/>
    <x v="699"/>
    <x v="0"/>
    <s v="Granel"/>
    <m/>
    <s v="Granel Sólido"/>
    <m/>
    <m/>
    <s v="DICIEMBRE '19"/>
    <x v="0"/>
    <m/>
    <m/>
    <m/>
    <x v="411"/>
    <m/>
    <m/>
    <x v="405"/>
    <n v="2"/>
    <n v="2020"/>
    <x v="0"/>
    <x v="0"/>
    <s v="JINGJIANG/CHINA"/>
    <x v="0"/>
    <m/>
    <x v="1"/>
    <x v="556"/>
    <d v="2019-12-08T00:00:00"/>
    <s v="ELIZABETH RIVER"/>
    <x v="218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794"/>
    <m/>
    <x v="616"/>
    <m/>
    <m/>
    <m/>
    <s v="CERRADO"/>
    <n v="203616"/>
    <x v="34"/>
    <x v="12"/>
    <x v="353"/>
    <d v="2019-11-11T00:00:00"/>
    <n v="120"/>
    <s v="días BL"/>
    <s v="N-13985-B"/>
    <m/>
    <d v="2020-04-06T00:00:00"/>
    <s v="CANCELADO"/>
    <s v="CFR"/>
    <m/>
    <x v="131"/>
    <n v="151.04"/>
    <m/>
    <x v="700"/>
    <x v="0"/>
    <s v="Granel"/>
    <m/>
    <s v="Granel Sólido"/>
    <m/>
    <m/>
    <s v="DICIEMBRE '19"/>
    <x v="0"/>
    <m/>
    <m/>
    <m/>
    <x v="412"/>
    <m/>
    <m/>
    <x v="406"/>
    <n v="2"/>
    <n v="2020"/>
    <x v="0"/>
    <x v="0"/>
    <s v="JINGJIANG/CHINA"/>
    <x v="1"/>
    <m/>
    <x v="1"/>
    <x v="557"/>
    <d v="2019-12-08T00:00:00"/>
    <s v="ELIZABETH RIVER"/>
    <x v="218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795"/>
    <m/>
    <x v="617"/>
    <m/>
    <m/>
    <m/>
    <s v="CERRADO"/>
    <n v="203616"/>
    <x v="34"/>
    <x v="12"/>
    <x v="353"/>
    <d v="2019-11-11T00:00:00"/>
    <n v="120"/>
    <s v="días BL"/>
    <s v="N-13985-C"/>
    <m/>
    <d v="2020-04-06T00:00:00"/>
    <s v="CANCELADO"/>
    <s v="CFR"/>
    <m/>
    <x v="1"/>
    <n v="151.04"/>
    <m/>
    <x v="701"/>
    <x v="0"/>
    <s v="Granel"/>
    <m/>
    <s v="Granel Sólido"/>
    <m/>
    <m/>
    <s v="DICIEMBRE '19"/>
    <x v="0"/>
    <m/>
    <m/>
    <m/>
    <x v="413"/>
    <m/>
    <m/>
    <x v="407"/>
    <n v="2"/>
    <n v="2020"/>
    <x v="0"/>
    <x v="0"/>
    <s v="JINGJIANG/CHINA"/>
    <x v="2"/>
    <m/>
    <x v="1"/>
    <x v="558"/>
    <d v="2019-12-08T00:00:00"/>
    <s v="ELIZABETH RIVER"/>
    <x v="218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G-S"/>
    <x v="0"/>
    <x v="0"/>
    <m/>
    <m/>
    <x v="796"/>
    <m/>
    <x v="618"/>
    <m/>
    <m/>
    <m/>
    <s v="CERRADO"/>
    <n v="203616"/>
    <x v="34"/>
    <x v="12"/>
    <x v="353"/>
    <d v="2019-11-11T00:00:00"/>
    <n v="120"/>
    <s v="días BL"/>
    <s v="N-13985-D"/>
    <m/>
    <d v="2020-04-06T00:00:00"/>
    <s v="CANCELADO"/>
    <s v="CFR"/>
    <m/>
    <x v="1"/>
    <n v="151.04"/>
    <m/>
    <x v="701"/>
    <x v="0"/>
    <s v="Granel"/>
    <m/>
    <s v="Granel Sólido"/>
    <m/>
    <m/>
    <s v="DICIEMBRE '19"/>
    <x v="0"/>
    <m/>
    <m/>
    <m/>
    <x v="405"/>
    <m/>
    <m/>
    <x v="408"/>
    <n v="2"/>
    <n v="2020"/>
    <x v="0"/>
    <x v="0"/>
    <s v="JINGJIANG/CHINA"/>
    <x v="4"/>
    <m/>
    <x v="1"/>
    <x v="559"/>
    <d v="2019-12-08T00:00:00"/>
    <s v="ELIZABETH RIVER"/>
    <x v="218"/>
    <x v="0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E-S"/>
    <x v="0"/>
    <x v="0"/>
    <m/>
    <m/>
    <x v="797"/>
    <m/>
    <x v="619"/>
    <m/>
    <m/>
    <m/>
    <s v="CERRADO"/>
    <n v="203622"/>
    <x v="45"/>
    <x v="7"/>
    <x v="72"/>
    <d v="2019-11-18T00:00:00"/>
    <n v="90"/>
    <s v="días BL"/>
    <s v="7300014260"/>
    <m/>
    <d v="2020-03-13T00:00:00"/>
    <s v="CANCELADO"/>
    <s v="CFR"/>
    <m/>
    <x v="143"/>
    <n v="700"/>
    <m/>
    <x v="702"/>
    <x v="1"/>
    <s v="Contenedor 20'"/>
    <m/>
    <s v="25 kg"/>
    <m/>
    <m/>
    <s v="NOV - 1H DIC '19"/>
    <x v="0"/>
    <m/>
    <m/>
    <m/>
    <x v="414"/>
    <m/>
    <m/>
    <x v="402"/>
    <n v="1"/>
    <n v="2020"/>
    <x v="0"/>
    <x v="0"/>
    <s v="HAMBURGO / ALEMANIA"/>
    <x v="2"/>
    <m/>
    <x v="1"/>
    <x v="560"/>
    <d v="2019-12-13T00:00:00"/>
    <s v="JOANNA"/>
    <x v="219"/>
    <x v="4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E-S"/>
    <x v="0"/>
    <x v="0"/>
    <m/>
    <m/>
    <x v="798"/>
    <m/>
    <x v="620"/>
    <m/>
    <m/>
    <m/>
    <s v="CERRADO"/>
    <n v="203622"/>
    <x v="45"/>
    <x v="7"/>
    <x v="16"/>
    <d v="2019-11-18T00:00:00"/>
    <n v="90"/>
    <s v="días BL"/>
    <s v="7300017996"/>
    <m/>
    <d v="2020-03-22T00:00:00"/>
    <s v="CANCELADO"/>
    <s v="CFR"/>
    <m/>
    <x v="21"/>
    <n v="705"/>
    <m/>
    <x v="703"/>
    <x v="2"/>
    <s v="Contenedor 20'"/>
    <m/>
    <s v="25 kg"/>
    <m/>
    <m/>
    <s v="NOV - 1H DIC '19"/>
    <x v="0"/>
    <m/>
    <m/>
    <m/>
    <x v="377"/>
    <m/>
    <m/>
    <x v="402"/>
    <n v="1"/>
    <n v="2020"/>
    <x v="0"/>
    <x v="0"/>
    <s v="HAMBURGO / ALEMANIA"/>
    <x v="0"/>
    <m/>
    <x v="1"/>
    <x v="561"/>
    <d v="2019-12-23T00:00:00"/>
    <s v="CMA CGM JEAN GABRIEL"/>
    <x v="217"/>
    <x v="9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-"/>
    <x v="0"/>
    <x v="0"/>
    <m/>
    <m/>
    <x v="799"/>
    <m/>
    <x v="621"/>
    <m/>
    <m/>
    <m/>
    <s v="CERRADO"/>
    <n v="207581"/>
    <x v="100"/>
    <x v="20"/>
    <x v="16"/>
    <m/>
    <s v="CAD"/>
    <m/>
    <s v="."/>
    <m/>
    <m/>
    <s v="CANCELADO"/>
    <s v="CFR"/>
    <m/>
    <x v="355"/>
    <e v="#REF!"/>
    <m/>
    <x v="551"/>
    <x v="17"/>
    <s v="-"/>
    <m/>
    <s v="-"/>
    <m/>
    <m/>
    <s v="OCT '19"/>
    <x v="0"/>
    <m/>
    <m/>
    <m/>
    <x v="415"/>
    <m/>
    <m/>
    <x v="409"/>
    <n v="11"/>
    <n v="2019"/>
    <x v="0"/>
    <x v="0"/>
    <s v="SANTIAGO / CHILE"/>
    <x v="2"/>
    <m/>
    <x v="0"/>
    <x v="562"/>
    <d v="2019-10-03T00:00:00"/>
    <s v="-"/>
    <x v="220"/>
    <x v="31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B-S"/>
    <x v="0"/>
    <x v="0"/>
    <m/>
    <m/>
    <x v="800"/>
    <m/>
    <x v="622"/>
    <m/>
    <m/>
    <m/>
    <s v="CERRADO"/>
    <n v="206612"/>
    <x v="87"/>
    <x v="43"/>
    <x v="354"/>
    <d v="2019-12-19T00:00:00"/>
    <n v="150"/>
    <s v="días FACT."/>
    <s v="FV194E000182"/>
    <m/>
    <d v="2020-06-02T00:00:00"/>
    <s v="CANCELADO"/>
    <s v="CIF"/>
    <m/>
    <x v="356"/>
    <n v="4067.081377"/>
    <m/>
    <x v="704"/>
    <x v="3"/>
    <s v="Contenedor 20'"/>
    <m/>
    <s v="25 kg"/>
    <m/>
    <m/>
    <s v="ENERO '20"/>
    <x v="0"/>
    <m/>
    <m/>
    <m/>
    <x v="416"/>
    <m/>
    <m/>
    <x v="410"/>
    <n v="2"/>
    <n v="2020"/>
    <x v="0"/>
    <x v="0"/>
    <s v="VALENCIA / ESPAÑA"/>
    <x v="2"/>
    <m/>
    <x v="1"/>
    <x v="563"/>
    <d v="2020-01-04T00:00:00"/>
    <s v="ALEXIS"/>
    <x v="41"/>
    <x v="26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B-S"/>
    <x v="0"/>
    <x v="0"/>
    <m/>
    <m/>
    <x v="801"/>
    <m/>
    <x v="622"/>
    <m/>
    <m/>
    <m/>
    <s v="CERRADO"/>
    <n v="206608"/>
    <x v="101"/>
    <x v="43"/>
    <x v="354"/>
    <d v="2019-12-19T00:00:00"/>
    <n v="150"/>
    <s v="días FACT."/>
    <s v="FV194E000182"/>
    <m/>
    <d v="2020-06-02T00:00:00"/>
    <s v="CANCELADO"/>
    <s v="CIF"/>
    <m/>
    <x v="357"/>
    <n v="39639.581380000003"/>
    <m/>
    <x v="705"/>
    <x v="3"/>
    <s v="Contenedor 20'"/>
    <m/>
    <s v="20L"/>
    <m/>
    <m/>
    <s v="ENERO '20"/>
    <x v="0"/>
    <m/>
    <m/>
    <m/>
    <x v="416"/>
    <m/>
    <m/>
    <x v="410"/>
    <n v="2"/>
    <n v="2020"/>
    <x v="0"/>
    <x v="0"/>
    <s v="VALENCIA / ESPAÑA"/>
    <x v="2"/>
    <m/>
    <x v="1"/>
    <x v="563"/>
    <d v="2020-01-04T00:00:00"/>
    <s v="ALEXIS"/>
    <x v="41"/>
    <x v="26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B-S"/>
    <x v="0"/>
    <x v="0"/>
    <m/>
    <m/>
    <x v="802"/>
    <m/>
    <x v="622"/>
    <m/>
    <m/>
    <m/>
    <s v="CERRADO"/>
    <n v="203621"/>
    <x v="90"/>
    <x v="43"/>
    <x v="354"/>
    <d v="2019-12-19T00:00:00"/>
    <n v="150"/>
    <s v="días FACT."/>
    <s v="FV194E000182"/>
    <m/>
    <d v="2020-06-02T00:00:00"/>
    <s v="CANCELADO"/>
    <s v="CIF"/>
    <m/>
    <x v="276"/>
    <n v="41084.581380000003"/>
    <m/>
    <x v="706"/>
    <x v="3"/>
    <s v="Contenedor 20'"/>
    <m/>
    <s v="1L"/>
    <m/>
    <m/>
    <s v="ENERO '20"/>
    <x v="0"/>
    <m/>
    <m/>
    <m/>
    <x v="416"/>
    <m/>
    <m/>
    <x v="410"/>
    <n v="2"/>
    <n v="2020"/>
    <x v="0"/>
    <x v="0"/>
    <s v="VALENCIA / ESPAÑA"/>
    <x v="2"/>
    <m/>
    <x v="1"/>
    <x v="563"/>
    <d v="2020-01-04T00:00:00"/>
    <s v="ALEXIS"/>
    <x v="41"/>
    <x v="26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19"/>
    <s v="E-S"/>
    <x v="0"/>
    <x v="0"/>
    <m/>
    <m/>
    <x v="803"/>
    <m/>
    <x v="623"/>
    <m/>
    <m/>
    <m/>
    <s v="CERRADO"/>
    <n v="204825"/>
    <x v="4"/>
    <x v="4"/>
    <x v="16"/>
    <d v="2019-12-15T00:00:00"/>
    <n v="90"/>
    <s v="días BL"/>
    <s v="2010100170"/>
    <m/>
    <d v="2020-04-27T00:00:00"/>
    <s v="CANCELADO"/>
    <s v="CIF"/>
    <m/>
    <x v="358"/>
    <n v="1130.0999999999999"/>
    <m/>
    <x v="707"/>
    <x v="11"/>
    <s v="Contenedor 40'"/>
    <m/>
    <s v="Bigbag"/>
    <m/>
    <m/>
    <s v="ENERO '20"/>
    <x v="0"/>
    <m/>
    <m/>
    <m/>
    <x v="417"/>
    <m/>
    <m/>
    <x v="399"/>
    <n v="2"/>
    <n v="2020"/>
    <x v="0"/>
    <x v="0"/>
    <s v="CHARLESTON/USA"/>
    <x v="2"/>
    <m/>
    <x v="1"/>
    <x v="564"/>
    <d v="2020-01-27T00:00:00"/>
    <s v="SPIRIT OF AUCKLAND"/>
    <x v="42"/>
    <x v="2"/>
    <m/>
    <m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804"/>
    <m/>
    <x v="624"/>
    <m/>
    <m/>
    <m/>
    <s v="CERRADO"/>
    <n v="206966"/>
    <x v="16"/>
    <x v="47"/>
    <x v="355"/>
    <d v="2020-01-15T00:00:00"/>
    <n v="90"/>
    <s v="días BL"/>
    <s v="220.061"/>
    <m/>
    <d v="2020-07-05T00:00:00"/>
    <s v="CANCELADO"/>
    <s v="CFR"/>
    <m/>
    <x v="359"/>
    <n v="614"/>
    <m/>
    <x v="708"/>
    <x v="33"/>
    <s v="Contenedor 40'"/>
    <m/>
    <s v="25 kg"/>
    <m/>
    <m/>
    <s v="FEBRERO '20"/>
    <x v="0"/>
    <m/>
    <m/>
    <m/>
    <x v="418"/>
    <m/>
    <m/>
    <x v="411"/>
    <n v="5"/>
    <n v="2020"/>
    <x v="0"/>
    <x v="0"/>
    <s v="XINGANG / CHINA"/>
    <x v="0"/>
    <m/>
    <x v="2"/>
    <x v="565"/>
    <d v="2020-04-06T00:00:00"/>
    <s v="WIKING"/>
    <x v="149"/>
    <x v="16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1"/>
    <m/>
    <m/>
    <x v="805"/>
    <m/>
    <x v="34"/>
    <m/>
    <m/>
    <m/>
    <m/>
    <m/>
    <x v="16"/>
    <x v="48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0"/>
    <s v="S-S"/>
    <x v="0"/>
    <x v="0"/>
    <m/>
    <m/>
    <x v="806"/>
    <m/>
    <x v="625"/>
    <m/>
    <m/>
    <m/>
    <s v="CERRADO"/>
    <n v="206914"/>
    <x v="12"/>
    <x v="19"/>
    <x v="356"/>
    <d v="2020-01-21T00:00:00"/>
    <n v="90"/>
    <s v="días BL"/>
    <s v="SG-MSL-12329-17"/>
    <m/>
    <d v="2020-06-11T00:00:00"/>
    <s v="CANCELADO"/>
    <s v="CFR"/>
    <m/>
    <x v="89"/>
    <n v="114"/>
    <m/>
    <x v="709"/>
    <x v="41"/>
    <s v="Granel - BB"/>
    <m/>
    <s v="25 kg"/>
    <m/>
    <m/>
    <s v="FEBRERO '20"/>
    <x v="0"/>
    <m/>
    <m/>
    <m/>
    <x v="419"/>
    <m/>
    <m/>
    <x v="412"/>
    <n v="5"/>
    <n v="2020"/>
    <x v="0"/>
    <x v="0"/>
    <s v="BAYUQUAN / CHINA"/>
    <x v="2"/>
    <m/>
    <x v="1"/>
    <x v="566"/>
    <d v="2020-03-13T00:00:00"/>
    <s v="MV BANGLAR ARJAN "/>
    <x v="221"/>
    <x v="0"/>
    <m/>
    <s v="NO APLICA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807"/>
    <m/>
    <x v="626"/>
    <m/>
    <m/>
    <m/>
    <s v="CERRADO"/>
    <n v="206914"/>
    <x v="12"/>
    <x v="19"/>
    <x v="357"/>
    <d v="2020-01-21T00:00:00"/>
    <n v="90"/>
    <s v="días BL"/>
    <s v="SG-MSL-12329-16A"/>
    <m/>
    <d v="2020-06-12T00:00:00"/>
    <s v="CANCELADO"/>
    <s v="CFR"/>
    <m/>
    <x v="323"/>
    <n v="129"/>
    <m/>
    <x v="710"/>
    <x v="15"/>
    <s v="Contenedor 40'"/>
    <m/>
    <s v="25 kg"/>
    <m/>
    <m/>
    <s v="FEBRERO '20"/>
    <x v="0"/>
    <m/>
    <m/>
    <m/>
    <x v="420"/>
    <m/>
    <m/>
    <x v="413"/>
    <n v="4"/>
    <n v="2020"/>
    <x v="0"/>
    <x v="0"/>
    <s v="DALIAN / CHINA"/>
    <x v="0"/>
    <m/>
    <x v="1"/>
    <x v="567"/>
    <d v="2020-03-14T00:00:00"/>
    <s v="MAERSK HONG KONG"/>
    <x v="222"/>
    <x v="6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808"/>
    <m/>
    <x v="627"/>
    <m/>
    <m/>
    <m/>
    <s v="CERRADO"/>
    <n v="206914"/>
    <x v="12"/>
    <x v="19"/>
    <x v="357"/>
    <d v="2020-01-21T00:00:00"/>
    <n v="90"/>
    <s v="días BL"/>
    <s v="SG-MSL-12329-16B"/>
    <m/>
    <d v="2020-06-20T00:00:00"/>
    <s v="CANCELADO"/>
    <s v="CFR"/>
    <m/>
    <x v="323"/>
    <n v="129"/>
    <m/>
    <x v="710"/>
    <x v="15"/>
    <s v="Contenedor 40'"/>
    <m/>
    <s v="25 kg"/>
    <m/>
    <m/>
    <s v="FEBRERO '20"/>
    <x v="0"/>
    <m/>
    <m/>
    <m/>
    <x v="420"/>
    <m/>
    <m/>
    <x v="413"/>
    <n v="4"/>
    <n v="2020"/>
    <x v="0"/>
    <x v="0"/>
    <s v="QINGDAO / CHINA"/>
    <x v="0"/>
    <m/>
    <x v="2"/>
    <x v="568"/>
    <d v="2020-03-22T00:00:00"/>
    <s v="SUSAN MAERSK"/>
    <x v="222"/>
    <x v="6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E-S"/>
    <x v="0"/>
    <x v="0"/>
    <m/>
    <m/>
    <x v="809"/>
    <m/>
    <x v="628"/>
    <m/>
    <m/>
    <m/>
    <s v="CERRADO"/>
    <n v="209981"/>
    <x v="30"/>
    <x v="49"/>
    <x v="72"/>
    <d v="2020-01-20T00:00:00"/>
    <n v="90"/>
    <s v="días BL"/>
    <s v="DEX 0031/03/2020"/>
    <m/>
    <d v="2020-06-18T00:00:00"/>
    <s v="CANCELADO"/>
    <s v="CIF"/>
    <m/>
    <x v="360"/>
    <n v="4530"/>
    <m/>
    <x v="711"/>
    <x v="11"/>
    <s v="Contenedor 20'"/>
    <m/>
    <s v="1 kg"/>
    <m/>
    <m/>
    <s v="FEBRERO '20"/>
    <x v="0"/>
    <m/>
    <m/>
    <m/>
    <x v="421"/>
    <m/>
    <m/>
    <x v="414"/>
    <n v="5"/>
    <n v="2020"/>
    <x v="0"/>
    <x v="0"/>
    <s v="GDYNIA / POLONIA"/>
    <x v="2"/>
    <m/>
    <x v="1"/>
    <x v="569"/>
    <d v="2020-03-20T00:00:00"/>
    <s v="HERCULES J "/>
    <x v="223"/>
    <x v="32"/>
    <m/>
    <s v="NO APLICA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P"/>
    <x v="0"/>
    <x v="0"/>
    <m/>
    <m/>
    <x v="810"/>
    <m/>
    <x v="629"/>
    <m/>
    <m/>
    <m/>
    <s v="CERRADO"/>
    <n v="206766"/>
    <x v="10"/>
    <x v="37"/>
    <x v="358"/>
    <d v="2020-01-21T00:00:00"/>
    <n v="90"/>
    <s v="días BL"/>
    <s v="29872"/>
    <m/>
    <d v="2020-05-20T00:00:00"/>
    <s v="CANCELADO"/>
    <s v="CFR"/>
    <m/>
    <x v="361"/>
    <n v="890"/>
    <m/>
    <x v="712"/>
    <x v="38"/>
    <s v="Contenedor 20'"/>
    <m/>
    <s v="Bidones 50kg"/>
    <m/>
    <m/>
    <s v="FEBRERO '20"/>
    <x v="0"/>
    <m/>
    <m/>
    <m/>
    <x v="374"/>
    <m/>
    <m/>
    <x v="415"/>
    <n v="3"/>
    <n v="2020"/>
    <x v="0"/>
    <x v="0"/>
    <s v="VERACRUZ / MEXICO"/>
    <x v="2"/>
    <m/>
    <x v="3"/>
    <x v="570"/>
    <d v="2020-02-20T00:00:00"/>
    <s v="E.R CANADA "/>
    <x v="155"/>
    <x v="2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P"/>
    <x v="0"/>
    <x v="0"/>
    <m/>
    <m/>
    <x v="811"/>
    <m/>
    <x v="630"/>
    <m/>
    <m/>
    <m/>
    <s v="CERRADO"/>
    <n v="206766"/>
    <x v="10"/>
    <x v="37"/>
    <x v="358"/>
    <d v="2020-01-21T00:00:00"/>
    <n v="90"/>
    <s v="días BL"/>
    <s v="29872"/>
    <m/>
    <d v="2020-05-20T00:00:00"/>
    <s v="CANCELADO"/>
    <s v="CFR"/>
    <m/>
    <x v="26"/>
    <n v="890"/>
    <m/>
    <x v="713"/>
    <x v="11"/>
    <s v="Contenedor 20'"/>
    <m/>
    <s v="Bidones 50kg"/>
    <m/>
    <m/>
    <s v="FEBRERO '20"/>
    <x v="0"/>
    <m/>
    <m/>
    <m/>
    <x v="422"/>
    <m/>
    <m/>
    <x v="416"/>
    <n v="3"/>
    <n v="2020"/>
    <x v="0"/>
    <x v="0"/>
    <s v="VERACRUZ / MEXICO"/>
    <x v="2"/>
    <m/>
    <x v="2"/>
    <x v="571"/>
    <d v="2020-02-20T00:00:00"/>
    <s v="E.R CANADA "/>
    <x v="32"/>
    <x v="2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P"/>
    <x v="0"/>
    <x v="0"/>
    <m/>
    <m/>
    <x v="812"/>
    <m/>
    <x v="631"/>
    <m/>
    <m/>
    <m/>
    <s v="CERRADO"/>
    <n v="206766"/>
    <x v="10"/>
    <x v="37"/>
    <x v="359"/>
    <d v="2020-01-21T00:00:00"/>
    <n v="90"/>
    <s v="días BL"/>
    <s v="29970"/>
    <m/>
    <d v="2020-06-03T00:00:00"/>
    <s v="CANCELADO"/>
    <s v="CFR"/>
    <m/>
    <x v="4"/>
    <n v="900"/>
    <m/>
    <x v="714"/>
    <x v="24"/>
    <s v="Contenedor 20'"/>
    <m/>
    <s v="Bidones 50kg"/>
    <m/>
    <m/>
    <s v="FEBRERO '20"/>
    <x v="0"/>
    <m/>
    <m/>
    <m/>
    <x v="423"/>
    <m/>
    <m/>
    <x v="417"/>
    <n v="4"/>
    <n v="2020"/>
    <x v="0"/>
    <x v="0"/>
    <s v="VERACRUZ / MEXICO"/>
    <x v="0"/>
    <m/>
    <x v="3"/>
    <x v="572"/>
    <d v="2020-03-05T00:00:00"/>
    <s v="SAFMARINE BENGUELA "/>
    <x v="222"/>
    <x v="6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P"/>
    <x v="0"/>
    <x v="0"/>
    <m/>
    <m/>
    <x v="813"/>
    <m/>
    <x v="632"/>
    <m/>
    <m/>
    <m/>
    <s v="CERRADO"/>
    <n v="206766"/>
    <x v="10"/>
    <x v="37"/>
    <x v="360"/>
    <d v="2020-01-21T00:00:00"/>
    <n v="90"/>
    <s v="días BL"/>
    <s v="29802"/>
    <m/>
    <d v="2020-05-07T00:00:00"/>
    <s v="CANCELADO"/>
    <s v="CFR"/>
    <m/>
    <x v="5"/>
    <n v="914"/>
    <m/>
    <x v="715"/>
    <x v="4"/>
    <s v="Contenedor 20'"/>
    <m/>
    <s v="Bidones 50kg"/>
    <m/>
    <m/>
    <s v="FEBRERO '20"/>
    <x v="0"/>
    <m/>
    <m/>
    <m/>
    <x v="424"/>
    <m/>
    <m/>
    <x v="418"/>
    <n v="3"/>
    <n v="2020"/>
    <x v="0"/>
    <x v="0"/>
    <s v="VERACRUZ / MEXICO"/>
    <x v="4"/>
    <m/>
    <x v="2"/>
    <x v="573"/>
    <d v="2020-02-07T00:00:00"/>
    <s v="MSC BARCELONA"/>
    <x v="129"/>
    <x v="2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1"/>
    <m/>
    <m/>
    <x v="814"/>
    <m/>
    <x v="34"/>
    <m/>
    <m/>
    <m/>
    <m/>
    <m/>
    <x v="16"/>
    <x v="27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0"/>
    <s v="S-C"/>
    <x v="0"/>
    <x v="0"/>
    <m/>
    <m/>
    <x v="815"/>
    <m/>
    <x v="633"/>
    <m/>
    <m/>
    <m/>
    <s v="CERRADO"/>
    <n v="207580"/>
    <x v="32"/>
    <x v="50"/>
    <x v="8"/>
    <d v="2020-01-25T00:00:00"/>
    <n v="90"/>
    <s v="días BL"/>
    <s v="391"/>
    <m/>
    <d v="2020-05-28T00:00:00"/>
    <s v="CANCELADO"/>
    <s v="CFR"/>
    <m/>
    <x v="140"/>
    <n v="707"/>
    <m/>
    <x v="716"/>
    <x v="22"/>
    <s v="Contenedor 20'"/>
    <m/>
    <s v="25 kg"/>
    <m/>
    <m/>
    <s v="FEBRERO '20"/>
    <x v="0"/>
    <m/>
    <m/>
    <m/>
    <x v="425"/>
    <m/>
    <m/>
    <x v="419"/>
    <n v="3"/>
    <n v="2020"/>
    <x v="0"/>
    <x v="0"/>
    <s v="IQUIQUE / CHILE"/>
    <x v="2"/>
    <m/>
    <x v="2"/>
    <x v="574"/>
    <d v="2020-02-28T00:00:00"/>
    <s v="MSC NORA"/>
    <x v="224"/>
    <x v="4"/>
    <m/>
    <s v="REALIZADO"/>
    <m/>
    <m/>
    <m/>
    <m/>
    <x v="0"/>
    <d v="2020-03-16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C"/>
    <x v="0"/>
    <x v="0"/>
    <m/>
    <m/>
    <x v="816"/>
    <m/>
    <x v="634"/>
    <m/>
    <m/>
    <m/>
    <s v="CERRADO"/>
    <n v="207580"/>
    <x v="32"/>
    <x v="50"/>
    <x v="8"/>
    <d v="2020-01-25T00:00:00"/>
    <n v="90"/>
    <s v="días BL"/>
    <s v="413"/>
    <m/>
    <d v="2020-05-28T00:00:00"/>
    <s v="CANCELADO"/>
    <s v="CFR"/>
    <m/>
    <x v="222"/>
    <n v="715"/>
    <m/>
    <x v="717"/>
    <x v="10"/>
    <s v="Contenedor 20'"/>
    <m/>
    <s v="25 kg"/>
    <m/>
    <m/>
    <s v="FEBRERO '20"/>
    <x v="0"/>
    <m/>
    <m/>
    <m/>
    <x v="424"/>
    <m/>
    <m/>
    <x v="420"/>
    <n v="3"/>
    <n v="2020"/>
    <x v="0"/>
    <x v="0"/>
    <s v="IQUIQUE / CHILE"/>
    <x v="0"/>
    <m/>
    <x v="1"/>
    <x v="575"/>
    <d v="2020-02-28T00:00:00"/>
    <s v="POLYNESIA"/>
    <x v="173"/>
    <x v="2"/>
    <m/>
    <s v="REALIZADO"/>
    <m/>
    <m/>
    <m/>
    <m/>
    <x v="0"/>
    <d v="2020-04-02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C"/>
    <x v="0"/>
    <x v="0"/>
    <m/>
    <m/>
    <x v="817"/>
    <m/>
    <x v="635"/>
    <m/>
    <m/>
    <m/>
    <s v="CERRADO"/>
    <n v="207580"/>
    <x v="32"/>
    <x v="50"/>
    <x v="8"/>
    <d v="2020-01-25T00:00:00"/>
    <n v="90"/>
    <s v="días BL"/>
    <s v="441"/>
    <m/>
    <d v="2020-06-25T00:00:00"/>
    <s v="CANCELADO"/>
    <s v="CFR"/>
    <m/>
    <x v="140"/>
    <n v="707"/>
    <m/>
    <x v="716"/>
    <x v="22"/>
    <s v="Contenedor 20'"/>
    <m/>
    <s v="25 kg"/>
    <m/>
    <m/>
    <s v="MARZO '20"/>
    <x v="0"/>
    <m/>
    <m/>
    <m/>
    <x v="426"/>
    <m/>
    <m/>
    <x v="421"/>
    <n v="4"/>
    <n v="2020"/>
    <x v="0"/>
    <x v="0"/>
    <s v="ANGAMOS / CHILE"/>
    <x v="2"/>
    <m/>
    <x v="1"/>
    <x v="576"/>
    <d v="2020-03-24T00:00:00"/>
    <s v="CMA CGM JEAN GABRIEL"/>
    <x v="155"/>
    <x v="2"/>
    <m/>
    <s v="REALIZADO"/>
    <m/>
    <m/>
    <m/>
    <m/>
    <x v="0"/>
    <d v="2020-04-14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C"/>
    <x v="0"/>
    <x v="0"/>
    <m/>
    <m/>
    <x v="818"/>
    <m/>
    <x v="636"/>
    <m/>
    <m/>
    <m/>
    <s v="CERRADO"/>
    <n v="207580"/>
    <x v="32"/>
    <x v="50"/>
    <x v="8"/>
    <d v="2020-01-25T00:00:00"/>
    <n v="90"/>
    <s v="días BL"/>
    <s v="447"/>
    <m/>
    <d v="2020-07-03T00:00:00"/>
    <s v="CANCELADO"/>
    <s v="CFR"/>
    <m/>
    <x v="222"/>
    <n v="715"/>
    <m/>
    <x v="717"/>
    <x v="10"/>
    <s v="Contenedor 20'"/>
    <m/>
    <s v="25 kg"/>
    <m/>
    <m/>
    <s v="MARZO '20"/>
    <x v="0"/>
    <m/>
    <m/>
    <m/>
    <x v="427"/>
    <m/>
    <m/>
    <x v="422"/>
    <n v="4"/>
    <n v="2020"/>
    <x v="0"/>
    <x v="0"/>
    <s v="IQUIQUE / CHILE"/>
    <x v="0"/>
    <m/>
    <x v="1"/>
    <x v="577"/>
    <d v="2020-04-03T00:00:00"/>
    <s v="POLYNESIA"/>
    <x v="217"/>
    <x v="2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C"/>
    <x v="0"/>
    <x v="0"/>
    <m/>
    <m/>
    <x v="819"/>
    <m/>
    <x v="637"/>
    <m/>
    <m/>
    <m/>
    <s v="CERRADO"/>
    <n v="207580"/>
    <x v="32"/>
    <x v="51"/>
    <x v="361"/>
    <d v="2020-01-30T00:00:00"/>
    <n v="90"/>
    <s v="días BL"/>
    <s v="5000041"/>
    <m/>
    <d v="2020-06-11T00:00:00"/>
    <s v="CANCELADO"/>
    <s v="CPT"/>
    <m/>
    <x v="43"/>
    <n v="719"/>
    <m/>
    <x v="718"/>
    <x v="26"/>
    <s v="Contenedor 20'"/>
    <m/>
    <s v="25 kg"/>
    <m/>
    <m/>
    <s v="MARZO '20"/>
    <x v="0"/>
    <m/>
    <m/>
    <m/>
    <x v="428"/>
    <m/>
    <m/>
    <x v="423"/>
    <n v="4"/>
    <n v="2020"/>
    <x v="0"/>
    <x v="0"/>
    <s v="QINGDAO / CHINA"/>
    <x v="2"/>
    <m/>
    <x v="1"/>
    <x v="578"/>
    <d v="2020-03-13T00:00:00"/>
    <s v="MEHUIN"/>
    <x v="225"/>
    <x v="2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C"/>
    <x v="0"/>
    <x v="0"/>
    <m/>
    <m/>
    <x v="820"/>
    <m/>
    <x v="638"/>
    <m/>
    <m/>
    <m/>
    <s v="CERRADO"/>
    <n v="206573"/>
    <x v="5"/>
    <x v="41"/>
    <x v="331"/>
    <d v="2020-02-12T00:00:00"/>
    <n v="150"/>
    <s v="días BL"/>
    <s v="B7FE-20-3003-ANPE-01"/>
    <m/>
    <d v="2020-07-31T00:00:00"/>
    <s v="CANCELADO"/>
    <s v="CFR"/>
    <m/>
    <x v="362"/>
    <n v="262.8"/>
    <m/>
    <x v="719"/>
    <x v="17"/>
    <s v="Granel"/>
    <m/>
    <s v="Granel Sólido"/>
    <m/>
    <m/>
    <s v="FEB - MAR '20"/>
    <x v="0"/>
    <m/>
    <m/>
    <m/>
    <x v="429"/>
    <m/>
    <m/>
    <x v="424"/>
    <n v="4"/>
    <n v="2020"/>
    <x v="0"/>
    <x v="0"/>
    <s v="RIGA / LETONIA"/>
    <x v="0"/>
    <m/>
    <x v="1"/>
    <x v="45"/>
    <d v="2020-03-03T00:00:00"/>
    <s v="MV FEDERAL SKEENA"/>
    <x v="226"/>
    <x v="0"/>
    <m/>
    <s v="NO APLICA"/>
    <m/>
    <m/>
    <m/>
    <m/>
    <x v="0"/>
    <n v="31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C"/>
    <x v="0"/>
    <x v="0"/>
    <m/>
    <m/>
    <x v="821"/>
    <m/>
    <x v="639"/>
    <m/>
    <m/>
    <m/>
    <s v="CERRADO"/>
    <n v="206573"/>
    <x v="5"/>
    <x v="41"/>
    <x v="331"/>
    <d v="2020-02-12T00:00:00"/>
    <n v="150"/>
    <s v="días BL"/>
    <s v="B7FE-20-3003-ANPE-02"/>
    <m/>
    <d v="2020-07-31T00:00:00"/>
    <s v="CANCELADO"/>
    <s v="CFR"/>
    <m/>
    <x v="221"/>
    <n v="262.8"/>
    <m/>
    <x v="720"/>
    <x v="17"/>
    <s v="Granel"/>
    <m/>
    <s v="Granel Sólido"/>
    <m/>
    <m/>
    <s v="FEB - MAR '20"/>
    <x v="0"/>
    <m/>
    <m/>
    <m/>
    <x v="430"/>
    <m/>
    <m/>
    <x v="425"/>
    <n v="4"/>
    <n v="2020"/>
    <x v="0"/>
    <x v="0"/>
    <s v="RIGA / LETONIA"/>
    <x v="1"/>
    <m/>
    <x v="1"/>
    <x v="1"/>
    <d v="2020-03-03T00:00:00"/>
    <s v="MV FEDERAL SKEENA"/>
    <x v="226"/>
    <x v="0"/>
    <m/>
    <s v="NO APLICA"/>
    <m/>
    <m/>
    <m/>
    <m/>
    <x v="0"/>
    <n v="33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C"/>
    <x v="0"/>
    <x v="0"/>
    <m/>
    <m/>
    <x v="822"/>
    <m/>
    <x v="640"/>
    <m/>
    <m/>
    <m/>
    <s v="CERRADO"/>
    <n v="206573"/>
    <x v="5"/>
    <x v="41"/>
    <x v="331"/>
    <d v="2020-02-12T00:00:00"/>
    <n v="150"/>
    <s v="días BL"/>
    <s v="B7FE-20-3003-ANPE-03"/>
    <m/>
    <d v="2020-07-31T00:00:00"/>
    <s v="CANCELADO"/>
    <s v="CFR"/>
    <m/>
    <x v="363"/>
    <n v="262.8"/>
    <m/>
    <x v="721"/>
    <x v="17"/>
    <s v="Granel"/>
    <m/>
    <s v="Granel Sólido"/>
    <m/>
    <m/>
    <s v="FEB - MAR '20"/>
    <x v="0"/>
    <m/>
    <m/>
    <m/>
    <x v="431"/>
    <m/>
    <m/>
    <x v="426"/>
    <n v="4"/>
    <n v="2020"/>
    <x v="0"/>
    <x v="0"/>
    <s v="RIGA / LETONIA"/>
    <x v="2"/>
    <m/>
    <x v="1"/>
    <x v="2"/>
    <d v="2020-03-03T00:00:00"/>
    <s v="MV FEDERAL SKEENA"/>
    <x v="226"/>
    <x v="0"/>
    <m/>
    <s v="NO APLICA"/>
    <m/>
    <m/>
    <m/>
    <m/>
    <x v="0"/>
    <n v="38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C"/>
    <x v="0"/>
    <x v="0"/>
    <m/>
    <m/>
    <x v="823"/>
    <m/>
    <x v="641"/>
    <m/>
    <m/>
    <m/>
    <s v="CERRADO"/>
    <n v="206573"/>
    <x v="5"/>
    <x v="41"/>
    <x v="331"/>
    <d v="2020-02-12T00:00:00"/>
    <n v="150"/>
    <s v="días BL"/>
    <s v="B7FE-20-3003-ANPE-04"/>
    <m/>
    <d v="2020-07-31T00:00:00"/>
    <s v="CANCELADO"/>
    <s v="CFR"/>
    <m/>
    <x v="70"/>
    <n v="262.8"/>
    <m/>
    <x v="169"/>
    <x v="17"/>
    <s v="Granel"/>
    <m/>
    <s v="Granel Sólido"/>
    <m/>
    <m/>
    <s v="FEB - MAR '20"/>
    <x v="0"/>
    <m/>
    <m/>
    <m/>
    <x v="431"/>
    <m/>
    <m/>
    <x v="426"/>
    <n v="4"/>
    <n v="2020"/>
    <x v="0"/>
    <x v="0"/>
    <s v="RIGA / LETONIA"/>
    <x v="2"/>
    <m/>
    <x v="1"/>
    <x v="11"/>
    <d v="2020-03-03T00:00:00"/>
    <s v="MV FEDERAL SKEENA"/>
    <x v="226"/>
    <x v="0"/>
    <m/>
    <s v="NO APLICA"/>
    <m/>
    <m/>
    <m/>
    <m/>
    <x v="0"/>
    <n v="38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C"/>
    <x v="0"/>
    <x v="0"/>
    <m/>
    <m/>
    <x v="824"/>
    <m/>
    <x v="642"/>
    <m/>
    <m/>
    <m/>
    <s v="CERRADO"/>
    <n v="206573"/>
    <x v="5"/>
    <x v="41"/>
    <x v="331"/>
    <d v="2020-02-12T00:00:00"/>
    <n v="150"/>
    <s v="días BL"/>
    <s v="B7FE-20-3003-ANPE-05"/>
    <m/>
    <d v="2020-07-31T00:00:00"/>
    <s v="CANCELADO"/>
    <s v="CFR"/>
    <m/>
    <x v="364"/>
    <n v="262.8"/>
    <m/>
    <x v="722"/>
    <x v="17"/>
    <s v="Granel"/>
    <m/>
    <s v="Granel Sólido"/>
    <m/>
    <m/>
    <s v="FEB - MAR '20"/>
    <x v="0"/>
    <m/>
    <m/>
    <m/>
    <x v="428"/>
    <m/>
    <m/>
    <x v="427"/>
    <n v="4"/>
    <n v="2020"/>
    <x v="0"/>
    <x v="0"/>
    <s v="RIGA / LETONIA"/>
    <x v="4"/>
    <m/>
    <x v="4"/>
    <x v="12"/>
    <d v="2020-03-03T00:00:00"/>
    <s v="MV FEDERAL SKEENA"/>
    <x v="226"/>
    <x v="0"/>
    <m/>
    <s v="NO APLICA"/>
    <m/>
    <m/>
    <m/>
    <m/>
    <x v="0"/>
    <n v="44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825"/>
    <m/>
    <x v="643"/>
    <m/>
    <m/>
    <m/>
    <s v="CERRADO"/>
    <n v="207951"/>
    <x v="6"/>
    <x v="41"/>
    <x v="331"/>
    <d v="2020-02-12T00:00:00"/>
    <n v="150"/>
    <s v="días BL"/>
    <s v="B7FE-20-3004-URPE-01"/>
    <m/>
    <d v="2020-07-31T00:00:00"/>
    <s v="CANCELADO"/>
    <s v="CFR"/>
    <m/>
    <x v="35"/>
    <n v="259.2"/>
    <m/>
    <x v="723"/>
    <x v="17"/>
    <s v="Granel"/>
    <m/>
    <s v="Granel Sólido"/>
    <m/>
    <m/>
    <s v="FEB - MAR '20"/>
    <x v="0"/>
    <m/>
    <m/>
    <m/>
    <x v="429"/>
    <m/>
    <m/>
    <x v="424"/>
    <n v="4"/>
    <n v="2020"/>
    <x v="0"/>
    <x v="0"/>
    <s v="RIGA / LETONIA"/>
    <x v="0"/>
    <m/>
    <x v="1"/>
    <x v="13"/>
    <d v="2020-03-03T00:00:00"/>
    <s v="MV FEDERAL SKEENA"/>
    <x v="226"/>
    <x v="0"/>
    <m/>
    <s v="NO APLICA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826"/>
    <m/>
    <x v="644"/>
    <m/>
    <m/>
    <m/>
    <s v="CERRADO"/>
    <n v="207951"/>
    <x v="6"/>
    <x v="41"/>
    <x v="331"/>
    <d v="2020-02-12T00:00:00"/>
    <n v="150"/>
    <s v="días BL"/>
    <s v="B7FE-20-3004-URPE-02"/>
    <m/>
    <d v="2020-07-31T00:00:00"/>
    <s v="CANCELADO"/>
    <s v="CFR"/>
    <m/>
    <x v="35"/>
    <n v="259.2"/>
    <m/>
    <x v="723"/>
    <x v="17"/>
    <s v="Granel"/>
    <m/>
    <s v="Granel Sólido"/>
    <m/>
    <m/>
    <s v="FEB - MAR '20"/>
    <x v="0"/>
    <m/>
    <m/>
    <m/>
    <x v="430"/>
    <m/>
    <m/>
    <x v="425"/>
    <n v="4"/>
    <n v="2020"/>
    <x v="0"/>
    <x v="0"/>
    <s v="RIGA / LETONIA"/>
    <x v="1"/>
    <m/>
    <x v="1"/>
    <x v="14"/>
    <d v="2020-03-03T00:00:00"/>
    <s v="MV FEDERAL SKEENA"/>
    <x v="226"/>
    <x v="0"/>
    <m/>
    <s v="NO APLICA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827"/>
    <m/>
    <x v="645"/>
    <m/>
    <m/>
    <m/>
    <s v="CERRADO"/>
    <n v="207951"/>
    <x v="6"/>
    <x v="41"/>
    <x v="331"/>
    <d v="2020-02-12T00:00:00"/>
    <n v="150"/>
    <s v="días BL"/>
    <s v="B7FE-20-3004-URPE-03"/>
    <m/>
    <d v="2020-07-31T00:00:00"/>
    <s v="CANCELADO"/>
    <s v="CFR"/>
    <m/>
    <x v="4"/>
    <n v="259.2"/>
    <m/>
    <x v="724"/>
    <x v="17"/>
    <s v="Granel"/>
    <m/>
    <s v="Granel Sólido"/>
    <m/>
    <m/>
    <s v="FEB - MAR '20"/>
    <x v="0"/>
    <m/>
    <m/>
    <m/>
    <x v="432"/>
    <m/>
    <m/>
    <x v="426"/>
    <n v="4"/>
    <n v="2020"/>
    <x v="0"/>
    <x v="0"/>
    <s v="RIGA / LETONIA"/>
    <x v="2"/>
    <m/>
    <x v="1"/>
    <x v="131"/>
    <d v="2020-03-03T00:00:00"/>
    <s v="MV FEDERAL SKEENA"/>
    <x v="226"/>
    <x v="0"/>
    <m/>
    <s v="NO APLICA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828"/>
    <m/>
    <x v="646"/>
    <m/>
    <m/>
    <m/>
    <s v="CERRADO"/>
    <n v="207951"/>
    <x v="6"/>
    <x v="41"/>
    <x v="331"/>
    <d v="2020-02-12T00:00:00"/>
    <n v="150"/>
    <s v="días BL"/>
    <s v="B7FE-20-3004-URPE-04"/>
    <m/>
    <d v="2020-07-31T00:00:00"/>
    <s v="CANCELADO"/>
    <s v="CFR"/>
    <m/>
    <x v="365"/>
    <n v="259.2"/>
    <m/>
    <x v="725"/>
    <x v="17"/>
    <s v="Granel"/>
    <m/>
    <s v="Granel Sólido"/>
    <m/>
    <m/>
    <s v="FEB - MAR '20"/>
    <x v="0"/>
    <m/>
    <m/>
    <m/>
    <x v="428"/>
    <m/>
    <m/>
    <x v="427"/>
    <n v="4"/>
    <n v="2020"/>
    <x v="0"/>
    <x v="0"/>
    <s v="RIGA / LETONIA"/>
    <x v="4"/>
    <m/>
    <x v="4"/>
    <x v="132"/>
    <d v="2020-03-03T00:00:00"/>
    <s v="MV FEDERAL SKEENA"/>
    <x v="226"/>
    <x v="0"/>
    <m/>
    <s v="NO APLICA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C"/>
    <x v="0"/>
    <x v="1"/>
    <m/>
    <m/>
    <x v="829"/>
    <m/>
    <x v="34"/>
    <m/>
    <m/>
    <m/>
    <m/>
    <m/>
    <x v="5"/>
    <x v="52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0"/>
    <s v="G-C"/>
    <x v="0"/>
    <x v="1"/>
    <m/>
    <m/>
    <x v="830"/>
    <m/>
    <x v="34"/>
    <m/>
    <m/>
    <m/>
    <m/>
    <m/>
    <x v="5"/>
    <x v="52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0"/>
    <s v="G-C"/>
    <x v="0"/>
    <x v="1"/>
    <m/>
    <m/>
    <x v="831"/>
    <m/>
    <x v="34"/>
    <m/>
    <m/>
    <m/>
    <m/>
    <m/>
    <x v="5"/>
    <x v="52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0"/>
    <s v="G-C"/>
    <x v="0"/>
    <x v="1"/>
    <m/>
    <m/>
    <x v="832"/>
    <m/>
    <x v="34"/>
    <m/>
    <m/>
    <m/>
    <m/>
    <m/>
    <x v="5"/>
    <x v="52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0"/>
    <s v="G-S"/>
    <x v="0"/>
    <x v="0"/>
    <m/>
    <m/>
    <x v="833"/>
    <m/>
    <x v="647"/>
    <m/>
    <m/>
    <m/>
    <s v="CERRADO"/>
    <n v="207951"/>
    <x v="6"/>
    <x v="37"/>
    <x v="362"/>
    <d v="2020-01-24T00:00:00"/>
    <s v="CAD"/>
    <m/>
    <s v="I-30300(30300-C)"/>
    <m/>
    <s v="-"/>
    <s v="CANCELADO"/>
    <s v="CFR"/>
    <m/>
    <x v="94"/>
    <n v="260"/>
    <n v="52.5"/>
    <x v="726"/>
    <x v="17"/>
    <s v="Granel"/>
    <m/>
    <s v="Granel Sólido"/>
    <m/>
    <m/>
    <s v="FEBRERO '20"/>
    <x v="0"/>
    <m/>
    <m/>
    <m/>
    <x v="427"/>
    <m/>
    <m/>
    <x v="422"/>
    <n v="4"/>
    <n v="2020"/>
    <x v="0"/>
    <x v="0"/>
    <s v="KOTKA / FINLANDIA"/>
    <x v="0"/>
    <m/>
    <x v="1"/>
    <x v="50"/>
    <d v="2020-03-13T00:00:00"/>
    <s v="MV WOODY"/>
    <x v="227"/>
    <x v="0"/>
    <m/>
    <s v="NO APLICA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834"/>
    <m/>
    <x v="648"/>
    <m/>
    <m/>
    <m/>
    <s v="CERRADO"/>
    <n v="207951"/>
    <x v="6"/>
    <x v="37"/>
    <x v="362"/>
    <d v="2020-01-24T00:00:00"/>
    <s v="CAD"/>
    <m/>
    <s v="I-30301(30301-C)"/>
    <m/>
    <s v="-"/>
    <s v="CANCELADO"/>
    <s v="CFR"/>
    <m/>
    <x v="362"/>
    <n v="260"/>
    <n v="52.5"/>
    <x v="727"/>
    <x v="17"/>
    <s v="Granel"/>
    <m/>
    <s v="Granel Sólido"/>
    <m/>
    <m/>
    <s v="FEBRERO '20"/>
    <x v="0"/>
    <m/>
    <m/>
    <m/>
    <x v="433"/>
    <m/>
    <m/>
    <x v="428"/>
    <n v="4"/>
    <n v="2020"/>
    <x v="0"/>
    <x v="0"/>
    <s v="KOTKA / FINLANDIA"/>
    <x v="1"/>
    <m/>
    <x v="1"/>
    <x v="17"/>
    <d v="2020-03-13T00:00:00"/>
    <s v="MV WOODY"/>
    <x v="227"/>
    <x v="0"/>
    <m/>
    <s v="NO APLICA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835"/>
    <m/>
    <x v="649"/>
    <m/>
    <m/>
    <m/>
    <s v="CERRADO"/>
    <n v="207951"/>
    <x v="6"/>
    <x v="37"/>
    <x v="362"/>
    <d v="2020-01-24T00:00:00"/>
    <s v="CAD"/>
    <m/>
    <s v="I-30302(30302-C)"/>
    <m/>
    <s v="-"/>
    <s v="CANCELADO"/>
    <s v="CFR"/>
    <m/>
    <x v="18"/>
    <n v="260"/>
    <n v="52.5"/>
    <x v="728"/>
    <x v="17"/>
    <s v="Granel"/>
    <m/>
    <s v="Granel Sólido"/>
    <m/>
    <m/>
    <s v="FEBRERO '20"/>
    <x v="0"/>
    <m/>
    <m/>
    <m/>
    <x v="434"/>
    <m/>
    <m/>
    <x v="429"/>
    <n v="5"/>
    <n v="2020"/>
    <x v="0"/>
    <x v="0"/>
    <s v="KOTKA / FINLANDIA"/>
    <x v="2"/>
    <m/>
    <x v="3"/>
    <x v="51"/>
    <d v="2020-03-13T00:00:00"/>
    <s v="MV WOODY"/>
    <x v="227"/>
    <x v="0"/>
    <m/>
    <s v="NO APLICA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836"/>
    <m/>
    <x v="650"/>
    <m/>
    <m/>
    <m/>
    <s v="CERRADO"/>
    <n v="207951"/>
    <x v="6"/>
    <x v="37"/>
    <x v="362"/>
    <d v="2020-01-24T00:00:00"/>
    <s v="CAD"/>
    <m/>
    <s v="I-30303(30303-C)"/>
    <m/>
    <s v="-"/>
    <s v="CANCELADO"/>
    <s v="CFR"/>
    <m/>
    <x v="12"/>
    <n v="260"/>
    <n v="52.5"/>
    <x v="12"/>
    <x v="17"/>
    <s v="Granel"/>
    <m/>
    <s v="Granel Sólido"/>
    <m/>
    <m/>
    <s v="FEBRERO '20"/>
    <x v="0"/>
    <m/>
    <m/>
    <m/>
    <x v="435"/>
    <m/>
    <m/>
    <x v="430"/>
    <n v="5"/>
    <n v="2020"/>
    <x v="0"/>
    <x v="0"/>
    <s v="KOTKA / FINLANDIA"/>
    <x v="4"/>
    <m/>
    <x v="2"/>
    <x v="418"/>
    <d v="2020-03-13T00:00:00"/>
    <s v="MV WOODY"/>
    <x v="227"/>
    <x v="0"/>
    <m/>
    <s v="NO APLICA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837"/>
    <m/>
    <x v="651"/>
    <m/>
    <m/>
    <m/>
    <s v="CERRADO"/>
    <n v="207951"/>
    <x v="6"/>
    <x v="37"/>
    <x v="362"/>
    <d v="2020-01-24T00:00:00"/>
    <s v="CAD"/>
    <m/>
    <s v="I-30304(30304-C)"/>
    <m/>
    <s v="-"/>
    <s v="CANCELADO"/>
    <s v="CFR"/>
    <m/>
    <x v="180"/>
    <n v="260"/>
    <n v="52.5"/>
    <x v="729"/>
    <x v="17"/>
    <s v="Granel"/>
    <m/>
    <s v="Granel Sólido"/>
    <m/>
    <m/>
    <s v="FEBRERO '20"/>
    <x v="0"/>
    <m/>
    <m/>
    <m/>
    <x v="435"/>
    <m/>
    <m/>
    <x v="430"/>
    <n v="5"/>
    <n v="2020"/>
    <x v="0"/>
    <x v="0"/>
    <s v="KOTKA / FINLANDIA"/>
    <x v="4"/>
    <m/>
    <x v="2"/>
    <x v="260"/>
    <d v="2020-03-13T00:00:00"/>
    <s v="MV WOODY"/>
    <x v="227"/>
    <x v="0"/>
    <m/>
    <s v="NO APLICA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O-S"/>
    <x v="0"/>
    <x v="0"/>
    <m/>
    <m/>
    <x v="838"/>
    <m/>
    <x v="652"/>
    <m/>
    <m/>
    <m/>
    <s v="CERRADO"/>
    <n v="208061"/>
    <x v="102"/>
    <x v="53"/>
    <x v="8"/>
    <d v="2020-01-24T00:00:00"/>
    <n v="60"/>
    <s v="días BL"/>
    <s v="F200-00042358"/>
    <m/>
    <d v="2020-05-18T00:00:00"/>
    <s v="CANCELADO"/>
    <s v="CFR"/>
    <m/>
    <x v="366"/>
    <n v="370.56899999999996"/>
    <n v="52.5"/>
    <x v="730"/>
    <x v="17"/>
    <s v="Granel"/>
    <m/>
    <s v="Granel Sólido"/>
    <m/>
    <m/>
    <s v="FEBRERO '20"/>
    <x v="0"/>
    <m/>
    <m/>
    <m/>
    <x v="427"/>
    <m/>
    <m/>
    <x v="422"/>
    <n v="4"/>
    <n v="2020"/>
    <x v="0"/>
    <x v="0"/>
    <s v="PORSGRUNN / NORUEGA"/>
    <x v="0"/>
    <m/>
    <x v="1"/>
    <x v="579"/>
    <d v="2020-03-19T00:00:00"/>
    <s v="MV WOODY"/>
    <x v="227"/>
    <x v="0"/>
    <m/>
    <s v="NO APLICA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O-S"/>
    <x v="0"/>
    <x v="0"/>
    <m/>
    <m/>
    <x v="839"/>
    <m/>
    <x v="653"/>
    <m/>
    <m/>
    <m/>
    <s v="CERRADO"/>
    <n v="208061"/>
    <x v="102"/>
    <x v="53"/>
    <x v="8"/>
    <d v="2020-01-24T00:00:00"/>
    <n v="60"/>
    <s v="días BL"/>
    <s v="F200-00042357"/>
    <m/>
    <d v="2020-05-18T00:00:00"/>
    <s v="CANCELADO"/>
    <s v="CFR"/>
    <m/>
    <x v="3"/>
    <n v="370.56899999999996"/>
    <n v="52.5"/>
    <x v="731"/>
    <x v="17"/>
    <s v="Granel"/>
    <m/>
    <s v="Granel Sólido"/>
    <m/>
    <m/>
    <s v="FEBRERO '20"/>
    <x v="0"/>
    <m/>
    <m/>
    <m/>
    <x v="433"/>
    <m/>
    <m/>
    <x v="428"/>
    <n v="4"/>
    <n v="2020"/>
    <x v="0"/>
    <x v="0"/>
    <s v="PORSGRUNN / NORUEGA"/>
    <x v="1"/>
    <m/>
    <x v="1"/>
    <x v="580"/>
    <d v="2020-03-19T00:00:00"/>
    <s v="MV WOODY"/>
    <x v="227"/>
    <x v="0"/>
    <m/>
    <s v="NO APLICA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O-S"/>
    <x v="0"/>
    <x v="0"/>
    <m/>
    <m/>
    <x v="840"/>
    <m/>
    <x v="654"/>
    <m/>
    <m/>
    <m/>
    <s v="CERRADO"/>
    <n v="208061"/>
    <x v="102"/>
    <x v="53"/>
    <x v="8"/>
    <d v="2020-01-24T00:00:00"/>
    <n v="60"/>
    <s v="días BL"/>
    <s v="F200-00042359"/>
    <m/>
    <d v="2020-05-18T00:00:00"/>
    <s v="CANCELADO"/>
    <s v="CFR"/>
    <m/>
    <x v="212"/>
    <n v="370.56899999999996"/>
    <n v="52.5"/>
    <x v="732"/>
    <x v="17"/>
    <s v="Granel"/>
    <m/>
    <s v="Granel Sólido"/>
    <m/>
    <m/>
    <s v="FEBRERO '20"/>
    <x v="0"/>
    <m/>
    <m/>
    <m/>
    <x v="434"/>
    <m/>
    <m/>
    <x v="429"/>
    <n v="5"/>
    <n v="2020"/>
    <x v="0"/>
    <x v="0"/>
    <s v="PORSGRUNN / NORUEGA"/>
    <x v="2"/>
    <m/>
    <x v="3"/>
    <x v="581"/>
    <d v="2020-03-19T00:00:00"/>
    <s v="MV WOODY"/>
    <x v="227"/>
    <x v="0"/>
    <m/>
    <s v="NO APLICA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O-S"/>
    <x v="0"/>
    <x v="0"/>
    <m/>
    <m/>
    <x v="841"/>
    <m/>
    <x v="655"/>
    <m/>
    <m/>
    <m/>
    <s v="CERRADO"/>
    <n v="208061"/>
    <x v="102"/>
    <x v="53"/>
    <x v="8"/>
    <d v="2020-01-24T00:00:00"/>
    <n v="60"/>
    <s v="días BL"/>
    <s v="F200-00042360"/>
    <m/>
    <d v="2020-05-18T00:00:00"/>
    <s v="CANCELADO"/>
    <s v="CFR"/>
    <m/>
    <x v="100"/>
    <n v="370.56899999999996"/>
    <n v="52.5"/>
    <x v="733"/>
    <x v="17"/>
    <s v="Granel"/>
    <m/>
    <s v="Granel Sólido"/>
    <m/>
    <m/>
    <s v="FEBRERO '20"/>
    <x v="0"/>
    <m/>
    <m/>
    <m/>
    <x v="435"/>
    <m/>
    <m/>
    <x v="430"/>
    <n v="5"/>
    <n v="2020"/>
    <x v="0"/>
    <x v="0"/>
    <s v="PORSGRUNN / NORUEGA"/>
    <x v="4"/>
    <m/>
    <x v="2"/>
    <x v="582"/>
    <d v="2020-03-19T00:00:00"/>
    <s v="MV WOODY"/>
    <x v="227"/>
    <x v="0"/>
    <m/>
    <s v="NO APLICA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O-S"/>
    <x v="0"/>
    <x v="0"/>
    <m/>
    <m/>
    <x v="842"/>
    <m/>
    <x v="656"/>
    <m/>
    <m/>
    <m/>
    <s v="CERRADO"/>
    <n v="206714"/>
    <x v="103"/>
    <x v="53"/>
    <x v="8"/>
    <d v="2020-01-24T00:00:00"/>
    <n v="60"/>
    <s v="días BL"/>
    <s v="F200-00042365"/>
    <m/>
    <d v="2020-05-18T00:00:00"/>
    <s v="CANCELADO"/>
    <s v="CFR"/>
    <m/>
    <x v="367"/>
    <n v="446.72300000000001"/>
    <n v="52.5"/>
    <x v="734"/>
    <x v="17"/>
    <s v="Granel - BB"/>
    <m/>
    <s v="Bigbag"/>
    <m/>
    <m/>
    <s v="FEBRERO '20"/>
    <x v="0"/>
    <m/>
    <m/>
    <m/>
    <x v="427"/>
    <m/>
    <m/>
    <x v="422"/>
    <n v="4"/>
    <n v="2020"/>
    <x v="0"/>
    <x v="0"/>
    <s v="PORSGRUNN / NORUEGA"/>
    <x v="0"/>
    <m/>
    <x v="2"/>
    <x v="583"/>
    <d v="2020-03-19T00:00:00"/>
    <s v="MV WOODY"/>
    <x v="227"/>
    <x v="0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O-S"/>
    <x v="0"/>
    <x v="0"/>
    <m/>
    <m/>
    <x v="843"/>
    <m/>
    <x v="657"/>
    <m/>
    <m/>
    <m/>
    <s v="CERRADO"/>
    <n v="206714"/>
    <x v="103"/>
    <x v="53"/>
    <x v="8"/>
    <d v="2020-01-24T00:00:00"/>
    <n v="60"/>
    <s v="días BL"/>
    <s v="F200-00042366"/>
    <m/>
    <d v="2020-05-18T00:00:00"/>
    <s v="CANCELADO"/>
    <s v="CFR"/>
    <m/>
    <x v="368"/>
    <n v="446.72300000000001"/>
    <n v="52.5"/>
    <x v="735"/>
    <x v="17"/>
    <s v="Granel - BB"/>
    <m/>
    <s v="Bigbag"/>
    <m/>
    <m/>
    <s v="FEBRERO '20"/>
    <x v="0"/>
    <m/>
    <m/>
    <m/>
    <x v="433"/>
    <m/>
    <m/>
    <x v="428"/>
    <n v="4"/>
    <n v="2020"/>
    <x v="0"/>
    <x v="0"/>
    <s v="PORSGRUNN / NORUEGA"/>
    <x v="1"/>
    <m/>
    <x v="2"/>
    <x v="584"/>
    <d v="2020-03-19T00:00:00"/>
    <s v="MV WOODY"/>
    <x v="227"/>
    <x v="0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O-S"/>
    <x v="0"/>
    <x v="0"/>
    <m/>
    <m/>
    <x v="844"/>
    <m/>
    <x v="658"/>
    <m/>
    <m/>
    <m/>
    <s v="CERRADO"/>
    <n v="206714"/>
    <x v="103"/>
    <x v="53"/>
    <x v="8"/>
    <d v="2020-01-24T00:00:00"/>
    <n v="60"/>
    <s v="días BL"/>
    <s v="F200-00042367"/>
    <m/>
    <d v="2020-05-18T00:00:00"/>
    <s v="CANCELADO"/>
    <s v="CFR"/>
    <m/>
    <x v="369"/>
    <n v="446.72300000000001"/>
    <n v="52.5"/>
    <x v="736"/>
    <x v="17"/>
    <s v="Granel - BB"/>
    <m/>
    <s v="Bigbag"/>
    <m/>
    <m/>
    <s v="FEBRERO '20"/>
    <x v="0"/>
    <m/>
    <m/>
    <m/>
    <x v="434"/>
    <m/>
    <m/>
    <x v="429"/>
    <n v="5"/>
    <n v="2020"/>
    <x v="0"/>
    <x v="0"/>
    <s v="PORSGRUNN / NORUEGA"/>
    <x v="2"/>
    <m/>
    <x v="3"/>
    <x v="585"/>
    <d v="2020-03-19T00:00:00"/>
    <s v="MV WOODY"/>
    <x v="227"/>
    <x v="0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O-S"/>
    <x v="0"/>
    <x v="0"/>
    <m/>
    <m/>
    <x v="845"/>
    <m/>
    <x v="659"/>
    <m/>
    <m/>
    <m/>
    <s v="CERRADO"/>
    <n v="206714"/>
    <x v="103"/>
    <x v="53"/>
    <x v="8"/>
    <d v="2020-01-24T00:00:00"/>
    <n v="60"/>
    <s v="días BL"/>
    <s v="F200-00042371"/>
    <m/>
    <d v="2020-05-18T00:00:00"/>
    <s v="CANCELADO"/>
    <s v="CFR"/>
    <m/>
    <x v="370"/>
    <n v="446.72300000000001"/>
    <n v="52.5"/>
    <x v="737"/>
    <x v="17"/>
    <s v="Granel - BB"/>
    <m/>
    <s v="Bigbag"/>
    <m/>
    <m/>
    <s v="FEBRERO '20"/>
    <x v="0"/>
    <m/>
    <m/>
    <m/>
    <x v="435"/>
    <m/>
    <m/>
    <x v="430"/>
    <n v="5"/>
    <n v="2020"/>
    <x v="0"/>
    <x v="0"/>
    <s v="PORSGRUNN / NORUEGA"/>
    <x v="4"/>
    <m/>
    <x v="2"/>
    <x v="586"/>
    <d v="2020-03-19T00:00:00"/>
    <s v="MV WOODY"/>
    <x v="227"/>
    <x v="0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O-S"/>
    <x v="0"/>
    <x v="0"/>
    <m/>
    <m/>
    <x v="846"/>
    <m/>
    <x v="660"/>
    <m/>
    <m/>
    <m/>
    <s v="CERRADO"/>
    <n v="208063"/>
    <x v="104"/>
    <x v="53"/>
    <x v="8"/>
    <d v="2020-01-24T00:00:00"/>
    <n v="60"/>
    <s v="días BL"/>
    <s v="F200-00042361"/>
    <m/>
    <d v="2020-05-18T00:00:00"/>
    <s v="CANCELADO"/>
    <s v="CFR"/>
    <m/>
    <x v="15"/>
    <n v="506.11100000000005"/>
    <n v="52.5"/>
    <x v="738"/>
    <x v="17"/>
    <s v="Granel"/>
    <m/>
    <s v="Granel Sólido"/>
    <m/>
    <m/>
    <s v="FEBRERO '20"/>
    <x v="0"/>
    <m/>
    <m/>
    <m/>
    <x v="427"/>
    <m/>
    <m/>
    <x v="422"/>
    <n v="4"/>
    <n v="2020"/>
    <x v="0"/>
    <x v="0"/>
    <s v="PORSGRUNN / NORUEGA"/>
    <x v="0"/>
    <m/>
    <x v="1"/>
    <x v="587"/>
    <d v="2020-03-19T00:00:00"/>
    <s v="MV WOODY"/>
    <x v="227"/>
    <x v="0"/>
    <m/>
    <s v="NO APLICA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O-S"/>
    <x v="0"/>
    <x v="0"/>
    <m/>
    <m/>
    <x v="847"/>
    <m/>
    <x v="661"/>
    <m/>
    <m/>
    <m/>
    <s v="CERRADO"/>
    <n v="208063"/>
    <x v="104"/>
    <x v="53"/>
    <x v="8"/>
    <d v="2020-01-24T00:00:00"/>
    <n v="60"/>
    <s v="días BL"/>
    <s v="F200-00042362"/>
    <m/>
    <d v="2020-05-18T00:00:00"/>
    <s v="CANCELADO"/>
    <s v="CFR"/>
    <m/>
    <x v="3"/>
    <n v="506.11100000000005"/>
    <n v="52.5"/>
    <x v="739"/>
    <x v="17"/>
    <s v="Granel"/>
    <m/>
    <s v="Granel Sólido"/>
    <m/>
    <m/>
    <s v="FEBRERO '20"/>
    <x v="0"/>
    <m/>
    <m/>
    <m/>
    <x v="433"/>
    <m/>
    <m/>
    <x v="428"/>
    <n v="4"/>
    <n v="2020"/>
    <x v="0"/>
    <x v="0"/>
    <s v="PORSGRUNN / NORUEGA"/>
    <x v="1"/>
    <m/>
    <x v="1"/>
    <x v="588"/>
    <d v="2020-03-19T00:00:00"/>
    <s v="MV WOODY"/>
    <x v="227"/>
    <x v="0"/>
    <m/>
    <s v="NO APLICA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O-S"/>
    <x v="0"/>
    <x v="0"/>
    <m/>
    <m/>
    <x v="848"/>
    <m/>
    <x v="662"/>
    <m/>
    <m/>
    <m/>
    <s v="CERRADO"/>
    <n v="208063"/>
    <x v="104"/>
    <x v="53"/>
    <x v="8"/>
    <d v="2020-01-24T00:00:00"/>
    <n v="60"/>
    <s v="días BL"/>
    <s v="F200-00042363"/>
    <m/>
    <d v="2020-05-18T00:00:00"/>
    <s v="CANCELADO"/>
    <s v="CFR"/>
    <m/>
    <x v="371"/>
    <n v="506.11100000000005"/>
    <n v="52.5"/>
    <x v="740"/>
    <x v="17"/>
    <s v="Granel"/>
    <m/>
    <s v="Granel Sólido"/>
    <m/>
    <m/>
    <s v="FEBRERO '20"/>
    <x v="0"/>
    <m/>
    <m/>
    <m/>
    <x v="434"/>
    <m/>
    <m/>
    <x v="429"/>
    <n v="5"/>
    <n v="2020"/>
    <x v="0"/>
    <x v="0"/>
    <s v="PORSGRUNN / NORUEGA"/>
    <x v="2"/>
    <m/>
    <x v="3"/>
    <x v="589"/>
    <d v="2020-03-19T00:00:00"/>
    <s v="MV WOODY"/>
    <x v="227"/>
    <x v="0"/>
    <m/>
    <s v="NO APLICA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O-S"/>
    <x v="0"/>
    <x v="0"/>
    <m/>
    <m/>
    <x v="849"/>
    <m/>
    <x v="663"/>
    <m/>
    <m/>
    <m/>
    <s v="CERRADO"/>
    <n v="208063"/>
    <x v="104"/>
    <x v="53"/>
    <x v="8"/>
    <d v="2020-01-24T00:00:00"/>
    <n v="60"/>
    <s v="días BL"/>
    <s v="F200-00042364"/>
    <m/>
    <d v="2020-05-18T00:00:00"/>
    <s v="CANCELADO"/>
    <s v="CFR"/>
    <m/>
    <x v="3"/>
    <n v="506.11100000000005"/>
    <n v="52.5"/>
    <x v="739"/>
    <x v="17"/>
    <s v="Granel"/>
    <m/>
    <s v="Granel Sólido"/>
    <m/>
    <m/>
    <s v="FEBRERO '20"/>
    <x v="0"/>
    <m/>
    <m/>
    <m/>
    <x v="435"/>
    <m/>
    <m/>
    <x v="430"/>
    <n v="5"/>
    <n v="2020"/>
    <x v="0"/>
    <x v="0"/>
    <s v="PORSGRUNN / NORUEGA"/>
    <x v="4"/>
    <m/>
    <x v="2"/>
    <x v="590"/>
    <d v="2020-03-19T00:00:00"/>
    <s v="MV WOODY"/>
    <x v="227"/>
    <x v="0"/>
    <m/>
    <s v="NO APLICA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O-S"/>
    <x v="0"/>
    <x v="1"/>
    <m/>
    <m/>
    <x v="850"/>
    <m/>
    <x v="34"/>
    <m/>
    <m/>
    <m/>
    <m/>
    <m/>
    <x v="103"/>
    <x v="53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0"/>
    <s v="O-S"/>
    <x v="0"/>
    <x v="1"/>
    <m/>
    <m/>
    <x v="851"/>
    <m/>
    <x v="34"/>
    <m/>
    <m/>
    <m/>
    <m/>
    <m/>
    <x v="103"/>
    <x v="53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0"/>
    <s v="O-S"/>
    <x v="0"/>
    <x v="1"/>
    <m/>
    <m/>
    <x v="852"/>
    <m/>
    <x v="34"/>
    <m/>
    <m/>
    <m/>
    <m/>
    <m/>
    <x v="103"/>
    <x v="53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0"/>
    <s v="G-S"/>
    <x v="0"/>
    <x v="0"/>
    <m/>
    <m/>
    <x v="853"/>
    <m/>
    <x v="664"/>
    <m/>
    <m/>
    <m/>
    <s v="CERRADO"/>
    <n v="206597"/>
    <x v="0"/>
    <x v="31"/>
    <x v="8"/>
    <d v="2020-02-04T00:00:00"/>
    <n v="180"/>
    <s v="días BL"/>
    <s v="K5708(CN-CB246)"/>
    <m/>
    <d v="2020-09-11T00:00:00"/>
    <s v="CANCELADO"/>
    <s v="CFR"/>
    <m/>
    <x v="372"/>
    <n v="260"/>
    <m/>
    <x v="741"/>
    <x v="3"/>
    <s v="Granel"/>
    <m/>
    <s v="Granel Sólido"/>
    <m/>
    <m/>
    <s v="MARZO '20"/>
    <x v="0"/>
    <m/>
    <m/>
    <m/>
    <x v="431"/>
    <m/>
    <m/>
    <x v="431"/>
    <n v="4"/>
    <n v="2020"/>
    <x v="0"/>
    <x v="0"/>
    <s v="VANCOUVER / CANADA"/>
    <x v="1"/>
    <m/>
    <x v="1"/>
    <x v="591"/>
    <d v="2020-03-14T00:00:00"/>
    <s v="MV INDIGO SW "/>
    <x v="228"/>
    <x v="0"/>
    <m/>
    <s v="NO APLICA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854"/>
    <m/>
    <x v="665"/>
    <m/>
    <m/>
    <m/>
    <s v="CERRADO"/>
    <n v="206597"/>
    <x v="0"/>
    <x v="31"/>
    <x v="8"/>
    <d v="2020-02-04T00:00:00"/>
    <n v="180"/>
    <s v="días BL"/>
    <s v="K5714(CN-CB251)"/>
    <m/>
    <d v="2020-09-11T00:00:00"/>
    <s v="CANCELADO"/>
    <s v="CFR"/>
    <m/>
    <x v="373"/>
    <n v="260"/>
    <m/>
    <x v="742"/>
    <x v="3"/>
    <s v="Granel"/>
    <m/>
    <s v="Granel Sólido"/>
    <m/>
    <m/>
    <s v="MARZO '20"/>
    <x v="0"/>
    <m/>
    <m/>
    <m/>
    <x v="436"/>
    <m/>
    <m/>
    <x v="432"/>
    <n v="4"/>
    <n v="2020"/>
    <x v="0"/>
    <x v="0"/>
    <s v="VANCOUVER / CANADA"/>
    <x v="2"/>
    <m/>
    <x v="1"/>
    <x v="592"/>
    <d v="2020-03-14T00:00:00"/>
    <s v="MV INDIGO SW "/>
    <x v="228"/>
    <x v="0"/>
    <m/>
    <s v="NO APLICA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855"/>
    <m/>
    <x v="666"/>
    <m/>
    <m/>
    <m/>
    <s v="CERRADO"/>
    <n v="206597"/>
    <x v="0"/>
    <x v="31"/>
    <x v="8"/>
    <d v="2020-02-04T00:00:00"/>
    <n v="180"/>
    <s v="días BL"/>
    <s v="K5715(CN-CB252)"/>
    <m/>
    <d v="2020-09-11T00:00:00"/>
    <s v="CANCELADO"/>
    <s v="CFR"/>
    <m/>
    <x v="138"/>
    <n v="260"/>
    <m/>
    <x v="743"/>
    <x v="3"/>
    <s v="Granel"/>
    <m/>
    <s v="Granel Sólido"/>
    <m/>
    <m/>
    <s v="MARZO '20"/>
    <x v="0"/>
    <m/>
    <m/>
    <m/>
    <x v="437"/>
    <m/>
    <m/>
    <x v="433"/>
    <n v="4"/>
    <n v="2020"/>
    <x v="0"/>
    <x v="0"/>
    <s v="VANCOUVER / CANADA"/>
    <x v="4"/>
    <m/>
    <x v="4"/>
    <x v="593"/>
    <d v="2020-03-14T00:00:00"/>
    <s v="MV INDIGO SW "/>
    <x v="228"/>
    <x v="0"/>
    <m/>
    <s v="NO APLICA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A-S"/>
    <x v="0"/>
    <x v="1"/>
    <m/>
    <m/>
    <x v="856"/>
    <m/>
    <x v="34"/>
    <m/>
    <m/>
    <m/>
    <m/>
    <m/>
    <x v="105"/>
    <x v="20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0"/>
    <s v="T-S"/>
    <x v="0"/>
    <x v="0"/>
    <m/>
    <m/>
    <x v="857"/>
    <m/>
    <x v="667"/>
    <m/>
    <m/>
    <m/>
    <s v="CERRADO"/>
    <n v="208071"/>
    <x v="106"/>
    <x v="53"/>
    <x v="8"/>
    <d v="2019-12-15T00:00:00"/>
    <n v="30"/>
    <s v="días BL"/>
    <s v="F200-00042141"/>
    <m/>
    <d v="2020-03-06T00:00:00"/>
    <s v="CANCELADO"/>
    <s v="CFR"/>
    <m/>
    <x v="0"/>
    <n v="235.21"/>
    <m/>
    <x v="744"/>
    <x v="14"/>
    <s v="Contenedor 20'"/>
    <m/>
    <s v="25 kg"/>
    <m/>
    <m/>
    <s v="ENERO '20"/>
    <x v="0"/>
    <m/>
    <m/>
    <m/>
    <x v="438"/>
    <m/>
    <m/>
    <x v="434"/>
    <n v="2"/>
    <n v="2020"/>
    <x v="0"/>
    <x v="0"/>
    <s v="CARTAGENA / COLOMBIA"/>
    <x v="2"/>
    <m/>
    <x v="3"/>
    <x v="594"/>
    <d v="2020-02-05T00:00:00"/>
    <s v="GUAYAQUIL EXPRESS"/>
    <x v="42"/>
    <x v="2"/>
    <m/>
    <s v="REALIZADO"/>
    <m/>
    <m/>
    <m/>
    <m/>
    <x v="0"/>
    <d v="2020-03-04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T-S"/>
    <x v="0"/>
    <x v="0"/>
    <m/>
    <m/>
    <x v="858"/>
    <m/>
    <x v="668"/>
    <m/>
    <m/>
    <m/>
    <s v="CERRADO"/>
    <n v="208071"/>
    <x v="106"/>
    <x v="53"/>
    <x v="8"/>
    <d v="2019-12-15T00:00:00"/>
    <n v="30"/>
    <s v="días BL"/>
    <s v="F200-00042150"/>
    <m/>
    <d v="2020-03-06T00:00:00"/>
    <s v="CANCELADO"/>
    <s v="CFR"/>
    <m/>
    <x v="7"/>
    <n v="235.21"/>
    <m/>
    <x v="745"/>
    <x v="15"/>
    <s v="Contenedor 20'"/>
    <m/>
    <s v="25 kg"/>
    <m/>
    <m/>
    <s v="ENERO '20"/>
    <x v="0"/>
    <m/>
    <m/>
    <m/>
    <x v="438"/>
    <m/>
    <m/>
    <x v="435"/>
    <n v="3"/>
    <n v="2020"/>
    <x v="0"/>
    <x v="0"/>
    <s v="CARTAGENA / COLOMBIA"/>
    <x v="2"/>
    <m/>
    <x v="3"/>
    <x v="595"/>
    <d v="2020-02-05T00:00:00"/>
    <s v="GUAYAQUIL EXPRESS"/>
    <x v="42"/>
    <x v="2"/>
    <m/>
    <s v="REALIZADO"/>
    <m/>
    <m/>
    <m/>
    <m/>
    <x v="0"/>
    <d v="2020-03-06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T-S"/>
    <x v="0"/>
    <x v="0"/>
    <m/>
    <m/>
    <x v="859"/>
    <m/>
    <x v="669"/>
    <m/>
    <m/>
    <m/>
    <s v="CERRADO"/>
    <n v="208071"/>
    <x v="106"/>
    <x v="53"/>
    <x v="8"/>
    <d v="2019-12-15T00:00:00"/>
    <n v="30"/>
    <s v="días BL"/>
    <s v="F200-00042148"/>
    <m/>
    <d v="2020-03-13T00:00:00"/>
    <s v="CANCELADO"/>
    <s v="CFR"/>
    <m/>
    <x v="12"/>
    <n v="235.21"/>
    <m/>
    <x v="746"/>
    <x v="20"/>
    <s v="Contenedor 20'"/>
    <m/>
    <s v="25 kg"/>
    <m/>
    <m/>
    <s v="ENERO '20"/>
    <x v="0"/>
    <m/>
    <m/>
    <m/>
    <x v="439"/>
    <m/>
    <m/>
    <x v="371"/>
    <n v="3"/>
    <n v="2020"/>
    <x v="0"/>
    <x v="0"/>
    <s v="CARTAGENA / COLOMBIA"/>
    <x v="2"/>
    <m/>
    <x v="3"/>
    <x v="596"/>
    <d v="2020-02-12T00:00:00"/>
    <s v="CMA CGM NIAGARA"/>
    <x v="50"/>
    <x v="2"/>
    <m/>
    <s v="REALIZADO"/>
    <m/>
    <m/>
    <m/>
    <m/>
    <x v="0"/>
    <d v="2020-03-13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T-S"/>
    <x v="0"/>
    <x v="0"/>
    <m/>
    <m/>
    <x v="860"/>
    <m/>
    <x v="670"/>
    <m/>
    <m/>
    <m/>
    <s v="CERRADO"/>
    <n v="208071"/>
    <x v="106"/>
    <x v="53"/>
    <x v="8"/>
    <d v="2019-12-15T00:00:00"/>
    <n v="30"/>
    <s v="días BL"/>
    <s v="F200-00042140"/>
    <m/>
    <d v="2020-03-01T00:00:00"/>
    <s v="CANCELADO"/>
    <s v="CFR"/>
    <m/>
    <x v="1"/>
    <n v="235.21"/>
    <m/>
    <x v="747"/>
    <x v="6"/>
    <s v="Contenedor 20'"/>
    <m/>
    <s v="25 kg"/>
    <m/>
    <m/>
    <s v="ENERO '20"/>
    <x v="0"/>
    <m/>
    <m/>
    <m/>
    <x v="395"/>
    <m/>
    <m/>
    <x v="436"/>
    <n v="2"/>
    <n v="2020"/>
    <x v="0"/>
    <x v="0"/>
    <s v="CARTAGENA / COLOMBIA"/>
    <x v="0"/>
    <m/>
    <x v="2"/>
    <x v="597"/>
    <d v="2020-01-31T00:00:00"/>
    <s v="CRISTINA STAR"/>
    <x v="173"/>
    <x v="2"/>
    <m/>
    <s v="REALIZADO"/>
    <m/>
    <m/>
    <m/>
    <m/>
    <x v="0"/>
    <d v="2020-02-22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A-S"/>
    <x v="0"/>
    <x v="0"/>
    <m/>
    <m/>
    <x v="861"/>
    <m/>
    <x v="671"/>
    <m/>
    <m/>
    <m/>
    <s v="CERRADO"/>
    <n v="209882"/>
    <x v="95"/>
    <x v="45"/>
    <x v="8"/>
    <d v="2020-02-13T00:00:00"/>
    <n v="60"/>
    <s v="días BL"/>
    <s v="51631"/>
    <m/>
    <d v="2020-06-15T00:00:00"/>
    <s v="CANCELADO"/>
    <s v="CFR"/>
    <m/>
    <x v="374"/>
    <n v="2200"/>
    <m/>
    <x v="748"/>
    <x v="3"/>
    <s v="Contenedor 40'"/>
    <m/>
    <s v="10LT"/>
    <m/>
    <m/>
    <s v="MARZO '20"/>
    <x v="0"/>
    <m/>
    <m/>
    <m/>
    <x v="440"/>
    <m/>
    <m/>
    <x v="437"/>
    <n v="5"/>
    <n v="2020"/>
    <x v="0"/>
    <x v="0"/>
    <s v="CALIFORNIA / USA"/>
    <x v="2"/>
    <m/>
    <x v="1"/>
    <x v="598"/>
    <d v="2020-04-16T00:00:00"/>
    <s v="POLAR MEXICO"/>
    <x v="229"/>
    <x v="33"/>
    <m/>
    <s v="NO APLICA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A-S"/>
    <x v="0"/>
    <x v="0"/>
    <m/>
    <m/>
    <x v="862"/>
    <m/>
    <x v="671"/>
    <m/>
    <m/>
    <m/>
    <s v="CERRADO"/>
    <n v="209892"/>
    <x v="107"/>
    <x v="45"/>
    <x v="8"/>
    <d v="2020-02-13T00:00:00"/>
    <n v="60"/>
    <s v="días BL"/>
    <s v="51631"/>
    <m/>
    <d v="2020-06-15T00:00:00"/>
    <s v="CANCELADO"/>
    <s v="CFR"/>
    <m/>
    <x v="375"/>
    <n v="2200"/>
    <m/>
    <x v="749"/>
    <x v="3"/>
    <s v="Contenedor 40'"/>
    <m/>
    <s v="Cilindro 210LT"/>
    <m/>
    <m/>
    <s v="MARZO '20"/>
    <x v="0"/>
    <m/>
    <m/>
    <m/>
    <x v="440"/>
    <m/>
    <m/>
    <x v="437"/>
    <n v="5"/>
    <n v="2020"/>
    <x v="0"/>
    <x v="0"/>
    <s v="CALIFORNIA / USA"/>
    <x v="2"/>
    <m/>
    <x v="1"/>
    <x v="598"/>
    <d v="2020-04-16T00:00:00"/>
    <s v="POLAR MEXICO"/>
    <x v="229"/>
    <x v="33"/>
    <m/>
    <s v="NO APLICA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A-S"/>
    <x v="0"/>
    <x v="0"/>
    <m/>
    <m/>
    <x v="863"/>
    <m/>
    <x v="671"/>
    <m/>
    <m/>
    <m/>
    <s v="CERRADO"/>
    <n v="209883"/>
    <x v="105"/>
    <x v="45"/>
    <x v="8"/>
    <d v="2020-02-13T00:00:00"/>
    <n v="60"/>
    <s v="días BL"/>
    <s v="51631"/>
    <m/>
    <d v="2020-06-15T00:00:00"/>
    <s v="CANCELADO"/>
    <s v="CFR"/>
    <m/>
    <x v="376"/>
    <n v="3020"/>
    <m/>
    <x v="750"/>
    <x v="3"/>
    <s v="Contenedor 40'"/>
    <m/>
    <s v="10LT"/>
    <m/>
    <m/>
    <s v="MARZO '20"/>
    <x v="0"/>
    <m/>
    <m/>
    <m/>
    <x v="440"/>
    <m/>
    <m/>
    <x v="437"/>
    <n v="5"/>
    <n v="2020"/>
    <x v="0"/>
    <x v="0"/>
    <s v="CALIFORNIA / USA"/>
    <x v="2"/>
    <m/>
    <x v="1"/>
    <x v="598"/>
    <d v="2020-04-16T00:00:00"/>
    <s v="POLAR MEXICO"/>
    <x v="229"/>
    <x v="33"/>
    <m/>
    <s v="NO APLICA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864"/>
    <m/>
    <x v="672"/>
    <m/>
    <m/>
    <m/>
    <s v="CERRADO"/>
    <n v="203616"/>
    <x v="15"/>
    <x v="2"/>
    <x v="363"/>
    <d v="2020-02-12T00:00:00"/>
    <s v="CAD"/>
    <m/>
    <s v="SI0019035a"/>
    <m/>
    <d v="2020-04-01T00:00:00"/>
    <s v="CANCELADO"/>
    <s v="CFR"/>
    <m/>
    <x v="377"/>
    <n v="121.05797"/>
    <m/>
    <x v="751"/>
    <x v="17"/>
    <s v="Granel"/>
    <m/>
    <s v="Granel Sólido"/>
    <m/>
    <m/>
    <s v="MARZO '20"/>
    <x v="0"/>
    <m/>
    <m/>
    <m/>
    <x v="441"/>
    <m/>
    <m/>
    <x v="438"/>
    <n v="4"/>
    <n v="2020"/>
    <x v="0"/>
    <x v="0"/>
    <s v="JINGJIANG / CHINA"/>
    <x v="0"/>
    <m/>
    <x v="1"/>
    <x v="51"/>
    <d v="2020-03-19T00:00:00"/>
    <s v="MV SAN FELICE "/>
    <x v="230"/>
    <x v="0"/>
    <m/>
    <s v="NO APLICA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865"/>
    <m/>
    <x v="673"/>
    <m/>
    <m/>
    <m/>
    <s v="CERRADO"/>
    <n v="203616"/>
    <x v="15"/>
    <x v="2"/>
    <x v="363"/>
    <d v="2020-02-12T00:00:00"/>
    <s v="CAD"/>
    <m/>
    <s v="SI0019035b"/>
    <m/>
    <d v="2020-04-01T00:00:00"/>
    <s v="CANCELADO"/>
    <s v="CFR"/>
    <m/>
    <x v="128"/>
    <n v="121.05797"/>
    <m/>
    <x v="752"/>
    <x v="17"/>
    <s v="Granel"/>
    <m/>
    <s v="Granel Sólido"/>
    <m/>
    <m/>
    <s v="MARZO '20"/>
    <x v="0"/>
    <m/>
    <m/>
    <m/>
    <x v="442"/>
    <m/>
    <m/>
    <x v="439"/>
    <n v="4"/>
    <n v="2020"/>
    <x v="0"/>
    <x v="0"/>
    <s v="JINGJIANG / CHINA"/>
    <x v="1"/>
    <m/>
    <x v="1"/>
    <x v="18"/>
    <d v="2020-03-19T00:00:00"/>
    <s v="MV SAN FELICE "/>
    <x v="230"/>
    <x v="0"/>
    <m/>
    <s v="NO APLICA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866"/>
    <m/>
    <x v="674"/>
    <m/>
    <m/>
    <m/>
    <s v="CERRADO"/>
    <n v="203616"/>
    <x v="15"/>
    <x v="2"/>
    <x v="363"/>
    <d v="2020-02-12T00:00:00"/>
    <s v="CAD"/>
    <m/>
    <s v="SI0019035c"/>
    <m/>
    <d v="2020-04-01T00:00:00"/>
    <s v="CANCELADO"/>
    <s v="CFR"/>
    <m/>
    <x v="100"/>
    <n v="121.05797"/>
    <m/>
    <x v="753"/>
    <x v="17"/>
    <s v="Granel"/>
    <m/>
    <s v="Granel Sólido"/>
    <m/>
    <m/>
    <s v="MARZO '20"/>
    <x v="0"/>
    <m/>
    <m/>
    <m/>
    <x v="443"/>
    <m/>
    <m/>
    <x v="440"/>
    <n v="4"/>
    <n v="2020"/>
    <x v="0"/>
    <x v="0"/>
    <s v="JINGJIANG / CHINA"/>
    <x v="2"/>
    <m/>
    <x v="1"/>
    <x v="52"/>
    <d v="2020-03-19T00:00:00"/>
    <s v="MV SAN FELICE "/>
    <x v="230"/>
    <x v="0"/>
    <m/>
    <s v="NO APLICA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867"/>
    <m/>
    <x v="675"/>
    <m/>
    <m/>
    <m/>
    <s v="CERRADO"/>
    <n v="206569"/>
    <x v="14"/>
    <x v="2"/>
    <x v="364"/>
    <d v="2020-02-12T00:00:00"/>
    <s v="CAD"/>
    <m/>
    <s v="SI0019040a"/>
    <m/>
    <d v="2020-04-01T00:00:00"/>
    <s v="CANCELADO"/>
    <s v="CFR"/>
    <m/>
    <x v="1"/>
    <n v="323"/>
    <m/>
    <x v="754"/>
    <x v="17"/>
    <s v="Granel"/>
    <m/>
    <s v="Granel Sólido"/>
    <m/>
    <m/>
    <s v="MARZO '20"/>
    <x v="0"/>
    <m/>
    <m/>
    <m/>
    <x v="441"/>
    <m/>
    <m/>
    <x v="438"/>
    <n v="4"/>
    <n v="2020"/>
    <x v="0"/>
    <x v="0"/>
    <s v="NANJING / CHINA"/>
    <x v="0"/>
    <m/>
    <x v="1"/>
    <x v="599"/>
    <d v="2020-03-20T00:00:00"/>
    <s v="MV SAN FELICE "/>
    <x v="230"/>
    <x v="0"/>
    <m/>
    <s v="NO APLICA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868"/>
    <m/>
    <x v="676"/>
    <m/>
    <m/>
    <m/>
    <s v="CERRADO"/>
    <n v="206569"/>
    <x v="14"/>
    <x v="2"/>
    <x v="364"/>
    <d v="2020-02-12T00:00:00"/>
    <s v="CAD"/>
    <m/>
    <s v="SI0019040b"/>
    <m/>
    <d v="2020-04-01T00:00:00"/>
    <s v="CANCELADO"/>
    <s v="CFR"/>
    <m/>
    <x v="138"/>
    <n v="323"/>
    <m/>
    <x v="755"/>
    <x v="17"/>
    <s v="Granel"/>
    <m/>
    <s v="Granel Sólido"/>
    <m/>
    <m/>
    <s v="MARZO '20"/>
    <x v="0"/>
    <m/>
    <m/>
    <m/>
    <x v="442"/>
    <m/>
    <m/>
    <x v="439"/>
    <n v="4"/>
    <n v="2020"/>
    <x v="0"/>
    <x v="0"/>
    <s v="NANJING / CHINA"/>
    <x v="1"/>
    <m/>
    <x v="1"/>
    <x v="600"/>
    <d v="2020-03-20T00:00:00"/>
    <s v="MV SAN FELICE "/>
    <x v="230"/>
    <x v="0"/>
    <m/>
    <s v="NO APLICA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869"/>
    <m/>
    <x v="677"/>
    <m/>
    <m/>
    <m/>
    <s v="CERRADO"/>
    <n v="206569"/>
    <x v="14"/>
    <x v="2"/>
    <x v="365"/>
    <d v="2020-02-12T00:00:00"/>
    <n v="180"/>
    <s v="días BL"/>
    <s v="SI0019041a"/>
    <m/>
    <d v="2020-10-19T00:00:00"/>
    <s v="CANCELADO"/>
    <s v="CFR"/>
    <m/>
    <x v="70"/>
    <n v="345.66"/>
    <m/>
    <x v="756"/>
    <x v="17"/>
    <s v="Granel"/>
    <m/>
    <s v="Granel Sólido"/>
    <m/>
    <m/>
    <s v="MARZO '20"/>
    <x v="0"/>
    <m/>
    <m/>
    <m/>
    <x v="442"/>
    <m/>
    <m/>
    <x v="439"/>
    <n v="4"/>
    <n v="2020"/>
    <x v="0"/>
    <x v="0"/>
    <s v="NANJING / CHINA"/>
    <x v="1"/>
    <m/>
    <x v="1"/>
    <x v="601"/>
    <d v="2020-03-20T00:00:00"/>
    <s v="MV SAN FELICE "/>
    <x v="230"/>
    <x v="0"/>
    <m/>
    <s v="NO APLICA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870"/>
    <m/>
    <x v="678"/>
    <m/>
    <m/>
    <m/>
    <s v="CERRADO"/>
    <n v="206569"/>
    <x v="14"/>
    <x v="2"/>
    <x v="364"/>
    <d v="2020-02-12T00:00:00"/>
    <s v="CAD"/>
    <m/>
    <s v="SI0019040c"/>
    <m/>
    <d v="2020-04-01T00:00:00"/>
    <s v="CANCELADO"/>
    <s v="CFR"/>
    <m/>
    <x v="377"/>
    <n v="323"/>
    <m/>
    <x v="757"/>
    <x v="17"/>
    <s v="Granel"/>
    <m/>
    <s v="Granel Sólido"/>
    <m/>
    <m/>
    <s v="MARZO '20"/>
    <x v="0"/>
    <m/>
    <m/>
    <m/>
    <x v="443"/>
    <m/>
    <m/>
    <x v="440"/>
    <n v="4"/>
    <n v="2020"/>
    <x v="0"/>
    <x v="0"/>
    <s v="NANJING / CHINA"/>
    <x v="2"/>
    <m/>
    <x v="1"/>
    <x v="602"/>
    <d v="2020-03-20T00:00:00"/>
    <s v="MV SAN FELICE "/>
    <x v="230"/>
    <x v="0"/>
    <m/>
    <s v="NO APLICA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871"/>
    <m/>
    <x v="679"/>
    <m/>
    <m/>
    <m/>
    <s v="CERRADO"/>
    <n v="206569"/>
    <x v="14"/>
    <x v="2"/>
    <x v="365"/>
    <d v="2020-02-12T00:00:00"/>
    <n v="180"/>
    <s v="días BL"/>
    <s v="SI0019041b"/>
    <m/>
    <d v="2020-10-19T00:00:00"/>
    <s v="CANCELADO"/>
    <s v="CFR"/>
    <m/>
    <x v="17"/>
    <n v="345.66"/>
    <m/>
    <x v="758"/>
    <x v="17"/>
    <s v="Granel"/>
    <m/>
    <s v="Granel Sólido"/>
    <m/>
    <m/>
    <s v="MARZO '20"/>
    <x v="0"/>
    <m/>
    <m/>
    <m/>
    <x v="443"/>
    <m/>
    <m/>
    <x v="440"/>
    <n v="4"/>
    <n v="2020"/>
    <x v="0"/>
    <x v="0"/>
    <s v="NANJING / CHINA"/>
    <x v="2"/>
    <m/>
    <x v="1"/>
    <x v="603"/>
    <d v="2020-03-20T00:00:00"/>
    <s v="MV SAN FELICE "/>
    <x v="230"/>
    <x v="0"/>
    <m/>
    <s v="NO APLICA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872"/>
    <m/>
    <x v="680"/>
    <m/>
    <m/>
    <m/>
    <s v="CERRADO"/>
    <n v="206569"/>
    <x v="14"/>
    <x v="2"/>
    <x v="364"/>
    <d v="2020-02-12T00:00:00"/>
    <s v="CAD"/>
    <m/>
    <s v="SI0019040d"/>
    <m/>
    <d v="2020-04-01T00:00:00"/>
    <s v="CANCELADO"/>
    <s v="CFR"/>
    <m/>
    <x v="127"/>
    <n v="323"/>
    <m/>
    <x v="759"/>
    <x v="17"/>
    <s v="Granel"/>
    <m/>
    <s v="Granel Sólido"/>
    <m/>
    <m/>
    <s v="MARZO '20"/>
    <x v="0"/>
    <m/>
    <m/>
    <m/>
    <x v="444"/>
    <m/>
    <m/>
    <x v="441"/>
    <n v="5"/>
    <n v="2020"/>
    <x v="0"/>
    <x v="0"/>
    <s v="NANJING / CHINA"/>
    <x v="4"/>
    <m/>
    <x v="4"/>
    <x v="604"/>
    <d v="2020-03-20T00:00:00"/>
    <s v="MV SAN FELICE "/>
    <x v="230"/>
    <x v="0"/>
    <m/>
    <s v="NO APLICA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E-S"/>
    <x v="0"/>
    <x v="0"/>
    <m/>
    <m/>
    <x v="873"/>
    <m/>
    <x v="681"/>
    <m/>
    <m/>
    <m/>
    <s v="CERRADO"/>
    <n v="209986"/>
    <x v="55"/>
    <x v="28"/>
    <x v="72"/>
    <d v="2020-02-25T00:00:00"/>
    <n v="30"/>
    <s v="días BL"/>
    <s v="1242"/>
    <m/>
    <d v="2020-04-28T00:00:00"/>
    <s v="CANCELADO"/>
    <s v="CFR"/>
    <m/>
    <x v="145"/>
    <n v="280"/>
    <m/>
    <x v="237"/>
    <x v="1"/>
    <s v="Contenedor 20'"/>
    <m/>
    <s v="50 kg"/>
    <m/>
    <m/>
    <s v="MARZO '20"/>
    <x v="0"/>
    <m/>
    <m/>
    <m/>
    <x v="445"/>
    <m/>
    <m/>
    <x v="442"/>
    <n v="4"/>
    <n v="2020"/>
    <x v="0"/>
    <x v="0"/>
    <s v="QUETZAL/ GUATEMALA"/>
    <x v="2"/>
    <m/>
    <x v="1"/>
    <x v="605"/>
    <d v="2020-03-29T00:00:00"/>
    <s v="E.R. FRANCE"/>
    <x v="231"/>
    <x v="14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T-S"/>
    <x v="0"/>
    <x v="0"/>
    <m/>
    <m/>
    <x v="874"/>
    <m/>
    <x v="682"/>
    <m/>
    <m/>
    <m/>
    <s v="CERRADO"/>
    <n v="208071"/>
    <x v="106"/>
    <x v="53"/>
    <x v="366"/>
    <d v="2020-02-15T00:00:00"/>
    <n v="30"/>
    <s v="días BL"/>
    <s v="F200-00042222"/>
    <m/>
    <d v="2020-04-01T00:00:00"/>
    <s v="CANCELADO"/>
    <s v="CFR"/>
    <m/>
    <x v="378"/>
    <n v="246.35"/>
    <m/>
    <x v="760"/>
    <x v="13"/>
    <s v="Contenedor 20'"/>
    <m/>
    <s v="25 kg"/>
    <m/>
    <m/>
    <s v="MARZO '20"/>
    <x v="0"/>
    <m/>
    <m/>
    <m/>
    <x v="446"/>
    <m/>
    <m/>
    <x v="443"/>
    <n v="3"/>
    <n v="2020"/>
    <x v="0"/>
    <x v="0"/>
    <s v="CARTAGENA / COLOMBIA"/>
    <x v="2"/>
    <m/>
    <x v="3"/>
    <x v="606"/>
    <d v="2020-03-02T00:00:00"/>
    <s v="MSC ELMA"/>
    <x v="232"/>
    <x v="4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T-S"/>
    <x v="0"/>
    <x v="0"/>
    <m/>
    <m/>
    <x v="875"/>
    <m/>
    <x v="683"/>
    <m/>
    <m/>
    <m/>
    <s v="CERRADO"/>
    <n v="208071"/>
    <x v="106"/>
    <x v="53"/>
    <x v="8"/>
    <d v="2020-02-15T00:00:00"/>
    <n v="30"/>
    <s v="días BL"/>
    <s v="F200-00042243"/>
    <m/>
    <d v="2020-04-09T00:00:00"/>
    <s v="CANCELADO"/>
    <s v="CFR"/>
    <m/>
    <x v="171"/>
    <n v="246.35"/>
    <m/>
    <x v="761"/>
    <x v="8"/>
    <s v="Contenedor 20'"/>
    <m/>
    <s v="25 kg"/>
    <m/>
    <m/>
    <s v="MARZO '20"/>
    <x v="0"/>
    <m/>
    <m/>
    <m/>
    <x v="447"/>
    <m/>
    <m/>
    <x v="444"/>
    <n v="3"/>
    <n v="2020"/>
    <x v="0"/>
    <x v="0"/>
    <s v="CARTAGENA / COLOMBIA"/>
    <x v="2"/>
    <m/>
    <x v="3"/>
    <x v="607"/>
    <d v="2020-03-10T00:00:00"/>
    <s v="MSC EARTH"/>
    <x v="219"/>
    <x v="4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T-S"/>
    <x v="0"/>
    <x v="0"/>
    <m/>
    <m/>
    <x v="876"/>
    <m/>
    <x v="684"/>
    <m/>
    <m/>
    <m/>
    <s v="CERRADO"/>
    <n v="208071"/>
    <x v="106"/>
    <x v="53"/>
    <x v="8"/>
    <d v="2020-02-15T00:00:00"/>
    <n v="30"/>
    <s v="días BL"/>
    <s v="F200-00042237"/>
    <m/>
    <d v="2020-04-05T00:00:00"/>
    <s v="CANCELADO"/>
    <s v="CFR"/>
    <m/>
    <x v="99"/>
    <n v="246.35"/>
    <m/>
    <x v="762"/>
    <x v="21"/>
    <s v="Contenedor 20'"/>
    <m/>
    <s v="25 kg"/>
    <m/>
    <m/>
    <s v="MARZO '20"/>
    <x v="0"/>
    <m/>
    <m/>
    <m/>
    <x v="448"/>
    <m/>
    <m/>
    <x v="444"/>
    <n v="3"/>
    <n v="2020"/>
    <x v="0"/>
    <x v="0"/>
    <s v="CARTAGENA / COLOMBIA"/>
    <x v="0"/>
    <m/>
    <x v="1"/>
    <x v="608"/>
    <d v="2020-03-06T00:00:00"/>
    <s v="LIMARI"/>
    <x v="217"/>
    <x v="9"/>
    <m/>
    <s v="REALIZADO"/>
    <m/>
    <m/>
    <m/>
    <m/>
    <x v="0"/>
    <d v="2020-03-31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877"/>
    <m/>
    <x v="685"/>
    <m/>
    <m/>
    <m/>
    <s v="CERRADO"/>
    <n v="207951"/>
    <x v="6"/>
    <x v="2"/>
    <x v="367"/>
    <d v="2020-03-04T00:00:00"/>
    <s v="CAD"/>
    <m/>
    <s v="SI0018961b"/>
    <m/>
    <d v="2020-03-31T00:00:00"/>
    <s v="CANCELADO"/>
    <s v="CFR"/>
    <m/>
    <x v="70"/>
    <n v="272"/>
    <m/>
    <x v="763"/>
    <x v="17"/>
    <s v="Granel"/>
    <m/>
    <s v="Granel Sólido"/>
    <m/>
    <m/>
    <s v="MARZO '20"/>
    <x v="0"/>
    <m/>
    <m/>
    <m/>
    <x v="449"/>
    <m/>
    <m/>
    <x v="433"/>
    <n v="4"/>
    <n v="2020"/>
    <x v="0"/>
    <x v="0"/>
    <s v="KOTKA / FINLANDIA"/>
    <x v="0"/>
    <m/>
    <x v="1"/>
    <x v="609"/>
    <d v="2020-03-19T00:00:00"/>
    <s v="MV MYKONOS BAY "/>
    <x v="233"/>
    <x v="0"/>
    <m/>
    <s v="NO APLICA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878"/>
    <m/>
    <x v="686"/>
    <m/>
    <m/>
    <m/>
    <s v="CERRADO"/>
    <n v="207951"/>
    <x v="6"/>
    <x v="2"/>
    <x v="367"/>
    <d v="2020-03-04T00:00:00"/>
    <s v="CAD"/>
    <m/>
    <s v="SI0018961c"/>
    <m/>
    <d v="2020-03-31T00:00:00"/>
    <s v="CANCELADO"/>
    <s v="CFR"/>
    <m/>
    <x v="94"/>
    <n v="272"/>
    <m/>
    <x v="764"/>
    <x v="17"/>
    <s v="Granel"/>
    <m/>
    <s v="Granel Sólido"/>
    <m/>
    <m/>
    <s v="MARZO '20"/>
    <x v="0"/>
    <m/>
    <m/>
    <m/>
    <x v="427"/>
    <m/>
    <m/>
    <x v="422"/>
    <n v="4"/>
    <n v="2020"/>
    <x v="0"/>
    <x v="0"/>
    <s v="KOTKA / FINLANDIA"/>
    <x v="1"/>
    <m/>
    <x v="1"/>
    <x v="610"/>
    <d v="2020-03-19T00:00:00"/>
    <s v="MV MYKONOS BAY "/>
    <x v="233"/>
    <x v="0"/>
    <m/>
    <s v="NO APLICA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879"/>
    <m/>
    <x v="687"/>
    <m/>
    <m/>
    <m/>
    <s v="CERRADO"/>
    <n v="207951"/>
    <x v="6"/>
    <x v="2"/>
    <x v="367"/>
    <d v="2020-03-04T00:00:00"/>
    <s v="CAD"/>
    <m/>
    <s v="SI0018961a"/>
    <m/>
    <d v="2020-03-31T00:00:00"/>
    <s v="CANCELADO"/>
    <s v="CFR"/>
    <m/>
    <x v="189"/>
    <n v="272"/>
    <m/>
    <x v="765"/>
    <x v="17"/>
    <s v="Granel"/>
    <m/>
    <s v="Granel Sólido"/>
    <m/>
    <m/>
    <s v="MARZO '20"/>
    <x v="0"/>
    <m/>
    <m/>
    <m/>
    <x v="433"/>
    <m/>
    <m/>
    <x v="428"/>
    <n v="4"/>
    <n v="2020"/>
    <x v="0"/>
    <x v="0"/>
    <s v="KOTKA / FINLANDIA"/>
    <x v="2"/>
    <m/>
    <x v="1"/>
    <x v="611"/>
    <d v="2020-03-19T00:00:00"/>
    <s v="MV MYKONOS BAY "/>
    <x v="233"/>
    <x v="0"/>
    <m/>
    <s v="NO APLICA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880"/>
    <m/>
    <x v="688"/>
    <m/>
    <m/>
    <m/>
    <s v="CERRADO"/>
    <n v="206615"/>
    <x v="108"/>
    <x v="50"/>
    <x v="8"/>
    <d v="2020-03-05T00:00:00"/>
    <n v="60"/>
    <s v="días BL"/>
    <s v="463"/>
    <m/>
    <d v="2020-07-09T00:00:00"/>
    <s v="CANCELADO"/>
    <s v="CIF"/>
    <m/>
    <x v="143"/>
    <n v="719"/>
    <m/>
    <x v="766"/>
    <x v="1"/>
    <s v="Contenedor 20'"/>
    <m/>
    <s v="25 kg"/>
    <m/>
    <m/>
    <s v="MARZO '20"/>
    <x v="0"/>
    <m/>
    <m/>
    <m/>
    <x v="450"/>
    <m/>
    <m/>
    <x v="445"/>
    <n v="5"/>
    <n v="2020"/>
    <x v="0"/>
    <x v="0"/>
    <s v="IQUIQUE / CHILE"/>
    <x v="2"/>
    <m/>
    <x v="1"/>
    <x v="612"/>
    <d v="2020-05-14T00:00:00"/>
    <s v="POLYNESIA"/>
    <x v="111"/>
    <x v="2"/>
    <m/>
    <s v="REALIZADO"/>
    <m/>
    <m/>
    <m/>
    <m/>
    <x v="0"/>
    <d v="2020-06-08T00:00:00"/>
    <m/>
    <x v="0"/>
    <x v="0"/>
    <m/>
    <m/>
    <x v="0"/>
    <e v="#REF!"/>
    <m/>
    <m/>
    <m/>
    <m/>
    <m/>
    <x v="0"/>
    <s v="anulada: 8000000718"/>
    <m/>
    <m/>
    <m/>
    <s v="NACIONALIZADO"/>
    <m/>
    <m/>
    <m/>
  </r>
  <r>
    <n v="2020"/>
    <s v="S-S"/>
    <x v="0"/>
    <x v="0"/>
    <m/>
    <m/>
    <x v="881"/>
    <m/>
    <x v="689"/>
    <m/>
    <m/>
    <m/>
    <s v="CERRADO"/>
    <n v="206615"/>
    <x v="108"/>
    <x v="50"/>
    <x v="8"/>
    <d v="2020-03-05T00:00:00"/>
    <n v="60"/>
    <s v="días BL"/>
    <s v="464"/>
    <m/>
    <d v="2020-07-09T00:00:00"/>
    <s v="CANCELADO"/>
    <s v="CIF"/>
    <m/>
    <x v="143"/>
    <n v="727"/>
    <m/>
    <x v="767"/>
    <x v="1"/>
    <s v="Contenedor 20'"/>
    <m/>
    <s v="25 kg"/>
    <m/>
    <m/>
    <s v="MARZO '20"/>
    <x v="0"/>
    <m/>
    <m/>
    <m/>
    <x v="451"/>
    <m/>
    <m/>
    <x v="446"/>
    <n v="6"/>
    <n v="2020"/>
    <x v="0"/>
    <x v="0"/>
    <s v="IQUIQUE / CHILE"/>
    <x v="0"/>
    <m/>
    <x v="1"/>
    <x v="613"/>
    <d v="2020-05-14T00:00:00"/>
    <s v="POLYNESIA"/>
    <x v="119"/>
    <x v="2"/>
    <m/>
    <s v="REALIZADO"/>
    <m/>
    <m/>
    <m/>
    <m/>
    <x v="0"/>
    <m/>
    <m/>
    <x v="0"/>
    <x v="0"/>
    <m/>
    <m/>
    <x v="0"/>
    <e v="#REF!"/>
    <m/>
    <m/>
    <m/>
    <m/>
    <m/>
    <x v="0"/>
    <s v="anulada: 8000000719"/>
    <m/>
    <m/>
    <m/>
    <s v="NACIONALIZADO"/>
    <m/>
    <m/>
    <m/>
  </r>
  <r>
    <n v="2020"/>
    <s v="E-S"/>
    <x v="0"/>
    <x v="0"/>
    <m/>
    <m/>
    <x v="882"/>
    <m/>
    <x v="690"/>
    <m/>
    <m/>
    <m/>
    <s v="CERRADO"/>
    <n v="209986"/>
    <x v="55"/>
    <x v="28"/>
    <x v="72"/>
    <d v="2020-03-09T00:00:00"/>
    <n v="30"/>
    <s v="días BL"/>
    <s v="1272"/>
    <m/>
    <d v="2020-05-19T00:00:00"/>
    <s v="CANCELADO"/>
    <s v="CFR"/>
    <m/>
    <x v="145"/>
    <n v="280"/>
    <m/>
    <x v="237"/>
    <x v="1"/>
    <s v="Contenedor 20'"/>
    <m/>
    <s v="50 kg"/>
    <m/>
    <m/>
    <s v="ABRIL '20"/>
    <x v="0"/>
    <m/>
    <m/>
    <m/>
    <x v="433"/>
    <m/>
    <m/>
    <x v="447"/>
    <n v="5"/>
    <n v="2020"/>
    <x v="0"/>
    <x v="0"/>
    <s v="QUETZAL/ GUATEMALA"/>
    <x v="2"/>
    <m/>
    <x v="1"/>
    <x v="614"/>
    <d v="2020-04-19T00:00:00"/>
    <s v="LONG BEACH TRADER"/>
    <x v="234"/>
    <x v="14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883"/>
    <m/>
    <x v="691"/>
    <m/>
    <m/>
    <m/>
    <s v="CERRADO"/>
    <n v="206971"/>
    <x v="3"/>
    <x v="51"/>
    <x v="368"/>
    <d v="2020-03-16T00:00:00"/>
    <n v="90"/>
    <s v="días BL"/>
    <s v="5000063"/>
    <m/>
    <d v="2020-07-09T00:00:00"/>
    <s v="CANCELADO"/>
    <s v="CPT"/>
    <m/>
    <x v="4"/>
    <n v="467"/>
    <m/>
    <x v="768"/>
    <x v="38"/>
    <s v="Contenedor 20'"/>
    <m/>
    <s v="25 kg"/>
    <m/>
    <m/>
    <s v="MARZO - ABRIL '20"/>
    <x v="0"/>
    <m/>
    <m/>
    <m/>
    <x v="450"/>
    <m/>
    <m/>
    <x v="448"/>
    <n v="5"/>
    <n v="2020"/>
    <x v="0"/>
    <x v="0"/>
    <s v="KAOHSIUNG / TAIWAN"/>
    <x v="2"/>
    <m/>
    <x v="1"/>
    <x v="615"/>
    <d v="2020-04-12T00:00:00"/>
    <s v="CMA CGM MUMBAI"/>
    <x v="235"/>
    <x v="9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884"/>
    <m/>
    <x v="692"/>
    <m/>
    <m/>
    <m/>
    <s v="CERRADO"/>
    <n v="206971"/>
    <x v="3"/>
    <x v="51"/>
    <x v="368"/>
    <d v="2020-03-16T00:00:00"/>
    <n v="90"/>
    <s v="días BL"/>
    <s v="5000082"/>
    <m/>
    <d v="2020-07-24T00:00:00"/>
    <s v="CANCELADO"/>
    <s v="CPT"/>
    <m/>
    <x v="35"/>
    <n v="467"/>
    <m/>
    <x v="769"/>
    <x v="26"/>
    <s v="Contenedor 20'"/>
    <m/>
    <s v="25 kg"/>
    <m/>
    <m/>
    <s v="MARZO - ABRIL '20"/>
    <x v="0"/>
    <m/>
    <m/>
    <m/>
    <x v="452"/>
    <m/>
    <m/>
    <x v="449"/>
    <n v="6"/>
    <n v="2020"/>
    <x v="0"/>
    <x v="0"/>
    <s v="KAOHSIUNG / TAIWAN"/>
    <x v="2"/>
    <m/>
    <x v="1"/>
    <x v="616"/>
    <d v="2020-04-25T00:00:00"/>
    <s v="KOTA CEPAT "/>
    <x v="236"/>
    <x v="22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885"/>
    <m/>
    <x v="693"/>
    <m/>
    <m/>
    <m/>
    <s v="CERRADO"/>
    <n v="206971"/>
    <x v="3"/>
    <x v="51"/>
    <x v="369"/>
    <d v="2020-03-16T00:00:00"/>
    <n v="90"/>
    <s v="días BL"/>
    <s v="5000095"/>
    <m/>
    <d v="2020-08-14T00:00:00"/>
    <s v="CANCELADO"/>
    <s v="CPT"/>
    <m/>
    <x v="3"/>
    <n v="467"/>
    <m/>
    <x v="770"/>
    <x v="36"/>
    <s v="Contenedor 20'"/>
    <m/>
    <s v="25 kg"/>
    <m/>
    <m/>
    <s v="ABRIL - MAYO '20"/>
    <x v="0"/>
    <m/>
    <m/>
    <m/>
    <x v="453"/>
    <m/>
    <m/>
    <x v="450"/>
    <n v="6"/>
    <n v="2020"/>
    <x v="0"/>
    <x v="0"/>
    <s v="KAOHSIUNG / TAIWAN"/>
    <x v="2"/>
    <m/>
    <x v="1"/>
    <x v="617"/>
    <d v="2020-05-17T00:00:00"/>
    <s v="CMA CGM ESTELLE "/>
    <x v="237"/>
    <x v="8"/>
    <m/>
    <s v="REALIZADO"/>
    <m/>
    <m/>
    <m/>
    <m/>
    <x v="0"/>
    <d v="2020-05-30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886"/>
    <m/>
    <x v="694"/>
    <m/>
    <m/>
    <m/>
    <s v="CERRADO"/>
    <n v="206971"/>
    <x v="3"/>
    <x v="51"/>
    <x v="369"/>
    <d v="2020-03-16T00:00:00"/>
    <n v="90"/>
    <s v="días BL"/>
    <s v="5000107"/>
    <m/>
    <d v="2020-08-24T00:00:00"/>
    <s v="CANCELADO"/>
    <s v="CPT"/>
    <m/>
    <x v="100"/>
    <n v="477"/>
    <m/>
    <x v="771"/>
    <x v="37"/>
    <s v="Contenedor 40'"/>
    <m/>
    <s v="25 kg"/>
    <m/>
    <m/>
    <s v="ABRIL - MAYO '20"/>
    <x v="0"/>
    <m/>
    <m/>
    <m/>
    <x v="454"/>
    <m/>
    <m/>
    <x v="451"/>
    <n v="7"/>
    <n v="2020"/>
    <x v="0"/>
    <x v="0"/>
    <s v="KAOHSIUNG / TAIWAN"/>
    <x v="0"/>
    <m/>
    <x v="5"/>
    <x v="618"/>
    <d v="2020-05-26T00:00:00"/>
    <s v="ULSAN EXPRESS "/>
    <x v="149"/>
    <x v="16"/>
    <m/>
    <s v="REALIZADO"/>
    <m/>
    <m/>
    <m/>
    <m/>
    <x v="0"/>
    <d v="2020-08-05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E-S"/>
    <x v="0"/>
    <x v="0"/>
    <m/>
    <m/>
    <x v="887"/>
    <m/>
    <x v="695"/>
    <m/>
    <m/>
    <m/>
    <s v="CERRADO"/>
    <n v="209865"/>
    <x v="49"/>
    <x v="51"/>
    <x v="370"/>
    <d v="2020-03-11T00:00:00"/>
    <n v="90"/>
    <s v="días BL"/>
    <s v="20200139"/>
    <m/>
    <d v="2020-07-16T00:00:00"/>
    <s v="CANCELADO"/>
    <s v="CPT"/>
    <m/>
    <x v="379"/>
    <n v="9479.9445512677194"/>
    <m/>
    <x v="772"/>
    <x v="11"/>
    <s v="Contenedor 20'"/>
    <m/>
    <s v="Granel Líquido"/>
    <m/>
    <m/>
    <s v="ABRIL '20"/>
    <x v="0"/>
    <m/>
    <m/>
    <m/>
    <x v="440"/>
    <m/>
    <m/>
    <x v="437"/>
    <n v="5"/>
    <n v="2020"/>
    <x v="0"/>
    <x v="0"/>
    <s v="LOS ANGELES / USA"/>
    <x v="2"/>
    <m/>
    <x v="1"/>
    <x v="619"/>
    <d v="2020-04-19T00:00:00"/>
    <s v="MV TUBUL"/>
    <x v="39"/>
    <x v="2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C"/>
    <x v="0"/>
    <x v="0"/>
    <m/>
    <m/>
    <x v="888"/>
    <m/>
    <x v="696"/>
    <m/>
    <m/>
    <m/>
    <s v="CERRADO"/>
    <n v="206573"/>
    <x v="5"/>
    <x v="41"/>
    <x v="371"/>
    <d v="2020-04-06T00:00:00"/>
    <n v="150"/>
    <s v="días BL"/>
    <s v="B7FE-20-3008-ANPE-01"/>
    <m/>
    <d v="2020-09-25T00:00:00"/>
    <s v="CANCELADO"/>
    <s v="CFR"/>
    <m/>
    <x v="126"/>
    <n v="273.39999999999998"/>
    <m/>
    <x v="773"/>
    <x v="0"/>
    <s v="Granel"/>
    <m/>
    <s v="Granel Sólido"/>
    <m/>
    <m/>
    <s v="ABRIL '20"/>
    <x v="0"/>
    <m/>
    <m/>
    <m/>
    <x v="455"/>
    <m/>
    <m/>
    <x v="452"/>
    <n v="6"/>
    <n v="2020"/>
    <x v="0"/>
    <x v="0"/>
    <s v="RIGA / LETONIA"/>
    <x v="0"/>
    <m/>
    <x v="1"/>
    <x v="1"/>
    <d v="2020-04-29T00:00:00"/>
    <s v="MV FEDERAL YELLOWSTONE"/>
    <x v="238"/>
    <x v="0"/>
    <m/>
    <s v="NO APLICA"/>
    <m/>
    <m/>
    <m/>
    <m/>
    <x v="0"/>
    <n v="28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C"/>
    <x v="0"/>
    <x v="0"/>
    <m/>
    <m/>
    <x v="889"/>
    <m/>
    <x v="697"/>
    <m/>
    <m/>
    <m/>
    <s v="CERRADO"/>
    <n v="206573"/>
    <x v="5"/>
    <x v="41"/>
    <x v="371"/>
    <d v="2020-04-06T00:00:00"/>
    <n v="150"/>
    <s v="días BL"/>
    <s v="B7FE-20-3008-ANPE-02"/>
    <m/>
    <d v="2020-09-25T00:00:00"/>
    <s v="CANCELADO"/>
    <s v="CFR"/>
    <m/>
    <x v="380"/>
    <n v="273.39999999999998"/>
    <m/>
    <x v="774"/>
    <x v="0"/>
    <s v="Granel"/>
    <m/>
    <s v="Granel Sólido"/>
    <m/>
    <m/>
    <s v="ABRIL '20"/>
    <x v="0"/>
    <m/>
    <m/>
    <m/>
    <x v="451"/>
    <m/>
    <m/>
    <x v="453"/>
    <n v="6"/>
    <n v="2020"/>
    <x v="0"/>
    <x v="0"/>
    <s v="RIGA / LETONIA"/>
    <x v="1"/>
    <m/>
    <x v="1"/>
    <x v="2"/>
    <d v="2020-04-29T00:00:00"/>
    <s v="MV FEDERAL YELLOWSTONE"/>
    <x v="238"/>
    <x v="0"/>
    <m/>
    <s v="NO APLICA"/>
    <m/>
    <m/>
    <m/>
    <m/>
    <x v="0"/>
    <n v="35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C"/>
    <x v="0"/>
    <x v="0"/>
    <m/>
    <m/>
    <x v="890"/>
    <m/>
    <x v="698"/>
    <m/>
    <m/>
    <m/>
    <s v="CERRADO"/>
    <n v="206573"/>
    <x v="5"/>
    <x v="41"/>
    <x v="371"/>
    <d v="2020-04-06T00:00:00"/>
    <n v="150"/>
    <s v="días BL"/>
    <s v="B7FE-20-3008-ANPE-03"/>
    <m/>
    <d v="2020-09-25T00:00:00"/>
    <s v="CANCELADO"/>
    <s v="CFR"/>
    <m/>
    <x v="125"/>
    <n v="273.39999999999998"/>
    <m/>
    <x v="775"/>
    <x v="0"/>
    <s v="Granel"/>
    <m/>
    <s v="Granel Sólido"/>
    <m/>
    <m/>
    <s v="ABRIL '20"/>
    <x v="0"/>
    <m/>
    <m/>
    <m/>
    <x v="456"/>
    <m/>
    <m/>
    <x v="454"/>
    <n v="6"/>
    <n v="2020"/>
    <x v="0"/>
    <x v="0"/>
    <s v="RIGA / LETONIA"/>
    <x v="2"/>
    <m/>
    <x v="1"/>
    <x v="11"/>
    <d v="2020-04-29T00:00:00"/>
    <s v="MV FEDERAL YELLOWSTONE"/>
    <x v="238"/>
    <x v="0"/>
    <m/>
    <s v="NO APLICA"/>
    <m/>
    <m/>
    <m/>
    <m/>
    <x v="0"/>
    <n v="44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C"/>
    <x v="0"/>
    <x v="0"/>
    <m/>
    <m/>
    <x v="891"/>
    <m/>
    <x v="699"/>
    <m/>
    <m/>
    <m/>
    <s v="CERRADO"/>
    <n v="206573"/>
    <x v="5"/>
    <x v="41"/>
    <x v="371"/>
    <d v="2020-04-06T00:00:00"/>
    <n v="150"/>
    <s v="días BL"/>
    <s v="B7FE-20-3008-ANPE-04"/>
    <m/>
    <d v="2020-09-25T00:00:00"/>
    <s v="CANCELADO"/>
    <s v="CFR"/>
    <m/>
    <x v="45"/>
    <n v="273.39999999999998"/>
    <m/>
    <x v="776"/>
    <x v="0"/>
    <s v="Granel"/>
    <m/>
    <s v="Granel Sólido"/>
    <m/>
    <m/>
    <s v="ABRIL '20"/>
    <x v="0"/>
    <m/>
    <m/>
    <m/>
    <x v="457"/>
    <m/>
    <m/>
    <x v="455"/>
    <n v="6"/>
    <n v="2020"/>
    <x v="0"/>
    <x v="0"/>
    <s v="RIGA / LETONIA"/>
    <x v="3"/>
    <m/>
    <x v="1"/>
    <x v="12"/>
    <d v="2020-04-29T00:00:00"/>
    <s v="MV FEDERAL YELLOWSTONE"/>
    <x v="238"/>
    <x v="0"/>
    <m/>
    <s v="NO APLICA"/>
    <m/>
    <m/>
    <m/>
    <m/>
    <x v="0"/>
    <n v="52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C"/>
    <x v="0"/>
    <x v="0"/>
    <m/>
    <m/>
    <x v="892"/>
    <m/>
    <x v="700"/>
    <m/>
    <m/>
    <m/>
    <s v="CERRADO"/>
    <n v="206573"/>
    <x v="5"/>
    <x v="41"/>
    <x v="371"/>
    <d v="2020-04-06T00:00:00"/>
    <n v="150"/>
    <s v="días BL"/>
    <s v="B7FE-20-3008-ANPE-05"/>
    <m/>
    <d v="2020-09-25T00:00:00"/>
    <s v="CANCELADO"/>
    <s v="CFR"/>
    <m/>
    <x v="44"/>
    <n v="273.39999999999998"/>
    <m/>
    <x v="777"/>
    <x v="0"/>
    <s v="Granel"/>
    <m/>
    <s v="Granel Sólido"/>
    <m/>
    <m/>
    <s v="ABRIL '20"/>
    <x v="0"/>
    <m/>
    <m/>
    <m/>
    <x v="458"/>
    <m/>
    <m/>
    <x v="456"/>
    <n v="6"/>
    <n v="2020"/>
    <x v="0"/>
    <x v="0"/>
    <s v="RIGA / LETONIA"/>
    <x v="4"/>
    <m/>
    <x v="4"/>
    <x v="13"/>
    <d v="2020-04-29T00:00:00"/>
    <s v="MV FEDERAL YELLOWSTONE"/>
    <x v="238"/>
    <x v="0"/>
    <m/>
    <s v="NO APLICA"/>
    <m/>
    <m/>
    <m/>
    <m/>
    <x v="0"/>
    <n v="54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893"/>
    <m/>
    <x v="701"/>
    <m/>
    <m/>
    <m/>
    <s v="CERRADO"/>
    <n v="207791"/>
    <x v="7"/>
    <x v="24"/>
    <x v="372"/>
    <d v="2020-03-12T00:00:00"/>
    <s v="CAD"/>
    <m/>
    <s v="20-04-6515/1"/>
    <m/>
    <d v="2020-05-07T00:00:00"/>
    <s v="CANCELADO"/>
    <s v="CFR"/>
    <m/>
    <x v="70"/>
    <n v="250"/>
    <m/>
    <x v="778"/>
    <x v="0"/>
    <s v="Granel"/>
    <m/>
    <s v="Granel Sólido"/>
    <m/>
    <m/>
    <s v="ABRIL '20"/>
    <x v="0"/>
    <m/>
    <m/>
    <m/>
    <x v="455"/>
    <m/>
    <m/>
    <x v="452"/>
    <n v="6"/>
    <n v="2020"/>
    <x v="0"/>
    <x v="0"/>
    <s v="ST. PETERSBURG / RUSSIA"/>
    <x v="0"/>
    <m/>
    <x v="2"/>
    <x v="620"/>
    <d v="2020-05-01T00:00:00"/>
    <s v="MV FEDERAL YELLOWSTONE"/>
    <x v="238"/>
    <x v="0"/>
    <m/>
    <s v="NO APLICA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894"/>
    <m/>
    <x v="702"/>
    <m/>
    <m/>
    <m/>
    <s v="CERRADO"/>
    <n v="207791"/>
    <x v="7"/>
    <x v="24"/>
    <x v="372"/>
    <d v="2020-03-12T00:00:00"/>
    <s v="CAD"/>
    <m/>
    <s v="20-04-6515/2"/>
    <m/>
    <d v="2020-05-07T00:00:00"/>
    <s v="CANCELADO"/>
    <s v="CFR"/>
    <m/>
    <x v="381"/>
    <n v="250"/>
    <m/>
    <x v="779"/>
    <x v="0"/>
    <s v="Granel"/>
    <m/>
    <s v="Granel Sólido"/>
    <m/>
    <m/>
    <s v="ABRIL '20"/>
    <x v="0"/>
    <m/>
    <m/>
    <m/>
    <x v="451"/>
    <m/>
    <m/>
    <x v="453"/>
    <n v="6"/>
    <n v="2020"/>
    <x v="0"/>
    <x v="0"/>
    <s v="ST. PETERSBURG / RUSSIA"/>
    <x v="1"/>
    <m/>
    <x v="2"/>
    <x v="621"/>
    <d v="2020-05-01T00:00:00"/>
    <s v="MV FEDERAL YELLOWSTONE"/>
    <x v="238"/>
    <x v="0"/>
    <m/>
    <s v="NO APLICA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895"/>
    <m/>
    <x v="703"/>
    <m/>
    <m/>
    <m/>
    <s v="CERRADO"/>
    <n v="207791"/>
    <x v="7"/>
    <x v="24"/>
    <x v="372"/>
    <d v="2020-03-12T00:00:00"/>
    <s v="CAD"/>
    <m/>
    <s v="20-04-6515/3"/>
    <m/>
    <d v="2020-05-07T00:00:00"/>
    <s v="CANCELADO"/>
    <s v="CFR"/>
    <m/>
    <x v="10"/>
    <n v="250"/>
    <m/>
    <x v="138"/>
    <x v="0"/>
    <s v="Granel"/>
    <m/>
    <s v="Granel Sólido"/>
    <m/>
    <m/>
    <s v="ABRIL '20"/>
    <x v="0"/>
    <m/>
    <m/>
    <m/>
    <x v="457"/>
    <m/>
    <m/>
    <x v="455"/>
    <n v="6"/>
    <n v="2020"/>
    <x v="0"/>
    <x v="0"/>
    <s v="ST. PETERSBURG / RUSSIA"/>
    <x v="3"/>
    <m/>
    <x v="1"/>
    <x v="622"/>
    <d v="2020-05-01T00:00:00"/>
    <s v="MV FEDERAL YELLOWSTONE"/>
    <x v="238"/>
    <x v="0"/>
    <m/>
    <s v="NO APLICA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896"/>
    <m/>
    <x v="704"/>
    <m/>
    <m/>
    <m/>
    <s v="CERRADO"/>
    <n v="207791"/>
    <x v="7"/>
    <x v="24"/>
    <x v="372"/>
    <d v="2020-03-12T00:00:00"/>
    <s v="CAD"/>
    <m/>
    <s v="20-04-6515/4"/>
    <m/>
    <d v="2020-05-07T00:00:00"/>
    <s v="CANCELADO"/>
    <s v="CFR"/>
    <m/>
    <x v="0"/>
    <n v="250"/>
    <m/>
    <x v="8"/>
    <x v="0"/>
    <s v="Granel"/>
    <m/>
    <s v="Granel Sólido"/>
    <m/>
    <m/>
    <s v="ABRIL '20"/>
    <x v="0"/>
    <m/>
    <m/>
    <m/>
    <x v="458"/>
    <m/>
    <m/>
    <x v="456"/>
    <n v="6"/>
    <n v="2020"/>
    <x v="0"/>
    <x v="0"/>
    <s v="ST. PETERSBURG / RUSSIA"/>
    <x v="4"/>
    <m/>
    <x v="2"/>
    <x v="623"/>
    <d v="2020-05-01T00:00:00"/>
    <s v="MV FEDERAL YELLOWSTONE"/>
    <x v="238"/>
    <x v="0"/>
    <m/>
    <s v="NO APLICA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897"/>
    <m/>
    <x v="705"/>
    <m/>
    <m/>
    <m/>
    <s v="CERRADO"/>
    <n v="206600"/>
    <x v="1"/>
    <x v="47"/>
    <x v="373"/>
    <d v="2020-03-19T00:00:00"/>
    <n v="90"/>
    <s v="días BL"/>
    <s v="220.070"/>
    <m/>
    <d v="2020-07-14T00:00:00"/>
    <s v="CANCELADO"/>
    <s v="CFR"/>
    <m/>
    <x v="35"/>
    <n v="460"/>
    <m/>
    <x v="780"/>
    <x v="3"/>
    <s v="Granel - BB"/>
    <m/>
    <s v="50 kg"/>
    <m/>
    <m/>
    <s v="MARZO - ABRIL '20"/>
    <x v="0"/>
    <m/>
    <m/>
    <m/>
    <x v="459"/>
    <m/>
    <m/>
    <x v="457"/>
    <n v="7"/>
    <n v="2020"/>
    <x v="0"/>
    <x v="0"/>
    <s v="XINGANG / CHINA"/>
    <x v="2"/>
    <m/>
    <x v="1"/>
    <x v="624"/>
    <d v="2020-04-15T00:00:00"/>
    <s v="MV EMU ARROW"/>
    <x v="239"/>
    <x v="0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E-S"/>
    <x v="0"/>
    <x v="0"/>
    <m/>
    <m/>
    <x v="898"/>
    <m/>
    <x v="706"/>
    <m/>
    <m/>
    <m/>
    <s v="CERRADO"/>
    <n v="207522"/>
    <x v="11"/>
    <x v="10"/>
    <x v="374"/>
    <d v="2020-03-19T00:00:00"/>
    <s v="CAD"/>
    <m/>
    <s v="301001370"/>
    <m/>
    <d v="2020-05-02T00:00:00"/>
    <s v="CANCELADO"/>
    <s v="CFR"/>
    <m/>
    <x v="382"/>
    <n v="215"/>
    <m/>
    <x v="781"/>
    <x v="42"/>
    <s v="Contenedor 20'"/>
    <m/>
    <s v="Granel Sólido"/>
    <m/>
    <m/>
    <s v="MARZO - ABRIL '20"/>
    <x v="0"/>
    <m/>
    <m/>
    <m/>
    <x v="460"/>
    <m/>
    <m/>
    <x v="411"/>
    <n v="5"/>
    <n v="2020"/>
    <x v="0"/>
    <x v="0"/>
    <s v="AMBERES / BELGICA"/>
    <x v="2"/>
    <m/>
    <x v="1"/>
    <x v="625"/>
    <d v="2020-04-25T00:00:00"/>
    <s v="POLAR COSTA RICA"/>
    <x v="240"/>
    <x v="6"/>
    <m/>
    <s v="REALIZADO"/>
    <m/>
    <m/>
    <m/>
    <m/>
    <x v="0"/>
    <d v="2020-06-06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E-S"/>
    <x v="0"/>
    <x v="0"/>
    <m/>
    <m/>
    <x v="899"/>
    <m/>
    <x v="707"/>
    <m/>
    <m/>
    <m/>
    <s v="CERRADO"/>
    <n v="207522"/>
    <x v="11"/>
    <x v="10"/>
    <x v="374"/>
    <d v="2020-03-19T00:00:00"/>
    <s v="CAD"/>
    <m/>
    <s v="301001400"/>
    <m/>
    <d v="2020-05-14T00:00:00"/>
    <s v="CANCELADO"/>
    <s v="CFR"/>
    <m/>
    <x v="383"/>
    <n v="215"/>
    <m/>
    <x v="782"/>
    <x v="43"/>
    <s v="Contenedor 20'"/>
    <m/>
    <s v="Granel Sólido"/>
    <m/>
    <m/>
    <s v="ABRIL - MAYO '20"/>
    <x v="0"/>
    <m/>
    <m/>
    <m/>
    <x v="461"/>
    <m/>
    <m/>
    <x v="458"/>
    <n v="6"/>
    <n v="2020"/>
    <x v="0"/>
    <x v="0"/>
    <s v="AMBERES / BELGICA"/>
    <x v="2"/>
    <m/>
    <x v="1"/>
    <x v="626"/>
    <d v="2020-05-09T00:00:00"/>
    <s v="POLAR ARGENTINA"/>
    <x v="241"/>
    <x v="6"/>
    <m/>
    <s v="REALIZADO"/>
    <m/>
    <m/>
    <m/>
    <m/>
    <x v="0"/>
    <d v="2020-06-20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E-S"/>
    <x v="0"/>
    <x v="0"/>
    <m/>
    <m/>
    <x v="900"/>
    <m/>
    <x v="708"/>
    <m/>
    <m/>
    <m/>
    <s v="CERRADO"/>
    <n v="207522"/>
    <x v="11"/>
    <x v="10"/>
    <x v="374"/>
    <d v="2020-03-19T00:00:00"/>
    <s v="CAD"/>
    <m/>
    <s v="301001429"/>
    <m/>
    <d v="2020-06-12T00:00:00"/>
    <s v="CANCELADO"/>
    <s v="CFR"/>
    <m/>
    <x v="384"/>
    <n v="215"/>
    <m/>
    <x v="783"/>
    <x v="44"/>
    <s v="Contenedor 20'"/>
    <m/>
    <s v="Granel Sólido"/>
    <m/>
    <m/>
    <s v="JUNIO - JULIO '20"/>
    <x v="0"/>
    <m/>
    <m/>
    <m/>
    <x v="462"/>
    <m/>
    <m/>
    <x v="459"/>
    <n v="7"/>
    <n v="2020"/>
    <x v="0"/>
    <x v="0"/>
    <s v="AMBERES / BELGICA"/>
    <x v="0"/>
    <m/>
    <x v="5"/>
    <x v="627"/>
    <d v="2020-06-02T00:00:00"/>
    <s v="POLAR ECUADOR"/>
    <x v="222"/>
    <x v="6"/>
    <m/>
    <s v="REALIZADO"/>
    <m/>
    <m/>
    <m/>
    <m/>
    <x v="0"/>
    <d v="2020-07-18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E-S"/>
    <x v="0"/>
    <x v="0"/>
    <m/>
    <m/>
    <x v="901"/>
    <m/>
    <x v="709"/>
    <m/>
    <m/>
    <m/>
    <s v="CERRADO"/>
    <n v="207522"/>
    <x v="11"/>
    <x v="10"/>
    <x v="374"/>
    <d v="2020-03-19T00:00:00"/>
    <s v="CAD"/>
    <m/>
    <s v="301001434"/>
    <m/>
    <d v="2020-06-24T00:00:00"/>
    <s v="CANCELADO"/>
    <s v="CFR"/>
    <m/>
    <x v="385"/>
    <n v="215"/>
    <m/>
    <x v="784"/>
    <x v="45"/>
    <s v="Contenedor 20'"/>
    <m/>
    <s v="Granel Sólido"/>
    <m/>
    <m/>
    <s v="JULIO - AGOSTO '20"/>
    <x v="0"/>
    <m/>
    <m/>
    <m/>
    <x v="462"/>
    <m/>
    <m/>
    <x v="460"/>
    <n v="7"/>
    <n v="2020"/>
    <x v="0"/>
    <x v="0"/>
    <s v="AMBERES / BELGICA"/>
    <x v="2"/>
    <m/>
    <x v="1"/>
    <x v="628"/>
    <d v="2020-06-06T00:00:00"/>
    <s v="POLAR MEXICO"/>
    <x v="229"/>
    <x v="6"/>
    <m/>
    <s v="REALIZADO"/>
    <m/>
    <m/>
    <m/>
    <m/>
    <x v="0"/>
    <d v="2020-07-18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s v="URGENTE"/>
    <m/>
    <x v="902"/>
    <m/>
    <x v="710"/>
    <m/>
    <m/>
    <m/>
    <s v="CERRADO"/>
    <n v="207579"/>
    <x v="9"/>
    <x v="51"/>
    <x v="375"/>
    <d v="2020-03-03T00:00:00"/>
    <n v="90"/>
    <s v="días BL"/>
    <s v="5000122"/>
    <m/>
    <d v="2020-08-28T00:00:00"/>
    <s v="CANCELADO"/>
    <s v="CFR"/>
    <m/>
    <x v="1"/>
    <n v="257"/>
    <m/>
    <x v="269"/>
    <x v="0"/>
    <s v="Granel - BB"/>
    <m/>
    <s v="25 kg"/>
    <m/>
    <m/>
    <s v="ABRIL '20"/>
    <x v="0"/>
    <m/>
    <m/>
    <m/>
    <x v="463"/>
    <m/>
    <m/>
    <x v="461"/>
    <n v="7"/>
    <n v="2020"/>
    <x v="0"/>
    <x v="0"/>
    <s v="ZHENJIANG / CHINA"/>
    <x v="0"/>
    <m/>
    <x v="2"/>
    <x v="629"/>
    <d v="2020-05-25T00:00:00"/>
    <s v="MV TR CROWN"/>
    <x v="242"/>
    <x v="0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s v="URGENTE"/>
    <m/>
    <x v="903"/>
    <m/>
    <x v="711"/>
    <m/>
    <m/>
    <m/>
    <s v="CERRADO"/>
    <n v="207579"/>
    <x v="9"/>
    <x v="51"/>
    <x v="376"/>
    <d v="2020-03-03T00:00:00"/>
    <n v="90"/>
    <s v="días BL"/>
    <s v="5000138"/>
    <m/>
    <d v="2020-08-26T00:00:00"/>
    <s v="CANCELADO"/>
    <s v="CFR"/>
    <m/>
    <x v="78"/>
    <n v="253"/>
    <m/>
    <x v="785"/>
    <x v="3"/>
    <s v="Granel - BB"/>
    <m/>
    <s v="25 kg"/>
    <m/>
    <m/>
    <s v="ABRIL '20"/>
    <x v="0"/>
    <m/>
    <m/>
    <m/>
    <x v="454"/>
    <m/>
    <m/>
    <x v="462"/>
    <n v="7"/>
    <n v="2020"/>
    <x v="0"/>
    <x v="0"/>
    <s v="TIANJIN / CHINA"/>
    <x v="2"/>
    <m/>
    <x v="1"/>
    <x v="630"/>
    <d v="2020-05-25T00:00:00"/>
    <s v="MV TR CROWN"/>
    <x v="242"/>
    <x v="0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s v="URGENTE"/>
    <m/>
    <x v="904"/>
    <m/>
    <x v="712"/>
    <m/>
    <m/>
    <m/>
    <s v="CERRADO"/>
    <n v="207579"/>
    <x v="9"/>
    <x v="51"/>
    <x v="377"/>
    <d v="2020-03-03T00:00:00"/>
    <n v="90"/>
    <s v="días BL"/>
    <s v="5000139"/>
    <m/>
    <d v="2020-08-27T00:00:00"/>
    <s v="CANCELADO"/>
    <s v="CFR"/>
    <m/>
    <x v="53"/>
    <n v="261"/>
    <m/>
    <x v="786"/>
    <x v="3"/>
    <s v="Granel - BB"/>
    <m/>
    <s v="25 kg"/>
    <m/>
    <m/>
    <s v="ABRIL '20"/>
    <x v="0"/>
    <m/>
    <m/>
    <m/>
    <x v="464"/>
    <m/>
    <m/>
    <x v="463"/>
    <n v="7"/>
    <n v="2020"/>
    <x v="0"/>
    <x v="0"/>
    <s v="TIANJIN / CHINA"/>
    <x v="3"/>
    <m/>
    <x v="1"/>
    <x v="631"/>
    <d v="2020-05-29T00:00:00"/>
    <s v="MV TR CROWN"/>
    <x v="242"/>
    <x v="0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s v="URGENTE"/>
    <m/>
    <x v="905"/>
    <m/>
    <x v="713"/>
    <m/>
    <m/>
    <m/>
    <s v="CERRADO"/>
    <n v="207579"/>
    <x v="9"/>
    <x v="51"/>
    <x v="378"/>
    <d v="2020-03-03T00:00:00"/>
    <n v="90"/>
    <s v="días BL"/>
    <s v="5000140"/>
    <m/>
    <d v="2020-08-27T00:00:00"/>
    <s v="CANCELADO"/>
    <s v="CFR"/>
    <m/>
    <x v="78"/>
    <n v="261"/>
    <m/>
    <x v="787"/>
    <x v="3"/>
    <s v="Granel - BB"/>
    <m/>
    <s v="25 kg"/>
    <m/>
    <m/>
    <s v="ABRIL '20"/>
    <x v="0"/>
    <m/>
    <m/>
    <m/>
    <x v="465"/>
    <m/>
    <m/>
    <x v="464"/>
    <n v="7"/>
    <n v="2020"/>
    <x v="0"/>
    <x v="0"/>
    <s v="TIANJIN / CHINA"/>
    <x v="4"/>
    <m/>
    <x v="2"/>
    <x v="632"/>
    <d v="2020-05-29T00:00:00"/>
    <s v="MV PELICAN ARROW"/>
    <x v="185"/>
    <x v="0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906"/>
    <m/>
    <x v="714"/>
    <m/>
    <m/>
    <m/>
    <s v="CERRADO"/>
    <n v="206966"/>
    <x v="16"/>
    <x v="51"/>
    <x v="379"/>
    <d v="2020-03-27T00:00:00"/>
    <n v="90"/>
    <s v="días BL"/>
    <s v="5000109"/>
    <m/>
    <d v="2020-08-13T00:00:00"/>
    <s v="CANCELADO"/>
    <s v="CFR"/>
    <m/>
    <x v="0"/>
    <n v="616"/>
    <m/>
    <x v="788"/>
    <x v="3"/>
    <s v="Granel - BB"/>
    <m/>
    <s v="25 kg"/>
    <m/>
    <m/>
    <s v="MAYO '20"/>
    <x v="0"/>
    <m/>
    <m/>
    <m/>
    <x v="454"/>
    <m/>
    <m/>
    <x v="465"/>
    <n v="7"/>
    <n v="2020"/>
    <x v="0"/>
    <x v="0"/>
    <s v="ZHENJIANG / CHINA"/>
    <x v="2"/>
    <m/>
    <x v="6"/>
    <x v="633"/>
    <d v="2020-05-15T00:00:00"/>
    <s v="MV TR CROWN"/>
    <x v="242"/>
    <x v="0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907"/>
    <m/>
    <x v="715"/>
    <m/>
    <m/>
    <m/>
    <s v="CERRADO"/>
    <n v="206966"/>
    <x v="16"/>
    <x v="51"/>
    <x v="380"/>
    <d v="2020-03-27T00:00:00"/>
    <n v="90"/>
    <s v="días BL"/>
    <s v="5000110"/>
    <m/>
    <d v="2020-08-14T00:00:00"/>
    <s v="CANCELADO"/>
    <s v="CFR"/>
    <m/>
    <x v="35"/>
    <n v="639"/>
    <m/>
    <x v="789"/>
    <x v="0"/>
    <s v="Granel - BB"/>
    <m/>
    <s v="25 kg"/>
    <m/>
    <m/>
    <s v="MAYO '20"/>
    <x v="0"/>
    <m/>
    <m/>
    <m/>
    <x v="463"/>
    <m/>
    <m/>
    <x v="461"/>
    <n v="7"/>
    <n v="2020"/>
    <x v="0"/>
    <x v="0"/>
    <s v="ZHENJIANG / CHINA"/>
    <x v="0"/>
    <m/>
    <x v="2"/>
    <x v="634"/>
    <d v="2020-05-19T00:00:00"/>
    <s v="MV TR CROWN"/>
    <x v="242"/>
    <x v="0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P"/>
    <x v="0"/>
    <x v="0"/>
    <m/>
    <m/>
    <x v="908"/>
    <m/>
    <x v="716"/>
    <m/>
    <m/>
    <m/>
    <s v="CERRADO"/>
    <n v="207499"/>
    <x v="2"/>
    <x v="51"/>
    <x v="381"/>
    <d v="2020-03-27T00:00:00"/>
    <n v="90"/>
    <s v="días BL"/>
    <s v="5000106"/>
    <m/>
    <d v="2020-08-21T00:00:00"/>
    <s v="CANCELADO"/>
    <s v="CPT"/>
    <m/>
    <x v="136"/>
    <n v="500"/>
    <m/>
    <x v="790"/>
    <x v="14"/>
    <s v="Contenedor 20'"/>
    <m/>
    <s v="25 kg"/>
    <m/>
    <m/>
    <s v="MAYO '20"/>
    <x v="0"/>
    <m/>
    <m/>
    <m/>
    <x v="466"/>
    <m/>
    <m/>
    <x v="466"/>
    <n v="7"/>
    <n v="2020"/>
    <x v="0"/>
    <x v="0"/>
    <s v="HUANGPU / CHINA"/>
    <x v="2"/>
    <m/>
    <x v="1"/>
    <x v="635"/>
    <d v="2020-05-23T00:00:00"/>
    <s v="NAN GANG 20"/>
    <x v="243"/>
    <x v="9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P"/>
    <x v="0"/>
    <x v="0"/>
    <m/>
    <m/>
    <x v="909"/>
    <m/>
    <x v="717"/>
    <m/>
    <m/>
    <m/>
    <s v="CERRADO"/>
    <n v="207499"/>
    <x v="2"/>
    <x v="51"/>
    <x v="382"/>
    <d v="2020-03-27T00:00:00"/>
    <n v="90"/>
    <s v="días BL"/>
    <s v="5000102"/>
    <m/>
    <d v="2020-08-13T00:00:00"/>
    <s v="CANCELADO"/>
    <s v="CPT"/>
    <m/>
    <x v="304"/>
    <n v="510"/>
    <m/>
    <x v="791"/>
    <x v="6"/>
    <s v="Contenedor 20'"/>
    <m/>
    <s v="25 kg"/>
    <m/>
    <m/>
    <s v="MAYO '20"/>
    <x v="0"/>
    <m/>
    <m/>
    <m/>
    <x v="467"/>
    <m/>
    <m/>
    <x v="464"/>
    <n v="7"/>
    <n v="2020"/>
    <x v="0"/>
    <x v="0"/>
    <s v="HUANGPU / CHINA"/>
    <x v="0"/>
    <m/>
    <x v="1"/>
    <x v="636"/>
    <d v="2020-05-14T00:00:00"/>
    <s v="JIN LONG 65"/>
    <x v="193"/>
    <x v="6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P"/>
    <x v="0"/>
    <x v="0"/>
    <m/>
    <m/>
    <x v="910"/>
    <m/>
    <x v="718"/>
    <m/>
    <m/>
    <m/>
    <s v="CERRADO"/>
    <n v="207499"/>
    <x v="2"/>
    <x v="51"/>
    <x v="382"/>
    <d v="2020-03-27T00:00:00"/>
    <n v="90"/>
    <s v="días BL"/>
    <s v="5000105"/>
    <m/>
    <d v="2020-08-21T00:00:00"/>
    <s v="CANCELADO"/>
    <s v="CPT"/>
    <m/>
    <x v="309"/>
    <n v="510"/>
    <m/>
    <x v="792"/>
    <x v="5"/>
    <s v="Contenedor 20'"/>
    <m/>
    <s v="25 kg"/>
    <m/>
    <m/>
    <s v="MAYO '20"/>
    <x v="0"/>
    <m/>
    <m/>
    <m/>
    <x v="467"/>
    <m/>
    <m/>
    <x v="464"/>
    <n v="7"/>
    <n v="2020"/>
    <x v="0"/>
    <x v="0"/>
    <s v="HUANGPU / CHINA"/>
    <x v="0"/>
    <m/>
    <x v="2"/>
    <x v="637"/>
    <d v="2020-05-23T00:00:00"/>
    <s v="MAERSK STRALSUND"/>
    <x v="193"/>
    <x v="6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B-S"/>
    <x v="0"/>
    <x v="0"/>
    <m/>
    <m/>
    <x v="911"/>
    <m/>
    <x v="719"/>
    <m/>
    <m/>
    <m/>
    <s v="CERRADO"/>
    <n v="206608"/>
    <x v="101"/>
    <x v="43"/>
    <x v="72"/>
    <d v="2020-03-20T00:00:00"/>
    <n v="150"/>
    <s v="días FACT."/>
    <s v="FV204E000045"/>
    <m/>
    <d v="2020-09-30T00:00:00"/>
    <s v="CANCELADO"/>
    <s v="CIF"/>
    <m/>
    <x v="386"/>
    <n v="41097.826928154565"/>
    <m/>
    <x v="793"/>
    <x v="0"/>
    <s v="Contenedor 20'"/>
    <m/>
    <s v="20L"/>
    <m/>
    <m/>
    <s v="MAYO '20"/>
    <x v="0"/>
    <m/>
    <m/>
    <m/>
    <x v="440"/>
    <m/>
    <m/>
    <x v="437"/>
    <n v="5"/>
    <n v="2020"/>
    <x v="0"/>
    <x v="0"/>
    <s v="VALENCIA / ESPAÑA"/>
    <x v="2"/>
    <m/>
    <x v="1"/>
    <x v="638"/>
    <d v="2020-04-13T00:00:00"/>
    <s v="KRISTINA"/>
    <x v="39"/>
    <x v="9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B-S"/>
    <x v="0"/>
    <x v="0"/>
    <m/>
    <m/>
    <x v="912"/>
    <m/>
    <x v="719"/>
    <m/>
    <m/>
    <m/>
    <s v="CERRADO"/>
    <n v="206612"/>
    <x v="87"/>
    <x v="43"/>
    <x v="72"/>
    <d v="2020-03-20T00:00:00"/>
    <n v="150"/>
    <s v="días FACT."/>
    <s v="FV204E000045"/>
    <m/>
    <d v="2020-09-30T00:00:00"/>
    <s v="CANCELADO"/>
    <s v="CIF"/>
    <m/>
    <x v="277"/>
    <n v="4670.9790431837419"/>
    <m/>
    <x v="794"/>
    <x v="0"/>
    <s v="Contenedor 20'"/>
    <m/>
    <s v="25 kg"/>
    <m/>
    <m/>
    <s v="MAYO '20"/>
    <x v="0"/>
    <m/>
    <m/>
    <m/>
    <x v="440"/>
    <m/>
    <m/>
    <x v="437"/>
    <n v="5"/>
    <n v="2020"/>
    <x v="0"/>
    <x v="0"/>
    <s v="VALENCIA / ESPAÑA"/>
    <x v="2"/>
    <m/>
    <x v="1"/>
    <x v="638"/>
    <d v="2020-04-13T00:00:00"/>
    <s v="KRISTINA"/>
    <x v="39"/>
    <x v="9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B-S"/>
    <x v="0"/>
    <x v="0"/>
    <m/>
    <m/>
    <x v="913"/>
    <m/>
    <x v="719"/>
    <m/>
    <m/>
    <m/>
    <s v="CERRADO"/>
    <n v="206576"/>
    <x v="109"/>
    <x v="43"/>
    <x v="72"/>
    <d v="2020-03-20T00:00:00"/>
    <n v="150"/>
    <s v="días FACT."/>
    <s v="FV204E000045"/>
    <m/>
    <d v="2020-09-30T00:00:00"/>
    <s v="CANCELADO"/>
    <s v="CIF"/>
    <m/>
    <x v="387"/>
    <n v="6170.9790431837419"/>
    <m/>
    <x v="795"/>
    <x v="0"/>
    <s v="Contenedor 20'"/>
    <m/>
    <s v="5 kg"/>
    <m/>
    <m/>
    <s v="MAYO '20"/>
    <x v="0"/>
    <m/>
    <m/>
    <m/>
    <x v="440"/>
    <m/>
    <m/>
    <x v="437"/>
    <n v="5"/>
    <n v="2020"/>
    <x v="0"/>
    <x v="0"/>
    <s v="VALENCIA / ESPAÑA"/>
    <x v="2"/>
    <m/>
    <x v="1"/>
    <x v="638"/>
    <d v="2020-04-13T00:00:00"/>
    <s v="KRISTINA"/>
    <x v="39"/>
    <x v="9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B-S"/>
    <x v="0"/>
    <x v="0"/>
    <m/>
    <m/>
    <x v="914"/>
    <m/>
    <x v="719"/>
    <m/>
    <m/>
    <m/>
    <s v="CERRADO"/>
    <s v="206580 "/>
    <x v="110"/>
    <x v="43"/>
    <x v="72"/>
    <d v="2020-03-20T00:00:00"/>
    <n v="150"/>
    <s v="días FACT."/>
    <s v="FV204E000045"/>
    <m/>
    <d v="2020-09-30T00:00:00"/>
    <s v="CANCELADO"/>
    <s v="CIF"/>
    <m/>
    <x v="388"/>
    <n v="20398.902196971761"/>
    <m/>
    <x v="796"/>
    <x v="0"/>
    <s v="Contenedor 20'"/>
    <m/>
    <s v="20L"/>
    <m/>
    <m/>
    <s v="MAYO '20"/>
    <x v="0"/>
    <m/>
    <m/>
    <m/>
    <x v="440"/>
    <m/>
    <m/>
    <x v="437"/>
    <n v="5"/>
    <n v="2020"/>
    <x v="0"/>
    <x v="0"/>
    <s v="VALENCIA / ESPAÑA"/>
    <x v="2"/>
    <m/>
    <x v="1"/>
    <x v="638"/>
    <d v="2020-04-13T00:00:00"/>
    <s v="KRISTINA"/>
    <x v="39"/>
    <x v="9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B-S"/>
    <x v="0"/>
    <x v="0"/>
    <m/>
    <m/>
    <x v="915"/>
    <m/>
    <x v="719"/>
    <m/>
    <m/>
    <m/>
    <s v="CERRADO"/>
    <s v="206577 "/>
    <x v="111"/>
    <x v="43"/>
    <x v="72"/>
    <d v="2020-03-20T00:00:00"/>
    <n v="150"/>
    <s v="días FACT."/>
    <s v="FV204E000045"/>
    <m/>
    <d v="2020-12-21T00:00:00"/>
    <s v="CANCELADO"/>
    <s v="CIF"/>
    <m/>
    <x v="389"/>
    <n v="8631.0748262048255"/>
    <m/>
    <x v="797"/>
    <x v="0"/>
    <s v="Contenedor 20'"/>
    <m/>
    <s v="1LT"/>
    <m/>
    <m/>
    <s v="MAYO '20"/>
    <x v="0"/>
    <m/>
    <m/>
    <m/>
    <x v="440"/>
    <m/>
    <m/>
    <x v="437"/>
    <n v="5"/>
    <n v="2020"/>
    <x v="0"/>
    <x v="0"/>
    <s v="VALENCIA / ESPAÑA"/>
    <x v="2"/>
    <m/>
    <x v="1"/>
    <x v="638"/>
    <d v="2020-04-13T00:00:00"/>
    <s v="KRISTINA"/>
    <x v="39"/>
    <x v="9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B-S"/>
    <x v="0"/>
    <x v="0"/>
    <m/>
    <m/>
    <x v="916"/>
    <m/>
    <x v="719"/>
    <m/>
    <m/>
    <m/>
    <s v="CERRADO"/>
    <n v="206578"/>
    <x v="112"/>
    <x v="43"/>
    <x v="72"/>
    <d v="2020-03-20T00:00:00"/>
    <n v="150"/>
    <s v="días FACT."/>
    <s v="FV204E000045"/>
    <m/>
    <d v="2020-09-30T00:00:00"/>
    <s v="CANCELADO"/>
    <s v="CIF"/>
    <m/>
    <x v="390"/>
    <n v="7605.2659089299423"/>
    <m/>
    <x v="798"/>
    <x v="0"/>
    <s v="Contenedor 20'"/>
    <m/>
    <s v="1LT"/>
    <m/>
    <m/>
    <s v="MAYO '20"/>
    <x v="0"/>
    <m/>
    <m/>
    <m/>
    <x v="440"/>
    <m/>
    <m/>
    <x v="437"/>
    <n v="5"/>
    <n v="2020"/>
    <x v="0"/>
    <x v="0"/>
    <s v="VALENCIA / ESPAÑA"/>
    <x v="2"/>
    <m/>
    <x v="1"/>
    <x v="638"/>
    <d v="2020-04-13T00:00:00"/>
    <s v="KRISTINA"/>
    <x v="39"/>
    <x v="9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B-S"/>
    <x v="0"/>
    <x v="0"/>
    <m/>
    <m/>
    <x v="917"/>
    <m/>
    <x v="719"/>
    <m/>
    <m/>
    <m/>
    <s v="CERRADO"/>
    <n v="206581"/>
    <x v="113"/>
    <x v="43"/>
    <x v="72"/>
    <d v="2020-03-20T00:00:00"/>
    <n v="150"/>
    <s v="días FACT."/>
    <s v="FV204E000045"/>
    <m/>
    <d v="2020-12-21T00:00:00"/>
    <s v="CANCELADO"/>
    <s v="CIF"/>
    <m/>
    <x v="391"/>
    <n v="7440.6363111909204"/>
    <m/>
    <x v="799"/>
    <x v="0"/>
    <s v="Contenedor 20'"/>
    <m/>
    <s v="1LT"/>
    <m/>
    <m/>
    <s v="MAYO '20"/>
    <x v="0"/>
    <m/>
    <m/>
    <m/>
    <x v="440"/>
    <m/>
    <m/>
    <x v="437"/>
    <n v="5"/>
    <n v="2020"/>
    <x v="0"/>
    <x v="0"/>
    <s v="VALENCIA / ESPAÑA"/>
    <x v="2"/>
    <m/>
    <x v="1"/>
    <x v="638"/>
    <d v="2020-04-13T00:00:00"/>
    <s v="KRISTINA"/>
    <x v="39"/>
    <x v="9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B-S"/>
    <x v="0"/>
    <x v="0"/>
    <m/>
    <m/>
    <x v="918"/>
    <m/>
    <x v="719"/>
    <m/>
    <m/>
    <m/>
    <s v="CERRADO"/>
    <n v="206579"/>
    <x v="114"/>
    <x v="43"/>
    <x v="72"/>
    <d v="2020-03-20T00:00:00"/>
    <n v="150"/>
    <s v="días FACT."/>
    <s v="FV204E000045"/>
    <m/>
    <d v="2020-12-21T00:00:00"/>
    <s v="CANCELADO"/>
    <s v="CIF"/>
    <m/>
    <x v="392"/>
    <n v="9776.7832345469924"/>
    <m/>
    <x v="800"/>
    <x v="0"/>
    <s v="Contenedor 20'"/>
    <m/>
    <s v="1LT"/>
    <m/>
    <m/>
    <s v="MAYO '20"/>
    <x v="0"/>
    <m/>
    <m/>
    <m/>
    <x v="440"/>
    <m/>
    <m/>
    <x v="437"/>
    <n v="5"/>
    <n v="2020"/>
    <x v="0"/>
    <x v="0"/>
    <s v="VALENCIA / ESPAÑA"/>
    <x v="2"/>
    <m/>
    <x v="1"/>
    <x v="638"/>
    <d v="2020-04-13T00:00:00"/>
    <s v="KRISTINA"/>
    <x v="39"/>
    <x v="9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P"/>
    <x v="0"/>
    <x v="0"/>
    <m/>
    <m/>
    <x v="919"/>
    <m/>
    <x v="720"/>
    <m/>
    <m/>
    <m/>
    <s v="CERRADO"/>
    <n v="206766"/>
    <x v="10"/>
    <x v="37"/>
    <x v="383"/>
    <d v="2020-03-21T00:00:00"/>
    <n v="90"/>
    <s v="días BL"/>
    <s v="30453"/>
    <m/>
    <d v="2020-07-16T00:00:00"/>
    <s v="CANCELADO"/>
    <s v="CFR"/>
    <m/>
    <x v="393"/>
    <n v="910"/>
    <m/>
    <x v="801"/>
    <x v="26"/>
    <s v="Contenedor 20'"/>
    <m/>
    <s v="Bidones 50kg"/>
    <m/>
    <m/>
    <s v="ABRIL '20"/>
    <x v="0"/>
    <m/>
    <m/>
    <m/>
    <x v="440"/>
    <m/>
    <m/>
    <x v="437"/>
    <n v="5"/>
    <n v="2020"/>
    <x v="0"/>
    <x v="0"/>
    <s v="VERACRUZ / MEXICO"/>
    <x v="0"/>
    <m/>
    <x v="1"/>
    <x v="639"/>
    <d v="2020-04-15T00:00:00"/>
    <s v="MAERSK BRANI"/>
    <x v="222"/>
    <x v="6"/>
    <m/>
    <s v="REALIZADO"/>
    <m/>
    <m/>
    <m/>
    <m/>
    <x v="0"/>
    <d v="2020-05-30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P"/>
    <x v="0"/>
    <x v="0"/>
    <m/>
    <m/>
    <x v="920"/>
    <m/>
    <x v="721"/>
    <m/>
    <m/>
    <m/>
    <s v="CERRADO"/>
    <n v="206766"/>
    <x v="10"/>
    <x v="37"/>
    <x v="383"/>
    <d v="2020-03-21T00:00:00"/>
    <n v="90"/>
    <s v="días BL"/>
    <s v="30790"/>
    <m/>
    <d v="2020-08-13T00:00:00"/>
    <s v="CANCELADO"/>
    <s v="CFR"/>
    <m/>
    <x v="393"/>
    <n v="910"/>
    <m/>
    <x v="801"/>
    <x v="26"/>
    <s v="Contenedor 20'"/>
    <m/>
    <s v="Bidones 50kg"/>
    <m/>
    <m/>
    <s v="ABRIL '20"/>
    <x v="0"/>
    <m/>
    <m/>
    <m/>
    <x v="461"/>
    <m/>
    <m/>
    <x v="467"/>
    <n v="6"/>
    <n v="2020"/>
    <x v="0"/>
    <x v="0"/>
    <s v="VERACRUZ / MEXICO"/>
    <x v="0"/>
    <m/>
    <x v="1"/>
    <x v="640"/>
    <d v="2020-05-13T00:00:00"/>
    <s v="MAERSK BRATAN"/>
    <x v="222"/>
    <x v="6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E-S"/>
    <x v="0"/>
    <x v="0"/>
    <m/>
    <m/>
    <x v="921"/>
    <m/>
    <x v="722"/>
    <m/>
    <m/>
    <m/>
    <s v="CERRADO"/>
    <n v="205972"/>
    <x v="82"/>
    <x v="42"/>
    <x v="16"/>
    <d v="2020-04-27T00:00:00"/>
    <s v="PREPAGO"/>
    <m/>
    <s v="FXE 200.006"/>
    <m/>
    <d v="2020-05-18T00:00:00"/>
    <s v="CANCELADO"/>
    <s v="CIF"/>
    <m/>
    <x v="243"/>
    <n v="3566.5"/>
    <m/>
    <x v="802"/>
    <x v="11"/>
    <s v="Contenedor 40'"/>
    <m/>
    <s v="20 kg"/>
    <m/>
    <m/>
    <s v="ABRIL - MAYO '20"/>
    <x v="0"/>
    <m/>
    <m/>
    <m/>
    <x v="468"/>
    <m/>
    <m/>
    <x v="468"/>
    <n v="6"/>
    <n v="2020"/>
    <x v="0"/>
    <x v="0"/>
    <s v="BARCELONA / ESPAÑA"/>
    <x v="2"/>
    <m/>
    <x v="1"/>
    <x v="641"/>
    <d v="2020-05-24T00:00:00"/>
    <s v="POHORJE"/>
    <x v="244"/>
    <x v="33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T-S"/>
    <x v="0"/>
    <x v="0"/>
    <m/>
    <m/>
    <x v="922"/>
    <m/>
    <x v="723"/>
    <m/>
    <m/>
    <m/>
    <s v="CERRADO"/>
    <n v="208067"/>
    <x v="115"/>
    <x v="53"/>
    <x v="384"/>
    <m/>
    <n v="30"/>
    <s v="días BL"/>
    <s v="F200-00042404"/>
    <m/>
    <d v="2020-05-25T00:00:00"/>
    <s v="CANCELADO"/>
    <s v="CFR"/>
    <m/>
    <x v="92"/>
    <n v="247.67"/>
    <m/>
    <x v="803"/>
    <x v="2"/>
    <s v="Contenedor 20'"/>
    <m/>
    <s v="25 kg"/>
    <m/>
    <m/>
    <s v="ABRIL '20"/>
    <x v="0"/>
    <m/>
    <m/>
    <m/>
    <x v="469"/>
    <m/>
    <m/>
    <x v="469"/>
    <n v="5"/>
    <n v="2020"/>
    <x v="0"/>
    <x v="0"/>
    <s v="CARTAGENA / COLOMBIA"/>
    <x v="2"/>
    <m/>
    <x v="1"/>
    <x v="642"/>
    <d v="2020-04-25T00:00:00"/>
    <s v="MAERSK YANGTZE"/>
    <x v="245"/>
    <x v="4"/>
    <m/>
    <s v="REALIZADO"/>
    <m/>
    <m/>
    <m/>
    <m/>
    <x v="0"/>
    <d v="2020-05-29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T-S"/>
    <x v="0"/>
    <x v="0"/>
    <m/>
    <m/>
    <x v="923"/>
    <m/>
    <x v="724"/>
    <m/>
    <m/>
    <m/>
    <s v="CERRADO"/>
    <n v="208067"/>
    <x v="115"/>
    <x v="53"/>
    <x v="384"/>
    <m/>
    <n v="30"/>
    <s v="días BL"/>
    <s v="F200-00042404"/>
    <m/>
    <d v="2020-05-25T00:00:00"/>
    <s v="CANCELADO"/>
    <s v="CFR"/>
    <m/>
    <x v="394"/>
    <n v="247.67"/>
    <m/>
    <x v="804"/>
    <x v="11"/>
    <s v="Contenedor 20'"/>
    <m/>
    <s v="25 kg"/>
    <m/>
    <m/>
    <s v="ABRIL '20"/>
    <x v="0"/>
    <m/>
    <m/>
    <m/>
    <x v="470"/>
    <m/>
    <m/>
    <x v="470"/>
    <n v="5"/>
    <n v="2020"/>
    <x v="0"/>
    <x v="0"/>
    <s v="CARTAGENA / COLOMBIA"/>
    <x v="2"/>
    <m/>
    <x v="1"/>
    <x v="642"/>
    <d v="2020-04-25T00:00:00"/>
    <s v="MAERSK YANGTZE"/>
    <x v="232"/>
    <x v="4"/>
    <m/>
    <s v="REALIZADO"/>
    <m/>
    <m/>
    <m/>
    <m/>
    <x v="0"/>
    <d v="2020-05-29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T-S"/>
    <x v="0"/>
    <x v="0"/>
    <m/>
    <m/>
    <x v="924"/>
    <m/>
    <x v="725"/>
    <m/>
    <m/>
    <m/>
    <s v="CERRADO"/>
    <n v="208067"/>
    <x v="115"/>
    <x v="53"/>
    <x v="384"/>
    <m/>
    <n v="30"/>
    <s v="días BL"/>
    <s v="F200-00042404"/>
    <m/>
    <d v="2020-05-25T00:00:00"/>
    <s v="CANCELADO"/>
    <s v="CFR"/>
    <m/>
    <x v="7"/>
    <n v="247.67"/>
    <m/>
    <x v="805"/>
    <x v="15"/>
    <s v="Contenedor 20'"/>
    <m/>
    <s v="25 kg"/>
    <m/>
    <m/>
    <s v="ABRIL '20"/>
    <x v="0"/>
    <m/>
    <m/>
    <m/>
    <x v="471"/>
    <m/>
    <m/>
    <x v="471"/>
    <n v="5"/>
    <n v="2020"/>
    <x v="0"/>
    <x v="0"/>
    <s v="CARTAGENA / COLOMBIA"/>
    <x v="2"/>
    <m/>
    <x v="1"/>
    <x v="642"/>
    <d v="2020-04-25T00:00:00"/>
    <s v="MAERSK YANGTZE"/>
    <x v="81"/>
    <x v="4"/>
    <m/>
    <s v="REALIZADO"/>
    <m/>
    <m/>
    <m/>
    <m/>
    <x v="0"/>
    <d v="2020-06-05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T-S"/>
    <x v="0"/>
    <x v="0"/>
    <m/>
    <m/>
    <x v="925"/>
    <m/>
    <x v="726"/>
    <m/>
    <m/>
    <m/>
    <s v="CERRADO"/>
    <n v="208067"/>
    <x v="115"/>
    <x v="53"/>
    <x v="385"/>
    <m/>
    <n v="30"/>
    <s v="días BL"/>
    <s v="F200-00042389"/>
    <m/>
    <d v="2020-05-22T00:00:00"/>
    <s v="CANCELADO"/>
    <s v="CFR"/>
    <m/>
    <x v="7"/>
    <n v="247.67"/>
    <m/>
    <x v="805"/>
    <x v="15"/>
    <s v="Contenedor 20'"/>
    <m/>
    <s v="25 kg"/>
    <m/>
    <m/>
    <s v="ABRIL '20"/>
    <x v="0"/>
    <m/>
    <m/>
    <m/>
    <x v="421"/>
    <m/>
    <m/>
    <x v="472"/>
    <n v="5"/>
    <n v="2020"/>
    <x v="0"/>
    <x v="0"/>
    <s v="CARTAGENA / COLOMBIA"/>
    <x v="2"/>
    <m/>
    <x v="1"/>
    <x v="643"/>
    <d v="2020-04-22T00:00:00"/>
    <s v="COSCO SHIPPING DANUBE"/>
    <x v="211"/>
    <x v="2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T-S"/>
    <x v="0"/>
    <x v="0"/>
    <m/>
    <m/>
    <x v="926"/>
    <m/>
    <x v="727"/>
    <m/>
    <m/>
    <m/>
    <s v="CERRADO"/>
    <n v="208067"/>
    <x v="115"/>
    <x v="53"/>
    <x v="386"/>
    <m/>
    <n v="30"/>
    <s v="días BL"/>
    <s v="F200-00042405"/>
    <m/>
    <d v="2020-05-28T00:00:00"/>
    <s v="CANCELADO"/>
    <s v="CFR"/>
    <m/>
    <x v="7"/>
    <n v="247.67"/>
    <m/>
    <x v="805"/>
    <x v="15"/>
    <s v="Contenedor 20'"/>
    <m/>
    <s v="25 kg"/>
    <m/>
    <m/>
    <s v="ABRIL '20"/>
    <x v="0"/>
    <m/>
    <m/>
    <m/>
    <x v="421"/>
    <m/>
    <m/>
    <x v="472"/>
    <n v="5"/>
    <n v="2020"/>
    <x v="0"/>
    <x v="0"/>
    <s v="CARTAGENA / COLOMBIA"/>
    <x v="2"/>
    <m/>
    <x v="1"/>
    <x v="644"/>
    <d v="2020-04-22T00:00:00"/>
    <s v="COSCO SHIPPING DANUBE"/>
    <x v="211"/>
    <x v="2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T-S"/>
    <x v="0"/>
    <x v="0"/>
    <m/>
    <m/>
    <x v="927"/>
    <m/>
    <x v="728"/>
    <m/>
    <m/>
    <m/>
    <s v="CERRADO"/>
    <n v="208067"/>
    <x v="115"/>
    <x v="53"/>
    <x v="387"/>
    <m/>
    <n v="30"/>
    <s v="días BL"/>
    <s v="F200-00042388"/>
    <m/>
    <d v="2020-05-17T00:00:00"/>
    <s v="CANCELADO"/>
    <s v="CFR"/>
    <m/>
    <x v="11"/>
    <n v="247.67"/>
    <m/>
    <x v="806"/>
    <x v="27"/>
    <s v="Contenedor 20'"/>
    <m/>
    <s v="25 kg"/>
    <m/>
    <m/>
    <s v="ABRIL '20"/>
    <x v="0"/>
    <m/>
    <m/>
    <m/>
    <x v="427"/>
    <m/>
    <m/>
    <x v="473"/>
    <n v="5"/>
    <n v="2020"/>
    <x v="0"/>
    <x v="0"/>
    <s v="CARTAGENA / COLOMBIA"/>
    <x v="0"/>
    <m/>
    <x v="1"/>
    <x v="645"/>
    <d v="2020-04-17T00:00:00"/>
    <s v="LIMARI"/>
    <x v="217"/>
    <x v="2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T-S"/>
    <x v="0"/>
    <x v="0"/>
    <m/>
    <m/>
    <x v="928"/>
    <m/>
    <x v="729"/>
    <m/>
    <m/>
    <m/>
    <s v="CERRADO"/>
    <n v="208073"/>
    <x v="116"/>
    <x v="53"/>
    <x v="388"/>
    <d v="2020-03-15T00:00:00"/>
    <n v="30"/>
    <s v="días BL"/>
    <s v="F200-00042406"/>
    <m/>
    <d v="2020-05-28T00:00:00"/>
    <s v="CANCELADO"/>
    <s v="CFR"/>
    <m/>
    <x v="136"/>
    <n v="247.67"/>
    <m/>
    <x v="807"/>
    <x v="16"/>
    <s v="Contenedor 20'"/>
    <m/>
    <s v="Bigbag"/>
    <m/>
    <m/>
    <s v="ABRIL '20"/>
    <x v="0"/>
    <m/>
    <m/>
    <m/>
    <x v="472"/>
    <m/>
    <m/>
    <x v="414"/>
    <n v="5"/>
    <n v="2020"/>
    <x v="0"/>
    <x v="0"/>
    <s v="CARTAGENA / COLOMBIA"/>
    <x v="0"/>
    <m/>
    <x v="1"/>
    <x v="646"/>
    <d v="2020-04-24T00:00:00"/>
    <s v="CRISTINA STAR"/>
    <x v="173"/>
    <x v="9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T-S"/>
    <x v="0"/>
    <x v="0"/>
    <m/>
    <m/>
    <x v="929"/>
    <m/>
    <x v="730"/>
    <m/>
    <m/>
    <m/>
    <s v="CERRADO"/>
    <n v="208067"/>
    <x v="115"/>
    <x v="53"/>
    <x v="388"/>
    <m/>
    <n v="30"/>
    <s v="días BL"/>
    <s v="F200-00042406"/>
    <m/>
    <d v="2020-05-28T00:00:00"/>
    <s v="CANCELADO"/>
    <s v="CFR"/>
    <m/>
    <x v="12"/>
    <n v="247.67"/>
    <m/>
    <x v="808"/>
    <x v="3"/>
    <s v="Contenedor 20'"/>
    <m/>
    <s v="25 kg"/>
    <m/>
    <m/>
    <s v="ABRIL '20"/>
    <x v="0"/>
    <m/>
    <m/>
    <m/>
    <x v="472"/>
    <m/>
    <m/>
    <x v="472"/>
    <n v="5"/>
    <n v="2020"/>
    <x v="0"/>
    <x v="0"/>
    <s v="CARTAGENA / COLOMBIA"/>
    <x v="0"/>
    <m/>
    <x v="2"/>
    <x v="646"/>
    <d v="2020-04-24T00:00:00"/>
    <s v="CRISTINA STAR"/>
    <x v="173"/>
    <x v="9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930"/>
    <m/>
    <x v="731"/>
    <m/>
    <m/>
    <m/>
    <s v="CERRADO"/>
    <n v="208300"/>
    <x v="47"/>
    <x v="3"/>
    <x v="389"/>
    <d v="2020-04-03T00:00:00"/>
    <n v="90"/>
    <s v="días BL"/>
    <s v="20200250"/>
    <m/>
    <d v="2020-08-26T00:00:00"/>
    <s v="CANCELADO"/>
    <s v="CFR"/>
    <m/>
    <x v="126"/>
    <n v="187"/>
    <m/>
    <x v="809"/>
    <x v="0"/>
    <s v="Granel - BB"/>
    <m/>
    <s v="Granel Sólido"/>
    <m/>
    <m/>
    <s v="ABRIL - MAYO '20"/>
    <x v="0"/>
    <m/>
    <m/>
    <m/>
    <x v="463"/>
    <m/>
    <m/>
    <x v="461"/>
    <n v="7"/>
    <n v="2020"/>
    <x v="0"/>
    <x v="0"/>
    <s v="TIANJIN / CHINA"/>
    <x v="0"/>
    <m/>
    <x v="2"/>
    <x v="647"/>
    <d v="2020-05-28T00:00:00"/>
    <s v="MV TR CROWN"/>
    <x v="242"/>
    <x v="0"/>
    <m/>
    <s v="REALIZADO"/>
    <m/>
    <m/>
    <m/>
    <m/>
    <x v="0"/>
    <m/>
    <m/>
    <x v="0"/>
    <x v="0"/>
    <m/>
    <m/>
    <x v="0"/>
    <e v="#REF!"/>
    <m/>
    <m/>
    <m/>
    <m/>
    <m/>
    <x v="0"/>
    <s v="anulada: 8000000858"/>
    <m/>
    <m/>
    <m/>
    <s v="NACIONALIZADO"/>
    <m/>
    <m/>
    <m/>
  </r>
  <r>
    <n v="2020"/>
    <s v="G-S"/>
    <x v="0"/>
    <x v="0"/>
    <m/>
    <m/>
    <x v="931"/>
    <m/>
    <x v="732"/>
    <m/>
    <m/>
    <m/>
    <s v="CERRADO"/>
    <n v="208300"/>
    <x v="47"/>
    <x v="3"/>
    <x v="389"/>
    <d v="2020-04-03T00:00:00"/>
    <n v="90"/>
    <s v="días BL"/>
    <s v="20200251"/>
    <m/>
    <d v="2020-08-26T00:00:00"/>
    <s v="CANCELADO"/>
    <s v="CFR"/>
    <m/>
    <x v="170"/>
    <n v="186.25"/>
    <m/>
    <x v="810"/>
    <x v="3"/>
    <s v="Granel - BB"/>
    <m/>
    <s v="Bigbag"/>
    <m/>
    <m/>
    <s v="ABRIL - MAYO '20"/>
    <x v="0"/>
    <m/>
    <m/>
    <m/>
    <x v="454"/>
    <m/>
    <m/>
    <x v="474"/>
    <n v="7"/>
    <n v="2020"/>
    <x v="0"/>
    <x v="0"/>
    <s v="TIANJIN / CHINA"/>
    <x v="2"/>
    <m/>
    <x v="6"/>
    <x v="648"/>
    <d v="2020-05-28T00:00:00"/>
    <s v="MV TR CROWN"/>
    <x v="242"/>
    <x v="0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932"/>
    <m/>
    <x v="733"/>
    <m/>
    <m/>
    <m/>
    <s v="CERRADO"/>
    <n v="208300"/>
    <x v="47"/>
    <x v="3"/>
    <x v="389"/>
    <d v="2020-04-03T00:00:00"/>
    <n v="90"/>
    <s v="días BL"/>
    <s v="20200252"/>
    <m/>
    <d v="2020-08-26T00:00:00"/>
    <s v="CANCELADO"/>
    <s v="CFR"/>
    <m/>
    <x v="54"/>
    <n v="185.5"/>
    <m/>
    <x v="811"/>
    <x v="3"/>
    <s v="Granel - BB"/>
    <m/>
    <s v="Bigbag"/>
    <m/>
    <m/>
    <s v="ABRIL - MAYO '20"/>
    <x v="0"/>
    <m/>
    <m/>
    <m/>
    <x v="465"/>
    <m/>
    <m/>
    <x v="475"/>
    <n v="8"/>
    <n v="2020"/>
    <x v="0"/>
    <x v="0"/>
    <s v="TIANJIN / CHINA"/>
    <x v="4"/>
    <m/>
    <x v="4"/>
    <x v="649"/>
    <d v="2020-05-28T00:00:00"/>
    <s v="MV PELICAN ARROW"/>
    <x v="185"/>
    <x v="0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2"/>
    <m/>
    <m/>
    <x v="933"/>
    <m/>
    <x v="34"/>
    <m/>
    <m/>
    <m/>
    <m/>
    <m/>
    <x v="47"/>
    <x v="3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0"/>
    <s v="G-S"/>
    <x v="0"/>
    <x v="2"/>
    <m/>
    <m/>
    <x v="934"/>
    <m/>
    <x v="34"/>
    <m/>
    <m/>
    <m/>
    <m/>
    <m/>
    <x v="47"/>
    <x v="3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0"/>
    <s v="G-S"/>
    <x v="0"/>
    <x v="0"/>
    <m/>
    <m/>
    <x v="935"/>
    <m/>
    <x v="734"/>
    <m/>
    <m/>
    <m/>
    <s v="CERRADO"/>
    <n v="204817"/>
    <x v="50"/>
    <x v="3"/>
    <x v="390"/>
    <d v="2020-03-31T00:00:00"/>
    <s v="CAD"/>
    <m/>
    <s v="20200192-A"/>
    <m/>
    <d v="2020-05-28T00:00:00"/>
    <s v="CANCELADO"/>
    <s v="CFR"/>
    <m/>
    <x v="170"/>
    <n v="311"/>
    <m/>
    <x v="812"/>
    <x v="10"/>
    <s v="Contenedor 20'"/>
    <m/>
    <s v="Bigbag"/>
    <m/>
    <m/>
    <s v="MAYO '20"/>
    <x v="0"/>
    <m/>
    <m/>
    <m/>
    <x v="473"/>
    <m/>
    <m/>
    <x v="460"/>
    <n v="7"/>
    <n v="2020"/>
    <x v="0"/>
    <x v="0"/>
    <s v="QINZHOU / CHINA"/>
    <x v="0"/>
    <m/>
    <x v="1"/>
    <x v="650"/>
    <d v="2020-05-11T00:00:00"/>
    <s v="HUI HAI LONG"/>
    <x v="119"/>
    <x v="9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936"/>
    <m/>
    <x v="735"/>
    <m/>
    <m/>
    <m/>
    <s v="CERRADO"/>
    <n v="204817"/>
    <x v="50"/>
    <x v="3"/>
    <x v="390"/>
    <d v="2020-03-31T00:00:00"/>
    <s v="CAD"/>
    <m/>
    <s v="20200192-B"/>
    <m/>
    <d v="2020-05-28T00:00:00"/>
    <s v="CANCELADO"/>
    <s v="CFR"/>
    <m/>
    <x v="395"/>
    <n v="310"/>
    <m/>
    <x v="813"/>
    <x v="10"/>
    <s v="Contenedor 20'"/>
    <m/>
    <s v="Bigbag"/>
    <m/>
    <m/>
    <s v="MAYO '20"/>
    <x v="0"/>
    <m/>
    <m/>
    <m/>
    <x v="453"/>
    <m/>
    <m/>
    <x v="476"/>
    <n v="6"/>
    <n v="2020"/>
    <x v="0"/>
    <x v="0"/>
    <s v="QINZHOU / CHINA"/>
    <x v="2"/>
    <m/>
    <x v="1"/>
    <x v="651"/>
    <d v="2020-05-11T00:00:00"/>
    <s v="HUI HAI LONG"/>
    <x v="237"/>
    <x v="9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937"/>
    <m/>
    <x v="736"/>
    <m/>
    <m/>
    <m/>
    <s v="CERRADO"/>
    <n v="204817"/>
    <x v="50"/>
    <x v="3"/>
    <x v="390"/>
    <d v="2020-03-31T00:00:00"/>
    <s v="CAD"/>
    <m/>
    <s v="20200192-C"/>
    <m/>
    <d v="2020-05-28T00:00:00"/>
    <s v="CANCELADO"/>
    <s v="CFR"/>
    <m/>
    <x v="8"/>
    <n v="341.5"/>
    <m/>
    <x v="814"/>
    <x v="5"/>
    <s v="Contenedor 20'"/>
    <m/>
    <s v="Bigbag"/>
    <m/>
    <m/>
    <s v="MAYO '20"/>
    <x v="0"/>
    <m/>
    <m/>
    <m/>
    <x v="474"/>
    <m/>
    <m/>
    <x v="477"/>
    <n v="8"/>
    <n v="2020"/>
    <x v="0"/>
    <x v="0"/>
    <s v="QINZHOU / CHINA"/>
    <x v="4"/>
    <m/>
    <x v="4"/>
    <x v="652"/>
    <d v="2020-05-10T00:00:00"/>
    <s v="KYOTO TOWER"/>
    <x v="246"/>
    <x v="8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C"/>
    <x v="0"/>
    <x v="0"/>
    <m/>
    <m/>
    <x v="938"/>
    <m/>
    <x v="737"/>
    <m/>
    <m/>
    <m/>
    <s v="CERRADO"/>
    <n v="207580"/>
    <x v="32"/>
    <x v="51"/>
    <x v="391"/>
    <d v="2020-04-02T00:00:00"/>
    <n v="90"/>
    <s v="días BL"/>
    <s v="5000108"/>
    <m/>
    <d v="2020-08-18T00:00:00"/>
    <s v="CANCELADO"/>
    <s v="CFR"/>
    <m/>
    <x v="143"/>
    <n v="699"/>
    <m/>
    <x v="815"/>
    <x v="1"/>
    <s v="Contenedor 20'"/>
    <m/>
    <s v="25 kg"/>
    <m/>
    <m/>
    <s v="ABRIL - MAYO '20"/>
    <x v="0"/>
    <m/>
    <m/>
    <m/>
    <x v="475"/>
    <m/>
    <m/>
    <x v="478"/>
    <n v="6"/>
    <n v="2020"/>
    <x v="0"/>
    <x v="0"/>
    <s v="KLAIPEDA / LITUANIA"/>
    <x v="2"/>
    <m/>
    <x v="1"/>
    <x v="653"/>
    <d v="2020-05-19T00:00:00"/>
    <s v="MSC BHAVYA"/>
    <x v="247"/>
    <x v="4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939"/>
    <m/>
    <x v="738"/>
    <m/>
    <m/>
    <m/>
    <s v="CERRADO"/>
    <n v="209979"/>
    <x v="1"/>
    <x v="7"/>
    <x v="16"/>
    <d v="2020-04-08T00:00:00"/>
    <n v="120"/>
    <s v="días BL"/>
    <s v="7300066552"/>
    <m/>
    <d v="2020-09-14T00:00:00"/>
    <s v="CANCELADO"/>
    <s v="CPT"/>
    <m/>
    <x v="396"/>
    <n v="455"/>
    <m/>
    <x v="816"/>
    <x v="10"/>
    <s v="Contenedor 20'"/>
    <m/>
    <s v="Granel Sólido"/>
    <m/>
    <m/>
    <s v="MAYO '20"/>
    <x v="0"/>
    <m/>
    <m/>
    <m/>
    <x v="476"/>
    <m/>
    <m/>
    <x v="479"/>
    <n v="6"/>
    <n v="2020"/>
    <x v="0"/>
    <x v="0"/>
    <s v="HAMBURGO / ALEMANIA"/>
    <x v="0"/>
    <m/>
    <x v="1"/>
    <x v="654"/>
    <d v="2020-05-17T00:00:00"/>
    <s v="CMA CGM TANYA"/>
    <x v="173"/>
    <x v="9"/>
    <m/>
    <s v="REALIZADO"/>
    <m/>
    <m/>
    <m/>
    <m/>
    <x v="0"/>
    <d v="2020-06-25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C"/>
    <x v="0"/>
    <x v="0"/>
    <m/>
    <m/>
    <x v="940"/>
    <m/>
    <x v="739"/>
    <m/>
    <m/>
    <m/>
    <s v="CERRADO"/>
    <n v="207580"/>
    <x v="32"/>
    <x v="51"/>
    <x v="392"/>
    <d v="2020-04-15T00:00:00"/>
    <n v="90"/>
    <s v="días BL"/>
    <s v="20200230"/>
    <m/>
    <d v="2020-08-13T00:00:00"/>
    <s v="CANCELADO"/>
    <s v="CPT"/>
    <m/>
    <x v="126"/>
    <n v="703"/>
    <m/>
    <x v="817"/>
    <x v="21"/>
    <s v="Contenedor 20'"/>
    <m/>
    <s v="25 kg"/>
    <m/>
    <m/>
    <s v="ABRIL - MAYO '20"/>
    <x v="0"/>
    <m/>
    <m/>
    <m/>
    <x v="475"/>
    <m/>
    <m/>
    <x v="450"/>
    <n v="6"/>
    <n v="2020"/>
    <x v="0"/>
    <x v="0"/>
    <s v="LIANYUNGANG / CHINA"/>
    <x v="0"/>
    <m/>
    <x v="1"/>
    <x v="655"/>
    <d v="2020-05-15T00:00:00"/>
    <s v="QIYUNHE"/>
    <x v="244"/>
    <x v="2"/>
    <m/>
    <s v="REALIZADO"/>
    <m/>
    <m/>
    <m/>
    <m/>
    <x v="0"/>
    <d v="2020-07-14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C"/>
    <x v="0"/>
    <x v="0"/>
    <m/>
    <m/>
    <x v="941"/>
    <m/>
    <x v="740"/>
    <m/>
    <m/>
    <m/>
    <s v="CERRADO"/>
    <n v="207580"/>
    <x v="32"/>
    <x v="51"/>
    <x v="393"/>
    <d v="2020-04-15T00:00:00"/>
    <n v="90"/>
    <s v="días BL"/>
    <s v="20200231"/>
    <m/>
    <d v="2020-08-13T00:00:00"/>
    <s v="CANCELADO"/>
    <s v="CPT"/>
    <m/>
    <x v="397"/>
    <n v="712"/>
    <m/>
    <x v="818"/>
    <x v="4"/>
    <s v="Contenedor 20'"/>
    <m/>
    <s v="25 kg"/>
    <m/>
    <m/>
    <s v="ABRIL - MAYO '20"/>
    <x v="0"/>
    <m/>
    <m/>
    <m/>
    <x v="477"/>
    <m/>
    <m/>
    <x v="480"/>
    <n v="8"/>
    <n v="2020"/>
    <x v="0"/>
    <x v="0"/>
    <s v="LIANYUNGANG / CHINA"/>
    <x v="4"/>
    <m/>
    <x v="2"/>
    <x v="656"/>
    <d v="2020-05-15T00:00:00"/>
    <s v="QIYUNHE"/>
    <x v="129"/>
    <x v="2"/>
    <m/>
    <s v="REALIZADO"/>
    <m/>
    <m/>
    <m/>
    <m/>
    <x v="0"/>
    <d v="2020-08-02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942"/>
    <m/>
    <x v="741"/>
    <m/>
    <m/>
    <m/>
    <s v="CERRADO"/>
    <n v="206600"/>
    <x v="1"/>
    <x v="51"/>
    <x v="394"/>
    <d v="2020-04-15T00:00:00"/>
    <n v="90"/>
    <s v="días BL"/>
    <s v="5000147"/>
    <m/>
    <d v="2020-08-26T00:00:00"/>
    <s v="CANCELADO"/>
    <s v="CFR"/>
    <m/>
    <x v="54"/>
    <n v="457"/>
    <m/>
    <x v="819"/>
    <x v="3"/>
    <s v="Granel - BB"/>
    <m/>
    <s v="50 kg"/>
    <m/>
    <m/>
    <s v="MAYO '20"/>
    <x v="0"/>
    <m/>
    <m/>
    <m/>
    <x v="454"/>
    <m/>
    <m/>
    <x v="474"/>
    <n v="7"/>
    <n v="2020"/>
    <x v="0"/>
    <x v="0"/>
    <s v="XINGANG / CHINA"/>
    <x v="2"/>
    <m/>
    <x v="6"/>
    <x v="657"/>
    <d v="2020-05-28T00:00:00"/>
    <s v="MV TR CROWN"/>
    <x v="242"/>
    <x v="0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943"/>
    <m/>
    <x v="742"/>
    <m/>
    <m/>
    <m/>
    <s v="CERRADO"/>
    <n v="206600"/>
    <x v="1"/>
    <x v="51"/>
    <x v="395"/>
    <d v="2020-04-15T00:00:00"/>
    <n v="90"/>
    <s v="días BL"/>
    <s v="5000168"/>
    <m/>
    <d v="2020-08-24T00:00:00"/>
    <s v="CANCELADO"/>
    <s v="CPT"/>
    <m/>
    <x v="207"/>
    <n v="464"/>
    <m/>
    <x v="820"/>
    <x v="3"/>
    <s v="Granel - BB"/>
    <m/>
    <s v="50 kg"/>
    <m/>
    <m/>
    <s v="MAYO '20"/>
    <x v="0"/>
    <m/>
    <m/>
    <m/>
    <x v="465"/>
    <m/>
    <m/>
    <x v="464"/>
    <n v="7"/>
    <n v="2020"/>
    <x v="0"/>
    <x v="0"/>
    <s v="XINGANG / CHINA"/>
    <x v="4"/>
    <m/>
    <x v="2"/>
    <x v="658"/>
    <d v="2020-05-26T00:00:00"/>
    <s v="MV PELICAN ARROW"/>
    <x v="185"/>
    <x v="0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s v="URGENTE"/>
    <m/>
    <x v="944"/>
    <m/>
    <x v="743"/>
    <m/>
    <m/>
    <m/>
    <s v="CERRADO"/>
    <n v="207579"/>
    <x v="9"/>
    <x v="47"/>
    <x v="396"/>
    <d v="2020-04-09T00:00:00"/>
    <s v="CAD"/>
    <m/>
    <s v="220.095"/>
    <m/>
    <d v="2020-06-19T00:00:00"/>
    <s v="CANCELADO"/>
    <s v="CFR"/>
    <m/>
    <x v="35"/>
    <n v="237.5"/>
    <m/>
    <x v="821"/>
    <x v="3"/>
    <s v="Granel - BB"/>
    <m/>
    <s v="25 kg"/>
    <m/>
    <m/>
    <s v="MAYO '20"/>
    <x v="0"/>
    <m/>
    <m/>
    <m/>
    <x v="454"/>
    <m/>
    <m/>
    <x v="481"/>
    <n v="7"/>
    <n v="2020"/>
    <x v="0"/>
    <x v="0"/>
    <s v="TIANJIN / CHINA"/>
    <x v="2"/>
    <m/>
    <x v="1"/>
    <x v="659"/>
    <d v="2020-05-29T00:00:00"/>
    <s v="MV TR CROWN"/>
    <x v="242"/>
    <x v="0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945"/>
    <m/>
    <x v="744"/>
    <m/>
    <m/>
    <m/>
    <s v="CERRADO"/>
    <n v="203631"/>
    <x v="3"/>
    <x v="33"/>
    <x v="397"/>
    <d v="2020-04-14T00:00:00"/>
    <n v="90"/>
    <s v="días BL"/>
    <s v="5462"/>
    <m/>
    <d v="2020-08-20T00:00:00"/>
    <s v="CANCELADO"/>
    <s v="CFR"/>
    <m/>
    <x v="398"/>
    <n v="442.3"/>
    <m/>
    <x v="822"/>
    <x v="33"/>
    <s v="Contenedor 20'"/>
    <m/>
    <s v="25 kg"/>
    <m/>
    <m/>
    <s v="MAYO '20"/>
    <x v="0"/>
    <m/>
    <m/>
    <m/>
    <x v="474"/>
    <m/>
    <m/>
    <x v="482"/>
    <n v="8"/>
    <n v="2020"/>
    <x v="0"/>
    <x v="0"/>
    <s v="QINGDAO / CHINA"/>
    <x v="4"/>
    <m/>
    <x v="2"/>
    <x v="660"/>
    <d v="2020-05-21T00:00:00"/>
    <s v="EVER ULYSSES "/>
    <x v="246"/>
    <x v="8"/>
    <m/>
    <s v="REALIZADO"/>
    <m/>
    <m/>
    <m/>
    <m/>
    <x v="0"/>
    <d v="2020-08-07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946"/>
    <m/>
    <x v="745"/>
    <m/>
    <m/>
    <m/>
    <s v="CERRADO"/>
    <n v="206966"/>
    <x v="16"/>
    <x v="54"/>
    <x v="398"/>
    <d v="2020-04-10T00:00:00"/>
    <n v="90"/>
    <s v="días BL"/>
    <s v="20JEQ001-1"/>
    <m/>
    <d v="2020-08-26T00:00:00"/>
    <s v="CANCELADO"/>
    <s v="CFR"/>
    <m/>
    <x v="399"/>
    <n v="620"/>
    <m/>
    <x v="20"/>
    <x v="3"/>
    <s v="Granel - BB"/>
    <m/>
    <s v="25 kg"/>
    <m/>
    <m/>
    <s v="ABRIL '20"/>
    <x v="0"/>
    <m/>
    <m/>
    <m/>
    <x v="478"/>
    <m/>
    <m/>
    <x v="465"/>
    <n v="7"/>
    <n v="2020"/>
    <x v="0"/>
    <x v="0"/>
    <s v="CHANGSHU / CHINA"/>
    <x v="2"/>
    <m/>
    <x v="1"/>
    <x v="661"/>
    <d v="2020-05-28T00:00:00"/>
    <s v="MV RAVEN ARROW"/>
    <x v="248"/>
    <x v="0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947"/>
    <m/>
    <x v="746"/>
    <m/>
    <m/>
    <m/>
    <s v="CERRADO"/>
    <n v="206966"/>
    <x v="16"/>
    <x v="54"/>
    <x v="398"/>
    <d v="2020-04-10T00:00:00"/>
    <n v="90"/>
    <s v="días BL"/>
    <s v="20JEQ001-2"/>
    <m/>
    <d v="2020-08-20T00:00:00"/>
    <s v="CANCELADO"/>
    <s v="CFR"/>
    <m/>
    <x v="400"/>
    <n v="630"/>
    <m/>
    <x v="823"/>
    <x v="3"/>
    <s v="Granel - BB"/>
    <m/>
    <s v="25 kg"/>
    <m/>
    <m/>
    <s v="ABRIL '20"/>
    <x v="0"/>
    <m/>
    <m/>
    <m/>
    <x v="465"/>
    <m/>
    <m/>
    <x v="464"/>
    <n v="7"/>
    <n v="2020"/>
    <x v="0"/>
    <x v="0"/>
    <s v="NANJING / CHINA"/>
    <x v="4"/>
    <m/>
    <x v="2"/>
    <x v="662"/>
    <d v="2020-05-22T00:00:00"/>
    <s v="MV PELICAN ARROW"/>
    <x v="185"/>
    <x v="0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948"/>
    <m/>
    <x v="747"/>
    <m/>
    <m/>
    <m/>
    <s v="CERRADO"/>
    <n v="206914"/>
    <x v="12"/>
    <x v="19"/>
    <x v="399"/>
    <d v="2020-04-08T00:00:00"/>
    <n v="90"/>
    <s v="días BL"/>
    <s v="SG-MSL-12329-18A"/>
    <m/>
    <d v="2020-08-09T00:00:00"/>
    <s v="CANCELADO"/>
    <s v="CFR"/>
    <m/>
    <x v="401"/>
    <n v="108"/>
    <m/>
    <x v="824"/>
    <x v="28"/>
    <s v="Contenedor 40'"/>
    <m/>
    <s v="25 kg"/>
    <m/>
    <m/>
    <s v="ABRIL - MAYO '20"/>
    <x v="0"/>
    <m/>
    <m/>
    <m/>
    <x v="479"/>
    <m/>
    <m/>
    <x v="483"/>
    <n v="7"/>
    <n v="2020"/>
    <x v="0"/>
    <x v="0"/>
    <s v="DALIAN / CHINA"/>
    <x v="0"/>
    <m/>
    <x v="5"/>
    <x v="663"/>
    <d v="2020-05-11T00:00:00"/>
    <s v="MANCHESTER MAERSK"/>
    <x v="249"/>
    <x v="6"/>
    <m/>
    <s v="REALIZADO"/>
    <m/>
    <m/>
    <m/>
    <m/>
    <x v="0"/>
    <d v="2020-07-13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949"/>
    <m/>
    <x v="748"/>
    <m/>
    <m/>
    <m/>
    <s v="CERRADO"/>
    <n v="206914"/>
    <x v="12"/>
    <x v="19"/>
    <x v="399"/>
    <d v="2020-04-08T00:00:00"/>
    <n v="90"/>
    <s v="días BL"/>
    <s v="SG-MSL-12329-18B"/>
    <m/>
    <d v="2020-08-20T00:00:00"/>
    <s v="CANCELADO"/>
    <s v="CFR"/>
    <m/>
    <x v="272"/>
    <n v="108"/>
    <m/>
    <x v="825"/>
    <x v="32"/>
    <s v="Contenedor 40'"/>
    <m/>
    <s v="25 kg"/>
    <m/>
    <m/>
    <s v="ABRIL - MAYO '20"/>
    <x v="0"/>
    <m/>
    <m/>
    <m/>
    <x v="478"/>
    <m/>
    <m/>
    <x v="484"/>
    <n v="7"/>
    <n v="2020"/>
    <x v="0"/>
    <x v="0"/>
    <s v="QINGDAO / CHINA"/>
    <x v="0"/>
    <m/>
    <x v="5"/>
    <x v="664"/>
    <d v="2020-05-22T00:00:00"/>
    <s v="SVENDBORG MAERSK"/>
    <x v="222"/>
    <x v="6"/>
    <m/>
    <s v="REALIZADO"/>
    <m/>
    <m/>
    <m/>
    <m/>
    <x v="0"/>
    <d v="2020-07-30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950"/>
    <m/>
    <x v="749"/>
    <m/>
    <m/>
    <m/>
    <s v="CERRADO"/>
    <n v="206914"/>
    <x v="12"/>
    <x v="19"/>
    <x v="400"/>
    <d v="2020-04-08T00:00:00"/>
    <n v="90"/>
    <s v="días BL"/>
    <s v="SG-MSL-12329-19"/>
    <m/>
    <d v="2020-09-21T00:00:00"/>
    <s v="CANCELADO"/>
    <s v="CFR"/>
    <m/>
    <x v="402"/>
    <n v="102"/>
    <m/>
    <x v="826"/>
    <x v="3"/>
    <s v="Granel - BB"/>
    <m/>
    <s v="25 kg"/>
    <m/>
    <m/>
    <s v="ABRIL - MAYO '20"/>
    <x v="0"/>
    <m/>
    <m/>
    <m/>
    <x v="480"/>
    <m/>
    <m/>
    <x v="485"/>
    <n v="9"/>
    <n v="2020"/>
    <x v="0"/>
    <x v="0"/>
    <s v="BAYUQUAN / CHINA"/>
    <x v="2"/>
    <m/>
    <x v="6"/>
    <x v="665"/>
    <d v="2020-06-22T00:00:00"/>
    <s v="MV PANAMANA"/>
    <x v="250"/>
    <x v="0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951"/>
    <m/>
    <x v="750"/>
    <m/>
    <m/>
    <m/>
    <s v="CERRADO"/>
    <n v="206914"/>
    <x v="12"/>
    <x v="19"/>
    <x v="401"/>
    <d v="2020-04-08T00:00:00"/>
    <n v="90"/>
    <s v="días BL"/>
    <s v="SG-MSL-12329-20"/>
    <m/>
    <d v="2020-09-01T00:00:00"/>
    <s v="CANCELADO"/>
    <s v="CFR"/>
    <m/>
    <x v="4"/>
    <n v="113"/>
    <m/>
    <x v="827"/>
    <x v="3"/>
    <s v="Granel - BB"/>
    <m/>
    <s v="25 kg"/>
    <m/>
    <m/>
    <s v="ABRIL - MAYO '20"/>
    <x v="0"/>
    <m/>
    <m/>
    <m/>
    <x v="465"/>
    <m/>
    <m/>
    <x v="464"/>
    <n v="7"/>
    <n v="2020"/>
    <x v="0"/>
    <x v="0"/>
    <s v="BAYUQUAN / CHINA"/>
    <x v="4"/>
    <m/>
    <x v="2"/>
    <x v="666"/>
    <d v="2020-06-03T00:00:00"/>
    <s v="MV PELICAN ARROW"/>
    <x v="185"/>
    <x v="0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1"/>
    <s v="URGENTE"/>
    <m/>
    <x v="952"/>
    <m/>
    <x v="34"/>
    <m/>
    <m/>
    <m/>
    <m/>
    <m/>
    <x v="9"/>
    <x v="27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0"/>
    <s v="S-P"/>
    <x v="0"/>
    <x v="0"/>
    <m/>
    <m/>
    <x v="953"/>
    <m/>
    <x v="751"/>
    <m/>
    <m/>
    <m/>
    <s v="CERRADO"/>
    <n v="208510"/>
    <x v="10"/>
    <x v="27"/>
    <x v="402"/>
    <d v="2020-04-10T00:00:00"/>
    <n v="90"/>
    <s v="días BL"/>
    <s v="B7FE-20-3009-PAPE-01"/>
    <m/>
    <d v="2020-07-24T00:00:00"/>
    <s v="CANCELADO"/>
    <s v="CFR"/>
    <m/>
    <x v="403"/>
    <n v="860"/>
    <m/>
    <x v="828"/>
    <x v="46"/>
    <s v="Contenedor 20'"/>
    <m/>
    <s v="Bidones 35kg"/>
    <m/>
    <m/>
    <s v="ABRIL '20"/>
    <x v="0"/>
    <m/>
    <m/>
    <m/>
    <x v="481"/>
    <m/>
    <m/>
    <x v="454"/>
    <n v="6"/>
    <n v="2020"/>
    <x v="0"/>
    <x v="0"/>
    <s v="QINZHOU / CHINA"/>
    <x v="2"/>
    <m/>
    <x v="1"/>
    <x v="667"/>
    <d v="2020-04-26T00:00:00"/>
    <s v="HUI JIN QIAO"/>
    <x v="251"/>
    <x v="9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P"/>
    <x v="0"/>
    <x v="0"/>
    <m/>
    <m/>
    <x v="954"/>
    <m/>
    <x v="752"/>
    <m/>
    <m/>
    <m/>
    <s v="CERRADO"/>
    <n v="208510"/>
    <x v="10"/>
    <x v="27"/>
    <x v="402"/>
    <d v="2020-04-10T00:00:00"/>
    <n v="90"/>
    <s v="días BL"/>
    <s v="B7FE-20-3009-PAPE-02"/>
    <m/>
    <d v="2020-08-28T00:00:00"/>
    <s v="CANCELADO"/>
    <s v="CFR"/>
    <m/>
    <x v="404"/>
    <n v="865"/>
    <m/>
    <x v="829"/>
    <x v="47"/>
    <s v="Contenedor 20'"/>
    <m/>
    <s v="Bidones 35kg"/>
    <m/>
    <m/>
    <s v="MAYO '20"/>
    <x v="0"/>
    <m/>
    <m/>
    <m/>
    <x v="482"/>
    <m/>
    <m/>
    <x v="464"/>
    <n v="7"/>
    <n v="2020"/>
    <x v="0"/>
    <x v="0"/>
    <s v="QINZHOU / CHINA"/>
    <x v="0"/>
    <m/>
    <x v="5"/>
    <x v="668"/>
    <d v="2020-05-31T00:00:00"/>
    <s v="HUI JIN QIAO"/>
    <x v="244"/>
    <x v="9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P"/>
    <x v="0"/>
    <x v="0"/>
    <m/>
    <m/>
    <x v="955"/>
    <m/>
    <x v="753"/>
    <m/>
    <m/>
    <m/>
    <s v="CERRADO"/>
    <n v="208510"/>
    <x v="10"/>
    <x v="27"/>
    <x v="402"/>
    <d v="2020-04-10T00:00:00"/>
    <n v="90"/>
    <s v="días BL"/>
    <s v="B7FE-20-3009-PAPE-03"/>
    <m/>
    <d v="2020-09-02T00:00:00"/>
    <s v="CANCELADO"/>
    <s v="CFR"/>
    <m/>
    <x v="231"/>
    <n v="890"/>
    <m/>
    <x v="830"/>
    <x v="4"/>
    <s v="Contenedor 20'"/>
    <m/>
    <s v="Bidones 35kg"/>
    <m/>
    <m/>
    <s v="MAYO '20"/>
    <x v="0"/>
    <m/>
    <m/>
    <m/>
    <x v="483"/>
    <m/>
    <m/>
    <x v="486"/>
    <n v="8"/>
    <n v="2020"/>
    <x v="0"/>
    <x v="0"/>
    <s v="QINZHOU / CHINA"/>
    <x v="4"/>
    <m/>
    <x v="2"/>
    <x v="669"/>
    <d v="2020-06-04T00:00:00"/>
    <s v="HUI JIN QIAO"/>
    <x v="129"/>
    <x v="2"/>
    <m/>
    <s v="REALIZADO"/>
    <m/>
    <m/>
    <m/>
    <m/>
    <x v="0"/>
    <d v="2020-08-26T00:00:00"/>
    <m/>
    <x v="0"/>
    <x v="0"/>
    <m/>
    <m/>
    <x v="0"/>
    <e v="#REF!"/>
    <m/>
    <m/>
    <m/>
    <m/>
    <m/>
    <x v="0"/>
    <s v="anulada: 8000000958"/>
    <m/>
    <m/>
    <m/>
    <s v="NACIONALIZADO"/>
    <m/>
    <m/>
    <m/>
  </r>
  <r>
    <n v="2020"/>
    <s v="S-P"/>
    <x v="0"/>
    <x v="0"/>
    <m/>
    <m/>
    <x v="956"/>
    <m/>
    <x v="754"/>
    <m/>
    <m/>
    <m/>
    <s v="CERRADO"/>
    <n v="207499"/>
    <x v="2"/>
    <x v="19"/>
    <x v="403"/>
    <d v="2020-04-08T00:00:00"/>
    <n v="90"/>
    <s v="días BL"/>
    <s v="SG-ZSL-12329-21"/>
    <m/>
    <d v="2020-08-29T00:00:00"/>
    <s v="CANCELADO"/>
    <s v="CFR"/>
    <m/>
    <x v="367"/>
    <n v="458"/>
    <m/>
    <x v="831"/>
    <x v="0"/>
    <s v="Granel - BB"/>
    <m/>
    <s v="25 kg"/>
    <m/>
    <m/>
    <s v="ABRIL - MAYO '20"/>
    <x v="0"/>
    <m/>
    <m/>
    <m/>
    <x v="463"/>
    <m/>
    <m/>
    <x v="461"/>
    <n v="7"/>
    <n v="2020"/>
    <x v="0"/>
    <x v="0"/>
    <s v="TIANJIN / CHINA"/>
    <x v="0"/>
    <m/>
    <x v="2"/>
    <x v="670"/>
    <d v="2020-05-31T00:00:00"/>
    <s v="MV TR CROWN"/>
    <x v="242"/>
    <x v="0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P"/>
    <x v="0"/>
    <x v="0"/>
    <m/>
    <m/>
    <x v="957"/>
    <m/>
    <x v="755"/>
    <m/>
    <m/>
    <m/>
    <s v="CERRADO"/>
    <n v="207499"/>
    <x v="2"/>
    <x v="19"/>
    <x v="404"/>
    <d v="2020-04-08T00:00:00"/>
    <n v="90"/>
    <s v="días BL"/>
    <s v="SG-MSL-12329-22"/>
    <m/>
    <d v="2020-09-23T00:00:00"/>
    <s v="CANCELADO"/>
    <s v="CFR"/>
    <m/>
    <x v="405"/>
    <n v="447"/>
    <m/>
    <x v="832"/>
    <x v="3"/>
    <s v="Granel - BB"/>
    <m/>
    <s v="25 kg"/>
    <m/>
    <m/>
    <s v="ABRIL - MAYO '20"/>
    <x v="0"/>
    <m/>
    <m/>
    <m/>
    <x v="480"/>
    <m/>
    <m/>
    <x v="485"/>
    <n v="9"/>
    <n v="2020"/>
    <x v="0"/>
    <x v="0"/>
    <s v="TIANJIN / CHINA"/>
    <x v="2"/>
    <m/>
    <x v="6"/>
    <x v="671"/>
    <d v="2020-06-23T00:00:00"/>
    <s v="MV PANAMANA"/>
    <x v="250"/>
    <x v="0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P"/>
    <x v="0"/>
    <x v="0"/>
    <m/>
    <m/>
    <x v="958"/>
    <m/>
    <x v="756"/>
    <m/>
    <m/>
    <m/>
    <s v="CERRADO"/>
    <n v="207499"/>
    <x v="2"/>
    <x v="19"/>
    <x v="405"/>
    <d v="2020-04-08T00:00:00"/>
    <n v="90"/>
    <s v="días BL"/>
    <s v="SG-MSL-12329-23"/>
    <m/>
    <d v="2020-08-31T00:00:00"/>
    <s v="CANCELADO"/>
    <s v="CFR"/>
    <m/>
    <x v="406"/>
    <n v="460"/>
    <m/>
    <x v="833"/>
    <x v="3"/>
    <s v="Granel - BB"/>
    <m/>
    <s v="25 kg"/>
    <m/>
    <m/>
    <s v="ABRIL - MAYO '20"/>
    <x v="0"/>
    <m/>
    <m/>
    <m/>
    <x v="465"/>
    <m/>
    <m/>
    <x v="464"/>
    <n v="7"/>
    <n v="2020"/>
    <x v="0"/>
    <x v="0"/>
    <s v="TIANJIN / CHINA"/>
    <x v="4"/>
    <m/>
    <x v="2"/>
    <x v="672"/>
    <d v="2020-06-02T00:00:00"/>
    <s v="MV PELICAN ARROW"/>
    <x v="185"/>
    <x v="0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E-S"/>
    <x v="0"/>
    <x v="0"/>
    <m/>
    <m/>
    <x v="959"/>
    <m/>
    <x v="757"/>
    <m/>
    <m/>
    <m/>
    <s v="CERRADO"/>
    <n v="209986"/>
    <x v="55"/>
    <x v="28"/>
    <x v="72"/>
    <d v="2020-04-08T00:00:00"/>
    <n v="30"/>
    <s v="días BL"/>
    <s v="1381"/>
    <m/>
    <d v="2020-07-17T00:00:00"/>
    <s v="CANCELADO"/>
    <s v="CFR"/>
    <m/>
    <x v="407"/>
    <n v="280"/>
    <m/>
    <x v="834"/>
    <x v="1"/>
    <s v="Contenedor 20'"/>
    <m/>
    <s v="50 kg"/>
    <m/>
    <m/>
    <s v="MAYO '20"/>
    <x v="0"/>
    <m/>
    <m/>
    <m/>
    <x v="475"/>
    <m/>
    <m/>
    <x v="450"/>
    <n v="6"/>
    <n v="2020"/>
    <x v="0"/>
    <x v="0"/>
    <s v="QUETZAL/ GUATEMALA"/>
    <x v="2"/>
    <m/>
    <x v="1"/>
    <x v="673"/>
    <d v="2020-06-17T00:00:00"/>
    <s v="MOL PACE"/>
    <x v="9"/>
    <x v="2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E-S"/>
    <x v="0"/>
    <x v="0"/>
    <m/>
    <m/>
    <x v="960"/>
    <m/>
    <x v="758"/>
    <m/>
    <m/>
    <m/>
    <s v="CERRADO"/>
    <n v="209986"/>
    <x v="55"/>
    <x v="28"/>
    <x v="72"/>
    <d v="2020-04-08T00:00:00"/>
    <n v="30"/>
    <s v="días BL"/>
    <s v="1467"/>
    <m/>
    <d v="2020-08-07T00:00:00"/>
    <s v="CANCELADO"/>
    <s v="CFR"/>
    <m/>
    <x v="145"/>
    <n v="280"/>
    <m/>
    <x v="237"/>
    <x v="1"/>
    <s v="Contenedor 20'"/>
    <m/>
    <s v="50 kg"/>
    <m/>
    <m/>
    <s v="JUNIO '20"/>
    <x v="0"/>
    <m/>
    <m/>
    <m/>
    <x v="484"/>
    <m/>
    <m/>
    <x v="487"/>
    <n v="7"/>
    <n v="2020"/>
    <x v="0"/>
    <x v="0"/>
    <s v="QUETZAL/ GUATEMALA"/>
    <x v="2"/>
    <m/>
    <x v="1"/>
    <x v="674"/>
    <d v="2020-07-08T00:00:00"/>
    <s v="CAPE PIONEER"/>
    <x v="252"/>
    <x v="2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T-S"/>
    <x v="0"/>
    <x v="0"/>
    <m/>
    <m/>
    <x v="961"/>
    <m/>
    <x v="759"/>
    <m/>
    <m/>
    <m/>
    <s v="CERRADO"/>
    <n v="208067"/>
    <x v="115"/>
    <x v="53"/>
    <x v="406"/>
    <s v="MAYO"/>
    <n v="30"/>
    <s v="días BL"/>
    <s v="F200-00042469"/>
    <m/>
    <d v="2020-06-14T00:00:00"/>
    <s v="CANCELADO"/>
    <s v="CFR"/>
    <m/>
    <x v="70"/>
    <n v="242.44"/>
    <m/>
    <x v="835"/>
    <x v="19"/>
    <s v="Contenedor 20'"/>
    <m/>
    <s v="25 kg"/>
    <m/>
    <m/>
    <s v="MAYO '20"/>
    <x v="0"/>
    <m/>
    <m/>
    <m/>
    <x v="485"/>
    <m/>
    <m/>
    <x v="488"/>
    <n v="6"/>
    <n v="2020"/>
    <x v="0"/>
    <x v="0"/>
    <s v="CARTAGENA / COLOMBIA"/>
    <x v="0"/>
    <m/>
    <x v="2"/>
    <x v="675"/>
    <d v="2020-05-15T00:00:00"/>
    <s v="DUBLIN EXPRESS"/>
    <x v="119"/>
    <x v="9"/>
    <m/>
    <s v="REALIZADO"/>
    <m/>
    <m/>
    <m/>
    <m/>
    <x v="0"/>
    <d v="2020-06-09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T-S"/>
    <x v="0"/>
    <x v="0"/>
    <m/>
    <m/>
    <x v="962"/>
    <m/>
    <x v="760"/>
    <m/>
    <m/>
    <m/>
    <s v="CERRADO"/>
    <n v="208067"/>
    <x v="115"/>
    <x v="53"/>
    <x v="407"/>
    <s v="MAYO"/>
    <n v="30"/>
    <s v="días BL"/>
    <s v="F200-00042466"/>
    <m/>
    <d v="2020-06-14T00:00:00"/>
    <s v="CANCELADO"/>
    <s v="CFR"/>
    <m/>
    <x v="70"/>
    <n v="242.44"/>
    <m/>
    <x v="835"/>
    <x v="19"/>
    <s v="Contenedor 20'"/>
    <m/>
    <s v="25 kg"/>
    <m/>
    <m/>
    <s v="MAYO '20"/>
    <x v="0"/>
    <m/>
    <m/>
    <m/>
    <x v="485"/>
    <m/>
    <m/>
    <x v="489"/>
    <n v="6"/>
    <n v="2020"/>
    <x v="0"/>
    <x v="0"/>
    <s v="CARTAGENA / COLOMBIA"/>
    <x v="0"/>
    <m/>
    <x v="2"/>
    <x v="676"/>
    <d v="2020-05-15T00:00:00"/>
    <s v="DUBLIN EXPRESS"/>
    <x v="119"/>
    <x v="2"/>
    <m/>
    <s v="REALIZADO"/>
    <m/>
    <m/>
    <m/>
    <m/>
    <x v="0"/>
    <d v="2020-06-09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T-S"/>
    <x v="0"/>
    <x v="0"/>
    <m/>
    <m/>
    <x v="963"/>
    <m/>
    <x v="761"/>
    <m/>
    <m/>
    <m/>
    <s v="CERRADO"/>
    <n v="208067"/>
    <x v="115"/>
    <x v="53"/>
    <x v="408"/>
    <s v="MAYO"/>
    <n v="30"/>
    <s v="días BL"/>
    <s v="F200-00042462"/>
    <m/>
    <d v="2020-06-08T00:00:00"/>
    <s v="CANCELADO"/>
    <s v="CFR"/>
    <m/>
    <x v="70"/>
    <n v="242.44"/>
    <m/>
    <x v="835"/>
    <x v="19"/>
    <s v="Contenedor 20'"/>
    <m/>
    <s v="25 kg"/>
    <m/>
    <m/>
    <s v="MAYO '20"/>
    <x v="0"/>
    <m/>
    <m/>
    <m/>
    <x v="486"/>
    <m/>
    <m/>
    <x v="490"/>
    <n v="5"/>
    <n v="2020"/>
    <x v="0"/>
    <x v="0"/>
    <s v="CARTAGENA / COLOMBIA"/>
    <x v="0"/>
    <m/>
    <x v="2"/>
    <x v="677"/>
    <d v="2020-05-09T00:00:00"/>
    <s v="CRISTINA STAR"/>
    <x v="173"/>
    <x v="2"/>
    <m/>
    <s v="REALIZADO"/>
    <m/>
    <m/>
    <m/>
    <m/>
    <x v="0"/>
    <d v="2020-06-02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T-S"/>
    <x v="0"/>
    <x v="0"/>
    <m/>
    <m/>
    <x v="964"/>
    <m/>
    <x v="762"/>
    <m/>
    <m/>
    <m/>
    <s v="CERRADO"/>
    <n v="208073"/>
    <x v="116"/>
    <x v="53"/>
    <x v="409"/>
    <d v="2021-04-15T00:00:00"/>
    <n v="30"/>
    <s v="días BL"/>
    <s v="F200-00042461"/>
    <m/>
    <d v="2020-06-08T00:00:00"/>
    <s v="CANCELADO"/>
    <s v="CFR"/>
    <m/>
    <x v="136"/>
    <n v="242.44"/>
    <m/>
    <x v="836"/>
    <x v="16"/>
    <s v="Contenedor 20'"/>
    <m/>
    <s v="Bigbag"/>
    <m/>
    <m/>
    <s v="MAYO '20"/>
    <x v="0"/>
    <m/>
    <m/>
    <m/>
    <x v="486"/>
    <m/>
    <m/>
    <x v="491"/>
    <n v="5"/>
    <n v="2020"/>
    <x v="0"/>
    <x v="0"/>
    <s v="CARTAGENA / COLOMBIA"/>
    <x v="0"/>
    <m/>
    <x v="1"/>
    <x v="678"/>
    <d v="2020-05-09T00:00:00"/>
    <s v="CRISTINA STAR"/>
    <x v="173"/>
    <x v="9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T-S"/>
    <x v="0"/>
    <x v="0"/>
    <m/>
    <m/>
    <x v="965"/>
    <m/>
    <x v="763"/>
    <m/>
    <m/>
    <m/>
    <s v="CERRADO"/>
    <n v="208067"/>
    <x v="115"/>
    <x v="53"/>
    <x v="410"/>
    <s v="MAYO"/>
    <n v="30"/>
    <s v="días BL"/>
    <s v="F200-00042460"/>
    <m/>
    <d v="2020-06-08T00:00:00"/>
    <s v="CANCELADO"/>
    <s v="CFR"/>
    <m/>
    <x v="408"/>
    <n v="242.44"/>
    <m/>
    <x v="837"/>
    <x v="16"/>
    <s v="Contenedor 20'"/>
    <m/>
    <s v="25 kg"/>
    <m/>
    <m/>
    <s v="MAYO '20"/>
    <x v="0"/>
    <m/>
    <m/>
    <m/>
    <x v="486"/>
    <m/>
    <m/>
    <x v="445"/>
    <n v="5"/>
    <n v="2020"/>
    <x v="0"/>
    <x v="0"/>
    <s v="CARTAGENA / COLOMBIA"/>
    <x v="0"/>
    <m/>
    <x v="2"/>
    <x v="679"/>
    <d v="2020-05-09T00:00:00"/>
    <s v="CRISTINA STAR"/>
    <x v="173"/>
    <x v="9"/>
    <m/>
    <s v="REALIZADO"/>
    <m/>
    <m/>
    <m/>
    <m/>
    <x v="0"/>
    <d v="2020-06-02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T-S"/>
    <x v="0"/>
    <x v="0"/>
    <m/>
    <m/>
    <x v="966"/>
    <m/>
    <x v="764"/>
    <m/>
    <m/>
    <m/>
    <s v="CERRADO"/>
    <n v="208067"/>
    <x v="115"/>
    <x v="53"/>
    <x v="411"/>
    <s v="MAYO"/>
    <n v="30"/>
    <s v="días BL"/>
    <s v="F200-00042470"/>
    <m/>
    <d v="2020-06-14T00:00:00"/>
    <s v="CANCELADO"/>
    <s v="CFR"/>
    <m/>
    <x v="93"/>
    <n v="242.44"/>
    <m/>
    <x v="838"/>
    <x v="7"/>
    <s v="Contenedor 20'"/>
    <m/>
    <s v="25 kg"/>
    <m/>
    <m/>
    <s v="MAYO '20"/>
    <x v="0"/>
    <m/>
    <m/>
    <m/>
    <x v="487"/>
    <m/>
    <m/>
    <x v="492"/>
    <n v="6"/>
    <n v="2020"/>
    <x v="0"/>
    <x v="0"/>
    <s v="CARTAGENA / COLOMBIA"/>
    <x v="4"/>
    <m/>
    <x v="2"/>
    <x v="680"/>
    <d v="2020-05-15T00:00:00"/>
    <s v="CALYPSO"/>
    <x v="253"/>
    <x v="8"/>
    <m/>
    <s v="REALIZADO"/>
    <m/>
    <m/>
    <m/>
    <m/>
    <x v="0"/>
    <d v="2020-06-22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P"/>
    <x v="0"/>
    <x v="0"/>
    <m/>
    <m/>
    <x v="967"/>
    <m/>
    <x v="765"/>
    <m/>
    <m/>
    <m/>
    <s v="CERRADO"/>
    <n v="207499"/>
    <x v="2"/>
    <x v="27"/>
    <x v="412"/>
    <d v="2020-04-21T00:00:00"/>
    <n v="90"/>
    <s v="días BL"/>
    <s v="B7FE-20-3010-ZSPE"/>
    <m/>
    <d v="2020-08-28T00:00:00"/>
    <s v="CANCELADO"/>
    <s v="CFR"/>
    <m/>
    <x v="397"/>
    <n v="443"/>
    <m/>
    <x v="839"/>
    <x v="3"/>
    <s v="Granel - BB"/>
    <m/>
    <s v="25 kg"/>
    <m/>
    <m/>
    <s v="MAYO '20"/>
    <x v="0"/>
    <m/>
    <m/>
    <m/>
    <x v="454"/>
    <m/>
    <m/>
    <x v="481"/>
    <n v="7"/>
    <n v="2020"/>
    <x v="0"/>
    <x v="0"/>
    <s v="TIANJIN / CHINA"/>
    <x v="2"/>
    <m/>
    <x v="1"/>
    <x v="681"/>
    <d v="2020-05-31T00:00:00"/>
    <s v="MV TR CROWN"/>
    <x v="242"/>
    <x v="0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968"/>
    <m/>
    <x v="766"/>
    <m/>
    <m/>
    <m/>
    <s v="CERRADO"/>
    <n v="206569"/>
    <x v="14"/>
    <x v="20"/>
    <x v="16"/>
    <d v="2020-04-24T00:00:00"/>
    <s v="CAD"/>
    <m/>
    <s v="0000001"/>
    <m/>
    <d v="2020-06-12T00:00:00"/>
    <s v="CANCELADO"/>
    <s v="CFR"/>
    <m/>
    <x v="130"/>
    <n v="354"/>
    <m/>
    <x v="840"/>
    <x v="3"/>
    <s v="Granel"/>
    <m/>
    <s v="Granel Sólido"/>
    <m/>
    <m/>
    <s v="MAYO '20"/>
    <x v="0"/>
    <m/>
    <m/>
    <m/>
    <x v="488"/>
    <m/>
    <m/>
    <x v="493"/>
    <n v="6"/>
    <n v="2020"/>
    <x v="0"/>
    <x v="0"/>
    <s v="TAMPA / USA"/>
    <x v="4"/>
    <m/>
    <x v="2"/>
    <x v="682"/>
    <d v="2020-05-28T00:00:00"/>
    <s v="MV SINGAPORE SPIRIT"/>
    <x v="254"/>
    <x v="0"/>
    <m/>
    <s v="NO APLICA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E-S"/>
    <x v="0"/>
    <x v="0"/>
    <m/>
    <m/>
    <x v="969"/>
    <m/>
    <x v="767"/>
    <m/>
    <m/>
    <m/>
    <s v="CERRADO"/>
    <n v="203820"/>
    <x v="117"/>
    <x v="47"/>
    <x v="413"/>
    <d v="2020-04-24T00:00:00"/>
    <s v="CAD"/>
    <m/>
    <s v="220.102"/>
    <m/>
    <d v="2020-06-25T00:00:00"/>
    <s v="CANCELADO"/>
    <s v="CFR"/>
    <m/>
    <x v="206"/>
    <n v="1060"/>
    <m/>
    <x v="841"/>
    <x v="7"/>
    <s v="Contenedor 20'"/>
    <m/>
    <s v="25 kg"/>
    <m/>
    <m/>
    <s v="MAYO '20"/>
    <x v="0"/>
    <m/>
    <m/>
    <m/>
    <x v="489"/>
    <m/>
    <m/>
    <x v="462"/>
    <n v="7"/>
    <n v="2020"/>
    <x v="0"/>
    <x v="0"/>
    <s v="CHONGQING / CHINA"/>
    <x v="2"/>
    <m/>
    <x v="1"/>
    <x v="683"/>
    <d v="2020-05-31T00:00:00"/>
    <s v="DIHAO12"/>
    <x v="255"/>
    <x v="8"/>
    <m/>
    <s v="REALIZADO"/>
    <m/>
    <m/>
    <m/>
    <m/>
    <x v="0"/>
    <d v="2020-08-03T00:00:00"/>
    <m/>
    <x v="0"/>
    <x v="0"/>
    <m/>
    <m/>
    <x v="0"/>
    <e v="#REF!"/>
    <m/>
    <m/>
    <m/>
    <m/>
    <m/>
    <x v="0"/>
    <s v="anulada: 8000000879"/>
    <m/>
    <m/>
    <m/>
    <s v="NACIONALIZADO"/>
    <m/>
    <m/>
    <m/>
  </r>
  <r>
    <n v="2020"/>
    <s v="E-S"/>
    <x v="0"/>
    <x v="0"/>
    <m/>
    <m/>
    <x v="970"/>
    <m/>
    <x v="768"/>
    <m/>
    <m/>
    <m/>
    <s v="CERRADO"/>
    <n v="203820"/>
    <x v="117"/>
    <x v="47"/>
    <x v="413"/>
    <d v="2020-04-24T00:00:00"/>
    <s v="CAD"/>
    <m/>
    <s v="220.103"/>
    <m/>
    <d v="2020-06-25T00:00:00"/>
    <s v="CANCELADO"/>
    <s v="CFR"/>
    <m/>
    <x v="324"/>
    <n v="1078"/>
    <m/>
    <x v="842"/>
    <x v="4"/>
    <s v="Contenedor 20'"/>
    <m/>
    <s v="25 kg"/>
    <m/>
    <m/>
    <s v="MAYO '20"/>
    <x v="0"/>
    <m/>
    <m/>
    <m/>
    <x v="490"/>
    <m/>
    <m/>
    <x v="494"/>
    <n v="7"/>
    <n v="2020"/>
    <x v="0"/>
    <x v="0"/>
    <s v="XINGANG / CHINA"/>
    <x v="0"/>
    <m/>
    <x v="2"/>
    <x v="684"/>
    <d v="2020-06-02T00:00:00"/>
    <s v="BALTIC SOUTH"/>
    <x v="256"/>
    <x v="2"/>
    <m/>
    <s v="REALIZADO"/>
    <m/>
    <m/>
    <m/>
    <m/>
    <x v="0"/>
    <d v="2020-07-23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E-S"/>
    <x v="0"/>
    <x v="0"/>
    <m/>
    <m/>
    <x v="971"/>
    <m/>
    <x v="769"/>
    <m/>
    <m/>
    <m/>
    <s v="CERRADO"/>
    <n v="203634"/>
    <x v="118"/>
    <x v="55"/>
    <x v="16"/>
    <d v="2020-04-28T00:00:00"/>
    <n v="60"/>
    <s v="días BL"/>
    <s v="45 / 2020"/>
    <m/>
    <d v="2020-07-16T00:00:00"/>
    <s v="CANCELADO"/>
    <s v="CFR"/>
    <m/>
    <x v="394"/>
    <n v="860"/>
    <m/>
    <x v="843"/>
    <x v="11"/>
    <s v="Contenedor 40'"/>
    <m/>
    <s v="Bigbag"/>
    <m/>
    <m/>
    <s v="MAYO '20"/>
    <x v="0"/>
    <m/>
    <m/>
    <m/>
    <x v="461"/>
    <m/>
    <m/>
    <x v="446"/>
    <n v="6"/>
    <n v="2020"/>
    <x v="0"/>
    <x v="0"/>
    <s v="SANTOS / BRAZIL"/>
    <x v="2"/>
    <m/>
    <x v="1"/>
    <x v="685"/>
    <d v="2020-05-19T00:00:00"/>
    <s v="E.R. BERLIN "/>
    <x v="257"/>
    <x v="2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972"/>
    <m/>
    <x v="770"/>
    <m/>
    <m/>
    <m/>
    <s v="CERRADO"/>
    <n v="207951"/>
    <x v="6"/>
    <x v="44"/>
    <x v="8"/>
    <d v="2020-05-01T00:00:00"/>
    <n v="150"/>
    <s v="días BL"/>
    <s v="BF7E-20-3012-PUPE-01"/>
    <m/>
    <d v="2020-11-05T00:00:00"/>
    <s v="CANCELADO"/>
    <s v="CFR"/>
    <m/>
    <x v="125"/>
    <n v="249.1"/>
    <m/>
    <x v="844"/>
    <x v="3"/>
    <s v="Granel"/>
    <m/>
    <s v="Granel Sólido"/>
    <m/>
    <m/>
    <s v="JUNIO '20"/>
    <x v="0"/>
    <m/>
    <m/>
    <m/>
    <x v="491"/>
    <m/>
    <m/>
    <x v="495"/>
    <n v="7"/>
    <n v="2020"/>
    <x v="0"/>
    <x v="0"/>
    <s v="UST-LUGA / RUSIA"/>
    <x v="0"/>
    <m/>
    <x v="2"/>
    <x v="131"/>
    <d v="2020-06-06T00:00:00"/>
    <s v="MV WESTERN BOHEME"/>
    <x v="258"/>
    <x v="0"/>
    <m/>
    <s v="NO APLICA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973"/>
    <m/>
    <x v="771"/>
    <m/>
    <m/>
    <m/>
    <s v="CERRADO"/>
    <n v="207951"/>
    <x v="6"/>
    <x v="44"/>
    <x v="8"/>
    <d v="2020-05-01T00:00:00"/>
    <n v="150"/>
    <s v="días BL"/>
    <s v="B7FE-20-3012-PUPE-02"/>
    <m/>
    <d v="2020-11-05T00:00:00"/>
    <s v="CANCELADO"/>
    <s v="CFR"/>
    <m/>
    <x v="409"/>
    <n v="249.1"/>
    <m/>
    <x v="845"/>
    <x v="3"/>
    <s v="Granel"/>
    <m/>
    <s v="Granel Sólido"/>
    <m/>
    <m/>
    <s v="JUNIO '20"/>
    <x v="0"/>
    <m/>
    <m/>
    <m/>
    <x v="492"/>
    <m/>
    <m/>
    <x v="457"/>
    <n v="7"/>
    <n v="2020"/>
    <x v="0"/>
    <x v="0"/>
    <s v="UST-LUGA / RUSIA"/>
    <x v="1"/>
    <m/>
    <x v="2"/>
    <x v="132"/>
    <d v="2020-06-06T00:00:00"/>
    <s v="MV WESTERN BOHEME"/>
    <x v="258"/>
    <x v="0"/>
    <m/>
    <s v="NO APLICA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974"/>
    <m/>
    <x v="772"/>
    <m/>
    <m/>
    <m/>
    <s v="CERRADO"/>
    <n v="207951"/>
    <x v="6"/>
    <x v="44"/>
    <x v="8"/>
    <d v="2020-05-01T00:00:00"/>
    <n v="150"/>
    <s v="días BL"/>
    <s v="BF7E-20-3012-PUPE-03"/>
    <m/>
    <d v="2020-11-05T00:00:00"/>
    <s v="CANCELADO"/>
    <s v="CFR"/>
    <m/>
    <x v="410"/>
    <n v="249.1"/>
    <m/>
    <x v="846"/>
    <x v="3"/>
    <s v="Granel"/>
    <m/>
    <s v="Granel Sólido"/>
    <m/>
    <m/>
    <s v="JUNIO '20"/>
    <x v="0"/>
    <m/>
    <m/>
    <m/>
    <x v="493"/>
    <m/>
    <m/>
    <x v="457"/>
    <n v="7"/>
    <n v="2020"/>
    <x v="0"/>
    <x v="0"/>
    <s v="UST-LUGA / RUSIA"/>
    <x v="2"/>
    <m/>
    <x v="1"/>
    <x v="15"/>
    <d v="2020-06-06T00:00:00"/>
    <s v="MV WESTERN BOHEME"/>
    <x v="258"/>
    <x v="0"/>
    <m/>
    <s v="NO APLICA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975"/>
    <m/>
    <x v="773"/>
    <m/>
    <m/>
    <m/>
    <s v="CERRADO"/>
    <n v="207951"/>
    <x v="6"/>
    <x v="44"/>
    <x v="8"/>
    <d v="2020-05-01T00:00:00"/>
    <n v="150"/>
    <s v="días BL"/>
    <s v="BF7E-20-3012-PUPE-04"/>
    <m/>
    <d v="2020-11-05T00:00:00"/>
    <s v="CANCELADO"/>
    <s v="CFR"/>
    <m/>
    <x v="17"/>
    <n v="249.1"/>
    <m/>
    <x v="847"/>
    <x v="17"/>
    <s v="Granel"/>
    <m/>
    <s v="Granel Sólido"/>
    <m/>
    <m/>
    <s v="JUNIO '20"/>
    <x v="0"/>
    <m/>
    <m/>
    <m/>
    <x v="494"/>
    <m/>
    <m/>
    <x v="459"/>
    <n v="7"/>
    <n v="2020"/>
    <x v="0"/>
    <x v="0"/>
    <s v="UST-LUGA / RUSIA"/>
    <x v="4"/>
    <m/>
    <x v="2"/>
    <x v="266"/>
    <d v="2020-06-06T00:00:00"/>
    <s v="MV WESTERN BOHEME"/>
    <x v="258"/>
    <x v="0"/>
    <m/>
    <s v="NO APLICA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976"/>
    <m/>
    <x v="774"/>
    <m/>
    <m/>
    <m/>
    <s v="CERRADO"/>
    <n v="207485"/>
    <x v="13"/>
    <x v="44"/>
    <x v="8"/>
    <d v="2020-05-01T00:00:00"/>
    <n v="150"/>
    <s v="días BL"/>
    <s v="B7FE-20-3013-GUPE-01"/>
    <m/>
    <d v="2020-10-30T00:00:00"/>
    <s v="CANCELADO"/>
    <s v="CFR"/>
    <m/>
    <x v="189"/>
    <n v="254.2"/>
    <m/>
    <x v="848"/>
    <x v="3"/>
    <s v="Granel"/>
    <m/>
    <s v="Granel Sólido"/>
    <m/>
    <m/>
    <s v="JUNIO '20"/>
    <x v="0"/>
    <m/>
    <m/>
    <m/>
    <x v="491"/>
    <m/>
    <m/>
    <x v="495"/>
    <n v="7"/>
    <n v="2020"/>
    <x v="0"/>
    <x v="0"/>
    <s v="UST-LUGA / RUSIA"/>
    <x v="0"/>
    <m/>
    <x v="5"/>
    <x v="390"/>
    <d v="2020-06-06T00:00:00"/>
    <s v="MV WESTERN BOHEME"/>
    <x v="258"/>
    <x v="0"/>
    <m/>
    <s v="NO APLICA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977"/>
    <m/>
    <x v="775"/>
    <m/>
    <m/>
    <m/>
    <s v="CERRADO"/>
    <n v="207485"/>
    <x v="13"/>
    <x v="44"/>
    <x v="8"/>
    <d v="2020-05-01T00:00:00"/>
    <n v="150"/>
    <s v="días BL"/>
    <s v="B7FE-20-3013-GUPE-02"/>
    <m/>
    <d v="2020-10-30T00:00:00"/>
    <s v="CANCELADO"/>
    <s v="CFR"/>
    <m/>
    <x v="17"/>
    <n v="254.2"/>
    <m/>
    <x v="849"/>
    <x v="3"/>
    <s v="Granel"/>
    <m/>
    <s v="Granel Sólido"/>
    <m/>
    <m/>
    <s v="JUNIO '20"/>
    <x v="0"/>
    <m/>
    <m/>
    <m/>
    <x v="492"/>
    <m/>
    <m/>
    <x v="496"/>
    <n v="7"/>
    <n v="2020"/>
    <x v="0"/>
    <x v="0"/>
    <s v="UST-LUGA / RUSIA"/>
    <x v="1"/>
    <m/>
    <x v="5"/>
    <x v="16"/>
    <d v="2020-06-06T00:00:00"/>
    <s v="MV WESTERN BOHEME"/>
    <x v="258"/>
    <x v="0"/>
    <m/>
    <s v="NO APLICA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978"/>
    <m/>
    <x v="776"/>
    <m/>
    <m/>
    <m/>
    <s v="CERRADO"/>
    <n v="207485"/>
    <x v="13"/>
    <x v="44"/>
    <x v="8"/>
    <d v="2020-05-01T00:00:00"/>
    <n v="150"/>
    <s v="días BL"/>
    <s v="B7FE-20-3013-GUPE-03"/>
    <m/>
    <d v="2020-10-30T00:00:00"/>
    <s v="CANCELADO"/>
    <s v="CFR"/>
    <m/>
    <x v="152"/>
    <n v="254.2"/>
    <m/>
    <x v="850"/>
    <x v="3"/>
    <s v="Granel"/>
    <m/>
    <s v="Granel Sólido"/>
    <m/>
    <m/>
    <s v="JUNIO '20"/>
    <x v="0"/>
    <m/>
    <m/>
    <m/>
    <x v="493"/>
    <m/>
    <m/>
    <x v="497"/>
    <n v="7"/>
    <n v="2020"/>
    <x v="0"/>
    <x v="0"/>
    <s v="UST-LUGA / RUSIA"/>
    <x v="2"/>
    <m/>
    <x v="1"/>
    <x v="22"/>
    <d v="2020-06-06T00:00:00"/>
    <s v="MV WESTERN BOHEME"/>
    <x v="258"/>
    <x v="0"/>
    <m/>
    <s v="NO APLICA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979"/>
    <m/>
    <x v="777"/>
    <m/>
    <m/>
    <m/>
    <s v="CERRADO"/>
    <n v="207485"/>
    <x v="13"/>
    <x v="44"/>
    <x v="8"/>
    <d v="2020-05-01T00:00:00"/>
    <n v="150"/>
    <s v="días BL"/>
    <s v="B7FE-20-3013-GUPE-04"/>
    <m/>
    <d v="2020-11-05T00:00:00"/>
    <s v="CANCELADO"/>
    <s v="CFR"/>
    <m/>
    <x v="287"/>
    <n v="254.2"/>
    <m/>
    <x v="851"/>
    <x v="3"/>
    <s v="Granel"/>
    <m/>
    <s v="Granel Sólido"/>
    <m/>
    <m/>
    <s v="JUNIO '20"/>
    <x v="0"/>
    <m/>
    <m/>
    <m/>
    <x v="494"/>
    <m/>
    <m/>
    <x v="497"/>
    <n v="7"/>
    <n v="2020"/>
    <x v="0"/>
    <x v="0"/>
    <s v="UST-LUGA / RUSIA"/>
    <x v="4"/>
    <m/>
    <x v="2"/>
    <x v="23"/>
    <d v="2020-06-06T00:00:00"/>
    <s v="MV WESTERN BOHEME"/>
    <x v="258"/>
    <x v="0"/>
    <m/>
    <s v="NO APLICA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980"/>
    <m/>
    <x v="778"/>
    <m/>
    <m/>
    <m/>
    <s v="CERRADO"/>
    <n v="203616"/>
    <x v="15"/>
    <x v="25"/>
    <x v="414"/>
    <d v="2020-05-08T00:00:00"/>
    <n v="120"/>
    <s v="días BL"/>
    <s v="TGOA-AS-200608-01"/>
    <m/>
    <d v="2020-09-30T00:00:00"/>
    <s v="CANCELADO"/>
    <s v="CFR"/>
    <m/>
    <x v="130"/>
    <n v="123.22"/>
    <m/>
    <x v="852"/>
    <x v="3"/>
    <s v="Granel"/>
    <m/>
    <s v="Granel Sólido"/>
    <m/>
    <m/>
    <s v="JUNIO '20"/>
    <x v="0"/>
    <m/>
    <m/>
    <m/>
    <x v="478"/>
    <m/>
    <m/>
    <x v="498"/>
    <n v="7"/>
    <n v="2020"/>
    <x v="0"/>
    <x v="0"/>
    <s v="JINGJIANG / CHINA"/>
    <x v="0"/>
    <m/>
    <x v="5"/>
    <x v="686"/>
    <d v="2020-06-08T00:00:00"/>
    <s v="MV DORYSIA"/>
    <x v="259"/>
    <x v="0"/>
    <m/>
    <s v="NO APLICA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981"/>
    <m/>
    <x v="779"/>
    <m/>
    <m/>
    <m/>
    <s v="CERRADO"/>
    <n v="203616"/>
    <x v="15"/>
    <x v="25"/>
    <x v="414"/>
    <d v="2020-05-08T00:00:00"/>
    <n v="120"/>
    <s v="días BL"/>
    <s v="TGOA-AS-200608-02"/>
    <m/>
    <d v="2020-09-30T00:00:00"/>
    <s v="CANCELADO"/>
    <s v="CFR"/>
    <m/>
    <x v="45"/>
    <n v="123.22"/>
    <m/>
    <x v="853"/>
    <x v="3"/>
    <s v="Granel"/>
    <m/>
    <s v="Granel Sólido"/>
    <m/>
    <m/>
    <s v="JUNIO '20"/>
    <x v="0"/>
    <m/>
    <m/>
    <m/>
    <x v="464"/>
    <m/>
    <m/>
    <x v="481"/>
    <n v="7"/>
    <n v="2020"/>
    <x v="0"/>
    <x v="0"/>
    <s v="JINGJIANG / CHINA"/>
    <x v="1"/>
    <m/>
    <x v="2"/>
    <x v="687"/>
    <d v="2020-06-08T00:00:00"/>
    <s v="MV DORYSIA"/>
    <x v="259"/>
    <x v="0"/>
    <m/>
    <s v="NO APLICA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982"/>
    <m/>
    <x v="780"/>
    <m/>
    <m/>
    <m/>
    <s v="CERRADO"/>
    <n v="203616"/>
    <x v="15"/>
    <x v="25"/>
    <x v="414"/>
    <d v="2020-05-08T00:00:00"/>
    <n v="120"/>
    <s v="días BL"/>
    <s v="TGOA-AS-200608-03"/>
    <m/>
    <d v="2020-09-30T00:00:00"/>
    <s v="CANCELADO"/>
    <s v="CFR"/>
    <m/>
    <x v="53"/>
    <n v="123.22"/>
    <m/>
    <x v="854"/>
    <x v="3"/>
    <s v="Granel"/>
    <m/>
    <s v="Granel Sólido"/>
    <m/>
    <m/>
    <s v="JUNIO '20"/>
    <x v="0"/>
    <m/>
    <m/>
    <m/>
    <x v="495"/>
    <m/>
    <m/>
    <x v="499"/>
    <n v="7"/>
    <n v="2020"/>
    <x v="0"/>
    <x v="0"/>
    <s v="JINGJIANG / CHINA"/>
    <x v="3"/>
    <m/>
    <x v="1"/>
    <x v="688"/>
    <d v="2020-06-08T00:00:00"/>
    <s v="MV DORYSIA"/>
    <x v="259"/>
    <x v="0"/>
    <m/>
    <s v="NO APLICA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C"/>
    <x v="0"/>
    <x v="0"/>
    <m/>
    <m/>
    <x v="983"/>
    <m/>
    <x v="781"/>
    <m/>
    <m/>
    <m/>
    <s v="CERRADO"/>
    <n v="207580"/>
    <x v="32"/>
    <x v="27"/>
    <x v="415"/>
    <d v="2020-05-05T00:00:00"/>
    <n v="90"/>
    <s v="días BL"/>
    <s v="B7FE-20-3011-PNPE"/>
    <m/>
    <d v="2020-08-26T00:00:00"/>
    <s v="CANCELADO"/>
    <s v="CIF"/>
    <m/>
    <x v="197"/>
    <n v="678"/>
    <m/>
    <x v="855"/>
    <x v="31"/>
    <s v="Contenedor 20'"/>
    <m/>
    <s v="25 kg"/>
    <m/>
    <m/>
    <s v="JUNIO '20"/>
    <x v="0"/>
    <m/>
    <m/>
    <m/>
    <x v="496"/>
    <m/>
    <m/>
    <x v="458"/>
    <n v="6"/>
    <n v="2020"/>
    <x v="0"/>
    <x v="0"/>
    <s v="IQUIQUE / CHILE"/>
    <x v="2"/>
    <m/>
    <x v="1"/>
    <x v="689"/>
    <d v="2020-05-28T00:00:00"/>
    <s v="POLYNESIA"/>
    <x v="111"/>
    <x v="9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P"/>
    <x v="0"/>
    <x v="0"/>
    <m/>
    <m/>
    <x v="984"/>
    <m/>
    <x v="782"/>
    <m/>
    <m/>
    <m/>
    <s v="CERRADO"/>
    <n v="206766"/>
    <x v="10"/>
    <x v="37"/>
    <x v="416"/>
    <d v="2020-05-05T00:00:00"/>
    <n v="90"/>
    <s v="días BL"/>
    <s v="31154"/>
    <m/>
    <d v="2020-09-04T00:00:00"/>
    <s v="CANCELADO"/>
    <s v="CFR"/>
    <m/>
    <x v="411"/>
    <n v="865"/>
    <m/>
    <x v="856"/>
    <x v="48"/>
    <s v="Contenedor 20'"/>
    <m/>
    <s v="Bidones 50kg"/>
    <m/>
    <m/>
    <s v="2H MAYO - JUNIO '20"/>
    <x v="0"/>
    <m/>
    <m/>
    <m/>
    <x v="479"/>
    <m/>
    <m/>
    <x v="500"/>
    <n v="7"/>
    <n v="2020"/>
    <x v="0"/>
    <x v="0"/>
    <s v="VERACRUZ / MEXICO"/>
    <x v="2"/>
    <m/>
    <x v="1"/>
    <x v="690"/>
    <d v="2020-06-06T00:00:00"/>
    <s v="MONTE ACONCAGUA"/>
    <x v="260"/>
    <x v="6"/>
    <m/>
    <s v="REALIZADO"/>
    <m/>
    <m/>
    <m/>
    <m/>
    <x v="0"/>
    <d v="2020-07-18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P"/>
    <x v="0"/>
    <x v="0"/>
    <m/>
    <m/>
    <x v="985"/>
    <m/>
    <x v="783"/>
    <m/>
    <m/>
    <m/>
    <s v="CERRADO"/>
    <n v="206766"/>
    <x v="10"/>
    <x v="37"/>
    <x v="417"/>
    <d v="2020-05-05T00:00:00"/>
    <n v="90"/>
    <s v="días BL"/>
    <s v="31086"/>
    <m/>
    <d v="2020-09-02T00:00:00"/>
    <s v="CANCELADO"/>
    <s v="CFR"/>
    <m/>
    <x v="412"/>
    <n v="875"/>
    <m/>
    <x v="857"/>
    <x v="31"/>
    <s v="Contenedor 20'"/>
    <m/>
    <s v="Bidones 50kg"/>
    <m/>
    <m/>
    <s v="2H MAYO - JUNIO '20"/>
    <x v="0"/>
    <m/>
    <m/>
    <m/>
    <x v="479"/>
    <m/>
    <m/>
    <x v="457"/>
    <n v="7"/>
    <n v="2020"/>
    <x v="0"/>
    <x v="0"/>
    <s v="VERACRUZ / MEXICO"/>
    <x v="0"/>
    <m/>
    <x v="5"/>
    <x v="691"/>
    <d v="2020-06-03T00:00:00"/>
    <s v="MAERSK BULAN"/>
    <x v="249"/>
    <x v="6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986"/>
    <m/>
    <x v="784"/>
    <m/>
    <m/>
    <m/>
    <s v="CERRADO"/>
    <n v="203631"/>
    <x v="3"/>
    <x v="51"/>
    <x v="418"/>
    <d v="2020-05-07T00:00:00"/>
    <n v="120"/>
    <s v="días BL"/>
    <s v="5000291"/>
    <m/>
    <d v="2020-12-01T00:00:00"/>
    <s v="CANCELADO"/>
    <s v="CFR"/>
    <m/>
    <x v="413"/>
    <n v="432"/>
    <m/>
    <x v="858"/>
    <x v="3"/>
    <s v="Granel - BB"/>
    <m/>
    <s v="25 kg"/>
    <m/>
    <m/>
    <s v="MAYO - JUNIO '20"/>
    <x v="0"/>
    <m/>
    <m/>
    <m/>
    <x v="497"/>
    <m/>
    <m/>
    <x v="501"/>
    <n v="9"/>
    <n v="2020"/>
    <x v="0"/>
    <x v="0"/>
    <s v="ZHENJIANG / CHINA"/>
    <x v="2"/>
    <m/>
    <x v="6"/>
    <x v="692"/>
    <d v="2020-07-08T00:00:00"/>
    <s v="MV PETREL ARROW"/>
    <x v="261"/>
    <x v="0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987"/>
    <m/>
    <x v="785"/>
    <m/>
    <m/>
    <m/>
    <s v="CERRADO"/>
    <n v="206971"/>
    <x v="3"/>
    <x v="51"/>
    <x v="419"/>
    <d v="2020-05-07T00:00:00"/>
    <n v="90"/>
    <s v="días BL"/>
    <s v="20200278"/>
    <m/>
    <d v="2020-09-23T00:00:00"/>
    <s v="CANCELADO"/>
    <s v="CFR"/>
    <m/>
    <x v="70"/>
    <n v="443"/>
    <m/>
    <x v="859"/>
    <x v="19"/>
    <s v="Contenedor 20'"/>
    <m/>
    <s v="25 kg"/>
    <m/>
    <m/>
    <s v="2H MAYO - JUNIO '20"/>
    <x v="0"/>
    <m/>
    <m/>
    <m/>
    <x v="498"/>
    <m/>
    <m/>
    <x v="482"/>
    <n v="8"/>
    <n v="2020"/>
    <x v="0"/>
    <x v="0"/>
    <s v="KEELUNG / TAIWAN"/>
    <x v="2"/>
    <m/>
    <x v="3"/>
    <x v="693"/>
    <d v="2020-06-25T00:00:00"/>
    <s v="YM UBERTY"/>
    <x v="262"/>
    <x v="22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988"/>
    <m/>
    <x v="786"/>
    <m/>
    <m/>
    <m/>
    <s v="CERRADO"/>
    <n v="206971"/>
    <x v="3"/>
    <x v="51"/>
    <x v="420"/>
    <d v="2020-05-07T00:00:00"/>
    <n v="90"/>
    <s v="días BL"/>
    <s v="20200276"/>
    <m/>
    <d v="2020-09-16T00:00:00"/>
    <s v="CANCELADO"/>
    <s v="CFR"/>
    <m/>
    <x v="17"/>
    <n v="453"/>
    <m/>
    <x v="860"/>
    <x v="28"/>
    <s v="Contenedor 40'"/>
    <m/>
    <s v="25 kg"/>
    <m/>
    <m/>
    <s v="2H MAYO - JUNIO '20"/>
    <x v="0"/>
    <m/>
    <m/>
    <m/>
    <x v="498"/>
    <m/>
    <m/>
    <x v="480"/>
    <n v="8"/>
    <n v="2020"/>
    <x v="0"/>
    <x v="0"/>
    <s v="KAOHSIUNG / TAIWAN"/>
    <x v="0"/>
    <m/>
    <x v="5"/>
    <x v="694"/>
    <d v="2020-06-17T00:00:00"/>
    <s v="CSAV TRANCURA "/>
    <x v="119"/>
    <x v="9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989"/>
    <m/>
    <x v="787"/>
    <m/>
    <m/>
    <m/>
    <s v="CERRADO"/>
    <n v="206971"/>
    <x v="3"/>
    <x v="51"/>
    <x v="420"/>
    <d v="2020-05-07T00:00:00"/>
    <n v="90"/>
    <s v="días BL"/>
    <s v="20200277"/>
    <m/>
    <d v="2020-09-26T00:00:00"/>
    <s v="CANCELADO"/>
    <s v="CFR"/>
    <m/>
    <x v="17"/>
    <n v="453"/>
    <m/>
    <x v="860"/>
    <x v="28"/>
    <s v="Contenedor 40'"/>
    <m/>
    <s v="25 kg"/>
    <m/>
    <m/>
    <s v="2H MAYO - JUNIO '20"/>
    <x v="0"/>
    <m/>
    <m/>
    <m/>
    <x v="499"/>
    <m/>
    <m/>
    <x v="502"/>
    <n v="8"/>
    <n v="2020"/>
    <x v="0"/>
    <x v="0"/>
    <s v="KAOHSIUNG / TAIWAN"/>
    <x v="0"/>
    <m/>
    <x v="5"/>
    <x v="695"/>
    <d v="2020-06-28T00:00:00"/>
    <s v="CMA CGM MUSCA "/>
    <x v="217"/>
    <x v="9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T-S"/>
    <x v="0"/>
    <x v="0"/>
    <m/>
    <m/>
    <x v="990"/>
    <m/>
    <x v="788"/>
    <m/>
    <m/>
    <m/>
    <s v="CERRADO"/>
    <n v="208073"/>
    <x v="116"/>
    <x v="53"/>
    <x v="421"/>
    <d v="2021-04-15T00:00:00"/>
    <n v="30"/>
    <s v="días BL"/>
    <s v="F200-00042472"/>
    <m/>
    <d v="2020-06-21T00:00:00"/>
    <s v="CANCELADO"/>
    <s v="CFR"/>
    <m/>
    <x v="136"/>
    <n v="242.44"/>
    <m/>
    <x v="836"/>
    <x v="16"/>
    <s v="Contenedor 20'"/>
    <m/>
    <s v="Bigbag"/>
    <m/>
    <m/>
    <s v="MAYO '20"/>
    <x v="0"/>
    <m/>
    <m/>
    <m/>
    <x v="455"/>
    <m/>
    <m/>
    <x v="471"/>
    <n v="5"/>
    <n v="2020"/>
    <x v="0"/>
    <x v="0"/>
    <s v="CARTAGENA / COLOMBIA"/>
    <x v="0"/>
    <m/>
    <x v="1"/>
    <x v="696"/>
    <d v="2020-05-22T00:00:00"/>
    <s v="CRISTINA STAR"/>
    <x v="173"/>
    <x v="2"/>
    <m/>
    <s v="REALIZADO"/>
    <m/>
    <m/>
    <m/>
    <m/>
    <x v="0"/>
    <d v="2020-06-16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T-S"/>
    <x v="0"/>
    <x v="0"/>
    <m/>
    <m/>
    <x v="991"/>
    <m/>
    <x v="789"/>
    <m/>
    <m/>
    <m/>
    <s v="CERRADO"/>
    <n v="208067"/>
    <x v="115"/>
    <x v="53"/>
    <x v="422"/>
    <s v="MAYO"/>
    <n v="30"/>
    <s v="días BL"/>
    <s v="F200-00042477"/>
    <m/>
    <d v="2020-06-29T00:00:00"/>
    <s v="CANCELADO"/>
    <s v="CFR"/>
    <m/>
    <x v="0"/>
    <n v="242.44"/>
    <m/>
    <x v="861"/>
    <x v="14"/>
    <s v="Contenedor 20'"/>
    <m/>
    <s v="25 kg"/>
    <m/>
    <m/>
    <s v="MAYO '20"/>
    <x v="0"/>
    <m/>
    <m/>
    <m/>
    <x v="451"/>
    <m/>
    <m/>
    <x v="458"/>
    <n v="6"/>
    <n v="2020"/>
    <x v="0"/>
    <x v="0"/>
    <s v="CARTAGENA / COLOMBIA"/>
    <x v="0"/>
    <m/>
    <x v="2"/>
    <x v="697"/>
    <d v="2020-05-30T00:00:00"/>
    <s v="DUBLIN EXPRESS"/>
    <x v="119"/>
    <x v="9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T-S"/>
    <x v="0"/>
    <x v="0"/>
    <m/>
    <m/>
    <x v="992"/>
    <m/>
    <x v="790"/>
    <m/>
    <m/>
    <m/>
    <s v="CERRADO"/>
    <n v="208067"/>
    <x v="115"/>
    <x v="53"/>
    <x v="423"/>
    <s v="MAYO"/>
    <n v="30"/>
    <s v="días BL"/>
    <s v="F200-00042473"/>
    <m/>
    <d v="2020-06-24T00:00:00"/>
    <s v="CANCELADO"/>
    <s v="CFR"/>
    <m/>
    <x v="12"/>
    <n v="242.44"/>
    <m/>
    <x v="862"/>
    <x v="20"/>
    <s v="Contenedor 20'"/>
    <m/>
    <s v="25 kg"/>
    <m/>
    <m/>
    <s v="MAYO '20"/>
    <x v="0"/>
    <m/>
    <m/>
    <m/>
    <x v="500"/>
    <m/>
    <m/>
    <x v="489"/>
    <n v="6"/>
    <n v="2020"/>
    <x v="0"/>
    <x v="0"/>
    <s v="CARTAGENA / COLOMBIA"/>
    <x v="2"/>
    <m/>
    <x v="1"/>
    <x v="698"/>
    <d v="2020-05-25T00:00:00"/>
    <s v="MSC ALTAMIRA"/>
    <x v="263"/>
    <x v="4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993"/>
    <m/>
    <x v="791"/>
    <m/>
    <m/>
    <m/>
    <s v="CERRADO"/>
    <n v="206966"/>
    <x v="16"/>
    <x v="47"/>
    <x v="424"/>
    <d v="2020-05-01T00:00:00"/>
    <s v="CAD"/>
    <m/>
    <s v="220.094"/>
    <m/>
    <d v="2020-06-12T00:00:00"/>
    <s v="CANCELADO"/>
    <s v="CFR"/>
    <m/>
    <x v="99"/>
    <n v="586"/>
    <m/>
    <x v="863"/>
    <x v="3"/>
    <s v="Granel - BB"/>
    <m/>
    <s v="25 kg"/>
    <m/>
    <m/>
    <s v="MAYO '20"/>
    <x v="0"/>
    <m/>
    <m/>
    <m/>
    <x v="478"/>
    <m/>
    <m/>
    <x v="465"/>
    <n v="7"/>
    <n v="2020"/>
    <x v="0"/>
    <x v="0"/>
    <s v="CHANGSHU / CHINA"/>
    <x v="2"/>
    <m/>
    <x v="3"/>
    <x v="699"/>
    <d v="2020-05-31T00:00:00"/>
    <s v="MV RAVEN ARROW"/>
    <x v="248"/>
    <x v="0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994"/>
    <m/>
    <x v="792"/>
    <m/>
    <m/>
    <m/>
    <s v="CERRADO"/>
    <n v="206966"/>
    <x v="16"/>
    <x v="47"/>
    <x v="424"/>
    <d v="2020-05-01T00:00:00"/>
    <s v="CAD"/>
    <m/>
    <s v="220.093"/>
    <m/>
    <d v="2020-06-04T00:00:00"/>
    <s v="CANCELADO"/>
    <s v="CFR"/>
    <m/>
    <x v="35"/>
    <n v="596"/>
    <m/>
    <x v="864"/>
    <x v="0"/>
    <s v="Granel - BB"/>
    <m/>
    <s v="25 kg"/>
    <m/>
    <m/>
    <s v="MAYO '20"/>
    <x v="0"/>
    <m/>
    <m/>
    <m/>
    <x v="463"/>
    <m/>
    <m/>
    <x v="461"/>
    <n v="7"/>
    <n v="2020"/>
    <x v="0"/>
    <x v="0"/>
    <s v="BAYUQUAN / CHINA"/>
    <x v="0"/>
    <m/>
    <x v="2"/>
    <x v="700"/>
    <d v="2020-05-23T00:00:00"/>
    <s v="MV TR CROWN"/>
    <x v="242"/>
    <x v="0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995"/>
    <m/>
    <x v="793"/>
    <m/>
    <m/>
    <m/>
    <s v="CERRADO"/>
    <n v="203631"/>
    <x v="3"/>
    <x v="47"/>
    <x v="425"/>
    <d v="2020-05-01T00:00:00"/>
    <s v="CAD"/>
    <m/>
    <s v="220.101"/>
    <m/>
    <d v="2020-06-19T00:00:00"/>
    <s v="CANCELADO"/>
    <s v="CFR"/>
    <m/>
    <x v="8"/>
    <n v="445"/>
    <m/>
    <x v="865"/>
    <x v="3"/>
    <s v="Granel - BB"/>
    <m/>
    <s v="25 kg"/>
    <m/>
    <m/>
    <s v="MAYO '20"/>
    <x v="0"/>
    <m/>
    <m/>
    <m/>
    <x v="465"/>
    <m/>
    <m/>
    <x v="464"/>
    <n v="7"/>
    <n v="2020"/>
    <x v="0"/>
    <x v="0"/>
    <s v="BAYUQUAN / CHINA"/>
    <x v="4"/>
    <m/>
    <x v="2"/>
    <x v="701"/>
    <d v="2020-06-02T00:00:00"/>
    <s v="MV PELICAN ARROW"/>
    <x v="185"/>
    <x v="0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996"/>
    <m/>
    <x v="794"/>
    <m/>
    <m/>
    <m/>
    <s v="CERRADO"/>
    <n v="206600"/>
    <x v="1"/>
    <x v="47"/>
    <x v="426"/>
    <d v="2020-05-01T00:00:00"/>
    <s v="CAD"/>
    <m/>
    <s v="220.121"/>
    <m/>
    <d v="2020-07-03T00:00:00"/>
    <s v="CANCELADO"/>
    <s v="CFR"/>
    <m/>
    <x v="24"/>
    <n v="416"/>
    <m/>
    <x v="866"/>
    <x v="2"/>
    <s v="Contenedor 40'"/>
    <m/>
    <s v="50 kg"/>
    <m/>
    <m/>
    <s v="MAYO '20"/>
    <x v="0"/>
    <m/>
    <m/>
    <m/>
    <x v="501"/>
    <m/>
    <m/>
    <x v="503"/>
    <n v="8"/>
    <n v="2020"/>
    <x v="0"/>
    <x v="0"/>
    <s v="XINGANG / CHINA"/>
    <x v="0"/>
    <m/>
    <x v="5"/>
    <x v="702"/>
    <d v="2020-06-26T00:00:00"/>
    <s v="MOL PARAMOUNT"/>
    <x v="264"/>
    <x v="16"/>
    <m/>
    <s v="REALIZADO"/>
    <m/>
    <m/>
    <m/>
    <m/>
    <x v="0"/>
    <d v="2020-09-02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P"/>
    <x v="0"/>
    <x v="0"/>
    <m/>
    <m/>
    <x v="997"/>
    <m/>
    <x v="795"/>
    <m/>
    <m/>
    <m/>
    <s v="CERRADO"/>
    <n v="207499"/>
    <x v="2"/>
    <x v="19"/>
    <x v="427"/>
    <d v="2020-05-01T00:00:00"/>
    <n v="90"/>
    <s v="días BL"/>
    <s v="SG-ZSL-12329-24"/>
    <m/>
    <d v="2020-08-29T00:00:00"/>
    <s v="CANCELADO"/>
    <s v="CFR"/>
    <m/>
    <x v="414"/>
    <n v="449"/>
    <m/>
    <x v="867"/>
    <x v="0"/>
    <s v="Granel - BB"/>
    <m/>
    <s v="25 kg"/>
    <m/>
    <m/>
    <s v="MAYO - JUNIO '20"/>
    <x v="0"/>
    <m/>
    <m/>
    <m/>
    <x v="463"/>
    <m/>
    <m/>
    <x v="461"/>
    <n v="7"/>
    <n v="2020"/>
    <x v="0"/>
    <x v="0"/>
    <s v="TIANJIN / CHINA"/>
    <x v="0"/>
    <m/>
    <x v="2"/>
    <x v="703"/>
    <d v="2020-05-31T00:00:00"/>
    <s v="MV TR CROWN"/>
    <x v="242"/>
    <x v="0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P"/>
    <x v="0"/>
    <x v="0"/>
    <m/>
    <m/>
    <x v="998"/>
    <m/>
    <x v="796"/>
    <m/>
    <m/>
    <m/>
    <s v="CERRADO"/>
    <n v="207499"/>
    <x v="2"/>
    <x v="19"/>
    <x v="428"/>
    <d v="2020-05-01T00:00:00"/>
    <n v="90"/>
    <s v="días BL"/>
    <s v="SG-ZSL-12329-25"/>
    <m/>
    <d v="2020-10-19T00:00:00"/>
    <s v="CANCELADO"/>
    <s v="CFR"/>
    <m/>
    <x v="1"/>
    <n v="436"/>
    <m/>
    <x v="868"/>
    <x v="3"/>
    <s v="Granel - BB"/>
    <m/>
    <s v="25 kg"/>
    <m/>
    <m/>
    <s v="MAYO - JUNIO '20"/>
    <x v="0"/>
    <m/>
    <m/>
    <m/>
    <x v="497"/>
    <m/>
    <m/>
    <x v="504"/>
    <n v="9"/>
    <n v="2020"/>
    <x v="0"/>
    <x v="0"/>
    <s v="BUYAQUAN / CHINA"/>
    <x v="2"/>
    <m/>
    <x v="6"/>
    <x v="704"/>
    <d v="2020-07-17T00:00:00"/>
    <s v="MV PETREL ARROW"/>
    <x v="261"/>
    <x v="0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s v="URGENTE"/>
    <m/>
    <x v="999"/>
    <m/>
    <x v="797"/>
    <m/>
    <m/>
    <m/>
    <s v="CERRADO"/>
    <n v="207579"/>
    <x v="9"/>
    <x v="56"/>
    <x v="429"/>
    <d v="2020-05-01T00:00:00"/>
    <n v="90"/>
    <s v="días BL"/>
    <s v="2020/AL128/INV1"/>
    <m/>
    <d v="2020-09-24T00:00:00"/>
    <s v="CANCELADO"/>
    <s v="CFR"/>
    <m/>
    <x v="99"/>
    <n v="228"/>
    <m/>
    <x v="869"/>
    <x v="3"/>
    <s v="Granel - BB"/>
    <m/>
    <s v="25 kg"/>
    <m/>
    <m/>
    <s v="MAYO '20"/>
    <x v="0"/>
    <m/>
    <m/>
    <m/>
    <x v="480"/>
    <m/>
    <m/>
    <x v="485"/>
    <n v="9"/>
    <n v="2020"/>
    <x v="0"/>
    <x v="0"/>
    <s v="XINGANG / CHINA"/>
    <x v="2"/>
    <m/>
    <x v="6"/>
    <x v="705"/>
    <d v="2020-06-25T00:00:00"/>
    <s v="MV PANAMANA"/>
    <x v="250"/>
    <x v="0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s v="URGENTE"/>
    <m/>
    <x v="1000"/>
    <m/>
    <x v="798"/>
    <m/>
    <m/>
    <m/>
    <s v="CERRADO"/>
    <n v="207579"/>
    <x v="9"/>
    <x v="56"/>
    <x v="429"/>
    <d v="2020-05-11T00:00:00"/>
    <n v="90"/>
    <s v="días BL"/>
    <s v="2020/AL128/INV2"/>
    <m/>
    <d v="2020-11-20T00:00:00"/>
    <s v="CANCELADO"/>
    <s v="CFR"/>
    <m/>
    <x v="10"/>
    <n v="244"/>
    <m/>
    <x v="870"/>
    <x v="3"/>
    <s v="Granel - BB"/>
    <m/>
    <s v="25 kg"/>
    <m/>
    <m/>
    <s v="MAYO '20"/>
    <x v="0"/>
    <m/>
    <m/>
    <m/>
    <x v="502"/>
    <m/>
    <m/>
    <x v="505"/>
    <n v="10"/>
    <n v="2020"/>
    <x v="0"/>
    <x v="0"/>
    <s v="XINGANG / CHINA"/>
    <x v="0"/>
    <m/>
    <x v="2"/>
    <x v="706"/>
    <d v="2020-08-22T00:00:00"/>
    <s v="MV YANGTZE SPIRIT"/>
    <x v="265"/>
    <x v="0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001"/>
    <m/>
    <x v="799"/>
    <m/>
    <m/>
    <m/>
    <s v="CERRADO"/>
    <n v="206600"/>
    <x v="1"/>
    <x v="56"/>
    <x v="430"/>
    <d v="2020-05-01T00:00:00"/>
    <n v="90"/>
    <s v="días BL"/>
    <s v="2020/AL129/INV1"/>
    <m/>
    <d v="2020-09-01T00:00:00"/>
    <s v="CANCELADO"/>
    <s v="CFR"/>
    <m/>
    <x v="0"/>
    <n v="444"/>
    <m/>
    <x v="871"/>
    <x v="3"/>
    <s v="Granel - BB"/>
    <m/>
    <s v="50 kg"/>
    <m/>
    <m/>
    <s v="MAYO '20"/>
    <x v="0"/>
    <m/>
    <m/>
    <m/>
    <x v="465"/>
    <m/>
    <m/>
    <x v="464"/>
    <n v="7"/>
    <n v="2020"/>
    <x v="0"/>
    <x v="0"/>
    <s v="BAYUQUAN / CHINA"/>
    <x v="4"/>
    <m/>
    <x v="2"/>
    <x v="707"/>
    <d v="2020-06-03T00:00:00"/>
    <s v="MV PELICAN ARROW"/>
    <x v="185"/>
    <x v="0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T-S"/>
    <x v="0"/>
    <x v="0"/>
    <m/>
    <m/>
    <x v="1002"/>
    <m/>
    <x v="800"/>
    <m/>
    <m/>
    <m/>
    <s v="CERRADO"/>
    <n v="208073"/>
    <x v="116"/>
    <x v="53"/>
    <x v="431"/>
    <d v="2021-05-15T00:00:00"/>
    <n v="30"/>
    <s v="días BL"/>
    <s v="F200-00042481"/>
    <m/>
    <d v="2020-07-05T00:00:00"/>
    <s v="CANCELADO"/>
    <s v="CFR"/>
    <m/>
    <x v="139"/>
    <n v="220.34"/>
    <m/>
    <x v="872"/>
    <x v="13"/>
    <s v="Contenedor 20'"/>
    <m/>
    <s v="Bigbag"/>
    <m/>
    <m/>
    <s v="JUNIO '20"/>
    <x v="0"/>
    <m/>
    <m/>
    <m/>
    <x v="476"/>
    <m/>
    <m/>
    <x v="479"/>
    <n v="6"/>
    <n v="2020"/>
    <x v="0"/>
    <x v="0"/>
    <s v="CARTAGENA / COLOMBIA"/>
    <x v="0"/>
    <m/>
    <x v="1"/>
    <x v="708"/>
    <d v="2020-06-05T00:00:00"/>
    <s v="CRISTINA STAR"/>
    <x v="173"/>
    <x v="9"/>
    <m/>
    <s v="REALIZADO"/>
    <m/>
    <m/>
    <m/>
    <m/>
    <x v="0"/>
    <d v="2020-06-30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T-S"/>
    <x v="0"/>
    <x v="0"/>
    <m/>
    <m/>
    <x v="1003"/>
    <m/>
    <x v="801"/>
    <m/>
    <m/>
    <m/>
    <s v="CERRADO"/>
    <n v="208067"/>
    <x v="115"/>
    <x v="53"/>
    <x v="432"/>
    <s v="JUNIO"/>
    <n v="30"/>
    <s v="días BL"/>
    <s v="F200-00042538"/>
    <m/>
    <d v="2020-07-22T00:00:00"/>
    <s v="CANCELADO"/>
    <s v="CFR"/>
    <m/>
    <x v="99"/>
    <n v="220.34"/>
    <m/>
    <x v="873"/>
    <x v="21"/>
    <s v="Contenedor 20'"/>
    <m/>
    <s v="25 kg"/>
    <m/>
    <m/>
    <s v="JUNIO '20"/>
    <x v="0"/>
    <m/>
    <m/>
    <m/>
    <x v="475"/>
    <m/>
    <m/>
    <x v="459"/>
    <n v="7"/>
    <n v="2020"/>
    <x v="0"/>
    <x v="0"/>
    <s v="CARTAGENA / COLOMBIA"/>
    <x v="0"/>
    <m/>
    <x v="1"/>
    <x v="709"/>
    <d v="2020-06-19T00:00:00"/>
    <s v="POHORJE"/>
    <x v="244"/>
    <x v="9"/>
    <m/>
    <s v="REALIZADO"/>
    <m/>
    <m/>
    <m/>
    <m/>
    <x v="0"/>
    <d v="2020-07-14T00:00:00"/>
    <m/>
    <x v="0"/>
    <x v="0"/>
    <m/>
    <m/>
    <x v="0"/>
    <e v="#REF!"/>
    <m/>
    <m/>
    <m/>
    <m/>
    <m/>
    <x v="0"/>
    <s v="anulada: 8000000817"/>
    <m/>
    <m/>
    <m/>
    <s v="NACIONALIZADO"/>
    <m/>
    <m/>
    <m/>
  </r>
  <r>
    <n v="2020"/>
    <s v="T-S"/>
    <x v="0"/>
    <x v="1"/>
    <m/>
    <m/>
    <x v="1004"/>
    <m/>
    <x v="34"/>
    <m/>
    <m/>
    <m/>
    <m/>
    <m/>
    <x v="115"/>
    <x v="53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0"/>
    <s v="T-S"/>
    <x v="0"/>
    <x v="0"/>
    <m/>
    <m/>
    <x v="1005"/>
    <m/>
    <x v="802"/>
    <m/>
    <m/>
    <m/>
    <s v="CERRADO"/>
    <n v="208067"/>
    <x v="115"/>
    <x v="53"/>
    <x v="433"/>
    <s v="JUNIO"/>
    <n v="30"/>
    <s v="días BL"/>
    <s v="F200-00042532"/>
    <m/>
    <d v="2020-07-13T00:00:00"/>
    <s v="CANCELADO"/>
    <s v="CFR"/>
    <m/>
    <x v="93"/>
    <n v="220.34"/>
    <m/>
    <x v="874"/>
    <x v="7"/>
    <s v="Contenedor 20'"/>
    <m/>
    <s v="25 kg"/>
    <m/>
    <m/>
    <s v="JUNIO '20"/>
    <x v="0"/>
    <m/>
    <m/>
    <m/>
    <x v="474"/>
    <m/>
    <m/>
    <x v="506"/>
    <n v="8"/>
    <n v="2020"/>
    <x v="0"/>
    <x v="0"/>
    <s v="CARTAGENA / COLOMBIA"/>
    <x v="4"/>
    <m/>
    <x v="4"/>
    <x v="710"/>
    <d v="2020-06-13T00:00:00"/>
    <s v="STELAR WALVIS BAY"/>
    <x v="246"/>
    <x v="8"/>
    <m/>
    <s v="REALIZADO"/>
    <m/>
    <m/>
    <m/>
    <m/>
    <x v="0"/>
    <m/>
    <m/>
    <x v="0"/>
    <x v="0"/>
    <m/>
    <m/>
    <x v="0"/>
    <e v="#REF!"/>
    <m/>
    <m/>
    <m/>
    <m/>
    <m/>
    <x v="0"/>
    <s v="anulada: 8000000816"/>
    <m/>
    <m/>
    <m/>
    <s v="NACIONALIZADO"/>
    <m/>
    <m/>
    <m/>
  </r>
  <r>
    <n v="2020"/>
    <s v="T-S"/>
    <x v="0"/>
    <x v="0"/>
    <m/>
    <m/>
    <x v="1006"/>
    <m/>
    <x v="803"/>
    <m/>
    <m/>
    <m/>
    <s v="CERRADO"/>
    <n v="208073"/>
    <x v="116"/>
    <x v="53"/>
    <x v="434"/>
    <d v="2021-06-15T00:00:00"/>
    <n v="30"/>
    <s v="días BL"/>
    <s v="F200-00042604"/>
    <m/>
    <d v="2020-08-23T00:00:00"/>
    <s v="CANCELADO"/>
    <s v="CFR"/>
    <m/>
    <x v="415"/>
    <n v="220.34"/>
    <m/>
    <x v="875"/>
    <x v="21"/>
    <s v="Contenedor 20'"/>
    <m/>
    <s v="Bigbag"/>
    <m/>
    <m/>
    <s v="JULIO '20"/>
    <x v="0"/>
    <m/>
    <m/>
    <m/>
    <x v="498"/>
    <m/>
    <m/>
    <x v="507"/>
    <n v="7"/>
    <n v="2020"/>
    <x v="0"/>
    <x v="0"/>
    <s v="CARTAGENA / COLOMBIA"/>
    <x v="0"/>
    <m/>
    <x v="1"/>
    <x v="711"/>
    <d v="2020-07-24T00:00:00"/>
    <s v="COSCO SHIPPING DANUBE"/>
    <x v="119"/>
    <x v="9"/>
    <m/>
    <s v="REALIZADO"/>
    <m/>
    <m/>
    <m/>
    <m/>
    <x v="0"/>
    <m/>
    <m/>
    <x v="0"/>
    <x v="0"/>
    <m/>
    <m/>
    <x v="0"/>
    <e v="#REF!"/>
    <m/>
    <m/>
    <m/>
    <m/>
    <m/>
    <x v="0"/>
    <s v="anulada: 8000000882"/>
    <m/>
    <m/>
    <m/>
    <s v="NACIONALIZADO"/>
    <m/>
    <m/>
    <m/>
  </r>
  <r>
    <n v="2020"/>
    <s v="T-S"/>
    <x v="0"/>
    <x v="0"/>
    <m/>
    <m/>
    <x v="1007"/>
    <m/>
    <x v="804"/>
    <m/>
    <m/>
    <m/>
    <s v="CERRADO"/>
    <n v="208067"/>
    <x v="115"/>
    <x v="53"/>
    <x v="435"/>
    <s v="JUNIO"/>
    <n v="30"/>
    <s v="días BL"/>
    <s v="F200-00042593"/>
    <m/>
    <d v="2020-08-16T00:00:00"/>
    <s v="CANCELADO"/>
    <s v="CFR"/>
    <m/>
    <x v="170"/>
    <n v="220.34"/>
    <m/>
    <x v="876"/>
    <x v="10"/>
    <s v="Contenedor 20'"/>
    <m/>
    <s v="25 kg"/>
    <m/>
    <m/>
    <s v="JULIO '20"/>
    <x v="0"/>
    <m/>
    <m/>
    <m/>
    <x v="482"/>
    <m/>
    <m/>
    <x v="507"/>
    <n v="7"/>
    <n v="2020"/>
    <x v="0"/>
    <x v="0"/>
    <s v="CARTAGENA / COLOMBIA"/>
    <x v="0"/>
    <m/>
    <x v="1"/>
    <x v="712"/>
    <d v="2020-07-17T00:00:00"/>
    <s v="POHORJE"/>
    <x v="244"/>
    <x v="9"/>
    <m/>
    <s v="REALIZADO"/>
    <m/>
    <m/>
    <m/>
    <m/>
    <x v="0"/>
    <m/>
    <m/>
    <x v="0"/>
    <x v="0"/>
    <m/>
    <m/>
    <x v="0"/>
    <e v="#REF!"/>
    <m/>
    <m/>
    <m/>
    <m/>
    <m/>
    <x v="0"/>
    <s v="anulada: 8000000869"/>
    <m/>
    <m/>
    <m/>
    <s v="NACIONALIZADO"/>
    <m/>
    <m/>
    <m/>
  </r>
  <r>
    <n v="2020"/>
    <s v="T-S"/>
    <x v="0"/>
    <x v="0"/>
    <m/>
    <m/>
    <x v="1008"/>
    <m/>
    <x v="805"/>
    <m/>
    <m/>
    <m/>
    <s v="CERRADO"/>
    <n v="208067"/>
    <x v="115"/>
    <x v="53"/>
    <x v="436"/>
    <s v="JUNIO"/>
    <n v="30"/>
    <s v="días BL"/>
    <s v="F200-00042526"/>
    <m/>
    <d v="2020-07-17T00:00:00"/>
    <s v="CANCELADO"/>
    <s v="CFR"/>
    <m/>
    <x v="70"/>
    <n v="220.34"/>
    <m/>
    <x v="877"/>
    <x v="19"/>
    <s v="Contenedor 20'"/>
    <m/>
    <s v="25 kg"/>
    <m/>
    <m/>
    <s v="JUNIO '20"/>
    <x v="0"/>
    <m/>
    <m/>
    <m/>
    <x v="479"/>
    <m/>
    <m/>
    <x v="457"/>
    <n v="7"/>
    <n v="2020"/>
    <x v="0"/>
    <x v="0"/>
    <s v="CARTAGENA / COLOMBIA"/>
    <x v="2"/>
    <m/>
    <x v="1"/>
    <x v="713"/>
    <d v="2020-06-17T00:00:00"/>
    <s v="CMA CGM NIAGARA"/>
    <x v="50"/>
    <x v="9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T-S"/>
    <x v="0"/>
    <x v="0"/>
    <m/>
    <m/>
    <x v="1009"/>
    <m/>
    <x v="806"/>
    <m/>
    <m/>
    <m/>
    <s v="CERRADO"/>
    <n v="208067"/>
    <x v="115"/>
    <x v="53"/>
    <x v="437"/>
    <s v="JUNIO"/>
    <n v="30"/>
    <s v="días BL"/>
    <s v="F200-00042485"/>
    <m/>
    <d v="2020-07-10T00:00:00"/>
    <s v="CANCELADO"/>
    <s v="CFR"/>
    <m/>
    <x v="170"/>
    <n v="220.34"/>
    <m/>
    <x v="876"/>
    <x v="10"/>
    <s v="Contenedor 20'"/>
    <m/>
    <s v="25 kg"/>
    <m/>
    <m/>
    <s v="JUNIO '20"/>
    <x v="0"/>
    <m/>
    <m/>
    <m/>
    <x v="503"/>
    <m/>
    <m/>
    <x v="468"/>
    <n v="6"/>
    <n v="2020"/>
    <x v="0"/>
    <x v="0"/>
    <s v="CARTAGENA / COLOMBIA"/>
    <x v="2"/>
    <m/>
    <x v="1"/>
    <x v="714"/>
    <d v="2020-06-10T00:00:00"/>
    <s v="GUAYAQUIL EXPRESS"/>
    <x v="42"/>
    <x v="2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T-S"/>
    <x v="0"/>
    <x v="0"/>
    <m/>
    <m/>
    <x v="1010"/>
    <m/>
    <x v="807"/>
    <m/>
    <m/>
    <m/>
    <s v="CERRADO"/>
    <n v="208072"/>
    <x v="119"/>
    <x v="53"/>
    <x v="438"/>
    <s v="JUNIO"/>
    <s v="CAD"/>
    <m/>
    <s v="F200-00042653"/>
    <m/>
    <d v="2020-08-28T00:00:00"/>
    <s v="CANCELADO"/>
    <s v="CFR"/>
    <m/>
    <x v="332"/>
    <n v="9560"/>
    <m/>
    <x v="878"/>
    <x v="11"/>
    <s v="Contenedor 40'"/>
    <m/>
    <s v="5 kg"/>
    <m/>
    <m/>
    <s v="JULIO '20"/>
    <x v="0"/>
    <m/>
    <m/>
    <m/>
    <x v="499"/>
    <m/>
    <m/>
    <x v="508"/>
    <n v="8"/>
    <n v="2020"/>
    <x v="0"/>
    <x v="0"/>
    <s v="ROTTERDAM / PAISES BAJOS"/>
    <x v="0"/>
    <m/>
    <x v="2"/>
    <x v="715"/>
    <d v="2020-07-15T00:00:00"/>
    <s v="CMA CGM TANYA"/>
    <x v="217"/>
    <x v="9"/>
    <m/>
    <s v="REALIZADO"/>
    <s v="ORIGEN"/>
    <m/>
    <m/>
    <m/>
    <x v="0"/>
    <m/>
    <m/>
    <x v="0"/>
    <x v="0"/>
    <m/>
    <m/>
    <x v="0"/>
    <e v="#REF!"/>
    <m/>
    <m/>
    <m/>
    <m/>
    <m/>
    <x v="0"/>
    <s v="anulada: 8000000796"/>
    <m/>
    <m/>
    <m/>
    <s v="NACIONALIZADO"/>
    <m/>
    <m/>
    <m/>
  </r>
  <r>
    <n v="2020"/>
    <s v="T-S"/>
    <x v="0"/>
    <x v="0"/>
    <m/>
    <m/>
    <x v="1011"/>
    <m/>
    <x v="808"/>
    <m/>
    <m/>
    <m/>
    <s v="CERRADO"/>
    <n v="208067"/>
    <x v="115"/>
    <x v="53"/>
    <x v="439"/>
    <s v="JUNIO"/>
    <n v="30"/>
    <s v="días BL"/>
    <s v="F200-00042572"/>
    <m/>
    <d v="2020-07-30T00:00:00"/>
    <s v="CANCELADO"/>
    <s v="CFR"/>
    <m/>
    <x v="70"/>
    <n v="220.34"/>
    <m/>
    <x v="877"/>
    <x v="19"/>
    <s v="Contenedor 20'"/>
    <m/>
    <s v="25 kg"/>
    <m/>
    <m/>
    <s v="END JUNIO '20"/>
    <x v="0"/>
    <m/>
    <m/>
    <m/>
    <x v="490"/>
    <m/>
    <m/>
    <x v="509"/>
    <n v="7"/>
    <n v="2020"/>
    <x v="0"/>
    <x v="0"/>
    <s v="CARTAGENA / COLOMBIA"/>
    <x v="2"/>
    <m/>
    <x v="1"/>
    <x v="716"/>
    <d v="2020-06-30T00:00:00"/>
    <s v="MSC VITA"/>
    <x v="266"/>
    <x v="34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C"/>
    <x v="0"/>
    <x v="0"/>
    <m/>
    <m/>
    <x v="1012"/>
    <m/>
    <x v="809"/>
    <m/>
    <m/>
    <m/>
    <s v="CERRADO"/>
    <n v="207580"/>
    <x v="32"/>
    <x v="50"/>
    <x v="8"/>
    <d v="2020-06-15T00:00:00"/>
    <n v="120"/>
    <s v="días BL"/>
    <s v="579"/>
    <m/>
    <d v="2020-11-11T00:00:00"/>
    <s v="CANCELADO"/>
    <s v="CIF"/>
    <m/>
    <x v="140"/>
    <n v="655"/>
    <m/>
    <x v="879"/>
    <x v="22"/>
    <s v="Contenedor 20'"/>
    <m/>
    <s v="25 kg"/>
    <m/>
    <m/>
    <s v="2H JULIO '20"/>
    <x v="0"/>
    <m/>
    <m/>
    <m/>
    <x v="464"/>
    <m/>
    <m/>
    <x v="474"/>
    <n v="7"/>
    <n v="2020"/>
    <x v="0"/>
    <x v="0"/>
    <s v="IQUIQUE / CHILE"/>
    <x v="2"/>
    <m/>
    <x v="1"/>
    <x v="717"/>
    <d v="2020-07-14T00:00:00"/>
    <s v="CARTAGENA EXPRESS"/>
    <x v="39"/>
    <x v="2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C"/>
    <x v="0"/>
    <x v="0"/>
    <m/>
    <m/>
    <x v="1013"/>
    <m/>
    <x v="810"/>
    <m/>
    <m/>
    <m/>
    <s v="CERRADO"/>
    <n v="207580"/>
    <x v="32"/>
    <x v="50"/>
    <x v="8"/>
    <d v="2020-06-15T00:00:00"/>
    <n v="120"/>
    <s v="días BL"/>
    <s v="550"/>
    <m/>
    <d v="2020-10-22T00:00:00"/>
    <s v="CANCELADO"/>
    <s v="CIF"/>
    <m/>
    <x v="140"/>
    <n v="675"/>
    <m/>
    <x v="880"/>
    <x v="22"/>
    <s v="Contenedor 20'"/>
    <m/>
    <s v="25 kg"/>
    <m/>
    <m/>
    <s v="2H JULIO '20"/>
    <x v="0"/>
    <m/>
    <m/>
    <m/>
    <x v="484"/>
    <m/>
    <m/>
    <x v="463"/>
    <n v="7"/>
    <n v="2020"/>
    <x v="0"/>
    <x v="0"/>
    <s v="ANGAMOS / CHILE"/>
    <x v="0"/>
    <m/>
    <x v="2"/>
    <x v="718"/>
    <d v="2020-06-23T00:00:00"/>
    <s v="GUAYAQUIL EXPRESS"/>
    <x v="119"/>
    <x v="2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O-S"/>
    <x v="0"/>
    <x v="0"/>
    <m/>
    <m/>
    <x v="1014"/>
    <m/>
    <x v="811"/>
    <m/>
    <m/>
    <m/>
    <s v="CERRADO"/>
    <n v="204750"/>
    <x v="120"/>
    <x v="53"/>
    <x v="440"/>
    <s v="JULIO"/>
    <s v="CAD"/>
    <m/>
    <s v="F200-00042663"/>
    <m/>
    <d v="2020-08-18T00:00:00"/>
    <s v="CANCELADO"/>
    <s v="CFR"/>
    <m/>
    <x v="416"/>
    <n v="372"/>
    <m/>
    <x v="881"/>
    <x v="35"/>
    <s v="Contenedor 20'"/>
    <m/>
    <s v="50 kg"/>
    <m/>
    <m/>
    <s v="JULIO '20"/>
    <x v="0"/>
    <m/>
    <m/>
    <m/>
    <x v="504"/>
    <m/>
    <m/>
    <x v="510"/>
    <n v="10"/>
    <n v="2020"/>
    <x v="0"/>
    <x v="0"/>
    <s v="CARTAGENA / COLOMBIA"/>
    <x v="4"/>
    <m/>
    <x v="7"/>
    <x v="719"/>
    <d v="2020-08-14T00:00:00"/>
    <s v="POHORJE"/>
    <x v="129"/>
    <x v="2"/>
    <m/>
    <s v="REALIZADO"/>
    <s v="DESTINO"/>
    <m/>
    <m/>
    <m/>
    <x v="0"/>
    <d v="2020-10-09T00:00:00"/>
    <m/>
    <x v="0"/>
    <x v="0"/>
    <m/>
    <m/>
    <x v="0"/>
    <e v="#REF!"/>
    <m/>
    <m/>
    <m/>
    <m/>
    <m/>
    <x v="0"/>
    <s v="anulada: 8000000808/8000000938"/>
    <m/>
    <m/>
    <m/>
    <s v="NACIONALIZADO"/>
    <m/>
    <m/>
    <m/>
  </r>
  <r>
    <n v="2020"/>
    <s v="T-S"/>
    <x v="0"/>
    <x v="0"/>
    <m/>
    <m/>
    <x v="1015"/>
    <m/>
    <x v="812"/>
    <m/>
    <m/>
    <m/>
    <s v="CERRADO"/>
    <n v="203632"/>
    <x v="121"/>
    <x v="53"/>
    <x v="441"/>
    <s v="JUNIO"/>
    <s v="CAD"/>
    <m/>
    <s v="F200-00042585"/>
    <m/>
    <d v="2020-07-15T00:00:00"/>
    <s v="CANCELADO"/>
    <s v="CFR"/>
    <m/>
    <x v="417"/>
    <n v="359"/>
    <m/>
    <x v="882"/>
    <x v="49"/>
    <s v="Contenedor 20'"/>
    <m/>
    <s v="50 kg"/>
    <m/>
    <m/>
    <s v="JUNIO '20"/>
    <x v="0"/>
    <m/>
    <m/>
    <m/>
    <x v="483"/>
    <m/>
    <m/>
    <x v="511"/>
    <n v="8"/>
    <n v="2020"/>
    <x v="0"/>
    <x v="0"/>
    <s v="CARTAGENA / COLOMBIA"/>
    <x v="4"/>
    <m/>
    <x v="4"/>
    <x v="720"/>
    <d v="2020-07-10T00:00:00"/>
    <s v="DUBLIN EXPRESS"/>
    <x v="129"/>
    <x v="2"/>
    <m/>
    <s v="REALIZADO"/>
    <m/>
    <m/>
    <m/>
    <m/>
    <x v="0"/>
    <d v="2020-09-02T00:00:00"/>
    <m/>
    <x v="0"/>
    <x v="0"/>
    <m/>
    <m/>
    <x v="0"/>
    <e v="#REF!"/>
    <m/>
    <m/>
    <m/>
    <m/>
    <m/>
    <x v="0"/>
    <s v="anulada: 8000000809/8000000853/8000000965/973"/>
    <m/>
    <m/>
    <m/>
    <s v="NACIONALIZADO"/>
    <m/>
    <m/>
    <m/>
  </r>
  <r>
    <n v="2020"/>
    <s v="O-S"/>
    <x v="0"/>
    <x v="0"/>
    <m/>
    <m/>
    <x v="1016"/>
    <m/>
    <x v="813"/>
    <m/>
    <m/>
    <m/>
    <s v="CERRADO"/>
    <n v="204749"/>
    <x v="120"/>
    <x v="53"/>
    <x v="442"/>
    <s v="JUNIO"/>
    <s v="CAD"/>
    <m/>
    <s v="F200-00042591"/>
    <m/>
    <d v="2020-07-24T00:00:00"/>
    <s v="CANCELADO"/>
    <s v="CFR"/>
    <m/>
    <x v="78"/>
    <n v="359"/>
    <m/>
    <x v="883"/>
    <x v="2"/>
    <s v="Contenedor 20'"/>
    <m/>
    <s v="50 kg"/>
    <m/>
    <m/>
    <s v="JULIO '20"/>
    <x v="0"/>
    <m/>
    <m/>
    <m/>
    <x v="474"/>
    <m/>
    <m/>
    <x v="484"/>
    <n v="7"/>
    <n v="2020"/>
    <x v="0"/>
    <x v="0"/>
    <s v="CARTAGENA / COLOMBIA"/>
    <x v="2"/>
    <m/>
    <x v="3"/>
    <x v="721"/>
    <d v="2020-07-15T00:00:00"/>
    <s v="CMA CGM JEAN GABRIEL"/>
    <x v="155"/>
    <x v="9"/>
    <m/>
    <s v="REALIZADO"/>
    <m/>
    <m/>
    <m/>
    <m/>
    <x v="0"/>
    <m/>
    <m/>
    <x v="0"/>
    <x v="0"/>
    <m/>
    <m/>
    <x v="0"/>
    <e v="#REF!"/>
    <m/>
    <m/>
    <m/>
    <m/>
    <m/>
    <x v="0"/>
    <s v="anulada: 8000000870"/>
    <m/>
    <m/>
    <m/>
    <s v="NACIONALIZADO"/>
    <m/>
    <m/>
    <m/>
  </r>
  <r>
    <n v="2020"/>
    <s v="O-S"/>
    <x v="0"/>
    <x v="0"/>
    <m/>
    <m/>
    <x v="1017"/>
    <m/>
    <x v="814"/>
    <m/>
    <m/>
    <m/>
    <s v="CERRADO"/>
    <n v="208058"/>
    <x v="122"/>
    <x v="53"/>
    <x v="443"/>
    <s v="JUNIO"/>
    <s v="CAD"/>
    <m/>
    <s v="F200-00042586"/>
    <m/>
    <d v="2020-07-15T00:00:00"/>
    <s v="CANCELADO"/>
    <s v="CFR"/>
    <m/>
    <x v="64"/>
    <n v="354"/>
    <m/>
    <x v="884"/>
    <x v="15"/>
    <s v="Contenedor 20'"/>
    <m/>
    <s v="50 kg"/>
    <m/>
    <m/>
    <s v="JUNIO '20"/>
    <x v="0"/>
    <m/>
    <m/>
    <m/>
    <x v="478"/>
    <m/>
    <m/>
    <x v="451"/>
    <n v="7"/>
    <n v="2020"/>
    <x v="0"/>
    <x v="0"/>
    <s v="CARTAGENA / COLOMBIA"/>
    <x v="2"/>
    <m/>
    <x v="6"/>
    <x v="722"/>
    <d v="2020-07-08T00:00:00"/>
    <s v="VALPARAISO EXPRESS"/>
    <x v="30"/>
    <x v="9"/>
    <m/>
    <s v="REALIZADO"/>
    <m/>
    <m/>
    <m/>
    <m/>
    <x v="0"/>
    <m/>
    <m/>
    <x v="0"/>
    <x v="0"/>
    <m/>
    <m/>
    <x v="0"/>
    <e v="#REF!"/>
    <m/>
    <m/>
    <m/>
    <m/>
    <m/>
    <x v="0"/>
    <s v="anulada: 8000000811"/>
    <m/>
    <m/>
    <m/>
    <s v="NACIONALIZADO"/>
    <m/>
    <m/>
    <m/>
  </r>
  <r>
    <n v="2020"/>
    <s v="T-S"/>
    <x v="0"/>
    <x v="0"/>
    <m/>
    <m/>
    <x v="1018"/>
    <m/>
    <x v="815"/>
    <m/>
    <m/>
    <m/>
    <s v="CERRADO"/>
    <n v="208057"/>
    <x v="121"/>
    <x v="53"/>
    <x v="444"/>
    <s v="JUNIO"/>
    <s v="CAD"/>
    <m/>
    <s v="F200-00042589"/>
    <m/>
    <d v="2020-07-21T00:00:00"/>
    <s v="CANCELADO"/>
    <s v="CFR"/>
    <m/>
    <x v="418"/>
    <n v="347"/>
    <m/>
    <x v="885"/>
    <x v="9"/>
    <s v="Contenedor 20'"/>
    <m/>
    <s v="50 kg"/>
    <m/>
    <m/>
    <s v="JUNIO '20"/>
    <x v="0"/>
    <m/>
    <m/>
    <m/>
    <x v="474"/>
    <m/>
    <m/>
    <x v="463"/>
    <n v="7"/>
    <n v="2020"/>
    <x v="0"/>
    <x v="0"/>
    <s v="CARTAGENA / COLOMBIA"/>
    <x v="2"/>
    <m/>
    <x v="3"/>
    <x v="723"/>
    <d v="2020-07-14T00:00:00"/>
    <s v="MSC ARICA"/>
    <x v="267"/>
    <x v="34"/>
    <m/>
    <s v="REALIZADO"/>
    <m/>
    <m/>
    <m/>
    <m/>
    <x v="0"/>
    <m/>
    <m/>
    <x v="0"/>
    <x v="0"/>
    <m/>
    <m/>
    <x v="0"/>
    <e v="#REF!"/>
    <m/>
    <m/>
    <m/>
    <m/>
    <m/>
    <x v="0"/>
    <s v="anulada: 8000000812"/>
    <m/>
    <m/>
    <m/>
    <s v="NACIONALIZADO"/>
    <m/>
    <m/>
    <m/>
  </r>
  <r>
    <n v="2020"/>
    <s v="O-S"/>
    <x v="0"/>
    <x v="0"/>
    <m/>
    <m/>
    <x v="1019"/>
    <m/>
    <x v="816"/>
    <m/>
    <m/>
    <m/>
    <s v="CERRADO"/>
    <n v="204749"/>
    <x v="120"/>
    <x v="53"/>
    <x v="445"/>
    <s v="JUNIO"/>
    <s v="CAD"/>
    <m/>
    <s v="F200-00042592"/>
    <m/>
    <d v="2020-07-24T00:00:00"/>
    <s v="CANCELADO"/>
    <s v="CFR"/>
    <m/>
    <x v="419"/>
    <n v="360"/>
    <m/>
    <x v="886"/>
    <x v="21"/>
    <s v="Contenedor 20'"/>
    <m/>
    <s v="50 kg"/>
    <m/>
    <m/>
    <s v="JULIO '20"/>
    <x v="0"/>
    <m/>
    <m/>
    <m/>
    <x v="482"/>
    <m/>
    <m/>
    <x v="507"/>
    <n v="7"/>
    <n v="2020"/>
    <x v="0"/>
    <x v="0"/>
    <s v="CARTAGENA / COLOMBIA"/>
    <x v="0"/>
    <m/>
    <x v="1"/>
    <x v="724"/>
    <d v="2020-07-17T00:00:00"/>
    <s v="POHORJE"/>
    <x v="244"/>
    <x v="9"/>
    <m/>
    <s v="REALIZADO"/>
    <m/>
    <m/>
    <m/>
    <m/>
    <x v="0"/>
    <m/>
    <m/>
    <x v="0"/>
    <x v="0"/>
    <m/>
    <m/>
    <x v="0"/>
    <e v="#REF!"/>
    <m/>
    <m/>
    <m/>
    <m/>
    <m/>
    <x v="0"/>
    <s v="anulada: 8000000813/8000000868"/>
    <m/>
    <m/>
    <m/>
    <s v="NACIONALIZADO"/>
    <m/>
    <m/>
    <m/>
  </r>
  <r>
    <n v="2020"/>
    <s v="T-S"/>
    <x v="0"/>
    <x v="0"/>
    <m/>
    <m/>
    <x v="1020"/>
    <m/>
    <x v="817"/>
    <m/>
    <m/>
    <m/>
    <s v="CERRADO"/>
    <n v="208057"/>
    <x v="121"/>
    <x v="53"/>
    <x v="446"/>
    <s v="JUNIO"/>
    <s v="CAD"/>
    <m/>
    <s v="F200-00042587"/>
    <m/>
    <d v="2020-07-15T00:00:00"/>
    <s v="CANCELADO"/>
    <s v="CFR"/>
    <m/>
    <x v="418"/>
    <n v="347"/>
    <m/>
    <x v="885"/>
    <x v="9"/>
    <s v="Contenedor 20'"/>
    <m/>
    <s v="50 kg"/>
    <m/>
    <m/>
    <s v="JUNIO '20"/>
    <x v="0"/>
    <m/>
    <m/>
    <m/>
    <x v="484"/>
    <m/>
    <m/>
    <x v="463"/>
    <n v="7"/>
    <n v="2020"/>
    <x v="0"/>
    <x v="0"/>
    <s v="CARTAGENA / COLOMBIA"/>
    <x v="0"/>
    <m/>
    <x v="2"/>
    <x v="725"/>
    <d v="2020-07-10T00:00:00"/>
    <s v="DUBLIN EXPRESS"/>
    <x v="119"/>
    <x v="9"/>
    <m/>
    <s v="REALIZADO"/>
    <m/>
    <m/>
    <m/>
    <m/>
    <x v="0"/>
    <d v="2020-08-04T00:00:00"/>
    <m/>
    <x v="0"/>
    <x v="0"/>
    <m/>
    <m/>
    <x v="0"/>
    <e v="#REF!"/>
    <m/>
    <m/>
    <m/>
    <m/>
    <m/>
    <x v="0"/>
    <s v="anulada: 8000000814"/>
    <m/>
    <m/>
    <m/>
    <s v="NACIONALIZADO"/>
    <m/>
    <m/>
    <m/>
  </r>
  <r>
    <n v="2020"/>
    <s v="B-S"/>
    <x v="0"/>
    <x v="0"/>
    <m/>
    <m/>
    <x v="1021"/>
    <m/>
    <x v="818"/>
    <m/>
    <m/>
    <m/>
    <s v="CERRADO"/>
    <n v="203621"/>
    <x v="101"/>
    <x v="43"/>
    <x v="72"/>
    <s v="JUNIO"/>
    <n v="180"/>
    <s v="días BL"/>
    <s v="FV204E000065"/>
    <m/>
    <d v="2020-12-21T00:00:00"/>
    <s v="CANCELADO"/>
    <s v="CIF"/>
    <m/>
    <x v="420"/>
    <n v="39097.815699999999"/>
    <m/>
    <x v="887"/>
    <x v="0"/>
    <s v="Contenedor 20'"/>
    <m/>
    <s v="20L"/>
    <m/>
    <m/>
    <s v="JULIO '20"/>
    <x v="0"/>
    <m/>
    <m/>
    <m/>
    <x v="498"/>
    <m/>
    <m/>
    <x v="512"/>
    <n v="8"/>
    <n v="2020"/>
    <x v="0"/>
    <x v="0"/>
    <s v="VALENCIA / ESPAÑA"/>
    <x v="2"/>
    <m/>
    <x v="1"/>
    <x v="726"/>
    <d v="2020-07-05T00:00:00"/>
    <s v="MARY"/>
    <x v="268"/>
    <x v="35"/>
    <m/>
    <s v="NO APLICA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P"/>
    <x v="0"/>
    <x v="0"/>
    <m/>
    <m/>
    <x v="1022"/>
    <m/>
    <x v="819"/>
    <m/>
    <m/>
    <m/>
    <s v="CERRADO"/>
    <n v="208510"/>
    <x v="10"/>
    <x v="27"/>
    <x v="447"/>
    <d v="2020-06-18T00:00:00"/>
    <n v="150"/>
    <s v="días BL"/>
    <s v="B7FE-20-3014-PAPE-01"/>
    <m/>
    <d v="2020-12-21T00:00:00"/>
    <s v="CANCELADO"/>
    <s v="CFR"/>
    <m/>
    <x v="421"/>
    <n v="837"/>
    <m/>
    <x v="888"/>
    <x v="10"/>
    <s v="Contenedor 20'"/>
    <m/>
    <s v="Bidones 35kg"/>
    <m/>
    <m/>
    <s v="1H JULIO '20"/>
    <x v="0"/>
    <m/>
    <m/>
    <m/>
    <x v="505"/>
    <m/>
    <m/>
    <x v="513"/>
    <n v="9"/>
    <n v="2020"/>
    <x v="0"/>
    <x v="0"/>
    <s v="QINZHOU / CHINA"/>
    <x v="2"/>
    <m/>
    <x v="3"/>
    <x v="727"/>
    <d v="2020-07-25T00:00:00"/>
    <s v="HUI JIN QIAO 759"/>
    <x v="237"/>
    <x v="9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P"/>
    <x v="0"/>
    <x v="0"/>
    <m/>
    <m/>
    <x v="1023"/>
    <m/>
    <x v="820"/>
    <m/>
    <m/>
    <m/>
    <s v="CERRADO"/>
    <n v="208510"/>
    <x v="10"/>
    <x v="27"/>
    <x v="447"/>
    <d v="2020-06-18T00:00:00"/>
    <n v="150"/>
    <s v="días BL"/>
    <s v="B7FE-20-3014-PAPE-03"/>
    <m/>
    <d v="2021-01-21T00:00:00"/>
    <s v="CANCELADO"/>
    <s v="CFR"/>
    <m/>
    <x v="404"/>
    <n v="837"/>
    <m/>
    <x v="889"/>
    <x v="6"/>
    <s v="Contenedor 20'"/>
    <m/>
    <s v="Bidones 35kg"/>
    <m/>
    <m/>
    <s v="1H JULIO '20"/>
    <x v="0"/>
    <m/>
    <m/>
    <m/>
    <x v="502"/>
    <m/>
    <m/>
    <x v="505"/>
    <n v="10"/>
    <n v="2020"/>
    <x v="0"/>
    <x v="0"/>
    <s v="QINZHOU / CHINA"/>
    <x v="2"/>
    <m/>
    <x v="6"/>
    <x v="728"/>
    <d v="2020-08-24T00:00:00"/>
    <s v="EVER CORE"/>
    <x v="255"/>
    <x v="8"/>
    <m/>
    <s v="REALIZADO"/>
    <s v="DESTINO"/>
    <m/>
    <m/>
    <m/>
    <x v="0"/>
    <d v="2020-10-27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P"/>
    <x v="0"/>
    <x v="0"/>
    <m/>
    <m/>
    <x v="1024"/>
    <m/>
    <x v="821"/>
    <m/>
    <m/>
    <m/>
    <s v="CERRADO"/>
    <n v="208510"/>
    <x v="10"/>
    <x v="27"/>
    <x v="447"/>
    <d v="2020-06-18T00:00:00"/>
    <n v="150"/>
    <s v="días BL"/>
    <s v="B7FE-20-3014-PAPE-02"/>
    <m/>
    <d v="2021-01-02T00:00:00"/>
    <s v="CANCELADO"/>
    <s v="CFR"/>
    <m/>
    <x v="421"/>
    <n v="847"/>
    <m/>
    <x v="890"/>
    <x v="10"/>
    <s v="Contenedor 20'"/>
    <m/>
    <s v="Bidones 35kg"/>
    <m/>
    <m/>
    <s v="1H JULIO '20"/>
    <x v="0"/>
    <m/>
    <m/>
    <m/>
    <x v="506"/>
    <m/>
    <m/>
    <x v="514"/>
    <n v="9"/>
    <n v="2020"/>
    <x v="0"/>
    <x v="0"/>
    <s v="QINZHOU / CHINA"/>
    <x v="0"/>
    <m/>
    <x v="5"/>
    <x v="729"/>
    <d v="2020-08-05T00:00:00"/>
    <s v="HUI JIN QIAO 968"/>
    <x v="217"/>
    <x v="2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P"/>
    <x v="0"/>
    <x v="0"/>
    <m/>
    <m/>
    <x v="1025"/>
    <m/>
    <x v="822"/>
    <m/>
    <m/>
    <m/>
    <s v="CERRADO"/>
    <n v="208510"/>
    <x v="10"/>
    <x v="27"/>
    <x v="447"/>
    <d v="2020-06-18T00:00:00"/>
    <n v="150"/>
    <s v="días BL"/>
    <s v="B7FE-20-3014-PAPE-04"/>
    <m/>
    <d v="2021-01-26T00:00:00"/>
    <s v="CANCELADO"/>
    <s v="CFR"/>
    <m/>
    <x v="404"/>
    <n v="847"/>
    <m/>
    <x v="891"/>
    <x v="6"/>
    <s v="Contenedor 20'"/>
    <m/>
    <s v="Bidones 35kg"/>
    <m/>
    <m/>
    <s v="1H JULIO '20"/>
    <x v="0"/>
    <m/>
    <m/>
    <m/>
    <x v="507"/>
    <m/>
    <m/>
    <x v="515"/>
    <n v="10"/>
    <n v="2020"/>
    <x v="0"/>
    <x v="0"/>
    <s v="QINZHOU / CHINA"/>
    <x v="0"/>
    <m/>
    <x v="1"/>
    <x v="730"/>
    <d v="2020-08-29T00:00:00"/>
    <s v="HUI JIN QIAO 292"/>
    <x v="222"/>
    <x v="6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1026"/>
    <m/>
    <x v="823"/>
    <m/>
    <m/>
    <m/>
    <s v="CERRADO"/>
    <n v="206966"/>
    <x v="16"/>
    <x v="51"/>
    <x v="448"/>
    <d v="2020-06-17T00:00:00"/>
    <n v="90"/>
    <s v="días BL"/>
    <s v="5000235"/>
    <m/>
    <d v="2020-10-22T00:00:00"/>
    <s v="CANCELADO"/>
    <s v="CFR"/>
    <m/>
    <x v="0"/>
    <n v="593.5"/>
    <m/>
    <x v="892"/>
    <x v="3"/>
    <s v="Granel - BB"/>
    <m/>
    <s v="25 kg"/>
    <m/>
    <m/>
    <s v="1H JULIO '20"/>
    <x v="0"/>
    <m/>
    <m/>
    <m/>
    <x v="508"/>
    <m/>
    <m/>
    <x v="516"/>
    <n v="10"/>
    <n v="2020"/>
    <x v="0"/>
    <x v="0"/>
    <s v="CHANGSHU / CHINA"/>
    <x v="4"/>
    <m/>
    <x v="4"/>
    <x v="731"/>
    <d v="2020-07-25T00:00:00"/>
    <s v="MV PETREL ARROW "/>
    <x v="269"/>
    <x v="0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1"/>
    <m/>
    <m/>
    <x v="1027"/>
    <m/>
    <x v="34"/>
    <m/>
    <m/>
    <m/>
    <m/>
    <m/>
    <x v="3"/>
    <x v="27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0"/>
    <s v="G-S"/>
    <x v="0"/>
    <x v="0"/>
    <m/>
    <m/>
    <x v="1028"/>
    <m/>
    <x v="824"/>
    <m/>
    <m/>
    <m/>
    <s v="CERRADO"/>
    <n v="206599"/>
    <x v="1"/>
    <x v="47"/>
    <x v="449"/>
    <d v="2020-06-17T00:00:00"/>
    <n v="90"/>
    <s v="días BL"/>
    <s v="220.146"/>
    <m/>
    <d v="2020-10-19T00:00:00"/>
    <s v="CANCELADO"/>
    <s v="CFR"/>
    <m/>
    <x v="336"/>
    <n v="431"/>
    <m/>
    <x v="893"/>
    <x v="9"/>
    <s v="Contenedor 40'"/>
    <m/>
    <s v="Bigbag"/>
    <m/>
    <m/>
    <s v="1H JULIO '20"/>
    <x v="0"/>
    <m/>
    <m/>
    <m/>
    <x v="509"/>
    <m/>
    <m/>
    <x v="517"/>
    <n v="9"/>
    <n v="2020"/>
    <x v="0"/>
    <x v="0"/>
    <s v="DALIAN / CHINA"/>
    <x v="0"/>
    <m/>
    <x v="5"/>
    <x v="732"/>
    <d v="2020-07-20T00:00:00"/>
    <s v="_x000a_MAERSK HALIFAX"/>
    <x v="193"/>
    <x v="6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O-S"/>
    <x v="0"/>
    <x v="0"/>
    <m/>
    <m/>
    <x v="1029"/>
    <m/>
    <x v="825"/>
    <m/>
    <m/>
    <m/>
    <s v="CERRADO"/>
    <n v="203553"/>
    <x v="123"/>
    <x v="53"/>
    <x v="450"/>
    <s v="JUNIO"/>
    <s v="CAD"/>
    <m/>
    <s v="F200-00042573"/>
    <m/>
    <d v="2020-07-24T00:00:00"/>
    <s v="CANCELADO"/>
    <s v="CFR"/>
    <m/>
    <x v="422"/>
    <n v="288"/>
    <m/>
    <x v="894"/>
    <x v="16"/>
    <s v="Contenedor 20'"/>
    <m/>
    <s v="Granel Sólido"/>
    <m/>
    <m/>
    <s v="JUNIO '20"/>
    <x v="0"/>
    <m/>
    <m/>
    <m/>
    <x v="510"/>
    <m/>
    <m/>
    <x v="482"/>
    <n v="8"/>
    <n v="2020"/>
    <x v="0"/>
    <x v="0"/>
    <s v="BREVIK / NORUEGA"/>
    <x v="2"/>
    <m/>
    <x v="6"/>
    <x v="733"/>
    <d v="2020-06-26T00:00:00"/>
    <s v="MAERSK HALIFAX"/>
    <x v="32"/>
    <x v="9"/>
    <m/>
    <s v="REALIZADO"/>
    <m/>
    <m/>
    <m/>
    <m/>
    <x v="0"/>
    <m/>
    <m/>
    <x v="0"/>
    <x v="0"/>
    <m/>
    <m/>
    <x v="0"/>
    <e v="#REF!"/>
    <m/>
    <m/>
    <m/>
    <m/>
    <m/>
    <x v="0"/>
    <s v="anulada: 8000000834/8000000916"/>
    <m/>
    <m/>
    <m/>
    <s v="NACIONALIZADO"/>
    <m/>
    <m/>
    <m/>
  </r>
  <r>
    <n v="2020"/>
    <s v="O-S"/>
    <x v="0"/>
    <x v="0"/>
    <m/>
    <m/>
    <x v="1030"/>
    <m/>
    <x v="826"/>
    <m/>
    <m/>
    <m/>
    <s v="CERRADO"/>
    <n v="203553"/>
    <x v="123"/>
    <x v="53"/>
    <x v="451"/>
    <s v="JUNIO"/>
    <s v="CAD"/>
    <m/>
    <s v="F200-00042574"/>
    <m/>
    <d v="2020-07-24T00:00:00"/>
    <s v="CANCELADO"/>
    <s v="CFR"/>
    <m/>
    <x v="423"/>
    <n v="288"/>
    <m/>
    <x v="895"/>
    <x v="26"/>
    <s v="Contenedor 20'"/>
    <m/>
    <s v="Granel Sólido"/>
    <m/>
    <m/>
    <s v="JUNIO '20"/>
    <x v="0"/>
    <m/>
    <m/>
    <m/>
    <x v="498"/>
    <m/>
    <m/>
    <x v="482"/>
    <n v="8"/>
    <n v="2020"/>
    <x v="0"/>
    <x v="0"/>
    <s v="BREVIK / NORUEGA"/>
    <x v="0"/>
    <m/>
    <x v="5"/>
    <x v="734"/>
    <d v="2020-06-26T00:00:00"/>
    <s v="ENERGIZER"/>
    <x v="119"/>
    <x v="9"/>
    <m/>
    <s v="REALIZADO"/>
    <m/>
    <m/>
    <m/>
    <m/>
    <x v="0"/>
    <m/>
    <m/>
    <x v="0"/>
    <x v="0"/>
    <m/>
    <m/>
    <x v="0"/>
    <e v="#REF!"/>
    <m/>
    <m/>
    <m/>
    <m/>
    <m/>
    <x v="0"/>
    <s v="anulada: 8000000835/8000000915"/>
    <m/>
    <m/>
    <m/>
    <s v="NACIONALIZADO"/>
    <m/>
    <m/>
    <m/>
  </r>
  <r>
    <n v="2020"/>
    <s v="O-S"/>
    <x v="0"/>
    <x v="0"/>
    <m/>
    <m/>
    <x v="1031"/>
    <m/>
    <x v="827"/>
    <m/>
    <m/>
    <m/>
    <s v="CERRADO"/>
    <n v="203554"/>
    <x v="123"/>
    <x v="53"/>
    <x v="452"/>
    <s v="JUNIO"/>
    <s v="CAD"/>
    <m/>
    <s v="F200-00042575"/>
    <m/>
    <d v="2020-07-24T00:00:00"/>
    <s v="CANCELADO"/>
    <s v="CFR"/>
    <m/>
    <x v="424"/>
    <n v="288"/>
    <m/>
    <x v="896"/>
    <x v="5"/>
    <s v="Contenedor 20'"/>
    <m/>
    <s v="Granel Sólido"/>
    <m/>
    <m/>
    <s v="JUNIO '20"/>
    <x v="0"/>
    <m/>
    <m/>
    <m/>
    <x v="483"/>
    <m/>
    <m/>
    <x v="486"/>
    <n v="8"/>
    <n v="2020"/>
    <x v="0"/>
    <x v="0"/>
    <s v="BREVIK / NORUEGA"/>
    <x v="4"/>
    <m/>
    <x v="4"/>
    <x v="735"/>
    <d v="2020-06-26T00:00:00"/>
    <s v="ENERGIZER"/>
    <x v="129"/>
    <x v="2"/>
    <m/>
    <s v="REALIZADO"/>
    <m/>
    <m/>
    <m/>
    <m/>
    <x v="0"/>
    <d v="2020-08-26T00:00:00"/>
    <m/>
    <x v="0"/>
    <x v="0"/>
    <m/>
    <m/>
    <x v="0"/>
    <e v="#REF!"/>
    <m/>
    <m/>
    <m/>
    <m/>
    <m/>
    <x v="0"/>
    <s v="anulada: 8000000836"/>
    <m/>
    <m/>
    <m/>
    <s v="ADM TEMPORAL"/>
    <m/>
    <m/>
    <m/>
  </r>
  <r>
    <n v="2020"/>
    <s v="E-S"/>
    <x v="0"/>
    <x v="0"/>
    <m/>
    <m/>
    <x v="1032"/>
    <m/>
    <x v="828"/>
    <m/>
    <m/>
    <m/>
    <s v="CERRADO"/>
    <n v="209986"/>
    <x v="55"/>
    <x v="28"/>
    <x v="16"/>
    <s v="JUNIO"/>
    <n v="30"/>
    <s v="días BL"/>
    <s v="1492"/>
    <m/>
    <d v="2020-09-15T00:00:00"/>
    <s v="CANCELADO"/>
    <s v="CFR"/>
    <m/>
    <x v="145"/>
    <n v="280"/>
    <m/>
    <x v="237"/>
    <x v="1"/>
    <s v="Contenedor 20'"/>
    <m/>
    <s v="50 kg"/>
    <m/>
    <m/>
    <s v="JULIO- AGOSTO '20"/>
    <x v="0"/>
    <m/>
    <m/>
    <m/>
    <x v="511"/>
    <m/>
    <m/>
    <x v="486"/>
    <n v="8"/>
    <n v="2020"/>
    <x v="0"/>
    <x v="0"/>
    <s v="QUETZAL/ GUATEMALA"/>
    <x v="2"/>
    <m/>
    <x v="1"/>
    <x v="736"/>
    <d v="2020-08-16T00:00:00"/>
    <s v="CARDIFF"/>
    <x v="270"/>
    <x v="14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C"/>
    <x v="0"/>
    <x v="0"/>
    <m/>
    <m/>
    <x v="1033"/>
    <m/>
    <x v="829"/>
    <m/>
    <m/>
    <m/>
    <s v="CERRADO"/>
    <n v="207580"/>
    <x v="32"/>
    <x v="51"/>
    <x v="453"/>
    <d v="2020-06-17T00:00:00"/>
    <n v="90"/>
    <s v="días BL"/>
    <s v="5000204"/>
    <m/>
    <d v="2020-10-19T00:00:00"/>
    <s v="CANCELADO"/>
    <s v="CPT"/>
    <m/>
    <x v="58"/>
    <n v="655"/>
    <m/>
    <x v="897"/>
    <x v="5"/>
    <s v="Contenedor 20'"/>
    <m/>
    <s v="25 kg"/>
    <m/>
    <m/>
    <s v="END JUN '20 - JUL '20"/>
    <x v="0"/>
    <m/>
    <m/>
    <m/>
    <x v="512"/>
    <m/>
    <m/>
    <x v="518"/>
    <n v="8"/>
    <n v="2020"/>
    <x v="0"/>
    <x v="0"/>
    <s v="KLAIPEDA / LITUANIA"/>
    <x v="2"/>
    <m/>
    <x v="1"/>
    <x v="737"/>
    <d v="2020-07-20T00:00:00"/>
    <s v="TUNADAL"/>
    <x v="42"/>
    <x v="9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E-S"/>
    <x v="0"/>
    <x v="0"/>
    <m/>
    <m/>
    <x v="1034"/>
    <m/>
    <x v="830"/>
    <m/>
    <m/>
    <m/>
    <s v="CERRADO"/>
    <n v="206613"/>
    <x v="81"/>
    <x v="10"/>
    <x v="454"/>
    <d v="2020-06-24T00:00:00"/>
    <n v="120"/>
    <s v="días BL"/>
    <s v="301001478"/>
    <m/>
    <d v="2020-11-23T00:00:00"/>
    <s v="CANCELADO"/>
    <s v="CFR"/>
    <m/>
    <x v="257"/>
    <n v="235"/>
    <m/>
    <x v="898"/>
    <x v="4"/>
    <s v="Contenedor 20'"/>
    <m/>
    <s v="Granel Sólido"/>
    <m/>
    <m/>
    <s v="JULIO '20"/>
    <x v="0"/>
    <m/>
    <m/>
    <m/>
    <x v="513"/>
    <m/>
    <m/>
    <x v="519"/>
    <n v="8"/>
    <n v="2020"/>
    <x v="0"/>
    <x v="0"/>
    <s v="AMBERES / BELGICA"/>
    <x v="2"/>
    <m/>
    <x v="6"/>
    <x v="738"/>
    <d v="2020-07-26T00:00:00"/>
    <s v="MV POLAR ECUADOR"/>
    <x v="271"/>
    <x v="6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E-S"/>
    <x v="0"/>
    <x v="0"/>
    <m/>
    <m/>
    <x v="1035"/>
    <m/>
    <x v="831"/>
    <m/>
    <m/>
    <m/>
    <s v="CERRADO"/>
    <n v="206613"/>
    <x v="81"/>
    <x v="10"/>
    <x v="454"/>
    <d v="2020-06-24T00:00:00"/>
    <n v="120"/>
    <s v="días BL"/>
    <s v="301001479"/>
    <m/>
    <d v="2020-11-23T00:00:00"/>
    <s v="CANCELADO"/>
    <s v="CFR"/>
    <m/>
    <x v="425"/>
    <n v="235"/>
    <m/>
    <x v="899"/>
    <x v="16"/>
    <s v="Contenedor 20'"/>
    <m/>
    <s v="Granel Sólido"/>
    <m/>
    <m/>
    <s v="JULIO '20"/>
    <x v="0"/>
    <m/>
    <m/>
    <m/>
    <x v="480"/>
    <m/>
    <m/>
    <x v="520"/>
    <n v="9"/>
    <n v="2020"/>
    <x v="0"/>
    <x v="0"/>
    <s v="AMBERES / BELGICA"/>
    <x v="0"/>
    <m/>
    <x v="5"/>
    <x v="739"/>
    <d v="2020-07-26T00:00:00"/>
    <s v="MV POLAR ECUADOR"/>
    <x v="222"/>
    <x v="6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036"/>
    <m/>
    <x v="832"/>
    <m/>
    <m/>
    <m/>
    <s v="CERRADO"/>
    <n v="203616"/>
    <x v="15"/>
    <x v="25"/>
    <x v="455"/>
    <d v="2020-07-03T00:00:00"/>
    <n v="120"/>
    <s v="días BL"/>
    <s v="TGOA-AS-200608-09"/>
    <m/>
    <d v="2020-09-30T00:00:00"/>
    <s v="CANCELADO"/>
    <s v="CFR"/>
    <m/>
    <x v="35"/>
    <n v="123.22"/>
    <m/>
    <x v="900"/>
    <x v="0"/>
    <s v="Granel "/>
    <m/>
    <s v="Granel Sólido"/>
    <m/>
    <m/>
    <s v="JUNIO '20"/>
    <x v="0"/>
    <m/>
    <m/>
    <m/>
    <x v="478"/>
    <m/>
    <m/>
    <x v="498"/>
    <n v="7"/>
    <n v="2020"/>
    <x v="0"/>
    <x v="0"/>
    <s v="JINGJIANG / CHINA"/>
    <x v="0"/>
    <m/>
    <x v="2"/>
    <x v="740"/>
    <d v="2020-06-08T00:00:00"/>
    <s v="MV DORYSIA"/>
    <x v="259"/>
    <x v="0"/>
    <m/>
    <s v="NO APLICA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037"/>
    <m/>
    <x v="833"/>
    <m/>
    <m/>
    <m/>
    <s v="CERRADO"/>
    <n v="203616"/>
    <x v="15"/>
    <x v="25"/>
    <x v="455"/>
    <d v="2020-07-03T00:00:00"/>
    <n v="120"/>
    <s v="días BL"/>
    <s v="TGOA-AS-200608-10"/>
    <m/>
    <d v="2020-09-30T00:00:00"/>
    <s v="CANCELADO"/>
    <s v="CFR"/>
    <m/>
    <x v="17"/>
    <n v="123.22"/>
    <m/>
    <x v="901"/>
    <x v="0"/>
    <s v="Granel "/>
    <m/>
    <s v="Granel Sólido"/>
    <m/>
    <m/>
    <s v="JUNIO '20"/>
    <x v="0"/>
    <m/>
    <m/>
    <m/>
    <x v="474"/>
    <m/>
    <m/>
    <x v="474"/>
    <n v="7"/>
    <n v="2020"/>
    <x v="0"/>
    <x v="0"/>
    <s v="JINGJIANG / CHINA"/>
    <x v="2"/>
    <m/>
    <x v="1"/>
    <x v="741"/>
    <d v="2020-06-08T00:00:00"/>
    <s v="MV DORYSIA"/>
    <x v="259"/>
    <x v="0"/>
    <m/>
    <s v="NO APLICA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038"/>
    <m/>
    <x v="834"/>
    <m/>
    <m/>
    <m/>
    <s v="CERRADO"/>
    <n v="203616"/>
    <x v="15"/>
    <x v="25"/>
    <x v="455"/>
    <d v="2020-07-03T00:00:00"/>
    <n v="120"/>
    <s v="días BL"/>
    <s v="TGOA-AS-200608-11"/>
    <m/>
    <d v="2020-09-30T00:00:00"/>
    <s v="CANCELADO"/>
    <s v="CFR"/>
    <m/>
    <x v="0"/>
    <n v="123.22"/>
    <m/>
    <x v="902"/>
    <x v="0"/>
    <s v="Granel "/>
    <m/>
    <s v="Granel Sólido"/>
    <m/>
    <m/>
    <s v="JUNIO '20"/>
    <x v="0"/>
    <m/>
    <m/>
    <m/>
    <x v="495"/>
    <m/>
    <m/>
    <x v="499"/>
    <n v="7"/>
    <n v="2020"/>
    <x v="0"/>
    <x v="0"/>
    <s v="JINGJIANG / CHINA"/>
    <x v="3"/>
    <m/>
    <x v="1"/>
    <x v="742"/>
    <d v="2020-06-08T00:00:00"/>
    <s v="MV DORYSIA"/>
    <x v="259"/>
    <x v="0"/>
    <m/>
    <s v="NO APLICA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039"/>
    <m/>
    <x v="835"/>
    <m/>
    <m/>
    <m/>
    <s v="CERRADO"/>
    <n v="206569"/>
    <x v="14"/>
    <x v="25"/>
    <x v="455"/>
    <d v="2020-07-03T00:00:00"/>
    <n v="120"/>
    <s v="días BL"/>
    <s v="TGOA-DAP-200610-10"/>
    <m/>
    <d v="2020-09-30T00:00:00"/>
    <s v="CANCELADO"/>
    <s v="CFR"/>
    <m/>
    <x v="1"/>
    <n v="338.6"/>
    <m/>
    <x v="903"/>
    <x v="0"/>
    <s v="Granel "/>
    <m/>
    <s v="Granel Sólido"/>
    <m/>
    <m/>
    <s v="JUNIO '20"/>
    <x v="0"/>
    <m/>
    <m/>
    <m/>
    <x v="478"/>
    <m/>
    <m/>
    <x v="498"/>
    <n v="7"/>
    <n v="2020"/>
    <x v="0"/>
    <x v="0"/>
    <s v="JINGJIANG / CHINA"/>
    <x v="0"/>
    <m/>
    <x v="5"/>
    <x v="1"/>
    <d v="2020-06-08T00:00:00"/>
    <s v="MV DORYSIA"/>
    <x v="259"/>
    <x v="0"/>
    <m/>
    <s v="NO APLICA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040"/>
    <m/>
    <x v="836"/>
    <m/>
    <m/>
    <m/>
    <s v="CERRADO"/>
    <n v="206569"/>
    <x v="14"/>
    <x v="25"/>
    <x v="455"/>
    <d v="2020-07-03T00:00:00"/>
    <n v="120"/>
    <s v="días BL"/>
    <s v="TGOA-DAP-200610-11"/>
    <m/>
    <d v="2020-09-30T00:00:00"/>
    <s v="CANCELADO"/>
    <s v="CFR"/>
    <m/>
    <x v="35"/>
    <n v="338.6"/>
    <m/>
    <x v="904"/>
    <x v="0"/>
    <s v="Granel "/>
    <m/>
    <s v="Granel Sólido"/>
    <m/>
    <m/>
    <s v="JUNIO '20"/>
    <x v="0"/>
    <m/>
    <m/>
    <m/>
    <x v="474"/>
    <m/>
    <m/>
    <x v="474"/>
    <n v="7"/>
    <n v="2020"/>
    <x v="0"/>
    <x v="0"/>
    <s v="JINGJIANG / CHINA"/>
    <x v="2"/>
    <m/>
    <x v="1"/>
    <x v="2"/>
    <d v="2020-06-08T00:00:00"/>
    <s v="MV DORYSIA"/>
    <x v="259"/>
    <x v="0"/>
    <m/>
    <s v="NO APLICA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041"/>
    <m/>
    <x v="837"/>
    <m/>
    <m/>
    <m/>
    <s v="CERRADO"/>
    <n v="206569"/>
    <x v="14"/>
    <x v="25"/>
    <x v="455"/>
    <d v="2020-07-03T00:00:00"/>
    <n v="120"/>
    <s v="días BL"/>
    <s v="TGOA-DAP-200610-12"/>
    <m/>
    <d v="2020-09-30T00:00:00"/>
    <s v="CANCELADO"/>
    <s v="CFR"/>
    <m/>
    <x v="7"/>
    <n v="338.6"/>
    <m/>
    <x v="905"/>
    <x v="0"/>
    <s v="Granel "/>
    <m/>
    <s v="Granel Sólido"/>
    <m/>
    <m/>
    <s v="JUNIO '20"/>
    <x v="0"/>
    <m/>
    <m/>
    <m/>
    <x v="495"/>
    <m/>
    <m/>
    <x v="499"/>
    <n v="7"/>
    <n v="2020"/>
    <x v="0"/>
    <x v="0"/>
    <s v="JINGJIANG / CHINA"/>
    <x v="3"/>
    <m/>
    <x v="1"/>
    <x v="11"/>
    <d v="2020-06-08T00:00:00"/>
    <s v="MV DORYSIA"/>
    <x v="259"/>
    <x v="0"/>
    <m/>
    <s v="NO APLICA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042"/>
    <m/>
    <x v="838"/>
    <m/>
    <m/>
    <m/>
    <s v="CERRADO"/>
    <n v="206569"/>
    <x v="14"/>
    <x v="25"/>
    <x v="455"/>
    <d v="2020-07-03T00:00:00"/>
    <n v="120"/>
    <s v="días BL"/>
    <s v="TGOA-DAP-200610-13"/>
    <m/>
    <d v="2020-09-30T00:00:00"/>
    <s v="CANCELADO"/>
    <s v="CFR"/>
    <m/>
    <x v="99"/>
    <n v="338.6"/>
    <m/>
    <x v="906"/>
    <x v="0"/>
    <s v="Granel "/>
    <m/>
    <s v="Granel Sólido"/>
    <m/>
    <m/>
    <s v="JUNIO '20"/>
    <x v="0"/>
    <m/>
    <m/>
    <m/>
    <x v="514"/>
    <m/>
    <m/>
    <x v="521"/>
    <n v="7"/>
    <n v="2020"/>
    <x v="0"/>
    <x v="0"/>
    <s v="JINGJIANG / CHINA"/>
    <x v="4"/>
    <m/>
    <x v="2"/>
    <x v="12"/>
    <d v="2020-06-08T00:00:00"/>
    <s v="MV DORYSIA"/>
    <x v="259"/>
    <x v="0"/>
    <m/>
    <s v="NO APLICA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C"/>
    <x v="0"/>
    <x v="0"/>
    <m/>
    <m/>
    <x v="1043"/>
    <m/>
    <x v="839"/>
    <m/>
    <m/>
    <m/>
    <s v="CERRADO"/>
    <n v="206573"/>
    <x v="5"/>
    <x v="41"/>
    <x v="456"/>
    <d v="2020-07-16T00:00:00"/>
    <n v="150"/>
    <s v="días BL"/>
    <s v="B7FE-20-3015-ANPE-01"/>
    <m/>
    <d v="2021-01-06T00:00:00"/>
    <s v="CANCELADO"/>
    <s v="CFR"/>
    <m/>
    <x v="95"/>
    <n v="218.6"/>
    <m/>
    <x v="907"/>
    <x v="0"/>
    <s v="Granel "/>
    <m/>
    <s v="Granel Sólido"/>
    <m/>
    <m/>
    <s v="JULIO '20"/>
    <x v="0"/>
    <m/>
    <m/>
    <m/>
    <x v="515"/>
    <m/>
    <m/>
    <x v="522"/>
    <n v="9"/>
    <n v="2020"/>
    <x v="0"/>
    <x v="0"/>
    <s v="RIGA / LETONIA"/>
    <x v="0"/>
    <m/>
    <x v="1"/>
    <x v="19"/>
    <d v="2020-08-09T00:00:00"/>
    <s v="MV FEDERAL SPEY"/>
    <x v="8"/>
    <x v="0"/>
    <m/>
    <s v="NO APLICA"/>
    <s v="ORIGEN"/>
    <m/>
    <m/>
    <m/>
    <x v="0"/>
    <n v="32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C"/>
    <x v="0"/>
    <x v="0"/>
    <m/>
    <m/>
    <x v="1044"/>
    <m/>
    <x v="840"/>
    <m/>
    <m/>
    <m/>
    <s v="CERRADO"/>
    <n v="206573"/>
    <x v="5"/>
    <x v="41"/>
    <x v="456"/>
    <d v="2020-07-16T00:00:00"/>
    <n v="150"/>
    <s v="días BL"/>
    <s v="B7FE-20-3015-ANPE-02"/>
    <m/>
    <d v="2021-01-06T00:00:00"/>
    <s v="CANCELADO"/>
    <s v="CFR"/>
    <m/>
    <x v="426"/>
    <n v="218.6"/>
    <m/>
    <x v="908"/>
    <x v="0"/>
    <s v="Granel "/>
    <m/>
    <s v="Granel Sólido"/>
    <m/>
    <m/>
    <s v="JULIO '20"/>
    <x v="0"/>
    <m/>
    <m/>
    <m/>
    <x v="516"/>
    <m/>
    <m/>
    <x v="523"/>
    <n v="9"/>
    <n v="2020"/>
    <x v="0"/>
    <x v="0"/>
    <s v="RIGA / LETONIA"/>
    <x v="1"/>
    <m/>
    <x v="1"/>
    <x v="44"/>
    <d v="2020-08-09T00:00:00"/>
    <s v="MV FEDERAL SPEY"/>
    <x v="8"/>
    <x v="0"/>
    <m/>
    <s v="NO APLICA"/>
    <s v="ORIGEN"/>
    <m/>
    <m/>
    <m/>
    <x v="0"/>
    <n v="35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C"/>
    <x v="0"/>
    <x v="0"/>
    <m/>
    <m/>
    <x v="1045"/>
    <m/>
    <x v="841"/>
    <m/>
    <m/>
    <m/>
    <s v="CERRADO"/>
    <n v="206573"/>
    <x v="5"/>
    <x v="41"/>
    <x v="456"/>
    <d v="2020-07-16T00:00:00"/>
    <n v="150"/>
    <s v="días BL"/>
    <s v="B7FE-20-3015-ANPE-03"/>
    <m/>
    <d v="2021-01-06T00:00:00"/>
    <s v="CANCELADO"/>
    <s v="CFR"/>
    <m/>
    <x v="427"/>
    <n v="218.6"/>
    <m/>
    <x v="909"/>
    <x v="0"/>
    <s v="Granel "/>
    <m/>
    <s v="Granel Sólido"/>
    <m/>
    <m/>
    <s v="JULIO '20"/>
    <x v="0"/>
    <m/>
    <m/>
    <m/>
    <x v="517"/>
    <m/>
    <m/>
    <x v="524"/>
    <n v="9"/>
    <n v="2020"/>
    <x v="0"/>
    <x v="0"/>
    <s v="RIGA / LETONIA"/>
    <x v="2"/>
    <m/>
    <x v="1"/>
    <x v="20"/>
    <d v="2020-08-09T00:00:00"/>
    <s v="MV FEDERAL SPEY"/>
    <x v="8"/>
    <x v="0"/>
    <m/>
    <s v="NO APLICA"/>
    <s v="ORIGEN"/>
    <m/>
    <m/>
    <m/>
    <x v="0"/>
    <n v="37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C"/>
    <x v="0"/>
    <x v="0"/>
    <m/>
    <m/>
    <x v="1046"/>
    <m/>
    <x v="842"/>
    <m/>
    <m/>
    <m/>
    <s v="CERRADO"/>
    <n v="206573"/>
    <x v="5"/>
    <x v="41"/>
    <x v="456"/>
    <d v="2020-07-16T00:00:00"/>
    <n v="150"/>
    <s v="días BL"/>
    <s v="B7FE-20-3015-ANPE-04"/>
    <m/>
    <d v="2021-01-06T00:00:00"/>
    <s v="CANCELADO"/>
    <s v="CFR"/>
    <m/>
    <x v="428"/>
    <n v="218.6"/>
    <m/>
    <x v="910"/>
    <x v="0"/>
    <s v="Granel "/>
    <m/>
    <s v="Granel Sólido"/>
    <m/>
    <m/>
    <s v="JULIO '20"/>
    <x v="0"/>
    <m/>
    <m/>
    <m/>
    <x v="508"/>
    <m/>
    <m/>
    <x v="525"/>
    <n v="9"/>
    <n v="2020"/>
    <x v="0"/>
    <x v="0"/>
    <s v="RIGA / LETONIA"/>
    <x v="3"/>
    <m/>
    <x v="1"/>
    <x v="45"/>
    <d v="2020-08-09T00:00:00"/>
    <s v="MV FEDERAL SPEY"/>
    <x v="8"/>
    <x v="0"/>
    <m/>
    <s v="NO APLICA"/>
    <s v="ORIGEN"/>
    <m/>
    <m/>
    <m/>
    <x v="0"/>
    <n v="41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C"/>
    <x v="0"/>
    <x v="0"/>
    <m/>
    <m/>
    <x v="1047"/>
    <m/>
    <x v="843"/>
    <m/>
    <m/>
    <m/>
    <s v="CERRADO"/>
    <n v="206573"/>
    <x v="5"/>
    <x v="41"/>
    <x v="456"/>
    <d v="2020-07-16T00:00:00"/>
    <n v="150"/>
    <s v="días BL"/>
    <s v="B7FE-20-3015-ANPE-05"/>
    <m/>
    <d v="2021-01-06T00:00:00"/>
    <s v="CANCELADO"/>
    <s v="CFR"/>
    <m/>
    <x v="429"/>
    <n v="218.6"/>
    <m/>
    <x v="911"/>
    <x v="0"/>
    <s v="Granel "/>
    <m/>
    <s v="Granel Sólido"/>
    <m/>
    <m/>
    <s v="JULIO '20"/>
    <x v="0"/>
    <m/>
    <m/>
    <m/>
    <x v="518"/>
    <m/>
    <m/>
    <x v="526"/>
    <n v="9"/>
    <n v="2020"/>
    <x v="0"/>
    <x v="0"/>
    <s v="RIGA / LETONIA"/>
    <x v="4"/>
    <m/>
    <x v="2"/>
    <x v="1"/>
    <d v="2020-08-09T00:00:00"/>
    <s v="MV FEDERAL SPEY"/>
    <x v="8"/>
    <x v="0"/>
    <m/>
    <s v="NO APLICA"/>
    <s v="ORIGEN"/>
    <m/>
    <m/>
    <m/>
    <x v="0"/>
    <n v="43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048"/>
    <m/>
    <x v="844"/>
    <m/>
    <m/>
    <m/>
    <s v="CERRADO"/>
    <n v="206597"/>
    <x v="0"/>
    <x v="24"/>
    <x v="457"/>
    <d v="2020-07-15T00:00:00"/>
    <n v="180"/>
    <s v="días BL"/>
    <s v="20-07-1165-3"/>
    <m/>
    <d v="2021-01-29T00:00:00"/>
    <s v="CANCELADO"/>
    <s v="CFR"/>
    <m/>
    <x v="250"/>
    <n v="235"/>
    <m/>
    <x v="912"/>
    <x v="0"/>
    <s v="Granel "/>
    <m/>
    <s v="Granel Sólido"/>
    <m/>
    <m/>
    <s v="JULIO '20"/>
    <x v="0"/>
    <m/>
    <m/>
    <m/>
    <x v="515"/>
    <m/>
    <m/>
    <x v="522"/>
    <n v="9"/>
    <n v="2020"/>
    <x v="0"/>
    <x v="0"/>
    <s v="ST. PETERSBURG / RUSSIA"/>
    <x v="0"/>
    <m/>
    <x v="1"/>
    <x v="743"/>
    <d v="2020-08-02T00:00:00"/>
    <s v="MV FEDERAL SPEY"/>
    <x v="8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049"/>
    <m/>
    <x v="845"/>
    <m/>
    <m/>
    <m/>
    <s v="CERRADO"/>
    <n v="206597"/>
    <x v="0"/>
    <x v="24"/>
    <x v="457"/>
    <d v="2020-07-15T00:00:00"/>
    <n v="180"/>
    <s v="días BL"/>
    <s v="20-07-1165-4"/>
    <m/>
    <d v="2021-01-29T00:00:00"/>
    <s v="CANCELADO"/>
    <s v="CFR"/>
    <m/>
    <x v="377"/>
    <n v="235"/>
    <m/>
    <x v="913"/>
    <x v="0"/>
    <s v="Granel "/>
    <m/>
    <s v="Granel Sólido"/>
    <m/>
    <m/>
    <s v="JULIO '20"/>
    <x v="0"/>
    <m/>
    <m/>
    <m/>
    <x v="517"/>
    <m/>
    <m/>
    <x v="524"/>
    <n v="9"/>
    <n v="2020"/>
    <x v="0"/>
    <x v="0"/>
    <s v="ST. PETERSBURG / RUSSIA"/>
    <x v="2"/>
    <m/>
    <x v="6"/>
    <x v="744"/>
    <d v="2020-08-02T00:00:00"/>
    <s v="MV FEDERAL SPEY"/>
    <x v="8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050"/>
    <m/>
    <x v="846"/>
    <m/>
    <m/>
    <m/>
    <s v="CERRADO"/>
    <n v="206597"/>
    <x v="0"/>
    <x v="24"/>
    <x v="457"/>
    <d v="2020-07-15T00:00:00"/>
    <n v="180"/>
    <s v="días BL"/>
    <s v="20-07-1165-1"/>
    <m/>
    <d v="2021-01-29T00:00:00"/>
    <s v="CANCELADO"/>
    <s v="CFR"/>
    <m/>
    <x v="53"/>
    <n v="235"/>
    <m/>
    <x v="914"/>
    <x v="0"/>
    <s v="Granel "/>
    <m/>
    <s v="Granel Sólido"/>
    <m/>
    <m/>
    <s v="JULIO '20"/>
    <x v="0"/>
    <m/>
    <m/>
    <m/>
    <x v="508"/>
    <m/>
    <m/>
    <x v="525"/>
    <n v="9"/>
    <n v="2020"/>
    <x v="0"/>
    <x v="0"/>
    <s v="ST. PETERSBURG / RUSSIA"/>
    <x v="3"/>
    <m/>
    <x v="1"/>
    <x v="745"/>
    <d v="2020-08-02T00:00:00"/>
    <s v="MV FEDERAL SPEY"/>
    <x v="8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051"/>
    <m/>
    <x v="847"/>
    <m/>
    <m/>
    <m/>
    <s v="CERRADO"/>
    <n v="206597"/>
    <x v="0"/>
    <x v="24"/>
    <x v="457"/>
    <d v="2020-07-15T00:00:00"/>
    <n v="180"/>
    <s v="días BL"/>
    <s v="20-07-1165-2"/>
    <m/>
    <d v="2021-01-29T00:00:00"/>
    <s v="CANCELADO"/>
    <s v="CFR"/>
    <m/>
    <x v="430"/>
    <n v="235"/>
    <m/>
    <x v="915"/>
    <x v="0"/>
    <s v="Granel "/>
    <m/>
    <s v="Granel Sólido"/>
    <m/>
    <m/>
    <s v="JULIO '20"/>
    <x v="0"/>
    <m/>
    <m/>
    <m/>
    <x v="518"/>
    <m/>
    <m/>
    <x v="526"/>
    <n v="9"/>
    <n v="2020"/>
    <x v="0"/>
    <x v="0"/>
    <s v="ST. PETERSBURG / RUSSIA"/>
    <x v="4"/>
    <m/>
    <x v="2"/>
    <x v="746"/>
    <d v="2020-08-02T00:00:00"/>
    <s v="MV FEDERAL SPEY"/>
    <x v="8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052"/>
    <m/>
    <x v="848"/>
    <m/>
    <m/>
    <m/>
    <s v="CERRADO"/>
    <n v="207951"/>
    <x v="6"/>
    <x v="39"/>
    <x v="458"/>
    <d v="2020-07-09T00:00:00"/>
    <s v="CAD"/>
    <m/>
    <s v="#450-A/2020"/>
    <m/>
    <d v="2020-08-17T00:00:00"/>
    <s v="CANCELADO"/>
    <s v="CFR"/>
    <m/>
    <x v="42"/>
    <n v="254"/>
    <m/>
    <x v="916"/>
    <x v="0"/>
    <s v="Granel "/>
    <m/>
    <s v="Granel Sólido"/>
    <m/>
    <m/>
    <s v="2H JUL - AGO '20"/>
    <x v="0"/>
    <m/>
    <m/>
    <m/>
    <x v="515"/>
    <m/>
    <m/>
    <x v="522"/>
    <n v="9"/>
    <n v="2020"/>
    <x v="0"/>
    <x v="0"/>
    <s v="ST. PETERSBURG / RUSSIA"/>
    <x v="0"/>
    <m/>
    <x v="2"/>
    <x v="50"/>
    <d v="2020-08-07T00:00:00"/>
    <s v="MV FEDERAL SPEY"/>
    <x v="8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053"/>
    <m/>
    <x v="849"/>
    <m/>
    <m/>
    <m/>
    <s v="CERRADO"/>
    <n v="207951"/>
    <x v="6"/>
    <x v="39"/>
    <x v="458"/>
    <d v="2020-07-09T00:00:00"/>
    <s v="CAD"/>
    <m/>
    <s v="#450-B/2020"/>
    <m/>
    <d v="2020-08-17T00:00:00"/>
    <s v="CANCELADO"/>
    <s v="CFR"/>
    <m/>
    <x v="431"/>
    <n v="254"/>
    <m/>
    <x v="917"/>
    <x v="0"/>
    <s v="Granel "/>
    <m/>
    <s v="Granel Sólido"/>
    <m/>
    <m/>
    <s v="2H JUL - AGO '20"/>
    <x v="0"/>
    <m/>
    <m/>
    <m/>
    <x v="517"/>
    <m/>
    <m/>
    <x v="524"/>
    <n v="9"/>
    <n v="2020"/>
    <x v="0"/>
    <x v="0"/>
    <s v="ST. PETERSBURG / RUSSIA"/>
    <x v="2"/>
    <m/>
    <x v="6"/>
    <x v="17"/>
    <d v="2020-08-07T00:00:00"/>
    <s v="MV FEDERAL SPEY"/>
    <x v="8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054"/>
    <m/>
    <x v="850"/>
    <m/>
    <m/>
    <m/>
    <s v="CERRADO"/>
    <n v="207951"/>
    <x v="6"/>
    <x v="39"/>
    <x v="458"/>
    <d v="2020-07-09T00:00:00"/>
    <s v="CAD"/>
    <m/>
    <s v="#450-D/2020"/>
    <m/>
    <d v="2020-08-17T00:00:00"/>
    <s v="CANCELADO"/>
    <s v="CFR"/>
    <m/>
    <x v="1"/>
    <n v="254"/>
    <m/>
    <x v="918"/>
    <x v="0"/>
    <s v="Granel "/>
    <m/>
    <s v="Granel Sólido"/>
    <m/>
    <m/>
    <s v="2H JUL - AGO '20"/>
    <x v="0"/>
    <m/>
    <m/>
    <m/>
    <x v="508"/>
    <m/>
    <m/>
    <x v="525"/>
    <n v="9"/>
    <n v="2020"/>
    <x v="0"/>
    <x v="0"/>
    <s v="ST. PETERSBURG / RUSSIA"/>
    <x v="3"/>
    <m/>
    <x v="1"/>
    <x v="18"/>
    <d v="2020-08-07T00:00:00"/>
    <s v="MV FEDERAL SPEY"/>
    <x v="8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055"/>
    <m/>
    <x v="851"/>
    <m/>
    <m/>
    <m/>
    <s v="CERRADO"/>
    <n v="207951"/>
    <x v="6"/>
    <x v="39"/>
    <x v="458"/>
    <d v="2020-07-09T00:00:00"/>
    <s v="CAD"/>
    <m/>
    <s v="#450-C/2020"/>
    <m/>
    <d v="2020-08-17T00:00:00"/>
    <s v="CANCELADO"/>
    <s v="CFR"/>
    <m/>
    <x v="7"/>
    <n v="254"/>
    <m/>
    <x v="919"/>
    <x v="17"/>
    <s v="Granel "/>
    <m/>
    <s v="Granel Sólido"/>
    <m/>
    <m/>
    <s v="2H JUL - AGO '20"/>
    <x v="0"/>
    <m/>
    <m/>
    <m/>
    <x v="518"/>
    <m/>
    <m/>
    <x v="526"/>
    <n v="9"/>
    <n v="2020"/>
    <x v="0"/>
    <x v="0"/>
    <s v="ST. PETERSBURG / RUSSIA"/>
    <x v="4"/>
    <m/>
    <x v="2"/>
    <x v="51"/>
    <d v="2020-08-07T00:00:00"/>
    <s v="MV FEDERAL SPEY"/>
    <x v="8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056"/>
    <m/>
    <x v="852"/>
    <m/>
    <m/>
    <m/>
    <s v="CERRADO"/>
    <n v="206597"/>
    <x v="0"/>
    <x v="37"/>
    <x v="459"/>
    <d v="2020-07-09T00:00:00"/>
    <n v="150"/>
    <s v="días BL"/>
    <s v="I-31753"/>
    <m/>
    <d v="2020-11-13T00:00:00"/>
    <s v="CANCELADO"/>
    <s v="CFR"/>
    <m/>
    <x v="54"/>
    <n v="240"/>
    <m/>
    <x v="920"/>
    <x v="0"/>
    <s v="Granel "/>
    <m/>
    <s v="Granel Sólido"/>
    <m/>
    <m/>
    <s v="END JUN '20 - JUL '20"/>
    <x v="0"/>
    <m/>
    <m/>
    <m/>
    <x v="519"/>
    <m/>
    <m/>
    <x v="527"/>
    <n v="8"/>
    <n v="2020"/>
    <x v="0"/>
    <x v="0"/>
    <s v="KLAIPEDA / LITUANIA"/>
    <x v="0"/>
    <m/>
    <x v="2"/>
    <x v="266"/>
    <d v="2020-06-18T00:00:00"/>
    <s v="MV SPAR LYNX"/>
    <x v="272"/>
    <x v="0"/>
    <m/>
    <s v="NO APLICA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T-S"/>
    <x v="0"/>
    <x v="0"/>
    <m/>
    <m/>
    <x v="1057"/>
    <m/>
    <x v="852"/>
    <m/>
    <m/>
    <m/>
    <s v="CERRADO"/>
    <n v="206597"/>
    <x v="115"/>
    <x v="53"/>
    <x v="460"/>
    <s v="AGOSTO"/>
    <n v="30"/>
    <s v="días BL"/>
    <s v="F200-00042665"/>
    <m/>
    <d v="2020-09-11T00:00:00"/>
    <s v="CANCELADO"/>
    <s v="CFR"/>
    <m/>
    <x v="28"/>
    <n v="249.9"/>
    <m/>
    <x v="921"/>
    <x v="31"/>
    <s v="Contenedor 20'"/>
    <m/>
    <s v="25 kg"/>
    <m/>
    <m/>
    <s v="AGOSTO '20"/>
    <x v="0"/>
    <m/>
    <m/>
    <m/>
    <x v="520"/>
    <m/>
    <m/>
    <x v="528"/>
    <n v="8"/>
    <n v="2020"/>
    <x v="0"/>
    <x v="0"/>
    <s v="CARTAGENA / COLOMBIA"/>
    <x v="0"/>
    <m/>
    <x v="2"/>
    <x v="747"/>
    <d v="2020-08-13T00:00:00"/>
    <s v="POHORJE"/>
    <x v="244"/>
    <x v="9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T-S"/>
    <x v="0"/>
    <x v="0"/>
    <m/>
    <m/>
    <x v="1058"/>
    <m/>
    <x v="853"/>
    <m/>
    <m/>
    <m/>
    <s v="CERRADO"/>
    <n v="208067"/>
    <x v="115"/>
    <x v="53"/>
    <x v="461"/>
    <s v="AGOSTO"/>
    <n v="30"/>
    <s v="días BL"/>
    <s v="F200-00042666"/>
    <m/>
    <d v="2020-09-11T00:00:00"/>
    <s v="CANCELADO"/>
    <s v="CFR"/>
    <m/>
    <x v="28"/>
    <n v="249.9"/>
    <m/>
    <x v="921"/>
    <x v="31"/>
    <s v="Contenedor 20'"/>
    <m/>
    <s v="25 kg"/>
    <m/>
    <m/>
    <s v="AGOSTO '20"/>
    <x v="0"/>
    <m/>
    <m/>
    <m/>
    <x v="520"/>
    <m/>
    <m/>
    <x v="518"/>
    <n v="8"/>
    <n v="2020"/>
    <x v="0"/>
    <x v="0"/>
    <s v="CARTAGENA / COLOMBIA"/>
    <x v="0"/>
    <m/>
    <x v="1"/>
    <x v="748"/>
    <d v="2020-08-13T00:00:00"/>
    <s v="POHORJE"/>
    <x v="244"/>
    <x v="9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P"/>
    <x v="0"/>
    <x v="0"/>
    <m/>
    <m/>
    <x v="1059"/>
    <m/>
    <x v="854"/>
    <m/>
    <m/>
    <m/>
    <s v="CERRADO"/>
    <n v="208510"/>
    <x v="10"/>
    <x v="11"/>
    <x v="462"/>
    <d v="2020-07-23T00:00:00"/>
    <n v="90"/>
    <s v="días BL"/>
    <s v="ROM20021305-1"/>
    <m/>
    <d v="2020-11-16T00:00:00"/>
    <s v="CANCELADO"/>
    <s v="CIF"/>
    <m/>
    <x v="432"/>
    <n v="825"/>
    <m/>
    <x v="922"/>
    <x v="8"/>
    <s v="Contenedor 20'"/>
    <m/>
    <s v="Bidones 35kg"/>
    <m/>
    <m/>
    <s v="1H AGOSTO '20"/>
    <x v="0"/>
    <m/>
    <m/>
    <m/>
    <x v="521"/>
    <m/>
    <m/>
    <x v="529"/>
    <n v="10"/>
    <n v="2020"/>
    <x v="0"/>
    <x v="0"/>
    <s v="XIAMEN / CHINA"/>
    <x v="0"/>
    <m/>
    <x v="5"/>
    <x v="749"/>
    <d v="2020-08-18T00:00:00"/>
    <s v="GUNDE MAERSK"/>
    <x v="193"/>
    <x v="6"/>
    <m/>
    <s v="REALIZADO"/>
    <s v="ORIGEN"/>
    <m/>
    <m/>
    <m/>
    <x v="0"/>
    <d v="2020-10-15T00:00:00"/>
    <m/>
    <x v="0"/>
    <x v="0"/>
    <m/>
    <m/>
    <x v="0"/>
    <e v="#REF!"/>
    <m/>
    <m/>
    <m/>
    <m/>
    <m/>
    <x v="0"/>
    <s v="anulada: 8000001025"/>
    <m/>
    <m/>
    <m/>
    <s v="NACIONALIZADO"/>
    <m/>
    <m/>
    <m/>
  </r>
  <r>
    <n v="2020"/>
    <s v="S-P"/>
    <x v="0"/>
    <x v="0"/>
    <m/>
    <m/>
    <x v="1060"/>
    <m/>
    <x v="855"/>
    <m/>
    <m/>
    <m/>
    <s v="CERRADO"/>
    <n v="208510"/>
    <x v="10"/>
    <x v="11"/>
    <x v="463"/>
    <d v="2020-07-23T00:00:00"/>
    <n v="90"/>
    <s v="días BL"/>
    <s v="ROM20021305-2"/>
    <m/>
    <d v="2020-11-21T00:00:00"/>
    <s v="CANCELADO"/>
    <s v="CIF"/>
    <m/>
    <x v="289"/>
    <n v="825"/>
    <m/>
    <x v="923"/>
    <x v="15"/>
    <s v="Contenedor 20'"/>
    <m/>
    <s v="Bidones 35kg"/>
    <m/>
    <m/>
    <s v="2H AGOSTO '20"/>
    <x v="0"/>
    <m/>
    <m/>
    <m/>
    <x v="522"/>
    <m/>
    <m/>
    <x v="530"/>
    <n v="10"/>
    <n v="2020"/>
    <x v="0"/>
    <x v="0"/>
    <s v="XIAMEN / CHINA"/>
    <x v="0"/>
    <m/>
    <x v="5"/>
    <x v="750"/>
    <d v="2020-08-23T00:00:00"/>
    <s v="GUNHILDE MAERSK"/>
    <x v="193"/>
    <x v="6"/>
    <m/>
    <s v="REALIZADO"/>
    <s v="ORIGEN"/>
    <m/>
    <m/>
    <m/>
    <x v="0"/>
    <d v="2020-10-29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T-S"/>
    <x v="0"/>
    <x v="0"/>
    <m/>
    <m/>
    <x v="1061"/>
    <m/>
    <x v="856"/>
    <m/>
    <m/>
    <m/>
    <s v="CERRADO"/>
    <n v="208510"/>
    <x v="116"/>
    <x v="53"/>
    <x v="464"/>
    <d v="2021-07-15T00:00:00"/>
    <n v="30"/>
    <s v="días BL"/>
    <s v="F200-00042648"/>
    <m/>
    <d v="2020-08-28T00:00:00"/>
    <s v="CANCELADO"/>
    <s v="CFR"/>
    <m/>
    <x v="415"/>
    <n v="220.34"/>
    <m/>
    <x v="875"/>
    <x v="21"/>
    <s v="Contenedor 20'"/>
    <m/>
    <s v="Bigbag"/>
    <m/>
    <m/>
    <s v="JULIO '20"/>
    <x v="0"/>
    <m/>
    <m/>
    <m/>
    <x v="523"/>
    <m/>
    <m/>
    <x v="531"/>
    <n v="8"/>
    <n v="2020"/>
    <x v="0"/>
    <x v="0"/>
    <s v="CARTAGENA / COLOMBIA"/>
    <x v="0"/>
    <m/>
    <x v="1"/>
    <x v="751"/>
    <d v="2020-07-31T00:00:00"/>
    <s v="POHORJE"/>
    <x v="244"/>
    <x v="9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T-S"/>
    <x v="0"/>
    <x v="0"/>
    <m/>
    <m/>
    <x v="1062"/>
    <m/>
    <x v="857"/>
    <m/>
    <m/>
    <m/>
    <s v="CERRADO"/>
    <n v="208073"/>
    <x v="115"/>
    <x v="53"/>
    <x v="465"/>
    <s v="JULIO"/>
    <n v="30"/>
    <s v="días BL"/>
    <s v="F200-00042649"/>
    <m/>
    <d v="2020-08-28T00:00:00"/>
    <s v="CANCELADO"/>
    <s v="CFR"/>
    <m/>
    <x v="92"/>
    <n v="220.34"/>
    <m/>
    <x v="924"/>
    <x v="2"/>
    <s v="Contenedor 20'"/>
    <m/>
    <s v="25 kg"/>
    <m/>
    <m/>
    <s v="JULIO '20"/>
    <x v="0"/>
    <m/>
    <m/>
    <m/>
    <x v="523"/>
    <m/>
    <m/>
    <x v="532"/>
    <n v="8"/>
    <n v="2020"/>
    <x v="0"/>
    <x v="0"/>
    <s v="CARTAGENA / COLOMBIA"/>
    <x v="0"/>
    <m/>
    <x v="2"/>
    <x v="752"/>
    <d v="2020-07-31T00:00:00"/>
    <s v="POHORJE"/>
    <x v="244"/>
    <x v="2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T-S"/>
    <x v="0"/>
    <x v="0"/>
    <m/>
    <m/>
    <x v="1063"/>
    <m/>
    <x v="858"/>
    <m/>
    <m/>
    <m/>
    <s v="CERRADO"/>
    <n v="208067"/>
    <x v="115"/>
    <x v="53"/>
    <x v="466"/>
    <s v="JULIO"/>
    <n v="30"/>
    <s v="días BL"/>
    <s v="F200-00042647"/>
    <m/>
    <d v="2020-08-28T00:00:00"/>
    <s v="CANCELADO"/>
    <s v="CFR"/>
    <m/>
    <x v="433"/>
    <n v="220.34"/>
    <m/>
    <x v="925"/>
    <x v="24"/>
    <s v="Contenedor 20'"/>
    <m/>
    <s v="25 kg"/>
    <m/>
    <m/>
    <s v="JULIO '20"/>
    <x v="0"/>
    <m/>
    <m/>
    <m/>
    <x v="519"/>
    <m/>
    <m/>
    <x v="532"/>
    <n v="8"/>
    <n v="2020"/>
    <x v="0"/>
    <x v="0"/>
    <s v="CARTAGENA / COLOMBIA"/>
    <x v="2"/>
    <m/>
    <x v="1"/>
    <x v="753"/>
    <d v="2020-07-29T00:00:00"/>
    <s v="SANTOS EXPRESS"/>
    <x v="184"/>
    <x v="9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T-S"/>
    <x v="0"/>
    <x v="0"/>
    <m/>
    <m/>
    <x v="1064"/>
    <m/>
    <x v="859"/>
    <m/>
    <m/>
    <m/>
    <s v="CERRADO"/>
    <n v="208067"/>
    <x v="115"/>
    <x v="53"/>
    <x v="467"/>
    <s v="JULIO"/>
    <n v="30"/>
    <s v="días BL"/>
    <s v="F200-00042646"/>
    <m/>
    <d v="2020-08-28T00:00:00"/>
    <s v="CANCELADO"/>
    <s v="CFR"/>
    <m/>
    <x v="433"/>
    <n v="220.34"/>
    <m/>
    <x v="925"/>
    <x v="24"/>
    <s v="Contenedor 20'"/>
    <m/>
    <s v="25 kg"/>
    <m/>
    <m/>
    <s v="JULIO '20"/>
    <x v="0"/>
    <m/>
    <m/>
    <m/>
    <x v="519"/>
    <m/>
    <m/>
    <x v="532"/>
    <n v="8"/>
    <n v="2020"/>
    <x v="0"/>
    <x v="0"/>
    <s v="CARTAGENA / COLOMBIA"/>
    <x v="2"/>
    <m/>
    <x v="6"/>
    <x v="754"/>
    <d v="2020-07-29T00:00:00"/>
    <s v="SANTOS EXPRESS"/>
    <x v="184"/>
    <x v="2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T-S"/>
    <x v="0"/>
    <x v="0"/>
    <m/>
    <m/>
    <x v="1065"/>
    <m/>
    <x v="860"/>
    <m/>
    <m/>
    <m/>
    <s v="CERRADO"/>
    <n v="208067"/>
    <x v="115"/>
    <x v="53"/>
    <x v="468"/>
    <s v="JULIO"/>
    <n v="30"/>
    <s v="días BL"/>
    <s v="F200-00042645"/>
    <m/>
    <d v="2020-08-28T00:00:00"/>
    <s v="CANCELADO"/>
    <s v="CFR"/>
    <m/>
    <x v="4"/>
    <n v="220.34"/>
    <m/>
    <x v="926"/>
    <x v="38"/>
    <s v="Contenedor 20'"/>
    <m/>
    <s v="25 kg"/>
    <m/>
    <m/>
    <s v="JULIO '20"/>
    <x v="0"/>
    <m/>
    <m/>
    <m/>
    <x v="519"/>
    <m/>
    <m/>
    <x v="532"/>
    <n v="8"/>
    <n v="2020"/>
    <x v="0"/>
    <x v="0"/>
    <s v="CARTAGENA / COLOMBIA"/>
    <x v="2"/>
    <m/>
    <x v="3"/>
    <x v="755"/>
    <d v="2020-07-29T00:00:00"/>
    <s v="SANTOS EXPRESS"/>
    <x v="184"/>
    <x v="2"/>
    <m/>
    <s v="REALIZADO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T-S"/>
    <x v="0"/>
    <x v="0"/>
    <m/>
    <m/>
    <x v="1066"/>
    <m/>
    <x v="861"/>
    <m/>
    <m/>
    <m/>
    <s v="CERRADO"/>
    <n v="208067"/>
    <x v="115"/>
    <x v="53"/>
    <x v="469"/>
    <s v="JULIO"/>
    <n v="30"/>
    <s v="días BL"/>
    <s v="F200-00042664"/>
    <m/>
    <d v="2020-09-13T00:00:00"/>
    <s v="CANCELADO"/>
    <s v="CFR"/>
    <m/>
    <x v="8"/>
    <n v="220.34"/>
    <m/>
    <x v="927"/>
    <x v="5"/>
    <s v="Contenedor 20'"/>
    <m/>
    <s v="25 kg"/>
    <m/>
    <m/>
    <s v="JULIO '20"/>
    <x v="0"/>
    <m/>
    <m/>
    <m/>
    <x v="504"/>
    <m/>
    <m/>
    <x v="514"/>
    <n v="9"/>
    <n v="2020"/>
    <x v="0"/>
    <x v="0"/>
    <s v="CARTAGENA / COLOMBIA"/>
    <x v="4"/>
    <m/>
    <x v="2"/>
    <x v="756"/>
    <d v="2020-08-14T00:00:00"/>
    <s v="POHORJE"/>
    <x v="129"/>
    <x v="2"/>
    <m/>
    <s v="REALIZADO"/>
    <s v="DESTINO"/>
    <m/>
    <m/>
    <m/>
    <x v="0"/>
    <d v="2020-10-09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1067"/>
    <m/>
    <x v="862"/>
    <m/>
    <m/>
    <m/>
    <s v="CERRADO"/>
    <n v="206914"/>
    <x v="12"/>
    <x v="19"/>
    <x v="470"/>
    <d v="2020-07-23T00:00:00"/>
    <n v="90"/>
    <s v="días BL"/>
    <s v="SG-MSL-12329-26A"/>
    <m/>
    <d v="2020-11-13T00:00:00"/>
    <s v="CANCELADO"/>
    <s v="CFR"/>
    <m/>
    <x v="323"/>
    <n v="107"/>
    <m/>
    <x v="928"/>
    <x v="15"/>
    <s v="Contenedor 40'"/>
    <m/>
    <s v="25 kg"/>
    <m/>
    <m/>
    <s v="1H AGOSTO '20"/>
    <x v="0"/>
    <m/>
    <m/>
    <m/>
    <x v="504"/>
    <m/>
    <m/>
    <x v="533"/>
    <n v="9"/>
    <n v="2020"/>
    <x v="0"/>
    <x v="0"/>
    <s v="QINGDAO / CHINA"/>
    <x v="0"/>
    <m/>
    <x v="5"/>
    <x v="757"/>
    <d v="2020-08-15T00:00:00"/>
    <s v="CAROLINE MAERSK"/>
    <x v="193"/>
    <x v="6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1068"/>
    <m/>
    <x v="863"/>
    <m/>
    <m/>
    <m/>
    <s v="CERRADO"/>
    <n v="206914"/>
    <x v="12"/>
    <x v="19"/>
    <x v="470"/>
    <d v="2020-07-23T00:00:00"/>
    <n v="90"/>
    <s v="días BL"/>
    <s v="SG-MSL-12329-26B"/>
    <m/>
    <d v="2020-11-20T00:00:00"/>
    <s v="CANCELADO"/>
    <s v="CFR"/>
    <m/>
    <x v="335"/>
    <n v="107"/>
    <m/>
    <x v="929"/>
    <x v="10"/>
    <s v="Contenedor 40'"/>
    <m/>
    <s v="25 kg"/>
    <m/>
    <m/>
    <s v="2H AGOSTO '20"/>
    <x v="0"/>
    <m/>
    <m/>
    <m/>
    <x v="524"/>
    <m/>
    <m/>
    <x v="534"/>
    <n v="10"/>
    <n v="2020"/>
    <x v="0"/>
    <x v="0"/>
    <s v="QINGDAO / CHINA"/>
    <x v="0"/>
    <m/>
    <x v="2"/>
    <x v="758"/>
    <d v="2020-08-19T00:00:00"/>
    <s v="CHASTINE MAERSK"/>
    <x v="222"/>
    <x v="6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1069"/>
    <m/>
    <x v="864"/>
    <m/>
    <m/>
    <m/>
    <s v="CERRADO"/>
    <n v="206914"/>
    <x v="12"/>
    <x v="19"/>
    <x v="470"/>
    <d v="2020-07-23T00:00:00"/>
    <n v="90"/>
    <s v="días BL"/>
    <s v="SG-MSL-12329-26C"/>
    <m/>
    <d v="2020-11-27T00:00:00"/>
    <s v="CANCELADO"/>
    <s v="CFR"/>
    <m/>
    <x v="434"/>
    <n v="107"/>
    <m/>
    <x v="930"/>
    <x v="2"/>
    <s v="Contenedor 40'"/>
    <m/>
    <s v="25 kg"/>
    <m/>
    <m/>
    <s v="1H SETIEMBRE '20"/>
    <x v="0"/>
    <m/>
    <m/>
    <m/>
    <x v="522"/>
    <m/>
    <m/>
    <x v="530"/>
    <n v="10"/>
    <n v="2020"/>
    <x v="0"/>
    <x v="0"/>
    <s v="QINGDAO / CHINA"/>
    <x v="0"/>
    <m/>
    <x v="1"/>
    <x v="759"/>
    <d v="2020-08-30T00:00:00"/>
    <s v="MSC DIANA"/>
    <x v="193"/>
    <x v="6"/>
    <m/>
    <s v="REALIZADO"/>
    <s v="ORIGEN"/>
    <m/>
    <m/>
    <m/>
    <x v="0"/>
    <d v="2020-10-29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1070"/>
    <m/>
    <x v="865"/>
    <m/>
    <m/>
    <m/>
    <s v="CERRADO"/>
    <n v="206914"/>
    <x v="12"/>
    <x v="19"/>
    <x v="470"/>
    <d v="2020-07-23T00:00:00"/>
    <n v="90"/>
    <s v="días BL"/>
    <s v="SG-MSL-12329-26D"/>
    <m/>
    <d v="2020-12-03T00:00:00"/>
    <s v="CANCELADO"/>
    <s v="CFR"/>
    <m/>
    <x v="434"/>
    <n v="107"/>
    <m/>
    <x v="930"/>
    <x v="2"/>
    <s v="Contenedor 40'"/>
    <m/>
    <s v="25 kg"/>
    <m/>
    <m/>
    <s v="1H SETIEMBRE '20"/>
    <x v="0"/>
    <m/>
    <m/>
    <m/>
    <x v="525"/>
    <m/>
    <m/>
    <x v="535"/>
    <n v="11"/>
    <n v="2020"/>
    <x v="0"/>
    <x v="0"/>
    <s v="QINGDAO / CHINA"/>
    <x v="0"/>
    <m/>
    <x v="2"/>
    <x v="760"/>
    <d v="2020-09-03T00:00:00"/>
    <s v="HYUNDAI LONG BEACH"/>
    <x v="45"/>
    <x v="16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071"/>
    <m/>
    <x v="866"/>
    <m/>
    <m/>
    <m/>
    <s v="CERRADO"/>
    <n v="205259"/>
    <x v="124"/>
    <x v="57"/>
    <x v="471"/>
    <d v="2020-07-30T00:00:00"/>
    <n v="120"/>
    <s v="días BL"/>
    <s v="7300099485"/>
    <m/>
    <d v="2021-01-11T00:00:00"/>
    <s v="CANCELADO"/>
    <s v="CFR"/>
    <m/>
    <x v="435"/>
    <n v="418"/>
    <m/>
    <x v="931"/>
    <x v="16"/>
    <s v="Contenedor 20'"/>
    <m/>
    <s v="Granel Sólido"/>
    <m/>
    <m/>
    <s v="2H AGOSTO 20'"/>
    <x v="0"/>
    <m/>
    <m/>
    <m/>
    <x v="526"/>
    <m/>
    <m/>
    <x v="536"/>
    <n v="10"/>
    <n v="2020"/>
    <x v="0"/>
    <x v="0"/>
    <s v="HAMBURGO / ALEMANIA"/>
    <x v="2"/>
    <m/>
    <x v="3"/>
    <x v="761"/>
    <d v="2020-09-13T00:00:00"/>
    <s v="SANTOS EXPRESS"/>
    <x v="184"/>
    <x v="9"/>
    <m/>
    <s v="REALIZADO"/>
    <s v="SWB"/>
    <m/>
    <m/>
    <m/>
    <x v="0"/>
    <d v="2020-10-24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072"/>
    <m/>
    <x v="867"/>
    <m/>
    <m/>
    <m/>
    <s v="CERRADO"/>
    <n v="205259"/>
    <x v="124"/>
    <x v="57"/>
    <x v="472"/>
    <d v="2020-07-30T00:00:00"/>
    <n v="120"/>
    <s v="días BL"/>
    <s v="7300100392"/>
    <m/>
    <d v="2021-01-11T00:00:00"/>
    <s v="CANCELADO"/>
    <s v="CFR"/>
    <m/>
    <x v="436"/>
    <n v="418"/>
    <m/>
    <x v="932"/>
    <x v="1"/>
    <s v="Contenedor 20'"/>
    <m/>
    <s v="Granel Sólido"/>
    <m/>
    <m/>
    <s v="2H AGOSTO 20'"/>
    <x v="0"/>
    <m/>
    <m/>
    <m/>
    <x v="527"/>
    <m/>
    <m/>
    <x v="537"/>
    <n v="10"/>
    <n v="2020"/>
    <x v="0"/>
    <x v="0"/>
    <s v="HAMBURGO / ALEMANIA"/>
    <x v="0"/>
    <m/>
    <x v="2"/>
    <x v="762"/>
    <d v="2020-09-13T00:00:00"/>
    <s v="SANTOS EXPRESS"/>
    <x v="217"/>
    <x v="9"/>
    <m/>
    <s v="REALIZADO"/>
    <s v="SWB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073"/>
    <m/>
    <x v="868"/>
    <m/>
    <m/>
    <m/>
    <s v="CERRADO"/>
    <n v="205259"/>
    <x v="124"/>
    <x v="57"/>
    <x v="472"/>
    <d v="2020-07-30T00:00:00"/>
    <n v="120"/>
    <s v="días BL"/>
    <s v="7300100393"/>
    <m/>
    <d v="2021-01-18T00:00:00"/>
    <s v="CANCELADO"/>
    <s v="CFR"/>
    <m/>
    <x v="437"/>
    <n v="418"/>
    <m/>
    <x v="933"/>
    <x v="7"/>
    <s v="Contenedor 20'"/>
    <m/>
    <s v="Granel Sólido"/>
    <m/>
    <m/>
    <s v="2H AGOSTO 20'"/>
    <x v="0"/>
    <m/>
    <m/>
    <m/>
    <x v="528"/>
    <m/>
    <m/>
    <x v="538"/>
    <n v="10"/>
    <n v="2020"/>
    <x v="0"/>
    <x v="0"/>
    <s v="HAMBURGO / ALEMANIA"/>
    <x v="0"/>
    <m/>
    <x v="2"/>
    <x v="763"/>
    <d v="2020-09-20T00:00:00"/>
    <s v="CMA CGM TANYA"/>
    <x v="244"/>
    <x v="9"/>
    <m/>
    <s v="REALIZADO"/>
    <s v="SWB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074"/>
    <m/>
    <x v="869"/>
    <m/>
    <m/>
    <m/>
    <s v="CERRADO"/>
    <n v="205259"/>
    <x v="124"/>
    <x v="57"/>
    <x v="473"/>
    <d v="2020-07-30T00:00:00"/>
    <n v="120"/>
    <s v="días BL"/>
    <s v="7300098638"/>
    <m/>
    <d v="2021-01-11T00:00:00"/>
    <s v="CANCELADO"/>
    <s v="CFR"/>
    <m/>
    <x v="438"/>
    <n v="418"/>
    <m/>
    <x v="934"/>
    <x v="16"/>
    <s v="Contenedor 20'"/>
    <m/>
    <s v="Granel Sólido"/>
    <m/>
    <m/>
    <s v="1H SETIEMBRE '20"/>
    <x v="0"/>
    <m/>
    <m/>
    <m/>
    <x v="526"/>
    <m/>
    <m/>
    <x v="536"/>
    <n v="10"/>
    <n v="2020"/>
    <x v="0"/>
    <x v="0"/>
    <s v="HAMBURGO / ALEMANIA"/>
    <x v="2"/>
    <m/>
    <x v="3"/>
    <x v="764"/>
    <d v="2020-09-13T00:00:00"/>
    <s v="SANTOS EXPRESS"/>
    <x v="184"/>
    <x v="9"/>
    <m/>
    <s v="REALIZADO"/>
    <s v="SWB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075"/>
    <m/>
    <x v="870"/>
    <m/>
    <m/>
    <m/>
    <s v="CERRADO"/>
    <n v="205259"/>
    <x v="124"/>
    <x v="57"/>
    <x v="474"/>
    <d v="2020-07-30T00:00:00"/>
    <n v="120"/>
    <s v="días BL"/>
    <s v="7300100394"/>
    <m/>
    <d v="2021-01-18T00:00:00"/>
    <s v="CANCELADO"/>
    <s v="CFR"/>
    <m/>
    <x v="439"/>
    <n v="418"/>
    <m/>
    <x v="935"/>
    <x v="2"/>
    <s v="Contenedor 20'"/>
    <m/>
    <s v="Granel Sólido"/>
    <m/>
    <m/>
    <s v="1H SETIEMBRE '20"/>
    <x v="0"/>
    <m/>
    <m/>
    <m/>
    <x v="528"/>
    <m/>
    <m/>
    <x v="539"/>
    <n v="10"/>
    <n v="2020"/>
    <x v="0"/>
    <x v="0"/>
    <s v="HAMBURGO / ALEMANIA"/>
    <x v="0"/>
    <m/>
    <x v="1"/>
    <x v="765"/>
    <d v="2020-09-20T00:00:00"/>
    <s v="CMA CGM TANYA"/>
    <x v="244"/>
    <x v="9"/>
    <m/>
    <s v="REALIZADO"/>
    <s v="SWB"/>
    <m/>
    <m/>
    <m/>
    <x v="0"/>
    <d v="2020-11-05T00:00:00"/>
    <m/>
    <x v="0"/>
    <x v="0"/>
    <m/>
    <m/>
    <x v="0"/>
    <e v="#REF!"/>
    <m/>
    <m/>
    <m/>
    <m/>
    <m/>
    <x v="0"/>
    <s v="anulada: 8000000888 "/>
    <m/>
    <m/>
    <m/>
    <s v="NACIONALIZADO"/>
    <m/>
    <m/>
    <m/>
  </r>
  <r>
    <n v="2020"/>
    <s v="S-P"/>
    <x v="0"/>
    <x v="0"/>
    <m/>
    <m/>
    <x v="1076"/>
    <m/>
    <x v="871"/>
    <m/>
    <m/>
    <m/>
    <s v="CERRADO"/>
    <n v="208510"/>
    <x v="10"/>
    <x v="11"/>
    <x v="475"/>
    <d v="2020-07-28T00:00:00"/>
    <s v="CAD"/>
    <m/>
    <s v="ROM20021330"/>
    <m/>
    <d v="2020-10-19T00:00:00"/>
    <s v="CANCELADO"/>
    <s v="CIF"/>
    <m/>
    <x v="440"/>
    <n v="817"/>
    <m/>
    <x v="936"/>
    <x v="14"/>
    <s v="Contenedor 20'"/>
    <m/>
    <s v="Bidones 35kg"/>
    <m/>
    <m/>
    <s v="1H SETIEMBRE '20"/>
    <x v="0"/>
    <m/>
    <m/>
    <m/>
    <x v="529"/>
    <m/>
    <m/>
    <x v="540"/>
    <n v="11"/>
    <n v="2020"/>
    <x v="0"/>
    <x v="0"/>
    <s v="XIAMEN / CHINA"/>
    <x v="0"/>
    <m/>
    <x v="2"/>
    <x v="766"/>
    <d v="2020-09-16T00:00:00"/>
    <s v="GUTHORM MAERSK"/>
    <x v="193"/>
    <x v="6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P"/>
    <x v="0"/>
    <x v="0"/>
    <m/>
    <m/>
    <x v="1077"/>
    <m/>
    <x v="872"/>
    <m/>
    <m/>
    <m/>
    <s v="CERRADO"/>
    <n v="208510"/>
    <x v="10"/>
    <x v="11"/>
    <x v="476"/>
    <d v="2020-07-28T00:00:00"/>
    <s v="CAD"/>
    <m/>
    <s v="ROM20021331"/>
    <m/>
    <d v="2020-10-22T00:00:00"/>
    <s v="CANCELADO"/>
    <s v="CIF"/>
    <m/>
    <x v="440"/>
    <n v="817"/>
    <m/>
    <x v="936"/>
    <x v="14"/>
    <s v="Contenedor 20'"/>
    <m/>
    <s v="Bidones 35kg"/>
    <m/>
    <m/>
    <s v="2H SETIEMBRE '20"/>
    <x v="0"/>
    <m/>
    <m/>
    <m/>
    <x v="530"/>
    <m/>
    <m/>
    <x v="541"/>
    <n v="11"/>
    <n v="2020"/>
    <x v="0"/>
    <x v="0"/>
    <s v="XIAMEN / CHINA"/>
    <x v="0"/>
    <m/>
    <x v="2"/>
    <x v="767"/>
    <d v="2020-09-22T00:00:00"/>
    <s v="MAERSK YUKON"/>
    <x v="222"/>
    <x v="6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P"/>
    <x v="0"/>
    <x v="0"/>
    <m/>
    <m/>
    <x v="1078"/>
    <m/>
    <x v="873"/>
    <m/>
    <m/>
    <m/>
    <s v="CERRADO"/>
    <n v="208510"/>
    <x v="10"/>
    <x v="11"/>
    <x v="477"/>
    <d v="2020-07-28T00:00:00"/>
    <s v="CAD"/>
    <m/>
    <s v="ROM20021328"/>
    <m/>
    <d v="2020-10-19T00:00:00"/>
    <s v="CANCELADO"/>
    <s v="CIF"/>
    <m/>
    <x v="440"/>
    <n v="807"/>
    <m/>
    <x v="937"/>
    <x v="14"/>
    <s v="Contenedor 20'"/>
    <m/>
    <s v="Bidones 35kg"/>
    <m/>
    <m/>
    <s v="1H SETIEMBRE '20"/>
    <x v="0"/>
    <m/>
    <m/>
    <m/>
    <x v="531"/>
    <m/>
    <m/>
    <x v="538"/>
    <n v="10"/>
    <n v="2020"/>
    <x v="0"/>
    <x v="0"/>
    <s v="XIAMEN / CHINA"/>
    <x v="2"/>
    <m/>
    <x v="3"/>
    <x v="768"/>
    <d v="2020-09-11T00:00:00"/>
    <s v="MSC KANOKO"/>
    <x v="273"/>
    <x v="2"/>
    <m/>
    <s v="REALIZADO"/>
    <s v="ORIGEN"/>
    <m/>
    <m/>
    <m/>
    <x v="0"/>
    <d v="2020-11-01T00:00:00"/>
    <m/>
    <x v="0"/>
    <x v="0"/>
    <m/>
    <m/>
    <x v="0"/>
    <e v="#REF!"/>
    <m/>
    <m/>
    <m/>
    <m/>
    <m/>
    <x v="0"/>
    <s v="anulada: 8000001049"/>
    <m/>
    <m/>
    <m/>
    <s v="NACIONALIZADO"/>
    <m/>
    <m/>
    <m/>
  </r>
  <r>
    <n v="2020"/>
    <s v="S-P"/>
    <x v="0"/>
    <x v="0"/>
    <m/>
    <m/>
    <x v="1079"/>
    <m/>
    <x v="874"/>
    <m/>
    <m/>
    <m/>
    <s v="CERRADO"/>
    <n v="208510"/>
    <x v="10"/>
    <x v="11"/>
    <x v="478"/>
    <d v="2020-07-28T00:00:00"/>
    <s v="CAD"/>
    <m/>
    <s v="ROM20021329"/>
    <m/>
    <d v="2020-11-13T00:00:00"/>
    <s v="CANCELADO"/>
    <s v="CIF"/>
    <m/>
    <x v="440"/>
    <n v="807"/>
    <m/>
    <x v="937"/>
    <x v="14"/>
    <s v="Contenedor 20'"/>
    <m/>
    <s v="Bidones 35kg"/>
    <m/>
    <m/>
    <s v="2H SETIEMBRE '20"/>
    <x v="0"/>
    <m/>
    <m/>
    <m/>
    <x v="532"/>
    <m/>
    <m/>
    <x v="542"/>
    <n v="11"/>
    <n v="2020"/>
    <x v="0"/>
    <x v="0"/>
    <s v="XIAMEN / CHINA"/>
    <x v="2"/>
    <m/>
    <x v="6"/>
    <x v="769"/>
    <d v="2020-10-09T00:00:00"/>
    <s v="SEASPAN BRAVO"/>
    <x v="274"/>
    <x v="2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1080"/>
    <m/>
    <x v="875"/>
    <m/>
    <m/>
    <m/>
    <s v="CERRADO"/>
    <n v="206971"/>
    <x v="3"/>
    <x v="2"/>
    <x v="479"/>
    <d v="2020-09-30T00:00:00"/>
    <n v="90"/>
    <s v="días BL"/>
    <s v="SI0003153"/>
    <m/>
    <d v="2020-12-28T00:00:00"/>
    <s v="CANCELADO"/>
    <s v="CFR"/>
    <m/>
    <x v="70"/>
    <n v="426.83"/>
    <m/>
    <x v="938"/>
    <x v="19"/>
    <s v="Contenedor 40'"/>
    <m/>
    <s v="25 kg"/>
    <m/>
    <m/>
    <s v="SETIEMBRE '20"/>
    <x v="0"/>
    <m/>
    <m/>
    <m/>
    <x v="533"/>
    <m/>
    <m/>
    <x v="543"/>
    <n v="12"/>
    <n v="2020"/>
    <x v="0"/>
    <x v="0"/>
    <s v="KEELUNG / TAIWAN"/>
    <x v="0"/>
    <m/>
    <x v="5"/>
    <x v="770"/>
    <d v="2020-09-29T00:00:00"/>
    <s v="COPIAPO"/>
    <x v="264"/>
    <x v="16"/>
    <m/>
    <s v="REALIZADO"/>
    <s v="ORIGEN"/>
    <m/>
    <m/>
    <m/>
    <x v="0"/>
    <d v="2020-12-30T00:00:00"/>
    <m/>
    <x v="0"/>
    <x v="0"/>
    <m/>
    <m/>
    <x v="0"/>
    <e v="#REF!"/>
    <m/>
    <m/>
    <m/>
    <m/>
    <m/>
    <x v="0"/>
    <s v="anulada: 8000001157"/>
    <m/>
    <m/>
    <m/>
    <s v="NACIONALIZADO"/>
    <m/>
    <m/>
    <m/>
  </r>
  <r>
    <n v="2020"/>
    <s v="S-S"/>
    <x v="0"/>
    <x v="0"/>
    <m/>
    <m/>
    <x v="1081"/>
    <m/>
    <x v="876"/>
    <m/>
    <m/>
    <m/>
    <s v="CERRADO"/>
    <n v="206971"/>
    <x v="3"/>
    <x v="2"/>
    <x v="479"/>
    <d v="2020-09-30T00:00:00"/>
    <n v="90"/>
    <s v="días BL"/>
    <s v="SI0003152"/>
    <m/>
    <d v="2020-12-28T00:00:00"/>
    <s v="CANCELADO"/>
    <s v="CFR"/>
    <m/>
    <x v="180"/>
    <n v="421.74"/>
    <m/>
    <x v="939"/>
    <x v="35"/>
    <s v="Contenedor 40'"/>
    <m/>
    <s v="25 kg"/>
    <m/>
    <m/>
    <s v="SETIEMBRE '20"/>
    <x v="0"/>
    <m/>
    <m/>
    <m/>
    <x v="534"/>
    <m/>
    <m/>
    <x v="544"/>
    <n v="11"/>
    <n v="2020"/>
    <x v="0"/>
    <x v="0"/>
    <s v="KEELUNG / TAIWAN"/>
    <x v="2"/>
    <m/>
    <x v="6"/>
    <x v="771"/>
    <d v="2020-09-29T00:00:00"/>
    <s v="COPIAPO"/>
    <x v="275"/>
    <x v="16"/>
    <m/>
    <s v="REALIZADO"/>
    <s v="ORIGEN"/>
    <m/>
    <m/>
    <m/>
    <x v="0"/>
    <d v="2020-12-03T00:00:00"/>
    <m/>
    <x v="0"/>
    <x v="0"/>
    <m/>
    <m/>
    <x v="0"/>
    <e v="#REF!"/>
    <m/>
    <m/>
    <m/>
    <m/>
    <m/>
    <x v="0"/>
    <s v="anulada 8000001105"/>
    <m/>
    <m/>
    <m/>
    <s v="NACIONALIZADO"/>
    <m/>
    <m/>
    <m/>
  </r>
  <r>
    <n v="2020"/>
    <s v="S-S"/>
    <x v="0"/>
    <x v="2"/>
    <m/>
    <m/>
    <x v="1082"/>
    <m/>
    <x v="34"/>
    <m/>
    <m/>
    <m/>
    <m/>
    <m/>
    <x v="3"/>
    <x v="2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0"/>
    <s v="S-S"/>
    <x v="0"/>
    <x v="0"/>
    <s v="URGENTE"/>
    <m/>
    <x v="1083"/>
    <m/>
    <x v="877"/>
    <m/>
    <m/>
    <m/>
    <s v="CERRADO"/>
    <n v="207579"/>
    <x v="9"/>
    <x v="19"/>
    <x v="480"/>
    <d v="2020-08-04T00:00:00"/>
    <n v="90"/>
    <s v="días BL"/>
    <s v="SG-MNL-12329-27A"/>
    <m/>
    <d v="2020-12-03T00:00:00"/>
    <s v="CANCELADO"/>
    <s v="CFR"/>
    <m/>
    <x v="434"/>
    <n v="233"/>
    <m/>
    <x v="940"/>
    <x v="2"/>
    <s v="Contenedor 40'"/>
    <m/>
    <s v="25 kg"/>
    <m/>
    <m/>
    <s v="2H AGOSTO '20"/>
    <x v="0"/>
    <m/>
    <m/>
    <m/>
    <x v="522"/>
    <m/>
    <m/>
    <x v="545"/>
    <n v="10"/>
    <n v="2020"/>
    <x v="0"/>
    <x v="0"/>
    <s v="QINGDAO / CHINA"/>
    <x v="0"/>
    <m/>
    <x v="1"/>
    <x v="772"/>
    <d v="2020-09-04T00:00:00"/>
    <s v="AOTEA MAERSK"/>
    <x v="193"/>
    <x v="6"/>
    <m/>
    <s v="REALIZADO"/>
    <s v="ORIGEN"/>
    <m/>
    <m/>
    <m/>
    <x v="0"/>
    <d v="2020-10-29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s v="URGENTE"/>
    <m/>
    <x v="1084"/>
    <m/>
    <x v="878"/>
    <m/>
    <m/>
    <m/>
    <s v="CERRADO"/>
    <n v="207579"/>
    <x v="9"/>
    <x v="19"/>
    <x v="480"/>
    <d v="2020-08-04T00:00:00"/>
    <n v="90"/>
    <s v="días BL"/>
    <s v="SG-MNL-12329-27B"/>
    <m/>
    <d v="2020-12-07T00:00:00"/>
    <s v="CANCELADO"/>
    <s v="CFR"/>
    <m/>
    <x v="441"/>
    <n v="233"/>
    <m/>
    <x v="941"/>
    <x v="7"/>
    <s v="Contenedor 40'"/>
    <m/>
    <s v="25 kg"/>
    <m/>
    <m/>
    <s v="2H AGOSTO '20"/>
    <x v="0"/>
    <m/>
    <m/>
    <m/>
    <x v="530"/>
    <m/>
    <m/>
    <x v="546"/>
    <n v="11"/>
    <n v="2020"/>
    <x v="0"/>
    <x v="0"/>
    <s v="QINGDAO / CHINA"/>
    <x v="0"/>
    <m/>
    <x v="2"/>
    <x v="773"/>
    <d v="2020-09-09T00:00:00"/>
    <s v="MSC FEBE"/>
    <x v="222"/>
    <x v="6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P"/>
    <x v="0"/>
    <x v="0"/>
    <m/>
    <m/>
    <x v="1085"/>
    <m/>
    <x v="879"/>
    <m/>
    <m/>
    <m/>
    <s v="CERRADO"/>
    <n v="208510"/>
    <x v="10"/>
    <x v="11"/>
    <x v="481"/>
    <d v="2020-08-12T00:00:00"/>
    <s v="CAD"/>
    <m/>
    <s v="ROM20021437-1"/>
    <m/>
    <d v="2020-11-30T00:00:00"/>
    <s v="CANCELADO"/>
    <s v="CIF"/>
    <m/>
    <x v="440"/>
    <n v="807"/>
    <m/>
    <x v="937"/>
    <x v="14"/>
    <s v="Contenedor 20'"/>
    <m/>
    <s v="Bidones 35kg"/>
    <m/>
    <m/>
    <s v="2H SETIEMBRE '20"/>
    <x v="0"/>
    <m/>
    <m/>
    <m/>
    <x v="535"/>
    <m/>
    <m/>
    <x v="547"/>
    <n v="12"/>
    <n v="2020"/>
    <x v="0"/>
    <x v="0"/>
    <s v="XIAMEN / CHINA"/>
    <x v="2"/>
    <m/>
    <x v="2"/>
    <x v="774"/>
    <d v="2020-10-17T00:00:00"/>
    <s v="MSC MARGRIT"/>
    <x v="276"/>
    <x v="2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P"/>
    <x v="0"/>
    <x v="0"/>
    <m/>
    <m/>
    <x v="1086"/>
    <m/>
    <x v="880"/>
    <m/>
    <m/>
    <m/>
    <s v="CERRADO"/>
    <n v="208510"/>
    <x v="10"/>
    <x v="11"/>
    <x v="481"/>
    <d v="2020-08-12T00:00:00"/>
    <s v="CAD"/>
    <m/>
    <s v="ROM20021437-2"/>
    <m/>
    <s v="-"/>
    <s v="CANCELADO"/>
    <s v="CIF"/>
    <m/>
    <x v="174"/>
    <n v="807"/>
    <m/>
    <x v="942"/>
    <x v="5"/>
    <s v="Contenedor 20'"/>
    <m/>
    <s v="Bidones 35kg"/>
    <m/>
    <m/>
    <s v="2H SETIEMBRE '20"/>
    <x v="0"/>
    <m/>
    <m/>
    <m/>
    <x v="536"/>
    <m/>
    <m/>
    <x v="548"/>
    <n v="12"/>
    <n v="2020"/>
    <x v="0"/>
    <x v="0"/>
    <s v="XIAMEN / CHINA"/>
    <x v="2"/>
    <m/>
    <x v="6"/>
    <x v="775"/>
    <d v="2020-11-11T00:00:00"/>
    <s v="SEASPAN BEAUTY"/>
    <x v="277"/>
    <x v="2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P"/>
    <x v="0"/>
    <x v="0"/>
    <m/>
    <m/>
    <x v="1087"/>
    <m/>
    <x v="881"/>
    <m/>
    <m/>
    <m/>
    <s v="CERRADO"/>
    <n v="208510"/>
    <x v="10"/>
    <x v="11"/>
    <x v="482"/>
    <d v="2020-08-12T00:00:00"/>
    <s v="CAD"/>
    <m/>
    <s v="ROM20021438-1"/>
    <m/>
    <s v="-"/>
    <s v="CANCELADO"/>
    <s v="CIF"/>
    <m/>
    <x v="442"/>
    <n v="807"/>
    <m/>
    <x v="943"/>
    <x v="1"/>
    <s v="Contenedor 20'"/>
    <m/>
    <s v="Bidones 35kg"/>
    <m/>
    <m/>
    <s v="1H OCTUBRE '20"/>
    <x v="0"/>
    <m/>
    <m/>
    <m/>
    <x v="537"/>
    <m/>
    <m/>
    <x v="549"/>
    <n v="1"/>
    <n v="2021"/>
    <x v="0"/>
    <x v="0"/>
    <s v="XIAMEN / CHINA"/>
    <x v="2"/>
    <m/>
    <x v="1"/>
    <x v="776"/>
    <d v="2020-12-01T00:00:00"/>
    <s v="MSC PERLE"/>
    <x v="278"/>
    <x v="2"/>
    <m/>
    <s v="REALIZADO"/>
    <s v="ORIGEN"/>
    <m/>
    <m/>
    <m/>
    <x v="0"/>
    <d v="2021-01-17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P"/>
    <x v="0"/>
    <x v="0"/>
    <m/>
    <m/>
    <x v="1088"/>
    <m/>
    <x v="882"/>
    <m/>
    <m/>
    <m/>
    <s v="CERRADO"/>
    <n v="208510"/>
    <x v="10"/>
    <x v="11"/>
    <x v="482"/>
    <d v="2020-08-12T00:00:00"/>
    <s v="CAD"/>
    <m/>
    <s v="ROM20021438-2"/>
    <m/>
    <s v="-"/>
    <s v="CANCELADO"/>
    <s v="CIF"/>
    <m/>
    <x v="442"/>
    <n v="807"/>
    <m/>
    <x v="943"/>
    <x v="1"/>
    <s v="Contenedor 20'"/>
    <m/>
    <s v="Bidones 35kg"/>
    <m/>
    <m/>
    <s v="1H OCTUBRE '20"/>
    <x v="0"/>
    <m/>
    <m/>
    <m/>
    <x v="537"/>
    <m/>
    <m/>
    <x v="550"/>
    <n v="1"/>
    <n v="2021"/>
    <x v="0"/>
    <x v="0"/>
    <s v="XIAMEN / CHINA"/>
    <x v="2"/>
    <m/>
    <x v="3"/>
    <x v="777"/>
    <d v="2020-12-01T00:00:00"/>
    <s v="MSC PERLE"/>
    <x v="278"/>
    <x v="2"/>
    <m/>
    <s v="REALIZADO"/>
    <s v="ORIGEN"/>
    <m/>
    <m/>
    <m/>
    <x v="0"/>
    <d v="2021-01-17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P"/>
    <x v="0"/>
    <x v="1"/>
    <m/>
    <m/>
    <x v="1089"/>
    <m/>
    <x v="34"/>
    <m/>
    <m/>
    <m/>
    <m/>
    <m/>
    <x v="10"/>
    <x v="11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0"/>
    <s v="S-P"/>
    <x v="0"/>
    <x v="0"/>
    <m/>
    <m/>
    <x v="1090"/>
    <m/>
    <x v="883"/>
    <m/>
    <m/>
    <m/>
    <s v="CERRADO"/>
    <n v="208510"/>
    <x v="10"/>
    <x v="11"/>
    <x v="483"/>
    <d v="2020-08-12T00:00:00"/>
    <s v="CAD"/>
    <m/>
    <s v="ROM20021439-1"/>
    <m/>
    <d v="2021-02-19T00:00:00"/>
    <s v="CANCELADO"/>
    <s v="CIF"/>
    <m/>
    <x v="174"/>
    <n v="807"/>
    <m/>
    <x v="942"/>
    <x v="5"/>
    <s v="Contenedor 20'"/>
    <m/>
    <s v="Bidones 35kg"/>
    <m/>
    <m/>
    <s v="1H OCTUBRE '20"/>
    <x v="0"/>
    <m/>
    <m/>
    <m/>
    <x v="538"/>
    <m/>
    <m/>
    <x v="551"/>
    <n v="3"/>
    <n v="2021"/>
    <x v="0"/>
    <x v="0"/>
    <s v="XIAMEN / CHINA"/>
    <x v="2"/>
    <m/>
    <x v="3"/>
    <x v="778"/>
    <d v="2021-01-20T00:00:00"/>
    <s v="MSC MARGRIT"/>
    <x v="276"/>
    <x v="2"/>
    <m/>
    <s v="REALIZADO"/>
    <s v="ORIGEN"/>
    <m/>
    <m/>
    <m/>
    <x v="0"/>
    <d v="2021-03-14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P"/>
    <x v="0"/>
    <x v="1"/>
    <m/>
    <m/>
    <x v="1091"/>
    <m/>
    <x v="34"/>
    <m/>
    <m/>
    <m/>
    <m/>
    <m/>
    <x v="10"/>
    <x v="11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0"/>
    <s v="S-P"/>
    <x v="0"/>
    <x v="1"/>
    <m/>
    <m/>
    <x v="1092"/>
    <m/>
    <x v="34"/>
    <m/>
    <m/>
    <m/>
    <m/>
    <m/>
    <x v="10"/>
    <x v="11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0"/>
    <s v="S-P"/>
    <x v="0"/>
    <x v="1"/>
    <m/>
    <m/>
    <x v="1093"/>
    <m/>
    <x v="34"/>
    <m/>
    <m/>
    <m/>
    <m/>
    <m/>
    <x v="10"/>
    <x v="11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0"/>
    <s v="S-P"/>
    <x v="0"/>
    <x v="1"/>
    <m/>
    <m/>
    <x v="1094"/>
    <m/>
    <x v="34"/>
    <m/>
    <m/>
    <m/>
    <m/>
    <m/>
    <x v="10"/>
    <x v="11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0"/>
    <s v="S-P"/>
    <x v="0"/>
    <x v="0"/>
    <m/>
    <m/>
    <x v="1095"/>
    <m/>
    <x v="884"/>
    <m/>
    <m/>
    <m/>
    <s v="CERRADO"/>
    <n v="208510"/>
    <x v="10"/>
    <x v="11"/>
    <x v="484"/>
    <d v="2020-08-12T00:00:00"/>
    <s v="CAD"/>
    <m/>
    <s v="ROM20021433"/>
    <m/>
    <d v="2020-10-19T00:00:00"/>
    <s v="CANCELADO"/>
    <s v="CIF"/>
    <m/>
    <x v="443"/>
    <n v="837"/>
    <m/>
    <x v="944"/>
    <x v="9"/>
    <s v="Contenedor 20'"/>
    <m/>
    <s v="Bidones 35kg"/>
    <m/>
    <m/>
    <s v="1H SETIEMBRE '20"/>
    <x v="0"/>
    <m/>
    <m/>
    <m/>
    <x v="539"/>
    <m/>
    <m/>
    <x v="552"/>
    <n v="11"/>
    <n v="2020"/>
    <x v="0"/>
    <x v="0"/>
    <s v="ALEXANDRIA / EGIPTO"/>
    <x v="4"/>
    <m/>
    <x v="2"/>
    <x v="779"/>
    <d v="2020-09-11T00:00:00"/>
    <s v="MSC KANOKO"/>
    <x v="129"/>
    <x v="2"/>
    <m/>
    <s v="REALIZADO"/>
    <s v="ORIGEN"/>
    <m/>
    <m/>
    <m/>
    <x v="0"/>
    <d v="2020-12-01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1096"/>
    <m/>
    <x v="885"/>
    <m/>
    <m/>
    <m/>
    <s v="CERRADO"/>
    <n v="206971"/>
    <x v="3"/>
    <x v="38"/>
    <x v="485"/>
    <d v="2020-08-10T00:00:00"/>
    <n v="180"/>
    <s v="días BL"/>
    <s v="20201953"/>
    <m/>
    <d v="2021-03-21T00:00:00"/>
    <s v="CANCELADO"/>
    <s v="CPT"/>
    <m/>
    <x v="222"/>
    <n v="412.29"/>
    <m/>
    <x v="945"/>
    <x v="10"/>
    <s v="Contenedor 20'"/>
    <m/>
    <s v="25 kg"/>
    <m/>
    <m/>
    <s v="2W SETIEMBRE '20"/>
    <x v="0"/>
    <m/>
    <m/>
    <m/>
    <x v="540"/>
    <m/>
    <m/>
    <x v="553"/>
    <n v="11"/>
    <n v="2020"/>
    <x v="0"/>
    <x v="0"/>
    <s v="ALEXANDRIA / EGIPTO"/>
    <x v="2"/>
    <m/>
    <x v="1"/>
    <x v="780"/>
    <d v="2020-09-22T00:00:00"/>
    <s v="MSC MICHAELA"/>
    <x v="266"/>
    <x v="4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1097"/>
    <m/>
    <x v="886"/>
    <m/>
    <m/>
    <m/>
    <s v="CERRADO"/>
    <n v="206971"/>
    <x v="3"/>
    <x v="38"/>
    <x v="485"/>
    <d v="2020-08-10T00:00:00"/>
    <n v="180"/>
    <s v="días BL"/>
    <s v="2020005"/>
    <m/>
    <d v="2021-03-29T00:00:00"/>
    <s v="CANCELADO"/>
    <s v="CPT"/>
    <m/>
    <x v="86"/>
    <n v="412.29"/>
    <m/>
    <x v="946"/>
    <x v="20"/>
    <s v="Contenedor 20'"/>
    <m/>
    <s v="25 kg"/>
    <m/>
    <m/>
    <s v="2H SETIEMBRE '20"/>
    <x v="0"/>
    <m/>
    <m/>
    <m/>
    <x v="541"/>
    <m/>
    <m/>
    <x v="554"/>
    <n v="11"/>
    <n v="2020"/>
    <x v="0"/>
    <x v="0"/>
    <s v="ALEXANDRIA / EGIPTO"/>
    <x v="2"/>
    <m/>
    <x v="1"/>
    <x v="781"/>
    <d v="2020-09-29T00:00:00"/>
    <s v="E.R. VANCOUVER"/>
    <x v="245"/>
    <x v="4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1098"/>
    <m/>
    <x v="887"/>
    <m/>
    <m/>
    <m/>
    <s v="CERRADO"/>
    <n v="206971"/>
    <x v="3"/>
    <x v="38"/>
    <x v="485"/>
    <d v="2020-08-10T00:00:00"/>
    <n v="180"/>
    <s v="días BL"/>
    <s v="20201928"/>
    <m/>
    <d v="2021-03-15T00:00:00"/>
    <s v="CANCELADO"/>
    <s v="CPT"/>
    <m/>
    <x v="140"/>
    <n v="417.38"/>
    <m/>
    <x v="947"/>
    <x v="22"/>
    <s v="Contenedor 20'"/>
    <m/>
    <s v="25 kg"/>
    <m/>
    <m/>
    <s v="1H SETIEMBRE '20"/>
    <x v="0"/>
    <m/>
    <m/>
    <m/>
    <x v="542"/>
    <m/>
    <m/>
    <x v="546"/>
    <n v="11"/>
    <n v="2020"/>
    <x v="0"/>
    <x v="0"/>
    <s v="ALEXANDRIA / EGIPTO"/>
    <x v="0"/>
    <m/>
    <x v="5"/>
    <x v="782"/>
    <d v="2020-09-14T00:00:00"/>
    <s v="MSC JEMIMA"/>
    <x v="193"/>
    <x v="4"/>
    <m/>
    <s v="REALIZADO"/>
    <s v="ORIGEN"/>
    <m/>
    <m/>
    <m/>
    <x v="0"/>
    <d v="2020-11-18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1099"/>
    <m/>
    <x v="888"/>
    <m/>
    <m/>
    <m/>
    <s v="CERRADO"/>
    <n v="206971"/>
    <x v="3"/>
    <x v="38"/>
    <x v="485"/>
    <d v="2020-08-10T00:00:00"/>
    <n v="180"/>
    <s v="días BL"/>
    <s v="20202022"/>
    <m/>
    <d v="2021-04-03T00:00:00"/>
    <s v="CANCELADO"/>
    <s v="CPT"/>
    <m/>
    <x v="140"/>
    <n v="417.38"/>
    <m/>
    <x v="947"/>
    <x v="22"/>
    <s v="Contenedor 20'"/>
    <m/>
    <s v="25 kg"/>
    <m/>
    <m/>
    <s v="2H SETIEMBRE '20"/>
    <x v="0"/>
    <m/>
    <m/>
    <m/>
    <x v="543"/>
    <m/>
    <m/>
    <x v="555"/>
    <n v="12"/>
    <n v="2020"/>
    <x v="0"/>
    <x v="0"/>
    <s v="ALEXANDRIA / EGIPTO"/>
    <x v="0"/>
    <m/>
    <x v="2"/>
    <x v="783"/>
    <d v="2020-10-05T00:00:00"/>
    <s v="MSC ALIX 3"/>
    <x v="279"/>
    <x v="4"/>
    <m/>
    <s v="REALIZADO"/>
    <s v="ORIGEN"/>
    <m/>
    <m/>
    <m/>
    <x v="0"/>
    <d v="2020-12-09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1100"/>
    <m/>
    <x v="889"/>
    <m/>
    <m/>
    <m/>
    <s v="CERRADO"/>
    <n v="206971"/>
    <x v="3"/>
    <x v="38"/>
    <x v="485"/>
    <d v="2020-08-10T00:00:00"/>
    <n v="180"/>
    <s v="días BL"/>
    <s v="20202050"/>
    <m/>
    <d v="2021-04-19T00:00:00"/>
    <s v="CANCELADO"/>
    <s v="CPT"/>
    <m/>
    <x v="59"/>
    <n v="417.38"/>
    <m/>
    <x v="948"/>
    <x v="14"/>
    <s v="Contenedor 20'"/>
    <m/>
    <s v="25 kg"/>
    <m/>
    <m/>
    <s v="1W OCTUBRE '20"/>
    <x v="0"/>
    <m/>
    <m/>
    <m/>
    <x v="544"/>
    <m/>
    <m/>
    <x v="556"/>
    <n v="12"/>
    <n v="2020"/>
    <x v="0"/>
    <x v="0"/>
    <s v="ALEXANDRIA / EGIPTO"/>
    <x v="0"/>
    <m/>
    <x v="5"/>
    <x v="784"/>
    <d v="2020-10-21T00:00:00"/>
    <s v="MSC JEMIMA"/>
    <x v="222"/>
    <x v="4"/>
    <m/>
    <s v="REALIZADO"/>
    <s v="ORIGEN"/>
    <m/>
    <m/>
    <m/>
    <x v="0"/>
    <d v="2021-01-01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C"/>
    <x v="0"/>
    <x v="0"/>
    <m/>
    <m/>
    <x v="1101"/>
    <m/>
    <x v="890"/>
    <m/>
    <m/>
    <m/>
    <s v="CERRADO"/>
    <n v="207580"/>
    <x v="32"/>
    <x v="51"/>
    <x v="486"/>
    <d v="2020-08-05T00:00:00"/>
    <n v="90"/>
    <s v="días BL"/>
    <s v="5000258"/>
    <m/>
    <d v="2020-11-29T00:00:00"/>
    <s v="CANCELADO"/>
    <s v="CPT"/>
    <m/>
    <x v="136"/>
    <n v="643.5"/>
    <m/>
    <x v="949"/>
    <x v="16"/>
    <s v="Contenedor 20'"/>
    <m/>
    <s v="25 kg"/>
    <m/>
    <m/>
    <s v="AGOSTO '20"/>
    <x v="0"/>
    <m/>
    <m/>
    <m/>
    <x v="545"/>
    <m/>
    <m/>
    <x v="557"/>
    <n v="10"/>
    <n v="2020"/>
    <x v="0"/>
    <x v="0"/>
    <s v="KLAIPEDA / LITUANIA"/>
    <x v="0"/>
    <m/>
    <x v="2"/>
    <x v="785"/>
    <d v="2020-08-31T00:00:00"/>
    <s v="PHILEMON"/>
    <x v="244"/>
    <x v="9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O-S"/>
    <x v="0"/>
    <x v="0"/>
    <m/>
    <m/>
    <x v="1102"/>
    <m/>
    <x v="891"/>
    <m/>
    <m/>
    <m/>
    <s v="CERRADO"/>
    <n v="203553"/>
    <x v="123"/>
    <x v="53"/>
    <x v="487"/>
    <s v="JULIO"/>
    <s v="CAD"/>
    <m/>
    <s v="F200-00042751"/>
    <m/>
    <d v="2020-09-09T00:00:00"/>
    <s v="CANCELADO"/>
    <s v="CFR"/>
    <m/>
    <x v="444"/>
    <n v="272.95"/>
    <m/>
    <x v="950"/>
    <x v="4"/>
    <s v="Contenedor 20'"/>
    <m/>
    <s v="Granel Sólido"/>
    <m/>
    <m/>
    <s v="JULIO '20"/>
    <x v="0"/>
    <m/>
    <m/>
    <m/>
    <x v="506"/>
    <m/>
    <m/>
    <x v="558"/>
    <n v="10"/>
    <n v="2020"/>
    <x v="0"/>
    <x v="0"/>
    <s v="BREVIK / NORUEGA"/>
    <x v="0"/>
    <m/>
    <x v="2"/>
    <x v="786"/>
    <d v="2020-08-11T00:00:00"/>
    <s v="MEANDI"/>
    <x v="217"/>
    <x v="9"/>
    <m/>
    <s v="REALIZADO"/>
    <s v="SWB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O-S"/>
    <x v="0"/>
    <x v="0"/>
    <m/>
    <m/>
    <x v="1103"/>
    <m/>
    <x v="892"/>
    <m/>
    <m/>
    <m/>
    <s v="CERRADO"/>
    <n v="203553"/>
    <x v="123"/>
    <x v="53"/>
    <x v="488"/>
    <s v="JULIO"/>
    <s v="CAD"/>
    <m/>
    <s v="F200-00042752"/>
    <m/>
    <d v="2020-09-09T00:00:00"/>
    <s v="CANCELADO"/>
    <s v="CFR"/>
    <m/>
    <x v="445"/>
    <n v="270.83"/>
    <m/>
    <x v="951"/>
    <x v="2"/>
    <s v="Contenedor 20'"/>
    <m/>
    <s v="Granel Sólido"/>
    <m/>
    <m/>
    <s v="JULIO '20"/>
    <x v="0"/>
    <m/>
    <m/>
    <m/>
    <x v="504"/>
    <m/>
    <m/>
    <x v="559"/>
    <n v="9"/>
    <n v="2020"/>
    <x v="0"/>
    <x v="0"/>
    <s v="BREVIK / NORUEGA"/>
    <x v="2"/>
    <m/>
    <x v="3"/>
    <x v="787"/>
    <d v="2020-08-12T00:00:00"/>
    <s v="MEANDI"/>
    <x v="30"/>
    <x v="9"/>
    <m/>
    <s v="REALIZADO"/>
    <s v="SWB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O-S"/>
    <x v="0"/>
    <x v="0"/>
    <m/>
    <m/>
    <x v="1104"/>
    <m/>
    <x v="893"/>
    <m/>
    <m/>
    <m/>
    <s v="CERRADO"/>
    <n v="203553"/>
    <x v="123"/>
    <x v="53"/>
    <x v="488"/>
    <s v="JULIO"/>
    <s v="CAD"/>
    <m/>
    <s v="F200-00042752"/>
    <m/>
    <d v="2020-09-09T00:00:00"/>
    <s v="CANCELADO"/>
    <s v="CFR"/>
    <m/>
    <x v="446"/>
    <n v="270.83"/>
    <m/>
    <x v="952"/>
    <x v="7"/>
    <s v="Contenedor 20'"/>
    <m/>
    <s v="Granel Sólido"/>
    <m/>
    <m/>
    <s v="JULIO '20"/>
    <x v="0"/>
    <m/>
    <m/>
    <m/>
    <x v="524"/>
    <m/>
    <m/>
    <x v="560"/>
    <n v="9"/>
    <n v="2020"/>
    <x v="0"/>
    <x v="0"/>
    <s v="BREVIK / NORUEGA"/>
    <x v="2"/>
    <m/>
    <x v="3"/>
    <x v="788"/>
    <d v="2020-08-12T00:00:00"/>
    <s v="MEANDI"/>
    <x v="155"/>
    <x v="9"/>
    <m/>
    <s v="REALIZADO"/>
    <s v="SWB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O-S"/>
    <x v="0"/>
    <x v="0"/>
    <m/>
    <m/>
    <x v="1105"/>
    <m/>
    <x v="894"/>
    <m/>
    <m/>
    <m/>
    <s v="CERRADO"/>
    <n v="203554"/>
    <x v="123"/>
    <x v="53"/>
    <x v="489"/>
    <s v="JULIO"/>
    <s v="CAD"/>
    <m/>
    <s v="F200-00042717"/>
    <m/>
    <d v="2020-09-09T00:00:00"/>
    <s v="CANCELADO"/>
    <s v="CFR"/>
    <m/>
    <x v="447"/>
    <n v="298.72000000000003"/>
    <m/>
    <x v="953"/>
    <x v="14"/>
    <s v="Contenedor 20'"/>
    <m/>
    <s v="Granel Sólido"/>
    <m/>
    <m/>
    <s v="JULIO '20"/>
    <x v="0"/>
    <m/>
    <m/>
    <m/>
    <x v="546"/>
    <m/>
    <m/>
    <x v="537"/>
    <n v="10"/>
    <n v="2020"/>
    <x v="0"/>
    <x v="0"/>
    <s v="BREVIK / NORUEGA"/>
    <x v="4"/>
    <m/>
    <x v="4"/>
    <x v="789"/>
    <d v="2020-08-15T00:00:00"/>
    <s v="ENERGIZER "/>
    <x v="129"/>
    <x v="2"/>
    <m/>
    <s v="REALIZADO"/>
    <s v="ORIGEN"/>
    <m/>
    <m/>
    <m/>
    <x v="0"/>
    <d v="2020-10-27T00:00:00"/>
    <m/>
    <x v="0"/>
    <x v="0"/>
    <m/>
    <m/>
    <x v="0"/>
    <e v="#REF!"/>
    <m/>
    <m/>
    <m/>
    <m/>
    <m/>
    <x v="0"/>
    <m/>
    <m/>
    <m/>
    <m/>
    <s v="ADM TEMPORAL"/>
    <m/>
    <m/>
    <m/>
  </r>
  <r>
    <n v="2020"/>
    <s v="O-S"/>
    <x v="0"/>
    <x v="0"/>
    <m/>
    <m/>
    <x v="1106"/>
    <m/>
    <x v="895"/>
    <m/>
    <m/>
    <m/>
    <s v="CERRADO"/>
    <n v="203553"/>
    <x v="123"/>
    <x v="53"/>
    <x v="490"/>
    <s v="AGOSTO"/>
    <s v="CAD"/>
    <m/>
    <s v="F200-00042748"/>
    <m/>
    <d v="2020-09-09T00:00:00"/>
    <s v="CANCELADO"/>
    <s v="CFR"/>
    <m/>
    <x v="448"/>
    <n v="274.68"/>
    <m/>
    <x v="954"/>
    <x v="9"/>
    <s v="Contenedor 20'"/>
    <m/>
    <s v="Granel Sólido"/>
    <m/>
    <m/>
    <s v="AGOSTO '20"/>
    <x v="0"/>
    <m/>
    <m/>
    <m/>
    <x v="547"/>
    <m/>
    <m/>
    <x v="524"/>
    <n v="9"/>
    <n v="2020"/>
    <x v="0"/>
    <x v="0"/>
    <s v="BREVIK / NORUEGA"/>
    <x v="0"/>
    <m/>
    <x v="1"/>
    <x v="790"/>
    <d v="2020-08-11T00:00:00"/>
    <s v="MEANDI"/>
    <x v="244"/>
    <x v="9"/>
    <m/>
    <s v="REALIZADO"/>
    <s v="DESTINO"/>
    <m/>
    <m/>
    <m/>
    <x v="0"/>
    <m/>
    <m/>
    <x v="0"/>
    <x v="0"/>
    <m/>
    <m/>
    <x v="0"/>
    <e v="#REF!"/>
    <m/>
    <m/>
    <m/>
    <m/>
    <m/>
    <x v="0"/>
    <s v="anulada: 8000000954"/>
    <m/>
    <m/>
    <m/>
    <s v="NACIONALIZADO"/>
    <m/>
    <m/>
    <m/>
  </r>
  <r>
    <n v="2020"/>
    <s v="O-S"/>
    <x v="0"/>
    <x v="0"/>
    <m/>
    <m/>
    <x v="1107"/>
    <m/>
    <x v="896"/>
    <m/>
    <m/>
    <m/>
    <s v="CERRADO"/>
    <n v="203553"/>
    <x v="123"/>
    <x v="53"/>
    <x v="491"/>
    <s v="AGOSTO"/>
    <s v="CAD"/>
    <m/>
    <s v="F200-00042753"/>
    <m/>
    <d v="2020-09-09T00:00:00"/>
    <s v="CANCELADO"/>
    <s v="CFR"/>
    <m/>
    <x v="449"/>
    <n v="272.29000000000002"/>
    <m/>
    <x v="955"/>
    <x v="20"/>
    <s v="Contenedor 20'"/>
    <m/>
    <s v="Granel Sólido"/>
    <m/>
    <m/>
    <s v="AGOSTO '20"/>
    <x v="0"/>
    <m/>
    <m/>
    <m/>
    <x v="504"/>
    <m/>
    <m/>
    <x v="561"/>
    <n v="9"/>
    <n v="2020"/>
    <x v="0"/>
    <x v="0"/>
    <s v="BREVIK / NORUEGA"/>
    <x v="2"/>
    <m/>
    <x v="3"/>
    <x v="791"/>
    <d v="2020-08-11T00:00:00"/>
    <s v="MEANDI"/>
    <x v="30"/>
    <x v="9"/>
    <m/>
    <s v="REALIZADO"/>
    <s v="SWB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O-S"/>
    <x v="0"/>
    <x v="0"/>
    <m/>
    <m/>
    <x v="1108"/>
    <m/>
    <x v="897"/>
    <m/>
    <m/>
    <m/>
    <s v="CERRADO"/>
    <n v="203553"/>
    <x v="123"/>
    <x v="53"/>
    <x v="491"/>
    <s v="AGOSTO"/>
    <s v="CAD"/>
    <m/>
    <s v="F200-00042753"/>
    <m/>
    <d v="2020-09-09T00:00:00"/>
    <s v="CANCELADO"/>
    <s v="CFR"/>
    <m/>
    <x v="450"/>
    <n v="272.29000000000002"/>
    <m/>
    <x v="956"/>
    <x v="11"/>
    <s v="Contenedor 20'"/>
    <m/>
    <s v="Granel Sólido"/>
    <m/>
    <m/>
    <s v="AGOSTO '20"/>
    <x v="0"/>
    <m/>
    <m/>
    <m/>
    <x v="524"/>
    <m/>
    <m/>
    <x v="560"/>
    <n v="9"/>
    <n v="2020"/>
    <x v="0"/>
    <x v="0"/>
    <s v="BREVIK / NORUEGA"/>
    <x v="2"/>
    <m/>
    <x v="3"/>
    <x v="792"/>
    <d v="2020-08-11T00:00:00"/>
    <s v="MEANDI"/>
    <x v="155"/>
    <x v="9"/>
    <m/>
    <s v="REALIZADO"/>
    <s v="SWB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O-S"/>
    <x v="0"/>
    <x v="0"/>
    <m/>
    <m/>
    <x v="1109"/>
    <m/>
    <x v="898"/>
    <m/>
    <m/>
    <m/>
    <s v="CERRADO"/>
    <n v="203553"/>
    <x v="123"/>
    <x v="53"/>
    <x v="492"/>
    <s v="AGOSTO"/>
    <s v="CAD"/>
    <m/>
    <s v="F200-00042716"/>
    <m/>
    <d v="2020-09-09T00:00:00"/>
    <s v="CANCELADO"/>
    <s v="CFR"/>
    <m/>
    <x v="451"/>
    <n v="301.95999999999998"/>
    <m/>
    <x v="957"/>
    <x v="7"/>
    <s v="Contenedor 20'"/>
    <m/>
    <s v="Granel Sólido"/>
    <m/>
    <m/>
    <s v="AGOSTO '20"/>
    <x v="0"/>
    <m/>
    <m/>
    <m/>
    <x v="546"/>
    <m/>
    <m/>
    <x v="562"/>
    <n v="10"/>
    <n v="2020"/>
    <x v="0"/>
    <x v="0"/>
    <s v="BREVIK / NORUEGA"/>
    <x v="4"/>
    <m/>
    <x v="2"/>
    <x v="793"/>
    <d v="2020-08-07T00:00:00"/>
    <s v="ENERGIZER"/>
    <x v="129"/>
    <x v="2"/>
    <m/>
    <s v="REALIZADO"/>
    <s v="ORIGEN"/>
    <m/>
    <m/>
    <m/>
    <x v="0"/>
    <d v="2020-10-28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O-S"/>
    <x v="0"/>
    <x v="0"/>
    <m/>
    <m/>
    <x v="1110"/>
    <m/>
    <x v="899"/>
    <m/>
    <m/>
    <m/>
    <s v="CERRADO"/>
    <n v="203553"/>
    <x v="123"/>
    <x v="53"/>
    <x v="492"/>
    <s v="AGOSTO"/>
    <s v="CAD"/>
    <m/>
    <s v="F200-00042716"/>
    <m/>
    <d v="2020-09-09T00:00:00"/>
    <s v="CANCELADO"/>
    <s v="CFR"/>
    <m/>
    <x v="452"/>
    <n v="301.95999999999998"/>
    <m/>
    <x v="958"/>
    <x v="11"/>
    <s v="Contenedor 20'"/>
    <m/>
    <s v="Granel Sólido"/>
    <m/>
    <m/>
    <s v="AGOSTO '20"/>
    <x v="0"/>
    <m/>
    <m/>
    <m/>
    <x v="546"/>
    <m/>
    <m/>
    <x v="545"/>
    <n v="10"/>
    <n v="2020"/>
    <x v="0"/>
    <x v="0"/>
    <s v="BREVIK / NORUEGA"/>
    <x v="4"/>
    <m/>
    <x v="2"/>
    <x v="794"/>
    <d v="2020-08-07T00:00:00"/>
    <s v="ENERGIZER"/>
    <x v="129"/>
    <x v="2"/>
    <m/>
    <s v="REALIZADO"/>
    <s v="ORIGEN"/>
    <m/>
    <m/>
    <m/>
    <x v="0"/>
    <d v="2020-10-21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O-S"/>
    <x v="0"/>
    <x v="0"/>
    <m/>
    <m/>
    <x v="1111"/>
    <m/>
    <x v="900"/>
    <m/>
    <m/>
    <m/>
    <s v="CERRADO"/>
    <n v="208063"/>
    <x v="104"/>
    <x v="53"/>
    <x v="493"/>
    <s v="AGOSTO"/>
    <s v="CAD"/>
    <m/>
    <s v="F200-00042831"/>
    <m/>
    <d v="2020-09-05T00:00:00"/>
    <s v="CANCELADO"/>
    <s v="CFR"/>
    <m/>
    <x v="453"/>
    <n v="532.55999999999995"/>
    <m/>
    <x v="959"/>
    <x v="33"/>
    <s v="Contenedor 20'"/>
    <m/>
    <s v="Granel Sólido"/>
    <m/>
    <m/>
    <s v="AGOSTO '20"/>
    <x v="0"/>
    <m/>
    <m/>
    <m/>
    <x v="546"/>
    <m/>
    <m/>
    <x v="562"/>
    <n v="10"/>
    <n v="2020"/>
    <x v="0"/>
    <x v="0"/>
    <s v="BREVIK / NORUEGA"/>
    <x v="4"/>
    <m/>
    <x v="2"/>
    <x v="795"/>
    <d v="2020-08-18T00:00:00"/>
    <s v="MEANDI"/>
    <x v="129"/>
    <x v="2"/>
    <m/>
    <s v="REALIZADO"/>
    <s v="ORIGEN"/>
    <m/>
    <m/>
    <m/>
    <x v="0"/>
    <d v="2020-10-28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T-S"/>
    <x v="0"/>
    <x v="0"/>
    <m/>
    <m/>
    <x v="1112"/>
    <m/>
    <x v="901"/>
    <m/>
    <m/>
    <m/>
    <s v="CERRADO"/>
    <n v="208067"/>
    <x v="115"/>
    <x v="53"/>
    <x v="494"/>
    <s v="AGOSTO"/>
    <n v="30"/>
    <s v="días BL"/>
    <s v="F200-00042735"/>
    <m/>
    <d v="2020-09-30T00:00:00"/>
    <s v="CANCELADO"/>
    <s v="CFR"/>
    <m/>
    <x v="101"/>
    <n v="235.1"/>
    <m/>
    <x v="960"/>
    <x v="1"/>
    <s v="Contenedor 20'"/>
    <m/>
    <s v="25 kg"/>
    <m/>
    <m/>
    <s v="AGOSTO '20"/>
    <x v="0"/>
    <m/>
    <m/>
    <m/>
    <x v="548"/>
    <m/>
    <m/>
    <x v="563"/>
    <n v="10"/>
    <n v="2020"/>
    <x v="0"/>
    <x v="0"/>
    <s v="CARTAGENA / COLOMBIA"/>
    <x v="4"/>
    <m/>
    <x v="2"/>
    <x v="796"/>
    <d v="2020-09-05T00:00:00"/>
    <s v="MAERSK WAKAYAMA"/>
    <x v="280"/>
    <x v="8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T-S"/>
    <x v="0"/>
    <x v="0"/>
    <m/>
    <m/>
    <x v="1113"/>
    <m/>
    <x v="902"/>
    <m/>
    <m/>
    <m/>
    <s v="CERRADO"/>
    <n v="208067"/>
    <x v="115"/>
    <x v="53"/>
    <x v="495"/>
    <s v="AGOSTO"/>
    <n v="30"/>
    <s v="días BL"/>
    <s v="F200-00042701"/>
    <m/>
    <d v="2020-09-25T00:00:00"/>
    <s v="CANCELADO"/>
    <s v="CFR"/>
    <m/>
    <x v="4"/>
    <n v="249.9"/>
    <m/>
    <x v="961"/>
    <x v="38"/>
    <s v="Contenedor 20'"/>
    <m/>
    <s v="25 kg"/>
    <m/>
    <m/>
    <s v="AGOSTO '20"/>
    <x v="0"/>
    <m/>
    <m/>
    <m/>
    <x v="509"/>
    <m/>
    <m/>
    <x v="564"/>
    <n v="9"/>
    <n v="2020"/>
    <x v="0"/>
    <x v="0"/>
    <s v="CARTAGENA / COLOMBIA"/>
    <x v="2"/>
    <m/>
    <x v="3"/>
    <x v="797"/>
    <d v="2020-08-26T00:00:00"/>
    <s v="COSCO SHIPPING DANUBE"/>
    <x v="211"/>
    <x v="2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O-S"/>
    <x v="0"/>
    <x v="0"/>
    <m/>
    <m/>
    <x v="1114"/>
    <m/>
    <x v="903"/>
    <m/>
    <m/>
    <m/>
    <s v="CERRADO"/>
    <n v="208061"/>
    <x v="102"/>
    <x v="53"/>
    <x v="496"/>
    <s v="AGOSTO"/>
    <s v="CAD"/>
    <m/>
    <s v="F200-00042730"/>
    <m/>
    <d v="2020-09-09T00:00:00"/>
    <s v="CANCELADO"/>
    <s v="CFR"/>
    <m/>
    <x v="454"/>
    <n v="362.84"/>
    <m/>
    <x v="962"/>
    <x v="32"/>
    <s v="Contenedor 20'"/>
    <m/>
    <s v="Granel Sólido"/>
    <m/>
    <m/>
    <s v="AGOSTO '20"/>
    <x v="0"/>
    <m/>
    <m/>
    <m/>
    <x v="545"/>
    <m/>
    <m/>
    <x v="529"/>
    <n v="10"/>
    <n v="2020"/>
    <x v="0"/>
    <x v="0"/>
    <s v="BREVIK / NORUEGA"/>
    <x v="0"/>
    <m/>
    <x v="5"/>
    <x v="798"/>
    <d v="2020-08-25T00:00:00"/>
    <s v="CERES"/>
    <x v="244"/>
    <x v="9"/>
    <m/>
    <s v="REALIZADO"/>
    <s v="SWB"/>
    <m/>
    <m/>
    <m/>
    <x v="0"/>
    <d v="2020-10-13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O-S"/>
    <x v="0"/>
    <x v="0"/>
    <m/>
    <m/>
    <x v="1115"/>
    <m/>
    <x v="904"/>
    <m/>
    <m/>
    <m/>
    <s v="CERRADO"/>
    <n v="208061"/>
    <x v="102"/>
    <x v="53"/>
    <x v="497"/>
    <s v="AGOSTO"/>
    <s v="CAD"/>
    <m/>
    <s v="F200-00042814"/>
    <m/>
    <d v="2020-09-09T00:00:00"/>
    <s v="CANCELADO"/>
    <s v="CFR"/>
    <m/>
    <x v="455"/>
    <n v="360.68"/>
    <m/>
    <x v="963"/>
    <x v="33"/>
    <s v="Contenedor 20'"/>
    <m/>
    <s v="Granel Sólido"/>
    <m/>
    <m/>
    <s v="AGOSTO '20"/>
    <x v="0"/>
    <m/>
    <m/>
    <m/>
    <x v="521"/>
    <m/>
    <m/>
    <x v="565"/>
    <n v="10"/>
    <n v="2020"/>
    <x v="0"/>
    <x v="0"/>
    <s v="BREVIK / NORUEGA"/>
    <x v="2"/>
    <m/>
    <x v="3"/>
    <x v="799"/>
    <d v="2020-08-25T00:00:00"/>
    <s v="ENERGIZER"/>
    <x v="32"/>
    <x v="9"/>
    <m/>
    <s v="REALIZADO"/>
    <s v="SWB"/>
    <m/>
    <m/>
    <m/>
    <x v="0"/>
    <d v="2020-10-17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T-S"/>
    <x v="0"/>
    <x v="0"/>
    <m/>
    <m/>
    <x v="1116"/>
    <m/>
    <x v="905"/>
    <m/>
    <m/>
    <m/>
    <s v="CERRADO"/>
    <n v="208067"/>
    <x v="115"/>
    <x v="53"/>
    <x v="498"/>
    <s v="SETIEMBRE"/>
    <n v="30"/>
    <s v="días BL"/>
    <s v="F200-00042732"/>
    <m/>
    <d v="2020-09-30T00:00:00"/>
    <s v="CANCELADO"/>
    <s v="CFR"/>
    <m/>
    <x v="35"/>
    <n v="235.1"/>
    <m/>
    <x v="964"/>
    <x v="26"/>
    <s v="Contenedor 20'"/>
    <m/>
    <s v="25 kg"/>
    <m/>
    <m/>
    <s v="SETIEMBRE '20"/>
    <x v="0"/>
    <m/>
    <m/>
    <m/>
    <x v="549"/>
    <m/>
    <m/>
    <x v="525"/>
    <n v="9"/>
    <n v="2020"/>
    <x v="0"/>
    <x v="0"/>
    <s v="CARTAGENA / COLOMBIA"/>
    <x v="0"/>
    <m/>
    <x v="2"/>
    <x v="800"/>
    <d v="2020-09-04T00:00:00"/>
    <s v="LIMARI"/>
    <x v="217"/>
    <x v="9"/>
    <m/>
    <s v="REALIZADO"/>
    <s v="SWB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T-S"/>
    <x v="0"/>
    <x v="0"/>
    <m/>
    <m/>
    <x v="1117"/>
    <m/>
    <x v="906"/>
    <m/>
    <m/>
    <m/>
    <s v="CERRADO"/>
    <n v="208067"/>
    <x v="115"/>
    <x v="53"/>
    <x v="499"/>
    <s v="SETIEMBRE"/>
    <n v="30"/>
    <s v="días BL"/>
    <s v="F200-00042733"/>
    <m/>
    <d v="2020-09-30T00:00:00"/>
    <s v="CANCELADO"/>
    <s v="CFR"/>
    <m/>
    <x v="456"/>
    <n v="235.1"/>
    <m/>
    <x v="965"/>
    <x v="48"/>
    <s v="Contenedor 20'"/>
    <m/>
    <s v="25 kg"/>
    <m/>
    <m/>
    <s v="SETIEMBRE '20"/>
    <x v="0"/>
    <m/>
    <m/>
    <m/>
    <x v="515"/>
    <m/>
    <m/>
    <x v="504"/>
    <n v="9"/>
    <n v="2020"/>
    <x v="0"/>
    <x v="0"/>
    <s v="CARTAGENA / COLOMBIA"/>
    <x v="2"/>
    <m/>
    <x v="6"/>
    <x v="801"/>
    <d v="2020-09-02T00:00:00"/>
    <s v="CARTAGENA EXPRESS"/>
    <x v="39"/>
    <x v="2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T-S"/>
    <x v="0"/>
    <x v="0"/>
    <m/>
    <m/>
    <x v="1118"/>
    <m/>
    <x v="907"/>
    <m/>
    <m/>
    <m/>
    <s v="CERRADO"/>
    <n v="208067"/>
    <x v="115"/>
    <x v="53"/>
    <x v="500"/>
    <s v="SETIEMBRE"/>
    <n v="30"/>
    <s v="días BL"/>
    <s v="F200-00042736"/>
    <m/>
    <d v="2020-09-30T00:00:00"/>
    <s v="CANCELADO"/>
    <s v="CFR"/>
    <m/>
    <x v="456"/>
    <n v="235.1"/>
    <m/>
    <x v="965"/>
    <x v="48"/>
    <s v="Contenedor 20'"/>
    <m/>
    <s v="25 kg"/>
    <m/>
    <m/>
    <s v="SETIEMBRE '20"/>
    <x v="0"/>
    <m/>
    <m/>
    <m/>
    <x v="504"/>
    <m/>
    <m/>
    <x v="566"/>
    <n v="9"/>
    <n v="2020"/>
    <x v="0"/>
    <x v="0"/>
    <s v="CARTAGENA / COLOMBIA"/>
    <x v="2"/>
    <m/>
    <x v="3"/>
    <x v="802"/>
    <d v="2020-09-09T00:00:00"/>
    <s v="VALPARAISO EXPRESS"/>
    <x v="30"/>
    <x v="2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T-S"/>
    <x v="0"/>
    <x v="0"/>
    <m/>
    <m/>
    <x v="1119"/>
    <m/>
    <x v="908"/>
    <m/>
    <m/>
    <m/>
    <s v="CERRADO"/>
    <n v="208067"/>
    <x v="115"/>
    <x v="53"/>
    <x v="501"/>
    <s v="SETIEMBRE"/>
    <n v="30"/>
    <s v="días BL"/>
    <s v="F200-00042734"/>
    <m/>
    <d v="2020-09-25T00:00:00"/>
    <s v="CANCELADO"/>
    <s v="CFR"/>
    <m/>
    <x v="101"/>
    <n v="249.9"/>
    <m/>
    <x v="966"/>
    <x v="1"/>
    <s v="Contenedor 20'"/>
    <m/>
    <s v="25 kg"/>
    <m/>
    <m/>
    <s v="SETIEMBRE '20"/>
    <x v="0"/>
    <m/>
    <m/>
    <m/>
    <x v="504"/>
    <m/>
    <m/>
    <x v="516"/>
    <n v="10"/>
    <n v="2020"/>
    <x v="0"/>
    <x v="0"/>
    <s v="CARTAGENA / COLOMBIA"/>
    <x v="4"/>
    <m/>
    <x v="2"/>
    <x v="803"/>
    <d v="2020-08-28T00:00:00"/>
    <s v="POHORJE"/>
    <x v="129"/>
    <x v="2"/>
    <m/>
    <s v="REALIZADO"/>
    <s v="DESTINO"/>
    <m/>
    <m/>
    <m/>
    <x v="0"/>
    <d v="2020-10-09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O-S"/>
    <x v="0"/>
    <x v="0"/>
    <m/>
    <m/>
    <x v="1120"/>
    <m/>
    <x v="909"/>
    <m/>
    <m/>
    <m/>
    <s v="CERRADO"/>
    <n v="204750"/>
    <x v="120"/>
    <x v="53"/>
    <x v="502"/>
    <s v="JULIO"/>
    <s v="CAD"/>
    <m/>
    <s v="F200-00042668"/>
    <m/>
    <d v="2020-08-22T00:00:00"/>
    <s v="CANCELADO"/>
    <s v="CFR"/>
    <m/>
    <x v="416"/>
    <n v="372"/>
    <m/>
    <x v="881"/>
    <x v="35"/>
    <s v="Contenedor 20'"/>
    <m/>
    <s v="50 kg"/>
    <m/>
    <m/>
    <s v="JULIO '20"/>
    <x v="0"/>
    <m/>
    <m/>
    <m/>
    <x v="504"/>
    <m/>
    <m/>
    <x v="514"/>
    <n v="9"/>
    <n v="2020"/>
    <x v="0"/>
    <x v="0"/>
    <s v="CARTAGENA / COLOMBIA"/>
    <x v="4"/>
    <m/>
    <x v="7"/>
    <x v="804"/>
    <d v="2020-08-14T00:00:00"/>
    <s v="POHORJE"/>
    <x v="129"/>
    <x v="2"/>
    <m/>
    <s v="REALIZADO"/>
    <s v="DESTINO"/>
    <m/>
    <m/>
    <m/>
    <x v="0"/>
    <d v="2020-10-09T00:00:00"/>
    <m/>
    <x v="0"/>
    <x v="0"/>
    <m/>
    <m/>
    <x v="0"/>
    <e v="#REF!"/>
    <m/>
    <m/>
    <m/>
    <m/>
    <m/>
    <x v="0"/>
    <s v="anulada: 8000000939"/>
    <m/>
    <m/>
    <m/>
    <s v="NACIONALIZADO"/>
    <m/>
    <m/>
    <m/>
  </r>
  <r>
    <n v="2020"/>
    <s v="O-S"/>
    <x v="0"/>
    <x v="0"/>
    <m/>
    <m/>
    <x v="1121"/>
    <m/>
    <x v="910"/>
    <m/>
    <m/>
    <m/>
    <s v="CERRADO"/>
    <n v="208063"/>
    <x v="104"/>
    <x v="53"/>
    <x v="503"/>
    <s v="AGOSTO"/>
    <s v="CAD"/>
    <m/>
    <s v="F200-00042711"/>
    <m/>
    <d v="2020-09-05T00:00:00"/>
    <s v="CANCELADO"/>
    <s v="CFR"/>
    <m/>
    <x v="457"/>
    <n v="503.9799989"/>
    <m/>
    <x v="967"/>
    <x v="27"/>
    <s v="Contenedor 20'"/>
    <m/>
    <s v="Granel Sólido"/>
    <m/>
    <m/>
    <s v="AGOSTO '20"/>
    <x v="0"/>
    <m/>
    <m/>
    <m/>
    <x v="524"/>
    <m/>
    <m/>
    <x v="514"/>
    <n v="9"/>
    <n v="2020"/>
    <x v="0"/>
    <x v="0"/>
    <s v="BREVIK / NORUEGA"/>
    <x v="2"/>
    <m/>
    <x v="3"/>
    <x v="805"/>
    <d v="2020-08-18T00:00:00"/>
    <s v="MEANDI"/>
    <x v="155"/>
    <x v="9"/>
    <m/>
    <s v="REALIZADO"/>
    <s v="SWB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122"/>
    <m/>
    <x v="911"/>
    <m/>
    <m/>
    <m/>
    <s v="CERRADO"/>
    <n v="203616"/>
    <x v="15"/>
    <x v="2"/>
    <x v="504"/>
    <d v="2020-08-17T00:00:00"/>
    <s v="CAD"/>
    <m/>
    <s v="SI0004275a"/>
    <m/>
    <d v="2020-11-10T00:00:00"/>
    <s v="CANCELADO"/>
    <s v="CIF"/>
    <m/>
    <x v="458"/>
    <n v="137.25"/>
    <m/>
    <x v="968"/>
    <x v="3"/>
    <s v="Granel"/>
    <m/>
    <s v="Granel Sólido"/>
    <m/>
    <m/>
    <s v="2H SETIEMBRE '20"/>
    <x v="0"/>
    <m/>
    <m/>
    <m/>
    <x v="541"/>
    <m/>
    <m/>
    <x v="541"/>
    <n v="11"/>
    <n v="2020"/>
    <x v="0"/>
    <x v="0"/>
    <s v="HUANGHUA / CHINA"/>
    <x v="0"/>
    <m/>
    <x v="1"/>
    <x v="806"/>
    <d v="2020-10-14T00:00:00"/>
    <s v="MV PRETTY SIGHT"/>
    <x v="281"/>
    <x v="0"/>
    <m/>
    <s v="NO APLICA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123"/>
    <m/>
    <x v="912"/>
    <m/>
    <m/>
    <m/>
    <s v="CERRADO"/>
    <n v="203616"/>
    <x v="15"/>
    <x v="2"/>
    <x v="504"/>
    <d v="2020-08-17T00:00:00"/>
    <s v="CAD"/>
    <m/>
    <s v="SI0004275b"/>
    <m/>
    <d v="2020-11-10T00:00:00"/>
    <s v="CANCELADO"/>
    <s v="CIF"/>
    <m/>
    <x v="459"/>
    <n v="137.25"/>
    <m/>
    <x v="969"/>
    <x v="3"/>
    <s v="Granel"/>
    <m/>
    <s v="Granel Sólido"/>
    <m/>
    <m/>
    <s v="2H SETIEMBRE '20"/>
    <x v="0"/>
    <m/>
    <m/>
    <m/>
    <x v="550"/>
    <m/>
    <m/>
    <x v="567"/>
    <n v="11"/>
    <n v="2020"/>
    <x v="0"/>
    <x v="0"/>
    <s v="HUANGHUA / CHINA"/>
    <x v="1"/>
    <m/>
    <x v="2"/>
    <x v="807"/>
    <d v="2020-10-14T00:00:00"/>
    <s v="MV PRETTY SIGHT"/>
    <x v="281"/>
    <x v="0"/>
    <m/>
    <s v="NO APLICA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124"/>
    <m/>
    <x v="913"/>
    <m/>
    <m/>
    <m/>
    <s v="CERRADO"/>
    <n v="203616"/>
    <x v="15"/>
    <x v="2"/>
    <x v="504"/>
    <d v="2020-08-17T00:00:00"/>
    <s v="CAD"/>
    <m/>
    <s v="SI0004275c"/>
    <m/>
    <d v="2020-11-10T00:00:00"/>
    <s v="CANCELADO"/>
    <s v="CIF"/>
    <m/>
    <x v="17"/>
    <n v="137.25"/>
    <m/>
    <x v="970"/>
    <x v="3"/>
    <s v="Granel"/>
    <m/>
    <s v="Granel Sólido"/>
    <m/>
    <m/>
    <s v="2H SETIEMBRE '20"/>
    <x v="0"/>
    <m/>
    <m/>
    <m/>
    <x v="543"/>
    <m/>
    <m/>
    <x v="554"/>
    <n v="11"/>
    <n v="2020"/>
    <x v="0"/>
    <x v="0"/>
    <s v="HUANGHUA / CHINA"/>
    <x v="2"/>
    <m/>
    <x v="6"/>
    <x v="808"/>
    <d v="2020-10-14T00:00:00"/>
    <s v="MV PRETTY SIGHT"/>
    <x v="281"/>
    <x v="0"/>
    <m/>
    <s v="NO APLICA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125"/>
    <m/>
    <x v="914"/>
    <m/>
    <m/>
    <m/>
    <s v="CERRADO"/>
    <n v="203616"/>
    <x v="15"/>
    <x v="2"/>
    <x v="504"/>
    <d v="2020-08-17T00:00:00"/>
    <s v="CAD"/>
    <m/>
    <s v="SI0004275d"/>
    <m/>
    <d v="2020-11-10T00:00:00"/>
    <s v="CANCELADO"/>
    <s v="CIF"/>
    <m/>
    <x v="21"/>
    <n v="137.25"/>
    <m/>
    <x v="971"/>
    <x v="3"/>
    <s v="Granel"/>
    <m/>
    <s v="Granel Sólido"/>
    <m/>
    <m/>
    <s v="2H SETIEMBRE '20"/>
    <x v="0"/>
    <m/>
    <m/>
    <m/>
    <x v="535"/>
    <m/>
    <m/>
    <x v="568"/>
    <n v="12"/>
    <n v="2020"/>
    <x v="0"/>
    <x v="0"/>
    <s v="HUANGHUA / CHINA"/>
    <x v="3"/>
    <m/>
    <x v="1"/>
    <x v="809"/>
    <d v="2020-10-14T00:00:00"/>
    <s v="MV PRETTY SIGHT"/>
    <x v="281"/>
    <x v="0"/>
    <m/>
    <s v="NO APLICA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126"/>
    <m/>
    <x v="915"/>
    <m/>
    <m/>
    <m/>
    <s v="CERRADO"/>
    <n v="203616"/>
    <x v="15"/>
    <x v="2"/>
    <x v="504"/>
    <d v="2020-08-17T00:00:00"/>
    <s v="CAD"/>
    <m/>
    <s v="SI0004275e"/>
    <m/>
    <d v="2020-11-10T00:00:00"/>
    <s v="CANCELADO"/>
    <s v="CIF"/>
    <m/>
    <x v="54"/>
    <n v="137.25"/>
    <m/>
    <x v="972"/>
    <x v="3"/>
    <s v="Granel"/>
    <m/>
    <s v="Granel Sólido"/>
    <m/>
    <m/>
    <s v="2H SETIEMBRE '20"/>
    <x v="0"/>
    <m/>
    <m/>
    <m/>
    <x v="551"/>
    <m/>
    <m/>
    <x v="569"/>
    <n v="12"/>
    <n v="2020"/>
    <x v="0"/>
    <x v="0"/>
    <s v="HUANGHUA / CHINA"/>
    <x v="4"/>
    <m/>
    <x v="2"/>
    <x v="810"/>
    <d v="2020-10-14T00:00:00"/>
    <s v="MV PRETTY SIGHT"/>
    <x v="281"/>
    <x v="0"/>
    <m/>
    <s v="NO APLICA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127"/>
    <m/>
    <x v="916"/>
    <m/>
    <m/>
    <m/>
    <s v="CERRADO"/>
    <n v="206569"/>
    <x v="14"/>
    <x v="2"/>
    <x v="505"/>
    <d v="2020-08-17T00:00:00"/>
    <s v="CAD"/>
    <m/>
    <s v="SI0004277a"/>
    <m/>
    <d v="2020-11-10T00:00:00"/>
    <s v="CANCELADO"/>
    <s v="CIF"/>
    <m/>
    <x v="35"/>
    <n v="361.75"/>
    <m/>
    <x v="973"/>
    <x v="3"/>
    <s v="Granel"/>
    <m/>
    <s v="Granel Sólido"/>
    <m/>
    <m/>
    <s v="2H SETIEMBRE '20"/>
    <x v="0"/>
    <m/>
    <m/>
    <m/>
    <x v="541"/>
    <m/>
    <m/>
    <x v="541"/>
    <n v="11"/>
    <n v="2020"/>
    <x v="0"/>
    <x v="0"/>
    <s v="ZHENJIANG / CHINA"/>
    <x v="0"/>
    <m/>
    <x v="5"/>
    <x v="811"/>
    <d v="2020-10-05T00:00:00"/>
    <s v="MV PRETTY SIGHT"/>
    <x v="281"/>
    <x v="0"/>
    <m/>
    <s v="NO APLICA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128"/>
    <m/>
    <x v="917"/>
    <m/>
    <m/>
    <m/>
    <s v="CERRADO"/>
    <n v="206569"/>
    <x v="14"/>
    <x v="2"/>
    <x v="505"/>
    <d v="2020-08-17T00:00:00"/>
    <s v="CAD"/>
    <m/>
    <s v="SI0004277b"/>
    <m/>
    <d v="2020-11-10T00:00:00"/>
    <s v="CANCELADO"/>
    <s v="CIF"/>
    <m/>
    <x v="3"/>
    <n v="361.75"/>
    <m/>
    <x v="974"/>
    <x v="3"/>
    <s v="Granel"/>
    <m/>
    <s v="Granel Sólido"/>
    <m/>
    <m/>
    <s v="2H SETIEMBRE '20"/>
    <x v="0"/>
    <m/>
    <m/>
    <m/>
    <x v="550"/>
    <m/>
    <m/>
    <x v="567"/>
    <n v="11"/>
    <n v="2020"/>
    <x v="0"/>
    <x v="0"/>
    <s v="ZHENJIANG / CHINA"/>
    <x v="1"/>
    <m/>
    <x v="5"/>
    <x v="812"/>
    <d v="2020-10-05T00:00:00"/>
    <s v="MV PRETTY SIGHT"/>
    <x v="281"/>
    <x v="0"/>
    <m/>
    <s v="NO APLICA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129"/>
    <m/>
    <x v="918"/>
    <m/>
    <m/>
    <m/>
    <s v="CERRADO"/>
    <n v="206569"/>
    <x v="14"/>
    <x v="2"/>
    <x v="505"/>
    <d v="2020-08-17T00:00:00"/>
    <s v="CAD"/>
    <m/>
    <s v="SI0004277c"/>
    <m/>
    <d v="2020-11-10T00:00:00"/>
    <s v="CANCELADO"/>
    <s v="CIF"/>
    <m/>
    <x v="460"/>
    <n v="361.75"/>
    <m/>
    <x v="975"/>
    <x v="3"/>
    <s v="Granel"/>
    <m/>
    <s v="Granel Sólido"/>
    <m/>
    <m/>
    <s v="2H SETIEMBRE '20"/>
    <x v="0"/>
    <m/>
    <m/>
    <m/>
    <x v="543"/>
    <m/>
    <m/>
    <x v="570"/>
    <n v="11"/>
    <n v="2020"/>
    <x v="0"/>
    <x v="0"/>
    <s v="ZHENJIANG / CHINA"/>
    <x v="2"/>
    <m/>
    <x v="6"/>
    <x v="813"/>
    <d v="2020-10-05T00:00:00"/>
    <s v="MV PRETTY SIGHT"/>
    <x v="281"/>
    <x v="0"/>
    <m/>
    <s v="NO APLICA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130"/>
    <m/>
    <x v="919"/>
    <m/>
    <m/>
    <m/>
    <s v="CERRADO"/>
    <n v="206569"/>
    <x v="14"/>
    <x v="2"/>
    <x v="505"/>
    <d v="2020-08-17T00:00:00"/>
    <s v="CAD"/>
    <m/>
    <s v="SI0004277d"/>
    <m/>
    <d v="2020-11-10T00:00:00"/>
    <s v="CANCELADO"/>
    <s v="CIF"/>
    <m/>
    <x v="461"/>
    <n v="361.75"/>
    <m/>
    <x v="976"/>
    <x v="3"/>
    <s v="Granel"/>
    <m/>
    <s v="Granel Sólido"/>
    <m/>
    <m/>
    <s v="2H SETIEMBRE '20"/>
    <x v="0"/>
    <m/>
    <m/>
    <m/>
    <x v="535"/>
    <m/>
    <m/>
    <x v="568"/>
    <n v="12"/>
    <n v="2020"/>
    <x v="0"/>
    <x v="0"/>
    <s v="ZHENJIANG / CHINA"/>
    <x v="3"/>
    <m/>
    <x v="1"/>
    <x v="814"/>
    <d v="2020-10-05T00:00:00"/>
    <s v="MV PRETTY SIGHT"/>
    <x v="281"/>
    <x v="0"/>
    <m/>
    <s v="NO APLICA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131"/>
    <m/>
    <x v="920"/>
    <m/>
    <m/>
    <m/>
    <s v="CERRADO"/>
    <n v="206569"/>
    <x v="14"/>
    <x v="2"/>
    <x v="505"/>
    <d v="2020-08-17T00:00:00"/>
    <s v="CAD"/>
    <m/>
    <s v="SI0004277e"/>
    <m/>
    <d v="2020-11-10T00:00:00"/>
    <s v="CANCELADO"/>
    <s v="CIF"/>
    <m/>
    <x v="221"/>
    <n v="361.75"/>
    <m/>
    <x v="977"/>
    <x v="3"/>
    <s v="Granel"/>
    <m/>
    <s v="Granel Sólido"/>
    <m/>
    <m/>
    <s v="2H SETIEMBRE '20"/>
    <x v="0"/>
    <m/>
    <m/>
    <m/>
    <x v="551"/>
    <m/>
    <m/>
    <x v="571"/>
    <n v="12"/>
    <n v="2020"/>
    <x v="0"/>
    <x v="0"/>
    <s v="ZHENJIANG / CHINA"/>
    <x v="4"/>
    <m/>
    <x v="2"/>
    <x v="815"/>
    <d v="2020-10-05T00:00:00"/>
    <s v="MV PRETTY SIGHT"/>
    <x v="281"/>
    <x v="0"/>
    <m/>
    <s v="NO APLICA"/>
    <s v="DESTINO"/>
    <m/>
    <m/>
    <m/>
    <x v="0"/>
    <m/>
    <m/>
    <x v="0"/>
    <x v="0"/>
    <m/>
    <m/>
    <x v="0"/>
    <e v="#REF!"/>
    <m/>
    <m/>
    <m/>
    <m/>
    <m/>
    <x v="0"/>
    <s v="anulada: 8000001135"/>
    <m/>
    <m/>
    <m/>
    <s v="NACIONALIZADO"/>
    <m/>
    <m/>
    <m/>
  </r>
  <r>
    <n v="2020"/>
    <s v="G-S"/>
    <x v="0"/>
    <x v="0"/>
    <m/>
    <m/>
    <x v="1132"/>
    <m/>
    <x v="921"/>
    <m/>
    <m/>
    <m/>
    <s v="CERRADO"/>
    <n v="208300"/>
    <x v="47"/>
    <x v="2"/>
    <x v="506"/>
    <d v="2020-08-27T00:00:00"/>
    <s v="CAD"/>
    <m/>
    <s v="SI0003726a"/>
    <m/>
    <d v="2020-10-29T00:00:00"/>
    <s v="CANCELADO"/>
    <s v="CFR"/>
    <m/>
    <x v="308"/>
    <n v="172"/>
    <m/>
    <x v="978"/>
    <x v="3"/>
    <s v="Granel - BB"/>
    <m/>
    <s v="Granel Sólido"/>
    <m/>
    <m/>
    <s v="2H SETIEMBRE '20"/>
    <x v="0"/>
    <m/>
    <m/>
    <m/>
    <x v="541"/>
    <m/>
    <m/>
    <x v="541"/>
    <n v="11"/>
    <n v="2020"/>
    <x v="0"/>
    <x v="0"/>
    <s v="HUANGHUA / CHINA"/>
    <x v="0"/>
    <m/>
    <x v="2"/>
    <x v="816"/>
    <d v="2020-10-16T00:00:00"/>
    <s v="MV PRETTY SIGHT"/>
    <x v="281"/>
    <x v="0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133"/>
    <m/>
    <x v="922"/>
    <m/>
    <m/>
    <m/>
    <s v="CERRADO"/>
    <n v="208300"/>
    <x v="47"/>
    <x v="2"/>
    <x v="506"/>
    <d v="2020-08-27T00:00:00"/>
    <s v="CAD"/>
    <m/>
    <s v="SI0003726b"/>
    <m/>
    <d v="2020-10-29T00:00:00"/>
    <s v="CANCELADO"/>
    <s v="CFR"/>
    <m/>
    <x v="1"/>
    <n v="172"/>
    <m/>
    <x v="979"/>
    <x v="3"/>
    <s v="Granel - BB"/>
    <m/>
    <s v="Granel Sólido"/>
    <m/>
    <m/>
    <s v="2H SETIEMBRE '20"/>
    <x v="0"/>
    <m/>
    <m/>
    <m/>
    <x v="550"/>
    <m/>
    <m/>
    <x v="567"/>
    <n v="11"/>
    <n v="2020"/>
    <x v="0"/>
    <x v="0"/>
    <s v="HUANGHUA / CHINA"/>
    <x v="1"/>
    <m/>
    <x v="2"/>
    <x v="817"/>
    <d v="2020-10-16T00:00:00"/>
    <s v="MV PRETTY SIGHT"/>
    <x v="281"/>
    <x v="0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134"/>
    <m/>
    <x v="923"/>
    <m/>
    <m/>
    <m/>
    <s v="CERRADO"/>
    <n v="208300"/>
    <x v="47"/>
    <x v="2"/>
    <x v="506"/>
    <d v="2020-08-27T00:00:00"/>
    <s v="CAD"/>
    <m/>
    <s v="SI0003726c"/>
    <m/>
    <d v="2020-10-29T00:00:00"/>
    <s v="CANCELADO"/>
    <s v="CFR"/>
    <m/>
    <x v="462"/>
    <n v="172"/>
    <m/>
    <x v="980"/>
    <x v="3"/>
    <s v="Granel - BB"/>
    <m/>
    <s v="Granel Sólido"/>
    <m/>
    <m/>
    <s v="2H SETIEMBRE '20"/>
    <x v="0"/>
    <m/>
    <m/>
    <m/>
    <x v="543"/>
    <m/>
    <m/>
    <x v="570"/>
    <n v="11"/>
    <n v="2020"/>
    <x v="0"/>
    <x v="0"/>
    <s v="HUANGHUA / CHINA"/>
    <x v="2"/>
    <m/>
    <x v="3"/>
    <x v="818"/>
    <d v="2020-10-16T00:00:00"/>
    <s v="MV PRETTY SIGHT"/>
    <x v="281"/>
    <x v="0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135"/>
    <m/>
    <x v="924"/>
    <m/>
    <m/>
    <m/>
    <s v="CERRADO"/>
    <n v="208300"/>
    <x v="47"/>
    <x v="2"/>
    <x v="506"/>
    <d v="2020-08-27T00:00:00"/>
    <s v="CAD"/>
    <m/>
    <s v="SI0003726d"/>
    <m/>
    <d v="2020-10-29T00:00:00"/>
    <s v="CANCELADO"/>
    <s v="CFR"/>
    <m/>
    <x v="463"/>
    <n v="172"/>
    <m/>
    <x v="981"/>
    <x v="3"/>
    <s v="Granel - BB"/>
    <m/>
    <s v="Granel Sólido"/>
    <m/>
    <m/>
    <s v="2H SETIEMBRE '20"/>
    <x v="0"/>
    <m/>
    <m/>
    <m/>
    <x v="535"/>
    <m/>
    <m/>
    <x v="568"/>
    <n v="12"/>
    <n v="2020"/>
    <x v="0"/>
    <x v="0"/>
    <s v="HUANGHUA / CHINA"/>
    <x v="3"/>
    <m/>
    <x v="1"/>
    <x v="819"/>
    <d v="2020-10-16T00:00:00"/>
    <s v="MV PRETTY SIGHT"/>
    <x v="281"/>
    <x v="0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E-S"/>
    <x v="0"/>
    <x v="0"/>
    <m/>
    <m/>
    <x v="1136"/>
    <m/>
    <x v="925"/>
    <m/>
    <m/>
    <m/>
    <s v="CERRADO"/>
    <n v="206720"/>
    <x v="46"/>
    <x v="57"/>
    <x v="507"/>
    <s v="AGOSTO"/>
    <n v="120"/>
    <s v="días BL"/>
    <s v="7300100391"/>
    <m/>
    <d v="2021-01-18T00:00:00"/>
    <s v="CANCELADO"/>
    <s v="CPT"/>
    <m/>
    <x v="464"/>
    <n v="310"/>
    <m/>
    <x v="982"/>
    <x v="11"/>
    <s v="Contenedor 20'"/>
    <m/>
    <s v="25 kg"/>
    <m/>
    <m/>
    <s v="2H SETIEMBRE '20"/>
    <x v="0"/>
    <m/>
    <m/>
    <m/>
    <x v="522"/>
    <m/>
    <m/>
    <x v="545"/>
    <n v="10"/>
    <n v="2020"/>
    <x v="0"/>
    <x v="0"/>
    <s v="HAMBURGO / ALEMANIA"/>
    <x v="2"/>
    <m/>
    <x v="3"/>
    <x v="820"/>
    <d v="2020-09-20T00:00:00"/>
    <s v="CMA CGM TANYA"/>
    <x v="41"/>
    <x v="9"/>
    <m/>
    <s v="REALIZADO"/>
    <s v="SWB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E-S"/>
    <x v="0"/>
    <x v="0"/>
    <m/>
    <m/>
    <x v="1137"/>
    <m/>
    <x v="926"/>
    <m/>
    <m/>
    <m/>
    <s v="CERRADO"/>
    <n v="206720"/>
    <x v="46"/>
    <x v="57"/>
    <x v="508"/>
    <s v="AGOSTO"/>
    <n v="120"/>
    <s v="días BL"/>
    <s v="7300100395"/>
    <m/>
    <d v="2021-01-18T00:00:00"/>
    <s v="CANCELADO"/>
    <s v="CPT"/>
    <m/>
    <x v="465"/>
    <n v="315"/>
    <m/>
    <x v="983"/>
    <x v="7"/>
    <s v="Contenedor 20'"/>
    <m/>
    <s v="25 kg"/>
    <m/>
    <m/>
    <s v="2H SETIEMBRE '20"/>
    <x v="0"/>
    <m/>
    <m/>
    <m/>
    <x v="528"/>
    <m/>
    <m/>
    <x v="539"/>
    <n v="10"/>
    <n v="2020"/>
    <x v="0"/>
    <x v="0"/>
    <s v="HAMBURGO / ALEMANIA"/>
    <x v="0"/>
    <m/>
    <x v="1"/>
    <x v="821"/>
    <d v="2020-09-20T00:00:00"/>
    <s v="CMA CGM TANYA"/>
    <x v="244"/>
    <x v="9"/>
    <m/>
    <s v="REALIZADO"/>
    <s v="SWB"/>
    <m/>
    <m/>
    <m/>
    <x v="0"/>
    <m/>
    <m/>
    <x v="0"/>
    <x v="0"/>
    <m/>
    <m/>
    <x v="0"/>
    <e v="#REF!"/>
    <m/>
    <m/>
    <m/>
    <m/>
    <m/>
    <x v="0"/>
    <s v="anulada: 8000000961"/>
    <m/>
    <m/>
    <m/>
    <s v="NACIONALIZADO"/>
    <m/>
    <m/>
    <m/>
  </r>
  <r>
    <n v="2020"/>
    <s v="S-S"/>
    <x v="0"/>
    <x v="0"/>
    <s v="URGENTE"/>
    <m/>
    <x v="1138"/>
    <m/>
    <x v="927"/>
    <m/>
    <m/>
    <m/>
    <s v="CERRADO"/>
    <n v="207579"/>
    <x v="9"/>
    <x v="27"/>
    <x v="509"/>
    <d v="2020-09-02T00:00:00"/>
    <n v="150"/>
    <s v="días BL"/>
    <s v="B7FE-20-3016-MNPE"/>
    <m/>
    <d v="2021-02-17T00:00:00"/>
    <s v="CANCELADO"/>
    <s v="CFR"/>
    <m/>
    <x v="397"/>
    <n v="225"/>
    <m/>
    <x v="984"/>
    <x v="3"/>
    <s v="Granel - BB"/>
    <m/>
    <s v="25 kg"/>
    <m/>
    <m/>
    <s v="SETIEMBRE '20"/>
    <x v="0"/>
    <m/>
    <m/>
    <m/>
    <x v="543"/>
    <m/>
    <m/>
    <x v="572"/>
    <n v="12"/>
    <n v="2020"/>
    <x v="0"/>
    <x v="0"/>
    <s v="TIANJIN / CHINA"/>
    <x v="2"/>
    <m/>
    <x v="1"/>
    <x v="822"/>
    <d v="2020-09-20T00:00:00"/>
    <s v="ASIA PEARL II"/>
    <x v="282"/>
    <x v="0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1139"/>
    <m/>
    <x v="928"/>
    <m/>
    <m/>
    <m/>
    <s v="CERRADO"/>
    <n v="206914"/>
    <x v="12"/>
    <x v="58"/>
    <x v="510"/>
    <d v="2020-08-29T00:00:00"/>
    <s v="CAD"/>
    <m/>
    <s v="STL0110107356"/>
    <m/>
    <d v="2020-11-05T00:00:00"/>
    <s v="CANCELADO"/>
    <s v="CFR"/>
    <m/>
    <x v="466"/>
    <n v="118"/>
    <n v="43"/>
    <x v="985"/>
    <x v="3"/>
    <s v="Granel - BB"/>
    <m/>
    <s v="25 kg"/>
    <m/>
    <m/>
    <s v="SETIEMBRE '20"/>
    <x v="0"/>
    <m/>
    <m/>
    <m/>
    <x v="552"/>
    <m/>
    <m/>
    <x v="570"/>
    <n v="11"/>
    <n v="2020"/>
    <x v="0"/>
    <x v="0"/>
    <s v="BAYUQUAN / CHINA"/>
    <x v="0"/>
    <m/>
    <x v="5"/>
    <x v="823"/>
    <d v="2020-10-10T00:00:00"/>
    <s v="MV STAR JAPAN"/>
    <x v="283"/>
    <x v="0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1140"/>
    <m/>
    <x v="929"/>
    <m/>
    <m/>
    <m/>
    <s v="CERRADO"/>
    <n v="206966"/>
    <x v="16"/>
    <x v="2"/>
    <x v="511"/>
    <d v="2020-09-01T00:00:00"/>
    <s v="CAD"/>
    <m/>
    <s v="SI0003736a"/>
    <m/>
    <d v="2020-10-29T00:00:00"/>
    <s v="CANCELADO"/>
    <s v="CFR"/>
    <m/>
    <x v="0"/>
    <n v="585"/>
    <m/>
    <x v="986"/>
    <x v="3"/>
    <s v="Granel - BB"/>
    <m/>
    <s v="25 kg"/>
    <m/>
    <m/>
    <s v="2H SETIEMBRE '20"/>
    <x v="0"/>
    <m/>
    <m/>
    <m/>
    <x v="541"/>
    <m/>
    <m/>
    <x v="541"/>
    <n v="11"/>
    <n v="2020"/>
    <x v="0"/>
    <x v="0"/>
    <s v="ZHENJIANG / CHINA"/>
    <x v="0"/>
    <m/>
    <x v="2"/>
    <x v="824"/>
    <d v="2020-10-06T00:00:00"/>
    <s v="MV PRETTY SIGHT"/>
    <x v="281"/>
    <x v="0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1141"/>
    <m/>
    <x v="930"/>
    <m/>
    <m/>
    <m/>
    <s v="CERRADO"/>
    <n v="206966"/>
    <x v="16"/>
    <x v="2"/>
    <x v="511"/>
    <d v="2020-09-01T00:00:00"/>
    <s v="CAD"/>
    <m/>
    <s v="SI0003736b"/>
    <m/>
    <d v="2020-10-29T00:00:00"/>
    <s v="CANCELADO"/>
    <s v="CFR"/>
    <m/>
    <x v="1"/>
    <n v="585"/>
    <m/>
    <x v="987"/>
    <x v="3"/>
    <s v="Granel - BB"/>
    <m/>
    <s v="25 kg"/>
    <m/>
    <m/>
    <s v="2H SETIEMBRE '20"/>
    <x v="0"/>
    <m/>
    <m/>
    <m/>
    <x v="550"/>
    <m/>
    <m/>
    <x v="567"/>
    <n v="11"/>
    <n v="2020"/>
    <x v="0"/>
    <x v="0"/>
    <s v="ZHENJIANG / CHINA"/>
    <x v="1"/>
    <m/>
    <x v="2"/>
    <x v="825"/>
    <d v="2020-10-06T00:00:00"/>
    <s v="MV PRETTY SIGHT"/>
    <x v="281"/>
    <x v="0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1142"/>
    <m/>
    <x v="931"/>
    <m/>
    <m/>
    <m/>
    <s v="CERRADO"/>
    <n v="206966"/>
    <x v="16"/>
    <x v="2"/>
    <x v="511"/>
    <d v="2020-09-01T00:00:00"/>
    <s v="CAD"/>
    <m/>
    <s v="SI0003736c"/>
    <m/>
    <d v="2020-10-29T00:00:00"/>
    <s v="CANCELADO"/>
    <s v="CFR"/>
    <m/>
    <x v="0"/>
    <n v="585"/>
    <m/>
    <x v="986"/>
    <x v="3"/>
    <s v="Granel - BB"/>
    <m/>
    <s v="25 kg"/>
    <m/>
    <m/>
    <s v="2H SETIEMBRE '20"/>
    <x v="0"/>
    <m/>
    <m/>
    <m/>
    <x v="535"/>
    <m/>
    <m/>
    <x v="568"/>
    <n v="12"/>
    <n v="2020"/>
    <x v="0"/>
    <x v="0"/>
    <s v="ZHENJIANG / CHINA"/>
    <x v="3"/>
    <m/>
    <x v="1"/>
    <x v="826"/>
    <d v="2020-10-06T00:00:00"/>
    <s v="MV PRETTY SIGHT"/>
    <x v="281"/>
    <x v="0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1143"/>
    <m/>
    <x v="932"/>
    <m/>
    <m/>
    <m/>
    <s v="CERRADO"/>
    <n v="206966"/>
    <x v="16"/>
    <x v="2"/>
    <x v="511"/>
    <d v="2020-09-01T00:00:00"/>
    <s v="CAD"/>
    <m/>
    <s v="SI0003736d"/>
    <m/>
    <d v="2020-10-29T00:00:00"/>
    <s v="CANCELADO"/>
    <s v="CFR"/>
    <m/>
    <x v="0"/>
    <n v="585"/>
    <m/>
    <x v="986"/>
    <x v="3"/>
    <s v="Granel - BB"/>
    <m/>
    <s v="25 kg"/>
    <m/>
    <m/>
    <s v="2H SETIEMBRE '20"/>
    <x v="0"/>
    <m/>
    <m/>
    <m/>
    <x v="551"/>
    <m/>
    <m/>
    <x v="569"/>
    <n v="12"/>
    <n v="2020"/>
    <x v="0"/>
    <x v="0"/>
    <s v="ZHENJIANG / CHINA"/>
    <x v="4"/>
    <m/>
    <x v="2"/>
    <x v="827"/>
    <d v="2020-10-06T00:00:00"/>
    <s v="MV PRETTY SIGHT"/>
    <x v="281"/>
    <x v="0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E-S"/>
    <x v="0"/>
    <x v="0"/>
    <m/>
    <m/>
    <x v="1144"/>
    <m/>
    <x v="933"/>
    <m/>
    <m/>
    <m/>
    <s v="CERRADO"/>
    <n v="203820"/>
    <x v="117"/>
    <x v="2"/>
    <x v="512"/>
    <d v="2020-09-01T00:00:00"/>
    <s v="CAD"/>
    <m/>
    <s v="SI0003730a"/>
    <m/>
    <d v="2020-10-29T00:00:00"/>
    <s v="CANCELADO"/>
    <s v="CFR"/>
    <m/>
    <x v="467"/>
    <n v="1047"/>
    <m/>
    <x v="988"/>
    <x v="3"/>
    <s v="Granel - BB"/>
    <m/>
    <s v="25 kg"/>
    <m/>
    <m/>
    <s v="2H SETIEMBRE '20"/>
    <x v="0"/>
    <m/>
    <m/>
    <m/>
    <x v="541"/>
    <m/>
    <m/>
    <x v="541"/>
    <n v="11"/>
    <n v="2020"/>
    <x v="0"/>
    <x v="0"/>
    <s v="ZHENJIANG / CHINA"/>
    <x v="0"/>
    <m/>
    <x v="2"/>
    <x v="828"/>
    <d v="2020-10-06T00:00:00"/>
    <s v="MV PRETTY SIGHT"/>
    <x v="281"/>
    <x v="0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E-S"/>
    <x v="0"/>
    <x v="0"/>
    <m/>
    <m/>
    <x v="1145"/>
    <m/>
    <x v="934"/>
    <m/>
    <m/>
    <m/>
    <s v="CERRADO"/>
    <n v="203820"/>
    <x v="117"/>
    <x v="2"/>
    <x v="512"/>
    <d v="2020-09-01T00:00:00"/>
    <s v="CAD"/>
    <m/>
    <s v="SI0003730b"/>
    <m/>
    <d v="2020-10-29T00:00:00"/>
    <s v="CANCELADO"/>
    <s v="CFR"/>
    <m/>
    <x v="468"/>
    <n v="1047"/>
    <m/>
    <x v="989"/>
    <x v="3"/>
    <s v="Granel - BB"/>
    <m/>
    <s v="25 kg"/>
    <m/>
    <m/>
    <s v="2H SETIEMBRE '20"/>
    <x v="0"/>
    <m/>
    <m/>
    <m/>
    <x v="543"/>
    <m/>
    <m/>
    <x v="570"/>
    <n v="11"/>
    <n v="2020"/>
    <x v="0"/>
    <x v="0"/>
    <s v="ZHENJIANG / CHINA"/>
    <x v="2"/>
    <m/>
    <x v="3"/>
    <x v="829"/>
    <d v="2020-10-06T00:00:00"/>
    <s v="MV PRETTY SIGHT"/>
    <x v="281"/>
    <x v="0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1146"/>
    <m/>
    <x v="935"/>
    <m/>
    <m/>
    <m/>
    <s v="CERRADO"/>
    <n v="205257"/>
    <x v="125"/>
    <x v="2"/>
    <x v="513"/>
    <d v="2020-09-01T00:00:00"/>
    <s v="CAD"/>
    <m/>
    <s v="SI0003732a"/>
    <m/>
    <d v="2020-10-29T00:00:00"/>
    <s v="CANCELADO"/>
    <s v="CFR"/>
    <m/>
    <x v="469"/>
    <n v="110"/>
    <m/>
    <x v="990"/>
    <x v="3"/>
    <s v="Granel - BB"/>
    <m/>
    <s v="25 kg"/>
    <m/>
    <m/>
    <s v="2H SETIEMBRE '20"/>
    <x v="0"/>
    <m/>
    <m/>
    <m/>
    <x v="541"/>
    <m/>
    <m/>
    <x v="541"/>
    <n v="11"/>
    <n v="2020"/>
    <x v="0"/>
    <x v="0"/>
    <s v="ZHENJIANG / CHINA"/>
    <x v="0"/>
    <m/>
    <x v="2"/>
    <x v="830"/>
    <d v="2020-10-06T00:00:00"/>
    <s v="MV PRETTY SIGHT"/>
    <x v="281"/>
    <x v="0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1147"/>
    <m/>
    <x v="936"/>
    <m/>
    <m/>
    <m/>
    <s v="CERRADO"/>
    <n v="205257"/>
    <x v="125"/>
    <x v="2"/>
    <x v="513"/>
    <d v="2020-09-01T00:00:00"/>
    <s v="CAD"/>
    <m/>
    <s v="SI0003732b"/>
    <m/>
    <d v="2020-10-29T00:00:00"/>
    <s v="CANCELADO"/>
    <s v="CFR"/>
    <m/>
    <x v="470"/>
    <n v="110"/>
    <m/>
    <x v="991"/>
    <x v="3"/>
    <s v="Granel - BB"/>
    <m/>
    <s v="25 kg"/>
    <m/>
    <m/>
    <s v="2H SETIEMBRE '20"/>
    <x v="0"/>
    <m/>
    <m/>
    <m/>
    <x v="550"/>
    <m/>
    <m/>
    <x v="567"/>
    <n v="11"/>
    <n v="2020"/>
    <x v="0"/>
    <x v="0"/>
    <s v="ZHENJIANG / CHINA"/>
    <x v="1"/>
    <m/>
    <x v="2"/>
    <x v="831"/>
    <d v="2020-10-06T00:00:00"/>
    <s v="MV PRETTY SIGHT"/>
    <x v="281"/>
    <x v="0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1148"/>
    <m/>
    <x v="937"/>
    <m/>
    <m/>
    <m/>
    <s v="CERRADO"/>
    <n v="205257"/>
    <x v="125"/>
    <x v="2"/>
    <x v="513"/>
    <d v="2020-09-01T00:00:00"/>
    <s v="CAD"/>
    <m/>
    <s v="SI0003732c"/>
    <m/>
    <d v="2020-10-29T00:00:00"/>
    <s v="CANCELADO"/>
    <s v="CFR"/>
    <m/>
    <x v="469"/>
    <n v="110"/>
    <m/>
    <x v="990"/>
    <x v="3"/>
    <s v="Granel - BB"/>
    <m/>
    <s v="25 kg"/>
    <m/>
    <m/>
    <s v="2H SETIEMBRE '20"/>
    <x v="0"/>
    <m/>
    <m/>
    <m/>
    <x v="543"/>
    <m/>
    <m/>
    <x v="570"/>
    <n v="11"/>
    <n v="2020"/>
    <x v="0"/>
    <x v="0"/>
    <s v="ZHENJIANG / CHINA"/>
    <x v="2"/>
    <m/>
    <x v="3"/>
    <x v="832"/>
    <d v="2020-10-06T00:00:00"/>
    <s v="MV PRETTY SIGHT"/>
    <x v="281"/>
    <x v="0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1149"/>
    <m/>
    <x v="938"/>
    <m/>
    <m/>
    <m/>
    <s v="CERRADO"/>
    <n v="205257"/>
    <x v="125"/>
    <x v="2"/>
    <x v="513"/>
    <d v="2020-09-01T00:00:00"/>
    <s v="CAD"/>
    <m/>
    <s v="SI0003732d"/>
    <m/>
    <d v="2020-10-29T00:00:00"/>
    <s v="CANCELADO"/>
    <s v="CFR"/>
    <m/>
    <x v="471"/>
    <n v="110"/>
    <m/>
    <x v="992"/>
    <x v="3"/>
    <s v="Granel - BB"/>
    <m/>
    <s v="25 kg"/>
    <m/>
    <m/>
    <s v="2H SETIEMBRE '20"/>
    <x v="0"/>
    <m/>
    <m/>
    <m/>
    <x v="535"/>
    <m/>
    <m/>
    <x v="568"/>
    <n v="12"/>
    <n v="2020"/>
    <x v="0"/>
    <x v="0"/>
    <s v="ZHENJIANG / CHINA"/>
    <x v="3"/>
    <m/>
    <x v="1"/>
    <x v="833"/>
    <d v="2020-10-06T00:00:00"/>
    <s v="MV PRETTY SIGHT"/>
    <x v="281"/>
    <x v="0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E-E"/>
    <x v="0"/>
    <x v="0"/>
    <m/>
    <m/>
    <x v="1150"/>
    <m/>
    <x v="939"/>
    <m/>
    <m/>
    <m/>
    <s v="CERRADO"/>
    <n v="205996"/>
    <x v="126"/>
    <x v="59"/>
    <x v="16"/>
    <d v="2021-09-30T00:00:00"/>
    <n v="90"/>
    <s v="días BL"/>
    <s v="VP-20201102"/>
    <m/>
    <d v="2021-02-08T00:00:00"/>
    <s v="CANCELADO"/>
    <s v="CIF"/>
    <m/>
    <x v="472"/>
    <n v="1325"/>
    <m/>
    <x v="993"/>
    <x v="3"/>
    <s v="Granel - BB"/>
    <m/>
    <s v="25 kg"/>
    <m/>
    <m/>
    <s v="2H SETIEMBRE '20"/>
    <x v="0"/>
    <m/>
    <d v="2020-10-20T00:00:00"/>
    <m/>
    <x v="553"/>
    <m/>
    <m/>
    <x v="550"/>
    <n v="1"/>
    <n v="2021"/>
    <x v="0"/>
    <x v="0"/>
    <s v="XINGANG / CHINA"/>
    <x v="2"/>
    <m/>
    <x v="6"/>
    <x v="834"/>
    <d v="2020-11-10T00:00:00"/>
    <s v="TOKYO SPIRIT"/>
    <x v="284"/>
    <x v="0"/>
    <m/>
    <s v="REALIZADO"/>
    <s v="SWB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151"/>
    <m/>
    <x v="940"/>
    <m/>
    <m/>
    <m/>
    <s v="CERRADO"/>
    <n v="209851"/>
    <x v="43"/>
    <x v="2"/>
    <x v="514"/>
    <d v="2020-08-27T00:00:00"/>
    <s v="CAD"/>
    <m/>
    <s v="SI0003728a"/>
    <m/>
    <d v="2020-10-29T00:00:00"/>
    <s v="CANCELADO"/>
    <s v="CFR"/>
    <m/>
    <x v="473"/>
    <n v="125"/>
    <m/>
    <x v="994"/>
    <x v="3"/>
    <s v="Granel - BB"/>
    <m/>
    <s v="Granel Sólido"/>
    <m/>
    <m/>
    <s v="2H SETIEMBRE '20"/>
    <x v="0"/>
    <m/>
    <m/>
    <m/>
    <x v="550"/>
    <m/>
    <m/>
    <x v="567"/>
    <n v="11"/>
    <n v="2020"/>
    <x v="0"/>
    <x v="0"/>
    <s v="ZHENJIANG / CHINA"/>
    <x v="1"/>
    <m/>
    <x v="2"/>
    <x v="835"/>
    <d v="2020-10-06T00:00:00"/>
    <s v="MV PRETTY SIGHT"/>
    <x v="281"/>
    <x v="0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152"/>
    <m/>
    <x v="941"/>
    <m/>
    <m/>
    <m/>
    <s v="CERRADO"/>
    <n v="209851"/>
    <x v="43"/>
    <x v="2"/>
    <x v="514"/>
    <d v="2020-08-27T00:00:00"/>
    <s v="CAD"/>
    <m/>
    <s v="SI0003728b"/>
    <m/>
    <d v="2020-10-29T00:00:00"/>
    <s v="CANCELADO"/>
    <s v="CFR"/>
    <m/>
    <x v="474"/>
    <n v="125"/>
    <m/>
    <x v="995"/>
    <x v="3"/>
    <s v="Granel - BB"/>
    <m/>
    <s v="Granel Sólido"/>
    <m/>
    <m/>
    <s v="2H SETIEMBRE '20"/>
    <x v="0"/>
    <m/>
    <m/>
    <m/>
    <x v="543"/>
    <m/>
    <m/>
    <x v="570"/>
    <n v="11"/>
    <n v="2020"/>
    <x v="0"/>
    <x v="0"/>
    <s v="ZHENJIANG / CHINA"/>
    <x v="2"/>
    <m/>
    <x v="3"/>
    <x v="836"/>
    <d v="2020-10-06T00:00:00"/>
    <s v="MV PRETTY SIGHT"/>
    <x v="281"/>
    <x v="0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153"/>
    <m/>
    <x v="942"/>
    <m/>
    <m/>
    <m/>
    <s v="CERRADO"/>
    <n v="209851"/>
    <x v="43"/>
    <x v="2"/>
    <x v="514"/>
    <d v="2020-08-27T00:00:00"/>
    <s v="CAD"/>
    <m/>
    <s v="SI0003728c"/>
    <m/>
    <d v="2020-10-29T00:00:00"/>
    <s v="CANCELADO"/>
    <s v="CFR"/>
    <m/>
    <x v="475"/>
    <n v="125"/>
    <m/>
    <x v="996"/>
    <x v="3"/>
    <s v="Granel - BB"/>
    <m/>
    <s v="Granel Sólido"/>
    <m/>
    <m/>
    <s v="2H SETIEMBRE '20"/>
    <x v="0"/>
    <m/>
    <m/>
    <m/>
    <x v="551"/>
    <m/>
    <m/>
    <x v="569"/>
    <n v="12"/>
    <n v="2020"/>
    <x v="0"/>
    <x v="0"/>
    <s v="ZHENJIANG / CHINA"/>
    <x v="4"/>
    <m/>
    <x v="2"/>
    <x v="837"/>
    <d v="2020-10-06T00:00:00"/>
    <s v="MV PRETTY SIGHT"/>
    <x v="281"/>
    <x v="0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O-S"/>
    <x v="0"/>
    <x v="0"/>
    <m/>
    <m/>
    <x v="1154"/>
    <m/>
    <x v="943"/>
    <m/>
    <m/>
    <m/>
    <s v="CERRADO"/>
    <n v="203554"/>
    <x v="123"/>
    <x v="53"/>
    <x v="515"/>
    <s v="SETIEMBRE"/>
    <s v="CAD"/>
    <m/>
    <s v="F200-00042825"/>
    <m/>
    <d v="2020-10-06T00:00:00"/>
    <s v="CANCELADO"/>
    <s v="CFR"/>
    <m/>
    <x v="476"/>
    <n v="301.05"/>
    <m/>
    <x v="997"/>
    <x v="5"/>
    <s v="Contenedor 20'"/>
    <m/>
    <s v="Granel Sólido"/>
    <m/>
    <m/>
    <s v="SEPTIEMBRE"/>
    <x v="0"/>
    <m/>
    <m/>
    <m/>
    <x v="539"/>
    <m/>
    <m/>
    <x v="541"/>
    <n v="11"/>
    <n v="2020"/>
    <x v="0"/>
    <x v="0"/>
    <s v="BREVIK / NORUEGA"/>
    <x v="4"/>
    <m/>
    <x v="4"/>
    <x v="838"/>
    <d v="2020-09-08T00:00:00"/>
    <s v="MEANDI"/>
    <x v="129"/>
    <x v="2"/>
    <m/>
    <s v="NO APLICA"/>
    <s v="DESTINO"/>
    <m/>
    <m/>
    <m/>
    <x v="0"/>
    <d v="2020-12-01T00:00:00"/>
    <m/>
    <x v="0"/>
    <x v="0"/>
    <m/>
    <m/>
    <x v="0"/>
    <e v="#REF!"/>
    <m/>
    <m/>
    <m/>
    <m/>
    <m/>
    <x v="0"/>
    <s v="anulada: 8000001003"/>
    <m/>
    <m/>
    <m/>
    <s v="ADM TEMPORAL"/>
    <m/>
    <m/>
    <m/>
  </r>
  <r>
    <n v="2020"/>
    <s v="O-S"/>
    <x v="0"/>
    <x v="0"/>
    <m/>
    <m/>
    <x v="1155"/>
    <m/>
    <x v="944"/>
    <m/>
    <m/>
    <m/>
    <s v="CERRADO"/>
    <n v="203554"/>
    <x v="123"/>
    <x v="53"/>
    <x v="516"/>
    <s v="OCTUBRE"/>
    <s v="CAD"/>
    <m/>
    <s v="F200-00042827"/>
    <m/>
    <d v="2020-10-06T00:00:00"/>
    <s v="CANCELADO"/>
    <s v="CFR"/>
    <m/>
    <x v="477"/>
    <n v="301.05"/>
    <m/>
    <x v="998"/>
    <x v="1"/>
    <s v="Contenedor 20'"/>
    <m/>
    <s v="Granel Sólido"/>
    <m/>
    <m/>
    <s v="OCTUBRE"/>
    <x v="0"/>
    <m/>
    <m/>
    <m/>
    <x v="539"/>
    <m/>
    <m/>
    <x v="541"/>
    <n v="11"/>
    <n v="2020"/>
    <x v="0"/>
    <x v="0"/>
    <s v="BREVIK / NORUEGA"/>
    <x v="4"/>
    <m/>
    <x v="4"/>
    <x v="839"/>
    <d v="2020-09-15T00:00:00"/>
    <s v="MEANDI"/>
    <x v="129"/>
    <x v="2"/>
    <m/>
    <s v="NO APLICA"/>
    <s v="ORIGEN"/>
    <m/>
    <m/>
    <m/>
    <x v="0"/>
    <d v="2020-12-01T00:00:00"/>
    <m/>
    <x v="0"/>
    <x v="0"/>
    <m/>
    <m/>
    <x v="0"/>
    <e v="#REF!"/>
    <m/>
    <m/>
    <m/>
    <m/>
    <m/>
    <x v="0"/>
    <s v="anulada: 8000001005 "/>
    <m/>
    <m/>
    <m/>
    <s v="ADM TEMPORAL"/>
    <m/>
    <m/>
    <m/>
  </r>
  <r>
    <n v="2020"/>
    <s v="O-S"/>
    <x v="0"/>
    <x v="0"/>
    <m/>
    <m/>
    <x v="1156"/>
    <m/>
    <x v="945"/>
    <m/>
    <m/>
    <m/>
    <s v="CERRADO"/>
    <n v="203553"/>
    <x v="123"/>
    <x v="53"/>
    <x v="517"/>
    <s v="SETIEMBRE"/>
    <s v="CAD"/>
    <m/>
    <s v="F200-00042826"/>
    <m/>
    <d v="2020-10-06T00:00:00"/>
    <s v="CANCELADO"/>
    <s v="CFR"/>
    <m/>
    <x v="478"/>
    <n v="274.32"/>
    <m/>
    <x v="999"/>
    <x v="20"/>
    <s v="Contenedor 20'"/>
    <m/>
    <s v="Granel Sólido"/>
    <m/>
    <m/>
    <s v="SEPTIEMBRE"/>
    <x v="0"/>
    <m/>
    <m/>
    <m/>
    <x v="527"/>
    <m/>
    <m/>
    <x v="539"/>
    <n v="10"/>
    <n v="2020"/>
    <x v="0"/>
    <x v="0"/>
    <s v="BREVIK / NORUEGA"/>
    <x v="0"/>
    <m/>
    <x v="2"/>
    <x v="840"/>
    <d v="2020-09-04T00:00:00"/>
    <s v="ENERGIZER"/>
    <x v="217"/>
    <x v="9"/>
    <m/>
    <s v="REALIZADO"/>
    <s v="SWB"/>
    <m/>
    <m/>
    <m/>
    <x v="0"/>
    <d v="2020-10-20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O-S"/>
    <x v="0"/>
    <x v="0"/>
    <m/>
    <m/>
    <x v="1157"/>
    <m/>
    <x v="946"/>
    <m/>
    <m/>
    <m/>
    <s v="CERRADO"/>
    <n v="203553"/>
    <x v="123"/>
    <x v="53"/>
    <x v="518"/>
    <s v="SETIEMBRE"/>
    <s v="CAD"/>
    <m/>
    <s v="F200-00042828"/>
    <m/>
    <d v="2020-10-06T00:00:00"/>
    <s v="CANCELADO"/>
    <s v="CFR"/>
    <m/>
    <x v="479"/>
    <n v="272.02"/>
    <m/>
    <x v="1000"/>
    <x v="2"/>
    <s v="Contenedor 20'"/>
    <m/>
    <s v="Granel Sólido"/>
    <m/>
    <m/>
    <s v="SEPTIEMBRE"/>
    <x v="0"/>
    <m/>
    <m/>
    <m/>
    <x v="554"/>
    <m/>
    <m/>
    <x v="536"/>
    <n v="10"/>
    <n v="2020"/>
    <x v="0"/>
    <x v="0"/>
    <s v="BREVIK / NORUEGA"/>
    <x v="2"/>
    <m/>
    <x v="3"/>
    <x v="841"/>
    <d v="2020-09-04T00:00:00"/>
    <s v="ENERGIZER"/>
    <x v="184"/>
    <x v="9"/>
    <m/>
    <s v="REALIZADO"/>
    <s v="SWB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O-S"/>
    <x v="0"/>
    <x v="0"/>
    <m/>
    <m/>
    <x v="1158"/>
    <m/>
    <x v="947"/>
    <m/>
    <m/>
    <m/>
    <s v="CERRADO"/>
    <n v="203553"/>
    <x v="123"/>
    <x v="53"/>
    <x v="519"/>
    <s v="OCTUBRE"/>
    <s v="CAD"/>
    <m/>
    <s v="F200-00042829"/>
    <m/>
    <d v="2020-10-06T00:00:00"/>
    <s v="CANCELADO"/>
    <s v="CFR"/>
    <m/>
    <x v="480"/>
    <n v="274.32"/>
    <m/>
    <x v="1001"/>
    <x v="1"/>
    <s v="Contenedor 20'"/>
    <m/>
    <s v="Granel Sólido"/>
    <m/>
    <m/>
    <s v="OCTUBRE"/>
    <x v="0"/>
    <m/>
    <m/>
    <m/>
    <x v="528"/>
    <m/>
    <m/>
    <x v="537"/>
    <n v="10"/>
    <n v="2020"/>
    <x v="0"/>
    <x v="0"/>
    <s v="BREVIK / NORUEGA"/>
    <x v="0"/>
    <m/>
    <x v="1"/>
    <x v="842"/>
    <d v="2020-09-08T00:00:00"/>
    <s v="MEANDI"/>
    <x v="244"/>
    <x v="9"/>
    <m/>
    <s v="REALIZADO"/>
    <s v="SWB"/>
    <m/>
    <m/>
    <m/>
    <x v="0"/>
    <d v="2020-10-27T00:00:00"/>
    <m/>
    <x v="0"/>
    <x v="0"/>
    <m/>
    <m/>
    <x v="0"/>
    <e v="#REF!"/>
    <m/>
    <m/>
    <m/>
    <m/>
    <m/>
    <x v="0"/>
    <s v="anulada: 8000001007"/>
    <m/>
    <m/>
    <m/>
    <s v="NACIONALIZADO"/>
    <m/>
    <m/>
    <m/>
  </r>
  <r>
    <n v="2020"/>
    <s v="O-S"/>
    <x v="0"/>
    <x v="0"/>
    <m/>
    <m/>
    <x v="1159"/>
    <m/>
    <x v="948"/>
    <m/>
    <m/>
    <m/>
    <s v="CERRADO"/>
    <n v="203553"/>
    <x v="123"/>
    <x v="53"/>
    <x v="520"/>
    <s v="OCTUBRE"/>
    <s v="CAD"/>
    <m/>
    <s v="F200-00042830"/>
    <m/>
    <d v="2020-10-06T00:00:00"/>
    <s v="CANCELADO"/>
    <s v="CFR"/>
    <m/>
    <x v="481"/>
    <n v="272.02"/>
    <m/>
    <x v="1002"/>
    <x v="2"/>
    <s v="Contenedor 20'"/>
    <m/>
    <s v="Granel Sólido"/>
    <m/>
    <m/>
    <s v="OCTUBRE"/>
    <x v="0"/>
    <m/>
    <m/>
    <m/>
    <x v="522"/>
    <m/>
    <m/>
    <x v="530"/>
    <n v="10"/>
    <n v="2020"/>
    <x v="0"/>
    <x v="0"/>
    <s v="BREVIK / NORUEGA"/>
    <x v="2"/>
    <m/>
    <x v="3"/>
    <x v="843"/>
    <d v="2020-09-08T00:00:00"/>
    <s v="MEANDI"/>
    <x v="41"/>
    <x v="9"/>
    <m/>
    <s v="REALIZADO"/>
    <s v="SWB"/>
    <m/>
    <m/>
    <m/>
    <x v="0"/>
    <m/>
    <m/>
    <x v="0"/>
    <x v="0"/>
    <m/>
    <m/>
    <x v="0"/>
    <e v="#REF!"/>
    <m/>
    <m/>
    <m/>
    <m/>
    <m/>
    <x v="0"/>
    <s v="anulada: 8000001008"/>
    <m/>
    <m/>
    <m/>
    <s v="NACIONALIZADO"/>
    <m/>
    <m/>
    <m/>
  </r>
  <r>
    <n v="2020"/>
    <s v="S-C"/>
    <x v="0"/>
    <x v="0"/>
    <m/>
    <m/>
    <x v="1160"/>
    <m/>
    <x v="949"/>
    <m/>
    <m/>
    <m/>
    <s v="CERRADO"/>
    <n v="207580"/>
    <x v="32"/>
    <x v="51"/>
    <x v="521"/>
    <d v="2020-09-04T00:00:00"/>
    <s v="CAD"/>
    <m/>
    <s v="5000303"/>
    <m/>
    <d v="2020-10-13T00:00:00"/>
    <s v="CANCELADO"/>
    <s v="CFR"/>
    <m/>
    <x v="136"/>
    <n v="626"/>
    <m/>
    <x v="1003"/>
    <x v="16"/>
    <s v="Contenedor 20'"/>
    <m/>
    <s v="25 kg"/>
    <m/>
    <m/>
    <s v="SETIEMBRE '20"/>
    <x v="0"/>
    <m/>
    <m/>
    <m/>
    <x v="555"/>
    <m/>
    <m/>
    <x v="540"/>
    <n v="11"/>
    <n v="2020"/>
    <x v="0"/>
    <x v="0"/>
    <s v="KLAIPEDA / LITUANIA"/>
    <x v="2"/>
    <m/>
    <x v="1"/>
    <x v="844"/>
    <d v="2020-09-30T00:00:00"/>
    <s v="MSC LEIGH"/>
    <x v="71"/>
    <x v="4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C"/>
    <x v="0"/>
    <x v="0"/>
    <m/>
    <m/>
    <x v="1161"/>
    <m/>
    <x v="950"/>
    <m/>
    <m/>
    <m/>
    <s v="CERRADO"/>
    <n v="207580"/>
    <x v="32"/>
    <x v="51"/>
    <x v="521"/>
    <d v="2020-09-04T00:00:00"/>
    <s v="CAD"/>
    <m/>
    <s v="5000304"/>
    <m/>
    <d v="2020-10-13T00:00:00"/>
    <s v="CANCELADO"/>
    <s v="CFR"/>
    <m/>
    <x v="36"/>
    <n v="630"/>
    <m/>
    <x v="1004"/>
    <x v="6"/>
    <s v="Contenedor 20'"/>
    <m/>
    <s v="25 kg"/>
    <m/>
    <m/>
    <s v="SETIEMBRE '20"/>
    <x v="0"/>
    <m/>
    <m/>
    <m/>
    <x v="542"/>
    <m/>
    <m/>
    <x v="542"/>
    <n v="11"/>
    <n v="2020"/>
    <x v="0"/>
    <x v="0"/>
    <s v="KLAIPEDA / LITUANIA"/>
    <x v="0"/>
    <m/>
    <x v="1"/>
    <x v="845"/>
    <d v="2020-09-30T00:00:00"/>
    <s v="MSC LEIGH"/>
    <x v="193"/>
    <x v="4"/>
    <m/>
    <s v="REALIZADO"/>
    <s v="ORIGEN"/>
    <m/>
    <m/>
    <m/>
    <x v="0"/>
    <d v="2020-11-18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C"/>
    <x v="0"/>
    <x v="0"/>
    <m/>
    <m/>
    <x v="1162"/>
    <m/>
    <x v="951"/>
    <m/>
    <m/>
    <m/>
    <s v="CERRADO"/>
    <n v="207580"/>
    <x v="32"/>
    <x v="51"/>
    <x v="521"/>
    <d v="2020-09-04T00:00:00"/>
    <s v="CAD"/>
    <m/>
    <s v="5000305"/>
    <m/>
    <d v="2020-10-13T00:00:00"/>
    <s v="CANCELADO"/>
    <s v="CFR"/>
    <m/>
    <x v="58"/>
    <n v="634"/>
    <m/>
    <x v="1005"/>
    <x v="5"/>
    <s v="Contenedor 20'"/>
    <m/>
    <s v="25 kg"/>
    <m/>
    <m/>
    <s v="SETIEMBRE '20"/>
    <x v="0"/>
    <m/>
    <m/>
    <m/>
    <x v="556"/>
    <m/>
    <m/>
    <x v="573"/>
    <n v="12"/>
    <n v="2020"/>
    <x v="0"/>
    <x v="0"/>
    <s v="KLAIPEDA / LITUANIA"/>
    <x v="4"/>
    <m/>
    <x v="2"/>
    <x v="846"/>
    <d v="2020-10-04T00:00:00"/>
    <s v="EMOTION"/>
    <x v="129"/>
    <x v="2"/>
    <m/>
    <s v="REALIZADO"/>
    <s v="ORIGEN"/>
    <m/>
    <m/>
    <m/>
    <x v="0"/>
    <d v="2020-12-25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163"/>
    <m/>
    <x v="952"/>
    <m/>
    <m/>
    <m/>
    <s v="CERRADO"/>
    <n v="203616"/>
    <x v="15"/>
    <x v="25"/>
    <x v="522"/>
    <d v="2020-09-25T00:00:00"/>
    <n v="150"/>
    <s v="días BL"/>
    <s v="TGOA-AS-201030-01"/>
    <m/>
    <d v="2021-03-29T00:00:00"/>
    <s v="CANCELADO"/>
    <s v="CFR"/>
    <m/>
    <x v="132"/>
    <n v="143.09"/>
    <m/>
    <x v="1006"/>
    <x v="3"/>
    <s v="Granel"/>
    <m/>
    <s v="Granel Sólido"/>
    <m/>
    <m/>
    <s v="2H OCTUBRE '20"/>
    <x v="0"/>
    <m/>
    <m/>
    <m/>
    <x v="557"/>
    <m/>
    <m/>
    <x v="574"/>
    <n v="12"/>
    <n v="2020"/>
    <x v="0"/>
    <x v="0"/>
    <s v="JINGJIANG / CHINA"/>
    <x v="1"/>
    <m/>
    <x v="2"/>
    <x v="847"/>
    <d v="2020-10-30T00:00:00"/>
    <s v="MV INTERLINK PARITY"/>
    <x v="285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164"/>
    <m/>
    <x v="953"/>
    <m/>
    <m/>
    <m/>
    <s v="CERRADO"/>
    <n v="203616"/>
    <x v="15"/>
    <x v="25"/>
    <x v="522"/>
    <d v="2020-09-25T00:00:00"/>
    <n v="150"/>
    <s v="días BL"/>
    <s v="TGOA-AS-201030-02"/>
    <m/>
    <d v="2021-03-29T00:00:00"/>
    <s v="CANCELADO"/>
    <s v="CFR"/>
    <m/>
    <x v="1"/>
    <n v="143.09"/>
    <m/>
    <x v="1007"/>
    <x v="3"/>
    <s v="Granel"/>
    <m/>
    <s v="Granel Sólido"/>
    <m/>
    <m/>
    <s v="2H OCTUBRE '20"/>
    <x v="0"/>
    <m/>
    <m/>
    <m/>
    <x v="558"/>
    <m/>
    <m/>
    <x v="575"/>
    <n v="12"/>
    <n v="2020"/>
    <x v="0"/>
    <x v="0"/>
    <s v="JINGJIANG / CHINA"/>
    <x v="2"/>
    <m/>
    <x v="1"/>
    <x v="848"/>
    <d v="2020-10-30T00:00:00"/>
    <s v="MV INTERLINK PARITY"/>
    <x v="285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165"/>
    <m/>
    <x v="954"/>
    <m/>
    <m/>
    <m/>
    <s v="CERRADO"/>
    <n v="206569"/>
    <x v="14"/>
    <x v="25"/>
    <x v="522"/>
    <d v="2020-09-25T00:00:00"/>
    <n v="150"/>
    <s v="días BL"/>
    <s v="TGOA-DAP-201103-01"/>
    <m/>
    <d v="2021-04-02T00:00:00"/>
    <s v="CANCELADO"/>
    <s v="CFR"/>
    <m/>
    <x v="35"/>
    <n v="384.61"/>
    <m/>
    <x v="1008"/>
    <x v="3"/>
    <s v="Granel"/>
    <m/>
    <s v="Granel Sólido"/>
    <m/>
    <m/>
    <s v="2H OCTUBRE '20"/>
    <x v="0"/>
    <m/>
    <m/>
    <m/>
    <x v="533"/>
    <m/>
    <m/>
    <x v="576"/>
    <n v="12"/>
    <n v="2020"/>
    <x v="0"/>
    <x v="0"/>
    <s v="ZHENJIANG / CHINA"/>
    <x v="0"/>
    <m/>
    <x v="1"/>
    <x v="849"/>
    <d v="2020-11-03T00:00:00"/>
    <s v="MV INTERLINK PARITY"/>
    <x v="285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166"/>
    <m/>
    <x v="955"/>
    <m/>
    <m/>
    <m/>
    <s v="CERRADO"/>
    <n v="206569"/>
    <x v="14"/>
    <x v="25"/>
    <x v="522"/>
    <d v="2020-09-25T00:00:00"/>
    <n v="150"/>
    <s v="días BL"/>
    <s v="TGOA-DAP-201103-02"/>
    <m/>
    <d v="2021-04-02T00:00:00"/>
    <s v="CANCELADO"/>
    <s v="CFR"/>
    <m/>
    <x v="1"/>
    <n v="384.61"/>
    <m/>
    <x v="1009"/>
    <x v="3"/>
    <s v="Granel"/>
    <m/>
    <s v="Granel Sólido"/>
    <m/>
    <m/>
    <s v="2H OCTUBRE '20"/>
    <x v="0"/>
    <m/>
    <m/>
    <m/>
    <x v="557"/>
    <m/>
    <m/>
    <x v="574"/>
    <n v="12"/>
    <n v="2020"/>
    <x v="0"/>
    <x v="0"/>
    <s v="ZHENJIANG / CHINA"/>
    <x v="1"/>
    <m/>
    <x v="2"/>
    <x v="850"/>
    <d v="2020-11-03T00:00:00"/>
    <s v="MV INTERLINK PARITY"/>
    <x v="285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167"/>
    <m/>
    <x v="956"/>
    <m/>
    <m/>
    <m/>
    <s v="CERRADO"/>
    <n v="206569"/>
    <x v="14"/>
    <x v="25"/>
    <x v="522"/>
    <d v="2020-09-25T00:00:00"/>
    <n v="150"/>
    <s v="días BL"/>
    <s v="TGOA-DAP-201103-03"/>
    <m/>
    <d v="2021-04-02T00:00:00"/>
    <s v="CANCELADO"/>
    <s v="CFR"/>
    <m/>
    <x v="1"/>
    <n v="384.61"/>
    <m/>
    <x v="1009"/>
    <x v="3"/>
    <s v="Granel"/>
    <m/>
    <s v="Granel Sólido"/>
    <m/>
    <m/>
    <s v="2H OCTUBRE '20"/>
    <x v="0"/>
    <m/>
    <m/>
    <m/>
    <x v="558"/>
    <m/>
    <m/>
    <x v="575"/>
    <n v="12"/>
    <n v="2020"/>
    <x v="0"/>
    <x v="0"/>
    <s v="ZHENJIANG / CHINA"/>
    <x v="2"/>
    <m/>
    <x v="1"/>
    <x v="851"/>
    <d v="2020-11-03T00:00:00"/>
    <s v="MV INTERLINK PARITY"/>
    <x v="285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168"/>
    <m/>
    <x v="957"/>
    <m/>
    <m/>
    <m/>
    <s v="CERRADO"/>
    <n v="206569"/>
    <x v="14"/>
    <x v="25"/>
    <x v="522"/>
    <d v="2020-09-25T00:00:00"/>
    <n v="150"/>
    <s v="días BL"/>
    <s v="TGOA-DAP-201103-04"/>
    <m/>
    <d v="2021-04-02T00:00:00"/>
    <s v="CANCELADO"/>
    <s v="CFR"/>
    <m/>
    <x v="0"/>
    <n v="384.61"/>
    <m/>
    <x v="1010"/>
    <x v="3"/>
    <s v="Granel"/>
    <m/>
    <s v="Granel Sólido"/>
    <m/>
    <m/>
    <s v="2H OCTUBRE '20"/>
    <x v="0"/>
    <m/>
    <m/>
    <m/>
    <x v="559"/>
    <m/>
    <m/>
    <x v="543"/>
    <n v="12"/>
    <n v="2020"/>
    <x v="0"/>
    <x v="0"/>
    <s v="ZHENJIANG / CHINA"/>
    <x v="3"/>
    <m/>
    <x v="1"/>
    <x v="852"/>
    <d v="2020-11-03T00:00:00"/>
    <s v="MV INTERLINK PARITY"/>
    <x v="285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169"/>
    <m/>
    <x v="958"/>
    <m/>
    <m/>
    <m/>
    <s v="CERRADO"/>
    <n v="206569"/>
    <x v="14"/>
    <x v="25"/>
    <x v="522"/>
    <d v="2020-09-25T00:00:00"/>
    <n v="150"/>
    <s v="días BL"/>
    <s v="TGOA-DAP-201103-05"/>
    <m/>
    <d v="2021-04-02T00:00:00"/>
    <s v="CANCELADO"/>
    <s v="CFR"/>
    <m/>
    <x v="138"/>
    <n v="384.61"/>
    <m/>
    <x v="1011"/>
    <x v="3"/>
    <s v="Granel"/>
    <m/>
    <s v="Granel Sólido"/>
    <m/>
    <m/>
    <s v="2H OCTUBRE '20"/>
    <x v="0"/>
    <m/>
    <m/>
    <m/>
    <x v="544"/>
    <m/>
    <m/>
    <x v="577"/>
    <n v="12"/>
    <n v="2020"/>
    <x v="0"/>
    <x v="0"/>
    <s v="ZHENJIANG / CHINA"/>
    <x v="4"/>
    <m/>
    <x v="2"/>
    <x v="853"/>
    <d v="2020-11-03T00:00:00"/>
    <s v="MV INTERLINK PARITY"/>
    <x v="285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170"/>
    <m/>
    <x v="959"/>
    <m/>
    <m/>
    <m/>
    <s v="CERRADO"/>
    <n v="207485"/>
    <x v="13"/>
    <x v="25"/>
    <x v="522"/>
    <d v="2020-09-25T00:00:00"/>
    <n v="150"/>
    <s v="días BL"/>
    <s v="TGOA-UREA-201030-01"/>
    <m/>
    <d v="2021-03-29T00:00:00"/>
    <s v="CANCELADO"/>
    <s v="CFR"/>
    <m/>
    <x v="15"/>
    <n v="301.39"/>
    <m/>
    <x v="1012"/>
    <x v="3"/>
    <s v="Granel"/>
    <m/>
    <s v="Granel Sólido"/>
    <m/>
    <m/>
    <s v="2H OCTUBRE '20"/>
    <x v="0"/>
    <m/>
    <m/>
    <m/>
    <x v="533"/>
    <m/>
    <m/>
    <x v="576"/>
    <n v="12"/>
    <n v="2020"/>
    <x v="0"/>
    <x v="0"/>
    <s v="JINGJIANG / CHINA"/>
    <x v="0"/>
    <m/>
    <x v="1"/>
    <x v="854"/>
    <d v="2020-10-30T00:00:00"/>
    <s v="MV INTERLINK PARITY"/>
    <x v="285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171"/>
    <m/>
    <x v="960"/>
    <m/>
    <m/>
    <m/>
    <s v="CERRADO"/>
    <n v="207485"/>
    <x v="13"/>
    <x v="25"/>
    <x v="522"/>
    <d v="2020-09-25T00:00:00"/>
    <n v="150"/>
    <s v="días BL"/>
    <s v="TGOA-UREA-201030-02"/>
    <m/>
    <d v="2021-03-29T00:00:00"/>
    <s v="CANCELADO"/>
    <s v="CFR"/>
    <m/>
    <x v="42"/>
    <n v="301.39"/>
    <m/>
    <x v="1013"/>
    <x v="3"/>
    <s v="Granel"/>
    <m/>
    <s v="Granel Sólido"/>
    <m/>
    <m/>
    <s v="2H OCTUBRE '20"/>
    <x v="0"/>
    <m/>
    <m/>
    <m/>
    <x v="557"/>
    <m/>
    <m/>
    <x v="574"/>
    <n v="12"/>
    <n v="2020"/>
    <x v="0"/>
    <x v="0"/>
    <s v="JINGJIANG / CHINA"/>
    <x v="1"/>
    <m/>
    <x v="2"/>
    <x v="855"/>
    <d v="2020-10-30T00:00:00"/>
    <s v="MV INTERLINK PARITY"/>
    <x v="285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172"/>
    <m/>
    <x v="961"/>
    <m/>
    <m/>
    <m/>
    <s v="CERRADO"/>
    <n v="207485"/>
    <x v="13"/>
    <x v="25"/>
    <x v="522"/>
    <d v="2020-09-25T00:00:00"/>
    <n v="150"/>
    <s v="días BL"/>
    <s v="TGOA-UREA-201030-03"/>
    <m/>
    <d v="2021-03-29T00:00:00"/>
    <s v="CANCELADO"/>
    <s v="CFR"/>
    <m/>
    <x v="10"/>
    <n v="301.39"/>
    <m/>
    <x v="1014"/>
    <x v="3"/>
    <s v="Granel"/>
    <m/>
    <s v="Granel Sólido"/>
    <m/>
    <m/>
    <s v="2H OCTUBRE '20"/>
    <x v="0"/>
    <m/>
    <m/>
    <m/>
    <x v="558"/>
    <m/>
    <m/>
    <x v="575"/>
    <n v="12"/>
    <n v="2020"/>
    <x v="0"/>
    <x v="0"/>
    <s v="JINGJIANG / CHINA"/>
    <x v="2"/>
    <m/>
    <x v="3"/>
    <x v="856"/>
    <d v="2020-10-30T00:00:00"/>
    <s v="MV INTERLINK PARITY"/>
    <x v="285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173"/>
    <m/>
    <x v="962"/>
    <m/>
    <m/>
    <m/>
    <s v="CERRADO"/>
    <n v="207485"/>
    <x v="13"/>
    <x v="25"/>
    <x v="522"/>
    <d v="2020-09-25T00:00:00"/>
    <n v="150"/>
    <s v="días BL"/>
    <s v="TGOA-UREA-201030-04"/>
    <m/>
    <d v="2021-03-29T00:00:00"/>
    <s v="CANCELADO"/>
    <s v="CFR"/>
    <m/>
    <x v="180"/>
    <n v="301.39"/>
    <m/>
    <x v="1015"/>
    <x v="3"/>
    <s v="Granel"/>
    <m/>
    <s v="Granel Sólido"/>
    <m/>
    <m/>
    <s v="2H OCTUBRE '20"/>
    <x v="0"/>
    <m/>
    <m/>
    <m/>
    <x v="544"/>
    <m/>
    <m/>
    <x v="577"/>
    <n v="12"/>
    <n v="2020"/>
    <x v="0"/>
    <x v="0"/>
    <s v="JINGJIANG / CHINA"/>
    <x v="4"/>
    <m/>
    <x v="2"/>
    <x v="857"/>
    <d v="2020-10-30T00:00:00"/>
    <s v="MV INTERLINK PARITY"/>
    <x v="285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B-S"/>
    <x v="0"/>
    <x v="0"/>
    <m/>
    <m/>
    <x v="1174"/>
    <m/>
    <x v="963"/>
    <m/>
    <m/>
    <m/>
    <s v="CERRADO"/>
    <n v="206578"/>
    <x v="112"/>
    <x v="43"/>
    <x v="523"/>
    <s v="SETIEMBRE"/>
    <n v="90"/>
    <s v="días BL"/>
    <s v="FV204E000105"/>
    <m/>
    <d v="2021-01-09T00:00:00"/>
    <s v="CANCELADO"/>
    <s v="CIF"/>
    <m/>
    <x v="482"/>
    <n v="7166.3262680785183"/>
    <m/>
    <x v="1016"/>
    <x v="3"/>
    <s v="Contenedor 20'"/>
    <m/>
    <s v="1LT"/>
    <m/>
    <m/>
    <s v="OCTUBRE '20"/>
    <x v="0"/>
    <m/>
    <m/>
    <m/>
    <x v="560"/>
    <m/>
    <m/>
    <x v="578"/>
    <n v="11"/>
    <n v="2020"/>
    <x v="0"/>
    <x v="0"/>
    <s v="VALENCIA / ESPAÑA"/>
    <x v="2"/>
    <m/>
    <x v="3"/>
    <x v="858"/>
    <d v="2020-10-11T00:00:00"/>
    <s v="ALEXIS"/>
    <x v="286"/>
    <x v="33"/>
    <m/>
    <s v="NO APLICA"/>
    <s v="ORIGEN"/>
    <m/>
    <m/>
    <m/>
    <x v="0"/>
    <m/>
    <m/>
    <x v="0"/>
    <x v="0"/>
    <m/>
    <m/>
    <x v="0"/>
    <e v="#REF!"/>
    <m/>
    <m/>
    <m/>
    <m/>
    <m/>
    <x v="0"/>
    <s v="anulada: 8000000986"/>
    <m/>
    <m/>
    <m/>
    <s v="NACIONALIZADO"/>
    <m/>
    <m/>
    <m/>
  </r>
  <r>
    <n v="2020"/>
    <s v="B-S"/>
    <x v="0"/>
    <x v="0"/>
    <m/>
    <m/>
    <x v="1175"/>
    <m/>
    <x v="963"/>
    <m/>
    <m/>
    <m/>
    <s v="CERRADO"/>
    <n v="207792"/>
    <x v="127"/>
    <x v="43"/>
    <x v="523"/>
    <s v="SETIEMBRE"/>
    <n v="90"/>
    <s v="días BL"/>
    <s v="FV204E000105"/>
    <m/>
    <d v="2021-01-09T00:00:00"/>
    <s v="CANCELADO"/>
    <s v="CIF"/>
    <m/>
    <x v="483"/>
    <n v="5877.1458812284136"/>
    <m/>
    <x v="1017"/>
    <x v="3"/>
    <s v="Contenedor 20'"/>
    <m/>
    <s v="20L"/>
    <m/>
    <m/>
    <s v="OCTUBRE '20"/>
    <x v="0"/>
    <m/>
    <m/>
    <m/>
    <x v="560"/>
    <m/>
    <m/>
    <x v="578"/>
    <n v="11"/>
    <n v="2020"/>
    <x v="0"/>
    <x v="0"/>
    <s v="VALENCIA / ESPAÑA"/>
    <x v="2"/>
    <m/>
    <x v="3"/>
    <x v="858"/>
    <d v="2020-10-11T00:00:00"/>
    <s v="ALEXIS"/>
    <x v="286"/>
    <x v="33"/>
    <m/>
    <s v="NO APLICA"/>
    <s v="ORIGEN"/>
    <m/>
    <m/>
    <m/>
    <x v="0"/>
    <m/>
    <m/>
    <x v="0"/>
    <x v="0"/>
    <m/>
    <m/>
    <x v="0"/>
    <e v="#REF!"/>
    <m/>
    <m/>
    <m/>
    <m/>
    <m/>
    <x v="0"/>
    <s v="anulada: 8000000986"/>
    <m/>
    <m/>
    <m/>
    <s v="NACIONALIZADO"/>
    <m/>
    <m/>
    <m/>
  </r>
  <r>
    <n v="2020"/>
    <s v="T-S"/>
    <x v="0"/>
    <x v="0"/>
    <m/>
    <m/>
    <x v="1176"/>
    <m/>
    <x v="964"/>
    <m/>
    <m/>
    <m/>
    <s v="CERRADO"/>
    <n v="208072"/>
    <x v="119"/>
    <x v="53"/>
    <x v="524"/>
    <s v="JUNIO"/>
    <s v="CAD"/>
    <m/>
    <s v="F200-00042963"/>
    <m/>
    <d v="2020-11-05T00:00:00"/>
    <s v="CANCELADO"/>
    <s v="CFR"/>
    <m/>
    <x v="332"/>
    <n v="9560"/>
    <m/>
    <x v="878"/>
    <x v="11"/>
    <s v="Contenedor 40'"/>
    <m/>
    <s v="5 kg"/>
    <m/>
    <m/>
    <s v="SETIEMBRE '20"/>
    <x v="0"/>
    <m/>
    <m/>
    <m/>
    <x v="540"/>
    <m/>
    <m/>
    <x v="546"/>
    <n v="11"/>
    <n v="2020"/>
    <x v="0"/>
    <x v="0"/>
    <s v="ROTTERDAM / PAISES BAJOS"/>
    <x v="2"/>
    <m/>
    <x v="3"/>
    <x v="859"/>
    <d v="2020-10-14T00:00:00"/>
    <s v="MSC VITA"/>
    <x v="266"/>
    <x v="4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E-S"/>
    <x v="0"/>
    <x v="0"/>
    <m/>
    <m/>
    <x v="1177"/>
    <m/>
    <x v="965"/>
    <m/>
    <m/>
    <m/>
    <s v="CERRADO"/>
    <s v="204826"/>
    <x v="48"/>
    <x v="18"/>
    <x v="525"/>
    <d v="2020-09-01T00:00:00"/>
    <s v="CAD"/>
    <m/>
    <s v="20CH-40103445"/>
    <m/>
    <d v="2020-11-05T00:00:00"/>
    <s v="CANCELADO"/>
    <s v="CFR"/>
    <m/>
    <x v="484"/>
    <n v="330"/>
    <m/>
    <x v="1018"/>
    <x v="27"/>
    <s v="Cnt '40- BB"/>
    <m/>
    <s v="Granel Sólido"/>
    <m/>
    <m/>
    <s v="OCTUBRE '20"/>
    <x v="0"/>
    <m/>
    <m/>
    <m/>
    <x v="559"/>
    <m/>
    <m/>
    <x v="577"/>
    <n v="12"/>
    <n v="2020"/>
    <x v="0"/>
    <x v="0"/>
    <s v="ST. PETERSBURG / RUSSIA"/>
    <x v="2"/>
    <m/>
    <x v="1"/>
    <x v="860"/>
    <d v="2020-10-26T00:00:00"/>
    <s v="CMA CGM NEVA "/>
    <x v="41"/>
    <x v="9"/>
    <m/>
    <s v="REALIZADO"/>
    <s v="ORIGEN"/>
    <m/>
    <m/>
    <m/>
    <x v="0"/>
    <d v="2021-01-08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E-S"/>
    <x v="0"/>
    <x v="0"/>
    <m/>
    <m/>
    <x v="1178"/>
    <m/>
    <x v="966"/>
    <m/>
    <m/>
    <m/>
    <s v="CERRADO"/>
    <s v="204826"/>
    <x v="48"/>
    <x v="18"/>
    <x v="526"/>
    <d v="2020-09-01T00:00:00"/>
    <s v="CAD"/>
    <m/>
    <s v="20CH-40103595"/>
    <m/>
    <d v="2020-11-13T00:00:00"/>
    <s v="CANCELADO"/>
    <s v="CFR"/>
    <m/>
    <x v="484"/>
    <n v="324"/>
    <m/>
    <x v="1019"/>
    <x v="27"/>
    <s v="Cnt '40- BB"/>
    <m/>
    <s v="Granel Sólido"/>
    <m/>
    <m/>
    <s v="NOVIEMBRE '20"/>
    <x v="0"/>
    <m/>
    <m/>
    <m/>
    <x v="559"/>
    <m/>
    <m/>
    <x v="579"/>
    <n v="12"/>
    <n v="2020"/>
    <x v="0"/>
    <x v="0"/>
    <s v="ST. PETERSBURG / RUSSIA"/>
    <x v="2"/>
    <m/>
    <x v="3"/>
    <x v="861"/>
    <d v="2020-11-03T00:00:00"/>
    <s v="CMA CGM PREGOLIA"/>
    <x v="41"/>
    <x v="9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C"/>
    <x v="0"/>
    <x v="0"/>
    <m/>
    <m/>
    <x v="1179"/>
    <m/>
    <x v="967"/>
    <m/>
    <m/>
    <m/>
    <s v="CERRADO"/>
    <n v="206573"/>
    <x v="5"/>
    <x v="41"/>
    <x v="527"/>
    <d v="2020-09-22T00:00:00"/>
    <n v="150"/>
    <s v="días BL"/>
    <s v="B7FE-20-3017-ANPE-01"/>
    <m/>
    <d v="2021-03-05T00:00:00"/>
    <s v="CANCELADO"/>
    <s v="CFR"/>
    <m/>
    <x v="94"/>
    <n v="252"/>
    <m/>
    <x v="1020"/>
    <x v="17"/>
    <s v="Granel"/>
    <m/>
    <s v="Granel Sólido"/>
    <m/>
    <m/>
    <s v="2H SET - 1H OCT '20"/>
    <x v="0"/>
    <m/>
    <m/>
    <m/>
    <x v="561"/>
    <m/>
    <m/>
    <x v="580"/>
    <n v="11"/>
    <n v="2020"/>
    <x v="0"/>
    <x v="0"/>
    <s v="RIGA / LETONIA"/>
    <x v="0"/>
    <m/>
    <x v="2"/>
    <x v="50"/>
    <d v="2020-10-06T00:00:00"/>
    <s v="MV CIELO DI IYO"/>
    <x v="287"/>
    <x v="0"/>
    <m/>
    <s v="NO APLICA"/>
    <s v="ORIGEN"/>
    <m/>
    <m/>
    <m/>
    <x v="0"/>
    <n v="26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C"/>
    <x v="0"/>
    <x v="0"/>
    <m/>
    <m/>
    <x v="1180"/>
    <m/>
    <x v="968"/>
    <m/>
    <m/>
    <m/>
    <s v="CERRADO"/>
    <n v="206573"/>
    <x v="5"/>
    <x v="41"/>
    <x v="527"/>
    <d v="2020-09-22T00:00:00"/>
    <n v="150"/>
    <s v="días BL"/>
    <s v="B7FE-20-3017-ANPE-02"/>
    <m/>
    <d v="2021-03-05T00:00:00"/>
    <s v="CANCELADO"/>
    <s v="CFR"/>
    <m/>
    <x v="485"/>
    <n v="252"/>
    <m/>
    <x v="1021"/>
    <x v="17"/>
    <s v="Granel"/>
    <m/>
    <s v="Granel Sólido"/>
    <m/>
    <m/>
    <s v="2H SET - 1H OCT '20"/>
    <x v="0"/>
    <m/>
    <m/>
    <m/>
    <x v="525"/>
    <m/>
    <m/>
    <x v="581"/>
    <n v="11"/>
    <n v="2020"/>
    <x v="0"/>
    <x v="0"/>
    <s v="RIGA / LETONIA"/>
    <x v="1"/>
    <m/>
    <x v="2"/>
    <x v="17"/>
    <d v="2020-10-06T00:00:00"/>
    <s v="MV CIELO DI IYO"/>
    <x v="287"/>
    <x v="0"/>
    <m/>
    <s v="NO APLICA"/>
    <s v="ORIGEN"/>
    <m/>
    <m/>
    <m/>
    <x v="0"/>
    <n v="28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C"/>
    <x v="0"/>
    <x v="0"/>
    <m/>
    <m/>
    <x v="1181"/>
    <m/>
    <x v="969"/>
    <m/>
    <m/>
    <m/>
    <s v="CERRADO"/>
    <n v="206573"/>
    <x v="5"/>
    <x v="41"/>
    <x v="527"/>
    <d v="2020-09-22T00:00:00"/>
    <n v="150"/>
    <s v="días BL"/>
    <s v="B7FE-20-3017-ANPE-03"/>
    <m/>
    <d v="2021-03-05T00:00:00"/>
    <s v="CANCELADO"/>
    <s v="CFR"/>
    <m/>
    <x v="37"/>
    <n v="252"/>
    <m/>
    <x v="1022"/>
    <x v="17"/>
    <s v="Granel"/>
    <m/>
    <s v="Granel Sólido"/>
    <m/>
    <m/>
    <s v="2H SET - 1H OCT '20"/>
    <x v="0"/>
    <m/>
    <m/>
    <m/>
    <x v="530"/>
    <m/>
    <m/>
    <x v="582"/>
    <n v="11"/>
    <n v="2020"/>
    <x v="0"/>
    <x v="0"/>
    <s v="RIGA / LETONIA"/>
    <x v="2"/>
    <m/>
    <x v="1"/>
    <x v="51"/>
    <d v="2020-10-06T00:00:00"/>
    <s v="MV CIELO DI IYO"/>
    <x v="287"/>
    <x v="0"/>
    <m/>
    <s v="NO APLICA"/>
    <s v="ORIGEN"/>
    <m/>
    <m/>
    <m/>
    <x v="0"/>
    <n v="3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C"/>
    <x v="0"/>
    <x v="0"/>
    <m/>
    <m/>
    <x v="1182"/>
    <m/>
    <x v="970"/>
    <m/>
    <m/>
    <m/>
    <s v="CERRADO"/>
    <n v="206573"/>
    <x v="5"/>
    <x v="41"/>
    <x v="527"/>
    <d v="2020-09-22T00:00:00"/>
    <n v="150"/>
    <s v="días BL"/>
    <s v="B7FE-20-3017-ANPE-04"/>
    <m/>
    <d v="2021-03-05T00:00:00"/>
    <s v="CANCELADO"/>
    <s v="CFR"/>
    <m/>
    <x v="42"/>
    <n v="252"/>
    <m/>
    <x v="1023"/>
    <x v="17"/>
    <s v="Granel"/>
    <m/>
    <s v="Granel Sólido"/>
    <m/>
    <m/>
    <s v="2H SET - 1H OCT '20"/>
    <x v="0"/>
    <m/>
    <m/>
    <m/>
    <x v="562"/>
    <m/>
    <m/>
    <x v="546"/>
    <n v="11"/>
    <n v="2020"/>
    <x v="0"/>
    <x v="0"/>
    <s v="RIGA / LETONIA"/>
    <x v="3"/>
    <m/>
    <x v="1"/>
    <x v="18"/>
    <d v="2020-10-06T00:00:00"/>
    <s v="MV CIELO DI IYO"/>
    <x v="287"/>
    <x v="0"/>
    <m/>
    <s v="NO APLICA"/>
    <s v="ORIGEN"/>
    <m/>
    <m/>
    <m/>
    <x v="0"/>
    <n v="34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C"/>
    <x v="0"/>
    <x v="0"/>
    <m/>
    <m/>
    <x v="1183"/>
    <m/>
    <x v="971"/>
    <m/>
    <m/>
    <m/>
    <s v="CERRADO"/>
    <n v="206573"/>
    <x v="5"/>
    <x v="41"/>
    <x v="527"/>
    <d v="2020-09-22T00:00:00"/>
    <n v="150"/>
    <s v="días BL"/>
    <s v="B7FE-20-3017-ANPE-05"/>
    <m/>
    <d v="2021-03-05T00:00:00"/>
    <s v="CANCELADO"/>
    <s v="CFR"/>
    <m/>
    <x v="485"/>
    <n v="252"/>
    <m/>
    <x v="1021"/>
    <x v="17"/>
    <s v="Granel"/>
    <m/>
    <s v="Granel Sólido"/>
    <m/>
    <m/>
    <s v="2H SET - 1H OCT '20"/>
    <x v="0"/>
    <m/>
    <m/>
    <m/>
    <x v="532"/>
    <m/>
    <m/>
    <x v="583"/>
    <n v="11"/>
    <n v="2020"/>
    <x v="0"/>
    <x v="0"/>
    <s v="RIGA / LETONIA"/>
    <x v="4"/>
    <m/>
    <x v="2"/>
    <x v="52"/>
    <d v="2020-10-06T00:00:00"/>
    <s v="MV CIELO DI IYO"/>
    <x v="287"/>
    <x v="0"/>
    <m/>
    <s v="NO APLICA"/>
    <s v="ORIGEN"/>
    <m/>
    <m/>
    <m/>
    <x v="0"/>
    <n v="39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184"/>
    <m/>
    <x v="972"/>
    <m/>
    <m/>
    <m/>
    <s v="CERRADO"/>
    <n v="207951"/>
    <x v="6"/>
    <x v="41"/>
    <x v="527"/>
    <d v="2020-09-22T00:00:00"/>
    <n v="150"/>
    <s v="días BL"/>
    <s v="B7FE-20-3018-URPE-01"/>
    <m/>
    <d v="2021-03-05T00:00:00"/>
    <s v="CANCELADO"/>
    <s v="CFR"/>
    <m/>
    <x v="35"/>
    <n v="301.8"/>
    <m/>
    <x v="1024"/>
    <x v="17"/>
    <s v="Granel"/>
    <m/>
    <s v="Granel Sólido"/>
    <m/>
    <m/>
    <s v="2H SET - 1H OCT '20"/>
    <x v="0"/>
    <m/>
    <m/>
    <m/>
    <x v="561"/>
    <m/>
    <m/>
    <x v="580"/>
    <n v="11"/>
    <n v="2020"/>
    <x v="0"/>
    <x v="0"/>
    <s v="RIGA / LETONIA"/>
    <x v="0"/>
    <m/>
    <x v="2"/>
    <x v="19"/>
    <d v="2020-10-06T00:00:00"/>
    <s v="MV CIELO DI IYO"/>
    <x v="287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185"/>
    <m/>
    <x v="973"/>
    <m/>
    <m/>
    <m/>
    <s v="CERRADO"/>
    <n v="207951"/>
    <x v="6"/>
    <x v="41"/>
    <x v="527"/>
    <d v="2020-09-22T00:00:00"/>
    <n v="150"/>
    <s v="días BL"/>
    <s v="B7FE-20-3018-URPE-02"/>
    <m/>
    <d v="2021-03-05T00:00:00"/>
    <s v="CANCELADO"/>
    <s v="CFR"/>
    <m/>
    <x v="17"/>
    <n v="301.8"/>
    <m/>
    <x v="1025"/>
    <x v="17"/>
    <s v="Granel"/>
    <m/>
    <s v="Granel Sólido"/>
    <m/>
    <m/>
    <s v="2H SET - 1H OCT '20"/>
    <x v="0"/>
    <m/>
    <m/>
    <m/>
    <x v="525"/>
    <m/>
    <m/>
    <x v="581"/>
    <n v="11"/>
    <n v="2020"/>
    <x v="0"/>
    <x v="0"/>
    <s v="RIGA / LETONIA"/>
    <x v="1"/>
    <m/>
    <x v="2"/>
    <x v="44"/>
    <d v="2020-10-06T00:00:00"/>
    <s v="MV CIELO DI IYO"/>
    <x v="287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186"/>
    <m/>
    <x v="974"/>
    <m/>
    <m/>
    <m/>
    <s v="CERRADO"/>
    <n v="207951"/>
    <x v="6"/>
    <x v="41"/>
    <x v="527"/>
    <d v="2020-09-22T00:00:00"/>
    <n v="150"/>
    <s v="días BL"/>
    <s v="B7FE-20-3018-URPE-03"/>
    <m/>
    <d v="2021-03-05T00:00:00"/>
    <s v="CANCELADO"/>
    <s v="CFR"/>
    <m/>
    <x v="100"/>
    <n v="301.8"/>
    <m/>
    <x v="1026"/>
    <x v="17"/>
    <s v="Granel"/>
    <m/>
    <s v="Granel Sólido"/>
    <m/>
    <m/>
    <s v="2H SET - 1H OCT '20"/>
    <x v="0"/>
    <m/>
    <m/>
    <m/>
    <x v="530"/>
    <m/>
    <m/>
    <x v="582"/>
    <n v="11"/>
    <n v="2020"/>
    <x v="0"/>
    <x v="0"/>
    <s v="RIGA / LETONIA"/>
    <x v="2"/>
    <m/>
    <x v="3"/>
    <x v="20"/>
    <d v="2020-10-06T00:00:00"/>
    <s v="MV CIELO DI IYO"/>
    <x v="287"/>
    <x v="0"/>
    <m/>
    <s v="NO APLICA"/>
    <s v="ORIGEN"/>
    <m/>
    <m/>
    <m/>
    <x v="0"/>
    <m/>
    <m/>
    <x v="0"/>
    <x v="0"/>
    <m/>
    <m/>
    <x v="0"/>
    <e v="#REF!"/>
    <m/>
    <m/>
    <m/>
    <m/>
    <m/>
    <x v="0"/>
    <s v="anulada: 8000001069"/>
    <m/>
    <m/>
    <m/>
    <s v="NACIONALIZADO"/>
    <m/>
    <m/>
    <m/>
  </r>
  <r>
    <n v="2020"/>
    <s v="G-S"/>
    <x v="0"/>
    <x v="0"/>
    <m/>
    <m/>
    <x v="1187"/>
    <m/>
    <x v="975"/>
    <m/>
    <m/>
    <m/>
    <s v="CERRADO"/>
    <n v="207951"/>
    <x v="6"/>
    <x v="41"/>
    <x v="527"/>
    <d v="2020-09-22T00:00:00"/>
    <n v="150"/>
    <s v="días BL"/>
    <s v="B7FE-20-3018-URPE-04"/>
    <m/>
    <d v="2021-03-05T00:00:00"/>
    <s v="CANCELADO"/>
    <s v="CFR"/>
    <m/>
    <x v="0"/>
    <n v="301.8"/>
    <m/>
    <x v="1027"/>
    <x v="17"/>
    <s v="Granel"/>
    <m/>
    <s v="Granel Sólido"/>
    <m/>
    <m/>
    <s v="2H SET - 1H OCT '20"/>
    <x v="0"/>
    <m/>
    <m/>
    <m/>
    <x v="562"/>
    <m/>
    <m/>
    <x v="546"/>
    <n v="11"/>
    <n v="2020"/>
    <x v="0"/>
    <x v="0"/>
    <s v="RIGA / LETONIA"/>
    <x v="3"/>
    <m/>
    <x v="1"/>
    <x v="45"/>
    <d v="2020-10-06T00:00:00"/>
    <s v="MV CIELO DI IYO"/>
    <x v="287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188"/>
    <m/>
    <x v="976"/>
    <m/>
    <m/>
    <m/>
    <s v="CERRADO"/>
    <n v="207951"/>
    <x v="6"/>
    <x v="41"/>
    <x v="527"/>
    <d v="2020-09-22T00:00:00"/>
    <n v="150"/>
    <s v="días BL"/>
    <s v="B7FE-20-3018-URPE-05"/>
    <m/>
    <d v="2021-03-05T00:00:00"/>
    <s v="CANCELADO"/>
    <s v="CFR"/>
    <m/>
    <x v="485"/>
    <n v="301.8"/>
    <m/>
    <x v="1028"/>
    <x v="17"/>
    <s v="Granel"/>
    <m/>
    <s v="Granel Sólido"/>
    <m/>
    <m/>
    <s v="2H SET - 1H OCT '20"/>
    <x v="0"/>
    <m/>
    <m/>
    <m/>
    <x v="532"/>
    <m/>
    <m/>
    <x v="583"/>
    <n v="11"/>
    <n v="2020"/>
    <x v="0"/>
    <x v="0"/>
    <s v="RIGA / LETONIA"/>
    <x v="4"/>
    <m/>
    <x v="2"/>
    <x v="1"/>
    <d v="2020-10-06T00:00:00"/>
    <s v="MV CIELO DI IYO"/>
    <x v="287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O-S"/>
    <x v="0"/>
    <x v="0"/>
    <m/>
    <m/>
    <x v="1189"/>
    <m/>
    <x v="977"/>
    <m/>
    <m/>
    <m/>
    <s v="CERRADO"/>
    <n v="208063"/>
    <x v="104"/>
    <x v="53"/>
    <x v="528"/>
    <s v="SETIEMBRE"/>
    <s v="CAD"/>
    <m/>
    <s v="F200-00042948"/>
    <m/>
    <d v="2020-11-01T00:00:00"/>
    <s v="CANCELADO"/>
    <s v="CFR"/>
    <m/>
    <x v="15"/>
    <n v="522.79999999999995"/>
    <n v="51"/>
    <x v="1029"/>
    <x v="17"/>
    <s v="Granel"/>
    <m/>
    <s v="Granel Sólido"/>
    <m/>
    <m/>
    <s v="2H SET - 1H OCT '20"/>
    <x v="0"/>
    <m/>
    <m/>
    <m/>
    <x v="561"/>
    <m/>
    <m/>
    <x v="580"/>
    <n v="11"/>
    <n v="2020"/>
    <x v="0"/>
    <x v="0"/>
    <s v="HEROYA / NORUEGA"/>
    <x v="0"/>
    <m/>
    <x v="2"/>
    <x v="862"/>
    <d v="2020-09-30T00:00:00"/>
    <s v="MV CIELO DI IYO"/>
    <x v="287"/>
    <x v="0"/>
    <m/>
    <s v="NO APLICA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O-S"/>
    <x v="0"/>
    <x v="0"/>
    <m/>
    <m/>
    <x v="1190"/>
    <m/>
    <x v="978"/>
    <m/>
    <m/>
    <m/>
    <s v="CERRADO"/>
    <n v="208063"/>
    <x v="104"/>
    <x v="53"/>
    <x v="528"/>
    <s v="SETIEMBRE"/>
    <s v="CAD"/>
    <m/>
    <s v="F200-00042949"/>
    <m/>
    <d v="2020-11-01T00:00:00"/>
    <s v="CANCELADO"/>
    <s v="CFR"/>
    <m/>
    <x v="100"/>
    <n v="522.79999999999995"/>
    <n v="51"/>
    <x v="1030"/>
    <x v="17"/>
    <s v="Granel"/>
    <m/>
    <s v="Granel Sólido"/>
    <m/>
    <m/>
    <s v="2H SET - 1H OCT '20"/>
    <x v="0"/>
    <m/>
    <m/>
    <m/>
    <x v="525"/>
    <m/>
    <m/>
    <x v="581"/>
    <n v="11"/>
    <n v="2020"/>
    <x v="0"/>
    <x v="0"/>
    <s v="HEROYA / NORUEGA"/>
    <x v="1"/>
    <m/>
    <x v="2"/>
    <x v="863"/>
    <d v="2020-09-30T00:00:00"/>
    <s v="MV CIELO DI IYO"/>
    <x v="287"/>
    <x v="0"/>
    <m/>
    <s v="NO APLICA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O-S"/>
    <x v="0"/>
    <x v="0"/>
    <m/>
    <m/>
    <x v="1191"/>
    <m/>
    <x v="979"/>
    <m/>
    <m/>
    <m/>
    <s v="CERRADO"/>
    <n v="208063"/>
    <x v="104"/>
    <x v="53"/>
    <x v="528"/>
    <s v="SETIEMBRE"/>
    <s v="CAD"/>
    <m/>
    <s v="F200-00042945"/>
    <m/>
    <d v="2020-11-01T00:00:00"/>
    <s v="CANCELADO"/>
    <s v="CFR"/>
    <m/>
    <x v="42"/>
    <n v="522.79999999999995"/>
    <n v="51"/>
    <x v="1031"/>
    <x v="17"/>
    <s v="Granel"/>
    <m/>
    <s v="Granel Sólido"/>
    <m/>
    <m/>
    <s v="2H SET - 1H OCT '20"/>
    <x v="0"/>
    <m/>
    <m/>
    <m/>
    <x v="530"/>
    <m/>
    <m/>
    <x v="582"/>
    <n v="11"/>
    <n v="2020"/>
    <x v="0"/>
    <x v="0"/>
    <s v="HEROYA / NORUEGA"/>
    <x v="2"/>
    <m/>
    <x v="6"/>
    <x v="864"/>
    <d v="2020-09-30T00:00:00"/>
    <s v="MV CIELO DI IYO"/>
    <x v="287"/>
    <x v="0"/>
    <m/>
    <s v="NO APLICA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O-S"/>
    <x v="0"/>
    <x v="0"/>
    <m/>
    <m/>
    <x v="1192"/>
    <m/>
    <x v="980"/>
    <m/>
    <m/>
    <m/>
    <s v="CERRADO"/>
    <n v="208063"/>
    <x v="104"/>
    <x v="53"/>
    <x v="528"/>
    <s v="SETIEMBRE"/>
    <s v="CAD"/>
    <m/>
    <s v="F200-00042942"/>
    <m/>
    <d v="2020-11-01T00:00:00"/>
    <s v="CANCELADO"/>
    <s v="CFR"/>
    <m/>
    <x v="70"/>
    <n v="522.79999999999995"/>
    <n v="51"/>
    <x v="1032"/>
    <x v="17"/>
    <s v="Granel"/>
    <m/>
    <s v="Granel Sólido"/>
    <m/>
    <m/>
    <s v="2H SET - 1H OCT '20"/>
    <x v="0"/>
    <m/>
    <m/>
    <m/>
    <x v="562"/>
    <m/>
    <m/>
    <x v="546"/>
    <n v="11"/>
    <n v="2020"/>
    <x v="0"/>
    <x v="0"/>
    <s v="HEROYA / NORUEGA"/>
    <x v="3"/>
    <m/>
    <x v="1"/>
    <x v="865"/>
    <d v="2020-09-30T00:00:00"/>
    <s v="MV CIELO DI IYO"/>
    <x v="287"/>
    <x v="0"/>
    <m/>
    <s v="NO APLICA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O-S"/>
    <x v="0"/>
    <x v="0"/>
    <m/>
    <m/>
    <x v="1193"/>
    <m/>
    <x v="981"/>
    <m/>
    <m/>
    <m/>
    <s v="CERRADO"/>
    <n v="208063"/>
    <x v="104"/>
    <x v="53"/>
    <x v="528"/>
    <s v="SETIEMBRE"/>
    <s v="CAD"/>
    <m/>
    <s v="F200-00042950"/>
    <m/>
    <d v="2020-11-01T00:00:00"/>
    <s v="CANCELADO"/>
    <s v="CFR"/>
    <m/>
    <x v="486"/>
    <n v="522.79999999999995"/>
    <n v="51"/>
    <x v="1033"/>
    <x v="17"/>
    <s v="Granel"/>
    <m/>
    <s v="Granel Sólido"/>
    <m/>
    <m/>
    <s v="2H SET - 1H OCT '20"/>
    <x v="0"/>
    <m/>
    <m/>
    <m/>
    <x v="532"/>
    <m/>
    <m/>
    <x v="583"/>
    <n v="11"/>
    <n v="2020"/>
    <x v="0"/>
    <x v="0"/>
    <s v="HEROYA / NORUEGA"/>
    <x v="4"/>
    <m/>
    <x v="2"/>
    <x v="866"/>
    <d v="2020-09-30T00:00:00"/>
    <s v="MV CIELO DI IYO"/>
    <x v="287"/>
    <x v="0"/>
    <m/>
    <s v="NO APLICA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O-S"/>
    <x v="0"/>
    <x v="0"/>
    <m/>
    <m/>
    <x v="1194"/>
    <m/>
    <x v="982"/>
    <m/>
    <m/>
    <m/>
    <s v="CERRADO"/>
    <n v="208061"/>
    <x v="102"/>
    <x v="53"/>
    <x v="529"/>
    <s v="SETIEMBRE"/>
    <s v="CAD"/>
    <m/>
    <s v="F200-00042943"/>
    <m/>
    <d v="2020-11-01T00:00:00"/>
    <s v="CANCELADO"/>
    <s v="CFR"/>
    <m/>
    <x v="189"/>
    <n v="379.9"/>
    <n v="51"/>
    <x v="1034"/>
    <x v="17"/>
    <s v="Granel"/>
    <m/>
    <s v="Granel Sólido"/>
    <m/>
    <m/>
    <s v="2H SET - 1H OCT '20"/>
    <x v="0"/>
    <m/>
    <m/>
    <m/>
    <x v="561"/>
    <m/>
    <m/>
    <x v="580"/>
    <n v="11"/>
    <n v="2020"/>
    <x v="0"/>
    <x v="0"/>
    <s v="HEROYA / NORUEGA"/>
    <x v="0"/>
    <m/>
    <x v="2"/>
    <x v="867"/>
    <d v="2020-09-30T00:00:00"/>
    <s v="MV CIELO DI IYO"/>
    <x v="287"/>
    <x v="0"/>
    <m/>
    <s v="NO APLICA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O-S"/>
    <x v="0"/>
    <x v="0"/>
    <m/>
    <m/>
    <x v="1195"/>
    <m/>
    <x v="983"/>
    <m/>
    <m/>
    <m/>
    <s v="CERRADO"/>
    <n v="208061"/>
    <x v="102"/>
    <x v="53"/>
    <x v="529"/>
    <s v="SETIEMBRE"/>
    <s v="CAD"/>
    <m/>
    <s v="F200-00042946"/>
    <m/>
    <d v="2020-11-01T00:00:00"/>
    <s v="CANCELADO"/>
    <s v="CFR"/>
    <m/>
    <x v="138"/>
    <n v="379.9"/>
    <n v="51"/>
    <x v="1035"/>
    <x v="17"/>
    <s v="Granel"/>
    <m/>
    <s v="Granel Sólido"/>
    <m/>
    <m/>
    <s v="2H SET - 1H OCT '20"/>
    <x v="0"/>
    <m/>
    <m/>
    <m/>
    <x v="525"/>
    <m/>
    <m/>
    <x v="581"/>
    <n v="11"/>
    <n v="2020"/>
    <x v="0"/>
    <x v="0"/>
    <s v="HEROYA / NORUEGA"/>
    <x v="1"/>
    <m/>
    <x v="2"/>
    <x v="868"/>
    <d v="2020-09-30T00:00:00"/>
    <s v="MV CIELO DI IYO"/>
    <x v="287"/>
    <x v="0"/>
    <m/>
    <s v="NO APLICA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O-S"/>
    <x v="0"/>
    <x v="0"/>
    <m/>
    <m/>
    <x v="1196"/>
    <m/>
    <x v="984"/>
    <m/>
    <m/>
    <m/>
    <s v="CERRADO"/>
    <n v="208061"/>
    <x v="102"/>
    <x v="53"/>
    <x v="529"/>
    <s v="SETIEMBRE"/>
    <s v="CAD"/>
    <m/>
    <s v="F200-00042961"/>
    <m/>
    <d v="2020-11-01T00:00:00"/>
    <s v="CANCELADO"/>
    <s v="CFR"/>
    <m/>
    <x v="487"/>
    <n v="379.9"/>
    <n v="51"/>
    <x v="1036"/>
    <x v="17"/>
    <s v="Granel"/>
    <m/>
    <s v="Granel Sólido"/>
    <m/>
    <m/>
    <s v="2H SET - 1H OCT '20"/>
    <x v="0"/>
    <m/>
    <m/>
    <m/>
    <x v="530"/>
    <m/>
    <m/>
    <x v="582"/>
    <n v="11"/>
    <n v="2020"/>
    <x v="0"/>
    <x v="0"/>
    <s v="HEROYA / NORUEGA"/>
    <x v="2"/>
    <m/>
    <x v="3"/>
    <x v="869"/>
    <d v="2020-09-30T00:00:00"/>
    <s v="MV CIELO DI IYO"/>
    <x v="287"/>
    <x v="0"/>
    <m/>
    <s v="NO APLICA"/>
    <s v="DESTINO"/>
    <m/>
    <m/>
    <m/>
    <x v="0"/>
    <m/>
    <m/>
    <x v="0"/>
    <x v="0"/>
    <m/>
    <m/>
    <x v="0"/>
    <e v="#REF!"/>
    <m/>
    <m/>
    <m/>
    <m/>
    <m/>
    <x v="0"/>
    <s v="anulada: 8000001040"/>
    <m/>
    <m/>
    <m/>
    <s v="NACIONALIZADO"/>
    <m/>
    <m/>
    <m/>
  </r>
  <r>
    <n v="2020"/>
    <s v="O-S"/>
    <x v="0"/>
    <x v="0"/>
    <m/>
    <m/>
    <x v="1197"/>
    <m/>
    <x v="985"/>
    <m/>
    <m/>
    <m/>
    <s v="CERRADO"/>
    <n v="208061"/>
    <x v="102"/>
    <x v="53"/>
    <x v="529"/>
    <s v="SETIEMBRE"/>
    <n v="60"/>
    <s v="días BL"/>
    <s v="F200-00042960"/>
    <m/>
    <d v="2020-12-27T00:00:00"/>
    <s v="CANCELADO"/>
    <s v="CFR"/>
    <m/>
    <x v="488"/>
    <n v="379.9"/>
    <n v="51"/>
    <x v="1037"/>
    <x v="17"/>
    <s v="Granel"/>
    <m/>
    <s v="Granel Sólido"/>
    <m/>
    <m/>
    <s v="2H SET - 1H OCT '20"/>
    <x v="0"/>
    <m/>
    <m/>
    <m/>
    <x v="530"/>
    <m/>
    <m/>
    <x v="582"/>
    <n v="11"/>
    <n v="2020"/>
    <x v="0"/>
    <x v="0"/>
    <s v="HEROYA / NORUEGA"/>
    <x v="2"/>
    <m/>
    <x v="3"/>
    <x v="869"/>
    <d v="2020-09-30T00:00:00"/>
    <s v="MV CIELO DI IYO"/>
    <x v="287"/>
    <x v="0"/>
    <m/>
    <s v="NO APLICA"/>
    <s v="DESTINO"/>
    <m/>
    <m/>
    <m/>
    <x v="0"/>
    <m/>
    <m/>
    <x v="0"/>
    <x v="0"/>
    <m/>
    <m/>
    <x v="0"/>
    <e v="#REF!"/>
    <m/>
    <m/>
    <m/>
    <m/>
    <m/>
    <x v="0"/>
    <s v="anulada: 8000001058"/>
    <m/>
    <m/>
    <m/>
    <s v="NACIONALIZADO"/>
    <m/>
    <m/>
    <m/>
  </r>
  <r>
    <n v="2020"/>
    <s v="O-S"/>
    <x v="0"/>
    <x v="0"/>
    <m/>
    <m/>
    <x v="1198"/>
    <m/>
    <x v="986"/>
    <m/>
    <m/>
    <m/>
    <s v="CERRADO"/>
    <n v="208061"/>
    <x v="102"/>
    <x v="53"/>
    <x v="529"/>
    <s v="SETIEMBRE"/>
    <n v="60"/>
    <s v="días BL"/>
    <s v="F200-00042947"/>
    <m/>
    <d v="2020-12-27T00:00:00"/>
    <s v="CANCELADO"/>
    <s v="CFR"/>
    <m/>
    <x v="12"/>
    <n v="379.9"/>
    <n v="51"/>
    <x v="1038"/>
    <x v="17"/>
    <s v="Granel"/>
    <m/>
    <s v="Granel Sólido"/>
    <m/>
    <m/>
    <s v="2H SET - 1H OCT '20"/>
    <x v="0"/>
    <m/>
    <m/>
    <m/>
    <x v="562"/>
    <m/>
    <m/>
    <x v="546"/>
    <n v="11"/>
    <n v="2020"/>
    <x v="0"/>
    <x v="0"/>
    <s v="HEROYA / NORUEGA"/>
    <x v="3"/>
    <m/>
    <x v="1"/>
    <x v="870"/>
    <d v="2020-09-30T00:00:00"/>
    <s v="MV CIELO DI IYO"/>
    <x v="287"/>
    <x v="0"/>
    <m/>
    <s v="NO APLICA"/>
    <s v="DESTINO"/>
    <m/>
    <m/>
    <m/>
    <x v="0"/>
    <m/>
    <m/>
    <x v="0"/>
    <x v="0"/>
    <m/>
    <m/>
    <x v="0"/>
    <e v="#REF!"/>
    <m/>
    <m/>
    <m/>
    <m/>
    <m/>
    <x v="0"/>
    <s v="anulada 8000001041"/>
    <m/>
    <m/>
    <m/>
    <s v="NACIONALIZADO"/>
    <m/>
    <m/>
    <m/>
  </r>
  <r>
    <n v="2020"/>
    <s v="O-S"/>
    <x v="0"/>
    <x v="0"/>
    <m/>
    <m/>
    <x v="1199"/>
    <m/>
    <x v="987"/>
    <m/>
    <m/>
    <m/>
    <s v="CERRADO"/>
    <n v="208061"/>
    <x v="102"/>
    <x v="53"/>
    <x v="529"/>
    <s v="SETIEMBRE"/>
    <n v="60"/>
    <s v="días BL"/>
    <s v="F200-00042944"/>
    <m/>
    <d v="2020-12-27T00:00:00"/>
    <s v="CANCELADO"/>
    <s v="CFR"/>
    <m/>
    <x v="7"/>
    <n v="379.9"/>
    <n v="51"/>
    <x v="1039"/>
    <x v="17"/>
    <s v="Granel"/>
    <m/>
    <s v="Granel Sólido"/>
    <m/>
    <m/>
    <s v="2H SET - 1H OCT '20"/>
    <x v="0"/>
    <m/>
    <m/>
    <m/>
    <x v="532"/>
    <m/>
    <m/>
    <x v="583"/>
    <n v="11"/>
    <n v="2020"/>
    <x v="0"/>
    <x v="0"/>
    <s v="HEROYA / NORUEGA"/>
    <x v="4"/>
    <m/>
    <x v="2"/>
    <x v="871"/>
    <d v="2020-09-30T00:00:00"/>
    <s v="MV CIELO DI IYO"/>
    <x v="287"/>
    <x v="0"/>
    <m/>
    <s v="NO APLICA"/>
    <s v="DESTINO"/>
    <m/>
    <m/>
    <m/>
    <x v="0"/>
    <m/>
    <m/>
    <x v="0"/>
    <x v="0"/>
    <m/>
    <m/>
    <x v="0"/>
    <e v="#REF!"/>
    <m/>
    <m/>
    <m/>
    <m/>
    <m/>
    <x v="0"/>
    <s v="anulada: 8000001042"/>
    <m/>
    <m/>
    <m/>
    <s v="NACIONALIZADO"/>
    <m/>
    <m/>
    <m/>
  </r>
  <r>
    <n v="2020"/>
    <s v="S-S"/>
    <x v="0"/>
    <x v="0"/>
    <m/>
    <m/>
    <x v="1200"/>
    <m/>
    <x v="988"/>
    <m/>
    <m/>
    <m/>
    <s v="CERRADO"/>
    <n v="206914"/>
    <x v="12"/>
    <x v="19"/>
    <x v="530"/>
    <d v="2020-09-21T00:00:00"/>
    <n v="90"/>
    <s v="días BL"/>
    <s v="SG-MSL-12329-28"/>
    <m/>
    <d v="2021-01-22T00:00:00"/>
    <s v="CANCELADO"/>
    <s v="CFR"/>
    <m/>
    <x v="132"/>
    <n v="115.5"/>
    <n v="44"/>
    <x v="1040"/>
    <x v="3"/>
    <s v="Granel - BB"/>
    <m/>
    <s v="25 kg"/>
    <m/>
    <m/>
    <s v="SET - OCT '20"/>
    <x v="0"/>
    <m/>
    <m/>
    <m/>
    <x v="552"/>
    <m/>
    <m/>
    <x v="570"/>
    <n v="11"/>
    <n v="2020"/>
    <x v="0"/>
    <x v="0"/>
    <s v="BAYUQUAN / CHINA"/>
    <x v="0"/>
    <m/>
    <x v="5"/>
    <x v="872"/>
    <d v="2020-10-24T00:00:00"/>
    <s v="MV STAR JAPAN"/>
    <x v="283"/>
    <x v="0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1201"/>
    <m/>
    <x v="989"/>
    <m/>
    <m/>
    <m/>
    <s v="CERRADO"/>
    <n v="206914"/>
    <x v="12"/>
    <x v="19"/>
    <x v="531"/>
    <d v="2020-09-21T00:00:00"/>
    <n v="90"/>
    <s v="días BL"/>
    <s v="SG-MSL-12329-29A"/>
    <m/>
    <d v="2021-02-13T00:00:00"/>
    <s v="CANCELADO"/>
    <s v="CFR"/>
    <m/>
    <x v="4"/>
    <n v="97.5"/>
    <m/>
    <x v="1041"/>
    <x v="3"/>
    <s v="Granel - BB"/>
    <m/>
    <s v="25 kg"/>
    <m/>
    <m/>
    <s v="SET - OCT '20"/>
    <x v="0"/>
    <m/>
    <m/>
    <m/>
    <x v="563"/>
    <m/>
    <m/>
    <x v="584"/>
    <n v="1"/>
    <n v="2021"/>
    <x v="0"/>
    <x v="0"/>
    <s v="BAYUQUAN / CHINA"/>
    <x v="2"/>
    <m/>
    <x v="6"/>
    <x v="873"/>
    <d v="2020-11-15T00:00:00"/>
    <s v="MV RAVEN ARROW"/>
    <x v="248"/>
    <x v="0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1202"/>
    <m/>
    <x v="990"/>
    <m/>
    <m/>
    <m/>
    <s v="CERRADO"/>
    <n v="206914"/>
    <x v="12"/>
    <x v="19"/>
    <x v="531"/>
    <d v="2020-09-21T00:00:00"/>
    <n v="90"/>
    <s v="días BL"/>
    <s v="SG-MSL-12329-29B"/>
    <m/>
    <d v="2021-03-05T00:00:00"/>
    <s v="CANCELADO"/>
    <s v="CFR"/>
    <m/>
    <x v="4"/>
    <n v="97.5"/>
    <m/>
    <x v="1041"/>
    <x v="3"/>
    <s v="Granel - BB"/>
    <m/>
    <s v="25 kg"/>
    <m/>
    <m/>
    <s v="SET - OCT '20"/>
    <x v="0"/>
    <m/>
    <m/>
    <m/>
    <x v="564"/>
    <m/>
    <m/>
    <x v="585"/>
    <n v="2"/>
    <n v="2021"/>
    <x v="0"/>
    <x v="0"/>
    <s v="BAYUQUAN / CHINA"/>
    <x v="2"/>
    <m/>
    <x v="6"/>
    <x v="874"/>
    <d v="2020-12-20T00:00:00"/>
    <s v="MV XING ZUN HAI"/>
    <x v="288"/>
    <x v="0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1203"/>
    <m/>
    <x v="991"/>
    <m/>
    <m/>
    <m/>
    <s v="CERRADO"/>
    <n v="206914"/>
    <x v="12"/>
    <x v="19"/>
    <x v="532"/>
    <d v="2020-09-21T00:00:00"/>
    <n v="90"/>
    <s v="días BL"/>
    <s v="SG-MSL-12329-30"/>
    <m/>
    <d v="2021-01-21T00:00:00"/>
    <s v="CANCELADO"/>
    <s v="CFR"/>
    <m/>
    <x v="367"/>
    <n v="107"/>
    <n v="35"/>
    <x v="1042"/>
    <x v="3"/>
    <s v="Granel - BB"/>
    <m/>
    <s v="25 kg"/>
    <m/>
    <m/>
    <s v="SET - OCT '20"/>
    <x v="0"/>
    <m/>
    <m/>
    <m/>
    <x v="565"/>
    <m/>
    <m/>
    <x v="572"/>
    <n v="12"/>
    <n v="2020"/>
    <x v="0"/>
    <x v="0"/>
    <s v="BAYUQUAN / CHINA"/>
    <x v="4"/>
    <m/>
    <x v="4"/>
    <x v="875"/>
    <d v="2020-10-23T00:00:00"/>
    <s v="MV STAR JAPAN"/>
    <x v="283"/>
    <x v="0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2"/>
    <m/>
    <m/>
    <x v="1204"/>
    <m/>
    <x v="34"/>
    <m/>
    <m/>
    <m/>
    <m/>
    <m/>
    <x v="12"/>
    <x v="19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0"/>
    <s v="S-S"/>
    <x v="0"/>
    <x v="2"/>
    <m/>
    <m/>
    <x v="1205"/>
    <m/>
    <x v="34"/>
    <m/>
    <m/>
    <m/>
    <m/>
    <m/>
    <x v="12"/>
    <x v="19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0"/>
    <s v="S-S"/>
    <x v="0"/>
    <x v="0"/>
    <m/>
    <m/>
    <x v="1206"/>
    <m/>
    <x v="992"/>
    <m/>
    <m/>
    <m/>
    <s v="CERRADO"/>
    <n v="206971"/>
    <x v="3"/>
    <x v="58"/>
    <x v="533"/>
    <d v="2020-09-22T00:00:00"/>
    <n v="30"/>
    <s v="días BL"/>
    <s v="STL0110107409"/>
    <m/>
    <d v="2020-12-21T00:00:00"/>
    <s v="CANCELADO"/>
    <s v="CFR"/>
    <m/>
    <x v="139"/>
    <n v="410"/>
    <m/>
    <x v="1043"/>
    <x v="13"/>
    <s v="Contenedor 20'"/>
    <m/>
    <s v="25 kg"/>
    <m/>
    <m/>
    <s v="2H OCTUBRE '20"/>
    <x v="0"/>
    <m/>
    <m/>
    <m/>
    <x v="566"/>
    <m/>
    <m/>
    <x v="586"/>
    <n v="2"/>
    <n v="2021"/>
    <x v="0"/>
    <x v="0"/>
    <s v="ALEXANDRIA / EGIPTO"/>
    <x v="0"/>
    <m/>
    <x v="5"/>
    <x v="876"/>
    <d v="2020-11-21T00:00:00"/>
    <s v="MSC JEMIMA"/>
    <x v="193"/>
    <x v="4"/>
    <m/>
    <s v="REALIZADO"/>
    <s v="SWB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1207"/>
    <m/>
    <x v="993"/>
    <m/>
    <m/>
    <m/>
    <s v="CERRADO"/>
    <n v="206971"/>
    <x v="3"/>
    <x v="58"/>
    <x v="533"/>
    <d v="2020-09-22T00:00:00"/>
    <n v="30"/>
    <s v="días BL"/>
    <s v="STL0110107459"/>
    <m/>
    <d v="2021-01-11T00:00:00"/>
    <s v="CANCELADO"/>
    <s v="CFR"/>
    <m/>
    <x v="139"/>
    <n v="410"/>
    <m/>
    <x v="1043"/>
    <x v="13"/>
    <s v="Contenedor 20'"/>
    <m/>
    <s v="25 kg"/>
    <m/>
    <m/>
    <s v="2H OCTUBRE '20"/>
    <x v="0"/>
    <m/>
    <m/>
    <m/>
    <x v="567"/>
    <m/>
    <m/>
    <x v="587"/>
    <n v="1"/>
    <n v="2021"/>
    <x v="0"/>
    <x v="0"/>
    <s v="ALEXANDRIA / EGIPTO"/>
    <x v="0"/>
    <m/>
    <x v="2"/>
    <x v="877"/>
    <d v="2020-12-12T00:00:00"/>
    <s v="MONTE ALEGRE"/>
    <x v="193"/>
    <x v="6"/>
    <m/>
    <s v="REALIZADO"/>
    <s v="DESTINO"/>
    <m/>
    <m/>
    <m/>
    <x v="0"/>
    <d v="2021-02-02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1208"/>
    <m/>
    <x v="994"/>
    <m/>
    <m/>
    <m/>
    <s v="CERRADO"/>
    <n v="206971"/>
    <x v="3"/>
    <x v="58"/>
    <x v="533"/>
    <d v="2020-09-22T00:00:00"/>
    <n v="30"/>
    <s v="días BL"/>
    <s v="STL0110107487"/>
    <m/>
    <d v="2021-02-12T00:00:00"/>
    <s v="CANCELADO"/>
    <s v="CFR"/>
    <m/>
    <x v="331"/>
    <n v="410"/>
    <m/>
    <x v="228"/>
    <x v="19"/>
    <s v="Contenedor 20'"/>
    <m/>
    <s v="25 kg"/>
    <m/>
    <m/>
    <s v="2H OCTUBRE '20"/>
    <x v="0"/>
    <m/>
    <m/>
    <m/>
    <x v="568"/>
    <m/>
    <m/>
    <x v="551"/>
    <n v="3"/>
    <n v="2021"/>
    <x v="0"/>
    <x v="0"/>
    <s v="ALEXANDRIA / EGIPTO"/>
    <x v="0"/>
    <m/>
    <x v="5"/>
    <x v="878"/>
    <d v="2021-01-13T00:00:00"/>
    <s v="MONTE ALEGRE"/>
    <x v="222"/>
    <x v="6"/>
    <m/>
    <s v="REALIZADO"/>
    <s v="ORIGEN"/>
    <m/>
    <m/>
    <m/>
    <x v="0"/>
    <m/>
    <m/>
    <x v="0"/>
    <x v="0"/>
    <m/>
    <m/>
    <x v="0"/>
    <e v="#REF!"/>
    <m/>
    <m/>
    <m/>
    <m/>
    <m/>
    <x v="0"/>
    <s v="anulada: 8000001243 "/>
    <m/>
    <m/>
    <m/>
    <s v="NACIONALIZADO"/>
    <m/>
    <m/>
    <m/>
  </r>
  <r>
    <n v="2020"/>
    <s v="S-S"/>
    <x v="0"/>
    <x v="0"/>
    <m/>
    <m/>
    <x v="1209"/>
    <m/>
    <x v="995"/>
    <m/>
    <m/>
    <m/>
    <s v="CERRADO"/>
    <n v="206971"/>
    <x v="3"/>
    <x v="58"/>
    <x v="533"/>
    <d v="2020-09-22T00:00:00"/>
    <n v="30"/>
    <s v="días BL"/>
    <s v="STL0110107487"/>
    <m/>
    <d v="2021-02-12T00:00:00"/>
    <s v="CANCELADO"/>
    <s v="CFR"/>
    <m/>
    <x v="26"/>
    <n v="410"/>
    <m/>
    <x v="1044"/>
    <x v="11"/>
    <s v="Contenedor 20'"/>
    <m/>
    <s v="25 kg"/>
    <m/>
    <m/>
    <s v="2H OCTUBRE '20"/>
    <x v="0"/>
    <m/>
    <m/>
    <m/>
    <x v="569"/>
    <m/>
    <m/>
    <x v="588"/>
    <n v="3"/>
    <n v="2021"/>
    <x v="0"/>
    <x v="0"/>
    <s v="ALEXANDRIA / EGIPTO"/>
    <x v="0"/>
    <m/>
    <x v="2"/>
    <x v="879"/>
    <d v="2021-01-13T00:00:00"/>
    <s v="MONTE ALEGRE"/>
    <x v="222"/>
    <x v="6"/>
    <m/>
    <s v="REALIZADO"/>
    <s v="ORIGEN"/>
    <m/>
    <m/>
    <m/>
    <x v="0"/>
    <d v="2021-04-01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1210"/>
    <m/>
    <x v="996"/>
    <m/>
    <m/>
    <m/>
    <s v="CERRADO"/>
    <n v="206971"/>
    <x v="3"/>
    <x v="58"/>
    <x v="534"/>
    <d v="2020-09-22T00:00:00"/>
    <n v="30"/>
    <s v="días BL"/>
    <s v="STL0110107407"/>
    <m/>
    <d v="2020-12-10T00:00:00"/>
    <s v="CANCELADO"/>
    <s v="CFR"/>
    <m/>
    <x v="136"/>
    <n v="400"/>
    <m/>
    <x v="1045"/>
    <x v="16"/>
    <s v="Contenedor 20'"/>
    <m/>
    <s v="25 kg"/>
    <m/>
    <m/>
    <s v="2H OCTUBRE '20"/>
    <x v="0"/>
    <m/>
    <m/>
    <m/>
    <x v="570"/>
    <m/>
    <m/>
    <x v="589"/>
    <n v="1"/>
    <n v="2021"/>
    <x v="0"/>
    <x v="0"/>
    <s v="ALEXANDRIA / EGIPTO"/>
    <x v="2"/>
    <m/>
    <x v="1"/>
    <x v="880"/>
    <d v="2020-11-11T00:00:00"/>
    <s v="MSC FLORENTINA"/>
    <x v="289"/>
    <x v="4"/>
    <m/>
    <s v="REALIZADO"/>
    <s v="SWB"/>
    <m/>
    <m/>
    <m/>
    <x v="0"/>
    <d v="2021-01-25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1211"/>
    <m/>
    <x v="997"/>
    <m/>
    <m/>
    <m/>
    <s v="CERRADO"/>
    <n v="206971"/>
    <x v="3"/>
    <x v="58"/>
    <x v="534"/>
    <d v="2020-09-22T00:00:00"/>
    <n v="30"/>
    <s v="días BL"/>
    <s v="STL0110107407"/>
    <m/>
    <d v="2020-12-10T00:00:00"/>
    <s v="CANCELADO"/>
    <s v="CFR"/>
    <m/>
    <x v="136"/>
    <n v="400"/>
    <m/>
    <x v="1045"/>
    <x v="16"/>
    <s v="Contenedor 20'"/>
    <m/>
    <s v="25 kg"/>
    <m/>
    <m/>
    <s v="2H OCTUBRE '20"/>
    <x v="0"/>
    <m/>
    <m/>
    <m/>
    <x v="570"/>
    <m/>
    <m/>
    <x v="590"/>
    <n v="1"/>
    <n v="2021"/>
    <x v="0"/>
    <x v="0"/>
    <s v="ALEXANDRIA / EGIPTO"/>
    <x v="2"/>
    <m/>
    <x v="3"/>
    <x v="880"/>
    <d v="2020-11-11T00:00:00"/>
    <s v="MSC FLORENTINA"/>
    <x v="290"/>
    <x v="4"/>
    <m/>
    <s v="REALIZADO"/>
    <s v="SWB"/>
    <m/>
    <m/>
    <m/>
    <x v="0"/>
    <d v="2021-01-25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1212"/>
    <m/>
    <x v="998"/>
    <m/>
    <m/>
    <m/>
    <s v="CERRADO"/>
    <n v="206971"/>
    <x v="3"/>
    <x v="58"/>
    <x v="534"/>
    <d v="2020-09-22T00:00:00"/>
    <n v="30"/>
    <s v="días BL"/>
    <s v="STL0110107438"/>
    <m/>
    <d v="2020-12-31T00:00:00"/>
    <s v="CANCELADO"/>
    <s v="CFR"/>
    <m/>
    <x v="415"/>
    <n v="400"/>
    <m/>
    <x v="1046"/>
    <x v="21"/>
    <s v="Contenedor 20'"/>
    <m/>
    <s v="25 kg"/>
    <m/>
    <m/>
    <s v="2H OCTUBRE '20"/>
    <x v="0"/>
    <m/>
    <m/>
    <m/>
    <x v="571"/>
    <m/>
    <m/>
    <x v="591"/>
    <n v="2"/>
    <n v="2021"/>
    <x v="0"/>
    <x v="0"/>
    <s v="ALEXANDRIA / EGIPTO"/>
    <x v="2"/>
    <m/>
    <x v="6"/>
    <x v="881"/>
    <d v="2020-12-01T00:00:00"/>
    <s v="MSC BRANKA"/>
    <x v="94"/>
    <x v="4"/>
    <m/>
    <s v="REALIZADO"/>
    <s v="SWB"/>
    <m/>
    <m/>
    <m/>
    <x v="0"/>
    <d v="2021-02-20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1213"/>
    <m/>
    <x v="999"/>
    <m/>
    <m/>
    <m/>
    <s v="CERRADO"/>
    <n v="206971"/>
    <x v="3"/>
    <x v="58"/>
    <x v="534"/>
    <d v="2020-09-22T00:00:00"/>
    <n v="30"/>
    <s v="días BL"/>
    <s v="STL0110107486"/>
    <m/>
    <d v="2021-02-11T00:00:00"/>
    <s v="CANCELADO"/>
    <s v="CFR"/>
    <m/>
    <x v="415"/>
    <n v="400"/>
    <m/>
    <x v="1046"/>
    <x v="21"/>
    <s v="Contenedor 20'"/>
    <m/>
    <s v="25 kg"/>
    <m/>
    <m/>
    <s v="2H OCTUBRE '20"/>
    <x v="0"/>
    <m/>
    <m/>
    <m/>
    <x v="572"/>
    <m/>
    <m/>
    <x v="592"/>
    <n v="4"/>
    <n v="2021"/>
    <x v="0"/>
    <x v="0"/>
    <s v="ALEXANDRIA / EGIPTO"/>
    <x v="2"/>
    <m/>
    <x v="6"/>
    <x v="882"/>
    <d v="2021-01-12T00:00:00"/>
    <s v="MONTE ALEGRE"/>
    <x v="291"/>
    <x v="6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1214"/>
    <m/>
    <x v="1000"/>
    <m/>
    <m/>
    <m/>
    <s v="CERRADO"/>
    <n v="206971"/>
    <x v="3"/>
    <x v="58"/>
    <x v="535"/>
    <d v="2020-09-22T00:00:00"/>
    <n v="30"/>
    <s v="días BL"/>
    <s v="STL0110107408"/>
    <m/>
    <d v="2020-12-09T00:00:00"/>
    <s v="CANCELADO"/>
    <s v="CFR"/>
    <m/>
    <x v="59"/>
    <n v="420"/>
    <m/>
    <x v="1047"/>
    <x v="14"/>
    <s v="Contenedor 20'"/>
    <m/>
    <s v="25 kg"/>
    <m/>
    <m/>
    <s v="2H OCTUBRE '20"/>
    <x v="0"/>
    <m/>
    <m/>
    <m/>
    <x v="569"/>
    <m/>
    <m/>
    <x v="593"/>
    <n v="3"/>
    <n v="2021"/>
    <x v="0"/>
    <x v="0"/>
    <s v="ALEXANDRIA / EGIPTO"/>
    <x v="4"/>
    <m/>
    <x v="2"/>
    <x v="883"/>
    <d v="2020-11-09T00:00:00"/>
    <s v="ETE N"/>
    <x v="129"/>
    <x v="2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T-S"/>
    <x v="0"/>
    <x v="0"/>
    <m/>
    <m/>
    <x v="1215"/>
    <m/>
    <x v="1001"/>
    <m/>
    <m/>
    <m/>
    <s v="CERRADO"/>
    <n v="208072"/>
    <x v="119"/>
    <x v="53"/>
    <x v="536"/>
    <s v="SETIEMBRE"/>
    <s v="CAD"/>
    <m/>
    <s v="F200-00042972"/>
    <m/>
    <d v="2020-11-19T00:00:00"/>
    <s v="CANCELADO"/>
    <s v="CFR"/>
    <m/>
    <x v="489"/>
    <n v="9560"/>
    <m/>
    <x v="1048"/>
    <x v="11"/>
    <s v="Contenedor 40'"/>
    <m/>
    <s v="5 kg"/>
    <m/>
    <m/>
    <s v="2H OCT - 1H NOV '20"/>
    <x v="0"/>
    <m/>
    <m/>
    <m/>
    <x v="573"/>
    <m/>
    <m/>
    <x v="552"/>
    <n v="11"/>
    <n v="2020"/>
    <x v="0"/>
    <x v="0"/>
    <s v="ROTTERDAM / PAISES BAJOS"/>
    <x v="0"/>
    <m/>
    <x v="2"/>
    <x v="884"/>
    <d v="2020-10-22T00:00:00"/>
    <s v="VALPARAISO EXPRESS"/>
    <x v="244"/>
    <x v="9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E-S"/>
    <x v="0"/>
    <x v="0"/>
    <m/>
    <m/>
    <x v="1216"/>
    <m/>
    <x v="1002"/>
    <m/>
    <m/>
    <m/>
    <s v="CERRADO"/>
    <n v="208053"/>
    <x v="53"/>
    <x v="36"/>
    <x v="537"/>
    <d v="2020-09-22T00:00:00"/>
    <n v="120"/>
    <s v="días FACT."/>
    <s v="9392"/>
    <m/>
    <d v="2021-03-12T00:00:00"/>
    <s v="CANCELADO"/>
    <s v="CIF"/>
    <m/>
    <x v="8"/>
    <n v="345"/>
    <m/>
    <x v="73"/>
    <x v="3"/>
    <s v="Granel - BB"/>
    <m/>
    <s v="Bigbag"/>
    <m/>
    <m/>
    <s v="OCTUBRE '20"/>
    <x v="0"/>
    <m/>
    <m/>
    <m/>
    <x v="563"/>
    <m/>
    <m/>
    <x v="594"/>
    <n v="1"/>
    <n v="2021"/>
    <x v="0"/>
    <x v="0"/>
    <s v="BAYUQUAN / CHINA"/>
    <x v="2"/>
    <m/>
    <x v="1"/>
    <x v="885"/>
    <d v="2020-11-15T00:00:00"/>
    <s v="MV RAVEN ARROW"/>
    <x v="248"/>
    <x v="0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P"/>
    <x v="0"/>
    <x v="0"/>
    <m/>
    <m/>
    <x v="1217"/>
    <m/>
    <x v="1003"/>
    <m/>
    <m/>
    <m/>
    <s v="CERRADO"/>
    <n v="207499"/>
    <x v="2"/>
    <x v="51"/>
    <x v="538"/>
    <d v="2020-09-21T00:00:00"/>
    <n v="90"/>
    <s v="días BL"/>
    <s v="5000361"/>
    <m/>
    <d v="2021-02-04T00:00:00"/>
    <s v="CANCELADO"/>
    <s v="CPT"/>
    <m/>
    <x v="229"/>
    <n v="505"/>
    <m/>
    <x v="1049"/>
    <x v="10"/>
    <s v="Contenedor 20'"/>
    <m/>
    <s v="25 kg"/>
    <m/>
    <m/>
    <s v="OCT - NOV '20"/>
    <x v="0"/>
    <m/>
    <m/>
    <m/>
    <x v="574"/>
    <m/>
    <m/>
    <x v="550"/>
    <n v="1"/>
    <n v="2021"/>
    <x v="0"/>
    <x v="0"/>
    <s v="GEMLIK / TURQUÍA"/>
    <x v="0"/>
    <m/>
    <x v="5"/>
    <x v="886"/>
    <d v="2020-11-06T00:00:00"/>
    <s v="CMA CGM NERVAL"/>
    <x v="222"/>
    <x v="6"/>
    <m/>
    <s v="REALIZADO"/>
    <s v="ORIGEN"/>
    <m/>
    <m/>
    <m/>
    <x v="0"/>
    <d v="2021-01-14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P"/>
    <x v="0"/>
    <x v="0"/>
    <m/>
    <m/>
    <x v="1218"/>
    <m/>
    <x v="1004"/>
    <m/>
    <m/>
    <m/>
    <s v="CERRADO"/>
    <n v="207499"/>
    <x v="2"/>
    <x v="51"/>
    <x v="539"/>
    <d v="2020-09-25T00:00:00"/>
    <n v="90"/>
    <s v="días BL"/>
    <s v="5000374"/>
    <m/>
    <d v="2021-02-06T00:00:00"/>
    <s v="CANCELADO"/>
    <s v="CFR"/>
    <m/>
    <x v="490"/>
    <n v="447"/>
    <m/>
    <x v="1050"/>
    <x v="3"/>
    <s v="Granel - BB"/>
    <m/>
    <s v="25 kg"/>
    <m/>
    <m/>
    <s v="OCT - NOV '20"/>
    <x v="0"/>
    <m/>
    <m/>
    <m/>
    <x v="563"/>
    <m/>
    <m/>
    <x v="594"/>
    <n v="1"/>
    <n v="2021"/>
    <x v="0"/>
    <x v="0"/>
    <s v="NANJING / CHINA"/>
    <x v="2"/>
    <m/>
    <x v="1"/>
    <x v="887"/>
    <d v="2020-11-08T00:00:00"/>
    <s v="MV RAVEN ARROW"/>
    <x v="248"/>
    <x v="0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P"/>
    <x v="0"/>
    <x v="0"/>
    <m/>
    <m/>
    <x v="1219"/>
    <m/>
    <x v="1005"/>
    <m/>
    <m/>
    <m/>
    <s v="CERRADO"/>
    <n v="207498"/>
    <x v="2"/>
    <x v="51"/>
    <x v="540"/>
    <d v="2020-09-25T00:00:00"/>
    <n v="90"/>
    <s v="días BL"/>
    <s v="5000340"/>
    <m/>
    <d v="2021-01-17T00:00:00"/>
    <s v="CANCELADO"/>
    <s v="CFR"/>
    <m/>
    <x v="491"/>
    <n v="458"/>
    <n v="33"/>
    <x v="1051"/>
    <x v="3"/>
    <s v="Granel - BB"/>
    <m/>
    <s v="25 kg"/>
    <m/>
    <m/>
    <s v="OCT - NOV '20"/>
    <x v="0"/>
    <m/>
    <m/>
    <m/>
    <x v="552"/>
    <m/>
    <m/>
    <x v="570"/>
    <n v="11"/>
    <n v="2020"/>
    <x v="0"/>
    <x v="0"/>
    <s v="XINGANG / CHINA"/>
    <x v="0"/>
    <m/>
    <x v="2"/>
    <x v="888"/>
    <d v="2020-10-19T00:00:00"/>
    <s v="MV STAR JAPAN"/>
    <x v="283"/>
    <x v="0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C"/>
    <x v="0"/>
    <x v="0"/>
    <m/>
    <m/>
    <x v="1220"/>
    <m/>
    <x v="1006"/>
    <m/>
    <m/>
    <m/>
    <s v="CERRADO"/>
    <n v="207580"/>
    <x v="32"/>
    <x v="51"/>
    <x v="541"/>
    <d v="2020-09-25T00:00:00"/>
    <s v="CAD"/>
    <m/>
    <s v="5000330"/>
    <m/>
    <d v="2020-11-04T00:00:00"/>
    <s v="CANCELADO"/>
    <s v="CPT"/>
    <m/>
    <x v="222"/>
    <n v="626"/>
    <m/>
    <x v="1052"/>
    <x v="10"/>
    <s v="Contenedor 20'"/>
    <m/>
    <s v="25 kg"/>
    <m/>
    <m/>
    <s v="OCTUBRE '20"/>
    <x v="0"/>
    <m/>
    <m/>
    <m/>
    <x v="575"/>
    <m/>
    <m/>
    <x v="572"/>
    <n v="12"/>
    <n v="2020"/>
    <x v="0"/>
    <x v="0"/>
    <s v="KLAIPEDA / LITUANIA"/>
    <x v="2"/>
    <m/>
    <x v="3"/>
    <x v="889"/>
    <d v="2020-10-27T00:00:00"/>
    <s v="MSC LEIGH"/>
    <x v="292"/>
    <x v="4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C"/>
    <x v="0"/>
    <x v="0"/>
    <m/>
    <m/>
    <x v="1221"/>
    <m/>
    <x v="1007"/>
    <m/>
    <m/>
    <m/>
    <s v="CERRADO"/>
    <n v="207580"/>
    <x v="32"/>
    <x v="51"/>
    <x v="542"/>
    <d v="2020-09-25T00:00:00"/>
    <s v="CAD"/>
    <m/>
    <s v="5000331"/>
    <m/>
    <d v="2020-11-04T00:00:00"/>
    <s v="CANCELADO"/>
    <s v="CPT"/>
    <m/>
    <x v="141"/>
    <n v="630"/>
    <m/>
    <x v="1053"/>
    <x v="15"/>
    <s v="Contenedor 20'"/>
    <m/>
    <s v="25 kg"/>
    <m/>
    <m/>
    <s v="OCTUBRE '20"/>
    <x v="0"/>
    <m/>
    <m/>
    <m/>
    <x v="576"/>
    <m/>
    <m/>
    <x v="573"/>
    <n v="12"/>
    <n v="2020"/>
    <x v="0"/>
    <x v="0"/>
    <s v="KLAIPEDA / LITUANIA"/>
    <x v="0"/>
    <m/>
    <x v="2"/>
    <x v="890"/>
    <d v="2020-10-27T00:00:00"/>
    <s v="MSC LEIGH"/>
    <x v="292"/>
    <x v="4"/>
    <m/>
    <s v="REALIZADO"/>
    <s v="ORIGEN"/>
    <m/>
    <m/>
    <m/>
    <x v="0"/>
    <d v="2020-12-23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C"/>
    <x v="0"/>
    <x v="0"/>
    <m/>
    <m/>
    <x v="1222"/>
    <m/>
    <x v="1008"/>
    <m/>
    <m/>
    <m/>
    <s v="CERRADO"/>
    <n v="207580"/>
    <x v="32"/>
    <x v="51"/>
    <x v="542"/>
    <d v="2020-09-25T00:00:00"/>
    <s v="CAD"/>
    <m/>
    <s v="5000332"/>
    <m/>
    <d v="2020-11-04T00:00:00"/>
    <s v="CANCELADO"/>
    <s v="CPT"/>
    <m/>
    <x v="249"/>
    <n v="630"/>
    <m/>
    <x v="211"/>
    <x v="9"/>
    <s v="Contenedor 20'"/>
    <m/>
    <s v="25 kg"/>
    <m/>
    <m/>
    <s v="OCTUBRE '20"/>
    <x v="0"/>
    <m/>
    <m/>
    <m/>
    <x v="576"/>
    <m/>
    <m/>
    <x v="595"/>
    <n v="12"/>
    <n v="2020"/>
    <x v="0"/>
    <x v="0"/>
    <s v="KLAIPEDA / LITUANIA"/>
    <x v="0"/>
    <m/>
    <x v="1"/>
    <x v="891"/>
    <d v="2020-10-27T00:00:00"/>
    <s v="MSC LEIGH"/>
    <x v="292"/>
    <x v="4"/>
    <m/>
    <s v="REALIZADO"/>
    <s v="ORIGEN"/>
    <m/>
    <m/>
    <m/>
    <x v="0"/>
    <d v="2020-12-23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223"/>
    <m/>
    <x v="1009"/>
    <m/>
    <m/>
    <m/>
    <s v="CERRADO"/>
    <n v="206599"/>
    <x v="1"/>
    <x v="47"/>
    <x v="543"/>
    <d v="2020-09-23T00:00:00"/>
    <n v="90"/>
    <s v="días BL"/>
    <s v="220.232"/>
    <m/>
    <d v="2021-01-22T00:00:00"/>
    <s v="CANCELADO"/>
    <s v="CFR"/>
    <m/>
    <x v="492"/>
    <n v="452"/>
    <n v="35"/>
    <x v="1054"/>
    <x v="3"/>
    <s v="Granel - BB"/>
    <m/>
    <s v="Bigbag"/>
    <m/>
    <m/>
    <s v="OCTUBRE '20"/>
    <x v="0"/>
    <m/>
    <m/>
    <m/>
    <x v="565"/>
    <m/>
    <m/>
    <x v="572"/>
    <n v="12"/>
    <n v="2020"/>
    <x v="0"/>
    <x v="0"/>
    <s v="BAYUQUAN / CHINA"/>
    <x v="4"/>
    <m/>
    <x v="4"/>
    <x v="892"/>
    <d v="2020-10-24T00:00:00"/>
    <s v="MV STAR JAPAN"/>
    <x v="283"/>
    <x v="0"/>
    <m/>
    <s v="REALIZADO"/>
    <s v="ORIGEN"/>
    <m/>
    <m/>
    <m/>
    <x v="0"/>
    <m/>
    <m/>
    <x v="0"/>
    <x v="0"/>
    <m/>
    <m/>
    <x v="0"/>
    <e v="#REF!"/>
    <m/>
    <m/>
    <m/>
    <m/>
    <m/>
    <x v="0"/>
    <s v="anulada: 8000001142"/>
    <m/>
    <m/>
    <m/>
    <s v="NACIONALIZADO"/>
    <m/>
    <m/>
    <m/>
  </r>
  <r>
    <n v="2020"/>
    <s v="G-S"/>
    <x v="0"/>
    <x v="0"/>
    <m/>
    <m/>
    <x v="1224"/>
    <m/>
    <x v="1010"/>
    <m/>
    <m/>
    <m/>
    <s v="CERRADO"/>
    <n v="205259"/>
    <x v="124"/>
    <x v="57"/>
    <x v="544"/>
    <d v="2020-09-17T00:00:00"/>
    <n v="120"/>
    <s v="días BL"/>
    <s v="7300117483"/>
    <m/>
    <d v="2021-03-12T00:00:00"/>
    <s v="CANCELADO"/>
    <s v="CPT"/>
    <m/>
    <x v="493"/>
    <n v="430"/>
    <m/>
    <x v="1055"/>
    <x v="22"/>
    <s v="Contenedor 20'"/>
    <m/>
    <s v="Granel Sólido"/>
    <m/>
    <m/>
    <s v="2H OCTUBRE '20"/>
    <x v="0"/>
    <m/>
    <m/>
    <m/>
    <x v="576"/>
    <m/>
    <m/>
    <x v="543"/>
    <n v="12"/>
    <n v="2020"/>
    <x v="0"/>
    <x v="0"/>
    <s v="HAMBURGO / ALEMANIA"/>
    <x v="2"/>
    <m/>
    <x v="6"/>
    <x v="893"/>
    <d v="2020-11-15T00:00:00"/>
    <s v="CALLAO EXPRESS"/>
    <x v="184"/>
    <x v="9"/>
    <m/>
    <s v="REALIZADO"/>
    <s v="SWB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T-S"/>
    <x v="0"/>
    <x v="0"/>
    <m/>
    <m/>
    <x v="1225"/>
    <m/>
    <x v="1011"/>
    <m/>
    <m/>
    <m/>
    <s v="CERRADO"/>
    <n v="208067"/>
    <x v="115"/>
    <x v="53"/>
    <x v="545"/>
    <s v="OCTUBRE"/>
    <n v="30"/>
    <s v="días BL"/>
    <s v="F200-00042849"/>
    <m/>
    <d v="2020-11-13T00:00:00"/>
    <s v="CANCELADO"/>
    <s v="CFR"/>
    <m/>
    <x v="13"/>
    <n v="243.24"/>
    <m/>
    <x v="1056"/>
    <x v="32"/>
    <s v="Contenedor 20'"/>
    <m/>
    <s v="25 kg"/>
    <m/>
    <m/>
    <s v="OCTUBRE '20"/>
    <x v="0"/>
    <m/>
    <m/>
    <m/>
    <x v="522"/>
    <m/>
    <m/>
    <x v="596"/>
    <n v="10"/>
    <n v="2020"/>
    <x v="0"/>
    <x v="0"/>
    <s v="CARTAGENA / COLOMBIA"/>
    <x v="2"/>
    <m/>
    <x v="6"/>
    <x v="894"/>
    <d v="2020-10-07T00:00:00"/>
    <s v="CMA CGM TANYA"/>
    <x v="41"/>
    <x v="2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-"/>
    <x v="0"/>
    <x v="0"/>
    <m/>
    <m/>
    <x v="1226"/>
    <m/>
    <x v="1012"/>
    <m/>
    <m/>
    <m/>
    <s v="CERRADO"/>
    <n v="7000112"/>
    <x v="128"/>
    <x v="53"/>
    <x v="545"/>
    <d v="2020-09-15T00:00:00"/>
    <s v="CAD"/>
    <m/>
    <s v="F200-42850"/>
    <m/>
    <s v="-"/>
    <s v="CANCELADO"/>
    <s v="CFR"/>
    <m/>
    <x v="494"/>
    <n v="0.31"/>
    <m/>
    <x v="1057"/>
    <x v="3"/>
    <s v="Contenedor 20'"/>
    <m/>
    <m/>
    <m/>
    <m/>
    <s v="OCTUBRE '20"/>
    <x v="0"/>
    <m/>
    <m/>
    <m/>
    <x v="522"/>
    <m/>
    <m/>
    <x v="597"/>
    <n v="12"/>
    <n v="2020"/>
    <x v="0"/>
    <x v="0"/>
    <s v="CARTAGENA / COLOMBIA"/>
    <x v="2"/>
    <m/>
    <x v="6"/>
    <x v="894"/>
    <d v="2020-10-07T00:00:00"/>
    <s v="CMA CGM TANYA"/>
    <x v="41"/>
    <x v="2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-"/>
    <x v="0"/>
    <x v="0"/>
    <m/>
    <m/>
    <x v="1227"/>
    <m/>
    <x v="1012"/>
    <m/>
    <m/>
    <m/>
    <s v="CERRADO"/>
    <n v="7000113"/>
    <x v="129"/>
    <x v="53"/>
    <x v="545"/>
    <d v="2020-09-15T00:00:00"/>
    <s v="CAD"/>
    <m/>
    <s v="F200-42850"/>
    <m/>
    <s v="-"/>
    <s v="CANCELADO"/>
    <s v="CFR"/>
    <m/>
    <x v="495"/>
    <n v="0.31"/>
    <m/>
    <x v="1058"/>
    <x v="3"/>
    <s v="Contenedor 20'"/>
    <m/>
    <m/>
    <m/>
    <m/>
    <s v="OCTUBRE '20"/>
    <x v="0"/>
    <m/>
    <m/>
    <m/>
    <x v="522"/>
    <m/>
    <m/>
    <x v="597"/>
    <n v="12"/>
    <n v="2020"/>
    <x v="0"/>
    <x v="0"/>
    <s v="CARTAGENA / COLOMBIA"/>
    <x v="2"/>
    <m/>
    <x v="6"/>
    <x v="894"/>
    <d v="2020-10-07T00:00:00"/>
    <s v="CMA CGM TANYA"/>
    <x v="41"/>
    <x v="2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-"/>
    <x v="0"/>
    <x v="0"/>
    <m/>
    <m/>
    <x v="1228"/>
    <m/>
    <x v="1012"/>
    <m/>
    <m/>
    <m/>
    <s v="CERRADO"/>
    <n v="7000114"/>
    <x v="130"/>
    <x v="53"/>
    <x v="545"/>
    <d v="2020-09-15T00:00:00"/>
    <s v="CAD"/>
    <m/>
    <s v="F200-42850"/>
    <m/>
    <s v="-"/>
    <s v="CANCELADO"/>
    <s v="CFR"/>
    <m/>
    <x v="70"/>
    <n v="0.31"/>
    <m/>
    <x v="1059"/>
    <x v="3"/>
    <s v="Contenedor 20'"/>
    <m/>
    <m/>
    <m/>
    <m/>
    <s v="OCTUBRE '20"/>
    <x v="0"/>
    <m/>
    <m/>
    <m/>
    <x v="522"/>
    <m/>
    <m/>
    <x v="597"/>
    <n v="12"/>
    <n v="2020"/>
    <x v="0"/>
    <x v="0"/>
    <s v="CARTAGENA / COLOMBIA"/>
    <x v="2"/>
    <m/>
    <x v="1"/>
    <x v="894"/>
    <d v="2020-10-07T00:00:00"/>
    <s v="CMA CGM TANYA"/>
    <x v="41"/>
    <x v="2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E-S"/>
    <x v="0"/>
    <x v="0"/>
    <m/>
    <m/>
    <x v="1229"/>
    <m/>
    <x v="1013"/>
    <m/>
    <m/>
    <m/>
    <s v="CERRADO"/>
    <n v="207522"/>
    <x v="11"/>
    <x v="10"/>
    <x v="546"/>
    <d v="2020-09-30T00:00:00"/>
    <s v="CAD"/>
    <m/>
    <s v="301001549"/>
    <m/>
    <d v="2020-12-07T00:00:00"/>
    <s v="CANCELADO"/>
    <s v="CFR"/>
    <m/>
    <x v="496"/>
    <n v="220"/>
    <m/>
    <x v="1060"/>
    <x v="4"/>
    <s v="Contenedor 20'"/>
    <m/>
    <s v="Granel Sólido"/>
    <m/>
    <m/>
    <s v="NOVIEMBRE '20"/>
    <x v="0"/>
    <m/>
    <m/>
    <m/>
    <x v="577"/>
    <m/>
    <m/>
    <x v="556"/>
    <n v="12"/>
    <n v="2020"/>
    <x v="0"/>
    <x v="0"/>
    <s v="AMBERES / BELGICA"/>
    <x v="2"/>
    <m/>
    <x v="3"/>
    <x v="895"/>
    <d v="2020-11-28T00:00:00"/>
    <s v="POLAR PERU"/>
    <x v="293"/>
    <x v="6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E-S"/>
    <x v="0"/>
    <x v="0"/>
    <m/>
    <m/>
    <x v="1230"/>
    <m/>
    <x v="1014"/>
    <m/>
    <m/>
    <m/>
    <s v="CERRADO"/>
    <n v="207522"/>
    <x v="11"/>
    <x v="10"/>
    <x v="546"/>
    <d v="2020-09-30T00:00:00"/>
    <s v="CAD"/>
    <m/>
    <s v="306028226"/>
    <m/>
    <d v="2021-04-30T00:00:00"/>
    <s v="CANCELADO"/>
    <s v="CFR"/>
    <m/>
    <x v="497"/>
    <n v="220"/>
    <m/>
    <x v="1061"/>
    <x v="5"/>
    <s v="Contenedor 20'"/>
    <m/>
    <s v="Granel Sólido"/>
    <m/>
    <m/>
    <s v="FEBRERO '21"/>
    <x v="0"/>
    <m/>
    <m/>
    <m/>
    <x v="578"/>
    <m/>
    <m/>
    <x v="598"/>
    <n v="5"/>
    <n v="2021"/>
    <x v="0"/>
    <x v="0"/>
    <s v="TEESPORT / UK"/>
    <x v="2"/>
    <m/>
    <x v="1"/>
    <x v="896"/>
    <d v="2021-04-11T00:00:00"/>
    <s v="BG IRELAND"/>
    <x v="241"/>
    <x v="3"/>
    <m/>
    <s v="REALIZADO"/>
    <s v="ORIGEN"/>
    <m/>
    <m/>
    <m/>
    <x v="0"/>
    <d v="2021-05-31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E-S"/>
    <x v="0"/>
    <x v="0"/>
    <m/>
    <m/>
    <x v="1231"/>
    <m/>
    <x v="1015"/>
    <m/>
    <m/>
    <m/>
    <s v="CERRADO"/>
    <n v="207522"/>
    <x v="11"/>
    <x v="10"/>
    <x v="546"/>
    <d v="2020-09-30T00:00:00"/>
    <s v="CAD"/>
    <m/>
    <s v="301001544"/>
    <m/>
    <d v="2020-11-28T00:00:00"/>
    <s v="CANCELADO"/>
    <s v="CFR"/>
    <m/>
    <x v="498"/>
    <n v="220"/>
    <m/>
    <x v="1062"/>
    <x v="10"/>
    <s v="Contenedor 20'"/>
    <m/>
    <s v="Granel Sólido"/>
    <m/>
    <m/>
    <s v="NOVIEMBRE '20"/>
    <x v="0"/>
    <m/>
    <m/>
    <m/>
    <x v="577"/>
    <m/>
    <m/>
    <x v="599"/>
    <n v="1"/>
    <n v="2021"/>
    <x v="0"/>
    <x v="0"/>
    <s v="AMBERES / BELGICA"/>
    <x v="0"/>
    <m/>
    <x v="2"/>
    <x v="897"/>
    <d v="2020-11-21T00:00:00"/>
    <s v="POLAR MEXICO"/>
    <x v="193"/>
    <x v="6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E-S"/>
    <x v="0"/>
    <x v="0"/>
    <m/>
    <m/>
    <x v="1232"/>
    <m/>
    <x v="1016"/>
    <m/>
    <m/>
    <m/>
    <s v="CERRADO"/>
    <n v="207522"/>
    <x v="11"/>
    <x v="10"/>
    <x v="546"/>
    <d v="2020-09-30T00:00:00"/>
    <s v="CAD"/>
    <m/>
    <s v="301001588"/>
    <m/>
    <d v="2021-01-06T00:00:00"/>
    <s v="CANCELADO"/>
    <s v="CFR"/>
    <m/>
    <x v="499"/>
    <n v="220"/>
    <m/>
    <x v="1063"/>
    <x v="4"/>
    <s v="Contenedor 20'"/>
    <m/>
    <s v="Granel Sólido"/>
    <m/>
    <m/>
    <s v="DICIEMBRE '20"/>
    <x v="0"/>
    <m/>
    <m/>
    <m/>
    <x v="579"/>
    <m/>
    <m/>
    <x v="600"/>
    <n v="2"/>
    <n v="2021"/>
    <x v="0"/>
    <x v="0"/>
    <s v="AMBERES / BELGICA"/>
    <x v="0"/>
    <m/>
    <x v="2"/>
    <x v="898"/>
    <d v="2020-12-29T00:00:00"/>
    <s v="POLAR BRASIL"/>
    <x v="222"/>
    <x v="6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E-S"/>
    <x v="0"/>
    <x v="0"/>
    <m/>
    <m/>
    <x v="1233"/>
    <m/>
    <x v="1017"/>
    <m/>
    <m/>
    <m/>
    <s v="CERRADO"/>
    <n v="207522"/>
    <x v="11"/>
    <x v="10"/>
    <x v="546"/>
    <d v="2020-09-30T00:00:00"/>
    <s v="CAD"/>
    <m/>
    <s v="301001574"/>
    <m/>
    <d v="2020-12-23T00:00:00"/>
    <s v="CANCELADO"/>
    <s v="CFR"/>
    <m/>
    <x v="500"/>
    <n v="242"/>
    <m/>
    <x v="1064"/>
    <x v="9"/>
    <s v="Contenedor 20'"/>
    <m/>
    <s v="Granel Sólido"/>
    <m/>
    <m/>
    <s v="NOVIEMBRE '20"/>
    <x v="0"/>
    <m/>
    <m/>
    <m/>
    <x v="569"/>
    <m/>
    <m/>
    <x v="601"/>
    <n v="3"/>
    <n v="2021"/>
    <x v="0"/>
    <x v="0"/>
    <s v="AMBERES / BELGICA"/>
    <x v="4"/>
    <m/>
    <x v="2"/>
    <x v="899"/>
    <d v="2020-12-16T00:00:00"/>
    <s v="COSCO SHIPPING DANUBE"/>
    <x v="129"/>
    <x v="2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O-S"/>
    <x v="0"/>
    <x v="0"/>
    <m/>
    <m/>
    <x v="1234"/>
    <m/>
    <x v="1018"/>
    <m/>
    <m/>
    <m/>
    <s v="CERRADO"/>
    <n v="203553"/>
    <x v="123"/>
    <x v="53"/>
    <x v="547"/>
    <s v="NOVIEMBRE"/>
    <s v="CAD"/>
    <m/>
    <s v="F200-00042967"/>
    <m/>
    <d v="2020-11-05T00:00:00"/>
    <s v="CANCELADO"/>
    <s v="CFR"/>
    <m/>
    <x v="501"/>
    <n v="275.10000000000002"/>
    <m/>
    <x v="1065"/>
    <x v="7"/>
    <s v="Contenedor 20'"/>
    <m/>
    <s v="Granel Sólido"/>
    <m/>
    <m/>
    <s v="NOVIEMBRE '20"/>
    <x v="0"/>
    <m/>
    <m/>
    <m/>
    <x v="541"/>
    <m/>
    <m/>
    <x v="554"/>
    <n v="11"/>
    <n v="2020"/>
    <x v="0"/>
    <x v="0"/>
    <s v="BREVIK / NORUEGA"/>
    <x v="0"/>
    <m/>
    <x v="2"/>
    <x v="900"/>
    <d v="2020-10-13T00:00:00"/>
    <s v="MEANDI"/>
    <x v="217"/>
    <x v="9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E-S"/>
    <x v="0"/>
    <x v="0"/>
    <m/>
    <m/>
    <x v="1235"/>
    <m/>
    <x v="1019"/>
    <m/>
    <m/>
    <m/>
    <s v="CERRADO"/>
    <n v="206720"/>
    <x v="46"/>
    <x v="57"/>
    <x v="548"/>
    <d v="2020-10-14T00:00:00"/>
    <n v="120"/>
    <s v="días BL"/>
    <s v="7300115367"/>
    <m/>
    <d v="2021-03-12T00:00:00"/>
    <s v="CANCELADO"/>
    <s v="CFR"/>
    <m/>
    <x v="502"/>
    <n v="315"/>
    <m/>
    <x v="1066"/>
    <x v="2"/>
    <s v="Contenedor 20'"/>
    <m/>
    <s v="25 kg"/>
    <m/>
    <m/>
    <s v="2H OCTUBRE '20"/>
    <x v="0"/>
    <m/>
    <m/>
    <m/>
    <x v="551"/>
    <m/>
    <m/>
    <x v="576"/>
    <n v="12"/>
    <n v="2020"/>
    <x v="0"/>
    <x v="0"/>
    <s v="HAMBURGO / ALEMANIA"/>
    <x v="0"/>
    <m/>
    <x v="2"/>
    <x v="901"/>
    <d v="2020-11-08T00:00:00"/>
    <s v="CALLAO EXPRESS"/>
    <x v="217"/>
    <x v="9"/>
    <m/>
    <s v="REALIZADO"/>
    <s v="SWB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E-S"/>
    <x v="0"/>
    <x v="0"/>
    <m/>
    <m/>
    <x v="1236"/>
    <m/>
    <x v="1020"/>
    <m/>
    <m/>
    <m/>
    <s v="CERRADO"/>
    <n v="204826"/>
    <x v="48"/>
    <x v="18"/>
    <x v="549"/>
    <d v="2020-10-19T00:00:00"/>
    <s v="CAD"/>
    <m/>
    <s v="20CH-40104063"/>
    <m/>
    <d v="2020-12-23T00:00:00"/>
    <s v="CANCELADO"/>
    <s v="CFR"/>
    <m/>
    <x v="503"/>
    <n v="320"/>
    <m/>
    <x v="1067"/>
    <x v="27"/>
    <s v="Cnt '40- BB"/>
    <m/>
    <s v="Granel Sólido"/>
    <m/>
    <m/>
    <s v="DICIEMBRE '20"/>
    <x v="0"/>
    <m/>
    <m/>
    <m/>
    <x v="580"/>
    <m/>
    <m/>
    <x v="602"/>
    <n v="2"/>
    <n v="2021"/>
    <x v="0"/>
    <x v="0"/>
    <s v="ST. PETERSBURG / RUSSIA"/>
    <x v="2"/>
    <m/>
    <x v="6"/>
    <x v="902"/>
    <d v="2020-12-16T00:00:00"/>
    <s v="CMA CGM PREGOLIA"/>
    <x v="294"/>
    <x v="9"/>
    <m/>
    <s v="REALIZADO"/>
    <s v="ORIGEN"/>
    <m/>
    <m/>
    <m/>
    <x v="0"/>
    <d v="2021-02-12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237"/>
    <m/>
    <x v="1021"/>
    <m/>
    <m/>
    <m/>
    <s v="CERRADO"/>
    <n v="207485"/>
    <x v="13"/>
    <x v="44"/>
    <x v="8"/>
    <d v="2020-10-02T00:00:00"/>
    <n v="150"/>
    <s v="días BL"/>
    <s v="B7FE-20-3023-GUPE-01"/>
    <m/>
    <d v="2021-04-09T00:00:00"/>
    <s v="CANCELADO"/>
    <s v="CFR"/>
    <m/>
    <x v="15"/>
    <n v="290.83"/>
    <m/>
    <x v="1068"/>
    <x v="3"/>
    <s v="Granel"/>
    <m/>
    <s v="Granel Sólido"/>
    <m/>
    <m/>
    <s v="1H NOVIEMBRE '20"/>
    <x v="0"/>
    <m/>
    <m/>
    <m/>
    <x v="557"/>
    <m/>
    <m/>
    <x v="603"/>
    <n v="12"/>
    <n v="2020"/>
    <x v="0"/>
    <x v="0"/>
    <s v="KOTKA / FINLANDIA"/>
    <x v="0"/>
    <m/>
    <x v="5"/>
    <x v="20"/>
    <d v="2020-11-13T00:00:00"/>
    <s v="MV EARTH HARMONY"/>
    <x v="295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238"/>
    <m/>
    <x v="1022"/>
    <m/>
    <m/>
    <m/>
    <s v="CERRADO"/>
    <n v="207485"/>
    <x v="13"/>
    <x v="44"/>
    <x v="8"/>
    <d v="2020-10-02T00:00:00"/>
    <n v="150"/>
    <s v="días BL"/>
    <s v="B7FE-20-3023-GUPE-02"/>
    <m/>
    <d v="2021-04-09T00:00:00"/>
    <s v="CANCELADO"/>
    <s v="CFR"/>
    <m/>
    <x v="132"/>
    <n v="290.83"/>
    <m/>
    <x v="1069"/>
    <x v="3"/>
    <s v="Granel"/>
    <m/>
    <s v="Granel Sólido"/>
    <m/>
    <m/>
    <s v="1H NOVIEMBRE '20"/>
    <x v="0"/>
    <m/>
    <m/>
    <m/>
    <x v="558"/>
    <m/>
    <m/>
    <x v="575"/>
    <n v="12"/>
    <n v="2020"/>
    <x v="0"/>
    <x v="0"/>
    <s v="KOTKA / FINLANDIA"/>
    <x v="1"/>
    <m/>
    <x v="2"/>
    <x v="45"/>
    <d v="2020-11-13T00:00:00"/>
    <s v="MV EARTH HARMONY"/>
    <x v="295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239"/>
    <m/>
    <x v="1023"/>
    <m/>
    <m/>
    <m/>
    <s v="CERRADO"/>
    <n v="207485"/>
    <x v="13"/>
    <x v="44"/>
    <x v="8"/>
    <d v="2020-10-02T00:00:00"/>
    <n v="150"/>
    <s v="días BL"/>
    <s v="B7FE-20-3023-GUPE-03"/>
    <m/>
    <d v="2021-04-09T00:00:00"/>
    <s v="CANCELADO"/>
    <s v="CFR"/>
    <m/>
    <x v="1"/>
    <n v="290.83"/>
    <m/>
    <x v="1070"/>
    <x v="3"/>
    <s v="Granel"/>
    <m/>
    <s v="Granel Sólido"/>
    <m/>
    <m/>
    <s v="1H NOVIEMBRE '20"/>
    <x v="0"/>
    <m/>
    <m/>
    <m/>
    <x v="544"/>
    <m/>
    <m/>
    <x v="595"/>
    <n v="12"/>
    <n v="2020"/>
    <x v="0"/>
    <x v="0"/>
    <s v="KOTKA / FINLANDIA"/>
    <x v="2"/>
    <m/>
    <x v="1"/>
    <x v="1"/>
    <d v="2020-11-13T00:00:00"/>
    <s v="MV EARTH HARMONY"/>
    <x v="295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240"/>
    <m/>
    <x v="1024"/>
    <m/>
    <m/>
    <m/>
    <s v="CERRADO"/>
    <n v="207485"/>
    <x v="13"/>
    <x v="44"/>
    <x v="8"/>
    <d v="2020-10-02T00:00:00"/>
    <n v="150"/>
    <s v="días BL"/>
    <s v="B7FE-20-3023-GUPE-04"/>
    <m/>
    <d v="2021-04-09T00:00:00"/>
    <s v="CANCELADO"/>
    <s v="CFR"/>
    <m/>
    <x v="13"/>
    <n v="290.83"/>
    <m/>
    <x v="1071"/>
    <x v="3"/>
    <s v="Granel"/>
    <m/>
    <s v="Granel Sólido"/>
    <m/>
    <m/>
    <s v="1H NOVIEMBRE '20"/>
    <x v="0"/>
    <m/>
    <m/>
    <m/>
    <x v="553"/>
    <m/>
    <m/>
    <x v="604"/>
    <n v="12"/>
    <n v="2020"/>
    <x v="0"/>
    <x v="0"/>
    <s v="KOTKA / FINLANDIA"/>
    <x v="4"/>
    <m/>
    <x v="2"/>
    <x v="2"/>
    <d v="2020-11-13T00:00:00"/>
    <s v="MV EARTH HARMONY"/>
    <x v="295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241"/>
    <m/>
    <x v="1025"/>
    <m/>
    <m/>
    <m/>
    <s v="CERRADO"/>
    <n v="207951"/>
    <x v="6"/>
    <x v="44"/>
    <x v="8"/>
    <d v="2020-10-02T00:00:00"/>
    <n v="150"/>
    <s v="días BL"/>
    <s v="B7FE-20-3022-PUPE-01"/>
    <m/>
    <d v="2021-04-09T00:00:00"/>
    <s v="CANCELADO"/>
    <s v="CFR"/>
    <m/>
    <x v="94"/>
    <n v="288.8"/>
    <m/>
    <x v="1072"/>
    <x v="3"/>
    <s v="Granel"/>
    <m/>
    <s v="Granel Sólido"/>
    <m/>
    <m/>
    <s v="1H NOVIEMBRE '20"/>
    <x v="0"/>
    <m/>
    <m/>
    <m/>
    <x v="557"/>
    <m/>
    <m/>
    <x v="603"/>
    <n v="12"/>
    <n v="2020"/>
    <x v="0"/>
    <x v="0"/>
    <s v="KOTKA / FINLANDIA"/>
    <x v="0"/>
    <m/>
    <x v="5"/>
    <x v="11"/>
    <d v="2020-11-13T00:00:00"/>
    <s v="MV EARTH HARMONY"/>
    <x v="295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242"/>
    <m/>
    <x v="1026"/>
    <m/>
    <m/>
    <m/>
    <s v="CERRADO"/>
    <n v="207951"/>
    <x v="6"/>
    <x v="44"/>
    <x v="8"/>
    <d v="2020-10-02T00:00:00"/>
    <n v="150"/>
    <s v="días BL"/>
    <s v="B7FE-20-3022-PUPE-02"/>
    <m/>
    <d v="2021-04-09T00:00:00"/>
    <s v="CANCELADO"/>
    <s v="CFR"/>
    <m/>
    <x v="130"/>
    <n v="288.8"/>
    <m/>
    <x v="1073"/>
    <x v="3"/>
    <s v="Granel"/>
    <m/>
    <s v="Granel Sólido"/>
    <m/>
    <m/>
    <s v="1H NOVIEMBRE '20"/>
    <x v="0"/>
    <m/>
    <m/>
    <m/>
    <x v="558"/>
    <m/>
    <m/>
    <x v="575"/>
    <n v="12"/>
    <n v="2020"/>
    <x v="0"/>
    <x v="0"/>
    <s v="KOTKA / FINLANDIA"/>
    <x v="1"/>
    <m/>
    <x v="2"/>
    <x v="12"/>
    <d v="2020-11-13T00:00:00"/>
    <s v="MV EARTH HARMONY"/>
    <x v="295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243"/>
    <m/>
    <x v="1027"/>
    <m/>
    <m/>
    <m/>
    <s v="CERRADO"/>
    <n v="207951"/>
    <x v="6"/>
    <x v="44"/>
    <x v="8"/>
    <d v="2020-10-02T00:00:00"/>
    <n v="150"/>
    <s v="días BL"/>
    <s v="B7FE-20-3022-PUPE-03"/>
    <m/>
    <d v="2021-04-09T00:00:00"/>
    <s v="CANCELADO"/>
    <s v="CFR"/>
    <m/>
    <x v="504"/>
    <n v="288.8"/>
    <m/>
    <x v="1074"/>
    <x v="3"/>
    <s v="Granel"/>
    <m/>
    <s v="Granel Sólido"/>
    <m/>
    <m/>
    <s v="1H NOVIEMBRE '20"/>
    <x v="0"/>
    <m/>
    <m/>
    <m/>
    <x v="544"/>
    <m/>
    <m/>
    <x v="603"/>
    <n v="12"/>
    <n v="2020"/>
    <x v="0"/>
    <x v="0"/>
    <s v="KOTKA / FINLANDIA"/>
    <x v="2"/>
    <m/>
    <x v="6"/>
    <x v="13"/>
    <d v="2020-11-13T00:00:00"/>
    <s v="MV EARTH HARMONY"/>
    <x v="295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244"/>
    <m/>
    <x v="1028"/>
    <m/>
    <m/>
    <m/>
    <s v="CERRADO"/>
    <n v="207951"/>
    <x v="6"/>
    <x v="44"/>
    <x v="8"/>
    <d v="2020-10-02T00:00:00"/>
    <n v="150"/>
    <s v="días BL"/>
    <s v="B7FE-20-3022-PUPE-04"/>
    <m/>
    <d v="2021-04-09T00:00:00"/>
    <s v="CANCELADO"/>
    <s v="CFR"/>
    <m/>
    <x v="505"/>
    <n v="288.8"/>
    <m/>
    <x v="1075"/>
    <x v="17"/>
    <s v="Granel"/>
    <m/>
    <s v="Granel Sólido"/>
    <m/>
    <m/>
    <s v="1H NOVIEMBRE '20"/>
    <x v="0"/>
    <m/>
    <m/>
    <m/>
    <x v="553"/>
    <m/>
    <m/>
    <x v="605"/>
    <n v="12"/>
    <n v="2020"/>
    <x v="0"/>
    <x v="0"/>
    <s v="KOTKA / FINLANDIA"/>
    <x v="4"/>
    <m/>
    <x v="2"/>
    <x v="14"/>
    <d v="2020-11-13T00:00:00"/>
    <s v="MV EARTH HARMONY"/>
    <x v="295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T-S"/>
    <x v="0"/>
    <x v="0"/>
    <m/>
    <m/>
    <x v="1245"/>
    <m/>
    <x v="1029"/>
    <m/>
    <m/>
    <m/>
    <s v="CERRADO"/>
    <n v="208067"/>
    <x v="115"/>
    <x v="53"/>
    <x v="550"/>
    <d v="2020-10-20T00:00:00"/>
    <n v="30"/>
    <s v="días BL"/>
    <s v="F200-00042929"/>
    <m/>
    <d v="2020-12-07T00:00:00"/>
    <s v="CANCELADO"/>
    <s v="CFR"/>
    <m/>
    <x v="506"/>
    <n v="243.24"/>
    <m/>
    <x v="1076"/>
    <x v="50"/>
    <s v="Contenedor 20'"/>
    <m/>
    <s v="25 kg"/>
    <m/>
    <m/>
    <s v="OCTUBRE '20"/>
    <x v="0"/>
    <m/>
    <m/>
    <m/>
    <x v="581"/>
    <m/>
    <m/>
    <x v="540"/>
    <n v="11"/>
    <n v="2020"/>
    <x v="0"/>
    <x v="0"/>
    <s v="CARTAGENA / COLOMBIA"/>
    <x v="0"/>
    <m/>
    <x v="5"/>
    <x v="903"/>
    <d v="2020-10-23T00:00:00"/>
    <s v="POHORJE"/>
    <x v="244"/>
    <x v="9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T-S"/>
    <x v="0"/>
    <x v="0"/>
    <m/>
    <m/>
    <x v="1246"/>
    <m/>
    <x v="1030"/>
    <m/>
    <m/>
    <m/>
    <s v="CERRADO"/>
    <n v="208067"/>
    <x v="115"/>
    <x v="53"/>
    <x v="551"/>
    <s v="OCTUBRE"/>
    <n v="30"/>
    <s v="días BL"/>
    <s v="F200-00042973"/>
    <m/>
    <d v="2020-12-07T00:00:00"/>
    <s v="CANCELADO"/>
    <s v="CFR"/>
    <m/>
    <x v="92"/>
    <n v="242.07"/>
    <m/>
    <x v="1077"/>
    <x v="2"/>
    <s v="Contenedor 20'"/>
    <m/>
    <s v="25 kg"/>
    <m/>
    <m/>
    <s v="NOVIEMBRE '20"/>
    <x v="0"/>
    <m/>
    <m/>
    <m/>
    <x v="582"/>
    <m/>
    <m/>
    <x v="606"/>
    <n v="11"/>
    <n v="2020"/>
    <x v="0"/>
    <x v="0"/>
    <s v="CARTAGENA / COLOMBIA"/>
    <x v="4"/>
    <m/>
    <x v="2"/>
    <x v="904"/>
    <d v="2020-10-24T00:00:00"/>
    <s v="MAERSK WILMINGTON"/>
    <x v="296"/>
    <x v="8"/>
    <m/>
    <s v="NO APLICA"/>
    <s v="DESTINO"/>
    <m/>
    <m/>
    <m/>
    <x v="0"/>
    <d v="2020-12-05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P"/>
    <x v="0"/>
    <x v="0"/>
    <m/>
    <m/>
    <x v="1247"/>
    <m/>
    <x v="1031"/>
    <m/>
    <m/>
    <m/>
    <s v="CERRADO"/>
    <n v="206766"/>
    <x v="10"/>
    <x v="37"/>
    <x v="552"/>
    <d v="2020-10-27T00:00:00"/>
    <n v="90"/>
    <s v="días BL"/>
    <s v="33709"/>
    <m/>
    <d v="2021-03-12T00:00:00"/>
    <s v="CANCELADO"/>
    <s v="CFR"/>
    <m/>
    <x v="412"/>
    <n v="880"/>
    <m/>
    <x v="1078"/>
    <x v="31"/>
    <s v="Contenedor 20'"/>
    <m/>
    <s v="Bidones 50kg"/>
    <m/>
    <m/>
    <s v="NOVIEMBRE '20"/>
    <x v="0"/>
    <m/>
    <m/>
    <m/>
    <x v="583"/>
    <m/>
    <m/>
    <x v="594"/>
    <n v="1"/>
    <n v="2021"/>
    <x v="0"/>
    <x v="0"/>
    <s v="VERACRUZ / MEXICO"/>
    <x v="2"/>
    <m/>
    <x v="6"/>
    <x v="905"/>
    <d v="2020-12-07T00:00:00"/>
    <s v="MONTE PASCOAL"/>
    <x v="297"/>
    <x v="6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1248"/>
    <m/>
    <x v="1032"/>
    <m/>
    <m/>
    <m/>
    <s v="CERRADO"/>
    <n v="206971"/>
    <x v="3"/>
    <x v="58"/>
    <x v="553"/>
    <d v="2020-11-24T00:00:00"/>
    <n v="30"/>
    <s v="días BL"/>
    <s v="STL0110107521"/>
    <m/>
    <d v="2021-02-22T00:00:00"/>
    <s v="CANCELADO"/>
    <s v="CPT"/>
    <m/>
    <x v="507"/>
    <n v="432"/>
    <m/>
    <x v="1079"/>
    <x v="36"/>
    <s v="Contenedor 20'"/>
    <m/>
    <s v="25 kg"/>
    <m/>
    <m/>
    <s v="1H ENERO '21"/>
    <x v="0"/>
    <m/>
    <d v="2021-01-23T00:00:00"/>
    <m/>
    <x v="584"/>
    <m/>
    <m/>
    <x v="607"/>
    <n v="4"/>
    <n v="2021"/>
    <x v="0"/>
    <x v="0"/>
    <s v="ALEXANDRIA / EGIPTO"/>
    <x v="0"/>
    <m/>
    <x v="2"/>
    <x v="906"/>
    <d v="2021-01-23T00:00:00"/>
    <s v="FLEUR N"/>
    <x v="298"/>
    <x v="2"/>
    <m/>
    <s v="REALIZADO"/>
    <s v="DESTINO"/>
    <m/>
    <m/>
    <m/>
    <x v="0"/>
    <d v="2021-04-13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1249"/>
    <m/>
    <x v="1033"/>
    <m/>
    <m/>
    <m/>
    <s v="CERRADO"/>
    <n v="206971"/>
    <x v="3"/>
    <x v="58"/>
    <x v="554"/>
    <d v="2020-11-24T00:00:00"/>
    <n v="30"/>
    <s v="días BL"/>
    <s v="STL0110107631"/>
    <m/>
    <d v="2021-04-22T00:00:00"/>
    <s v="CANCELADO"/>
    <s v="CPT"/>
    <m/>
    <x v="139"/>
    <n v="427"/>
    <m/>
    <x v="1080"/>
    <x v="13"/>
    <s v="Contenedor 20'"/>
    <m/>
    <s v="25 kg"/>
    <m/>
    <m/>
    <s v="1H ENERO '21"/>
    <x v="0"/>
    <m/>
    <d v="2021-03-18T00:00:00"/>
    <m/>
    <x v="585"/>
    <m/>
    <m/>
    <x v="608"/>
    <n v="5"/>
    <n v="2021"/>
    <x v="0"/>
    <x v="0"/>
    <s v="ALEXANDRIA / EGIPTO"/>
    <x v="0"/>
    <m/>
    <x v="5"/>
    <x v="907"/>
    <d v="2021-03-18T00:00:00"/>
    <s v="E.R. CAMILLA"/>
    <x v="193"/>
    <x v="6"/>
    <m/>
    <s v="REALIZADO"/>
    <s v="ORIGEN"/>
    <m/>
    <m/>
    <m/>
    <x v="0"/>
    <d v="2021-05-15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s v="URGENTE"/>
    <m/>
    <x v="1250"/>
    <m/>
    <x v="1034"/>
    <m/>
    <m/>
    <m/>
    <s v="CERRADO"/>
    <n v="207579"/>
    <x v="9"/>
    <x v="47"/>
    <x v="555"/>
    <d v="2020-10-27T00:00:00"/>
    <n v="90"/>
    <s v="días BL"/>
    <s v="220.293"/>
    <m/>
    <d v="2021-03-29T00:00:00"/>
    <s v="CANCELADO"/>
    <s v="CFR"/>
    <m/>
    <x v="12"/>
    <n v="234"/>
    <m/>
    <x v="1041"/>
    <x v="17"/>
    <s v="Granel - BB"/>
    <m/>
    <s v="25 kg"/>
    <m/>
    <m/>
    <s v="NOVIEMBRE '20"/>
    <x v="0"/>
    <m/>
    <m/>
    <m/>
    <x v="586"/>
    <m/>
    <m/>
    <x v="609"/>
    <n v="2"/>
    <n v="2021"/>
    <x v="0"/>
    <x v="0"/>
    <s v="TIANJIN / CHINA"/>
    <x v="2"/>
    <m/>
    <x v="6"/>
    <x v="908"/>
    <d v="2020-12-27T00:00:00"/>
    <s v="MV ELISAR"/>
    <x v="299"/>
    <x v="0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2"/>
    <m/>
    <m/>
    <x v="1251"/>
    <m/>
    <x v="34"/>
    <m/>
    <m/>
    <m/>
    <m/>
    <m/>
    <x v="16"/>
    <x v="51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0"/>
    <s v="S-C"/>
    <x v="0"/>
    <x v="2"/>
    <m/>
    <m/>
    <x v="1252"/>
    <m/>
    <x v="34"/>
    <m/>
    <m/>
    <m/>
    <m/>
    <m/>
    <x v="32"/>
    <x v="51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0"/>
    <s v="S-C"/>
    <x v="0"/>
    <x v="2"/>
    <m/>
    <m/>
    <x v="1253"/>
    <m/>
    <x v="34"/>
    <m/>
    <m/>
    <m/>
    <m/>
    <m/>
    <x v="32"/>
    <x v="51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0"/>
    <s v="S-C"/>
    <x v="0"/>
    <x v="2"/>
    <m/>
    <m/>
    <x v="1254"/>
    <m/>
    <x v="34"/>
    <m/>
    <m/>
    <m/>
    <m/>
    <m/>
    <x v="32"/>
    <x v="51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0"/>
    <s v="G-S"/>
    <x v="0"/>
    <x v="0"/>
    <m/>
    <m/>
    <x v="1255"/>
    <m/>
    <x v="1035"/>
    <m/>
    <m/>
    <m/>
    <s v="CERRADO"/>
    <n v="206599"/>
    <x v="1"/>
    <x v="57"/>
    <x v="556"/>
    <d v="2020-10-19T00:00:00"/>
    <s v="CAD"/>
    <m/>
    <s v="7300127725"/>
    <m/>
    <d v="2020-11-18T00:00:00"/>
    <s v="CANCELADO"/>
    <s v="CPT"/>
    <m/>
    <x v="508"/>
    <n v="423"/>
    <m/>
    <x v="1081"/>
    <x v="10"/>
    <s v="Contenedor 20'"/>
    <m/>
    <s v="Granel Sólido"/>
    <m/>
    <m/>
    <s v="DICIEMBRE '20"/>
    <x v="0"/>
    <m/>
    <m/>
    <m/>
    <x v="587"/>
    <m/>
    <m/>
    <x v="590"/>
    <n v="1"/>
    <n v="2021"/>
    <x v="0"/>
    <x v="0"/>
    <s v="HAMBURGO / ALEMANIA"/>
    <x v="2"/>
    <m/>
    <x v="6"/>
    <x v="909"/>
    <d v="2020-12-13T00:00:00"/>
    <s v="COSCO SHIPPING DANUBE"/>
    <x v="211"/>
    <x v="9"/>
    <m/>
    <s v="REALIZADO"/>
    <s v="SWB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256"/>
    <m/>
    <x v="1036"/>
    <m/>
    <m/>
    <m/>
    <s v="CERRADO"/>
    <n v="206599"/>
    <x v="1"/>
    <x v="57"/>
    <x v="557"/>
    <d v="2020-10-19T00:00:00"/>
    <s v="CAD"/>
    <m/>
    <s v="7300125308"/>
    <m/>
    <d v="2020-11-18T00:00:00"/>
    <s v="CANCELADO"/>
    <s v="CPT"/>
    <m/>
    <x v="509"/>
    <n v="423"/>
    <m/>
    <x v="1082"/>
    <x v="5"/>
    <s v="Contenedor 20'"/>
    <m/>
    <s v="Granel Sólido"/>
    <m/>
    <m/>
    <s v="DICIEMBRE '20"/>
    <x v="0"/>
    <m/>
    <m/>
    <m/>
    <x v="588"/>
    <m/>
    <m/>
    <x v="610"/>
    <n v="1"/>
    <n v="2021"/>
    <x v="0"/>
    <x v="0"/>
    <s v="HAMBURGO / ALEMANIA"/>
    <x v="0"/>
    <m/>
    <x v="5"/>
    <x v="910"/>
    <d v="2020-12-13T00:00:00"/>
    <s v="COSCO SHIPPING DANUBE"/>
    <x v="244"/>
    <x v="9"/>
    <m/>
    <s v="REALIZADO"/>
    <s v="SWB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1257"/>
    <m/>
    <x v="1037"/>
    <m/>
    <m/>
    <m/>
    <s v="CERRADO"/>
    <n v="206966"/>
    <x v="16"/>
    <x v="58"/>
    <x v="558"/>
    <d v="2020-11-24T00:00:00"/>
    <s v="CAD"/>
    <m/>
    <s v="STL0110107450"/>
    <m/>
    <d v="2020-12-18T00:00:00"/>
    <s v="CANCELADO"/>
    <s v="CPT"/>
    <m/>
    <x v="10"/>
    <n v="603"/>
    <n v="40"/>
    <x v="1083"/>
    <x v="3"/>
    <s v="Granel - BB"/>
    <m/>
    <s v="25 kg"/>
    <m/>
    <m/>
    <s v="1H DICIEMBRE '20"/>
    <x v="0"/>
    <m/>
    <m/>
    <m/>
    <x v="589"/>
    <m/>
    <m/>
    <x v="611"/>
    <n v="2"/>
    <n v="2021"/>
    <x v="0"/>
    <x v="0"/>
    <s v="NANJING / CHINA"/>
    <x v="2"/>
    <m/>
    <x v="3"/>
    <x v="911"/>
    <d v="2020-11-29T00:00:00"/>
    <s v="SISKIN ARROW"/>
    <x v="300"/>
    <x v="0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1"/>
    <m/>
    <m/>
    <x v="1258"/>
    <m/>
    <x v="34"/>
    <m/>
    <m/>
    <m/>
    <m/>
    <m/>
    <x v="16"/>
    <x v="58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0"/>
    <s v="S-C"/>
    <x v="0"/>
    <x v="0"/>
    <m/>
    <m/>
    <x v="1259"/>
    <m/>
    <x v="1038"/>
    <m/>
    <m/>
    <m/>
    <s v="CERRADO"/>
    <n v="207580"/>
    <x v="32"/>
    <x v="51"/>
    <x v="559"/>
    <d v="2020-10-28T00:00:00"/>
    <s v="CAD"/>
    <m/>
    <s v="5000372"/>
    <m/>
    <d v="2020-12-01T00:00:00"/>
    <s v="CANCELADO"/>
    <s v="CFR"/>
    <m/>
    <x v="60"/>
    <n v="626"/>
    <m/>
    <x v="1084"/>
    <x v="8"/>
    <s v="Contenedor 20'"/>
    <m/>
    <s v="25 kg"/>
    <m/>
    <m/>
    <s v="NOVIEMBRE '20"/>
    <x v="0"/>
    <m/>
    <m/>
    <m/>
    <x v="583"/>
    <m/>
    <m/>
    <x v="594"/>
    <n v="1"/>
    <n v="2021"/>
    <x v="0"/>
    <x v="0"/>
    <s v="KLAIPEDA / LITHUANIA"/>
    <x v="0"/>
    <m/>
    <x v="1"/>
    <x v="912"/>
    <d v="2020-11-26T00:00:00"/>
    <s v="MSC ANYA"/>
    <x v="193"/>
    <x v="4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C"/>
    <x v="0"/>
    <x v="0"/>
    <m/>
    <m/>
    <x v="1260"/>
    <m/>
    <x v="1039"/>
    <m/>
    <m/>
    <m/>
    <s v="CERRADO"/>
    <n v="207580"/>
    <x v="32"/>
    <x v="51"/>
    <x v="559"/>
    <d v="2020-10-28T00:00:00"/>
    <s v="CAD"/>
    <m/>
    <s v="5000388"/>
    <m/>
    <d v="2020-12-09T00:00:00"/>
    <s v="CANCELADO"/>
    <s v="CPT"/>
    <m/>
    <x v="86"/>
    <n v="626"/>
    <m/>
    <x v="1085"/>
    <x v="20"/>
    <s v="Contenedor 20'"/>
    <m/>
    <s v="25 kg"/>
    <m/>
    <m/>
    <s v="1H DICIEMBRE '20"/>
    <x v="0"/>
    <m/>
    <m/>
    <m/>
    <x v="590"/>
    <m/>
    <m/>
    <x v="612"/>
    <n v="2"/>
    <n v="2021"/>
    <x v="0"/>
    <x v="0"/>
    <s v="KLAIPEDA / LITHUANIA"/>
    <x v="0"/>
    <m/>
    <x v="2"/>
    <x v="913"/>
    <d v="2020-12-04T00:00:00"/>
    <s v="MSC FEDERICA"/>
    <x v="222"/>
    <x v="4"/>
    <m/>
    <s v="REALIZADO"/>
    <s v="ORIGEN"/>
    <m/>
    <m/>
    <m/>
    <x v="0"/>
    <d v="2021-02-25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C"/>
    <x v="0"/>
    <x v="0"/>
    <m/>
    <m/>
    <x v="1261"/>
    <m/>
    <x v="1040"/>
    <m/>
    <m/>
    <m/>
    <s v="CERRADO"/>
    <n v="207580"/>
    <x v="32"/>
    <x v="51"/>
    <x v="559"/>
    <d v="2020-10-28T00:00:00"/>
    <s v="CAD"/>
    <m/>
    <s v="5000358"/>
    <m/>
    <d v="2020-11-24T00:00:00"/>
    <s v="CANCELADO"/>
    <s v="CFR"/>
    <m/>
    <x v="86"/>
    <n v="622"/>
    <m/>
    <x v="1086"/>
    <x v="20"/>
    <s v="Contenedor 20'"/>
    <m/>
    <s v="25 kg"/>
    <m/>
    <m/>
    <s v="2W NOVIEMBRE'20"/>
    <x v="0"/>
    <m/>
    <m/>
    <m/>
    <x v="591"/>
    <m/>
    <m/>
    <x v="549"/>
    <n v="1"/>
    <n v="2021"/>
    <x v="0"/>
    <x v="0"/>
    <s v="KLAIPEDA / LITHUANIA"/>
    <x v="2"/>
    <m/>
    <x v="1"/>
    <x v="914"/>
    <d v="2020-11-21T00:00:00"/>
    <s v="MSC FEDERICA"/>
    <x v="301"/>
    <x v="4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C"/>
    <x v="0"/>
    <x v="0"/>
    <m/>
    <m/>
    <x v="1262"/>
    <m/>
    <x v="1041"/>
    <m/>
    <m/>
    <m/>
    <s v="CERRADO"/>
    <n v="207580"/>
    <x v="32"/>
    <x v="51"/>
    <x v="559"/>
    <d v="2020-10-28T00:00:00"/>
    <s v="CAD"/>
    <m/>
    <s v="5000371"/>
    <m/>
    <d v="2020-12-01T00:00:00"/>
    <s v="CANCELADO"/>
    <s v="CFR"/>
    <m/>
    <x v="141"/>
    <n v="622"/>
    <m/>
    <x v="1087"/>
    <x v="15"/>
    <s v="Contenedor 20'"/>
    <m/>
    <s v="25 kg"/>
    <m/>
    <m/>
    <s v="3W NOVIEMBRE'20"/>
    <x v="0"/>
    <m/>
    <m/>
    <m/>
    <x v="591"/>
    <m/>
    <m/>
    <x v="550"/>
    <n v="1"/>
    <n v="2021"/>
    <x v="0"/>
    <x v="0"/>
    <s v="KLAIPEDA / LITHUANIA"/>
    <x v="2"/>
    <m/>
    <x v="3"/>
    <x v="915"/>
    <d v="2020-11-26T00:00:00"/>
    <s v="MSC ANYA"/>
    <x v="301"/>
    <x v="4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C"/>
    <x v="0"/>
    <x v="0"/>
    <m/>
    <m/>
    <x v="1263"/>
    <m/>
    <x v="1042"/>
    <m/>
    <m/>
    <m/>
    <s v="CERRADO"/>
    <n v="207580"/>
    <x v="32"/>
    <x v="51"/>
    <x v="559"/>
    <d v="2020-10-28T00:00:00"/>
    <s v="CAD"/>
    <m/>
    <s v="5000389"/>
    <m/>
    <d v="2020-12-09T00:00:00"/>
    <s v="CANCELADO"/>
    <s v="CFR"/>
    <m/>
    <x v="331"/>
    <n v="622"/>
    <m/>
    <x v="1088"/>
    <x v="19"/>
    <s v="Contenedor 20'"/>
    <m/>
    <s v="25 kg"/>
    <m/>
    <m/>
    <s v="4W NOVIEMBRE'20"/>
    <x v="0"/>
    <m/>
    <m/>
    <m/>
    <x v="570"/>
    <m/>
    <m/>
    <x v="613"/>
    <n v="1"/>
    <n v="2021"/>
    <x v="0"/>
    <x v="0"/>
    <s v="KLAIPEDA / LITHUANIA"/>
    <x v="2"/>
    <m/>
    <x v="1"/>
    <x v="916"/>
    <d v="2020-12-04T00:00:00"/>
    <s v="MSC FEDERICA"/>
    <x v="290"/>
    <x v="4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C"/>
    <x v="0"/>
    <x v="0"/>
    <m/>
    <m/>
    <x v="1264"/>
    <m/>
    <x v="1043"/>
    <m/>
    <m/>
    <m/>
    <s v="CERRADO"/>
    <n v="207580"/>
    <x v="32"/>
    <x v="51"/>
    <x v="559"/>
    <d v="2020-10-28T00:00:00"/>
    <s v="CAD"/>
    <m/>
    <s v="5000398"/>
    <m/>
    <d v="2020-12-16T00:00:00"/>
    <s v="CANCELADO"/>
    <s v="CFR"/>
    <m/>
    <x v="60"/>
    <n v="622"/>
    <m/>
    <x v="1089"/>
    <x v="8"/>
    <s v="Contenedor 20'"/>
    <m/>
    <s v="25 kg"/>
    <m/>
    <m/>
    <s v="4W NOVIEMBRE'20"/>
    <x v="0"/>
    <m/>
    <m/>
    <m/>
    <x v="592"/>
    <m/>
    <m/>
    <x v="586"/>
    <n v="2"/>
    <n v="2021"/>
    <x v="0"/>
    <x v="0"/>
    <s v="KLAIPEDA / LITHUANIA"/>
    <x v="2"/>
    <m/>
    <x v="3"/>
    <x v="917"/>
    <d v="2020-12-12T00:00:00"/>
    <s v="MSC ANYA"/>
    <x v="130"/>
    <x v="4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C"/>
    <x v="0"/>
    <x v="0"/>
    <m/>
    <m/>
    <x v="1265"/>
    <m/>
    <x v="1044"/>
    <m/>
    <m/>
    <m/>
    <s v="CERRADO"/>
    <n v="207580"/>
    <x v="32"/>
    <x v="51"/>
    <x v="559"/>
    <d v="2020-10-28T00:00:00"/>
    <s v="CAD"/>
    <m/>
    <s v="5000423"/>
    <m/>
    <d v="2021-01-06T00:00:00"/>
    <s v="CANCELADO"/>
    <s v="CFR"/>
    <m/>
    <x v="58"/>
    <n v="630"/>
    <m/>
    <x v="68"/>
    <x v="5"/>
    <s v="Contenedor 20'"/>
    <m/>
    <s v="25 kg"/>
    <m/>
    <m/>
    <s v="4W NOVIEMBRE'20"/>
    <x v="0"/>
    <m/>
    <m/>
    <m/>
    <x v="569"/>
    <m/>
    <m/>
    <x v="588"/>
    <n v="3"/>
    <n v="2021"/>
    <x v="0"/>
    <x v="0"/>
    <s v="KLAIPEDA / LITHUANIA"/>
    <x v="4"/>
    <m/>
    <x v="2"/>
    <x v="918"/>
    <d v="2021-01-03T00:00:00"/>
    <s v="EMPIRE"/>
    <x v="129"/>
    <x v="2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1266"/>
    <m/>
    <x v="1045"/>
    <m/>
    <m/>
    <m/>
    <s v="CERRADO"/>
    <n v="206966"/>
    <x v="16"/>
    <x v="51"/>
    <x v="560"/>
    <d v="2020-10-28T00:00:00"/>
    <n v="90"/>
    <s v="días BL"/>
    <s v="5000426"/>
    <m/>
    <d v="2021-03-29T00:00:00"/>
    <s v="CANCELADO"/>
    <s v="CFR"/>
    <m/>
    <x v="53"/>
    <n v="598"/>
    <m/>
    <x v="1090"/>
    <x v="3"/>
    <s v="Granel - BB"/>
    <m/>
    <s v="25 kg"/>
    <m/>
    <m/>
    <s v="4W NOVIEMBRE'20"/>
    <x v="0"/>
    <m/>
    <m/>
    <m/>
    <x v="593"/>
    <m/>
    <m/>
    <x v="614"/>
    <n v="3"/>
    <n v="2021"/>
    <x v="0"/>
    <x v="0"/>
    <s v="TIANJIN / CHINA"/>
    <x v="4"/>
    <m/>
    <x v="2"/>
    <x v="919"/>
    <d v="2020-12-26T00:00:00"/>
    <s v="MV PETREL ARROW"/>
    <x v="261"/>
    <x v="0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P"/>
    <x v="0"/>
    <x v="0"/>
    <m/>
    <m/>
    <x v="1267"/>
    <m/>
    <x v="1046"/>
    <m/>
    <m/>
    <m/>
    <s v="CERRADO"/>
    <n v="207499"/>
    <x v="2"/>
    <x v="27"/>
    <x v="561"/>
    <d v="2020-11-03T00:00:00"/>
    <n v="150"/>
    <s v="días BL"/>
    <s v="B7FE-20-3024-ZSPE"/>
    <m/>
    <d v="2021-05-21T00:00:00"/>
    <s v="CANCELADO"/>
    <s v="CFR"/>
    <m/>
    <x v="0"/>
    <n v="509"/>
    <m/>
    <x v="1091"/>
    <x v="3"/>
    <s v="Granel - BB"/>
    <m/>
    <s v="25 kg"/>
    <m/>
    <m/>
    <s v="2H NOVIEMBRE '20"/>
    <x v="0"/>
    <m/>
    <m/>
    <m/>
    <x v="586"/>
    <m/>
    <m/>
    <x v="615"/>
    <n v="2"/>
    <n v="2021"/>
    <x v="0"/>
    <x v="0"/>
    <s v="TIANJIN / CHINA"/>
    <x v="2"/>
    <m/>
    <x v="6"/>
    <x v="920"/>
    <d v="2020-12-22T00:00:00"/>
    <s v="MV ELISAR"/>
    <x v="299"/>
    <x v="0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O-S"/>
    <x v="0"/>
    <x v="0"/>
    <m/>
    <m/>
    <x v="1268"/>
    <m/>
    <x v="1047"/>
    <m/>
    <m/>
    <m/>
    <s v="CERRADO"/>
    <n v="203553"/>
    <x v="123"/>
    <x v="53"/>
    <x v="562"/>
    <s v="NOVIEMBRE"/>
    <s v="CAD"/>
    <m/>
    <s v="F200-00042987"/>
    <m/>
    <d v="2020-11-27T00:00:00"/>
    <s v="CANCELADO"/>
    <s v="CFR"/>
    <m/>
    <x v="510"/>
    <n v="275.10000000000002"/>
    <m/>
    <x v="1092"/>
    <x v="4"/>
    <s v="Contenedor 20'"/>
    <m/>
    <s v="Granel Sólido"/>
    <m/>
    <m/>
    <s v="NOVIEMBRE '20"/>
    <x v="0"/>
    <m/>
    <m/>
    <m/>
    <x v="594"/>
    <m/>
    <m/>
    <x v="616"/>
    <n v="12"/>
    <n v="2020"/>
    <x v="0"/>
    <x v="0"/>
    <s v="BREVIK / NORUEGA"/>
    <x v="0"/>
    <m/>
    <x v="1"/>
    <x v="921"/>
    <d v="2020-11-06T00:00:00"/>
    <s v="CONMAR GULF"/>
    <x v="244"/>
    <x v="9"/>
    <m/>
    <s v="REALIZADO"/>
    <s v="SWB"/>
    <m/>
    <m/>
    <m/>
    <x v="0"/>
    <d v="2020-01-05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O-S"/>
    <x v="0"/>
    <x v="0"/>
    <m/>
    <m/>
    <x v="1269"/>
    <m/>
    <x v="1048"/>
    <m/>
    <m/>
    <m/>
    <s v="CERRADO"/>
    <n v="204750"/>
    <x v="120"/>
    <x v="53"/>
    <x v="563"/>
    <d v="2020-11-15T00:00:00"/>
    <s v="CAD"/>
    <m/>
    <s v="F200-00043035"/>
    <m/>
    <d v="2020-12-25T00:00:00"/>
    <s v="CANCELADO"/>
    <s v="CFR"/>
    <m/>
    <x v="53"/>
    <n v="381"/>
    <m/>
    <x v="1093"/>
    <x v="20"/>
    <s v="Contenedor 20'"/>
    <m/>
    <s v="50 kg"/>
    <m/>
    <m/>
    <s v="DICIEMBRE '20"/>
    <x v="0"/>
    <m/>
    <m/>
    <m/>
    <x v="595"/>
    <m/>
    <m/>
    <x v="610"/>
    <n v="1"/>
    <n v="2021"/>
    <x v="0"/>
    <x v="0"/>
    <s v="CARTAGENA / COLOMBIA"/>
    <x v="2"/>
    <m/>
    <x v="6"/>
    <x v="922"/>
    <d v="2020-12-16T00:00:00"/>
    <s v="GUAYAQUIL EXPRESS"/>
    <x v="42"/>
    <x v="9"/>
    <m/>
    <s v="REALIZADO"/>
    <s v="SWB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O-S"/>
    <x v="0"/>
    <x v="0"/>
    <m/>
    <m/>
    <x v="1270"/>
    <m/>
    <x v="1049"/>
    <m/>
    <m/>
    <m/>
    <s v="CERRADO"/>
    <n v="204750"/>
    <x v="120"/>
    <x v="53"/>
    <x v="564"/>
    <d v="2020-11-15T00:00:00"/>
    <s v="CAD"/>
    <m/>
    <s v="F200-00043034"/>
    <m/>
    <d v="2020-12-25T00:00:00"/>
    <s v="CANCELADO"/>
    <s v="CFR"/>
    <m/>
    <x v="78"/>
    <n v="381.5"/>
    <m/>
    <x v="1094"/>
    <x v="2"/>
    <s v="Contenedor 20'"/>
    <m/>
    <s v="50 kg"/>
    <m/>
    <m/>
    <s v="DICIEMBRE '20"/>
    <x v="0"/>
    <m/>
    <m/>
    <m/>
    <x v="594"/>
    <m/>
    <m/>
    <x v="617"/>
    <n v="1"/>
    <n v="2021"/>
    <x v="0"/>
    <x v="0"/>
    <s v="CARTAGENA / COLOMBIA"/>
    <x v="0"/>
    <m/>
    <x v="2"/>
    <x v="923"/>
    <d v="2020-12-18T00:00:00"/>
    <s v="POHORJE"/>
    <x v="244"/>
    <x v="9"/>
    <m/>
    <s v="REALIZADO"/>
    <s v="SWB"/>
    <m/>
    <m/>
    <m/>
    <x v="0"/>
    <d v="2021-01-05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O-S"/>
    <x v="0"/>
    <x v="0"/>
    <m/>
    <m/>
    <x v="1271"/>
    <m/>
    <x v="1050"/>
    <m/>
    <m/>
    <m/>
    <s v="CERRADO"/>
    <n v="204750"/>
    <x v="120"/>
    <x v="53"/>
    <x v="565"/>
    <d v="2020-11-15T00:00:00"/>
    <s v="CAD"/>
    <m/>
    <s v="F200-00043053"/>
    <m/>
    <d v="2021-01-17T00:00:00"/>
    <s v="CANCELADO"/>
    <s v="CFR"/>
    <m/>
    <x v="182"/>
    <n v="393.5"/>
    <m/>
    <x v="1095"/>
    <x v="51"/>
    <s v="Contenedor 20'"/>
    <m/>
    <s v="50 kg"/>
    <m/>
    <m/>
    <s v="DICIEMBRE '20"/>
    <x v="0"/>
    <m/>
    <m/>
    <m/>
    <x v="596"/>
    <m/>
    <m/>
    <x v="618"/>
    <n v="1"/>
    <n v="2021"/>
    <x v="0"/>
    <x v="0"/>
    <s v="CARTAGENA / COLOMBIA"/>
    <x v="4"/>
    <m/>
    <x v="7"/>
    <x v="924"/>
    <d v="2020-12-18T00:00:00"/>
    <s v="POHORJE"/>
    <x v="244"/>
    <x v="2"/>
    <m/>
    <s v="REALIZADO"/>
    <s v="DESTINO"/>
    <m/>
    <m/>
    <m/>
    <x v="0"/>
    <d v="2021-02-01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P"/>
    <x v="0"/>
    <x v="0"/>
    <m/>
    <m/>
    <x v="1272"/>
    <m/>
    <x v="1051"/>
    <m/>
    <m/>
    <m/>
    <s v="CERRADO"/>
    <n v="207499"/>
    <x v="2"/>
    <x v="51"/>
    <x v="566"/>
    <d v="2020-11-05T00:00:00"/>
    <n v="90"/>
    <s v="días BL"/>
    <s v="5000418"/>
    <m/>
    <d v="2021-03-29T00:00:00"/>
    <s v="CANCELADO"/>
    <s v="CPT"/>
    <m/>
    <x v="147"/>
    <n v="519"/>
    <m/>
    <x v="1096"/>
    <x v="4"/>
    <s v="Contenedor 20'"/>
    <m/>
    <s v="25 kg"/>
    <m/>
    <m/>
    <s v="2H NOV - 2H DIC '20"/>
    <x v="0"/>
    <m/>
    <m/>
    <m/>
    <x v="571"/>
    <m/>
    <m/>
    <x v="619"/>
    <n v="2"/>
    <n v="2021"/>
    <x v="0"/>
    <x v="0"/>
    <s v="YARIMCA / TURQUÍA"/>
    <x v="0"/>
    <m/>
    <x v="2"/>
    <x v="925"/>
    <d v="2020-12-28T00:00:00"/>
    <s v="LEXA MAERSK"/>
    <x v="302"/>
    <x v="6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T-S"/>
    <x v="0"/>
    <x v="0"/>
    <m/>
    <m/>
    <x v="1273"/>
    <m/>
    <x v="1052"/>
    <m/>
    <m/>
    <m/>
    <s v="CERRADO"/>
    <n v="208067"/>
    <x v="115"/>
    <x v="53"/>
    <x v="567"/>
    <m/>
    <n v="30"/>
    <s v="días FACT."/>
    <s v="F200-00042997"/>
    <m/>
    <d v="2020-12-30T00:00:00"/>
    <s v="CANCELADO"/>
    <s v="CFR"/>
    <m/>
    <x v="13"/>
    <n v="242.07"/>
    <m/>
    <x v="1097"/>
    <x v="32"/>
    <s v="Contenedor 20'"/>
    <m/>
    <s v="25 kg"/>
    <m/>
    <m/>
    <s v="NOVIEMBRE '20"/>
    <x v="0"/>
    <m/>
    <m/>
    <m/>
    <x v="551"/>
    <m/>
    <m/>
    <x v="575"/>
    <n v="12"/>
    <n v="2020"/>
    <x v="0"/>
    <x v="0"/>
    <s v="CARTAGENA / COLOMBIA"/>
    <x v="0"/>
    <m/>
    <x v="2"/>
    <x v="926"/>
    <d v="2020-11-27T00:00:00"/>
    <s v="LIMARI"/>
    <x v="217"/>
    <x v="9"/>
    <m/>
    <s v="REALIZADO"/>
    <s v="SWB"/>
    <m/>
    <m/>
    <m/>
    <x v="0"/>
    <d v="2020-12-22T00:00:00"/>
    <m/>
    <x v="0"/>
    <x v="0"/>
    <m/>
    <m/>
    <x v="0"/>
    <e v="#REF!"/>
    <m/>
    <m/>
    <m/>
    <m/>
    <m/>
    <x v="0"/>
    <s v="el ingreso de OC debe ser SIN IGV"/>
    <m/>
    <m/>
    <m/>
    <s v="NACIONALIZADO"/>
    <m/>
    <m/>
    <m/>
  </r>
  <r>
    <n v="2020"/>
    <s v="T-S"/>
    <x v="0"/>
    <x v="0"/>
    <m/>
    <m/>
    <x v="1274"/>
    <m/>
    <x v="1053"/>
    <m/>
    <m/>
    <m/>
    <s v="CERRADO"/>
    <n v="208067"/>
    <x v="115"/>
    <x v="53"/>
    <x v="568"/>
    <m/>
    <n v="30"/>
    <s v="días FACT."/>
    <s v="F200-00042995"/>
    <m/>
    <d v="2020-12-30T00:00:00"/>
    <s v="CANCELADO"/>
    <s v="CFR"/>
    <m/>
    <x v="1"/>
    <n v="242.07"/>
    <m/>
    <x v="1098"/>
    <x v="6"/>
    <s v="Contenedor 20'"/>
    <m/>
    <s v="25 kg"/>
    <m/>
    <m/>
    <s v="NOVIEMBRE '20"/>
    <x v="0"/>
    <m/>
    <m/>
    <m/>
    <x v="551"/>
    <m/>
    <m/>
    <x v="620"/>
    <n v="12"/>
    <n v="2020"/>
    <x v="0"/>
    <x v="0"/>
    <s v="CARTAGENA / COLOMBIA"/>
    <x v="0"/>
    <m/>
    <x v="1"/>
    <x v="927"/>
    <d v="2020-11-27T00:00:00"/>
    <s v="LIMARI"/>
    <x v="217"/>
    <x v="2"/>
    <m/>
    <s v="REALIZADO"/>
    <s v="DESTINO"/>
    <m/>
    <m/>
    <m/>
    <x v="0"/>
    <m/>
    <m/>
    <x v="0"/>
    <x v="0"/>
    <m/>
    <m/>
    <x v="0"/>
    <e v="#REF!"/>
    <m/>
    <m/>
    <m/>
    <m/>
    <m/>
    <x v="0"/>
    <s v="el ingreso de OC debe ser SIN IGV"/>
    <m/>
    <m/>
    <m/>
    <s v="NACIONALIZADO"/>
    <m/>
    <m/>
    <m/>
  </r>
  <r>
    <n v="2020"/>
    <s v="T-S"/>
    <x v="0"/>
    <x v="0"/>
    <m/>
    <m/>
    <x v="1275"/>
    <m/>
    <x v="1054"/>
    <m/>
    <m/>
    <m/>
    <s v="CERRADO"/>
    <n v="208067"/>
    <x v="115"/>
    <x v="53"/>
    <x v="569"/>
    <m/>
    <n v="30"/>
    <s v="días FACT."/>
    <s v="F200-00042996"/>
    <m/>
    <d v="2020-12-30T00:00:00"/>
    <s v="CANCELADO"/>
    <s v="CFR"/>
    <m/>
    <x v="10"/>
    <n v="242.07"/>
    <m/>
    <x v="1099"/>
    <x v="4"/>
    <s v="Contenedor 20'"/>
    <m/>
    <s v="25 kg"/>
    <m/>
    <m/>
    <s v="NOVIEMBRE '20"/>
    <x v="0"/>
    <m/>
    <m/>
    <m/>
    <x v="551"/>
    <m/>
    <m/>
    <x v="555"/>
    <n v="12"/>
    <n v="2020"/>
    <x v="0"/>
    <x v="0"/>
    <s v="CARTAGENA / COLOMBIA"/>
    <x v="0"/>
    <m/>
    <x v="1"/>
    <x v="928"/>
    <d v="2020-11-27T00:00:00"/>
    <s v="LIMARI"/>
    <x v="217"/>
    <x v="2"/>
    <m/>
    <s v="REALIZADO"/>
    <s v="DESTINO"/>
    <m/>
    <m/>
    <m/>
    <x v="0"/>
    <m/>
    <m/>
    <x v="0"/>
    <x v="0"/>
    <m/>
    <m/>
    <x v="0"/>
    <e v="#REF!"/>
    <m/>
    <m/>
    <m/>
    <m/>
    <m/>
    <x v="0"/>
    <s v="el ingreso de OC debe ser SIN IGV"/>
    <m/>
    <m/>
    <m/>
    <s v="NACIONALIZADO"/>
    <m/>
    <m/>
    <m/>
  </r>
  <r>
    <n v="2020"/>
    <s v="T-S"/>
    <x v="0"/>
    <x v="0"/>
    <m/>
    <m/>
    <x v="1276"/>
    <m/>
    <x v="1055"/>
    <m/>
    <m/>
    <m/>
    <s v="CERRADO"/>
    <n v="208067"/>
    <x v="115"/>
    <x v="53"/>
    <x v="570"/>
    <m/>
    <n v="30"/>
    <s v="días FACT."/>
    <s v="F200-00042991"/>
    <m/>
    <d v="2020-12-27T00:00:00"/>
    <s v="CANCELADO"/>
    <s v="CFR"/>
    <m/>
    <x v="13"/>
    <n v="242.07"/>
    <m/>
    <x v="1097"/>
    <x v="32"/>
    <s v="Contenedor 20'"/>
    <m/>
    <s v="25 kg"/>
    <m/>
    <m/>
    <s v="NOVIEMBRE '20"/>
    <x v="0"/>
    <m/>
    <m/>
    <m/>
    <x v="575"/>
    <m/>
    <m/>
    <x v="603"/>
    <n v="12"/>
    <n v="2020"/>
    <x v="0"/>
    <x v="0"/>
    <s v="CARTAGENA / COLOMBIA"/>
    <x v="2"/>
    <m/>
    <x v="6"/>
    <x v="929"/>
    <d v="2020-11-25T00:00:00"/>
    <s v="CALLAO EXPRESS"/>
    <x v="32"/>
    <x v="2"/>
    <m/>
    <s v="REALIZADO"/>
    <s v="DESTINO"/>
    <m/>
    <m/>
    <m/>
    <x v="0"/>
    <m/>
    <m/>
    <x v="0"/>
    <x v="0"/>
    <m/>
    <m/>
    <x v="0"/>
    <e v="#REF!"/>
    <m/>
    <m/>
    <m/>
    <m/>
    <m/>
    <x v="0"/>
    <s v="el ingreso de OC debe ser SIN IGV"/>
    <m/>
    <m/>
    <m/>
    <s v="NACIONALIZADO"/>
    <m/>
    <m/>
    <m/>
  </r>
  <r>
    <n v="2020"/>
    <s v="T-S"/>
    <x v="0"/>
    <x v="0"/>
    <m/>
    <m/>
    <x v="1277"/>
    <m/>
    <x v="1056"/>
    <m/>
    <m/>
    <m/>
    <s v="CERRADO"/>
    <n v="208067"/>
    <x v="115"/>
    <x v="53"/>
    <x v="571"/>
    <m/>
    <n v="30"/>
    <s v="días FACT."/>
    <s v="F200-00042980"/>
    <m/>
    <d v="2020-12-17T00:00:00"/>
    <s v="CANCELADO"/>
    <s v="CFR"/>
    <m/>
    <x v="7"/>
    <n v="242.07"/>
    <m/>
    <x v="1100"/>
    <x v="15"/>
    <s v="Contenedor 20'"/>
    <m/>
    <s v="25 kg"/>
    <m/>
    <m/>
    <s v="NOVIEMBRE '20"/>
    <x v="0"/>
    <m/>
    <m/>
    <m/>
    <x v="534"/>
    <m/>
    <m/>
    <x v="606"/>
    <n v="11"/>
    <n v="2020"/>
    <x v="0"/>
    <x v="0"/>
    <s v="CARTAGENA / COLOMBIA"/>
    <x v="2"/>
    <m/>
    <x v="6"/>
    <x v="930"/>
    <d v="2020-11-11T00:00:00"/>
    <s v="VALPARAISO EXPRESS"/>
    <x v="30"/>
    <x v="2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T-S"/>
    <x v="0"/>
    <x v="0"/>
    <m/>
    <m/>
    <x v="1278"/>
    <m/>
    <x v="1057"/>
    <m/>
    <m/>
    <m/>
    <s v="CERRADO"/>
    <n v="208067"/>
    <x v="115"/>
    <x v="53"/>
    <x v="572"/>
    <m/>
    <n v="30"/>
    <s v="días FACT."/>
    <s v="F200-00042994"/>
    <m/>
    <d v="2020-12-30T00:00:00"/>
    <s v="CANCELADO"/>
    <s v="CFR"/>
    <m/>
    <x v="511"/>
    <n v="242.07"/>
    <m/>
    <x v="1101"/>
    <x v="9"/>
    <s v="Contenedor 20'"/>
    <m/>
    <s v="25 kg"/>
    <m/>
    <m/>
    <s v="NOVIEMBRE '20"/>
    <x v="0"/>
    <m/>
    <m/>
    <m/>
    <x v="544"/>
    <m/>
    <m/>
    <x v="556"/>
    <n v="12"/>
    <n v="2020"/>
    <x v="0"/>
    <x v="0"/>
    <s v="CARTAGENA / COLOMBIA"/>
    <x v="4"/>
    <m/>
    <x v="2"/>
    <x v="931"/>
    <d v="2020-11-21T00:00:00"/>
    <s v="STELLAR WALVIS BAY"/>
    <x v="149"/>
    <x v="8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T-S"/>
    <x v="0"/>
    <x v="0"/>
    <m/>
    <m/>
    <x v="1279"/>
    <m/>
    <x v="1058"/>
    <m/>
    <m/>
    <m/>
    <s v="CERRADO"/>
    <n v="208067"/>
    <x v="115"/>
    <x v="53"/>
    <x v="573"/>
    <d v="2020-12-03T00:00:00"/>
    <n v="30"/>
    <s v="días FACT."/>
    <s v="F200-00043003"/>
    <m/>
    <d v="2021-01-03T00:00:00"/>
    <s v="CANCELADO"/>
    <s v="CFR"/>
    <m/>
    <x v="506"/>
    <n v="233.09"/>
    <m/>
    <x v="1102"/>
    <x v="50"/>
    <s v="Contenedor 20'"/>
    <m/>
    <s v="25 kg"/>
    <m/>
    <m/>
    <s v="DICIEMBRE '20"/>
    <x v="0"/>
    <m/>
    <m/>
    <m/>
    <x v="597"/>
    <m/>
    <m/>
    <x v="621"/>
    <n v="12"/>
    <n v="2020"/>
    <x v="0"/>
    <x v="0"/>
    <s v="CARTAGENA / COLOMBIA"/>
    <x v="0"/>
    <m/>
    <x v="5"/>
    <x v="932"/>
    <d v="2020-12-04T00:00:00"/>
    <s v="POHORJE"/>
    <x v="244"/>
    <x v="9"/>
    <m/>
    <s v="REALIZADO"/>
    <s v="SWB"/>
    <m/>
    <m/>
    <m/>
    <x v="0"/>
    <d v="2020-12-29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T-S"/>
    <x v="0"/>
    <x v="0"/>
    <m/>
    <m/>
    <x v="1280"/>
    <m/>
    <x v="1059"/>
    <m/>
    <m/>
    <m/>
    <s v="CERRADO"/>
    <n v="208067"/>
    <x v="115"/>
    <x v="53"/>
    <x v="574"/>
    <m/>
    <n v="30"/>
    <s v="días FACT."/>
    <s v="F200-00043020"/>
    <m/>
    <d v="2021-01-13T00:00:00"/>
    <s v="CANCELADO"/>
    <s v="CFR"/>
    <m/>
    <x v="7"/>
    <n v="233.09"/>
    <m/>
    <x v="1103"/>
    <x v="15"/>
    <s v="Contenedor 20'"/>
    <m/>
    <s v="25 kg"/>
    <m/>
    <m/>
    <s v="DICIEMBRE '20"/>
    <x v="0"/>
    <m/>
    <m/>
    <m/>
    <x v="598"/>
    <m/>
    <m/>
    <x v="616"/>
    <n v="12"/>
    <n v="2020"/>
    <x v="0"/>
    <x v="0"/>
    <s v="CARTAGENA / COLOMBIA"/>
    <x v="0"/>
    <m/>
    <x v="5"/>
    <x v="933"/>
    <d v="2020-12-11T00:00:00"/>
    <s v="LIMARI"/>
    <x v="217"/>
    <x v="9"/>
    <m/>
    <s v="REALIZADO"/>
    <s v="SWB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T-S"/>
    <x v="0"/>
    <x v="0"/>
    <m/>
    <m/>
    <x v="1281"/>
    <m/>
    <x v="1060"/>
    <m/>
    <m/>
    <m/>
    <s v="CERRADO"/>
    <n v="208067"/>
    <x v="115"/>
    <x v="53"/>
    <x v="575"/>
    <d v="2020-11-15T00:00:00"/>
    <n v="30"/>
    <s v="días FACT."/>
    <s v="F200-00043043"/>
    <m/>
    <d v="2021-01-27T00:00:00"/>
    <s v="CANCELADO"/>
    <s v="CFR"/>
    <m/>
    <x v="12"/>
    <n v="233.09"/>
    <m/>
    <x v="1104"/>
    <x v="20"/>
    <s v="Contenedor 20'"/>
    <m/>
    <s v="25 kg"/>
    <m/>
    <m/>
    <s v="DICIEMBRE '20"/>
    <x v="0"/>
    <m/>
    <m/>
    <m/>
    <x v="563"/>
    <m/>
    <m/>
    <x v="550"/>
    <n v="1"/>
    <n v="2021"/>
    <x v="0"/>
    <x v="0"/>
    <s v="CARTAGENA / COLOMBIA"/>
    <x v="0"/>
    <m/>
    <x v="8"/>
    <x v="934"/>
    <d v="2020-12-25T00:00:00"/>
    <s v="LIMARI"/>
    <x v="217"/>
    <x v="9"/>
    <m/>
    <s v="REALIZADO"/>
    <s v="SWB"/>
    <m/>
    <m/>
    <m/>
    <x v="0"/>
    <d v="2021-01-19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T-S"/>
    <x v="0"/>
    <x v="0"/>
    <m/>
    <m/>
    <x v="1282"/>
    <m/>
    <x v="1061"/>
    <m/>
    <m/>
    <m/>
    <s v="CERRADO"/>
    <n v="208067"/>
    <x v="115"/>
    <x v="53"/>
    <x v="576"/>
    <d v="2020-11-15T00:00:00"/>
    <n v="30"/>
    <s v="días FACT."/>
    <s v="F200-00043027"/>
    <m/>
    <d v="2021-01-17T00:00:00"/>
    <s v="CANCELADO"/>
    <s v="CFR"/>
    <m/>
    <x v="99"/>
    <n v="233.09"/>
    <m/>
    <x v="1105"/>
    <x v="21"/>
    <s v="Contenedor 20'"/>
    <m/>
    <s v="25 kg"/>
    <m/>
    <m/>
    <s v="DICIEMBRE '20"/>
    <x v="0"/>
    <m/>
    <m/>
    <m/>
    <x v="595"/>
    <m/>
    <m/>
    <x v="622"/>
    <n v="1"/>
    <n v="2021"/>
    <x v="0"/>
    <x v="0"/>
    <s v="CARTAGENA / COLOMBIA"/>
    <x v="2"/>
    <m/>
    <x v="3"/>
    <x v="935"/>
    <d v="2020-12-17T00:00:00"/>
    <s v="GUAYAQUIL EXPRESS"/>
    <x v="42"/>
    <x v="2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T-S"/>
    <x v="0"/>
    <x v="0"/>
    <m/>
    <m/>
    <x v="1283"/>
    <m/>
    <x v="1062"/>
    <m/>
    <m/>
    <m/>
    <s v="CERRADO"/>
    <n v="208067"/>
    <x v="115"/>
    <x v="53"/>
    <x v="577"/>
    <d v="2020-11-15T00:00:00"/>
    <n v="30"/>
    <s v="días FACT."/>
    <s v="F200-00043026"/>
    <m/>
    <d v="2021-01-17T00:00:00"/>
    <s v="CANCELADO"/>
    <s v="CFR"/>
    <m/>
    <x v="512"/>
    <n v="233.09"/>
    <m/>
    <x v="1106"/>
    <x v="22"/>
    <s v="Contenedor 20'"/>
    <m/>
    <s v="25 kg"/>
    <m/>
    <m/>
    <s v="DICIEMBRE '20"/>
    <x v="0"/>
    <m/>
    <m/>
    <m/>
    <x v="595"/>
    <m/>
    <m/>
    <x v="549"/>
    <n v="1"/>
    <n v="2021"/>
    <x v="0"/>
    <x v="0"/>
    <s v="CARTAGENA / COLOMBIA"/>
    <x v="2"/>
    <m/>
    <x v="1"/>
    <x v="936"/>
    <d v="2020-12-17T00:00:00"/>
    <s v="GUAYAQUIL EXPRESS"/>
    <x v="42"/>
    <x v="2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T-S"/>
    <x v="0"/>
    <x v="0"/>
    <m/>
    <m/>
    <x v="1284"/>
    <m/>
    <x v="1063"/>
    <m/>
    <m/>
    <m/>
    <s v="CERRADO"/>
    <n v="208067"/>
    <x v="115"/>
    <x v="53"/>
    <x v="578"/>
    <d v="2020-11-15T00:00:00"/>
    <n v="30"/>
    <s v="días FACT."/>
    <s v="F200-00043044"/>
    <m/>
    <d v="2021-01-27T00:00:00"/>
    <s v="CANCELADO"/>
    <s v="CFR"/>
    <m/>
    <x v="408"/>
    <n v="233.09"/>
    <m/>
    <x v="1107"/>
    <x v="16"/>
    <s v="Contenedor 20'"/>
    <m/>
    <s v="25 kg"/>
    <m/>
    <m/>
    <s v="DICIEMBRE '20"/>
    <x v="0"/>
    <m/>
    <m/>
    <m/>
    <x v="574"/>
    <m/>
    <m/>
    <x v="623"/>
    <n v="1"/>
    <n v="2021"/>
    <x v="0"/>
    <x v="0"/>
    <s v="CARTAGENA / COLOMBIA"/>
    <x v="2"/>
    <m/>
    <x v="3"/>
    <x v="937"/>
    <d v="2020-12-23T00:00:00"/>
    <s v="CMA CGM NIAGARA"/>
    <x v="50"/>
    <x v="2"/>
    <m/>
    <s v="REALIZADO"/>
    <s v="SWB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T-S"/>
    <x v="0"/>
    <x v="0"/>
    <m/>
    <m/>
    <x v="1285"/>
    <m/>
    <x v="1064"/>
    <m/>
    <m/>
    <m/>
    <s v="CERRADO"/>
    <n v="208067"/>
    <x v="115"/>
    <x v="53"/>
    <x v="579"/>
    <d v="2020-11-15T00:00:00"/>
    <n v="30"/>
    <s v="días FACT."/>
    <s v="F200-00043040"/>
    <m/>
    <d v="2021-01-21T00:00:00"/>
    <s v="CANCELADO"/>
    <s v="CFR"/>
    <m/>
    <x v="1"/>
    <n v="233.09"/>
    <m/>
    <x v="1108"/>
    <x v="6"/>
    <s v="Contenedor 20'"/>
    <m/>
    <s v="25 kg"/>
    <m/>
    <m/>
    <s v="DICIEMBRE '20"/>
    <x v="0"/>
    <m/>
    <m/>
    <m/>
    <x v="599"/>
    <m/>
    <m/>
    <x v="624"/>
    <n v="1"/>
    <n v="2021"/>
    <x v="0"/>
    <x v="0"/>
    <s v="CARTAGENA / COLOMBIA"/>
    <x v="4"/>
    <m/>
    <x v="2"/>
    <x v="938"/>
    <d v="2020-12-19T00:00:00"/>
    <s v="MAERSK WAKAYAMA"/>
    <x v="264"/>
    <x v="8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1286"/>
    <m/>
    <x v="1065"/>
    <m/>
    <m/>
    <m/>
    <s v="CERRADO"/>
    <n v="206615"/>
    <x v="108"/>
    <x v="50"/>
    <x v="8"/>
    <d v="2020-11-15T00:00:00"/>
    <n v="90"/>
    <s v="días BL"/>
    <s v="858"/>
    <m/>
    <d v="2021-05-06T00:00:00"/>
    <s v="CANCELADO"/>
    <s v="CFR"/>
    <m/>
    <x v="21"/>
    <n v="680"/>
    <m/>
    <x v="1109"/>
    <x v="2"/>
    <s v="Contenedor 20'"/>
    <m/>
    <s v="25 kg"/>
    <m/>
    <m/>
    <s v="1H DICIEMBRE '20"/>
    <x v="0"/>
    <m/>
    <m/>
    <m/>
    <x v="586"/>
    <m/>
    <m/>
    <x v="602"/>
    <n v="2"/>
    <n v="2021"/>
    <x v="0"/>
    <x v="0"/>
    <s v="IQUIQUE / CHILE"/>
    <x v="0"/>
    <m/>
    <x v="2"/>
    <x v="939"/>
    <d v="2021-02-05T00:00:00"/>
    <s v="ALIOTH"/>
    <x v="264"/>
    <x v="2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1287"/>
    <m/>
    <x v="1066"/>
    <m/>
    <m/>
    <m/>
    <s v="CERRADO"/>
    <n v="206914"/>
    <x v="12"/>
    <x v="19"/>
    <x v="580"/>
    <d v="2020-10-28T00:00:00"/>
    <n v="90"/>
    <s v="días BL"/>
    <s v="SG-MSL-12329-31A"/>
    <m/>
    <d v="2021-03-21T00:00:00"/>
    <s v="CANCELADO"/>
    <s v="CFR"/>
    <m/>
    <x v="368"/>
    <n v="99.5"/>
    <m/>
    <x v="1110"/>
    <x v="3"/>
    <s v="Granel - BB"/>
    <m/>
    <s v="25 kg"/>
    <m/>
    <m/>
    <s v="3W NOVIEMBRE '20"/>
    <x v="0"/>
    <m/>
    <m/>
    <m/>
    <x v="564"/>
    <m/>
    <m/>
    <x v="625"/>
    <n v="3"/>
    <n v="2021"/>
    <x v="0"/>
    <x v="0"/>
    <s v="BAYUQUAN / CHINA"/>
    <x v="2"/>
    <m/>
    <x v="3"/>
    <x v="940"/>
    <d v="2020-12-21T00:00:00"/>
    <s v="MV XING ZUN HAI"/>
    <x v="288"/>
    <x v="0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1288"/>
    <m/>
    <x v="1067"/>
    <m/>
    <m/>
    <m/>
    <s v="CERRADO"/>
    <n v="206914"/>
    <x v="12"/>
    <x v="19"/>
    <x v="580"/>
    <d v="2020-10-28T00:00:00"/>
    <n v="90"/>
    <s v="días BL"/>
    <s v="SG-MSL-12329-31B"/>
    <m/>
    <d v="2021-04-02T00:00:00"/>
    <s v="CANCELADO"/>
    <s v="CFR"/>
    <m/>
    <x v="368"/>
    <n v="99.5"/>
    <m/>
    <x v="1110"/>
    <x v="3"/>
    <s v="Granel - BB"/>
    <m/>
    <s v="25 kg"/>
    <m/>
    <m/>
    <s v="1W DICIEMBRE '20"/>
    <x v="0"/>
    <m/>
    <m/>
    <m/>
    <x v="538"/>
    <m/>
    <m/>
    <x v="626"/>
    <n v="3"/>
    <n v="2021"/>
    <x v="0"/>
    <x v="0"/>
    <s v="BAYUQUAN / CHINA"/>
    <x v="2"/>
    <m/>
    <x v="3"/>
    <x v="941"/>
    <d v="2021-01-02T00:00:00"/>
    <s v="MV PETREL ARROW"/>
    <x v="261"/>
    <x v="0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1289"/>
    <m/>
    <x v="1068"/>
    <m/>
    <m/>
    <m/>
    <s v="CERRADO"/>
    <n v="206914"/>
    <x v="12"/>
    <x v="19"/>
    <x v="581"/>
    <d v="2020-10-28T00:00:00"/>
    <n v="90"/>
    <s v="días BL"/>
    <s v="SG-MSL-12329-32"/>
    <m/>
    <d v="2021-03-29T00:00:00"/>
    <s v="CANCELADO"/>
    <s v="CFR"/>
    <m/>
    <x v="10"/>
    <n v="109"/>
    <m/>
    <x v="1111"/>
    <x v="3"/>
    <s v="Granel - BB"/>
    <m/>
    <s v="25 kg"/>
    <m/>
    <m/>
    <s v="NOVIEMBRE '20"/>
    <x v="0"/>
    <m/>
    <m/>
    <m/>
    <x v="593"/>
    <m/>
    <m/>
    <x v="627"/>
    <n v="3"/>
    <n v="2021"/>
    <x v="0"/>
    <x v="0"/>
    <s v="TIANJIN / CHINA"/>
    <x v="4"/>
    <m/>
    <x v="2"/>
    <x v="942"/>
    <d v="2020-12-26T00:00:00"/>
    <s v="MV PETREL ARROW"/>
    <x v="261"/>
    <x v="0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E-S"/>
    <x v="0"/>
    <x v="0"/>
    <m/>
    <m/>
    <x v="1290"/>
    <m/>
    <x v="1069"/>
    <m/>
    <m/>
    <m/>
    <s v="CERRADO"/>
    <n v="203622"/>
    <x v="45"/>
    <x v="57"/>
    <x v="582"/>
    <s v="NOVIEMBRE"/>
    <n v="90"/>
    <s v="días BL"/>
    <s v="7300140319"/>
    <m/>
    <d v="2021-04-23T00:00:00"/>
    <s v="CANCELADO"/>
    <s v="CFR"/>
    <m/>
    <x v="58"/>
    <n v="705"/>
    <m/>
    <x v="1112"/>
    <x v="5"/>
    <s v="Contenedor 20'"/>
    <m/>
    <s v="25 kg"/>
    <m/>
    <m/>
    <s v="ENERO '21"/>
    <x v="0"/>
    <m/>
    <m/>
    <m/>
    <x v="600"/>
    <m/>
    <m/>
    <x v="609"/>
    <n v="2"/>
    <n v="2021"/>
    <x v="0"/>
    <x v="0"/>
    <s v="HAMBURGO / ALEMANIA"/>
    <x v="0"/>
    <m/>
    <x v="2"/>
    <x v="943"/>
    <d v="2021-01-18T00:00:00"/>
    <s v="SANTOS EXPRESS"/>
    <x v="217"/>
    <x v="9"/>
    <m/>
    <s v="REALIZADO"/>
    <s v="SWB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C"/>
    <x v="0"/>
    <x v="0"/>
    <m/>
    <m/>
    <x v="1291"/>
    <m/>
    <x v="1070"/>
    <m/>
    <m/>
    <m/>
    <s v="CERRADO"/>
    <n v="206573"/>
    <x v="5"/>
    <x v="41"/>
    <x v="583"/>
    <d v="2020-12-02T00:00:00"/>
    <n v="150"/>
    <s v="días BL"/>
    <s v="B7FE-20-3028-ANPE-01"/>
    <m/>
    <d v="2021-05-28T00:00:00"/>
    <s v="CANCELADO"/>
    <s v="DAP"/>
    <m/>
    <x v="117"/>
    <n v="253"/>
    <m/>
    <x v="1113"/>
    <x v="3"/>
    <s v="Granel"/>
    <m/>
    <s v="Granel Sólido"/>
    <m/>
    <m/>
    <s v="2H DICIEMBRE '20"/>
    <x v="0"/>
    <m/>
    <m/>
    <m/>
    <x v="601"/>
    <m/>
    <m/>
    <x v="618"/>
    <n v="1"/>
    <n v="2021"/>
    <x v="0"/>
    <x v="0"/>
    <s v="RIGA / LETONIA"/>
    <x v="0"/>
    <m/>
    <x v="2"/>
    <x v="50"/>
    <d v="2020-12-30T00:00:00"/>
    <s v="MV BERGE TRONADOR "/>
    <x v="303"/>
    <x v="0"/>
    <m/>
    <s v="NO APLICA"/>
    <s v="ORIGEN"/>
    <m/>
    <m/>
    <m/>
    <x v="0"/>
    <n v="26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C"/>
    <x v="0"/>
    <x v="0"/>
    <m/>
    <m/>
    <x v="1292"/>
    <m/>
    <x v="1071"/>
    <m/>
    <m/>
    <m/>
    <s v="CERRADO"/>
    <n v="206573"/>
    <x v="5"/>
    <x v="41"/>
    <x v="583"/>
    <d v="2020-12-02T00:00:00"/>
    <n v="150"/>
    <s v="días BL"/>
    <s v="B7FE-20-3028-ANPE-02"/>
    <m/>
    <d v="2021-05-28T00:00:00"/>
    <s v="CANCELADO"/>
    <s v="DAP"/>
    <m/>
    <x v="47"/>
    <n v="253"/>
    <m/>
    <x v="1114"/>
    <x v="3"/>
    <s v="Granel"/>
    <m/>
    <s v="Granel Sólido"/>
    <m/>
    <m/>
    <s v="2H DICIEMBRE '20"/>
    <x v="0"/>
    <m/>
    <m/>
    <m/>
    <x v="602"/>
    <m/>
    <m/>
    <x v="628"/>
    <n v="2"/>
    <n v="2021"/>
    <x v="0"/>
    <x v="0"/>
    <s v="RIGA / LETONIA"/>
    <x v="1"/>
    <m/>
    <x v="2"/>
    <x v="17"/>
    <d v="2020-12-30T00:00:00"/>
    <s v="MV BERGE TRONADOR "/>
    <x v="303"/>
    <x v="0"/>
    <m/>
    <s v="NO APLICA"/>
    <s v="ORIGEN"/>
    <m/>
    <m/>
    <m/>
    <x v="0"/>
    <n v="32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C"/>
    <x v="0"/>
    <x v="0"/>
    <m/>
    <m/>
    <x v="1293"/>
    <m/>
    <x v="1072"/>
    <m/>
    <m/>
    <m/>
    <s v="CERRADO"/>
    <n v="206573"/>
    <x v="5"/>
    <x v="41"/>
    <x v="583"/>
    <d v="2020-12-02T00:00:00"/>
    <n v="150"/>
    <s v="días BL"/>
    <s v="B7FE-20-3028-ANPE-03"/>
    <m/>
    <d v="2021-05-28T00:00:00"/>
    <s v="CANCELADO"/>
    <s v="DAP"/>
    <m/>
    <x v="41"/>
    <n v="253"/>
    <m/>
    <x v="1115"/>
    <x v="3"/>
    <s v="Granel"/>
    <m/>
    <s v="Granel Sólido"/>
    <m/>
    <m/>
    <s v="2H DICIEMBRE '20"/>
    <x v="0"/>
    <m/>
    <m/>
    <m/>
    <x v="586"/>
    <m/>
    <m/>
    <x v="629"/>
    <n v="2"/>
    <n v="2021"/>
    <x v="0"/>
    <x v="0"/>
    <s v="RIGA / LETONIA"/>
    <x v="3"/>
    <m/>
    <x v="1"/>
    <x v="51"/>
    <d v="2020-12-30T00:00:00"/>
    <s v="MV BERGE TRONADOR "/>
    <x v="303"/>
    <x v="0"/>
    <m/>
    <s v="NO APLICA"/>
    <s v="ORIGEN"/>
    <m/>
    <m/>
    <m/>
    <x v="0"/>
    <n v="41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C"/>
    <x v="0"/>
    <x v="0"/>
    <m/>
    <m/>
    <x v="1294"/>
    <m/>
    <x v="1073"/>
    <m/>
    <m/>
    <m/>
    <s v="CERRADO"/>
    <n v="206573"/>
    <x v="5"/>
    <x v="41"/>
    <x v="583"/>
    <d v="2020-12-02T00:00:00"/>
    <n v="150"/>
    <s v="días BL"/>
    <s v="B7FE-20-3028-ANPE-04"/>
    <m/>
    <d v="2021-05-28T00:00:00"/>
    <s v="CANCELADO"/>
    <s v="DAP"/>
    <m/>
    <x v="43"/>
    <n v="253"/>
    <m/>
    <x v="1116"/>
    <x v="3"/>
    <s v="Granel"/>
    <m/>
    <s v="Granel Sólido"/>
    <m/>
    <m/>
    <s v="2H DICIEMBRE '20"/>
    <x v="0"/>
    <m/>
    <m/>
    <m/>
    <x v="590"/>
    <m/>
    <m/>
    <x v="619"/>
    <n v="2"/>
    <n v="2021"/>
    <x v="0"/>
    <x v="0"/>
    <s v="RIGA / LETONIA"/>
    <x v="4"/>
    <m/>
    <x v="2"/>
    <x v="18"/>
    <d v="2020-12-30T00:00:00"/>
    <s v="MV BERGE TRONADOR "/>
    <x v="303"/>
    <x v="0"/>
    <m/>
    <s v="NO APLICA"/>
    <s v="ORIGEN"/>
    <m/>
    <m/>
    <m/>
    <x v="0"/>
    <n v="44"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295"/>
    <m/>
    <x v="1074"/>
    <m/>
    <m/>
    <m/>
    <s v="CERRADO"/>
    <n v="207951"/>
    <x v="6"/>
    <x v="41"/>
    <x v="583"/>
    <d v="2020-12-02T00:00:00"/>
    <n v="150"/>
    <s v="días BL"/>
    <s v="B7FE-20-3029-URPE"/>
    <m/>
    <d v="2021-05-28T00:00:00"/>
    <s v="CANCELADO"/>
    <s v="DAP"/>
    <m/>
    <x v="42"/>
    <n v="294.64999999999998"/>
    <m/>
    <x v="1117"/>
    <x v="3"/>
    <s v="Granel"/>
    <m/>
    <s v="Granel Sólido"/>
    <m/>
    <m/>
    <s v="2H DICIEMBRE '20"/>
    <x v="0"/>
    <m/>
    <m/>
    <m/>
    <x v="590"/>
    <m/>
    <m/>
    <x v="619"/>
    <n v="2"/>
    <n v="2021"/>
    <x v="0"/>
    <x v="0"/>
    <s v="RIGA / LETONIA"/>
    <x v="4"/>
    <m/>
    <x v="2"/>
    <x v="52"/>
    <d v="2020-12-30T00:00:00"/>
    <s v="MV BERGE TRONADOR "/>
    <x v="303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296"/>
    <m/>
    <x v="1075"/>
    <m/>
    <m/>
    <m/>
    <s v="CERRADO"/>
    <n v="206597"/>
    <x v="0"/>
    <x v="24"/>
    <x v="584"/>
    <s v="DICIEMBRE"/>
    <n v="180"/>
    <s v="días BL"/>
    <s v="20-12-4490-1"/>
    <m/>
    <d v="2021-06-28T00:00:00"/>
    <s v="CANCELADO"/>
    <s v="CFR"/>
    <m/>
    <x v="513"/>
    <n v="255"/>
    <m/>
    <x v="1118"/>
    <x v="3"/>
    <s v="Granel"/>
    <m/>
    <s v="Granel Sólido"/>
    <m/>
    <m/>
    <s v="2H DICIEMBRE '20"/>
    <x v="0"/>
    <m/>
    <m/>
    <m/>
    <x v="602"/>
    <m/>
    <m/>
    <x v="628"/>
    <n v="2"/>
    <n v="2021"/>
    <x v="0"/>
    <x v="0"/>
    <s v="RIGA / LETONIA"/>
    <x v="1"/>
    <m/>
    <x v="2"/>
    <x v="389"/>
    <d v="2020-12-30T00:00:00"/>
    <s v="MV BERGE TRONADOR "/>
    <x v="303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297"/>
    <m/>
    <x v="1076"/>
    <m/>
    <m/>
    <m/>
    <s v="CERRADO"/>
    <n v="206597"/>
    <x v="0"/>
    <x v="24"/>
    <x v="584"/>
    <s v="DICIEMBRE"/>
    <n v="180"/>
    <s v="días BL"/>
    <s v="20-12-4490-2"/>
    <m/>
    <d v="2021-06-28T00:00:00"/>
    <s v="CANCELADO"/>
    <s v="CFR"/>
    <m/>
    <x v="228"/>
    <n v="255"/>
    <m/>
    <x v="1119"/>
    <x v="3"/>
    <s v="Granel"/>
    <m/>
    <s v="Granel Sólido"/>
    <m/>
    <m/>
    <s v="2H DICIEMBRE '20"/>
    <x v="0"/>
    <m/>
    <m/>
    <m/>
    <x v="603"/>
    <m/>
    <m/>
    <x v="591"/>
    <n v="2"/>
    <n v="2021"/>
    <x v="0"/>
    <x v="0"/>
    <s v="RIGA / LETONIA"/>
    <x v="2"/>
    <m/>
    <x v="6"/>
    <x v="352"/>
    <d v="2020-12-30T00:00:00"/>
    <s v="MV BERGE TRONADOR "/>
    <x v="303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G-S"/>
    <x v="0"/>
    <x v="0"/>
    <m/>
    <m/>
    <x v="1298"/>
    <m/>
    <x v="1077"/>
    <m/>
    <m/>
    <m/>
    <s v="CERRADO"/>
    <n v="206597"/>
    <x v="0"/>
    <x v="24"/>
    <x v="584"/>
    <s v="DICIEMBRE"/>
    <n v="180"/>
    <s v="días BL"/>
    <s v="20-12-4490-3"/>
    <m/>
    <d v="2021-06-28T00:00:00"/>
    <s v="CANCELADO"/>
    <s v="CFR"/>
    <m/>
    <x v="514"/>
    <n v="255"/>
    <m/>
    <x v="1120"/>
    <x v="3"/>
    <s v="Granel"/>
    <m/>
    <s v="Granel Sólido"/>
    <m/>
    <m/>
    <s v="2H DICIEMBRE '20"/>
    <x v="0"/>
    <m/>
    <m/>
    <m/>
    <x v="590"/>
    <m/>
    <m/>
    <x v="619"/>
    <n v="2"/>
    <n v="2021"/>
    <x v="0"/>
    <x v="0"/>
    <s v="RIGA / LETONIA"/>
    <x v="4"/>
    <m/>
    <x v="2"/>
    <x v="353"/>
    <d v="2020-12-30T00:00:00"/>
    <s v="MV BERGE TRONADOR "/>
    <x v="303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E-S"/>
    <x v="0"/>
    <x v="2"/>
    <m/>
    <m/>
    <x v="1299"/>
    <m/>
    <x v="34"/>
    <m/>
    <m/>
    <m/>
    <m/>
    <m/>
    <x v="45"/>
    <x v="57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0"/>
    <s v="G-S"/>
    <x v="0"/>
    <x v="0"/>
    <m/>
    <m/>
    <x v="1300"/>
    <m/>
    <x v="1078"/>
    <m/>
    <m/>
    <m/>
    <s v="CERRADO"/>
    <n v="206599"/>
    <x v="1"/>
    <x v="57"/>
    <x v="585"/>
    <s v="DICIEMBRE"/>
    <n v="120"/>
    <s v="días BL"/>
    <s v="7300151173"/>
    <m/>
    <d v="2021-06-03T00:00:00"/>
    <s v="CANCELADO"/>
    <s v="CPT"/>
    <m/>
    <x v="515"/>
    <n v="430"/>
    <m/>
    <x v="1121"/>
    <x v="9"/>
    <s v="Contenedor 20'"/>
    <m/>
    <s v="Granel Sólido"/>
    <m/>
    <m/>
    <s v="DICIEMBRE '20"/>
    <x v="0"/>
    <m/>
    <m/>
    <m/>
    <x v="604"/>
    <m/>
    <m/>
    <x v="630"/>
    <n v="3"/>
    <n v="2021"/>
    <x v="0"/>
    <x v="0"/>
    <s v="HAMBURGO / ALEMANIA"/>
    <x v="0"/>
    <m/>
    <x v="2"/>
    <x v="944"/>
    <d v="2021-02-01T00:00:00"/>
    <s v="GUAYAQUIL EXPRESS"/>
    <x v="217"/>
    <x v="9"/>
    <m/>
    <s v="REALIZADO"/>
    <s v="SWB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1301"/>
    <m/>
    <x v="1079"/>
    <m/>
    <m/>
    <m/>
    <s v="CERRADO"/>
    <n v="206914"/>
    <x v="12"/>
    <x v="51"/>
    <x v="586"/>
    <d v="2020-12-09T00:00:00"/>
    <n v="90"/>
    <s v="días BL"/>
    <s v="5000442"/>
    <m/>
    <d v="2021-03-22T00:00:00"/>
    <s v="CANCELADO"/>
    <s v="CFR"/>
    <m/>
    <x v="516"/>
    <n v="117"/>
    <m/>
    <x v="1122"/>
    <x v="3"/>
    <s v="Granel - BB"/>
    <m/>
    <s v="25 kg"/>
    <m/>
    <m/>
    <s v="DIC '20 - ENE '21"/>
    <x v="0"/>
    <m/>
    <m/>
    <m/>
    <x v="605"/>
    <m/>
    <m/>
    <x v="631"/>
    <n v="2"/>
    <n v="2021"/>
    <x v="0"/>
    <x v="0"/>
    <s v="BAYUQUAN / CHINA"/>
    <x v="0"/>
    <m/>
    <x v="2"/>
    <x v="945"/>
    <d v="2020-12-22T00:00:00"/>
    <s v="MV XING ZUN HAI "/>
    <x v="304"/>
    <x v="0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1302"/>
    <m/>
    <x v="1080"/>
    <m/>
    <m/>
    <m/>
    <s v="CERRADO"/>
    <n v="206914"/>
    <x v="12"/>
    <x v="51"/>
    <x v="587"/>
    <d v="2020-12-09T00:00:00"/>
    <n v="90"/>
    <s v="días BL"/>
    <s v="5000439"/>
    <m/>
    <d v="2021-03-12T00:00:00"/>
    <s v="CANCELADO"/>
    <s v="CFR"/>
    <m/>
    <x v="517"/>
    <n v="120"/>
    <m/>
    <x v="1123"/>
    <x v="3"/>
    <s v="Granel - BB"/>
    <m/>
    <s v="25 kg"/>
    <m/>
    <m/>
    <s v="DIC '20 - ENE '21"/>
    <x v="0"/>
    <m/>
    <m/>
    <m/>
    <x v="593"/>
    <m/>
    <m/>
    <x v="614"/>
    <n v="3"/>
    <n v="2021"/>
    <x v="0"/>
    <x v="0"/>
    <s v="TIANJIN / CHINA"/>
    <x v="4"/>
    <m/>
    <x v="2"/>
    <x v="946"/>
    <d v="2020-12-29T00:00:00"/>
    <s v="MV PETREL ARROW "/>
    <x v="269"/>
    <x v="0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1303"/>
    <m/>
    <x v="1081"/>
    <m/>
    <m/>
    <m/>
    <s v="CERRADO"/>
    <n v="206971"/>
    <x v="3"/>
    <x v="58"/>
    <x v="588"/>
    <d v="2021-02-16T00:00:00"/>
    <n v="30"/>
    <s v="días BL"/>
    <s v="STL0110107710"/>
    <m/>
    <d v="2021-05-06T00:00:00"/>
    <s v="CANCELADO"/>
    <s v="CFR"/>
    <m/>
    <x v="140"/>
    <n v="430"/>
    <m/>
    <x v="1124"/>
    <x v="22"/>
    <s v="Contenedor 20'"/>
    <m/>
    <s v="25 kg"/>
    <m/>
    <m/>
    <s v="2H ENE '21 - 1H FEB '21"/>
    <x v="0"/>
    <m/>
    <m/>
    <m/>
    <x v="606"/>
    <m/>
    <m/>
    <x v="632"/>
    <n v="6"/>
    <n v="2021"/>
    <x v="0"/>
    <x v="0"/>
    <s v="ALEXANDRIA / EGIPTO"/>
    <x v="2"/>
    <m/>
    <x v="6"/>
    <x v="947"/>
    <d v="2021-04-03T00:00:00"/>
    <s v="WADI ALRAYAN"/>
    <x v="260"/>
    <x v="6"/>
    <m/>
    <s v="REALIZADO"/>
    <s v="ORIGEN"/>
    <m/>
    <m/>
    <m/>
    <x v="0"/>
    <d v="2021-06-03T00:00:00"/>
    <m/>
    <x v="0"/>
    <x v="0"/>
    <m/>
    <m/>
    <x v="0"/>
    <e v="#REF!"/>
    <m/>
    <m/>
    <m/>
    <m/>
    <m/>
    <x v="0"/>
    <s v="anulada: 8000001363"/>
    <m/>
    <m/>
    <m/>
    <s v="NACIONALIZADO"/>
    <m/>
    <m/>
    <m/>
  </r>
  <r>
    <n v="2020"/>
    <s v="S-S"/>
    <x v="0"/>
    <x v="0"/>
    <m/>
    <m/>
    <x v="1304"/>
    <m/>
    <x v="1082"/>
    <m/>
    <d v="2021-08-05T00:00:00"/>
    <d v="2021-08-06T00:00:00"/>
    <s v="CERRADO"/>
    <n v="206971"/>
    <x v="3"/>
    <x v="58"/>
    <x v="589"/>
    <d v="2021-02-16T00:00:00"/>
    <n v="30"/>
    <s v="días BL"/>
    <s v="STL0110107929"/>
    <m/>
    <d v="2021-07-14T00:00:00"/>
    <s v="CANCELADO"/>
    <s v="CFR"/>
    <m/>
    <x v="140"/>
    <n v="430"/>
    <m/>
    <x v="1124"/>
    <x v="22"/>
    <s v="Contenedor 20'"/>
    <m/>
    <s v="25 kg"/>
    <m/>
    <m/>
    <s v="2H ENE '21 - 1H FEB '21"/>
    <x v="0"/>
    <m/>
    <d v="2021-06-14T00:00:00"/>
    <m/>
    <x v="607"/>
    <m/>
    <m/>
    <x v="633"/>
    <n v="8"/>
    <n v="2021"/>
    <x v="0"/>
    <x v="0"/>
    <s v="ALEXANDRIA / EGIPTO"/>
    <x v="2"/>
    <m/>
    <x v="6"/>
    <x v="948"/>
    <d v="2021-06-14T00:00:00"/>
    <s v="CORCOVADO"/>
    <x v="229"/>
    <x v="6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s v="URGENTE"/>
    <m/>
    <x v="1305"/>
    <m/>
    <x v="1083"/>
    <m/>
    <m/>
    <m/>
    <s v="CERRADO"/>
    <n v="207579"/>
    <x v="9"/>
    <x v="60"/>
    <x v="590"/>
    <d v="2020-12-12T00:00:00"/>
    <s v="CAD"/>
    <m/>
    <s v="MF-393-20"/>
    <m/>
    <s v="-"/>
    <s v="CANCELADO"/>
    <s v="CFR"/>
    <m/>
    <x v="518"/>
    <n v="227"/>
    <m/>
    <x v="1125"/>
    <x v="3"/>
    <s v="Granel - BB"/>
    <m/>
    <s v="25 kg"/>
    <m/>
    <m/>
    <s v="DIC '20 - 1H ENE '21"/>
    <x v="0"/>
    <m/>
    <m/>
    <m/>
    <x v="608"/>
    <m/>
    <m/>
    <x v="634"/>
    <n v="4"/>
    <n v="2021"/>
    <x v="0"/>
    <x v="0"/>
    <s v="TIANJIN / CHINA"/>
    <x v="2"/>
    <m/>
    <x v="6"/>
    <x v="949"/>
    <d v="2021-02-28T00:00:00"/>
    <s v="TS JASMINE"/>
    <x v="305"/>
    <x v="0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s v="URGENTE"/>
    <m/>
    <x v="1306"/>
    <m/>
    <x v="1084"/>
    <m/>
    <d v="2021-09-10T00:00:00"/>
    <d v="2021-09-13T00:00:00"/>
    <s v="CERRADO"/>
    <n v="207579"/>
    <x v="9"/>
    <x v="60"/>
    <x v="591"/>
    <d v="2020-12-12T00:00:00"/>
    <s v="CAD"/>
    <m/>
    <s v="MF-394-20"/>
    <m/>
    <d v="2021-07-15T00:00:00"/>
    <s v="CANCELADO"/>
    <s v="CFR"/>
    <m/>
    <x v="8"/>
    <n v="245"/>
    <m/>
    <x v="1126"/>
    <x v="3"/>
    <s v="Granel - BB"/>
    <m/>
    <s v="25 kg"/>
    <m/>
    <m/>
    <s v="MAY - JUN '21"/>
    <x v="0"/>
    <m/>
    <d v="2021-07-20T00:00:00"/>
    <m/>
    <x v="609"/>
    <m/>
    <m/>
    <x v="635"/>
    <n v="9"/>
    <n v="2021"/>
    <x v="0"/>
    <x v="0"/>
    <s v="TIANJIN / CHINA"/>
    <x v="2"/>
    <m/>
    <x v="3"/>
    <x v="950"/>
    <d v="2021-07-11T00:00:00"/>
    <s v="MV MSXT FLORA"/>
    <x v="306"/>
    <x v="0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E-S"/>
    <x v="0"/>
    <x v="0"/>
    <m/>
    <m/>
    <x v="1307"/>
    <m/>
    <x v="1085"/>
    <m/>
    <m/>
    <m/>
    <s v="CERRADO"/>
    <n v="203647"/>
    <x v="131"/>
    <x v="51"/>
    <x v="592"/>
    <d v="2020-12-15T00:00:00"/>
    <n v="90"/>
    <s v="días BL"/>
    <s v="5000487"/>
    <m/>
    <d v="2021-05-06T00:00:00"/>
    <s v="CANCELADO"/>
    <s v="CFR"/>
    <m/>
    <x v="519"/>
    <n v="710"/>
    <m/>
    <x v="1127"/>
    <x v="3"/>
    <s v="Granel - BB"/>
    <m/>
    <s v="25 kg"/>
    <m/>
    <m/>
    <s v="ENERO '21"/>
    <x v="0"/>
    <m/>
    <m/>
    <m/>
    <x v="610"/>
    <m/>
    <m/>
    <x v="636"/>
    <n v="4"/>
    <n v="2021"/>
    <x v="0"/>
    <x v="0"/>
    <s v="NANJING / CHINA"/>
    <x v="2"/>
    <m/>
    <x v="1"/>
    <x v="951"/>
    <d v="2021-02-04T00:00:00"/>
    <s v="MV PENGUIN ARROW"/>
    <x v="307"/>
    <x v="0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1308"/>
    <m/>
    <x v="1086"/>
    <m/>
    <d v="1899-12-30T00:00:00"/>
    <d v="2021-11-09T00:00:00"/>
    <s v="CERRADO"/>
    <n v="206971"/>
    <x v="3"/>
    <x v="58"/>
    <x v="593"/>
    <d v="2020-12-23T00:00:00"/>
    <n v="30"/>
    <s v="días BL"/>
    <s v="STL110108082"/>
    <m/>
    <d v="2021-10-03T00:00:00"/>
    <s v="CANCELADO"/>
    <s v="CFR"/>
    <m/>
    <x v="86"/>
    <n v="440"/>
    <m/>
    <x v="48"/>
    <x v="20"/>
    <s v="Contenedor 20'"/>
    <m/>
    <s v="25 kg"/>
    <m/>
    <m/>
    <s v="MARZO '21"/>
    <x v="0"/>
    <d v="1899-12-30T00:00:00"/>
    <d v="2021-09-08T00:00:00"/>
    <d v="2021-10-29T00:00:00"/>
    <x v="611"/>
    <d v="2021-11-02T00:00:00"/>
    <m/>
    <x v="637"/>
    <n v="11"/>
    <n v="2021"/>
    <x v="0"/>
    <x v="0"/>
    <s v="ALEXANDRIA / EGIPTO"/>
    <x v="0"/>
    <m/>
    <x v="8"/>
    <x v="952"/>
    <d v="2021-09-03T00:00:00"/>
    <s v="SEAMAX NORWALK"/>
    <x v="193"/>
    <x v="6"/>
    <m/>
    <s v="PENDIENTE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1309"/>
    <m/>
    <x v="1087"/>
    <m/>
    <d v="1899-12-30T00:00:00"/>
    <d v="2021-11-18T00:00:00"/>
    <s v="CERRADO"/>
    <n v="206971"/>
    <x v="3"/>
    <x v="58"/>
    <x v="594"/>
    <d v="2020-12-23T00:00:00"/>
    <n v="30"/>
    <s v="días BL"/>
    <s v="STL110108130"/>
    <m/>
    <d v="2021-10-17T00:00:00"/>
    <s v="CANCELADO"/>
    <s v="CFR"/>
    <m/>
    <x v="86"/>
    <n v="440"/>
    <m/>
    <x v="48"/>
    <x v="20"/>
    <s v="Contenedor 20'"/>
    <m/>
    <s v="25 kg"/>
    <m/>
    <m/>
    <s v="MARZO '21"/>
    <x v="0"/>
    <d v="1899-12-30T00:00:00"/>
    <d v="2021-09-17T00:00:00"/>
    <d v="2021-11-12T00:00:00"/>
    <x v="612"/>
    <d v="2021-11-16T00:00:00"/>
    <m/>
    <x v="638"/>
    <n v="11"/>
    <n v="2021"/>
    <x v="0"/>
    <x v="0"/>
    <s v="ALEXANDRIA / EGIPTO"/>
    <x v="0"/>
    <m/>
    <x v="2"/>
    <x v="953"/>
    <d v="2021-09-17T00:00:00"/>
    <s v="CAP SAN SOUNIO"/>
    <x v="193"/>
    <x v="6"/>
    <m/>
    <s v="PENDIENTE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1310"/>
    <m/>
    <x v="1088"/>
    <m/>
    <d v="2022-01-19T00:00:00"/>
    <d v="2022-01-19T00:00:00"/>
    <s v="CERRADO"/>
    <n v="206971"/>
    <x v="3"/>
    <x v="58"/>
    <x v="595"/>
    <d v="2020-12-23T00:00:00"/>
    <n v="30"/>
    <s v="días BL"/>
    <s v="STL110108235"/>
    <m/>
    <d v="2021-12-24T00:00:00"/>
    <s v="CANCELADO"/>
    <s v="CFR"/>
    <m/>
    <x v="520"/>
    <n v="457"/>
    <m/>
    <x v="1128"/>
    <x v="9"/>
    <s v="Contenedor 20'"/>
    <m/>
    <s v="25 kg"/>
    <m/>
    <m/>
    <s v="MARZO '21"/>
    <x v="0"/>
    <d v="2021-11-24T00:00:00"/>
    <d v="2021-11-24T00:00:00"/>
    <d v="2022-01-14T00:00:00"/>
    <x v="613"/>
    <d v="2022-01-18T00:00:00"/>
    <m/>
    <x v="639"/>
    <n v="1"/>
    <n v="2022"/>
    <x v="0"/>
    <x v="0"/>
    <s v="ALEXANDRIA / EGIPTO"/>
    <x v="0"/>
    <m/>
    <x v="2"/>
    <x v="954"/>
    <d v="2021-11-24T00:00:00"/>
    <s v=" CAP SAN TAINARO"/>
    <x v="308"/>
    <x v="6"/>
    <m/>
    <s v="PENDIENTE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1311"/>
    <m/>
    <x v="1089"/>
    <m/>
    <d v="2022-02-02T00:00:00"/>
    <d v="2022-02-02T00:00:00"/>
    <s v="CERRADO"/>
    <n v="206971"/>
    <x v="3"/>
    <x v="58"/>
    <x v="595"/>
    <d v="2020-12-23T00:00:00"/>
    <n v="30"/>
    <s v="días BL"/>
    <s v="STL110108235"/>
    <m/>
    <d v="2021-12-24T00:00:00"/>
    <s v="CANCELADO"/>
    <s v="CFR"/>
    <m/>
    <x v="145"/>
    <n v="457"/>
    <m/>
    <x v="1129"/>
    <x v="1"/>
    <s v="Contenedor 40'"/>
    <m/>
    <s v="25 kg"/>
    <m/>
    <m/>
    <s v="MARZO '21"/>
    <x v="0"/>
    <d v="2021-11-24T00:00:00"/>
    <d v="2021-11-24T00:00:00"/>
    <d v="2022-01-28T00:00:00"/>
    <x v="614"/>
    <d v="2022-02-01T00:00:00"/>
    <m/>
    <x v="640"/>
    <n v="2"/>
    <n v="2022"/>
    <x v="0"/>
    <x v="0"/>
    <s v="ALEXANDRIA / EGIPTO"/>
    <x v="0"/>
    <m/>
    <x v="2"/>
    <x v="955"/>
    <d v="2021-11-24T00:00:00"/>
    <s v=" CAP SAN TAINARO"/>
    <x v="308"/>
    <x v="6"/>
    <m/>
    <s v="PENDIENTE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0"/>
    <s v="S-S"/>
    <x v="0"/>
    <x v="0"/>
    <m/>
    <m/>
    <x v="1312"/>
    <m/>
    <x v="1090"/>
    <m/>
    <m/>
    <m/>
    <s v="CERRADO"/>
    <n v="206971"/>
    <x v="3"/>
    <x v="58"/>
    <x v="596"/>
    <d v="2020-12-23T00:00:00"/>
    <n v="30"/>
    <s v="días BL"/>
    <s v="STL0110107772"/>
    <m/>
    <d v="2021-05-25T00:00:00"/>
    <s v="CANCELADO"/>
    <s v="CFR"/>
    <m/>
    <x v="36"/>
    <n v="440"/>
    <m/>
    <x v="1130"/>
    <x v="6"/>
    <s v="Contenedor 20'"/>
    <m/>
    <s v="25 kg"/>
    <m/>
    <m/>
    <s v="MARZO '21"/>
    <x v="0"/>
    <m/>
    <d v="2021-06-08T00:00:00"/>
    <m/>
    <x v="615"/>
    <d v="2021-06-23T00:00:00"/>
    <m/>
    <x v="641"/>
    <n v="7"/>
    <n v="2021"/>
    <x v="0"/>
    <x v="0"/>
    <s v="ALEXANDRIA / EGIPTO"/>
    <x v="0"/>
    <m/>
    <x v="2"/>
    <x v="956"/>
    <d v="2021-04-08T00:00:00"/>
    <s v="WADI ALRAYAN"/>
    <x v="222"/>
    <x v="6"/>
    <m/>
    <s v="REALIZADO"/>
    <s v="DESTINO"/>
    <m/>
    <m/>
    <m/>
    <x v="0"/>
    <m/>
    <m/>
    <x v="0"/>
    <x v="0"/>
    <m/>
    <m/>
    <x v="0"/>
    <e v="#REF!"/>
    <m/>
    <m/>
    <m/>
    <m/>
    <m/>
    <x v="0"/>
    <s v="anulada: 8000001362"/>
    <m/>
    <m/>
    <m/>
    <s v="NACIONALIZADO"/>
    <m/>
    <m/>
    <m/>
  </r>
  <r>
    <n v="2021"/>
    <e v="#N/A"/>
    <x v="0"/>
    <x v="0"/>
    <m/>
    <m/>
    <x v="1313"/>
    <m/>
    <x v="1091"/>
    <m/>
    <m/>
    <m/>
    <s v="CERRADO"/>
    <n v="209878"/>
    <x v="132"/>
    <x v="49"/>
    <x v="72"/>
    <d v="2021-01-08T00:00:00"/>
    <n v="90"/>
    <s v="días BL"/>
    <s v="DEX 0046/02/2021"/>
    <m/>
    <d v="2021-05-21T00:00:00"/>
    <s v="CANCELADO"/>
    <s v="CIF"/>
    <m/>
    <x v="521"/>
    <n v="4680"/>
    <m/>
    <x v="1131"/>
    <x v="11"/>
    <s v="Contenedor 20'"/>
    <m/>
    <s v="5 kg"/>
    <m/>
    <m/>
    <s v="2H FEBRERO '21"/>
    <x v="0"/>
    <m/>
    <m/>
    <m/>
    <x v="616"/>
    <m/>
    <m/>
    <x v="642"/>
    <n v="3"/>
    <n v="2021"/>
    <x v="0"/>
    <x v="0"/>
    <s v="GDYNIA / POLONIA"/>
    <x v="2"/>
    <m/>
    <x v="1"/>
    <x v="957"/>
    <d v="2021-02-19T00:00:00"/>
    <s v="ALRAYAN"/>
    <x v="30"/>
    <x v="14"/>
    <m/>
    <s v="REALIZADO"/>
    <s v="ORIGEN"/>
    <m/>
    <m/>
    <m/>
    <x v="0"/>
    <m/>
    <m/>
    <x v="0"/>
    <x v="0"/>
    <m/>
    <m/>
    <x v="0"/>
    <e v="#REF!"/>
    <m/>
    <m/>
    <m/>
    <m/>
    <m/>
    <x v="0"/>
    <s v="anulada: 8000001187/8000001188"/>
    <m/>
    <m/>
    <m/>
    <s v="NACIONALIZADO"/>
    <m/>
    <m/>
    <m/>
  </r>
  <r>
    <n v="2021"/>
    <s v="G-S"/>
    <x v="0"/>
    <x v="0"/>
    <m/>
    <m/>
    <x v="1314"/>
    <m/>
    <x v="1092"/>
    <m/>
    <m/>
    <m/>
    <s v="CERRADO"/>
    <n v="207791"/>
    <x v="7"/>
    <x v="57"/>
    <x v="597"/>
    <d v="2021-01-11T00:00:00"/>
    <n v="120"/>
    <s v="días BL"/>
    <s v="7300161038"/>
    <m/>
    <d v="2021-06-18T00:00:00"/>
    <s v="CANCELADO"/>
    <s v="CPT"/>
    <m/>
    <x v="522"/>
    <n v="255"/>
    <m/>
    <x v="1132"/>
    <x v="21"/>
    <s v="Contenedor 20'"/>
    <m/>
    <s v="Granel Sólido"/>
    <m/>
    <m/>
    <s v="2H ENERO '21"/>
    <x v="0"/>
    <m/>
    <m/>
    <m/>
    <x v="617"/>
    <m/>
    <m/>
    <x v="593"/>
    <n v="3"/>
    <n v="2021"/>
    <x v="0"/>
    <x v="0"/>
    <s v="HAMBURGO / ALEMANIA"/>
    <x v="0"/>
    <m/>
    <x v="2"/>
    <x v="958"/>
    <d v="2021-02-18T00:00:00"/>
    <s v="COSCO SHIPPING DANUBE"/>
    <x v="217"/>
    <x v="9"/>
    <m/>
    <s v="REALIZADO"/>
    <s v="SWB"/>
    <m/>
    <m/>
    <m/>
    <x v="0"/>
    <d v="2021-03-24T00:00:00"/>
    <m/>
    <x v="0"/>
    <x v="0"/>
    <m/>
    <m/>
    <x v="0"/>
    <e v="#REF!"/>
    <m/>
    <m/>
    <m/>
    <m/>
    <m/>
    <x v="0"/>
    <s v="anulada: 8000001193"/>
    <m/>
    <m/>
    <m/>
    <s v="NACIONALIZADO"/>
    <m/>
    <m/>
    <m/>
  </r>
  <r>
    <n v="2021"/>
    <s v="E-S"/>
    <x v="0"/>
    <x v="0"/>
    <m/>
    <m/>
    <x v="1315"/>
    <m/>
    <x v="1093"/>
    <m/>
    <m/>
    <m/>
    <s v="CERRADO"/>
    <n v="208053"/>
    <x v="53"/>
    <x v="36"/>
    <x v="598"/>
    <d v="2021-01-13T00:00:00"/>
    <n v="120"/>
    <s v="días BL"/>
    <s v="10 478"/>
    <m/>
    <d v="2021-07-17T00:00:00"/>
    <s v="CANCELADO"/>
    <s v="CIF"/>
    <m/>
    <x v="8"/>
    <n v="358"/>
    <m/>
    <x v="1133"/>
    <x v="3"/>
    <s v="Granel - BB"/>
    <m/>
    <s v="Bigbag"/>
    <m/>
    <m/>
    <s v="2H ENERO '21"/>
    <x v="0"/>
    <m/>
    <m/>
    <m/>
    <x v="618"/>
    <m/>
    <m/>
    <x v="643"/>
    <n v="6"/>
    <n v="2021"/>
    <x v="0"/>
    <x v="0"/>
    <s v="BAYUQUAN / CHINA"/>
    <x v="2"/>
    <m/>
    <x v="1"/>
    <x v="959"/>
    <d v="2021-03-19T00:00:00"/>
    <s v="MV KOUSHUN"/>
    <x v="309"/>
    <x v="0"/>
    <m/>
    <s v="REALIZADO"/>
    <s v="ORIGEN"/>
    <m/>
    <m/>
    <m/>
    <x v="0"/>
    <m/>
    <m/>
    <x v="0"/>
    <x v="0"/>
    <m/>
    <m/>
    <x v="0"/>
    <e v="#REF!"/>
    <m/>
    <m/>
    <m/>
    <m/>
    <m/>
    <x v="0"/>
    <s v="anulada: 8000001195"/>
    <m/>
    <m/>
    <m/>
    <s v="NACIONALIZADO"/>
    <m/>
    <m/>
    <m/>
  </r>
  <r>
    <n v="2021"/>
    <s v="E-S"/>
    <x v="0"/>
    <x v="0"/>
    <m/>
    <m/>
    <x v="1316"/>
    <m/>
    <x v="1094"/>
    <m/>
    <m/>
    <m/>
    <s v="CERRADO"/>
    <n v="204826"/>
    <x v="48"/>
    <x v="18"/>
    <x v="599"/>
    <d v="2021-01-18T00:00:00"/>
    <s v="CAD"/>
    <m/>
    <s v="21CH-40100802"/>
    <m/>
    <d v="2021-03-05T00:00:00"/>
    <s v="CANCELADO"/>
    <s v="CFR"/>
    <m/>
    <x v="523"/>
    <n v="365"/>
    <m/>
    <x v="1134"/>
    <x v="50"/>
    <s v="Cnt '40- BB"/>
    <m/>
    <s v="Granel Sólido"/>
    <m/>
    <m/>
    <s v="2H FEBRERO - 1H MARZO"/>
    <x v="0"/>
    <m/>
    <m/>
    <m/>
    <x v="619"/>
    <m/>
    <m/>
    <x v="644"/>
    <n v="4"/>
    <n v="2021"/>
    <x v="0"/>
    <x v="0"/>
    <s v="ST. PETERSBURG / RUSSIA"/>
    <x v="2"/>
    <m/>
    <x v="6"/>
    <x v="960"/>
    <d v="2021-02-27T00:00:00"/>
    <s v="VENTA MAERSK"/>
    <x v="240"/>
    <x v="3"/>
    <m/>
    <s v="REALIZADO"/>
    <s v="SWB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E-S"/>
    <x v="0"/>
    <x v="0"/>
    <m/>
    <m/>
    <x v="1317"/>
    <m/>
    <x v="1095"/>
    <m/>
    <m/>
    <m/>
    <s v="CERRADO"/>
    <n v="204826"/>
    <x v="48"/>
    <x v="18"/>
    <x v="599"/>
    <d v="2021-01-18T00:00:00"/>
    <s v="CAD"/>
    <m/>
    <s v="21CH-40100802"/>
    <m/>
    <d v="2021-03-05T00:00:00"/>
    <s v="CANCELADO"/>
    <s v="CFR"/>
    <m/>
    <x v="524"/>
    <n v="365"/>
    <m/>
    <x v="1135"/>
    <x v="7"/>
    <s v="Cnt '40- BB"/>
    <m/>
    <s v="Granel Sólido"/>
    <m/>
    <m/>
    <s v="2H FEBRERO - 1H MARZO"/>
    <x v="0"/>
    <m/>
    <m/>
    <m/>
    <x v="620"/>
    <m/>
    <m/>
    <x v="645"/>
    <n v="6"/>
    <n v="2021"/>
    <x v="0"/>
    <x v="0"/>
    <s v="ST. PETERSBURG / RUSSIA"/>
    <x v="2"/>
    <m/>
    <x v="1"/>
    <x v="960"/>
    <d v="2021-02-27T00:00:00"/>
    <s v="VENTA MAERSK"/>
    <x v="241"/>
    <x v="3"/>
    <m/>
    <s v="REALIZADO"/>
    <s v="SWB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318"/>
    <m/>
    <x v="1096"/>
    <m/>
    <m/>
    <m/>
    <s v="CERRADO"/>
    <n v="208067"/>
    <x v="115"/>
    <x v="53"/>
    <x v="600"/>
    <s v="ENERO '21"/>
    <n v="30"/>
    <s v="días FACT."/>
    <s v="F200-43059"/>
    <m/>
    <d v="2021-02-24T00:00:00"/>
    <s v="CANCELADO"/>
    <s v="CFR"/>
    <m/>
    <x v="4"/>
    <n v="230"/>
    <m/>
    <x v="204"/>
    <x v="38"/>
    <s v="Contenedor 20'"/>
    <m/>
    <s v="25 kg"/>
    <m/>
    <m/>
    <s v="ENERO '21"/>
    <x v="0"/>
    <m/>
    <m/>
    <m/>
    <x v="621"/>
    <m/>
    <m/>
    <x v="629"/>
    <n v="2"/>
    <n v="2021"/>
    <x v="0"/>
    <x v="0"/>
    <s v="CARTAGENA / COLOMBIA"/>
    <x v="0"/>
    <m/>
    <x v="5"/>
    <x v="961"/>
    <d v="2021-01-22T00:00:00"/>
    <s v="LIMARI"/>
    <x v="217"/>
    <x v="9"/>
    <m/>
    <s v="REALIZADO"/>
    <s v="SWB"/>
    <m/>
    <m/>
    <m/>
    <x v="0"/>
    <d v="2021-02-16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S"/>
    <x v="0"/>
    <x v="1"/>
    <s v="URGENTE"/>
    <m/>
    <x v="1319"/>
    <m/>
    <x v="34"/>
    <m/>
    <m/>
    <m/>
    <m/>
    <m/>
    <x v="9"/>
    <x v="27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1"/>
    <s v="S-P"/>
    <x v="0"/>
    <x v="0"/>
    <m/>
    <m/>
    <x v="1320"/>
    <m/>
    <x v="1097"/>
    <m/>
    <m/>
    <m/>
    <s v="CERRADO"/>
    <n v="206766"/>
    <x v="10"/>
    <x v="37"/>
    <x v="601"/>
    <d v="2021-01-20T00:00:00"/>
    <n v="90"/>
    <s v="días BL"/>
    <s v="34470"/>
    <m/>
    <d v="2021-05-26T00:00:00"/>
    <s v="CANCELADO"/>
    <s v="CFR"/>
    <m/>
    <x v="507"/>
    <n v="944.24"/>
    <m/>
    <x v="1136"/>
    <x v="36"/>
    <s v="Contenedor 20'"/>
    <m/>
    <s v="50 kg"/>
    <m/>
    <m/>
    <s v="FEBRERO '21"/>
    <x v="0"/>
    <m/>
    <m/>
    <m/>
    <x v="584"/>
    <m/>
    <m/>
    <x v="607"/>
    <n v="4"/>
    <n v="2021"/>
    <x v="0"/>
    <x v="0"/>
    <s v="VERACRUZ / MEXICO"/>
    <x v="0"/>
    <m/>
    <x v="2"/>
    <x v="962"/>
    <d v="2021-02-25T00:00:00"/>
    <s v="TOLTEN"/>
    <x v="310"/>
    <x v="2"/>
    <m/>
    <s v="REALIZADO"/>
    <s v="DESTINO"/>
    <m/>
    <m/>
    <m/>
    <x v="0"/>
    <d v="2021-04-20T00:00:00"/>
    <m/>
    <x v="1"/>
    <x v="1"/>
    <s v="SADA DD"/>
    <s v="VERDE"/>
    <x v="0"/>
    <e v="#REF!"/>
    <m/>
    <m/>
    <m/>
    <m/>
    <m/>
    <x v="0"/>
    <m/>
    <m/>
    <m/>
    <m/>
    <s v="NACIONALIZADO"/>
    <m/>
    <m/>
    <m/>
  </r>
  <r>
    <n v="2021"/>
    <s v="S-P"/>
    <x v="0"/>
    <x v="2"/>
    <m/>
    <m/>
    <x v="1321"/>
    <m/>
    <x v="34"/>
    <m/>
    <m/>
    <m/>
    <m/>
    <m/>
    <x v="10"/>
    <x v="37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1"/>
    <s v="S-P"/>
    <x v="0"/>
    <x v="0"/>
    <m/>
    <m/>
    <x v="1322"/>
    <m/>
    <x v="1098"/>
    <m/>
    <m/>
    <m/>
    <s v="CERRADO"/>
    <n v="206766"/>
    <x v="10"/>
    <x v="37"/>
    <x v="601"/>
    <d v="2021-01-20T00:00:00"/>
    <n v="90"/>
    <s v="días BL"/>
    <s v="35018"/>
    <m/>
    <d v="2021-07-07T00:00:00"/>
    <s v="CANCELADO"/>
    <s v="CFR"/>
    <m/>
    <x v="249"/>
    <n v="944.24"/>
    <m/>
    <x v="1137"/>
    <x v="9"/>
    <s v="Contenedor 20'"/>
    <m/>
    <s v="50 kg"/>
    <m/>
    <m/>
    <s v="MARZO '21 - ABRIL '21"/>
    <x v="0"/>
    <m/>
    <m/>
    <m/>
    <x v="622"/>
    <m/>
    <m/>
    <x v="646"/>
    <n v="5"/>
    <n v="2021"/>
    <x v="0"/>
    <x v="0"/>
    <s v="VERACRUZ / MEXICO"/>
    <x v="0"/>
    <m/>
    <x v="2"/>
    <x v="963"/>
    <d v="2021-04-08T00:00:00"/>
    <s v="TUCUPEL"/>
    <x v="310"/>
    <x v="2"/>
    <m/>
    <s v="REALIZADO"/>
    <s v="DESTINO"/>
    <m/>
    <m/>
    <m/>
    <x v="0"/>
    <d v="2021-05-16T00:00:00"/>
    <m/>
    <x v="1"/>
    <x v="1"/>
    <s v="SADA DD"/>
    <s v="VERDE"/>
    <x v="0"/>
    <e v="#REF!"/>
    <m/>
    <m/>
    <m/>
    <m/>
    <m/>
    <x v="0"/>
    <m/>
    <m/>
    <m/>
    <m/>
    <s v="NACIONALIZADO"/>
    <m/>
    <m/>
    <m/>
  </r>
  <r>
    <n v="2021"/>
    <s v="S-P"/>
    <x v="0"/>
    <x v="0"/>
    <m/>
    <m/>
    <x v="1323"/>
    <m/>
    <x v="1099"/>
    <m/>
    <m/>
    <m/>
    <s v="CERRADO"/>
    <n v="206766"/>
    <x v="10"/>
    <x v="37"/>
    <x v="601"/>
    <d v="2021-01-20T00:00:00"/>
    <n v="90"/>
    <s v="días BL"/>
    <s v="34825"/>
    <m/>
    <d v="2021-06-23T00:00:00"/>
    <s v="CANCELADO"/>
    <s v="CFR"/>
    <m/>
    <x v="60"/>
    <n v="944.24"/>
    <m/>
    <x v="1138"/>
    <x v="8"/>
    <s v="Contenedor 20'"/>
    <m/>
    <s v="50 kg"/>
    <m/>
    <m/>
    <s v="MARZO '21"/>
    <x v="0"/>
    <m/>
    <m/>
    <m/>
    <x v="623"/>
    <m/>
    <m/>
    <x v="647"/>
    <n v="4"/>
    <n v="2021"/>
    <x v="0"/>
    <x v="0"/>
    <s v="VERACRUZ / MEXICO"/>
    <x v="0"/>
    <m/>
    <x v="2"/>
    <x v="964"/>
    <d v="2021-03-25T00:00:00"/>
    <s v="TIRUA"/>
    <x v="310"/>
    <x v="2"/>
    <m/>
    <s v="REALIZADO"/>
    <s v="DESTINO"/>
    <m/>
    <m/>
    <m/>
    <x v="0"/>
    <d v="2021-05-04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P"/>
    <x v="0"/>
    <x v="0"/>
    <m/>
    <m/>
    <x v="1324"/>
    <m/>
    <x v="1100"/>
    <m/>
    <m/>
    <m/>
    <s v="CERRADO"/>
    <n v="206766"/>
    <x v="10"/>
    <x v="37"/>
    <x v="601"/>
    <d v="2021-01-20T00:00:00"/>
    <n v="90"/>
    <s v="días BL"/>
    <s v="34344"/>
    <m/>
    <d v="2021-05-26T00:00:00"/>
    <s v="CANCELADO"/>
    <s v="CFR"/>
    <m/>
    <x v="136"/>
    <n v="920.83"/>
    <m/>
    <x v="1139"/>
    <x v="16"/>
    <s v="Contenedor 20'"/>
    <m/>
    <s v="50 kg"/>
    <m/>
    <m/>
    <s v="FEBRERO '21"/>
    <x v="0"/>
    <m/>
    <m/>
    <m/>
    <x v="624"/>
    <m/>
    <m/>
    <x v="648"/>
    <n v="4"/>
    <n v="2021"/>
    <x v="0"/>
    <x v="0"/>
    <s v="VERACRUZ / MEXICO"/>
    <x v="2"/>
    <m/>
    <x v="6"/>
    <x v="965"/>
    <d v="2021-02-25T00:00:00"/>
    <s v="MOLLY SCHULTE "/>
    <x v="155"/>
    <x v="2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P"/>
    <x v="0"/>
    <x v="0"/>
    <m/>
    <m/>
    <x v="1325"/>
    <m/>
    <x v="1101"/>
    <m/>
    <m/>
    <m/>
    <s v="CERRADO"/>
    <n v="206766"/>
    <x v="10"/>
    <x v="37"/>
    <x v="602"/>
    <d v="2021-01-21T00:00:00"/>
    <n v="90"/>
    <s v="días BL"/>
    <s v="34782"/>
    <m/>
    <d v="2021-06-23T00:00:00"/>
    <s v="CANCELADO"/>
    <s v="CFR"/>
    <m/>
    <x v="222"/>
    <n v="1002"/>
    <m/>
    <x v="1140"/>
    <x v="10"/>
    <s v="Contenedor 20'"/>
    <m/>
    <s v="50 kg"/>
    <m/>
    <m/>
    <s v="MARZO '21"/>
    <x v="0"/>
    <m/>
    <m/>
    <m/>
    <x v="623"/>
    <m/>
    <m/>
    <x v="649"/>
    <n v="4"/>
    <n v="2021"/>
    <x v="0"/>
    <x v="0"/>
    <s v="VERACRUZ / MEXICO"/>
    <x v="0"/>
    <m/>
    <x v="1"/>
    <x v="966"/>
    <d v="2021-03-25T00:00:00"/>
    <s v="TIRUA"/>
    <x v="310"/>
    <x v="2"/>
    <m/>
    <s v="REALIZADO"/>
    <s v="DESTINO"/>
    <m/>
    <m/>
    <m/>
    <x v="0"/>
    <d v="2021-05-04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P"/>
    <x v="0"/>
    <x v="0"/>
    <m/>
    <m/>
    <x v="1326"/>
    <m/>
    <x v="1102"/>
    <m/>
    <m/>
    <m/>
    <s v="CERRADO"/>
    <n v="206766"/>
    <x v="10"/>
    <x v="37"/>
    <x v="602"/>
    <d v="2021-01-21T00:00:00"/>
    <n v="90"/>
    <s v="días BL"/>
    <s v="35100"/>
    <m/>
    <d v="2021-07-21T00:00:00"/>
    <s v="CANCELADO"/>
    <s v="CFR"/>
    <m/>
    <x v="249"/>
    <n v="1002"/>
    <m/>
    <x v="1141"/>
    <x v="9"/>
    <s v="Contenedor 20'"/>
    <m/>
    <s v="50 kg"/>
    <m/>
    <m/>
    <s v="ABRIL '21"/>
    <x v="0"/>
    <m/>
    <m/>
    <m/>
    <x v="625"/>
    <m/>
    <m/>
    <x v="650"/>
    <n v="5"/>
    <n v="2021"/>
    <x v="0"/>
    <x v="0"/>
    <s v="VERACRUZ / MEXICO"/>
    <x v="0"/>
    <m/>
    <x v="2"/>
    <x v="967"/>
    <d v="2021-04-22T00:00:00"/>
    <s v="TOLTEN"/>
    <x v="310"/>
    <x v="2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P"/>
    <x v="0"/>
    <x v="0"/>
    <m/>
    <m/>
    <x v="1327"/>
    <m/>
    <x v="1103"/>
    <m/>
    <m/>
    <m/>
    <s v="CERRADO"/>
    <n v="206766"/>
    <x v="10"/>
    <x v="37"/>
    <x v="602"/>
    <d v="2021-01-21T00:00:00"/>
    <n v="90"/>
    <s v="días BL"/>
    <s v="35893"/>
    <m/>
    <d v="2021-09-08T00:00:00"/>
    <s v="CANCELADO"/>
    <s v="CFR"/>
    <m/>
    <x v="60"/>
    <n v="1002"/>
    <m/>
    <x v="1142"/>
    <x v="8"/>
    <s v="Contenedor 20'"/>
    <m/>
    <s v="50 kg"/>
    <m/>
    <m/>
    <s v="MAYO '21"/>
    <x v="0"/>
    <m/>
    <m/>
    <m/>
    <x v="626"/>
    <m/>
    <m/>
    <x v="651"/>
    <n v="7"/>
    <n v="2021"/>
    <x v="0"/>
    <x v="0"/>
    <s v="VERACRUZ / MEXICO"/>
    <x v="0"/>
    <m/>
    <x v="2"/>
    <x v="968"/>
    <d v="2021-06-10T00:00:00"/>
    <s v="TEMPANO"/>
    <x v="310"/>
    <x v="2"/>
    <m/>
    <s v="REALIZADO"/>
    <s v="DESTINO"/>
    <m/>
    <m/>
    <m/>
    <x v="0"/>
    <d v="2021-07-24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P"/>
    <x v="0"/>
    <x v="0"/>
    <m/>
    <m/>
    <x v="1328"/>
    <m/>
    <x v="1104"/>
    <m/>
    <m/>
    <m/>
    <s v="CERRADO"/>
    <n v="206766"/>
    <x v="10"/>
    <x v="37"/>
    <x v="602"/>
    <d v="2021-01-21T00:00:00"/>
    <n v="90"/>
    <s v="días BL"/>
    <s v="34826"/>
    <m/>
    <d v="2021-07-02T00:00:00"/>
    <s v="CANCELADO"/>
    <s v="CFR"/>
    <m/>
    <x v="60"/>
    <n v="980"/>
    <m/>
    <x v="1143"/>
    <x v="8"/>
    <s v="Contenedor 20'"/>
    <m/>
    <s v="50 kg"/>
    <m/>
    <m/>
    <s v="MARZO '21"/>
    <x v="0"/>
    <m/>
    <m/>
    <m/>
    <x v="627"/>
    <m/>
    <m/>
    <x v="646"/>
    <n v="5"/>
    <n v="2021"/>
    <x v="0"/>
    <x v="0"/>
    <s v="VERACRUZ / MEXICO"/>
    <x v="2"/>
    <m/>
    <x v="6"/>
    <x v="969"/>
    <d v="2021-04-03T00:00:00"/>
    <s v="TORRENTE"/>
    <x v="311"/>
    <x v="2"/>
    <m/>
    <s v="REALIZADO"/>
    <s v="DESTINO"/>
    <m/>
    <m/>
    <m/>
    <x v="0"/>
    <d v="2021-05-14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P"/>
    <x v="0"/>
    <x v="0"/>
    <m/>
    <m/>
    <x v="1329"/>
    <m/>
    <x v="1105"/>
    <m/>
    <m/>
    <m/>
    <s v="CERRADO"/>
    <n v="206766"/>
    <x v="10"/>
    <x v="37"/>
    <x v="602"/>
    <d v="2021-01-21T00:00:00"/>
    <n v="90"/>
    <s v="días BL"/>
    <s v="35128"/>
    <m/>
    <d v="2021-07-21T00:00:00"/>
    <s v="CANCELADO"/>
    <s v="CFR"/>
    <m/>
    <x v="140"/>
    <n v="980"/>
    <m/>
    <x v="1144"/>
    <x v="22"/>
    <s v="Contenedor 20'"/>
    <m/>
    <s v="50 kg"/>
    <m/>
    <m/>
    <s v="ABRIL '21"/>
    <x v="0"/>
    <m/>
    <m/>
    <m/>
    <x v="628"/>
    <m/>
    <m/>
    <x v="652"/>
    <n v="6"/>
    <n v="2021"/>
    <x v="0"/>
    <x v="0"/>
    <s v="VERACRUZ / MEXICO"/>
    <x v="2"/>
    <m/>
    <x v="6"/>
    <x v="970"/>
    <d v="2021-04-22T00:00:00"/>
    <s v="TOLTEN"/>
    <x v="39"/>
    <x v="2"/>
    <m/>
    <s v="REALIZADO"/>
    <s v="DESTINO"/>
    <m/>
    <m/>
    <m/>
    <x v="0"/>
    <d v="2021-06-06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P"/>
    <x v="0"/>
    <x v="0"/>
    <m/>
    <m/>
    <x v="1330"/>
    <m/>
    <x v="1106"/>
    <m/>
    <m/>
    <m/>
    <s v="CERRADO"/>
    <n v="206766"/>
    <x v="10"/>
    <x v="37"/>
    <x v="602"/>
    <d v="2021-01-21T00:00:00"/>
    <n v="90"/>
    <s v="días BL"/>
    <s v="36112"/>
    <m/>
    <d v="2021-09-24T00:00:00"/>
    <s v="CANCELADO"/>
    <s v="CFR"/>
    <m/>
    <x v="136"/>
    <n v="980"/>
    <m/>
    <x v="1053"/>
    <x v="16"/>
    <s v="Contenedor 20'"/>
    <m/>
    <s v="50 kg"/>
    <m/>
    <m/>
    <s v="MAYO '21"/>
    <x v="0"/>
    <m/>
    <m/>
    <m/>
    <x v="629"/>
    <m/>
    <m/>
    <x v="653"/>
    <n v="7"/>
    <n v="2021"/>
    <x v="0"/>
    <x v="0"/>
    <s v="VERACRUZ / MEXICO"/>
    <x v="2"/>
    <m/>
    <x v="6"/>
    <x v="971"/>
    <d v="2021-06-26T00:00:00"/>
    <s v="MSC BARCELONA"/>
    <x v="39"/>
    <x v="2"/>
    <m/>
    <s v="REALIZADO"/>
    <s v="DESTINO"/>
    <m/>
    <m/>
    <m/>
    <x v="0"/>
    <d v="2021-08-09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S"/>
    <x v="0"/>
    <x v="0"/>
    <m/>
    <m/>
    <x v="1331"/>
    <m/>
    <x v="1107"/>
    <m/>
    <d v="2022-01-11T00:00:00"/>
    <d v="2022-01-11T00:00:00"/>
    <s v="CERRADO"/>
    <n v="206971"/>
    <x v="3"/>
    <x v="58"/>
    <x v="603"/>
    <d v="2021-01-22T00:00:00"/>
    <n v="30"/>
    <s v="días BL"/>
    <s v="STL110108219"/>
    <m/>
    <d v="2021-12-23T00:00:00"/>
    <s v="CANCELADO"/>
    <s v="CFR"/>
    <m/>
    <x v="525"/>
    <n v="453"/>
    <m/>
    <x v="1145"/>
    <x v="16"/>
    <s v="Contenedor 20'"/>
    <m/>
    <s v="25 kg"/>
    <m/>
    <m/>
    <s v="2H MAR '21"/>
    <x v="0"/>
    <d v="2021-11-23T00:00:00"/>
    <d v="2021-11-23T00:00:00"/>
    <e v="#REF!"/>
    <x v="630"/>
    <d v="2022-01-11T00:00:00"/>
    <m/>
    <x v="654"/>
    <n v="1"/>
    <n v="2022"/>
    <x v="0"/>
    <x v="0"/>
    <s v="ALEXANDRIA / EGIPTO"/>
    <x v="2"/>
    <m/>
    <x v="3"/>
    <x v="972"/>
    <d v="2021-11-23T00:00:00"/>
    <s v="WADI ALRAYAN"/>
    <x v="260"/>
    <x v="6"/>
    <m/>
    <s v="PENDIENTE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S"/>
    <x v="0"/>
    <x v="1"/>
    <m/>
    <m/>
    <x v="1332"/>
    <m/>
    <x v="34"/>
    <m/>
    <m/>
    <m/>
    <m/>
    <m/>
    <x v="3"/>
    <x v="58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1"/>
    <s v="S-S"/>
    <x v="0"/>
    <x v="1"/>
    <m/>
    <m/>
    <x v="1333"/>
    <m/>
    <x v="34"/>
    <m/>
    <m/>
    <m/>
    <m/>
    <m/>
    <x v="3"/>
    <x v="58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1"/>
    <s v="S-S"/>
    <x v="0"/>
    <x v="1"/>
    <m/>
    <m/>
    <x v="1334"/>
    <m/>
    <x v="34"/>
    <m/>
    <m/>
    <m/>
    <m/>
    <m/>
    <x v="3"/>
    <x v="58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1"/>
    <s v="S-S"/>
    <x v="0"/>
    <x v="1"/>
    <m/>
    <m/>
    <x v="1335"/>
    <m/>
    <x v="34"/>
    <m/>
    <m/>
    <m/>
    <m/>
    <m/>
    <x v="3"/>
    <x v="58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1"/>
    <s v="S-S"/>
    <x v="0"/>
    <x v="1"/>
    <m/>
    <m/>
    <x v="1336"/>
    <m/>
    <x v="34"/>
    <m/>
    <m/>
    <m/>
    <m/>
    <m/>
    <x v="3"/>
    <x v="58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1"/>
    <s v="S-S"/>
    <x v="0"/>
    <x v="1"/>
    <m/>
    <m/>
    <x v="1337"/>
    <m/>
    <x v="34"/>
    <m/>
    <m/>
    <m/>
    <m/>
    <m/>
    <x v="3"/>
    <x v="58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1"/>
    <s v="S-S"/>
    <x v="0"/>
    <x v="1"/>
    <m/>
    <m/>
    <x v="1338"/>
    <m/>
    <x v="34"/>
    <m/>
    <m/>
    <m/>
    <m/>
    <m/>
    <x v="3"/>
    <x v="58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1"/>
    <s v="S-S"/>
    <x v="0"/>
    <x v="1"/>
    <m/>
    <m/>
    <x v="1339"/>
    <m/>
    <x v="34"/>
    <m/>
    <m/>
    <m/>
    <m/>
    <m/>
    <x v="3"/>
    <x v="58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1"/>
    <s v="S-S"/>
    <x v="0"/>
    <x v="1"/>
    <m/>
    <m/>
    <x v="1340"/>
    <m/>
    <x v="34"/>
    <m/>
    <m/>
    <m/>
    <m/>
    <m/>
    <x v="3"/>
    <x v="58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1"/>
    <s v="E-S"/>
    <x v="0"/>
    <x v="0"/>
    <m/>
    <m/>
    <x v="1341"/>
    <m/>
    <x v="1108"/>
    <m/>
    <d v="2021-09-30T00:00:00"/>
    <d v="2021-10-01T00:00:00"/>
    <s v="CERRADO"/>
    <n v="208053"/>
    <x v="53"/>
    <x v="36"/>
    <x v="604"/>
    <d v="2021-01-20T00:00:00"/>
    <n v="120"/>
    <s v="días BL"/>
    <s v="11 301"/>
    <m/>
    <d v="2021-11-12T00:00:00"/>
    <s v="CANCELADO"/>
    <s v="CIF"/>
    <m/>
    <x v="8"/>
    <n v="348"/>
    <m/>
    <x v="1146"/>
    <x v="3"/>
    <s v="Granel - BB"/>
    <m/>
    <s v="Bigbag"/>
    <m/>
    <m/>
    <s v="MARZO '21"/>
    <x v="0"/>
    <d v="1899-12-30T00:00:00"/>
    <d v="2021-07-15T00:00:00"/>
    <d v="2021-09-14T00:00:00"/>
    <x v="631"/>
    <d v="2021-09-24T00:00:00"/>
    <m/>
    <x v="635"/>
    <n v="9"/>
    <n v="2021"/>
    <x v="0"/>
    <x v="0"/>
    <s v="BAYUQUAN / CHINA"/>
    <x v="2"/>
    <m/>
    <x v="1"/>
    <x v="973"/>
    <d v="2021-07-15T00:00:00"/>
    <s v="MV PETREL ARROW "/>
    <x v="269"/>
    <x v="0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342"/>
    <m/>
    <x v="1109"/>
    <m/>
    <m/>
    <m/>
    <s v="CERRADO"/>
    <n v="208067"/>
    <x v="115"/>
    <x v="53"/>
    <x v="605"/>
    <s v="ENERO '21"/>
    <n v="30"/>
    <s v="días FACT."/>
    <s v="F200-00043058"/>
    <m/>
    <d v="2021-02-21T00:00:00"/>
    <s v="CANCELADO"/>
    <s v="CFR"/>
    <m/>
    <x v="3"/>
    <n v="230"/>
    <m/>
    <x v="1147"/>
    <x v="36"/>
    <s v="Contenedor 20'"/>
    <m/>
    <s v="25 kg"/>
    <m/>
    <m/>
    <s v="ENERO '21"/>
    <x v="0"/>
    <m/>
    <m/>
    <m/>
    <x v="580"/>
    <m/>
    <m/>
    <x v="655"/>
    <n v="2"/>
    <n v="2021"/>
    <x v="0"/>
    <x v="0"/>
    <s v="CARTAGENA / COLOMBIA"/>
    <x v="2"/>
    <m/>
    <x v="6"/>
    <x v="974"/>
    <d v="2021-01-20T00:00:00"/>
    <s v="VALPARAISO EXPRESS"/>
    <x v="155"/>
    <x v="2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343"/>
    <m/>
    <x v="1110"/>
    <m/>
    <m/>
    <m/>
    <s v="CERRADO"/>
    <n v="206599"/>
    <x v="1"/>
    <x v="57"/>
    <x v="606"/>
    <d v="2021-01-22T00:00:00"/>
    <n v="120"/>
    <s v="días BL"/>
    <s v="7300189567"/>
    <m/>
    <d v="2021-08-31T00:00:00"/>
    <s v="CANCELADO"/>
    <s v="CFR"/>
    <m/>
    <x v="526"/>
    <n v="458"/>
    <m/>
    <x v="1148"/>
    <x v="15"/>
    <s v="Contenedor 20'"/>
    <m/>
    <s v="Granel Sólido"/>
    <m/>
    <m/>
    <s v="MAYO '21"/>
    <x v="0"/>
    <m/>
    <m/>
    <m/>
    <x v="632"/>
    <m/>
    <m/>
    <x v="656"/>
    <n v="7"/>
    <n v="2021"/>
    <x v="0"/>
    <x v="0"/>
    <s v="HAMBURGO / ALEMANIA"/>
    <x v="0"/>
    <m/>
    <x v="2"/>
    <x v="975"/>
    <d v="2021-05-03T00:00:00"/>
    <s v="VALPARAISO EXPRESS"/>
    <x v="312"/>
    <x v="9"/>
    <m/>
    <s v="REALIZADO"/>
    <s v="SWB"/>
    <m/>
    <m/>
    <m/>
    <x v="0"/>
    <d v="2021-07-12T00:00:00"/>
    <m/>
    <x v="0"/>
    <x v="0"/>
    <m/>
    <m/>
    <x v="0"/>
    <e v="#REF!"/>
    <m/>
    <m/>
    <m/>
    <m/>
    <m/>
    <x v="0"/>
    <s v="anulada: 8000001201"/>
    <m/>
    <m/>
    <m/>
    <s v="NACIONALIZADO"/>
    <m/>
    <m/>
    <m/>
  </r>
  <r>
    <n v="2021"/>
    <s v="S-S"/>
    <x v="0"/>
    <x v="0"/>
    <s v="URGENTE"/>
    <m/>
    <x v="1344"/>
    <m/>
    <x v="1111"/>
    <m/>
    <d v="2021-09-10T00:00:00"/>
    <d v="2021-09-13T00:00:00"/>
    <s v="CERRADO"/>
    <n v="207579"/>
    <x v="9"/>
    <x v="27"/>
    <x v="607"/>
    <d v="2021-01-21T00:00:00"/>
    <n v="150"/>
    <s v="días BL"/>
    <s v="B7FE-21-3030-MNPE"/>
    <m/>
    <d v="2021-12-08T00:00:00"/>
    <s v="CANCELADO"/>
    <s v="CFR"/>
    <m/>
    <x v="10"/>
    <n v="268"/>
    <m/>
    <x v="1149"/>
    <x v="3"/>
    <s v="Granel - BB"/>
    <m/>
    <s v="25 kg"/>
    <m/>
    <m/>
    <s v="FEB '21 - MAR '21"/>
    <x v="0"/>
    <m/>
    <d v="2021-07-20T00:00:00"/>
    <m/>
    <x v="609"/>
    <m/>
    <m/>
    <x v="657"/>
    <n v="9"/>
    <n v="2021"/>
    <x v="0"/>
    <x v="0"/>
    <s v="TIANJIN / CHINA"/>
    <x v="2"/>
    <m/>
    <x v="3"/>
    <x v="976"/>
    <d v="2021-07-11T00:00:00"/>
    <s v="MV MSXT FLORA"/>
    <x v="306"/>
    <x v="0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345"/>
    <m/>
    <x v="1112"/>
    <m/>
    <m/>
    <m/>
    <s v="CERRADO"/>
    <n v="207951"/>
    <x v="6"/>
    <x v="37"/>
    <x v="608"/>
    <d v="2021-01-21T00:00:00"/>
    <n v="120"/>
    <s v="días BL"/>
    <s v="I-34291"/>
    <m/>
    <d v="2021-06-11T00:00:00"/>
    <s v="CANCELADO"/>
    <s v="CFR"/>
    <m/>
    <x v="4"/>
    <n v="370.11950000000002"/>
    <m/>
    <x v="1150"/>
    <x v="3"/>
    <s v="Granel"/>
    <m/>
    <s v="Granel Sólido"/>
    <m/>
    <m/>
    <s v="FEBRERO '21"/>
    <x v="0"/>
    <m/>
    <m/>
    <m/>
    <x v="569"/>
    <m/>
    <m/>
    <x v="658"/>
    <n v="3"/>
    <n v="2021"/>
    <x v="0"/>
    <x v="0"/>
    <s v="KOTKA / FINLANDIA"/>
    <x v="0"/>
    <m/>
    <x v="2"/>
    <x v="17"/>
    <d v="2021-02-11T00:00:00"/>
    <s v="MV INTERLINK CAPACITY"/>
    <x v="313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346"/>
    <m/>
    <x v="1113"/>
    <m/>
    <m/>
    <m/>
    <s v="CERRADO"/>
    <n v="207951"/>
    <x v="6"/>
    <x v="37"/>
    <x v="608"/>
    <d v="2021-01-21T00:00:00"/>
    <n v="120"/>
    <s v="días BL"/>
    <s v="I-34291-1"/>
    <m/>
    <d v="2021-06-11T00:00:00"/>
    <s v="CANCELADO"/>
    <s v="CFR"/>
    <m/>
    <x v="94"/>
    <n v="370.11950000000002"/>
    <m/>
    <x v="1151"/>
    <x v="3"/>
    <s v="Granel"/>
    <m/>
    <s v="Granel Sólido"/>
    <m/>
    <m/>
    <s v="FEBRERO '21"/>
    <x v="0"/>
    <m/>
    <m/>
    <m/>
    <x v="633"/>
    <m/>
    <m/>
    <x v="659"/>
    <n v="3"/>
    <n v="2021"/>
    <x v="0"/>
    <x v="0"/>
    <s v="KOTKA / FINLANDIA"/>
    <x v="1"/>
    <m/>
    <x v="2"/>
    <x v="977"/>
    <d v="2021-02-11T00:00:00"/>
    <s v="MV INTERLINK CAPACITY"/>
    <x v="313"/>
    <x v="0"/>
    <m/>
    <s v="NO APLICA"/>
    <s v="ORIGEN"/>
    <m/>
    <m/>
    <m/>
    <x v="0"/>
    <m/>
    <m/>
    <x v="0"/>
    <x v="0"/>
    <m/>
    <m/>
    <x v="0"/>
    <e v="#REF!"/>
    <m/>
    <m/>
    <m/>
    <m/>
    <m/>
    <x v="0"/>
    <s v="anulada: 8000001253/8000001256"/>
    <m/>
    <m/>
    <m/>
    <s v="NACIONALIZADO"/>
    <m/>
    <m/>
    <m/>
  </r>
  <r>
    <n v="2021"/>
    <s v="G-S"/>
    <x v="0"/>
    <x v="0"/>
    <m/>
    <m/>
    <x v="1347"/>
    <m/>
    <x v="1114"/>
    <m/>
    <m/>
    <m/>
    <s v="CERRADO"/>
    <n v="207951"/>
    <x v="6"/>
    <x v="37"/>
    <x v="608"/>
    <d v="2021-01-21T00:00:00"/>
    <n v="120"/>
    <s v="días BL"/>
    <s v="I-34291-2"/>
    <m/>
    <d v="2021-06-11T00:00:00"/>
    <s v="CANCELADO"/>
    <s v="CFR"/>
    <m/>
    <x v="527"/>
    <n v="370.11950000000002"/>
    <m/>
    <x v="1152"/>
    <x v="3"/>
    <s v="Granel"/>
    <m/>
    <s v="Granel Sólido"/>
    <m/>
    <m/>
    <s v="FEBRERO '21"/>
    <x v="0"/>
    <m/>
    <m/>
    <m/>
    <x v="634"/>
    <m/>
    <m/>
    <x v="588"/>
    <n v="3"/>
    <n v="2021"/>
    <x v="0"/>
    <x v="0"/>
    <s v="KOTKA / FINLANDIA"/>
    <x v="2"/>
    <m/>
    <x v="6"/>
    <x v="978"/>
    <d v="2021-02-11T00:00:00"/>
    <s v="MV INTERLINK CAPACITY"/>
    <x v="313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348"/>
    <m/>
    <x v="1115"/>
    <m/>
    <m/>
    <m/>
    <s v="CERRADO"/>
    <n v="207951"/>
    <x v="6"/>
    <x v="37"/>
    <x v="608"/>
    <d v="2021-01-21T00:00:00"/>
    <n v="120"/>
    <s v="días BL"/>
    <s v="I-34291-3"/>
    <m/>
    <d v="2021-06-11T00:00:00"/>
    <s v="CANCELADO"/>
    <s v="CFR"/>
    <m/>
    <x v="115"/>
    <n v="370.11950000000002"/>
    <m/>
    <x v="1153"/>
    <x v="3"/>
    <s v="Granel"/>
    <m/>
    <s v="Granel Sólido"/>
    <m/>
    <m/>
    <s v="FEBRERO '21"/>
    <x v="0"/>
    <m/>
    <m/>
    <m/>
    <x v="635"/>
    <m/>
    <m/>
    <x v="660"/>
    <n v="3"/>
    <n v="2021"/>
    <x v="0"/>
    <x v="0"/>
    <s v="KOTKA / FINLANDIA"/>
    <x v="4"/>
    <m/>
    <x v="2"/>
    <x v="979"/>
    <d v="2021-02-11T00:00:00"/>
    <s v="MV INTERLINK CAPACITY"/>
    <x v="313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349"/>
    <m/>
    <x v="1116"/>
    <m/>
    <m/>
    <m/>
    <s v="CERRADO"/>
    <n v="203616"/>
    <x v="15"/>
    <x v="25"/>
    <x v="609"/>
    <d v="2021-03-01T00:00:00"/>
    <s v="CAD"/>
    <m/>
    <s v="TGOA-AS-210415-3C"/>
    <m/>
    <d v="2021-04-23T00:00:00"/>
    <s v="CANCELADO"/>
    <s v="CFR"/>
    <m/>
    <x v="189"/>
    <n v="159.5"/>
    <m/>
    <x v="1154"/>
    <x v="3"/>
    <s v="Granel"/>
    <m/>
    <s v="Granel Sólido"/>
    <m/>
    <m/>
    <s v="MARZO '21"/>
    <x v="0"/>
    <m/>
    <m/>
    <m/>
    <x v="636"/>
    <m/>
    <m/>
    <x v="661"/>
    <n v="5"/>
    <n v="2021"/>
    <x v="0"/>
    <x v="0"/>
    <s v="NANJING / CHINA"/>
    <x v="0"/>
    <m/>
    <x v="1"/>
    <x v="980"/>
    <d v="2021-04-07T00:00:00"/>
    <s v="MV VITA KOUAN"/>
    <x v="314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350"/>
    <m/>
    <x v="1117"/>
    <m/>
    <m/>
    <m/>
    <s v="CERRADO"/>
    <n v="203616"/>
    <x v="15"/>
    <x v="25"/>
    <x v="609"/>
    <d v="2021-03-01T00:00:00"/>
    <s v="CAD"/>
    <m/>
    <s v="TGOA-AS-210407-7"/>
    <m/>
    <d v="2021-04-23T00:00:00"/>
    <s v="CANCELADO"/>
    <s v="CFR"/>
    <m/>
    <x v="528"/>
    <n v="159.5"/>
    <m/>
    <x v="1155"/>
    <x v="3"/>
    <s v="Granel"/>
    <m/>
    <s v="Granel Sólido"/>
    <m/>
    <m/>
    <s v="MARZO '21"/>
    <x v="0"/>
    <m/>
    <m/>
    <m/>
    <x v="637"/>
    <m/>
    <m/>
    <x v="662"/>
    <n v="5"/>
    <n v="2021"/>
    <x v="0"/>
    <x v="0"/>
    <s v="JINGJIANG / CHINA"/>
    <x v="1"/>
    <m/>
    <x v="2"/>
    <x v="981"/>
    <d v="2021-04-07T00:00:00"/>
    <s v="MV VITA KOUAN"/>
    <x v="314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351"/>
    <m/>
    <x v="1118"/>
    <m/>
    <m/>
    <m/>
    <s v="CERRADO"/>
    <n v="203616"/>
    <x v="15"/>
    <x v="25"/>
    <x v="609"/>
    <d v="2021-03-01T00:00:00"/>
    <s v="CAD"/>
    <m/>
    <s v="TGOA-AS-210407-8"/>
    <m/>
    <d v="2021-04-23T00:00:00"/>
    <s v="CANCELADO"/>
    <s v="CFR"/>
    <m/>
    <x v="54"/>
    <n v="159.5"/>
    <m/>
    <x v="1156"/>
    <x v="3"/>
    <s v="Granel"/>
    <m/>
    <s v="Granel Sólido"/>
    <m/>
    <m/>
    <s v="MARZO '21"/>
    <x v="0"/>
    <m/>
    <m/>
    <m/>
    <x v="618"/>
    <m/>
    <m/>
    <x v="663"/>
    <n v="6"/>
    <n v="2021"/>
    <x v="0"/>
    <x v="0"/>
    <s v="JINGJIANG / CHINA"/>
    <x v="2"/>
    <m/>
    <x v="1"/>
    <x v="982"/>
    <d v="2021-04-07T00:00:00"/>
    <s v="MV VITA KOUAN"/>
    <x v="314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352"/>
    <m/>
    <x v="1119"/>
    <m/>
    <m/>
    <m/>
    <s v="CERRADO"/>
    <n v="203616"/>
    <x v="15"/>
    <x v="25"/>
    <x v="609"/>
    <d v="2021-03-01T00:00:00"/>
    <s v="CAD"/>
    <m/>
    <s v="TGOA-AS-210407-9"/>
    <m/>
    <d v="2021-04-23T00:00:00"/>
    <s v="CANCELADO"/>
    <s v="CFR"/>
    <m/>
    <x v="10"/>
    <n v="159.5"/>
    <m/>
    <x v="1157"/>
    <x v="3"/>
    <s v="Granel"/>
    <m/>
    <s v="Granel Sólido"/>
    <m/>
    <m/>
    <s v="MARZO '21"/>
    <x v="0"/>
    <m/>
    <m/>
    <m/>
    <x v="638"/>
    <m/>
    <m/>
    <x v="664"/>
    <n v="6"/>
    <n v="2021"/>
    <x v="0"/>
    <x v="0"/>
    <s v="JINGJIANG / CHINA"/>
    <x v="3"/>
    <m/>
    <x v="1"/>
    <x v="983"/>
    <d v="2021-04-07T00:00:00"/>
    <s v="MV VITA KOUAN"/>
    <x v="314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353"/>
    <m/>
    <x v="1120"/>
    <m/>
    <m/>
    <m/>
    <s v="CERRADO"/>
    <n v="203616"/>
    <x v="15"/>
    <x v="25"/>
    <x v="609"/>
    <d v="2021-03-01T00:00:00"/>
    <s v="CAD"/>
    <m/>
    <s v="TGOA-AS-210415-3E"/>
    <m/>
    <d v="2021-04-23T00:00:00"/>
    <s v="CANCELADO"/>
    <s v="CFR"/>
    <m/>
    <x v="1"/>
    <n v="159.5"/>
    <m/>
    <x v="1158"/>
    <x v="3"/>
    <s v="Granel"/>
    <m/>
    <s v="Granel Sólido"/>
    <m/>
    <m/>
    <s v="MARZO '21"/>
    <x v="0"/>
    <m/>
    <m/>
    <m/>
    <x v="639"/>
    <m/>
    <m/>
    <x v="665"/>
    <n v="6"/>
    <n v="2021"/>
    <x v="0"/>
    <x v="0"/>
    <s v="NANJING / CHINA"/>
    <x v="4"/>
    <m/>
    <x v="2"/>
    <x v="984"/>
    <d v="2021-04-07T00:00:00"/>
    <s v="MV VITA KOUAN"/>
    <x v="314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354"/>
    <m/>
    <x v="1121"/>
    <m/>
    <m/>
    <m/>
    <s v="CERRADO"/>
    <n v="206569"/>
    <x v="14"/>
    <x v="25"/>
    <x v="609"/>
    <d v="2021-03-01T00:00:00"/>
    <s v="CAD"/>
    <m/>
    <s v="TGOA-DAP-210412-1F"/>
    <m/>
    <d v="2021-04-23T00:00:00"/>
    <s v="CANCELADO"/>
    <s v="CFR"/>
    <m/>
    <x v="284"/>
    <n v="472"/>
    <m/>
    <x v="1159"/>
    <x v="3"/>
    <s v="Granel"/>
    <m/>
    <s v="Granel Sólido"/>
    <m/>
    <m/>
    <s v="MARZO '21"/>
    <x v="0"/>
    <m/>
    <m/>
    <m/>
    <x v="639"/>
    <m/>
    <m/>
    <x v="665"/>
    <n v="6"/>
    <n v="2021"/>
    <x v="0"/>
    <x v="0"/>
    <s v="NANJING / CHINA"/>
    <x v="4"/>
    <m/>
    <x v="2"/>
    <x v="985"/>
    <d v="2021-04-14T00:00:00"/>
    <s v="MV VITA KOUAN"/>
    <x v="314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2"/>
    <m/>
    <m/>
    <x v="1355"/>
    <m/>
    <x v="34"/>
    <m/>
    <m/>
    <m/>
    <m/>
    <m/>
    <x v="14"/>
    <x v="25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1"/>
    <s v="E-S"/>
    <x v="0"/>
    <x v="0"/>
    <m/>
    <m/>
    <x v="1356"/>
    <m/>
    <x v="1122"/>
    <m/>
    <m/>
    <m/>
    <s v="CERRADO"/>
    <n v="205972"/>
    <x v="82"/>
    <x v="42"/>
    <x v="610"/>
    <d v="2021-01-25T00:00:00"/>
    <s v="PREPAGO"/>
    <m/>
    <s v="FXE 2.100.003"/>
    <m/>
    <d v="2021-01-28T00:00:00"/>
    <s v="CANCELADO"/>
    <s v="CIF"/>
    <m/>
    <x v="243"/>
    <n v="4092"/>
    <m/>
    <x v="1160"/>
    <x v="3"/>
    <s v="Contenedor 40'"/>
    <m/>
    <s v="20 kg"/>
    <m/>
    <m/>
    <s v="FEBRERO '21"/>
    <x v="0"/>
    <m/>
    <m/>
    <m/>
    <x v="569"/>
    <m/>
    <m/>
    <x v="601"/>
    <n v="3"/>
    <n v="2021"/>
    <x v="0"/>
    <x v="0"/>
    <s v="BARCELONA / ESPAÑA"/>
    <x v="2"/>
    <m/>
    <x v="1"/>
    <x v="986"/>
    <d v="2021-02-13T00:00:00"/>
    <s v="MARY"/>
    <x v="211"/>
    <x v="29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E-S"/>
    <x v="0"/>
    <x v="0"/>
    <m/>
    <m/>
    <x v="1357"/>
    <m/>
    <x v="1123"/>
    <m/>
    <m/>
    <m/>
    <s v="CERRADO"/>
    <n v="206613"/>
    <x v="81"/>
    <x v="10"/>
    <x v="611"/>
    <d v="2021-02-01T00:00:00"/>
    <s v="CAD"/>
    <m/>
    <s v="306027431"/>
    <m/>
    <d v="2021-03-29T00:00:00"/>
    <s v="CANCELADO"/>
    <s v="CFR"/>
    <m/>
    <x v="529"/>
    <n v="255"/>
    <m/>
    <x v="1161"/>
    <x v="8"/>
    <s v="Contenedor 20'"/>
    <m/>
    <s v="Granel Sólido"/>
    <m/>
    <m/>
    <s v="2H MAR - 1H ABR '21"/>
    <x v="0"/>
    <m/>
    <m/>
    <m/>
    <x v="640"/>
    <m/>
    <m/>
    <x v="666"/>
    <n v="4"/>
    <n v="2021"/>
    <x v="0"/>
    <x v="0"/>
    <s v="TEESPORT / UK"/>
    <x v="2"/>
    <m/>
    <x v="3"/>
    <x v="987"/>
    <d v="2021-03-21T00:00:00"/>
    <s v="ALDEBARAN J"/>
    <x v="293"/>
    <x v="3"/>
    <m/>
    <s v="REALIZADO"/>
    <s v="ORIGEN"/>
    <m/>
    <m/>
    <m/>
    <x v="0"/>
    <d v="2021-04-22T00:00:00"/>
    <m/>
    <x v="0"/>
    <x v="0"/>
    <m/>
    <m/>
    <x v="0"/>
    <e v="#REF!"/>
    <m/>
    <m/>
    <m/>
    <m/>
    <m/>
    <x v="0"/>
    <s v="anulada: 8000001206"/>
    <m/>
    <m/>
    <m/>
    <s v="NACIONALIZADO"/>
    <m/>
    <m/>
    <m/>
  </r>
  <r>
    <n v="2021"/>
    <s v="E-S"/>
    <x v="0"/>
    <x v="0"/>
    <m/>
    <m/>
    <x v="1358"/>
    <m/>
    <x v="1124"/>
    <m/>
    <m/>
    <m/>
    <s v="CERRADO"/>
    <n v="206613"/>
    <x v="81"/>
    <x v="10"/>
    <x v="612"/>
    <d v="2021-02-01T00:00:00"/>
    <s v="CAD"/>
    <m/>
    <s v="306027432"/>
    <m/>
    <d v="2021-03-29T00:00:00"/>
    <s v="CANCELADO"/>
    <s v="CFR"/>
    <m/>
    <x v="530"/>
    <n v="255"/>
    <m/>
    <x v="1162"/>
    <x v="4"/>
    <s v="Contenedor 20'"/>
    <m/>
    <s v="Granel Sólido"/>
    <m/>
    <m/>
    <s v="2H MAR - 1H ABR '21"/>
    <x v="0"/>
    <m/>
    <m/>
    <m/>
    <x v="641"/>
    <m/>
    <m/>
    <x v="667"/>
    <n v="5"/>
    <n v="2021"/>
    <x v="0"/>
    <x v="0"/>
    <s v="TEESPORT / UK"/>
    <x v="0"/>
    <m/>
    <x v="2"/>
    <x v="988"/>
    <d v="2021-03-22T00:00:00"/>
    <s v="POLAR COSTA RICA"/>
    <x v="193"/>
    <x v="3"/>
    <m/>
    <s v="REALIZADO"/>
    <s v="ORIGEN"/>
    <m/>
    <m/>
    <m/>
    <x v="0"/>
    <d v="2021-05-20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E-S"/>
    <x v="0"/>
    <x v="0"/>
    <m/>
    <m/>
    <x v="1359"/>
    <m/>
    <x v="1125"/>
    <m/>
    <m/>
    <m/>
    <s v="CERRADO"/>
    <n v="206613"/>
    <x v="81"/>
    <x v="10"/>
    <x v="613"/>
    <d v="2021-02-01T00:00:00"/>
    <s v="CAD"/>
    <m/>
    <s v="306028227"/>
    <m/>
    <d v="2021-04-30T00:00:00"/>
    <s v="CANCELADO"/>
    <s v="CFR"/>
    <m/>
    <x v="531"/>
    <n v="255"/>
    <m/>
    <x v="1163"/>
    <x v="4"/>
    <s v="Contenedor 20'"/>
    <m/>
    <s v="Granel Sólido"/>
    <m/>
    <m/>
    <s v="2H MAR - 1H ABR '21"/>
    <x v="0"/>
    <m/>
    <m/>
    <m/>
    <x v="578"/>
    <m/>
    <m/>
    <x v="668"/>
    <n v="5"/>
    <n v="2021"/>
    <x v="0"/>
    <x v="0"/>
    <s v="TEESPORT / UK"/>
    <x v="2"/>
    <m/>
    <x v="1"/>
    <x v="989"/>
    <d v="2021-04-11T00:00:00"/>
    <s v="BG IRELAND"/>
    <x v="241"/>
    <x v="3"/>
    <m/>
    <s v="REALIZADO"/>
    <s v="ORIGEN"/>
    <m/>
    <m/>
    <m/>
    <x v="0"/>
    <d v="2021-05-31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360"/>
    <m/>
    <x v="1126"/>
    <m/>
    <m/>
    <m/>
    <s v="CERRADO"/>
    <n v="207791"/>
    <x v="7"/>
    <x v="24"/>
    <x v="614"/>
    <d v="2021-02-04T00:00:00"/>
    <n v="180"/>
    <s v="días BL"/>
    <s v="21-03-5359-1"/>
    <m/>
    <d v="2021-09-04T00:00:00"/>
    <s v="CANCELADO"/>
    <s v="CFR"/>
    <m/>
    <x v="532"/>
    <n v="260"/>
    <m/>
    <x v="1164"/>
    <x v="3"/>
    <s v="Granel"/>
    <m/>
    <s v="Granel Sólido"/>
    <m/>
    <m/>
    <s v="FEBRERO '21"/>
    <x v="0"/>
    <m/>
    <m/>
    <m/>
    <x v="642"/>
    <m/>
    <m/>
    <x v="669"/>
    <n v="4"/>
    <n v="2021"/>
    <x v="0"/>
    <x v="0"/>
    <s v="ST. PETERSBURG / RUSSIA"/>
    <x v="0"/>
    <m/>
    <x v="2"/>
    <x v="990"/>
    <d v="2021-03-08T00:00:00"/>
    <s v="MV FEDERAL SPEY"/>
    <x v="8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361"/>
    <m/>
    <x v="1127"/>
    <m/>
    <m/>
    <m/>
    <s v="CERRADO"/>
    <n v="207791"/>
    <x v="7"/>
    <x v="24"/>
    <x v="614"/>
    <d v="2021-02-04T00:00:00"/>
    <n v="180"/>
    <s v="días BL"/>
    <s v="21-03-5359-2"/>
    <m/>
    <d v="2021-09-04T00:00:00"/>
    <s v="CANCELADO"/>
    <s v="CFR"/>
    <m/>
    <x v="42"/>
    <n v="260"/>
    <m/>
    <x v="1165"/>
    <x v="3"/>
    <s v="Granel"/>
    <m/>
    <s v="Granel Sólido"/>
    <m/>
    <m/>
    <s v="FEBRERO '21"/>
    <x v="0"/>
    <m/>
    <m/>
    <m/>
    <x v="608"/>
    <m/>
    <m/>
    <x v="607"/>
    <n v="4"/>
    <n v="2021"/>
    <x v="0"/>
    <x v="0"/>
    <s v="ST. PETERSBURG / RUSSIA"/>
    <x v="1"/>
    <m/>
    <x v="2"/>
    <x v="991"/>
    <d v="2021-03-08T00:00:00"/>
    <s v="MV FEDERAL SPEY"/>
    <x v="8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362"/>
    <m/>
    <x v="1128"/>
    <m/>
    <m/>
    <m/>
    <s v="CERRADO"/>
    <n v="207791"/>
    <x v="7"/>
    <x v="24"/>
    <x v="614"/>
    <d v="2021-02-04T00:00:00"/>
    <n v="180"/>
    <s v="días BL"/>
    <s v="21-03-5359-3"/>
    <m/>
    <d v="2021-09-04T00:00:00"/>
    <s v="CANCELADO"/>
    <s v="CFR"/>
    <m/>
    <x v="78"/>
    <n v="260"/>
    <m/>
    <x v="1166"/>
    <x v="3"/>
    <s v="Granel"/>
    <m/>
    <s v="Granel Sólido"/>
    <m/>
    <m/>
    <s v="FEBRERO '21"/>
    <x v="0"/>
    <m/>
    <m/>
    <m/>
    <x v="643"/>
    <m/>
    <m/>
    <x v="670"/>
    <n v="4"/>
    <n v="2021"/>
    <x v="0"/>
    <x v="0"/>
    <s v="ST. PETERSBURG / RUSSIA"/>
    <x v="2"/>
    <m/>
    <x v="3"/>
    <x v="992"/>
    <d v="2021-03-08T00:00:00"/>
    <s v="MV FEDERAL SPEY"/>
    <x v="8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363"/>
    <m/>
    <x v="1129"/>
    <m/>
    <m/>
    <m/>
    <s v="CERRADO"/>
    <n v="207791"/>
    <x v="7"/>
    <x v="24"/>
    <x v="614"/>
    <d v="2021-02-04T00:00:00"/>
    <n v="180"/>
    <s v="días BL"/>
    <s v="21-03-5359-4"/>
    <m/>
    <d v="2021-09-04T00:00:00"/>
    <s v="CANCELADO"/>
    <s v="CFR"/>
    <m/>
    <x v="170"/>
    <n v="260"/>
    <m/>
    <x v="1167"/>
    <x v="3"/>
    <s v="Granel"/>
    <m/>
    <s v="Granel Sólido"/>
    <m/>
    <m/>
    <s v="FEBRERO '21"/>
    <x v="0"/>
    <m/>
    <m/>
    <m/>
    <x v="644"/>
    <m/>
    <m/>
    <x v="666"/>
    <n v="4"/>
    <n v="2021"/>
    <x v="0"/>
    <x v="0"/>
    <s v="ST. PETERSBURG / RUSSIA"/>
    <x v="3"/>
    <m/>
    <x v="1"/>
    <x v="993"/>
    <d v="2021-03-08T00:00:00"/>
    <s v="MV FEDERAL SPEY"/>
    <x v="8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364"/>
    <m/>
    <x v="1130"/>
    <m/>
    <m/>
    <m/>
    <s v="CERRADO"/>
    <n v="207791"/>
    <x v="7"/>
    <x v="24"/>
    <x v="614"/>
    <d v="2021-02-04T00:00:00"/>
    <n v="180"/>
    <s v="días BL"/>
    <s v="21-03-5359-5"/>
    <m/>
    <d v="2021-09-04T00:00:00"/>
    <s v="CANCELADO"/>
    <s v="CFR"/>
    <m/>
    <x v="53"/>
    <n v="260"/>
    <m/>
    <x v="1168"/>
    <x v="3"/>
    <s v="Granel"/>
    <m/>
    <s v="Granel Sólido"/>
    <m/>
    <m/>
    <s v="FEBRERO '21"/>
    <x v="0"/>
    <m/>
    <m/>
    <m/>
    <x v="619"/>
    <m/>
    <m/>
    <x v="671"/>
    <n v="4"/>
    <n v="2021"/>
    <x v="0"/>
    <x v="0"/>
    <s v="ST. PETERSBURG / RUSSIA"/>
    <x v="4"/>
    <m/>
    <x v="2"/>
    <x v="994"/>
    <d v="2021-03-08T00:00:00"/>
    <s v="MV FEDERAL SPEY"/>
    <x v="8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S"/>
    <x v="0"/>
    <x v="0"/>
    <m/>
    <m/>
    <x v="1365"/>
    <m/>
    <x v="1131"/>
    <m/>
    <m/>
    <m/>
    <s v="CERRADO"/>
    <n v="205257"/>
    <x v="125"/>
    <x v="59"/>
    <x v="16"/>
    <d v="2021-01-28T00:00:00"/>
    <n v="90"/>
    <s v="días BL"/>
    <s v="VP-20210405"/>
    <m/>
    <d v="2021-07-19T00:00:00"/>
    <s v="CANCELADO"/>
    <s v="CFR"/>
    <m/>
    <x v="472"/>
    <n v="113"/>
    <m/>
    <x v="1169"/>
    <x v="3"/>
    <s v="Granel - BB"/>
    <m/>
    <s v="25 kg"/>
    <m/>
    <m/>
    <s v="MARZO '21"/>
    <x v="0"/>
    <m/>
    <d v="2021-04-01T00:00:00"/>
    <m/>
    <x v="645"/>
    <m/>
    <m/>
    <x v="672"/>
    <n v="6"/>
    <n v="2021"/>
    <x v="0"/>
    <x v="0"/>
    <s v="XINGANG / CHINA"/>
    <x v="2"/>
    <m/>
    <x v="3"/>
    <x v="995"/>
    <d v="2021-04-20T00:00:00"/>
    <s v="MV OCEAN APPLAUD "/>
    <x v="315"/>
    <x v="0"/>
    <m/>
    <s v="REALIZADO"/>
    <s v="ORIGEN"/>
    <m/>
    <m/>
    <m/>
    <x v="0"/>
    <m/>
    <m/>
    <x v="0"/>
    <x v="0"/>
    <m/>
    <m/>
    <x v="0"/>
    <e v="#REF!"/>
    <m/>
    <m/>
    <m/>
    <m/>
    <m/>
    <x v="0"/>
    <s v="anulada: 8000001212"/>
    <m/>
    <m/>
    <m/>
    <s v="NACIONALIZADO"/>
    <m/>
    <m/>
    <m/>
  </r>
  <r>
    <n v="2021"/>
    <s v="S-P"/>
    <x v="0"/>
    <x v="0"/>
    <m/>
    <m/>
    <x v="1366"/>
    <m/>
    <x v="1132"/>
    <m/>
    <m/>
    <m/>
    <s v="CERRADO"/>
    <n v="206766"/>
    <x v="10"/>
    <x v="37"/>
    <x v="615"/>
    <d v="2021-01-20T00:00:00"/>
    <n v="90"/>
    <s v="días BL"/>
    <s v="34513"/>
    <m/>
    <d v="2021-06-04T00:00:00"/>
    <s v="CANCELADO"/>
    <s v="CFR"/>
    <m/>
    <x v="249"/>
    <n v="1002"/>
    <m/>
    <x v="1141"/>
    <x v="9"/>
    <s v="Contenedor 20'"/>
    <m/>
    <s v="50 kg"/>
    <m/>
    <m/>
    <s v="FEBRERO '21"/>
    <x v="0"/>
    <m/>
    <m/>
    <m/>
    <x v="646"/>
    <m/>
    <m/>
    <x v="673"/>
    <n v="4"/>
    <n v="2021"/>
    <x v="0"/>
    <x v="0"/>
    <s v="VERACRUZ / MEXICO"/>
    <x v="4"/>
    <m/>
    <x v="2"/>
    <x v="996"/>
    <d v="2021-03-05T00:00:00"/>
    <s v="MONTE TAMARO "/>
    <x v="129"/>
    <x v="2"/>
    <m/>
    <s v="REALIZADO"/>
    <s v="DESTINO"/>
    <m/>
    <m/>
    <m/>
    <x v="0"/>
    <d v="2021-05-06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P"/>
    <x v="0"/>
    <x v="0"/>
    <m/>
    <m/>
    <x v="1367"/>
    <m/>
    <x v="1133"/>
    <m/>
    <m/>
    <m/>
    <s v="CERRADO"/>
    <n v="206766"/>
    <x v="10"/>
    <x v="37"/>
    <x v="615"/>
    <d v="2021-01-20T00:00:00"/>
    <n v="90"/>
    <s v="días BL"/>
    <s v="35261"/>
    <m/>
    <d v="2021-07-29T00:00:00"/>
    <s v="CANCELADO"/>
    <s v="CFR"/>
    <m/>
    <x v="143"/>
    <n v="1002"/>
    <m/>
    <x v="1170"/>
    <x v="1"/>
    <s v="Contenedor 20'"/>
    <m/>
    <s v="50 kg"/>
    <m/>
    <m/>
    <s v="MARZO '21 - ABRIL '21"/>
    <x v="0"/>
    <m/>
    <m/>
    <m/>
    <x v="647"/>
    <m/>
    <m/>
    <x v="656"/>
    <n v="7"/>
    <n v="2021"/>
    <x v="0"/>
    <x v="0"/>
    <s v="VERACRUZ / MEXICO"/>
    <x v="4"/>
    <m/>
    <x v="2"/>
    <x v="997"/>
    <d v="2021-04-30T00:00:00"/>
    <s v="MSC BARCELONA "/>
    <x v="129"/>
    <x v="2"/>
    <m/>
    <s v="REALIZADO"/>
    <s v="DESTINO"/>
    <m/>
    <m/>
    <m/>
    <x v="0"/>
    <d v="2021-07-06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368"/>
    <m/>
    <x v="1134"/>
    <m/>
    <m/>
    <m/>
    <s v="CERRADO"/>
    <n v="206597"/>
    <x v="0"/>
    <x v="24"/>
    <x v="616"/>
    <d v="2021-04-26T00:00:00"/>
    <s v="CAD"/>
    <m/>
    <s v="21-02-2532-1"/>
    <m/>
    <d v="2021-04-28T00:00:00"/>
    <s v="CANCELADO"/>
    <s v="CFR"/>
    <m/>
    <x v="30"/>
    <n v="270"/>
    <n v="69"/>
    <x v="1171"/>
    <x v="3"/>
    <s v="Granel"/>
    <m/>
    <s v="Granel Sólido"/>
    <m/>
    <m/>
    <s v="MAYO '21"/>
    <x v="0"/>
    <m/>
    <m/>
    <m/>
    <x v="648"/>
    <m/>
    <m/>
    <x v="664"/>
    <n v="6"/>
    <n v="2021"/>
    <x v="0"/>
    <x v="0"/>
    <s v="ST. PETERSBURG / RUSSIA"/>
    <x v="0"/>
    <m/>
    <x v="2"/>
    <x v="990"/>
    <d v="2021-04-28T00:00:00"/>
    <s v="MV JINLING CONFIDENCE "/>
    <x v="316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369"/>
    <m/>
    <x v="1135"/>
    <m/>
    <m/>
    <m/>
    <s v="CERRADO"/>
    <n v="206597"/>
    <x v="0"/>
    <x v="24"/>
    <x v="616"/>
    <d v="2021-04-26T00:00:00"/>
    <s v="CAD"/>
    <m/>
    <s v="21-02-2532-2"/>
    <m/>
    <d v="2021-04-28T00:00:00"/>
    <s v="CANCELADO"/>
    <s v="CFR"/>
    <m/>
    <x v="533"/>
    <n v="270"/>
    <n v="69"/>
    <x v="1172"/>
    <x v="3"/>
    <s v="Granel"/>
    <m/>
    <s v="Granel Sólido"/>
    <m/>
    <m/>
    <s v="MAYO '21"/>
    <x v="0"/>
    <m/>
    <m/>
    <m/>
    <x v="638"/>
    <m/>
    <m/>
    <x v="674"/>
    <n v="6"/>
    <n v="2021"/>
    <x v="0"/>
    <x v="0"/>
    <s v="ST. PETERSBURG / RUSSIA"/>
    <x v="1"/>
    <m/>
    <x v="2"/>
    <x v="991"/>
    <d v="2021-04-28T00:00:00"/>
    <s v="MV JINLING CONFIDENCE "/>
    <x v="316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370"/>
    <m/>
    <x v="1136"/>
    <m/>
    <m/>
    <m/>
    <s v="CERRADO"/>
    <n v="206597"/>
    <x v="0"/>
    <x v="24"/>
    <x v="616"/>
    <d v="2021-04-26T00:00:00"/>
    <s v="CAD"/>
    <m/>
    <s v="21-02-2532-3"/>
    <m/>
    <d v="2021-04-28T00:00:00"/>
    <s v="CANCELADO"/>
    <s v="CFR"/>
    <m/>
    <x v="534"/>
    <n v="270"/>
    <n v="69"/>
    <x v="1173"/>
    <x v="3"/>
    <s v="Granel"/>
    <m/>
    <s v="Granel Sólido"/>
    <m/>
    <m/>
    <s v="MAYO '21"/>
    <x v="0"/>
    <m/>
    <m/>
    <m/>
    <x v="649"/>
    <m/>
    <m/>
    <x v="663"/>
    <n v="6"/>
    <n v="2021"/>
    <x v="0"/>
    <x v="0"/>
    <s v="ST. PETERSBURG / RUSSIA"/>
    <x v="3"/>
    <m/>
    <x v="1"/>
    <x v="992"/>
    <d v="2021-04-28T00:00:00"/>
    <s v="MV JINLING CONFIDENCE "/>
    <x v="316"/>
    <x v="0"/>
    <m/>
    <s v="NO APLICA"/>
    <s v="ORIGEN"/>
    <m/>
    <m/>
    <m/>
    <x v="0"/>
    <m/>
    <m/>
    <x v="0"/>
    <x v="0"/>
    <m/>
    <m/>
    <x v="0"/>
    <e v="#REF!"/>
    <m/>
    <m/>
    <m/>
    <m/>
    <m/>
    <x v="0"/>
    <s v="anulada: 8000001328"/>
    <m/>
    <m/>
    <m/>
    <s v="NACIONALIZADO"/>
    <m/>
    <m/>
    <m/>
  </r>
  <r>
    <n v="2021"/>
    <s v="G-S"/>
    <x v="0"/>
    <x v="0"/>
    <m/>
    <m/>
    <x v="1371"/>
    <m/>
    <x v="1137"/>
    <m/>
    <m/>
    <m/>
    <s v="CERRADO"/>
    <n v="206597"/>
    <x v="0"/>
    <x v="24"/>
    <x v="616"/>
    <d v="2021-04-26T00:00:00"/>
    <s v="CAD"/>
    <m/>
    <s v="21-02-2532-4"/>
    <m/>
    <d v="2021-04-28T00:00:00"/>
    <s v="CANCELADO"/>
    <s v="CFR"/>
    <m/>
    <x v="461"/>
    <n v="270"/>
    <n v="69"/>
    <x v="1174"/>
    <x v="3"/>
    <s v="Granel"/>
    <m/>
    <s v="Granel Sólido"/>
    <m/>
    <m/>
    <s v="MAYO '21"/>
    <x v="0"/>
    <m/>
    <m/>
    <m/>
    <x v="649"/>
    <m/>
    <m/>
    <x v="663"/>
    <n v="6"/>
    <n v="2021"/>
    <x v="0"/>
    <x v="0"/>
    <s v="ST. PETERSBURG / RUSSIA"/>
    <x v="3"/>
    <m/>
    <x v="1"/>
    <x v="993"/>
    <d v="2021-04-28T00:00:00"/>
    <s v="MV JINLING CONFIDENCE "/>
    <x v="316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372"/>
    <m/>
    <x v="1138"/>
    <m/>
    <m/>
    <m/>
    <s v="CERRADO"/>
    <n v="206597"/>
    <x v="0"/>
    <x v="24"/>
    <x v="616"/>
    <d v="2021-04-26T00:00:00"/>
    <s v="CAD"/>
    <m/>
    <s v="21-02-2532-5"/>
    <m/>
    <d v="2021-04-28T00:00:00"/>
    <s v="CANCELADO"/>
    <s v="CFR"/>
    <m/>
    <x v="224"/>
    <n v="270"/>
    <n v="69"/>
    <x v="506"/>
    <x v="3"/>
    <s v="Granel"/>
    <m/>
    <s v="Granel Sólido"/>
    <m/>
    <m/>
    <s v="MAYO '21"/>
    <x v="0"/>
    <m/>
    <m/>
    <m/>
    <x v="650"/>
    <m/>
    <m/>
    <x v="675"/>
    <n v="6"/>
    <n v="2021"/>
    <x v="0"/>
    <x v="0"/>
    <s v="ST. PETERSBURG / RUSSIA"/>
    <x v="4"/>
    <m/>
    <x v="2"/>
    <x v="994"/>
    <d v="2021-04-28T00:00:00"/>
    <s v="MV JINLING CONFIDENCE "/>
    <x v="316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373"/>
    <m/>
    <x v="1139"/>
    <m/>
    <m/>
    <m/>
    <s v="CERRADO"/>
    <n v="207485"/>
    <x v="13"/>
    <x v="25"/>
    <x v="609"/>
    <d v="2021-03-01T00:00:00"/>
    <s v="CAD"/>
    <m/>
    <s v="TGOA-UREA-210409-3F"/>
    <m/>
    <d v="2021-04-23T00:00:00"/>
    <s v="CANCELADO"/>
    <s v="CFR"/>
    <m/>
    <x v="4"/>
    <n v="399"/>
    <m/>
    <x v="1175"/>
    <x v="3"/>
    <s v="Granel"/>
    <m/>
    <s v="Granel Sólido"/>
    <m/>
    <m/>
    <s v="MARZO '21"/>
    <x v="0"/>
    <m/>
    <m/>
    <m/>
    <x v="637"/>
    <m/>
    <m/>
    <x v="662"/>
    <n v="5"/>
    <n v="2021"/>
    <x v="0"/>
    <x v="0"/>
    <s v="JINGJIANG / CHINA"/>
    <x v="1"/>
    <m/>
    <x v="2"/>
    <x v="998"/>
    <d v="2021-04-09T00:00:00"/>
    <s v="MV VITA KOUAN"/>
    <x v="314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374"/>
    <m/>
    <x v="1140"/>
    <m/>
    <m/>
    <m/>
    <s v="CERRADO"/>
    <n v="207485"/>
    <x v="13"/>
    <x v="25"/>
    <x v="609"/>
    <d v="2021-03-01T00:00:00"/>
    <s v="CAD"/>
    <m/>
    <s v="TGOA-UREA-210409-3G"/>
    <m/>
    <d v="2021-04-23T00:00:00"/>
    <s v="CANCELADO"/>
    <s v="CFR"/>
    <m/>
    <x v="402"/>
    <n v="399"/>
    <m/>
    <x v="1176"/>
    <x v="3"/>
    <s v="Granel"/>
    <m/>
    <s v="Granel Sólido"/>
    <m/>
    <m/>
    <s v="MARZO '21"/>
    <x v="0"/>
    <m/>
    <m/>
    <m/>
    <x v="618"/>
    <m/>
    <m/>
    <x v="663"/>
    <n v="6"/>
    <n v="2021"/>
    <x v="0"/>
    <x v="0"/>
    <s v="JINGJIANG / CHINA"/>
    <x v="2"/>
    <m/>
    <x v="6"/>
    <x v="999"/>
    <d v="2021-04-09T00:00:00"/>
    <s v="MV VITA KOUAN"/>
    <x v="314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375"/>
    <m/>
    <x v="1141"/>
    <m/>
    <m/>
    <m/>
    <s v="CERRADO"/>
    <n v="207485"/>
    <x v="13"/>
    <x v="25"/>
    <x v="609"/>
    <d v="2021-03-01T00:00:00"/>
    <s v="CAD"/>
    <m/>
    <s v="TGOA-UREA-210409-3H"/>
    <m/>
    <d v="2021-04-23T00:00:00"/>
    <s v="CANCELADO"/>
    <s v="CFR"/>
    <m/>
    <x v="402"/>
    <n v="399"/>
    <m/>
    <x v="1176"/>
    <x v="3"/>
    <s v="Granel"/>
    <m/>
    <s v="Granel Sólido"/>
    <m/>
    <m/>
    <s v="MARZO '21"/>
    <x v="0"/>
    <m/>
    <m/>
    <m/>
    <x v="639"/>
    <m/>
    <m/>
    <x v="665"/>
    <n v="6"/>
    <n v="2021"/>
    <x v="0"/>
    <x v="0"/>
    <s v="JINGJIANG / CHINA"/>
    <x v="4"/>
    <m/>
    <x v="2"/>
    <x v="1000"/>
    <d v="2021-04-09T00:00:00"/>
    <s v="MV VITA KOUAN"/>
    <x v="314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376"/>
    <m/>
    <x v="1142"/>
    <m/>
    <m/>
    <m/>
    <s v="CERRADO"/>
    <n v="206599"/>
    <x v="1"/>
    <x v="57"/>
    <x v="617"/>
    <d v="2021-02-02T00:00:00"/>
    <n v="120"/>
    <s v="días BL"/>
    <s v="7300185845"/>
    <m/>
    <d v="2021-08-19T00:00:00"/>
    <s v="CANCELADO"/>
    <s v="CPT"/>
    <m/>
    <x v="535"/>
    <n v="463"/>
    <m/>
    <x v="1177"/>
    <x v="1"/>
    <s v="Contenedor 20'"/>
    <m/>
    <s v="Granel Sólido"/>
    <m/>
    <m/>
    <s v="MARZO '21"/>
    <x v="0"/>
    <m/>
    <m/>
    <m/>
    <x v="651"/>
    <m/>
    <m/>
    <x v="676"/>
    <n v="5"/>
    <n v="2021"/>
    <x v="0"/>
    <x v="0"/>
    <s v="HAMBURGO / ALEMANIA"/>
    <x v="2"/>
    <m/>
    <x v="3"/>
    <x v="1001"/>
    <d v="2021-04-21T00:00:00"/>
    <s v="COSCO SHIPPING DANUBE"/>
    <x v="211"/>
    <x v="2"/>
    <m/>
    <s v="REALIZADO"/>
    <s v="ORIGEN"/>
    <m/>
    <m/>
    <m/>
    <x v="0"/>
    <m/>
    <m/>
    <x v="0"/>
    <x v="0"/>
    <m/>
    <m/>
    <x v="0"/>
    <e v="#REF!"/>
    <m/>
    <m/>
    <m/>
    <m/>
    <m/>
    <x v="0"/>
    <s v="anulada: 8000001213"/>
    <m/>
    <m/>
    <m/>
    <s v="NACIONALIZADO"/>
    <m/>
    <m/>
    <m/>
  </r>
  <r>
    <n v="2021"/>
    <s v="G-S"/>
    <x v="0"/>
    <x v="0"/>
    <m/>
    <m/>
    <x v="1377"/>
    <m/>
    <x v="1143"/>
    <m/>
    <m/>
    <m/>
    <s v="CERRADO"/>
    <n v="206599"/>
    <x v="1"/>
    <x v="57"/>
    <x v="617"/>
    <d v="2021-02-02T00:00:00"/>
    <n v="120"/>
    <s v="días BL"/>
    <s v="7300185845"/>
    <m/>
    <d v="2021-08-19T00:00:00"/>
    <s v="CANCELADO"/>
    <s v="CPT"/>
    <m/>
    <x v="536"/>
    <n v="463"/>
    <m/>
    <x v="1178"/>
    <x v="16"/>
    <s v="Contenedor 20'"/>
    <m/>
    <s v="Granel Sólido"/>
    <m/>
    <m/>
    <s v="MARZO '21"/>
    <x v="0"/>
    <m/>
    <m/>
    <m/>
    <x v="652"/>
    <m/>
    <m/>
    <x v="674"/>
    <n v="6"/>
    <n v="2021"/>
    <x v="0"/>
    <x v="0"/>
    <s v="HAMBURGO / ALEMANIA"/>
    <x v="2"/>
    <m/>
    <x v="6"/>
    <x v="1001"/>
    <d v="2021-04-21T00:00:00"/>
    <s v="COSCO SHIPPING DANUBE"/>
    <x v="211"/>
    <x v="2"/>
    <m/>
    <s v="REALIZADO"/>
    <s v="ORIGEN"/>
    <m/>
    <m/>
    <m/>
    <x v="0"/>
    <d v="2021-06-13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378"/>
    <m/>
    <x v="1144"/>
    <m/>
    <m/>
    <m/>
    <s v="CERRADO"/>
    <n v="206599"/>
    <x v="1"/>
    <x v="57"/>
    <x v="618"/>
    <d v="2021-02-02T00:00:00"/>
    <n v="120"/>
    <s v="días BL"/>
    <s v="7300169187"/>
    <m/>
    <d v="2021-07-05T00:00:00"/>
    <s v="CANCELADO"/>
    <s v="CPT"/>
    <m/>
    <x v="537"/>
    <n v="488"/>
    <m/>
    <x v="1179"/>
    <x v="5"/>
    <s v="Contenedor 20'"/>
    <m/>
    <s v="Granel Sólido"/>
    <m/>
    <m/>
    <s v="MARZO '21"/>
    <x v="0"/>
    <m/>
    <m/>
    <m/>
    <x v="646"/>
    <m/>
    <m/>
    <x v="673"/>
    <n v="4"/>
    <n v="2021"/>
    <x v="0"/>
    <x v="0"/>
    <s v="HAMBURGO / ALEMANIA"/>
    <x v="4"/>
    <m/>
    <x v="2"/>
    <x v="1002"/>
    <d v="2021-03-07T00:00:00"/>
    <s v="CMA CGM JEAN GABRIEL"/>
    <x v="129"/>
    <x v="2"/>
    <m/>
    <s v="REALIZADO"/>
    <s v="ORIGEN"/>
    <m/>
    <m/>
    <m/>
    <x v="0"/>
    <d v="2021-05-06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P"/>
    <x v="0"/>
    <x v="0"/>
    <m/>
    <m/>
    <x v="1379"/>
    <m/>
    <x v="1145"/>
    <m/>
    <d v="2021-08-16T00:00:00"/>
    <d v="2021-08-17T00:00:00"/>
    <s v="CERRADO"/>
    <n v="207499"/>
    <x v="2"/>
    <x v="51"/>
    <x v="619"/>
    <d v="2021-02-05T00:00:00"/>
    <n v="90"/>
    <s v="días BL"/>
    <s v="5000655"/>
    <m/>
    <d v="2021-09-18T00:00:00"/>
    <s v="CANCELADO"/>
    <s v="CPT"/>
    <m/>
    <x v="538"/>
    <n v="590"/>
    <m/>
    <x v="1180"/>
    <x v="2"/>
    <s v="Contenedor 20'"/>
    <m/>
    <s v="25 kg"/>
    <m/>
    <m/>
    <s v="ABR - MAY '21"/>
    <x v="0"/>
    <m/>
    <d v="2021-06-20T00:00:00"/>
    <m/>
    <x v="653"/>
    <m/>
    <m/>
    <x v="677"/>
    <n v="8"/>
    <n v="2021"/>
    <x v="0"/>
    <x v="0"/>
    <s v="YARIMCA / TURQUÍA"/>
    <x v="2"/>
    <m/>
    <x v="6"/>
    <x v="1003"/>
    <d v="2021-06-20T00:00:00"/>
    <s v="AL HILAL"/>
    <x v="293"/>
    <x v="3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P"/>
    <x v="0"/>
    <x v="0"/>
    <m/>
    <m/>
    <x v="1380"/>
    <m/>
    <x v="1146"/>
    <m/>
    <d v="2021-08-09T00:00:00"/>
    <d v="2021-08-12T00:00:00"/>
    <s v="CERRADO"/>
    <n v="207499"/>
    <x v="2"/>
    <x v="51"/>
    <x v="619"/>
    <d v="2021-02-05T00:00:00"/>
    <n v="90"/>
    <s v="días BL"/>
    <s v="5000656"/>
    <m/>
    <d v="2021-09-26T00:00:00"/>
    <s v="CANCELADO"/>
    <s v="CPT"/>
    <m/>
    <x v="147"/>
    <n v="590"/>
    <m/>
    <x v="1181"/>
    <x v="4"/>
    <s v="Contenedor 20'"/>
    <m/>
    <s v="25 kg"/>
    <m/>
    <m/>
    <s v="ABR - MAY '21"/>
    <x v="0"/>
    <m/>
    <d v="2021-06-28T00:00:00"/>
    <m/>
    <x v="607"/>
    <m/>
    <m/>
    <x v="633"/>
    <n v="8"/>
    <n v="2021"/>
    <x v="0"/>
    <x v="0"/>
    <s v="ESTAMBUL / TURQUÍA"/>
    <x v="2"/>
    <m/>
    <x v="3"/>
    <x v="1004"/>
    <d v="2021-06-28T00:00:00"/>
    <s v="LUNA MAERSK"/>
    <x v="229"/>
    <x v="6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P"/>
    <x v="0"/>
    <x v="0"/>
    <m/>
    <m/>
    <x v="1381"/>
    <m/>
    <x v="1147"/>
    <m/>
    <m/>
    <m/>
    <s v="CERRADO"/>
    <n v="207499"/>
    <x v="2"/>
    <x v="51"/>
    <x v="620"/>
    <d v="2021-02-05T00:00:00"/>
    <n v="90"/>
    <s v="días BL"/>
    <s v="5000557"/>
    <m/>
    <d v="2021-07-13T00:00:00"/>
    <s v="CANCELADO"/>
    <s v="CPT"/>
    <m/>
    <x v="159"/>
    <n v="605"/>
    <m/>
    <x v="1182"/>
    <x v="16"/>
    <s v="Contenedor 20'"/>
    <m/>
    <s v="25 kg"/>
    <m/>
    <m/>
    <s v="ABR - MAY '21"/>
    <x v="0"/>
    <m/>
    <m/>
    <m/>
    <x v="652"/>
    <m/>
    <m/>
    <x v="678"/>
    <n v="6"/>
    <n v="2021"/>
    <x v="0"/>
    <x v="0"/>
    <s v="ESTAMBUL / TURQUÍA"/>
    <x v="0"/>
    <m/>
    <x v="2"/>
    <x v="1005"/>
    <d v="2021-04-14T00:00:00"/>
    <s v="GULBENIZ A"/>
    <x v="310"/>
    <x v="2"/>
    <m/>
    <s v="REALIZADO"/>
    <s v="ORIGEN"/>
    <m/>
    <m/>
    <m/>
    <x v="0"/>
    <d v="2021-06-08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P"/>
    <x v="0"/>
    <x v="0"/>
    <m/>
    <m/>
    <x v="1382"/>
    <m/>
    <x v="1148"/>
    <m/>
    <m/>
    <m/>
    <s v="CERRADO"/>
    <n v="207499"/>
    <x v="2"/>
    <x v="51"/>
    <x v="620"/>
    <d v="2021-02-05T00:00:00"/>
    <n v="90"/>
    <s v="días BL"/>
    <s v="5000573"/>
    <m/>
    <d v="2021-07-21T00:00:00"/>
    <s v="CANCELADO"/>
    <s v="CPT"/>
    <m/>
    <x v="309"/>
    <n v="605"/>
    <m/>
    <x v="1183"/>
    <x v="5"/>
    <s v="Contenedor 20'"/>
    <m/>
    <s v="25 kg"/>
    <m/>
    <m/>
    <s v="ABR - MAY '21"/>
    <x v="0"/>
    <m/>
    <m/>
    <m/>
    <x v="650"/>
    <m/>
    <m/>
    <x v="679"/>
    <n v="6"/>
    <n v="2021"/>
    <x v="0"/>
    <x v="0"/>
    <s v="ESTAMBUL / TURQUÍA"/>
    <x v="0"/>
    <m/>
    <x v="2"/>
    <x v="1006"/>
    <d v="2021-04-22T00:00:00"/>
    <s v="SATIE"/>
    <x v="317"/>
    <x v="2"/>
    <m/>
    <s v="REALIZADO"/>
    <s v="ORIGEN"/>
    <m/>
    <m/>
    <m/>
    <x v="0"/>
    <d v="2021-06-29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P"/>
    <x v="0"/>
    <x v="0"/>
    <m/>
    <m/>
    <x v="1383"/>
    <m/>
    <x v="1149"/>
    <m/>
    <d v="2021-08-06T00:00:00"/>
    <d v="2021-08-12T00:00:00"/>
    <s v="CERRADO"/>
    <n v="207499"/>
    <x v="2"/>
    <x v="51"/>
    <x v="620"/>
    <d v="2021-02-05T00:00:00"/>
    <n v="90"/>
    <s v="días BL"/>
    <s v="5000612"/>
    <m/>
    <d v="2021-09-01T00:00:00"/>
    <s v="CANCELADO"/>
    <s v="CPT"/>
    <m/>
    <x v="538"/>
    <n v="605"/>
    <m/>
    <x v="1184"/>
    <x v="2"/>
    <s v="Contenedor 20'"/>
    <m/>
    <s v="25 kg"/>
    <m/>
    <m/>
    <s v="ABR - MAY '21"/>
    <x v="0"/>
    <m/>
    <d v="2021-06-02T00:00:00"/>
    <m/>
    <x v="654"/>
    <m/>
    <m/>
    <x v="680"/>
    <n v="8"/>
    <n v="2021"/>
    <x v="0"/>
    <x v="0"/>
    <s v="ESTAMBUL / TURQUÍA"/>
    <x v="0"/>
    <m/>
    <x v="2"/>
    <x v="1007"/>
    <d v="2021-06-03T00:00:00"/>
    <s v="COSCO INDONESIA"/>
    <x v="222"/>
    <x v="3"/>
    <m/>
    <s v="REALIZADO"/>
    <s v="ORIGEN"/>
    <m/>
    <m/>
    <m/>
    <x v="0"/>
    <d v="2021-08-14T00:00:00"/>
    <m/>
    <x v="0"/>
    <x v="0"/>
    <m/>
    <m/>
    <x v="0"/>
    <e v="#REF!"/>
    <m/>
    <m/>
    <m/>
    <m/>
    <m/>
    <x v="0"/>
    <s v="anulado: 8000001451"/>
    <m/>
    <m/>
    <m/>
    <s v="NACIONALIZADO"/>
    <m/>
    <m/>
    <m/>
  </r>
  <r>
    <n v="2021"/>
    <s v="S-P"/>
    <x v="0"/>
    <x v="0"/>
    <m/>
    <m/>
    <x v="1384"/>
    <m/>
    <x v="1150"/>
    <m/>
    <d v="2021-08-31T00:00:00"/>
    <d v="2021-08-31T00:00:00"/>
    <s v="CERRADO"/>
    <n v="207499"/>
    <x v="2"/>
    <x v="51"/>
    <x v="621"/>
    <d v="2021-02-05T00:00:00"/>
    <n v="90"/>
    <s v="días BL"/>
    <s v="5000697-698"/>
    <m/>
    <d v="2021-10-17T00:00:00"/>
    <s v="CANCELADO"/>
    <s v="CPT"/>
    <m/>
    <x v="206"/>
    <n v="590"/>
    <m/>
    <x v="1185"/>
    <x v="7"/>
    <s v="Contenedor 20'"/>
    <m/>
    <s v="25 kg"/>
    <m/>
    <m/>
    <s v="MAY - JUN '21"/>
    <x v="0"/>
    <m/>
    <d v="2021-07-19T00:00:00"/>
    <m/>
    <x v="655"/>
    <m/>
    <m/>
    <x v="681"/>
    <n v="8"/>
    <n v="2021"/>
    <x v="0"/>
    <x v="0"/>
    <s v="YARIMCA / TURQUÍA"/>
    <x v="2"/>
    <m/>
    <x v="1"/>
    <x v="1008"/>
    <d v="2021-07-19T00:00:00"/>
    <s v="SEAGO ISTANBUL"/>
    <x v="318"/>
    <x v="6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S"/>
    <x v="0"/>
    <x v="0"/>
    <s v="URGENTE"/>
    <m/>
    <x v="1385"/>
    <m/>
    <x v="1151"/>
    <m/>
    <m/>
    <m/>
    <s v="CERRADO"/>
    <n v="207579"/>
    <x v="9"/>
    <x v="60"/>
    <x v="622"/>
    <d v="2021-02-02T00:00:00"/>
    <n v="90"/>
    <s v="días BL"/>
    <s v="SLC-MGN210202"/>
    <m/>
    <d v="2021-07-19T00:00:00"/>
    <s v="CANCELADO"/>
    <s v="CFR"/>
    <m/>
    <x v="539"/>
    <n v="245"/>
    <m/>
    <x v="1186"/>
    <x v="3"/>
    <s v="Granel - BB"/>
    <m/>
    <s v="25 kg"/>
    <m/>
    <m/>
    <s v="MARZO '21"/>
    <x v="0"/>
    <m/>
    <m/>
    <m/>
    <x v="645"/>
    <m/>
    <m/>
    <x v="682"/>
    <n v="6"/>
    <n v="2021"/>
    <x v="0"/>
    <x v="0"/>
    <s v="TIANJIN / CHINA"/>
    <x v="2"/>
    <m/>
    <x v="6"/>
    <x v="1009"/>
    <d v="2021-04-20T00:00:00"/>
    <s v="MV OCEAN APPLAUD "/>
    <x v="315"/>
    <x v="0"/>
    <m/>
    <s v="REALIZADO"/>
    <s v="ORIGEN"/>
    <m/>
    <m/>
    <m/>
    <x v="0"/>
    <m/>
    <m/>
    <x v="0"/>
    <x v="0"/>
    <m/>
    <m/>
    <x v="0"/>
    <e v="#REF!"/>
    <m/>
    <m/>
    <m/>
    <m/>
    <m/>
    <x v="0"/>
    <s v="anulada: 8000001367"/>
    <m/>
    <m/>
    <m/>
    <s v="NACIONALIZADO"/>
    <m/>
    <m/>
    <m/>
  </r>
  <r>
    <n v="2021"/>
    <s v="S-S"/>
    <x v="0"/>
    <x v="0"/>
    <s v="URGENTE"/>
    <m/>
    <x v="1386"/>
    <m/>
    <x v="1152"/>
    <m/>
    <d v="2021-09-10T00:00:00"/>
    <d v="2021-09-13T00:00:00"/>
    <s v="CERRADO"/>
    <n v="207579"/>
    <x v="9"/>
    <x v="60"/>
    <x v="623"/>
    <d v="2021-02-02T00:00:00"/>
    <s v="CAD"/>
    <m/>
    <s v="SLC-MGN210202B"/>
    <m/>
    <d v="2021-08-09T00:00:00"/>
    <s v="CANCELADO"/>
    <s v="CFR"/>
    <m/>
    <x v="8"/>
    <n v="255"/>
    <m/>
    <x v="1187"/>
    <x v="3"/>
    <s v="Granel - BB"/>
    <m/>
    <s v="25 kg"/>
    <m/>
    <m/>
    <s v="MAY - JUN '21"/>
    <x v="0"/>
    <m/>
    <d v="2021-07-20T00:00:00"/>
    <m/>
    <x v="609"/>
    <m/>
    <m/>
    <x v="657"/>
    <n v="9"/>
    <n v="2021"/>
    <x v="0"/>
    <x v="0"/>
    <s v="TIANJIN / CHINA"/>
    <x v="2"/>
    <m/>
    <x v="3"/>
    <x v="1010"/>
    <d v="2021-07-11T00:00:00"/>
    <s v="MV MSXT FLORA"/>
    <x v="306"/>
    <x v="0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C"/>
    <x v="0"/>
    <x v="0"/>
    <m/>
    <m/>
    <x v="1387"/>
    <m/>
    <x v="1153"/>
    <m/>
    <m/>
    <m/>
    <s v="CERRADO"/>
    <n v="207580"/>
    <x v="32"/>
    <x v="51"/>
    <x v="624"/>
    <d v="2021-02-05T00:00:00"/>
    <s v="CAD"/>
    <m/>
    <s v="5000526"/>
    <m/>
    <d v="2021-03-26T00:00:00"/>
    <s v="CANCELADO"/>
    <s v="CFR"/>
    <m/>
    <x v="411"/>
    <n v="640"/>
    <m/>
    <x v="1188"/>
    <x v="48"/>
    <s v="Contenedor 20'"/>
    <m/>
    <s v="25 kg"/>
    <m/>
    <m/>
    <s v="FEBRERO '21"/>
    <x v="0"/>
    <m/>
    <m/>
    <m/>
    <x v="656"/>
    <m/>
    <m/>
    <x v="683"/>
    <n v="5"/>
    <n v="2021"/>
    <x v="0"/>
    <x v="0"/>
    <s v="KLAIPEDA / LITHUANIA"/>
    <x v="0"/>
    <m/>
    <x v="2"/>
    <x v="1011"/>
    <d v="2021-03-14T00:00:00"/>
    <s v="VILNIA MAERSK"/>
    <x v="193"/>
    <x v="3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C"/>
    <x v="0"/>
    <x v="0"/>
    <m/>
    <m/>
    <x v="1388"/>
    <m/>
    <x v="1154"/>
    <m/>
    <m/>
    <m/>
    <s v="CERRADO"/>
    <n v="207580"/>
    <x v="32"/>
    <x v="51"/>
    <x v="625"/>
    <d v="2021-02-05T00:00:00"/>
    <s v="CAD"/>
    <m/>
    <s v="5000525"/>
    <m/>
    <d v="2021-03-26T00:00:00"/>
    <s v="CANCELADO"/>
    <s v="CFR"/>
    <m/>
    <x v="415"/>
    <n v="635"/>
    <m/>
    <x v="1189"/>
    <x v="21"/>
    <s v="Contenedor 20'"/>
    <m/>
    <s v="25 kg"/>
    <m/>
    <m/>
    <s v="FEBRERO '21"/>
    <x v="0"/>
    <m/>
    <m/>
    <m/>
    <x v="657"/>
    <m/>
    <m/>
    <x v="684"/>
    <n v="5"/>
    <n v="2021"/>
    <x v="0"/>
    <x v="0"/>
    <s v="KLAIPEDA / LITHUANIA"/>
    <x v="2"/>
    <m/>
    <x v="1"/>
    <x v="1012"/>
    <d v="2021-03-14T00:00:00"/>
    <s v="VILNIA MAERSK"/>
    <x v="319"/>
    <x v="3"/>
    <m/>
    <s v="REALIZADO"/>
    <s v="SWB"/>
    <m/>
    <m/>
    <m/>
    <x v="0"/>
    <d v="2021-05-08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C"/>
    <x v="0"/>
    <x v="0"/>
    <m/>
    <m/>
    <x v="1389"/>
    <m/>
    <x v="1155"/>
    <m/>
    <m/>
    <m/>
    <s v="CERRADO"/>
    <n v="207580"/>
    <x v="32"/>
    <x v="51"/>
    <x v="625"/>
    <d v="2021-02-05T00:00:00"/>
    <s v="CAD"/>
    <m/>
    <s v="5000525"/>
    <m/>
    <d v="2021-03-26T00:00:00"/>
    <s v="CANCELADO"/>
    <s v="CFR"/>
    <m/>
    <x v="26"/>
    <n v="635"/>
    <m/>
    <x v="1190"/>
    <x v="11"/>
    <s v="Contenedor 20'"/>
    <m/>
    <s v="25 kg"/>
    <m/>
    <m/>
    <s v="FEBRERO '21"/>
    <x v="0"/>
    <m/>
    <m/>
    <m/>
    <x v="658"/>
    <m/>
    <m/>
    <x v="685"/>
    <n v="5"/>
    <n v="2021"/>
    <x v="0"/>
    <x v="0"/>
    <s v="KLAIPEDA / LITHUANIA"/>
    <x v="2"/>
    <m/>
    <x v="1"/>
    <x v="1013"/>
    <d v="2021-03-29T00:00:00"/>
    <s v="VILNIA MAERSK"/>
    <x v="320"/>
    <x v="3"/>
    <m/>
    <s v="REALIZADO"/>
    <s v="SWB"/>
    <m/>
    <m/>
    <m/>
    <x v="0"/>
    <d v="2021-05-24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C"/>
    <x v="0"/>
    <x v="0"/>
    <m/>
    <m/>
    <x v="1390"/>
    <m/>
    <x v="1156"/>
    <m/>
    <m/>
    <m/>
    <s v="CERRADO"/>
    <n v="207580"/>
    <x v="32"/>
    <x v="51"/>
    <x v="624"/>
    <d v="2021-02-05T00:00:00"/>
    <s v="CAD"/>
    <m/>
    <s v="20210221"/>
    <m/>
    <d v="2021-04-12T00:00:00"/>
    <s v="CANCELADO"/>
    <s v="CFR"/>
    <m/>
    <x v="361"/>
    <n v="640"/>
    <m/>
    <x v="1191"/>
    <x v="38"/>
    <s v="Contenedor 20'"/>
    <m/>
    <s v="25 kg"/>
    <m/>
    <m/>
    <s v="MARZO '21"/>
    <x v="0"/>
    <m/>
    <m/>
    <m/>
    <x v="659"/>
    <m/>
    <m/>
    <x v="686"/>
    <n v="6"/>
    <n v="2021"/>
    <x v="0"/>
    <x v="0"/>
    <s v="KLAIPEDA / LITHUANIA"/>
    <x v="0"/>
    <m/>
    <x v="2"/>
    <x v="1014"/>
    <d v="2021-03-30T00:00:00"/>
    <s v="POHORJE"/>
    <x v="193"/>
    <x v="4"/>
    <s v="MEDLOG"/>
    <s v="REALIZADO"/>
    <s v="SWB"/>
    <m/>
    <m/>
    <m/>
    <x v="0"/>
    <d v="2021-06-03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C"/>
    <x v="0"/>
    <x v="0"/>
    <m/>
    <m/>
    <x v="1391"/>
    <m/>
    <x v="1157"/>
    <m/>
    <m/>
    <m/>
    <s v="CERRADO"/>
    <n v="207580"/>
    <x v="32"/>
    <x v="51"/>
    <x v="625"/>
    <d v="2021-02-05T00:00:00"/>
    <s v="CAD"/>
    <m/>
    <s v="20210220"/>
    <m/>
    <d v="2021-04-12T00:00:00"/>
    <s v="CANCELADO"/>
    <s v="CFR"/>
    <m/>
    <x v="412"/>
    <n v="635"/>
    <m/>
    <x v="1192"/>
    <x v="31"/>
    <s v="Contenedor 20'"/>
    <m/>
    <s v="25 kg"/>
    <m/>
    <m/>
    <s v="MARZO '21"/>
    <x v="0"/>
    <m/>
    <m/>
    <m/>
    <x v="660"/>
    <m/>
    <m/>
    <x v="687"/>
    <n v="5"/>
    <n v="2021"/>
    <x v="0"/>
    <x v="0"/>
    <s v="KLAIPEDA / LITHUANIA"/>
    <x v="2"/>
    <m/>
    <x v="3"/>
    <x v="1015"/>
    <d v="2021-03-30T00:00:00"/>
    <s v="POHORJE"/>
    <x v="321"/>
    <x v="4"/>
    <s v="MEDLOG"/>
    <s v="REALIZADO"/>
    <s v="SWB"/>
    <m/>
    <m/>
    <m/>
    <x v="0"/>
    <d v="2021-05-13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C"/>
    <x v="0"/>
    <x v="2"/>
    <m/>
    <m/>
    <x v="1392"/>
    <m/>
    <x v="34"/>
    <m/>
    <m/>
    <m/>
    <m/>
    <m/>
    <x v="32"/>
    <x v="51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1"/>
    <s v="S-C"/>
    <x v="0"/>
    <x v="2"/>
    <m/>
    <m/>
    <x v="1393"/>
    <m/>
    <x v="34"/>
    <m/>
    <m/>
    <m/>
    <m/>
    <m/>
    <x v="32"/>
    <x v="51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1"/>
    <s v="G-S"/>
    <x v="0"/>
    <x v="0"/>
    <m/>
    <m/>
    <x v="1394"/>
    <m/>
    <x v="1158"/>
    <m/>
    <m/>
    <m/>
    <s v="CERRADO"/>
    <n v="207951"/>
    <x v="6"/>
    <x v="37"/>
    <x v="626"/>
    <d v="2021-02-05T00:00:00"/>
    <n v="120"/>
    <s v="días BL"/>
    <s v="I-34292"/>
    <m/>
    <d v="2021-06-11T00:00:00"/>
    <s v="CANCELADO"/>
    <s v="CFR"/>
    <m/>
    <x v="0"/>
    <n v="398.35750000000002"/>
    <m/>
    <x v="1193"/>
    <x v="3"/>
    <s v="Granel"/>
    <m/>
    <s v="Granel Sólido"/>
    <m/>
    <m/>
    <s v="FEBRERO '21"/>
    <x v="0"/>
    <m/>
    <m/>
    <m/>
    <x v="569"/>
    <m/>
    <m/>
    <x v="659"/>
    <n v="3"/>
    <n v="2021"/>
    <x v="0"/>
    <x v="0"/>
    <s v="KOTKA / FINLANDIA"/>
    <x v="0"/>
    <m/>
    <x v="2"/>
    <x v="51"/>
    <d v="2021-02-11T00:00:00"/>
    <s v="MV INTERLINK CAPACITY"/>
    <x v="313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395"/>
    <m/>
    <x v="1159"/>
    <m/>
    <m/>
    <m/>
    <s v="CERRADO"/>
    <n v="207951"/>
    <x v="6"/>
    <x v="37"/>
    <x v="626"/>
    <d v="2021-02-05T00:00:00"/>
    <n v="120"/>
    <s v="días BL"/>
    <s v="I-34292-1"/>
    <m/>
    <d v="2021-06-11T00:00:00"/>
    <s v="CANCELADO"/>
    <s v="CFR"/>
    <m/>
    <x v="4"/>
    <n v="398.35750000000002"/>
    <m/>
    <x v="1194"/>
    <x v="3"/>
    <s v="Granel"/>
    <m/>
    <s v="Granel Sólido"/>
    <m/>
    <m/>
    <s v="FEBRERO '21"/>
    <x v="0"/>
    <m/>
    <m/>
    <m/>
    <x v="633"/>
    <m/>
    <m/>
    <x v="659"/>
    <n v="3"/>
    <n v="2021"/>
    <x v="0"/>
    <x v="0"/>
    <s v="KOTKA / FINLANDIA"/>
    <x v="1"/>
    <m/>
    <x v="2"/>
    <x v="1016"/>
    <d v="2021-02-11T00:00:00"/>
    <s v="MV INTERLINK CAPACITY"/>
    <x v="313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396"/>
    <m/>
    <x v="1160"/>
    <m/>
    <m/>
    <m/>
    <s v="CERRADO"/>
    <n v="207951"/>
    <x v="6"/>
    <x v="37"/>
    <x v="626"/>
    <d v="2021-02-05T00:00:00"/>
    <n v="120"/>
    <s v="días BL"/>
    <s v="I-34292-2"/>
    <m/>
    <d v="2021-06-11T00:00:00"/>
    <s v="CANCELADO"/>
    <s v="CFR"/>
    <m/>
    <x v="70"/>
    <n v="398.35750000000002"/>
    <m/>
    <x v="1195"/>
    <x v="3"/>
    <s v="Granel"/>
    <m/>
    <s v="Granel Sólido"/>
    <m/>
    <m/>
    <s v="FEBRERO '21"/>
    <x v="0"/>
    <m/>
    <m/>
    <m/>
    <x v="634"/>
    <m/>
    <m/>
    <x v="588"/>
    <n v="3"/>
    <n v="2021"/>
    <x v="0"/>
    <x v="0"/>
    <s v="KOTKA / FINLANDIA"/>
    <x v="2"/>
    <m/>
    <x v="9"/>
    <x v="1017"/>
    <d v="2021-02-11T00:00:00"/>
    <s v="MV INTERLINK CAPACITY"/>
    <x v="313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397"/>
    <m/>
    <x v="1161"/>
    <m/>
    <m/>
    <m/>
    <s v="CERRADO"/>
    <n v="207951"/>
    <x v="6"/>
    <x v="37"/>
    <x v="626"/>
    <d v="2021-02-05T00:00:00"/>
    <n v="120"/>
    <s v="días BL"/>
    <s v="I-34292-3"/>
    <m/>
    <d v="2021-06-11T00:00:00"/>
    <s v="CANCELADO"/>
    <s v="CFR"/>
    <m/>
    <x v="3"/>
    <n v="398.35750000000002"/>
    <m/>
    <x v="1196"/>
    <x v="3"/>
    <s v="Granel"/>
    <m/>
    <s v="Granel Sólido"/>
    <m/>
    <m/>
    <s v="FEBRERO '21"/>
    <x v="0"/>
    <m/>
    <m/>
    <m/>
    <x v="635"/>
    <m/>
    <m/>
    <x v="660"/>
    <n v="3"/>
    <n v="2021"/>
    <x v="0"/>
    <x v="0"/>
    <s v="KOTKA / FINLANDIA"/>
    <x v="4"/>
    <m/>
    <x v="2"/>
    <x v="1018"/>
    <d v="2021-02-11T00:00:00"/>
    <s v="MV INTERLINK CAPACITY"/>
    <x v="313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398"/>
    <m/>
    <x v="1162"/>
    <m/>
    <m/>
    <m/>
    <s v="CERRADO"/>
    <n v="207485"/>
    <x v="13"/>
    <x v="37"/>
    <x v="627"/>
    <d v="2021-02-05T00:00:00"/>
    <n v="120"/>
    <s v="días BL"/>
    <s v="I-34198"/>
    <m/>
    <d v="2021-05-28T00:00:00"/>
    <s v="CANCELADO"/>
    <s v="CFR"/>
    <m/>
    <x v="45"/>
    <n v="403.4"/>
    <m/>
    <x v="1197"/>
    <x v="3"/>
    <s v="Granel"/>
    <m/>
    <s v="Granel Sólido"/>
    <m/>
    <m/>
    <s v="FEBRERO '21"/>
    <x v="0"/>
    <m/>
    <m/>
    <m/>
    <x v="633"/>
    <m/>
    <m/>
    <x v="659"/>
    <n v="3"/>
    <n v="2021"/>
    <x v="0"/>
    <x v="0"/>
    <s v="BONTANG / INDONESIA"/>
    <x v="0"/>
    <m/>
    <x v="1"/>
    <x v="1019"/>
    <d v="2021-01-28T00:00:00"/>
    <s v="MV CL CENTURY"/>
    <x v="322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S"/>
    <x v="0"/>
    <x v="0"/>
    <m/>
    <m/>
    <x v="1399"/>
    <m/>
    <x v="1163"/>
    <m/>
    <m/>
    <m/>
    <s v="CERRADO"/>
    <n v="206914"/>
    <x v="12"/>
    <x v="19"/>
    <x v="628"/>
    <d v="2021-02-04T00:00:00"/>
    <n v="90"/>
    <s v="días BL"/>
    <s v="SG-MSL-12329-34A"/>
    <m/>
    <d v="2021-07-03T00:00:00"/>
    <s v="CANCELADO"/>
    <s v="CFR"/>
    <m/>
    <x v="138"/>
    <n v="101"/>
    <m/>
    <x v="1198"/>
    <x v="3"/>
    <s v="Granel - BB"/>
    <m/>
    <s v="25 kg"/>
    <m/>
    <m/>
    <s v="FEBRERO '21"/>
    <x v="0"/>
    <m/>
    <m/>
    <m/>
    <x v="620"/>
    <m/>
    <m/>
    <x v="688"/>
    <n v="7"/>
    <n v="2021"/>
    <x v="0"/>
    <x v="0"/>
    <s v="BAYUQUAN / CHINA"/>
    <x v="2"/>
    <m/>
    <x v="6"/>
    <x v="1020"/>
    <d v="2021-04-04T00:00:00"/>
    <s v="MV  BELITA"/>
    <x v="323"/>
    <x v="0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S"/>
    <x v="1"/>
    <x v="3"/>
    <s v="URGENTE"/>
    <m/>
    <x v="1400"/>
    <m/>
    <x v="1164"/>
    <d v="2021-10-13T00:00:00"/>
    <m/>
    <m/>
    <s v="PENDIENTE"/>
    <n v="206914"/>
    <x v="12"/>
    <x v="19"/>
    <x v="628"/>
    <d v="2021-02-04T00:00:00"/>
    <n v="90"/>
    <s v="días BL"/>
    <m/>
    <m/>
    <m/>
    <s v="PENDIENTE"/>
    <s v="CFR"/>
    <s v="FILO"/>
    <x v="70"/>
    <n v="101"/>
    <m/>
    <x v="267"/>
    <x v="3"/>
    <s v="Granel - BB"/>
    <m/>
    <s v="25 kg"/>
    <n v="1.25"/>
    <s v="ROMERO FERTILIZANTES"/>
    <s v="MARZO '21"/>
    <x v="1"/>
    <d v="2022-05-31T00:00:00"/>
    <d v="2022-06-20T00:00:00"/>
    <d v="2022-08-05T00:00:00"/>
    <x v="661"/>
    <d v="2022-08-15T00:00:00"/>
    <m/>
    <x v="689"/>
    <n v="8"/>
    <n v="2022"/>
    <x v="1"/>
    <x v="1"/>
    <s v="BAYUQUAN"/>
    <x v="2"/>
    <m/>
    <x v="3"/>
    <x v="29"/>
    <m/>
    <m/>
    <x v="15"/>
    <x v="0"/>
    <m/>
    <s v="PENDIENTE"/>
    <m/>
    <m/>
    <m/>
    <m/>
    <x v="0"/>
    <m/>
    <m/>
    <x v="0"/>
    <x v="0"/>
    <m/>
    <m/>
    <x v="0"/>
    <e v="#REF!"/>
    <m/>
    <m/>
    <m/>
    <m/>
    <m/>
    <x v="0"/>
    <m/>
    <s v="COVID"/>
    <m/>
    <m/>
    <m/>
    <m/>
    <m/>
    <m/>
  </r>
  <r>
    <n v="2021"/>
    <s v="S-S"/>
    <x v="0"/>
    <x v="0"/>
    <m/>
    <m/>
    <x v="1401"/>
    <m/>
    <x v="1165"/>
    <m/>
    <d v="2021-10-10T00:00:00"/>
    <d v="2021-10-11T00:00:00"/>
    <s v="CERRADO"/>
    <n v="206914"/>
    <x v="12"/>
    <x v="19"/>
    <x v="629"/>
    <d v="2021-02-04T00:00:00"/>
    <s v="CAD"/>
    <m/>
    <s v="SG-MSL-12329-33"/>
    <m/>
    <s v="-"/>
    <s v="CANCELADO"/>
    <s v="CFR"/>
    <m/>
    <x v="127"/>
    <n v="119"/>
    <m/>
    <x v="1199"/>
    <x v="3"/>
    <s v="Granel - BB"/>
    <m/>
    <s v="25 kg"/>
    <m/>
    <m/>
    <s v="FEBRERO '21"/>
    <x v="0"/>
    <d v="1899-12-30T00:00:00"/>
    <d v="2021-08-30T00:00:00"/>
    <d v="2021-09-29T00:00:00"/>
    <x v="662"/>
    <d v="2021-10-06T00:00:00"/>
    <m/>
    <x v="690"/>
    <n v="10"/>
    <n v="2021"/>
    <x v="0"/>
    <x v="0"/>
    <s v="BAYUQUAN / CHINA"/>
    <x v="0"/>
    <m/>
    <x v="5"/>
    <x v="1021"/>
    <d v="2021-08-29T00:00:00"/>
    <s v="NEW ABLE"/>
    <x v="324"/>
    <x v="0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S"/>
    <x v="0"/>
    <x v="2"/>
    <m/>
    <m/>
    <x v="1402"/>
    <m/>
    <x v="34"/>
    <m/>
    <m/>
    <m/>
    <m/>
    <m/>
    <x v="12"/>
    <x v="19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1"/>
    <s v="S-S"/>
    <x v="0"/>
    <x v="0"/>
    <m/>
    <m/>
    <x v="1403"/>
    <m/>
    <x v="1166"/>
    <m/>
    <m/>
    <m/>
    <s v="CERRADO"/>
    <n v="206914"/>
    <x v="12"/>
    <x v="19"/>
    <x v="630"/>
    <d v="2021-02-04T00:00:00"/>
    <n v="90"/>
    <s v="días BL"/>
    <s v="SG-MSL-12329-35"/>
    <m/>
    <d v="2021-07-23T00:00:00"/>
    <s v="CANCELADO"/>
    <s v="CFR"/>
    <m/>
    <x v="35"/>
    <n v="112"/>
    <m/>
    <x v="1200"/>
    <x v="3"/>
    <s v="Granel - BB"/>
    <m/>
    <s v="25 kg"/>
    <m/>
    <m/>
    <s v="FEB '21 - MAR '21"/>
    <x v="0"/>
    <m/>
    <m/>
    <m/>
    <x v="663"/>
    <m/>
    <m/>
    <x v="656"/>
    <n v="7"/>
    <n v="2021"/>
    <x v="0"/>
    <x v="0"/>
    <s v="TIANJIN / CHINA"/>
    <x v="4"/>
    <m/>
    <x v="4"/>
    <x v="1022"/>
    <d v="2021-04-24T00:00:00"/>
    <s v="MV BUNA ARROW"/>
    <x v="56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E-S"/>
    <x v="0"/>
    <x v="0"/>
    <m/>
    <m/>
    <x v="1404"/>
    <m/>
    <x v="1167"/>
    <m/>
    <m/>
    <m/>
    <s v="CERRADO"/>
    <n v="208078"/>
    <x v="133"/>
    <x v="57"/>
    <x v="631"/>
    <s v="FEBRERO '21"/>
    <n v="120"/>
    <s v="días BL"/>
    <s v="7300179933"/>
    <m/>
    <d v="2021-08-04T00:00:00"/>
    <s v="CANCELADO"/>
    <s v="CPT"/>
    <m/>
    <x v="540"/>
    <n v="715"/>
    <m/>
    <x v="1201"/>
    <x v="11"/>
    <s v="Contenedor 20'"/>
    <m/>
    <s v="25 kg"/>
    <m/>
    <m/>
    <s v="MARZO '21"/>
    <x v="0"/>
    <m/>
    <m/>
    <m/>
    <x v="622"/>
    <m/>
    <m/>
    <x v="691"/>
    <n v="4"/>
    <n v="2021"/>
    <x v="0"/>
    <x v="0"/>
    <s v="HAMBURGO / ALEMANIA"/>
    <x v="0"/>
    <m/>
    <x v="2"/>
    <x v="1023"/>
    <d v="2021-04-06T00:00:00"/>
    <s v="GUAYAQUIL EXPRESS"/>
    <x v="310"/>
    <x v="9"/>
    <m/>
    <s v="REALIZADO"/>
    <s v="SWB"/>
    <m/>
    <m/>
    <m/>
    <x v="0"/>
    <d v="2021-05-03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2"/>
    <m/>
    <m/>
    <x v="1405"/>
    <m/>
    <x v="34"/>
    <m/>
    <m/>
    <m/>
    <m/>
    <m/>
    <x v="13"/>
    <x v="25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1"/>
    <s v="G-S"/>
    <x v="0"/>
    <x v="2"/>
    <m/>
    <m/>
    <x v="1406"/>
    <m/>
    <x v="34"/>
    <m/>
    <m/>
    <m/>
    <m/>
    <m/>
    <x v="13"/>
    <x v="25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1"/>
    <s v="G-S"/>
    <x v="0"/>
    <x v="2"/>
    <m/>
    <m/>
    <x v="1407"/>
    <m/>
    <x v="34"/>
    <m/>
    <m/>
    <m/>
    <m/>
    <m/>
    <x v="13"/>
    <x v="25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1"/>
    <s v="G-S"/>
    <x v="0"/>
    <x v="0"/>
    <m/>
    <m/>
    <x v="1408"/>
    <m/>
    <x v="1168"/>
    <m/>
    <m/>
    <m/>
    <s v="CERRADO"/>
    <n v="203616"/>
    <x v="15"/>
    <x v="25"/>
    <x v="609"/>
    <d v="2021-03-01T00:00:00"/>
    <s v="CAD"/>
    <m/>
    <s v="TGOA-AS-210407-6"/>
    <m/>
    <d v="2021-04-23T00:00:00"/>
    <s v="CANCELADO"/>
    <s v="CFR"/>
    <m/>
    <x v="138"/>
    <n v="174"/>
    <m/>
    <x v="1202"/>
    <x v="3"/>
    <s v="Granel"/>
    <m/>
    <s v="Granel Sólido"/>
    <m/>
    <m/>
    <s v="MARZO '21"/>
    <x v="0"/>
    <m/>
    <m/>
    <m/>
    <x v="636"/>
    <m/>
    <m/>
    <x v="661"/>
    <n v="5"/>
    <n v="2021"/>
    <x v="0"/>
    <x v="0"/>
    <s v="JINGJIANG / CHINA"/>
    <x v="0"/>
    <m/>
    <x v="1"/>
    <x v="1024"/>
    <d v="2021-04-07T00:00:00"/>
    <s v="MV VITA KOUAN"/>
    <x v="314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409"/>
    <m/>
    <x v="1169"/>
    <m/>
    <m/>
    <m/>
    <s v="CERRADO"/>
    <n v="203616"/>
    <x v="15"/>
    <x v="25"/>
    <x v="609"/>
    <d v="2021-03-01T00:00:00"/>
    <s v="CAD"/>
    <m/>
    <s v="TGOA-AS-210415-3D"/>
    <m/>
    <d v="2021-04-23T00:00:00"/>
    <s v="CANCELADO"/>
    <s v="CFR"/>
    <m/>
    <x v="4"/>
    <n v="174"/>
    <m/>
    <x v="1203"/>
    <x v="3"/>
    <s v="Granel"/>
    <m/>
    <s v="Granel Sólido"/>
    <m/>
    <m/>
    <s v="MARZO '21"/>
    <x v="0"/>
    <m/>
    <m/>
    <m/>
    <x v="637"/>
    <m/>
    <m/>
    <x v="662"/>
    <n v="5"/>
    <n v="2021"/>
    <x v="0"/>
    <x v="0"/>
    <s v="NANJING / CHINA"/>
    <x v="1"/>
    <m/>
    <x v="2"/>
    <x v="1025"/>
    <d v="2021-04-15T00:00:00"/>
    <s v="MV VITA KOUAN"/>
    <x v="314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410"/>
    <m/>
    <x v="1170"/>
    <m/>
    <m/>
    <m/>
    <s v="CERRADO"/>
    <n v="203616"/>
    <x v="15"/>
    <x v="25"/>
    <x v="609"/>
    <d v="2021-03-01T00:00:00"/>
    <s v="CAD"/>
    <m/>
    <s v="TGOA-AS-210407-11"/>
    <m/>
    <d v="2021-04-23T00:00:00"/>
    <s v="CANCELADO"/>
    <s v="CFR"/>
    <m/>
    <x v="1"/>
    <n v="174"/>
    <m/>
    <x v="1204"/>
    <x v="3"/>
    <s v="Granel"/>
    <m/>
    <s v="Granel Sólido"/>
    <m/>
    <m/>
    <s v="MARZO '21"/>
    <x v="0"/>
    <m/>
    <m/>
    <m/>
    <x v="618"/>
    <m/>
    <m/>
    <x v="663"/>
    <n v="6"/>
    <n v="2021"/>
    <x v="0"/>
    <x v="0"/>
    <s v="JINGJIANG / CHINA"/>
    <x v="2"/>
    <m/>
    <x v="3"/>
    <x v="1026"/>
    <d v="2021-04-07T00:00:00"/>
    <s v="MV VITA KOUAN"/>
    <x v="314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411"/>
    <m/>
    <x v="1171"/>
    <m/>
    <m/>
    <m/>
    <s v="CERRADO"/>
    <n v="203616"/>
    <x v="15"/>
    <x v="25"/>
    <x v="609"/>
    <d v="2021-03-01T00:00:00"/>
    <s v="CAD"/>
    <m/>
    <s v="TGOA-AS-210407-12"/>
    <m/>
    <d v="2021-04-23T00:00:00"/>
    <s v="CANCELADO"/>
    <s v="CFR"/>
    <m/>
    <x v="30"/>
    <n v="174"/>
    <m/>
    <x v="1205"/>
    <x v="3"/>
    <s v="Granel"/>
    <m/>
    <s v="Granel Sólido"/>
    <m/>
    <m/>
    <s v="MARZO '21"/>
    <x v="0"/>
    <m/>
    <m/>
    <m/>
    <x v="638"/>
    <m/>
    <m/>
    <x v="664"/>
    <n v="6"/>
    <n v="2021"/>
    <x v="0"/>
    <x v="0"/>
    <s v="JINGJIANG / CHINA"/>
    <x v="3"/>
    <m/>
    <x v="1"/>
    <x v="1027"/>
    <d v="2021-04-07T00:00:00"/>
    <s v="MV VITA KOUAN"/>
    <x v="314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412"/>
    <m/>
    <x v="1172"/>
    <m/>
    <m/>
    <m/>
    <s v="CERRADO"/>
    <n v="203616"/>
    <x v="15"/>
    <x v="25"/>
    <x v="609"/>
    <d v="2021-03-01T00:00:00"/>
    <s v="CAD"/>
    <m/>
    <s v="TGOA-AS-210407-10"/>
    <m/>
    <d v="2021-04-23T00:00:00"/>
    <s v="CANCELADO"/>
    <s v="CFR"/>
    <m/>
    <x v="302"/>
    <n v="174"/>
    <m/>
    <x v="1206"/>
    <x v="3"/>
    <s v="Granel"/>
    <m/>
    <s v="Granel Sólido"/>
    <m/>
    <m/>
    <s v="MARZO '21"/>
    <x v="0"/>
    <m/>
    <m/>
    <m/>
    <x v="639"/>
    <m/>
    <m/>
    <x v="665"/>
    <n v="6"/>
    <n v="2021"/>
    <x v="0"/>
    <x v="0"/>
    <s v="JINGJIANG / CHINA"/>
    <x v="4"/>
    <m/>
    <x v="2"/>
    <x v="1028"/>
    <d v="2021-04-07T00:00:00"/>
    <s v="MV VITA KOUAN"/>
    <x v="314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O-S"/>
    <x v="0"/>
    <x v="1"/>
    <m/>
    <m/>
    <x v="1413"/>
    <m/>
    <x v="34"/>
    <m/>
    <m/>
    <m/>
    <m/>
    <m/>
    <x v="134"/>
    <x v="53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1"/>
    <s v="T-S"/>
    <x v="0"/>
    <x v="0"/>
    <m/>
    <m/>
    <x v="1414"/>
    <m/>
    <x v="1173"/>
    <m/>
    <m/>
    <m/>
    <s v="CERRADO"/>
    <n v="208067"/>
    <x v="115"/>
    <x v="53"/>
    <x v="632"/>
    <s v="FEBRERO '21"/>
    <n v="30"/>
    <s v="días FACT."/>
    <s v="F200-00043069"/>
    <m/>
    <d v="2021-03-18T00:00:00"/>
    <s v="CANCELADO"/>
    <s v="CFR"/>
    <m/>
    <x v="197"/>
    <n v="230"/>
    <m/>
    <x v="1207"/>
    <x v="31"/>
    <s v="Contenedor 20'"/>
    <m/>
    <s v="25 kg"/>
    <m/>
    <m/>
    <s v="FEBRERO '21"/>
    <x v="0"/>
    <m/>
    <m/>
    <m/>
    <x v="664"/>
    <m/>
    <m/>
    <x v="692"/>
    <n v="2"/>
    <n v="2021"/>
    <x v="0"/>
    <x v="0"/>
    <s v="CARTAGENA / COLOMBIA"/>
    <x v="2"/>
    <m/>
    <x v="6"/>
    <x v="1029"/>
    <d v="2021-02-11T00:00:00"/>
    <s v="CMA CGM OHIO"/>
    <x v="325"/>
    <x v="2"/>
    <m/>
    <s v="REALIZADO"/>
    <s v="SWB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415"/>
    <m/>
    <x v="1174"/>
    <m/>
    <m/>
    <m/>
    <s v="CERRADO"/>
    <n v="208067"/>
    <x v="115"/>
    <x v="53"/>
    <x v="633"/>
    <s v="FEBRERO '21"/>
    <n v="30"/>
    <s v="días FACT."/>
    <s v="F200-00043070"/>
    <m/>
    <d v="2021-03-18T00:00:00"/>
    <s v="CANCELADO"/>
    <s v="CFR"/>
    <m/>
    <x v="541"/>
    <n v="230"/>
    <m/>
    <x v="1208"/>
    <x v="38"/>
    <s v="Contenedor 20'"/>
    <m/>
    <s v="25 kg"/>
    <m/>
    <m/>
    <s v="FEBRERO '21"/>
    <x v="0"/>
    <m/>
    <m/>
    <m/>
    <x v="592"/>
    <m/>
    <m/>
    <x v="585"/>
    <n v="2"/>
    <n v="2021"/>
    <x v="0"/>
    <x v="0"/>
    <s v="CARTAGENA / COLOMBIA"/>
    <x v="0"/>
    <m/>
    <x v="2"/>
    <x v="1030"/>
    <d v="2021-02-12T00:00:00"/>
    <s v="CMA CGM SAMBHAR"/>
    <x v="310"/>
    <x v="2"/>
    <m/>
    <s v="REALIZADO"/>
    <s v="SWB"/>
    <m/>
    <m/>
    <m/>
    <x v="0"/>
    <d v="2021-03-09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416"/>
    <m/>
    <x v="1175"/>
    <m/>
    <d v="2021-10-18T00:00:00"/>
    <d v="2021-10-22T00:00:00"/>
    <s v="CERRADO"/>
    <n v="209979"/>
    <x v="1"/>
    <x v="57"/>
    <x v="634"/>
    <d v="2021-02-16T00:00:00"/>
    <n v="120"/>
    <s v="días BL"/>
    <s v="7300233553"/>
    <m/>
    <d v="2022-01-14T00:00:00"/>
    <s v="CANCELADO"/>
    <s v="CPT"/>
    <m/>
    <x v="542"/>
    <n v="495"/>
    <m/>
    <x v="1209"/>
    <x v="14"/>
    <s v="Contenedor 20'"/>
    <m/>
    <s v="Granel Sólido"/>
    <m/>
    <m/>
    <s v="MAYO '21"/>
    <x v="0"/>
    <d v="2021-09-15T00:00:00"/>
    <d v="2021-09-15T00:00:00"/>
    <d v="2021-10-06T00:00:00"/>
    <x v="665"/>
    <d v="2021-10-10T00:00:00"/>
    <m/>
    <x v="693"/>
    <n v="10"/>
    <n v="2021"/>
    <x v="0"/>
    <x v="0"/>
    <s v="HAMBURGO / ALEMANIA"/>
    <x v="0"/>
    <m/>
    <x v="2"/>
    <x v="1031"/>
    <d v="2021-09-16T00:00:00"/>
    <s v="CARTAGENA EXPRESS"/>
    <x v="326"/>
    <x v="9"/>
    <m/>
    <s v="REALIZADO"/>
    <s v="SWB"/>
    <m/>
    <m/>
    <m/>
    <x v="0"/>
    <m/>
    <m/>
    <x v="0"/>
    <x v="0"/>
    <m/>
    <m/>
    <x v="0"/>
    <e v="#REF!"/>
    <m/>
    <m/>
    <m/>
    <m/>
    <m/>
    <x v="0"/>
    <s v="anulada : 8000001225, 8000001676"/>
    <m/>
    <m/>
    <m/>
    <s v="NACIONALIZADO"/>
    <m/>
    <m/>
    <m/>
  </r>
  <r>
    <n v="2021"/>
    <s v="G-S"/>
    <x v="0"/>
    <x v="0"/>
    <m/>
    <m/>
    <x v="1417"/>
    <m/>
    <x v="1176"/>
    <m/>
    <d v="2021-10-26T00:00:00"/>
    <d v="2021-10-25T00:00:00"/>
    <s v="CERRADO"/>
    <n v="209979"/>
    <x v="1"/>
    <x v="57"/>
    <x v="635"/>
    <d v="2021-02-16T00:00:00"/>
    <n v="120"/>
    <s v="días BL"/>
    <s v="7300234395"/>
    <m/>
    <d v="2022-01-18T00:00:00"/>
    <s v="CANCELADO"/>
    <s v="CPT"/>
    <m/>
    <x v="543"/>
    <n v="485"/>
    <m/>
    <x v="1210"/>
    <x v="14"/>
    <s v="Contenedor 20'"/>
    <m/>
    <s v="Granel Sólido"/>
    <m/>
    <m/>
    <s v="MAYO '21"/>
    <x v="0"/>
    <d v="1899-12-30T00:00:00"/>
    <d v="2021-09-19T00:00:00"/>
    <d v="2021-10-14T00:00:00"/>
    <x v="666"/>
    <d v="2021-10-18T00:00:00"/>
    <m/>
    <x v="694"/>
    <n v="10"/>
    <n v="2021"/>
    <x v="0"/>
    <x v="0"/>
    <s v="HAMBURGO / ALEMANIA"/>
    <x v="2"/>
    <m/>
    <x v="3"/>
    <x v="1032"/>
    <d v="2021-09-20T00:00:00"/>
    <s v="CALLAO EXPRESS"/>
    <x v="32"/>
    <x v="2"/>
    <m/>
    <s v="REALIZADO"/>
    <s v="ORIGEN"/>
    <m/>
    <m/>
    <m/>
    <x v="0"/>
    <d v="2021-11-03T00:00:00"/>
    <m/>
    <x v="0"/>
    <x v="0"/>
    <m/>
    <m/>
    <x v="0"/>
    <e v="#REF!"/>
    <m/>
    <m/>
    <m/>
    <m/>
    <m/>
    <x v="0"/>
    <s v="anulada : 8000001226, 8000001677"/>
    <m/>
    <m/>
    <m/>
    <s v="NACIONALIZADO"/>
    <m/>
    <m/>
    <m/>
  </r>
  <r>
    <n v="2021"/>
    <s v="O-S"/>
    <x v="0"/>
    <x v="0"/>
    <m/>
    <m/>
    <x v="1418"/>
    <m/>
    <x v="1177"/>
    <m/>
    <m/>
    <m/>
    <s v="CERRADO"/>
    <n v="208063"/>
    <x v="104"/>
    <x v="53"/>
    <x v="636"/>
    <s v="FEBRERO '21"/>
    <s v="CAD"/>
    <m/>
    <s v="F200-43071"/>
    <m/>
    <d v="2021-03-12T00:00:00"/>
    <s v="CANCELADO"/>
    <s v="CFR"/>
    <m/>
    <x v="544"/>
    <n v="561.41999999999996"/>
    <m/>
    <x v="1211"/>
    <x v="16"/>
    <s v="Contenedor 20'"/>
    <m/>
    <s v="Granel Sólido"/>
    <m/>
    <m/>
    <s v="FEBRERO '21"/>
    <x v="0"/>
    <m/>
    <m/>
    <m/>
    <x v="667"/>
    <m/>
    <m/>
    <x v="669"/>
    <n v="4"/>
    <n v="2021"/>
    <x v="0"/>
    <x v="0"/>
    <s v="BREVIK / NORUEGA"/>
    <x v="2"/>
    <m/>
    <x v="3"/>
    <x v="1033"/>
    <d v="2021-02-20T00:00:00"/>
    <s v="ENERGIZER"/>
    <x v="30"/>
    <x v="9"/>
    <m/>
    <s v="REALIZADO"/>
    <s v="SWB"/>
    <m/>
    <m/>
    <m/>
    <x v="0"/>
    <d v="2021-04-09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O-S"/>
    <x v="0"/>
    <x v="0"/>
    <m/>
    <m/>
    <x v="1419"/>
    <m/>
    <x v="1178"/>
    <m/>
    <m/>
    <m/>
    <s v="CERRADO"/>
    <n v="203553"/>
    <x v="123"/>
    <x v="53"/>
    <x v="637"/>
    <s v="FEBRERO '21"/>
    <s v="CAD"/>
    <m/>
    <s v="F200-43073"/>
    <m/>
    <d v="2021-03-24T00:00:00"/>
    <s v="CANCELADO"/>
    <s v="CFR"/>
    <m/>
    <x v="545"/>
    <n v="278.05"/>
    <m/>
    <x v="1212"/>
    <x v="1"/>
    <s v="Contenedor 20'"/>
    <m/>
    <s v="Granel Sólido"/>
    <m/>
    <m/>
    <s v="FEBRERO '21"/>
    <x v="0"/>
    <m/>
    <m/>
    <m/>
    <x v="623"/>
    <m/>
    <m/>
    <x v="649"/>
    <n v="4"/>
    <n v="2021"/>
    <x v="0"/>
    <x v="0"/>
    <s v="ROTTERDAM / PAISES BAJOS"/>
    <x v="0"/>
    <m/>
    <x v="2"/>
    <x v="1034"/>
    <d v="2021-02-26T00:00:00"/>
    <s v="ENERGIZER"/>
    <x v="184"/>
    <x v="9"/>
    <m/>
    <s v="REALIZADO"/>
    <s v="SWB"/>
    <m/>
    <m/>
    <m/>
    <x v="0"/>
    <d v="2021-04-27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O-S"/>
    <x v="0"/>
    <x v="0"/>
    <m/>
    <m/>
    <x v="1420"/>
    <m/>
    <x v="1179"/>
    <m/>
    <m/>
    <m/>
    <s v="CERRADO"/>
    <n v="203553"/>
    <x v="123"/>
    <x v="53"/>
    <x v="638"/>
    <s v="FEBRERO '21"/>
    <s v="CAD"/>
    <m/>
    <s v="F200-43072"/>
    <m/>
    <d v="2021-03-24T00:00:00"/>
    <s v="CANCELADO"/>
    <s v="CFR"/>
    <m/>
    <x v="546"/>
    <n v="280.64999999999998"/>
    <m/>
    <x v="1213"/>
    <x v="1"/>
    <s v="Contenedor 20'"/>
    <m/>
    <s v="Granel Sólido"/>
    <m/>
    <m/>
    <s v="FEBRERO '21"/>
    <x v="0"/>
    <m/>
    <m/>
    <m/>
    <x v="643"/>
    <m/>
    <m/>
    <x v="671"/>
    <n v="4"/>
    <n v="2021"/>
    <x v="0"/>
    <x v="0"/>
    <s v="ROTTERDAM / PAISES BAJOS"/>
    <x v="2"/>
    <m/>
    <x v="3"/>
    <x v="1035"/>
    <d v="2021-02-26T00:00:00"/>
    <s v="ENERGIZER"/>
    <x v="184"/>
    <x v="9"/>
    <m/>
    <s v="REALIZADO"/>
    <s v="SWB"/>
    <m/>
    <m/>
    <m/>
    <x v="0"/>
    <d v="2021-04-30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S"/>
    <x v="0"/>
    <x v="0"/>
    <m/>
    <m/>
    <x v="1421"/>
    <m/>
    <x v="1180"/>
    <m/>
    <d v="2021-09-29T00:00:00"/>
    <d v="2021-10-04T00:00:00"/>
    <s v="CERRADO"/>
    <n v="206971"/>
    <x v="3"/>
    <x v="51"/>
    <x v="639"/>
    <d v="2021-02-15T00:00:00"/>
    <n v="90"/>
    <s v="días BL"/>
    <s v="5000611"/>
    <m/>
    <d v="2021-09-01T00:00:00"/>
    <s v="CANCELADO"/>
    <s v="CFR"/>
    <m/>
    <x v="134"/>
    <n v="477"/>
    <m/>
    <x v="1214"/>
    <x v="3"/>
    <s v="Granel - BB"/>
    <m/>
    <s v="25 kg"/>
    <m/>
    <m/>
    <s v="MAYO '21"/>
    <x v="0"/>
    <d v="1899-12-30T00:00:00"/>
    <d v="2021-08-01T00:00:00"/>
    <d v="2021-09-26T00:00:00"/>
    <x v="668"/>
    <d v="2021-10-06T00:00:00"/>
    <m/>
    <x v="695"/>
    <n v="10"/>
    <n v="2021"/>
    <x v="0"/>
    <x v="0"/>
    <s v="KAOHSIUNG / TAIWAN"/>
    <x v="2"/>
    <m/>
    <x v="6"/>
    <x v="1036"/>
    <d v="2021-05-30T00:00:00"/>
    <s v="HG HONGKONG"/>
    <x v="327"/>
    <x v="0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S"/>
    <x v="0"/>
    <x v="0"/>
    <m/>
    <m/>
    <x v="1422"/>
    <m/>
    <x v="1181"/>
    <m/>
    <d v="2021-09-07T00:00:00"/>
    <d v="2021-09-22T00:00:00"/>
    <s v="CERRADO"/>
    <n v="206971"/>
    <x v="3"/>
    <x v="51"/>
    <x v="639"/>
    <d v="2021-02-15T00:00:00"/>
    <n v="90"/>
    <s v="días BL"/>
    <s v="5000610"/>
    <m/>
    <d v="2021-08-28T00:00:00"/>
    <s v="CANCELADO"/>
    <s v="CFR"/>
    <m/>
    <x v="128"/>
    <n v="477"/>
    <m/>
    <x v="1215"/>
    <x v="3"/>
    <s v="Granel - BB"/>
    <m/>
    <s v="25 kg"/>
    <m/>
    <m/>
    <s v="MAYO '21"/>
    <x v="0"/>
    <m/>
    <d v="2021-08-01T00:00:00"/>
    <m/>
    <x v="631"/>
    <m/>
    <m/>
    <x v="696"/>
    <n v="9"/>
    <n v="2021"/>
    <x v="0"/>
    <x v="0"/>
    <s v="KAOHSIUNG / TAIWAN"/>
    <x v="0"/>
    <m/>
    <x v="5"/>
    <x v="1037"/>
    <d v="2021-05-30T00:00:00"/>
    <s v="HG HONGKONG"/>
    <x v="327"/>
    <x v="0"/>
    <m/>
    <s v="REALIZADO"/>
    <s v="DESTINO"/>
    <m/>
    <m/>
    <m/>
    <x v="0"/>
    <m/>
    <m/>
    <x v="0"/>
    <x v="0"/>
    <m/>
    <m/>
    <x v="0"/>
    <e v="#REF!"/>
    <m/>
    <m/>
    <m/>
    <m/>
    <m/>
    <x v="0"/>
    <s v="anulada : 8000001512"/>
    <m/>
    <m/>
    <m/>
    <s v="NACIONALIZADO"/>
    <m/>
    <m/>
    <m/>
  </r>
  <r>
    <n v="2021"/>
    <s v="-"/>
    <x v="0"/>
    <x v="0"/>
    <m/>
    <m/>
    <x v="1423"/>
    <m/>
    <x v="1182"/>
    <m/>
    <m/>
    <m/>
    <s v="CERRADO"/>
    <n v="7000135"/>
    <x v="135"/>
    <x v="53"/>
    <x v="640"/>
    <d v="2021-02-23T00:00:00"/>
    <s v="CAD"/>
    <m/>
    <s v="F200-43107"/>
    <m/>
    <d v="2021-06-08T00:00:00"/>
    <s v="CANCELADO"/>
    <s v="CFR"/>
    <m/>
    <x v="547"/>
    <n v="0.31"/>
    <m/>
    <x v="1216"/>
    <x v="3"/>
    <s v="Contenedor 20'"/>
    <m/>
    <s v="UND"/>
    <m/>
    <m/>
    <s v="MAYO '21"/>
    <x v="0"/>
    <m/>
    <m/>
    <m/>
    <x v="669"/>
    <m/>
    <m/>
    <x v="697"/>
    <n v="6"/>
    <n v="2021"/>
    <x v="0"/>
    <x v="0"/>
    <s v="CARTAGENA / COLOMBIA"/>
    <x v="2"/>
    <m/>
    <x v="3"/>
    <x v="1038"/>
    <d v="2021-05-26T00:00:00"/>
    <s v="CMA CGM JEAN GABRIEL"/>
    <x v="155"/>
    <x v="9"/>
    <m/>
    <s v="REALIZADO"/>
    <s v="SWB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-"/>
    <x v="0"/>
    <x v="0"/>
    <m/>
    <m/>
    <x v="1424"/>
    <m/>
    <x v="1183"/>
    <m/>
    <m/>
    <m/>
    <s v="CERRADO"/>
    <n v="7000135"/>
    <x v="135"/>
    <x v="53"/>
    <x v="72"/>
    <d v="2021-02-23T00:00:00"/>
    <s v="CAD"/>
    <m/>
    <s v="F200-43092"/>
    <m/>
    <d v="2021-06-08T00:00:00"/>
    <s v="CANCELADO"/>
    <s v="CFR"/>
    <m/>
    <x v="548"/>
    <n v="0.31"/>
    <m/>
    <x v="1217"/>
    <x v="3"/>
    <s v="Contenedor 20'"/>
    <m/>
    <s v="UND"/>
    <m/>
    <m/>
    <s v="MAYO '21"/>
    <x v="0"/>
    <m/>
    <m/>
    <m/>
    <x v="652"/>
    <m/>
    <m/>
    <x v="674"/>
    <n v="6"/>
    <n v="2021"/>
    <x v="0"/>
    <x v="0"/>
    <s v="CARTAGENA / COLOMBIA"/>
    <x v="0"/>
    <m/>
    <x v="2"/>
    <x v="1039"/>
    <d v="2021-05-21T00:00:00"/>
    <s v="CMA CGM SAMBHAR"/>
    <x v="310"/>
    <x v="2"/>
    <m/>
    <s v="REALIZADO"/>
    <s v="DESTINO"/>
    <m/>
    <m/>
    <m/>
    <x v="0"/>
    <d v="2021-06-15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P"/>
    <x v="0"/>
    <x v="0"/>
    <m/>
    <m/>
    <x v="1425"/>
    <m/>
    <x v="1184"/>
    <m/>
    <d v="2021-08-17T00:00:00"/>
    <d v="2021-08-18T00:00:00"/>
    <s v="CERRADO"/>
    <n v="203646"/>
    <x v="10"/>
    <x v="37"/>
    <x v="641"/>
    <d v="2021-03-10T00:00:00"/>
    <n v="90"/>
    <s v="días BL"/>
    <s v="36554"/>
    <m/>
    <d v="2021-10-19T00:00:00"/>
    <s v="CANCELADO"/>
    <s v="CFR"/>
    <m/>
    <x v="549"/>
    <n v="1096.8699999999999"/>
    <m/>
    <x v="1218"/>
    <x v="5"/>
    <s v="Contenedor 20'"/>
    <m/>
    <s v="IBC"/>
    <m/>
    <m/>
    <s v="JUNIO '21"/>
    <x v="0"/>
    <m/>
    <d v="2021-07-21T00:00:00"/>
    <m/>
    <x v="670"/>
    <m/>
    <m/>
    <x v="698"/>
    <n v="8"/>
    <n v="2021"/>
    <x v="0"/>
    <x v="0"/>
    <s v="VERACRUZ / MEXICO"/>
    <x v="0"/>
    <m/>
    <x v="2"/>
    <x v="1040"/>
    <d v="2021-07-21T00:00:00"/>
    <s v="SAFMARINE BENGUELA "/>
    <x v="318"/>
    <x v="6"/>
    <m/>
    <s v="REALIZADO"/>
    <s v="DESTINO"/>
    <m/>
    <m/>
    <m/>
    <x v="0"/>
    <m/>
    <m/>
    <x v="0"/>
    <x v="0"/>
    <m/>
    <m/>
    <x v="0"/>
    <e v="#REF!"/>
    <m/>
    <m/>
    <m/>
    <m/>
    <m/>
    <x v="0"/>
    <s v="anulada : 8000001460"/>
    <m/>
    <m/>
    <m/>
    <s v="NACIONALIZADO"/>
    <m/>
    <m/>
    <m/>
  </r>
  <r>
    <n v="2021"/>
    <s v="S-P"/>
    <x v="0"/>
    <x v="0"/>
    <m/>
    <m/>
    <x v="1426"/>
    <m/>
    <x v="1185"/>
    <m/>
    <d v="2021-09-11T00:00:00"/>
    <d v="2021-09-13T00:00:00"/>
    <s v="CERRADO"/>
    <n v="206766"/>
    <x v="10"/>
    <x v="37"/>
    <x v="642"/>
    <d v="2021-03-10T00:00:00"/>
    <n v="90"/>
    <s v="días BL"/>
    <s v="36912"/>
    <m/>
    <d v="2021-11-09T00:00:00"/>
    <s v="CANCELADO"/>
    <s v="CFR"/>
    <m/>
    <x v="60"/>
    <n v="1076.52"/>
    <m/>
    <x v="1219"/>
    <x v="8"/>
    <s v="Contenedor 20'"/>
    <m/>
    <s v="50 kg"/>
    <m/>
    <m/>
    <s v="JUNIO '21"/>
    <x v="0"/>
    <m/>
    <d v="2021-08-11T00:00:00"/>
    <m/>
    <x v="671"/>
    <m/>
    <m/>
    <x v="699"/>
    <n v="9"/>
    <n v="2021"/>
    <x v="0"/>
    <x v="0"/>
    <s v="VERACRUZ / MEXICO"/>
    <x v="0"/>
    <m/>
    <x v="1"/>
    <x v="1041"/>
    <d v="2021-08-11T00:00:00"/>
    <s v="MAERSK BALI"/>
    <x v="193"/>
    <x v="6"/>
    <m/>
    <s v="REALIZADO"/>
    <s v="DESTINO"/>
    <m/>
    <m/>
    <m/>
    <x v="0"/>
    <m/>
    <m/>
    <x v="0"/>
    <x v="0"/>
    <m/>
    <m/>
    <x v="0"/>
    <e v="#REF!"/>
    <m/>
    <m/>
    <m/>
    <m/>
    <m/>
    <x v="0"/>
    <s v="anulada: 8000001525"/>
    <m/>
    <m/>
    <m/>
    <s v="NACIONALIZADO"/>
    <m/>
    <m/>
    <m/>
  </r>
  <r>
    <n v="2021"/>
    <s v="S-P"/>
    <x v="0"/>
    <x v="0"/>
    <m/>
    <m/>
    <x v="1427"/>
    <m/>
    <x v="1186"/>
    <m/>
    <d v="2021-09-11T00:00:00"/>
    <d v="2021-09-14T00:00:00"/>
    <s v="CERRADO"/>
    <n v="206766"/>
    <x v="10"/>
    <x v="37"/>
    <x v="643"/>
    <d v="2021-03-10T00:00:00"/>
    <n v="90"/>
    <s v="días BL"/>
    <s v="36934"/>
    <m/>
    <d v="2021-11-15T00:00:00"/>
    <s v="CANCELADO"/>
    <s v="CFR"/>
    <m/>
    <x v="60"/>
    <n v="1053.1099999999999"/>
    <m/>
    <x v="1220"/>
    <x v="8"/>
    <s v="Contenedor 20'"/>
    <m/>
    <s v="50 kg"/>
    <m/>
    <m/>
    <s v="JUNIO '21"/>
    <x v="0"/>
    <m/>
    <d v="2021-08-17T00:00:00"/>
    <m/>
    <x v="672"/>
    <m/>
    <m/>
    <x v="700"/>
    <n v="9"/>
    <n v="2021"/>
    <x v="0"/>
    <x v="0"/>
    <s v="VERACRUZ / MEXICO"/>
    <x v="2"/>
    <m/>
    <x v="3"/>
    <x v="1042"/>
    <d v="2021-08-17T00:00:00"/>
    <s v="MH HAMBURG"/>
    <x v="328"/>
    <x v="6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S"/>
    <x v="0"/>
    <x v="0"/>
    <s v="URGENTE"/>
    <m/>
    <x v="1428"/>
    <m/>
    <x v="1187"/>
    <m/>
    <m/>
    <m/>
    <s v="CERRADO"/>
    <n v="207579"/>
    <x v="9"/>
    <x v="27"/>
    <x v="644"/>
    <d v="2021-03-11T00:00:00"/>
    <n v="150"/>
    <s v="días BL"/>
    <s v="B7FE-21-3031-MNPE"/>
    <m/>
    <d v="2021-09-17T00:00:00"/>
    <s v="CANCELADO"/>
    <s v="CFR"/>
    <m/>
    <x v="70"/>
    <n v="305"/>
    <m/>
    <x v="1221"/>
    <x v="3"/>
    <s v="Granel - BB"/>
    <m/>
    <s v="25 kg"/>
    <m/>
    <m/>
    <s v="MAR - ABR '21"/>
    <x v="0"/>
    <m/>
    <m/>
    <m/>
    <x v="645"/>
    <m/>
    <m/>
    <x v="656"/>
    <n v="7"/>
    <n v="2021"/>
    <x v="0"/>
    <x v="0"/>
    <s v="TIANJIN / CHINA"/>
    <x v="2"/>
    <m/>
    <x v="6"/>
    <x v="1043"/>
    <d v="2021-04-20T00:00:00"/>
    <s v="MV OCEAN APPLAUD "/>
    <x v="315"/>
    <x v="0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S"/>
    <x v="0"/>
    <x v="2"/>
    <s v="N/A"/>
    <m/>
    <x v="1429"/>
    <m/>
    <x v="34"/>
    <m/>
    <m/>
    <m/>
    <m/>
    <m/>
    <x v="9"/>
    <x v="27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1"/>
    <s v="S-S"/>
    <x v="0"/>
    <x v="0"/>
    <s v="URGENTE"/>
    <m/>
    <x v="1430"/>
    <m/>
    <x v="1188"/>
    <m/>
    <d v="2021-09-21T00:00:00"/>
    <d v="2021-09-22T00:00:00"/>
    <s v="CERRADO"/>
    <n v="207579"/>
    <x v="9"/>
    <x v="51"/>
    <x v="645"/>
    <d v="2021-03-11T00:00:00"/>
    <n v="90"/>
    <s v="días BL"/>
    <s v="5000704"/>
    <m/>
    <d v="2021-10-21T00:00:00"/>
    <s v="CANCELADO"/>
    <s v="CFR"/>
    <m/>
    <x v="7"/>
    <n v="336"/>
    <m/>
    <x v="1222"/>
    <x v="3"/>
    <s v="Granel - BB"/>
    <m/>
    <s v="25 kg"/>
    <m/>
    <m/>
    <s v="2H MAR - ABR '21"/>
    <x v="0"/>
    <m/>
    <d v="2021-08-01T00:00:00"/>
    <m/>
    <x v="631"/>
    <m/>
    <m/>
    <x v="701"/>
    <n v="9"/>
    <n v="2021"/>
    <x v="0"/>
    <x v="0"/>
    <s v="KAOHSIUNG / TAIWAN"/>
    <x v="0"/>
    <m/>
    <x v="2"/>
    <x v="1044"/>
    <d v="2021-07-23T00:00:00"/>
    <s v="HG HONGKONG"/>
    <x v="327"/>
    <x v="0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E-S"/>
    <x v="0"/>
    <x v="0"/>
    <m/>
    <m/>
    <x v="1431"/>
    <m/>
    <x v="1189"/>
    <m/>
    <m/>
    <m/>
    <s v="CERRADO"/>
    <n v="209865"/>
    <x v="49"/>
    <x v="51"/>
    <x v="646"/>
    <d v="2021-03-23T00:00:00"/>
    <n v="90"/>
    <s v="días BL"/>
    <s v="20210152"/>
    <m/>
    <d v="2021-07-11T00:00:00"/>
    <s v="CANCELADO"/>
    <s v="CPT"/>
    <m/>
    <x v="550"/>
    <e v="#REF!"/>
    <m/>
    <x v="551"/>
    <x v="11"/>
    <s v="Contenedor 20'"/>
    <m/>
    <s v="Granel Líquido"/>
    <m/>
    <m/>
    <s v="2H MAR - ABR '21"/>
    <x v="0"/>
    <m/>
    <m/>
    <m/>
    <x v="673"/>
    <m/>
    <m/>
    <x v="702"/>
    <n v="5"/>
    <n v="2021"/>
    <x v="0"/>
    <x v="0"/>
    <s v="VALENCIA / ESPAÑA"/>
    <x v="2"/>
    <m/>
    <x v="1"/>
    <x v="1045"/>
    <d v="2021-04-12T00:00:00"/>
    <s v="MARY"/>
    <x v="268"/>
    <x v="33"/>
    <m/>
    <s v="NO APLICA"/>
    <s v="ORIGEN"/>
    <m/>
    <m/>
    <m/>
    <x v="0"/>
    <m/>
    <m/>
    <x v="0"/>
    <x v="0"/>
    <m/>
    <m/>
    <x v="0"/>
    <e v="#REF!"/>
    <m/>
    <m/>
    <m/>
    <m/>
    <m/>
    <x v="0"/>
    <s v="anulada: 8000001293"/>
    <m/>
    <m/>
    <m/>
    <s v="NACIONALIZADO"/>
    <m/>
    <m/>
    <m/>
  </r>
  <r>
    <n v="2021"/>
    <s v="E-S"/>
    <x v="0"/>
    <x v="0"/>
    <m/>
    <m/>
    <x v="1432"/>
    <m/>
    <x v="1190"/>
    <m/>
    <m/>
    <m/>
    <s v="CERRADO"/>
    <n v="203618"/>
    <x v="59"/>
    <x v="51"/>
    <x v="647"/>
    <d v="2021-03-23T00:00:00"/>
    <n v="90"/>
    <s v="días BL"/>
    <s v="5000543"/>
    <m/>
    <d v="2021-06-29T00:00:00"/>
    <s v="CANCELADO"/>
    <s v="CPT"/>
    <m/>
    <x v="236"/>
    <n v="960"/>
    <m/>
    <x v="1223"/>
    <x v="11"/>
    <s v="Contenedor 20'"/>
    <m/>
    <s v="IBC"/>
    <m/>
    <m/>
    <s v="MAR - 2H ABR '21"/>
    <x v="0"/>
    <m/>
    <m/>
    <m/>
    <x v="622"/>
    <m/>
    <m/>
    <x v="703"/>
    <n v="5"/>
    <n v="2021"/>
    <x v="0"/>
    <x v="0"/>
    <s v="SHANGAI / CHINA"/>
    <x v="2"/>
    <m/>
    <x v="3"/>
    <x v="1046"/>
    <d v="2021-03-31T00:00:00"/>
    <s v="EVER LOADING"/>
    <x v="329"/>
    <x v="36"/>
    <m/>
    <s v="REALIZADO"/>
    <s v="ORIGEN"/>
    <m/>
    <m/>
    <m/>
    <x v="0"/>
    <d v="2021-05-23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A-S"/>
    <x v="0"/>
    <x v="0"/>
    <m/>
    <m/>
    <x v="1433"/>
    <m/>
    <x v="1191"/>
    <m/>
    <m/>
    <m/>
    <s v="CERRADO"/>
    <n v="209882"/>
    <x v="95"/>
    <x v="45"/>
    <x v="8"/>
    <s v="MARZO '21"/>
    <n v="60"/>
    <s v="días BL"/>
    <s v="60356"/>
    <m/>
    <d v="2021-09-02T00:00:00"/>
    <s v="CANCELADO"/>
    <s v="CFR"/>
    <m/>
    <x v="551"/>
    <n v="1827.8588130497701"/>
    <m/>
    <x v="1224"/>
    <x v="11"/>
    <s v="Contenedor 40'"/>
    <m/>
    <s v="10LT"/>
    <m/>
    <m/>
    <s v="MARZO '21"/>
    <x v="0"/>
    <m/>
    <m/>
    <m/>
    <x v="674"/>
    <m/>
    <m/>
    <x v="704"/>
    <n v="7"/>
    <n v="2021"/>
    <x v="0"/>
    <x v="0"/>
    <s v="CALIFORNIA / USA"/>
    <x v="2"/>
    <m/>
    <x v="3"/>
    <x v="1047"/>
    <d v="2021-07-04T00:00:00"/>
    <s v="HYUNDAI SATURN"/>
    <x v="330"/>
    <x v="37"/>
    <m/>
    <s v="REALIZADO"/>
    <s v="DESTINO"/>
    <m/>
    <m/>
    <m/>
    <x v="0"/>
    <d v="2021-07-27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A-S"/>
    <x v="0"/>
    <x v="0"/>
    <m/>
    <m/>
    <x v="1434"/>
    <m/>
    <x v="1192"/>
    <m/>
    <m/>
    <m/>
    <s v="CERRADO"/>
    <n v="209882"/>
    <x v="95"/>
    <x v="45"/>
    <x v="8"/>
    <s v="MARZO '21"/>
    <n v="60"/>
    <s v="días BL"/>
    <s v="59310"/>
    <m/>
    <d v="2021-09-06T00:00:00"/>
    <s v="CANCELADO"/>
    <s v="CFR"/>
    <m/>
    <x v="552"/>
    <n v="1990.1559454190999"/>
    <m/>
    <x v="1225"/>
    <x v="11"/>
    <s v="Contenedor 40'"/>
    <m/>
    <s v="10LT"/>
    <m/>
    <m/>
    <s v="MARZO '21"/>
    <x v="0"/>
    <m/>
    <m/>
    <m/>
    <x v="674"/>
    <m/>
    <m/>
    <x v="704"/>
    <n v="7"/>
    <n v="2021"/>
    <x v="0"/>
    <x v="0"/>
    <s v="CALIFORNIA / USA"/>
    <x v="2"/>
    <m/>
    <x v="3"/>
    <x v="1048"/>
    <d v="2021-07-08T00:00:00"/>
    <s v="MSC ROMANE"/>
    <x v="330"/>
    <x v="37"/>
    <m/>
    <s v="REALIZADO"/>
    <s v="DESTINO"/>
    <m/>
    <m/>
    <m/>
    <x v="0"/>
    <d v="2021-07-27T00:00:00"/>
    <m/>
    <x v="0"/>
    <x v="0"/>
    <m/>
    <m/>
    <x v="0"/>
    <e v="#REF!"/>
    <m/>
    <m/>
    <m/>
    <m/>
    <m/>
    <x v="0"/>
    <s v="anulada: 8000001422"/>
    <m/>
    <m/>
    <m/>
    <s v="NACIONALIZADO"/>
    <m/>
    <m/>
    <m/>
  </r>
  <r>
    <n v="2021"/>
    <s v="G-S"/>
    <x v="0"/>
    <x v="0"/>
    <m/>
    <m/>
    <x v="1435"/>
    <m/>
    <x v="1193"/>
    <m/>
    <m/>
    <m/>
    <s v="CERRADO"/>
    <n v="208300"/>
    <x v="47"/>
    <x v="25"/>
    <x v="648"/>
    <d v="2021-03-30T00:00:00"/>
    <s v="CAD"/>
    <m/>
    <s v="TGOA-AS-210406-3"/>
    <m/>
    <d v="2021-04-23T00:00:00"/>
    <s v="CANCELADO"/>
    <s v="CFR"/>
    <m/>
    <x v="553"/>
    <n v="219"/>
    <m/>
    <x v="1226"/>
    <x v="3"/>
    <s v="Granel"/>
    <m/>
    <s v="Granel Sólido"/>
    <m/>
    <m/>
    <s v="1H ABRIL '21"/>
    <x v="0"/>
    <m/>
    <m/>
    <m/>
    <x v="636"/>
    <m/>
    <m/>
    <x v="705"/>
    <n v="5"/>
    <n v="2021"/>
    <x v="0"/>
    <x v="0"/>
    <s v="JINGJIANG / CHINA"/>
    <x v="0"/>
    <m/>
    <x v="2"/>
    <x v="1049"/>
    <d v="2021-04-06T00:00:00"/>
    <s v="MV VITA KOUAN"/>
    <x v="314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436"/>
    <m/>
    <x v="1194"/>
    <m/>
    <m/>
    <m/>
    <s v="CERRADO"/>
    <n v="208300"/>
    <x v="47"/>
    <x v="25"/>
    <x v="648"/>
    <d v="2021-03-30T00:00:00"/>
    <s v="CAD"/>
    <m/>
    <s v="TGOA-AS-210406-4"/>
    <m/>
    <d v="2021-04-23T00:00:00"/>
    <s v="CANCELADO"/>
    <s v="CFR"/>
    <m/>
    <x v="7"/>
    <n v="219"/>
    <m/>
    <x v="1227"/>
    <x v="3"/>
    <s v="Granel"/>
    <m/>
    <s v="Granel Sólido"/>
    <m/>
    <m/>
    <s v="1H ABRIL '21"/>
    <x v="0"/>
    <m/>
    <m/>
    <m/>
    <x v="637"/>
    <m/>
    <m/>
    <x v="662"/>
    <n v="5"/>
    <n v="2021"/>
    <x v="0"/>
    <x v="0"/>
    <s v="JINGJIANG / CHINA"/>
    <x v="1"/>
    <m/>
    <x v="2"/>
    <x v="1050"/>
    <d v="2021-04-06T00:00:00"/>
    <s v="MV VITA KOUAN"/>
    <x v="314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437"/>
    <m/>
    <x v="1195"/>
    <m/>
    <m/>
    <m/>
    <s v="CERRADO"/>
    <n v="208300"/>
    <x v="47"/>
    <x v="25"/>
    <x v="648"/>
    <d v="2021-03-30T00:00:00"/>
    <s v="CAD"/>
    <m/>
    <s v="TGOA-AS-210406-5"/>
    <m/>
    <d v="2021-04-23T00:00:00"/>
    <s v="CANCELADO"/>
    <s v="CFR"/>
    <m/>
    <x v="7"/>
    <n v="219"/>
    <m/>
    <x v="1227"/>
    <x v="3"/>
    <s v="Granel"/>
    <m/>
    <s v="Granel Sólido"/>
    <m/>
    <m/>
    <s v="1H ABRIL '21"/>
    <x v="0"/>
    <m/>
    <m/>
    <m/>
    <x v="618"/>
    <m/>
    <m/>
    <x v="663"/>
    <n v="6"/>
    <n v="2021"/>
    <x v="0"/>
    <x v="0"/>
    <s v="JINGJIANG / CHINA"/>
    <x v="2"/>
    <m/>
    <x v="3"/>
    <x v="1051"/>
    <d v="2021-04-06T00:00:00"/>
    <s v="MV VITA KOUAN"/>
    <x v="314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438"/>
    <m/>
    <x v="1196"/>
    <m/>
    <m/>
    <m/>
    <s v="CERRADO"/>
    <n v="208300"/>
    <x v="47"/>
    <x v="25"/>
    <x v="648"/>
    <d v="2021-03-30T00:00:00"/>
    <s v="CAD"/>
    <m/>
    <s v="TGOA-AS-210406-6"/>
    <m/>
    <d v="2021-04-23T00:00:00"/>
    <s v="CANCELADO"/>
    <s v="CFR"/>
    <m/>
    <x v="331"/>
    <n v="219"/>
    <m/>
    <x v="1228"/>
    <x v="3"/>
    <s v="Granel"/>
    <m/>
    <s v="Granel Sólido"/>
    <m/>
    <m/>
    <s v="1H ABRIL '21"/>
    <x v="0"/>
    <m/>
    <m/>
    <m/>
    <x v="639"/>
    <m/>
    <m/>
    <x v="665"/>
    <n v="6"/>
    <n v="2021"/>
    <x v="0"/>
    <x v="0"/>
    <s v="JINGJIANG / CHINA"/>
    <x v="4"/>
    <m/>
    <x v="2"/>
    <x v="1052"/>
    <d v="2021-04-06T00:00:00"/>
    <s v="MV VITA KOUAN"/>
    <x v="314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E-S"/>
    <x v="0"/>
    <x v="0"/>
    <m/>
    <m/>
    <x v="1439"/>
    <m/>
    <x v="1197"/>
    <m/>
    <m/>
    <m/>
    <s v="CERRADO"/>
    <n v="206613"/>
    <x v="81"/>
    <x v="10"/>
    <x v="649"/>
    <d v="2021-03-31T00:00:00"/>
    <s v="CAD"/>
    <m/>
    <s v="306028792"/>
    <m/>
    <d v="2021-06-08T00:00:00"/>
    <s v="CANCELADO"/>
    <s v="CFR"/>
    <m/>
    <x v="554"/>
    <n v="280"/>
    <m/>
    <x v="1229"/>
    <x v="5"/>
    <s v="Contenedor 20'"/>
    <m/>
    <s v="Granel Sólido"/>
    <m/>
    <m/>
    <s v="MAYO '21"/>
    <x v="0"/>
    <m/>
    <m/>
    <m/>
    <x v="675"/>
    <m/>
    <m/>
    <x v="706"/>
    <n v="7"/>
    <n v="2021"/>
    <x v="0"/>
    <x v="0"/>
    <s v="TEESPORT / UK"/>
    <x v="2"/>
    <m/>
    <x v="6"/>
    <x v="1053"/>
    <d v="2021-06-07T00:00:00"/>
    <s v="SPICA J"/>
    <x v="241"/>
    <x v="3"/>
    <m/>
    <s v="REALIZADO"/>
    <s v="ORIGEN"/>
    <m/>
    <m/>
    <m/>
    <x v="0"/>
    <d v="2021-07-25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E-S"/>
    <x v="0"/>
    <x v="0"/>
    <m/>
    <m/>
    <x v="1440"/>
    <m/>
    <x v="1198"/>
    <m/>
    <m/>
    <m/>
    <s v="CERRADO"/>
    <n v="206613"/>
    <x v="81"/>
    <x v="10"/>
    <x v="650"/>
    <d v="2021-03-31T00:00:00"/>
    <s v="CAD"/>
    <m/>
    <s v="306028939"/>
    <m/>
    <d v="2021-06-08T00:00:00"/>
    <s v="CANCELADO"/>
    <s v="CFR"/>
    <m/>
    <x v="555"/>
    <n v="280"/>
    <m/>
    <x v="1230"/>
    <x v="33"/>
    <s v="Contenedor 20'"/>
    <m/>
    <s v="Granel Sólido"/>
    <m/>
    <m/>
    <s v="MAYO '21"/>
    <x v="0"/>
    <m/>
    <m/>
    <m/>
    <x v="676"/>
    <m/>
    <m/>
    <x v="704"/>
    <n v="7"/>
    <n v="2021"/>
    <x v="0"/>
    <x v="0"/>
    <s v="TEESPORT / UK"/>
    <x v="0"/>
    <m/>
    <x v="5"/>
    <x v="1054"/>
    <d v="2021-06-01T00:00:00"/>
    <s v="SPICA J"/>
    <x v="222"/>
    <x v="3"/>
    <m/>
    <s v="REALIZADO"/>
    <s v="ORIGEN"/>
    <m/>
    <m/>
    <m/>
    <x v="0"/>
    <d v="2021-07-29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E-S"/>
    <x v="0"/>
    <x v="0"/>
    <m/>
    <m/>
    <x v="1441"/>
    <m/>
    <x v="1199"/>
    <m/>
    <d v="2021-08-19T00:00:00"/>
    <d v="2021-08-19T00:00:00"/>
    <s v="CERRADO"/>
    <n v="206613"/>
    <x v="81"/>
    <x v="10"/>
    <x v="650"/>
    <d v="2021-03-31T00:00:00"/>
    <s v="CAD"/>
    <m/>
    <s v="306029252"/>
    <m/>
    <d v="2021-07-06T00:00:00"/>
    <s v="CANCELADO"/>
    <s v="CFR"/>
    <m/>
    <x v="556"/>
    <n v="280"/>
    <m/>
    <x v="1231"/>
    <x v="11"/>
    <s v="Contenedor 20'"/>
    <m/>
    <s v="Granel Sólido"/>
    <m/>
    <m/>
    <s v="MAYO '21"/>
    <x v="0"/>
    <m/>
    <d v="2021-06-29T00:00:00"/>
    <m/>
    <x v="677"/>
    <m/>
    <m/>
    <x v="707"/>
    <n v="8"/>
    <n v="2021"/>
    <x v="0"/>
    <x v="0"/>
    <s v="TEESPORT / UK"/>
    <x v="0"/>
    <m/>
    <x v="2"/>
    <x v="1055"/>
    <d v="2021-06-29T00:00:00"/>
    <s v="BG IRELAND"/>
    <x v="331"/>
    <x v="3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E-S"/>
    <x v="0"/>
    <x v="0"/>
    <m/>
    <m/>
    <x v="1442"/>
    <m/>
    <x v="1200"/>
    <m/>
    <m/>
    <m/>
    <s v="CERRADO"/>
    <n v="207522"/>
    <x v="11"/>
    <x v="10"/>
    <x v="651"/>
    <d v="2021-03-30T00:00:00"/>
    <s v="CAD"/>
    <m/>
    <s v="306028228"/>
    <m/>
    <d v="2021-04-30T00:00:00"/>
    <s v="CANCELADO"/>
    <s v="CFR"/>
    <m/>
    <x v="557"/>
    <n v="265"/>
    <m/>
    <x v="1232"/>
    <x v="14"/>
    <s v="Contenedor 20'"/>
    <m/>
    <s v="Granel Sólido"/>
    <m/>
    <m/>
    <s v="MAYO '21"/>
    <x v="0"/>
    <m/>
    <m/>
    <m/>
    <x v="678"/>
    <m/>
    <m/>
    <x v="705"/>
    <n v="5"/>
    <n v="2021"/>
    <x v="0"/>
    <x v="0"/>
    <s v="TEESPORT / UK"/>
    <x v="2"/>
    <m/>
    <x v="10"/>
    <x v="1056"/>
    <d v="2021-04-17T00:00:00"/>
    <s v="BF IRELAND"/>
    <x v="328"/>
    <x v="3"/>
    <m/>
    <s v="REALIZADO"/>
    <s v="ORIGEN"/>
    <m/>
    <m/>
    <m/>
    <x v="0"/>
    <d v="2021-06-05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O-S"/>
    <x v="0"/>
    <x v="0"/>
    <m/>
    <m/>
    <x v="1443"/>
    <m/>
    <x v="1201"/>
    <m/>
    <m/>
    <m/>
    <s v="CERRADO"/>
    <n v="204750"/>
    <x v="120"/>
    <x v="53"/>
    <x v="16"/>
    <s v="ABRIL '21"/>
    <s v="CAD"/>
    <m/>
    <s v="F200-43081"/>
    <m/>
    <d v="2021-05-06T00:00:00"/>
    <s v="CANCELADO"/>
    <s v="CFR"/>
    <m/>
    <x v="78"/>
    <n v="591"/>
    <m/>
    <x v="1233"/>
    <x v="2"/>
    <s v="Contenedor 20'"/>
    <m/>
    <s v="50 kg"/>
    <m/>
    <m/>
    <s v="ABRIL '21"/>
    <x v="0"/>
    <m/>
    <m/>
    <m/>
    <x v="641"/>
    <m/>
    <m/>
    <x v="708"/>
    <n v="5"/>
    <n v="2021"/>
    <x v="0"/>
    <x v="0"/>
    <s v="CARTAGENA / COLOMBIA"/>
    <x v="2"/>
    <m/>
    <x v="3"/>
    <x v="1057"/>
    <d v="2021-04-23T00:00:00"/>
    <s v="POLAR CHILE"/>
    <x v="297"/>
    <x v="6"/>
    <m/>
    <s v="REALIZADO"/>
    <s v="ORIGEN"/>
    <m/>
    <m/>
    <m/>
    <x v="0"/>
    <d v="2021-05-07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O-S"/>
    <x v="0"/>
    <x v="0"/>
    <m/>
    <m/>
    <x v="1444"/>
    <m/>
    <x v="1202"/>
    <m/>
    <m/>
    <m/>
    <s v="CERRADO"/>
    <n v="204750"/>
    <x v="120"/>
    <x v="53"/>
    <x v="16"/>
    <s v="ABRIL '21"/>
    <s v="CAD"/>
    <m/>
    <s v="F200-43087"/>
    <m/>
    <d v="2021-05-06T00:00:00"/>
    <s v="CANCELADO"/>
    <s v="CFR"/>
    <m/>
    <x v="419"/>
    <n v="591"/>
    <m/>
    <x v="1234"/>
    <x v="21"/>
    <s v="Contenedor 20'"/>
    <m/>
    <s v="50 kg"/>
    <m/>
    <m/>
    <s v="ABRIL '21"/>
    <x v="0"/>
    <m/>
    <m/>
    <m/>
    <x v="647"/>
    <m/>
    <m/>
    <x v="709"/>
    <n v="6"/>
    <n v="2021"/>
    <x v="0"/>
    <x v="0"/>
    <s v="CARTAGENA / COLOMBIA"/>
    <x v="4"/>
    <m/>
    <x v="2"/>
    <x v="1058"/>
    <d v="2021-04-30T00:00:00"/>
    <s v="LIMARI"/>
    <x v="129"/>
    <x v="2"/>
    <m/>
    <s v="REALIZADO"/>
    <s v="DESTINO"/>
    <m/>
    <m/>
    <m/>
    <x v="0"/>
    <d v="2021-07-09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C"/>
    <x v="0"/>
    <x v="0"/>
    <m/>
    <m/>
    <x v="1445"/>
    <m/>
    <x v="1203"/>
    <m/>
    <m/>
    <m/>
    <s v="CERRADO"/>
    <n v="206573"/>
    <x v="5"/>
    <x v="41"/>
    <x v="652"/>
    <d v="2021-04-09T00:00:00"/>
    <n v="150"/>
    <s v="días BL"/>
    <s v="B7FE-21-3033-ANPE-01"/>
    <m/>
    <d v="2021-09-28T00:00:00"/>
    <s v="CANCELADO"/>
    <s v="CFR"/>
    <m/>
    <x v="43"/>
    <n v="356.63"/>
    <n v="69"/>
    <x v="1235"/>
    <x v="3"/>
    <s v="Granel"/>
    <m/>
    <s v="Granel Sólido"/>
    <m/>
    <m/>
    <s v="JULIO '21"/>
    <x v="0"/>
    <m/>
    <m/>
    <m/>
    <x v="648"/>
    <m/>
    <m/>
    <x v="664"/>
    <n v="6"/>
    <n v="2021"/>
    <x v="0"/>
    <x v="0"/>
    <s v="RIGA / LETONIA"/>
    <x v="0"/>
    <m/>
    <x v="2"/>
    <x v="19"/>
    <d v="2021-05-01T00:00:00"/>
    <s v="MV JINLING CONFIDENCE "/>
    <x v="316"/>
    <x v="0"/>
    <m/>
    <s v="NO APLICA"/>
    <s v="ORIGEN"/>
    <m/>
    <m/>
    <m/>
    <x v="0"/>
    <n v="32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C"/>
    <x v="0"/>
    <x v="0"/>
    <m/>
    <m/>
    <x v="1446"/>
    <m/>
    <x v="1204"/>
    <m/>
    <m/>
    <m/>
    <s v="CERRADO"/>
    <n v="206573"/>
    <x v="5"/>
    <x v="41"/>
    <x v="652"/>
    <d v="2021-04-09T00:00:00"/>
    <n v="150"/>
    <s v="días BL"/>
    <s v="B7FE-21-3033-ANPE-02"/>
    <m/>
    <d v="2021-09-28T00:00:00"/>
    <s v="CANCELADO"/>
    <s v="CFR"/>
    <m/>
    <x v="44"/>
    <n v="356.63"/>
    <n v="69"/>
    <x v="1236"/>
    <x v="3"/>
    <s v="Granel"/>
    <m/>
    <s v="Granel Sólido"/>
    <m/>
    <m/>
    <s v="JULIO '21"/>
    <x v="0"/>
    <m/>
    <m/>
    <m/>
    <x v="638"/>
    <m/>
    <m/>
    <x v="674"/>
    <n v="6"/>
    <n v="2021"/>
    <x v="0"/>
    <x v="0"/>
    <s v="RIGA / LETONIA"/>
    <x v="1"/>
    <m/>
    <x v="2"/>
    <x v="44"/>
    <d v="2021-05-01T00:00:00"/>
    <s v="MV JINLING CONFIDENCE "/>
    <x v="316"/>
    <x v="0"/>
    <m/>
    <s v="NO APLICA"/>
    <s v="ORIGEN"/>
    <m/>
    <m/>
    <m/>
    <x v="0"/>
    <n v="35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C"/>
    <x v="0"/>
    <x v="0"/>
    <m/>
    <m/>
    <x v="1447"/>
    <m/>
    <x v="1205"/>
    <m/>
    <m/>
    <m/>
    <s v="CERRADO"/>
    <n v="206573"/>
    <x v="5"/>
    <x v="41"/>
    <x v="652"/>
    <d v="2021-04-09T00:00:00"/>
    <n v="150"/>
    <s v="días BL"/>
    <s v="B7FE-21-3033-ANPE-03"/>
    <m/>
    <d v="2021-09-28T00:00:00"/>
    <s v="CANCELADO"/>
    <s v="CFR"/>
    <m/>
    <x v="44"/>
    <n v="356.63"/>
    <n v="69"/>
    <x v="1236"/>
    <x v="3"/>
    <s v="Granel"/>
    <m/>
    <s v="Granel Sólido"/>
    <m/>
    <m/>
    <s v="JULIO '21"/>
    <x v="0"/>
    <m/>
    <m/>
    <m/>
    <x v="649"/>
    <m/>
    <m/>
    <x v="663"/>
    <n v="6"/>
    <n v="2021"/>
    <x v="0"/>
    <x v="0"/>
    <s v="RIGA / LETONIA"/>
    <x v="3"/>
    <m/>
    <x v="1"/>
    <x v="20"/>
    <d v="2021-05-01T00:00:00"/>
    <s v="MV JINLING CONFIDENCE "/>
    <x v="316"/>
    <x v="0"/>
    <m/>
    <s v="NO APLICA"/>
    <s v="ORIGEN"/>
    <m/>
    <m/>
    <m/>
    <x v="0"/>
    <n v="42"/>
    <m/>
    <x v="0"/>
    <x v="0"/>
    <m/>
    <m/>
    <x v="0"/>
    <e v="#REF!"/>
    <m/>
    <m/>
    <m/>
    <m/>
    <m/>
    <x v="0"/>
    <s v="anulada: 8000001329"/>
    <m/>
    <m/>
    <m/>
    <s v="NACIONALIZADO"/>
    <m/>
    <m/>
    <m/>
  </r>
  <r>
    <n v="2021"/>
    <s v="G-C"/>
    <x v="0"/>
    <x v="0"/>
    <m/>
    <m/>
    <x v="1448"/>
    <m/>
    <x v="1206"/>
    <m/>
    <m/>
    <m/>
    <s v="CERRADO"/>
    <n v="206573"/>
    <x v="5"/>
    <x v="41"/>
    <x v="652"/>
    <d v="2021-04-09T00:00:00"/>
    <n v="150"/>
    <s v="días BL"/>
    <s v="B7FE-21-3033-ANPE-04"/>
    <m/>
    <d v="2021-09-28T00:00:00"/>
    <s v="CANCELADO"/>
    <s v="CFR"/>
    <m/>
    <x v="54"/>
    <n v="356.63"/>
    <n v="69"/>
    <x v="1237"/>
    <x v="3"/>
    <s v="Granel"/>
    <m/>
    <s v="Granel Sólido"/>
    <m/>
    <m/>
    <s v="JULIO '21"/>
    <x v="0"/>
    <m/>
    <m/>
    <m/>
    <x v="649"/>
    <m/>
    <m/>
    <x v="663"/>
    <n v="6"/>
    <n v="2021"/>
    <x v="0"/>
    <x v="0"/>
    <s v="RIGA / LETONIA"/>
    <x v="3"/>
    <m/>
    <x v="1"/>
    <x v="45"/>
    <d v="2021-05-01T00:00:00"/>
    <s v="MV JINLING CONFIDENCE "/>
    <x v="316"/>
    <x v="0"/>
    <m/>
    <s v="NO APLICA"/>
    <s v="ORIGEN"/>
    <m/>
    <m/>
    <m/>
    <x v="0"/>
    <n v="42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C"/>
    <x v="0"/>
    <x v="0"/>
    <m/>
    <m/>
    <x v="1449"/>
    <m/>
    <x v="1207"/>
    <m/>
    <m/>
    <m/>
    <s v="CERRADO"/>
    <n v="206573"/>
    <x v="5"/>
    <x v="41"/>
    <x v="652"/>
    <d v="2021-04-09T00:00:00"/>
    <n v="150"/>
    <s v="días BL"/>
    <s v="B7FE-21-3033-ANPE-05"/>
    <m/>
    <d v="2021-09-28T00:00:00"/>
    <s v="CANCELADO"/>
    <s v="CFR"/>
    <m/>
    <x v="41"/>
    <n v="356.63"/>
    <n v="69"/>
    <x v="1238"/>
    <x v="3"/>
    <s v="Granel"/>
    <m/>
    <s v="Granel Sólido"/>
    <m/>
    <m/>
    <s v="JULIO '21"/>
    <x v="0"/>
    <m/>
    <m/>
    <m/>
    <x v="650"/>
    <m/>
    <m/>
    <x v="675"/>
    <n v="6"/>
    <n v="2021"/>
    <x v="0"/>
    <x v="0"/>
    <s v="RIGA / LETONIA"/>
    <x v="4"/>
    <m/>
    <x v="2"/>
    <x v="1"/>
    <d v="2021-05-01T00:00:00"/>
    <s v="MV JINLING CONFIDENCE "/>
    <x v="316"/>
    <x v="0"/>
    <m/>
    <s v="NO APLICA"/>
    <s v="ORIGEN"/>
    <m/>
    <m/>
    <m/>
    <x v="0"/>
    <n v="46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450"/>
    <m/>
    <x v="1208"/>
    <m/>
    <d v="1899-12-30T00:00:00"/>
    <d v="2021-11-15T00:00:00"/>
    <s v="CERRADO"/>
    <n v="209979"/>
    <x v="1"/>
    <x v="57"/>
    <x v="653"/>
    <d v="2021-04-09T00:00:00"/>
    <n v="120"/>
    <s v="días BL"/>
    <s v="7300242776"/>
    <m/>
    <d v="2022-02-08T00:00:00"/>
    <s v="CANCELADO"/>
    <s v="CPT"/>
    <m/>
    <x v="558"/>
    <n v="510"/>
    <m/>
    <x v="1239"/>
    <x v="10"/>
    <s v="Contenedor 20'"/>
    <m/>
    <s v="Granel Sólido"/>
    <m/>
    <m/>
    <s v="JUNIO '21"/>
    <x v="0"/>
    <d v="2021-10-03T00:00:00"/>
    <d v="2021-10-11T00:00:00"/>
    <d v="2021-10-29T00:00:00"/>
    <x v="679"/>
    <d v="2021-11-02T00:00:00"/>
    <m/>
    <x v="710"/>
    <n v="11"/>
    <n v="2021"/>
    <x v="0"/>
    <x v="0"/>
    <s v="HAMBURGO / ALEMANIA"/>
    <x v="2"/>
    <m/>
    <x v="3"/>
    <x v="1059"/>
    <d v="2021-10-11T00:00:00"/>
    <s v="GUAYAQUIL EXPRESS"/>
    <x v="42"/>
    <x v="9"/>
    <m/>
    <s v="PENDIENTE"/>
    <s v="SWB"/>
    <m/>
    <m/>
    <m/>
    <x v="0"/>
    <m/>
    <m/>
    <x v="0"/>
    <x v="0"/>
    <m/>
    <m/>
    <x v="0"/>
    <e v="#REF!"/>
    <m/>
    <m/>
    <m/>
    <m/>
    <m/>
    <x v="0"/>
    <s v="anulada : 8000001275"/>
    <m/>
    <m/>
    <m/>
    <s v="NACIONALIZADO"/>
    <m/>
    <m/>
    <m/>
  </r>
  <r>
    <n v="2021"/>
    <s v="S-S"/>
    <x v="0"/>
    <x v="0"/>
    <m/>
    <m/>
    <x v="1451"/>
    <m/>
    <x v="1209"/>
    <m/>
    <d v="2021-09-06T00:00:00"/>
    <d v="2021-09-13T00:00:00"/>
    <s v="CERRADO"/>
    <n v="205257"/>
    <x v="125"/>
    <x v="39"/>
    <x v="654"/>
    <d v="2021-04-13T00:00:00"/>
    <s v="CAD"/>
    <m/>
    <s v="#247/2021"/>
    <m/>
    <d v="2020-06-18T00:00:00"/>
    <s v="CANCELADO"/>
    <s v="CIF"/>
    <m/>
    <x v="8"/>
    <n v="172"/>
    <m/>
    <x v="1240"/>
    <x v="3"/>
    <s v="Granel - BB"/>
    <m/>
    <s v="25 kg"/>
    <m/>
    <m/>
    <s v="MAYO '21"/>
    <x v="0"/>
    <m/>
    <d v="2021-05-26T00:00:00"/>
    <m/>
    <x v="680"/>
    <m/>
    <m/>
    <x v="699"/>
    <n v="9"/>
    <n v="2021"/>
    <x v="0"/>
    <x v="0"/>
    <s v="TIANJIN / CHINA"/>
    <x v="0"/>
    <m/>
    <x v="2"/>
    <x v="1060"/>
    <d v="2021-05-26T00:00:00"/>
    <s v="MV AQUAPROSPER"/>
    <x v="332"/>
    <x v="0"/>
    <m/>
    <s v="REALIZADO"/>
    <s v="ORIGEN"/>
    <m/>
    <m/>
    <m/>
    <x v="0"/>
    <m/>
    <m/>
    <x v="0"/>
    <x v="0"/>
    <m/>
    <m/>
    <x v="0"/>
    <e v="#REF!"/>
    <m/>
    <m/>
    <m/>
    <m/>
    <m/>
    <x v="0"/>
    <s v="Anulada : 8000001276, 8000001457"/>
    <m/>
    <m/>
    <m/>
    <s v="NACIONALIZADO"/>
    <m/>
    <m/>
    <m/>
  </r>
  <r>
    <n v="2021"/>
    <s v="S-S"/>
    <x v="0"/>
    <x v="0"/>
    <s v="URGENTE"/>
    <m/>
    <x v="1452"/>
    <m/>
    <x v="1210"/>
    <m/>
    <d v="2021-09-10T00:00:00"/>
    <d v="2021-09-22T00:00:00"/>
    <s v="CERRADO"/>
    <n v="207579"/>
    <x v="9"/>
    <x v="19"/>
    <x v="655"/>
    <d v="2021-04-13T00:00:00"/>
    <n v="90"/>
    <s v="días BL"/>
    <s v="SG-MNL-12329-37"/>
    <m/>
    <d v="2021-10-08T00:00:00"/>
    <s v="CANCELADO"/>
    <s v="CFR"/>
    <m/>
    <x v="7"/>
    <n v="299"/>
    <m/>
    <x v="1241"/>
    <x v="3"/>
    <s v="Granel - BB"/>
    <m/>
    <s v="25 kg"/>
    <m/>
    <m/>
    <s v="MAYO '21"/>
    <x v="0"/>
    <m/>
    <d v="2021-07-10T00:00:00"/>
    <m/>
    <x v="609"/>
    <m/>
    <m/>
    <x v="657"/>
    <n v="9"/>
    <n v="2021"/>
    <x v="0"/>
    <x v="0"/>
    <s v="TIANJIN / CHINA"/>
    <x v="2"/>
    <m/>
    <x v="3"/>
    <x v="1061"/>
    <d v="2021-07-10T00:00:00"/>
    <s v="MV MSXT FLORA"/>
    <x v="306"/>
    <x v="0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S"/>
    <x v="0"/>
    <x v="0"/>
    <s v="URGENTE"/>
    <m/>
    <x v="1453"/>
    <m/>
    <x v="1211"/>
    <m/>
    <d v="2021-10-10T00:00:00"/>
    <d v="2021-10-11T00:00:00"/>
    <s v="CERRADO"/>
    <n v="207579"/>
    <x v="9"/>
    <x v="19"/>
    <x v="656"/>
    <d v="2021-04-13T00:00:00"/>
    <n v="90"/>
    <s v="días BL"/>
    <s v="SG-MNL-12329-36"/>
    <m/>
    <d v="2021-11-27T00:00:00"/>
    <s v="CANCELADO"/>
    <s v="CFR"/>
    <m/>
    <x v="10"/>
    <n v="321"/>
    <m/>
    <x v="1242"/>
    <x v="3"/>
    <s v="Granel - BB"/>
    <m/>
    <s v="25 kg"/>
    <m/>
    <m/>
    <s v="MAYO '21"/>
    <x v="0"/>
    <d v="1899-12-30T00:00:00"/>
    <d v="2021-08-30T00:00:00"/>
    <d v="2021-09-29T00:00:00"/>
    <x v="662"/>
    <d v="2021-10-06T00:00:00"/>
    <m/>
    <x v="711"/>
    <n v="10"/>
    <n v="2021"/>
    <x v="0"/>
    <x v="0"/>
    <s v="BAYUQUAN / CHINA"/>
    <x v="0"/>
    <m/>
    <x v="1"/>
    <x v="1062"/>
    <d v="2021-08-29T00:00:00"/>
    <s v="NEW ABLE"/>
    <x v="324"/>
    <x v="0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O-S"/>
    <x v="0"/>
    <x v="0"/>
    <m/>
    <m/>
    <x v="1454"/>
    <m/>
    <x v="1212"/>
    <m/>
    <m/>
    <m/>
    <s v="CERRADO"/>
    <n v="208061"/>
    <x v="102"/>
    <x v="53"/>
    <x v="657"/>
    <s v="MAYO '21"/>
    <s v="CAD"/>
    <m/>
    <s v="F200-43099"/>
    <m/>
    <d v="2021-05-30T00:00:00"/>
    <s v="CANCELADO"/>
    <s v="CFR"/>
    <m/>
    <x v="146"/>
    <n v="476.1"/>
    <n v="69"/>
    <x v="1243"/>
    <x v="3"/>
    <s v="Granel"/>
    <m/>
    <s v="Granel Sólido"/>
    <m/>
    <m/>
    <s v="MAYO '21"/>
    <x v="0"/>
    <m/>
    <m/>
    <m/>
    <x v="648"/>
    <m/>
    <m/>
    <x v="712"/>
    <n v="6"/>
    <n v="2021"/>
    <x v="0"/>
    <x v="0"/>
    <s v="HEROYA / NORUEGA"/>
    <x v="0"/>
    <m/>
    <x v="2"/>
    <x v="1063"/>
    <d v="2021-05-07T00:00:00"/>
    <s v="MV JINLING CONFIDENCE "/>
    <x v="316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O-S"/>
    <x v="0"/>
    <x v="0"/>
    <m/>
    <m/>
    <x v="1455"/>
    <m/>
    <x v="1213"/>
    <m/>
    <m/>
    <m/>
    <s v="CERRADO"/>
    <n v="208061"/>
    <x v="102"/>
    <x v="53"/>
    <x v="657"/>
    <s v="MAYO '21"/>
    <s v="CAD"/>
    <m/>
    <s v="F200-43101"/>
    <m/>
    <d v="2021-05-30T00:00:00"/>
    <s v="CANCELADO"/>
    <s v="CFR"/>
    <m/>
    <x v="117"/>
    <n v="476.1"/>
    <n v="69"/>
    <x v="1244"/>
    <x v="3"/>
    <s v="Granel"/>
    <m/>
    <s v="Granel Sólido"/>
    <m/>
    <m/>
    <s v="MAYO '21"/>
    <x v="0"/>
    <m/>
    <m/>
    <m/>
    <x v="649"/>
    <m/>
    <m/>
    <x v="663"/>
    <n v="6"/>
    <n v="2021"/>
    <x v="0"/>
    <x v="0"/>
    <s v="HEROYA / NORUEGA"/>
    <x v="3"/>
    <m/>
    <x v="1"/>
    <x v="1064"/>
    <d v="2021-05-07T00:00:00"/>
    <s v="MV JINLING CONFIDENCE "/>
    <x v="316"/>
    <x v="0"/>
    <m/>
    <s v="NO APLICA"/>
    <s v="ORIGEN"/>
    <m/>
    <m/>
    <m/>
    <x v="0"/>
    <m/>
    <m/>
    <x v="0"/>
    <x v="0"/>
    <m/>
    <m/>
    <x v="0"/>
    <e v="#REF!"/>
    <m/>
    <m/>
    <m/>
    <m/>
    <m/>
    <x v="0"/>
    <s v="anulada:8000001303"/>
    <m/>
    <m/>
    <m/>
    <s v="NACIONALIZADO"/>
    <m/>
    <m/>
    <m/>
  </r>
  <r>
    <n v="2021"/>
    <s v="O-S"/>
    <x v="0"/>
    <x v="0"/>
    <m/>
    <m/>
    <x v="1456"/>
    <m/>
    <x v="1214"/>
    <m/>
    <m/>
    <m/>
    <s v="CERRADO"/>
    <n v="208061"/>
    <x v="102"/>
    <x v="53"/>
    <x v="657"/>
    <s v="MAYO '21"/>
    <s v="CAD"/>
    <m/>
    <s v="F200-43100"/>
    <m/>
    <d v="2021-05-30T00:00:00"/>
    <s v="CANCELADO"/>
    <s v="CFR"/>
    <m/>
    <x v="559"/>
    <n v="476.1"/>
    <n v="69"/>
    <x v="1245"/>
    <x v="3"/>
    <s v="Granel"/>
    <m/>
    <s v="Granel Sólido"/>
    <m/>
    <m/>
    <s v="MAYO '21"/>
    <x v="0"/>
    <m/>
    <m/>
    <m/>
    <x v="650"/>
    <m/>
    <m/>
    <x v="675"/>
    <n v="6"/>
    <n v="2021"/>
    <x v="0"/>
    <x v="0"/>
    <s v="HEROYA / NORUEGA"/>
    <x v="4"/>
    <m/>
    <x v="2"/>
    <x v="1065"/>
    <d v="2021-05-07T00:00:00"/>
    <s v="MV JINLING CONFIDENCE "/>
    <x v="316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O-S"/>
    <x v="0"/>
    <x v="1"/>
    <s v="N/A"/>
    <m/>
    <x v="1457"/>
    <m/>
    <x v="34"/>
    <m/>
    <m/>
    <m/>
    <m/>
    <m/>
    <x v="102"/>
    <x v="53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1"/>
    <s v="O-S"/>
    <x v="0"/>
    <x v="0"/>
    <m/>
    <m/>
    <x v="1458"/>
    <m/>
    <x v="1215"/>
    <m/>
    <m/>
    <m/>
    <s v="CERRADO"/>
    <n v="208063"/>
    <x v="104"/>
    <x v="53"/>
    <x v="658"/>
    <s v="MAYO '21"/>
    <s v="CAD"/>
    <m/>
    <s v="F200-43097"/>
    <m/>
    <d v="2021-05-30T00:00:00"/>
    <s v="CANCELADO"/>
    <s v="CFR"/>
    <m/>
    <x v="132"/>
    <n v="624.9"/>
    <n v="69"/>
    <x v="1246"/>
    <x v="3"/>
    <s v="Granel"/>
    <m/>
    <s v="Granel Sólido"/>
    <m/>
    <m/>
    <s v="MAYO '21"/>
    <x v="0"/>
    <m/>
    <m/>
    <m/>
    <x v="648"/>
    <m/>
    <m/>
    <x v="712"/>
    <n v="6"/>
    <n v="2021"/>
    <x v="0"/>
    <x v="0"/>
    <s v="HEROYA / NORUEGA"/>
    <x v="0"/>
    <m/>
    <x v="2"/>
    <x v="1066"/>
    <d v="2021-05-07T00:00:00"/>
    <s v="MV JINLING CONFIDENCE "/>
    <x v="316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O-S"/>
    <x v="0"/>
    <x v="0"/>
    <m/>
    <m/>
    <x v="1459"/>
    <m/>
    <x v="1216"/>
    <m/>
    <m/>
    <m/>
    <s v="CERRADO"/>
    <n v="208063"/>
    <x v="104"/>
    <x v="53"/>
    <x v="658"/>
    <s v="MAYO '21"/>
    <s v="CAD"/>
    <m/>
    <s v="F200-43096"/>
    <m/>
    <d v="2021-05-30T00:00:00"/>
    <s v="CANCELADO"/>
    <s v="CFR"/>
    <m/>
    <x v="17"/>
    <n v="624.9"/>
    <n v="69"/>
    <x v="1247"/>
    <x v="3"/>
    <s v="Granel"/>
    <m/>
    <s v="Granel Sólido"/>
    <m/>
    <m/>
    <s v="MAYO '21"/>
    <x v="0"/>
    <m/>
    <m/>
    <m/>
    <x v="638"/>
    <m/>
    <m/>
    <x v="674"/>
    <n v="6"/>
    <n v="2021"/>
    <x v="0"/>
    <x v="0"/>
    <s v="HEROYA / NORUEGA"/>
    <x v="1"/>
    <m/>
    <x v="2"/>
    <x v="1067"/>
    <d v="2021-05-07T00:00:00"/>
    <s v="MV JINLING CONFIDENCE "/>
    <x v="316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O-S"/>
    <x v="0"/>
    <x v="0"/>
    <m/>
    <m/>
    <x v="1460"/>
    <m/>
    <x v="1217"/>
    <m/>
    <m/>
    <m/>
    <s v="CERRADO"/>
    <n v="208063"/>
    <x v="104"/>
    <x v="53"/>
    <x v="658"/>
    <s v="MAYO '21"/>
    <s v="CAD"/>
    <m/>
    <s v="F200-43102"/>
    <m/>
    <d v="2021-05-30T00:00:00"/>
    <s v="CANCELADO"/>
    <s v="CFR"/>
    <m/>
    <x v="560"/>
    <n v="624.9"/>
    <n v="69"/>
    <x v="1248"/>
    <x v="3"/>
    <s v="Granel"/>
    <m/>
    <s v="Granel Sólido"/>
    <m/>
    <m/>
    <s v="MAYO '21"/>
    <x v="0"/>
    <m/>
    <m/>
    <m/>
    <x v="649"/>
    <m/>
    <m/>
    <x v="663"/>
    <n v="6"/>
    <n v="2021"/>
    <x v="0"/>
    <x v="0"/>
    <s v="HEROYA / NORUEGA"/>
    <x v="3"/>
    <m/>
    <x v="1"/>
    <x v="1068"/>
    <d v="2021-05-07T00:00:00"/>
    <s v="MV JINLING CONFIDENCE "/>
    <x v="316"/>
    <x v="0"/>
    <m/>
    <s v="NO APLICA"/>
    <s v="ORIGEN"/>
    <m/>
    <m/>
    <m/>
    <x v="0"/>
    <m/>
    <m/>
    <x v="0"/>
    <x v="0"/>
    <m/>
    <m/>
    <x v="0"/>
    <e v="#REF!"/>
    <m/>
    <m/>
    <m/>
    <m/>
    <m/>
    <x v="0"/>
    <s v="anulada:8000001307"/>
    <m/>
    <m/>
    <m/>
    <s v="NACIONALIZADO"/>
    <m/>
    <m/>
    <m/>
  </r>
  <r>
    <n v="2021"/>
    <s v="O-S"/>
    <x v="0"/>
    <x v="0"/>
    <m/>
    <m/>
    <x v="1461"/>
    <m/>
    <x v="1218"/>
    <m/>
    <m/>
    <m/>
    <s v="CERRADO"/>
    <n v="208063"/>
    <x v="104"/>
    <x v="53"/>
    <x v="658"/>
    <s v="MAYO '21"/>
    <s v="CAD"/>
    <m/>
    <s v="F200-43098"/>
    <m/>
    <d v="2021-05-30T00:00:00"/>
    <s v="CANCELADO"/>
    <s v="CFR"/>
    <m/>
    <x v="17"/>
    <n v="624.9"/>
    <n v="69"/>
    <x v="1247"/>
    <x v="3"/>
    <s v="Granel"/>
    <m/>
    <s v="Granel Sólido"/>
    <m/>
    <m/>
    <s v="MAYO '21"/>
    <x v="0"/>
    <m/>
    <m/>
    <m/>
    <x v="649"/>
    <m/>
    <m/>
    <x v="663"/>
    <n v="6"/>
    <n v="2021"/>
    <x v="0"/>
    <x v="0"/>
    <s v="HEROYA / NORUEGA"/>
    <x v="3"/>
    <m/>
    <x v="1"/>
    <x v="1069"/>
    <d v="2021-05-07T00:00:00"/>
    <s v="MV JINLING CONFIDENCE "/>
    <x v="316"/>
    <x v="0"/>
    <m/>
    <s v="NO APLICA"/>
    <s v="ORIGEN"/>
    <m/>
    <m/>
    <m/>
    <x v="0"/>
    <m/>
    <m/>
    <x v="0"/>
    <x v="0"/>
    <m/>
    <m/>
    <x v="0"/>
    <e v="#REF!"/>
    <m/>
    <m/>
    <m/>
    <m/>
    <m/>
    <x v="0"/>
    <s v="anulada:8000001357"/>
    <m/>
    <m/>
    <m/>
    <s v="NACIONALIZADO"/>
    <m/>
    <m/>
    <m/>
  </r>
  <r>
    <n v="2021"/>
    <s v="O-S"/>
    <x v="0"/>
    <x v="0"/>
    <m/>
    <m/>
    <x v="1462"/>
    <m/>
    <x v="1219"/>
    <m/>
    <m/>
    <m/>
    <s v="CERRADO"/>
    <n v="208063"/>
    <x v="104"/>
    <x v="53"/>
    <x v="658"/>
    <s v="MAYO '21"/>
    <s v="CAD"/>
    <m/>
    <s v="F200-43103"/>
    <m/>
    <d v="2021-05-30T00:00:00"/>
    <s v="CANCELADO"/>
    <s v="CFR"/>
    <m/>
    <x v="320"/>
    <n v="624.9"/>
    <n v="69"/>
    <x v="1249"/>
    <x v="3"/>
    <s v="Granel"/>
    <m/>
    <s v="Granel Sólido"/>
    <m/>
    <m/>
    <s v="MAYO '21"/>
    <x v="0"/>
    <m/>
    <m/>
    <m/>
    <x v="650"/>
    <m/>
    <m/>
    <x v="713"/>
    <n v="6"/>
    <n v="2021"/>
    <x v="0"/>
    <x v="0"/>
    <s v="HEROYA / NORUEGA"/>
    <x v="4"/>
    <m/>
    <x v="2"/>
    <x v="1070"/>
    <d v="2021-05-07T00:00:00"/>
    <s v="MV JINLING CONFIDENCE "/>
    <x v="316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P"/>
    <x v="1"/>
    <x v="3"/>
    <s v="URGENTE"/>
    <m/>
    <x v="1463"/>
    <m/>
    <x v="1220"/>
    <d v="2021-10-13T00:00:00"/>
    <m/>
    <m/>
    <s v="PENDIENTE"/>
    <n v="208510"/>
    <x v="10"/>
    <x v="37"/>
    <x v="659"/>
    <d v="2021-04-23T00:00:00"/>
    <n v="90"/>
    <s v="días BL"/>
    <m/>
    <m/>
    <d v="1900-03-30T00:00:00"/>
    <s v="PENDIENTE"/>
    <s v="CFR"/>
    <m/>
    <x v="1"/>
    <n v="1150"/>
    <m/>
    <x v="1250"/>
    <x v="52"/>
    <s v="Contenedor 20'"/>
    <m/>
    <s v="35 kg"/>
    <s v="-"/>
    <s v="S/M"/>
    <s v="JULIO '21"/>
    <x v="0"/>
    <d v="2022-05-27T00:00:00"/>
    <d v="2022-06-24T00:00:00"/>
    <d v="2022-08-09T00:00:00"/>
    <x v="681"/>
    <d v="2022-08-13T00:00:00"/>
    <m/>
    <x v="714"/>
    <n v="8"/>
    <n v="2022"/>
    <x v="2"/>
    <x v="1"/>
    <s v="DALIAN"/>
    <x v="2"/>
    <m/>
    <x v="3"/>
    <x v="29"/>
    <m/>
    <m/>
    <x v="15"/>
    <x v="5"/>
    <m/>
    <s v="PENDIENTE"/>
    <m/>
    <m/>
    <m/>
    <m/>
    <x v="0"/>
    <m/>
    <m/>
    <x v="0"/>
    <x v="0"/>
    <m/>
    <m/>
    <x v="0"/>
    <e v="#REF!"/>
    <m/>
    <m/>
    <m/>
    <m/>
    <m/>
    <x v="0"/>
    <m/>
    <m/>
    <m/>
    <m/>
    <m/>
    <m/>
    <m/>
    <m/>
  </r>
  <r>
    <n v="2021"/>
    <s v="S-P"/>
    <x v="1"/>
    <x v="3"/>
    <s v="URGENTE"/>
    <m/>
    <x v="1464"/>
    <m/>
    <x v="1221"/>
    <d v="2021-10-13T00:00:00"/>
    <m/>
    <m/>
    <s v="PENDIENTE"/>
    <n v="208510"/>
    <x v="10"/>
    <x v="37"/>
    <x v="660"/>
    <d v="2021-04-23T00:00:00"/>
    <n v="90"/>
    <s v="días BL"/>
    <m/>
    <m/>
    <d v="1900-03-30T00:00:00"/>
    <s v="PENDIENTE"/>
    <s v="CFR"/>
    <m/>
    <x v="8"/>
    <n v="1170"/>
    <m/>
    <x v="986"/>
    <x v="53"/>
    <s v="Contenedor 20'"/>
    <m/>
    <s v="35 kg"/>
    <s v="-"/>
    <s v="S/M"/>
    <s v="JULIO '21"/>
    <x v="0"/>
    <d v="2022-06-03T00:00:00"/>
    <d v="2022-06-24T00:00:00"/>
    <d v="2022-08-09T00:00:00"/>
    <x v="681"/>
    <d v="2022-08-13T00:00:00"/>
    <m/>
    <x v="715"/>
    <n v="8"/>
    <n v="2022"/>
    <x v="2"/>
    <x v="1"/>
    <s v="DALIAN"/>
    <x v="0"/>
    <m/>
    <x v="2"/>
    <x v="29"/>
    <m/>
    <m/>
    <x v="15"/>
    <x v="5"/>
    <m/>
    <s v="PENDIENTE"/>
    <m/>
    <m/>
    <m/>
    <m/>
    <x v="0"/>
    <m/>
    <m/>
    <x v="0"/>
    <x v="0"/>
    <m/>
    <m/>
    <x v="0"/>
    <e v="#REF!"/>
    <m/>
    <m/>
    <m/>
    <m/>
    <m/>
    <x v="0"/>
    <m/>
    <m/>
    <m/>
    <m/>
    <m/>
    <m/>
    <m/>
    <m/>
  </r>
  <r>
    <n v="2021"/>
    <s v="G-S"/>
    <x v="0"/>
    <x v="0"/>
    <m/>
    <m/>
    <x v="1465"/>
    <m/>
    <x v="1222"/>
    <m/>
    <d v="2021-09-17T00:00:00"/>
    <d v="2021-09-18T00:00:00"/>
    <s v="CERRADO"/>
    <n v="203616"/>
    <x v="15"/>
    <x v="25"/>
    <x v="661"/>
    <d v="2021-06-02T00:00:00"/>
    <n v="150"/>
    <s v="días BL"/>
    <s v="TGOA-AS-210707-1"/>
    <m/>
    <d v="2021-12-04T00:00:00"/>
    <s v="CANCELADO"/>
    <s v="CFR"/>
    <m/>
    <x v="377"/>
    <n v="218.34"/>
    <m/>
    <x v="1251"/>
    <x v="3"/>
    <s v="Granel"/>
    <m/>
    <s v="Granel Sólido"/>
    <m/>
    <m/>
    <s v="JUNIO '21"/>
    <x v="0"/>
    <m/>
    <d v="2021-08-11T00:00:00"/>
    <m/>
    <x v="682"/>
    <m/>
    <m/>
    <x v="716"/>
    <n v="9"/>
    <n v="2021"/>
    <x v="0"/>
    <x v="0"/>
    <s v="ZHANGJIAGANG / CHINA"/>
    <x v="0"/>
    <m/>
    <x v="5"/>
    <x v="1071"/>
    <d v="2021-07-07T00:00:00"/>
    <s v="MV INKAN PANDAN"/>
    <x v="333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466"/>
    <m/>
    <x v="1223"/>
    <m/>
    <d v="2021-09-17T00:00:00"/>
    <d v="2021-09-30T00:00:00"/>
    <s v="CERRADO"/>
    <n v="203616"/>
    <x v="15"/>
    <x v="25"/>
    <x v="661"/>
    <d v="2021-06-02T00:00:00"/>
    <n v="150"/>
    <s v="días BL"/>
    <s v="TGOA-AS-210707-2"/>
    <m/>
    <d v="2021-12-04T00:00:00"/>
    <s v="CANCELADO"/>
    <s v="CFR"/>
    <m/>
    <x v="561"/>
    <n v="218.34"/>
    <m/>
    <x v="1252"/>
    <x v="3"/>
    <s v="Granel"/>
    <m/>
    <s v="Granel Sólido"/>
    <m/>
    <m/>
    <s v="JUNIO '21"/>
    <x v="0"/>
    <m/>
    <d v="2021-08-11T00:00:00"/>
    <m/>
    <x v="683"/>
    <m/>
    <m/>
    <x v="717"/>
    <n v="9"/>
    <n v="2021"/>
    <x v="0"/>
    <x v="0"/>
    <s v="ZHANGJIAGANG / CHINA"/>
    <x v="1"/>
    <m/>
    <x v="2"/>
    <x v="1072"/>
    <d v="2021-07-07T00:00:00"/>
    <s v="MV INKAN PANDAN"/>
    <x v="333"/>
    <x v="0"/>
    <m/>
    <s v="NO APLICA"/>
    <s v="ORIGEN"/>
    <m/>
    <m/>
    <m/>
    <x v="0"/>
    <m/>
    <m/>
    <x v="0"/>
    <x v="0"/>
    <m/>
    <m/>
    <x v="0"/>
    <e v="#REF!"/>
    <m/>
    <m/>
    <m/>
    <m/>
    <m/>
    <x v="0"/>
    <s v="anulada: 8000001533"/>
    <m/>
    <m/>
    <m/>
    <s v="NACIONALIZADO"/>
    <m/>
    <m/>
    <m/>
  </r>
  <r>
    <n v="2021"/>
    <s v="G-S"/>
    <x v="0"/>
    <x v="0"/>
    <m/>
    <m/>
    <x v="1467"/>
    <m/>
    <x v="1224"/>
    <m/>
    <d v="2021-09-20T00:00:00"/>
    <d v="2021-10-01T00:00:00"/>
    <s v="CERRADO"/>
    <n v="203616"/>
    <x v="15"/>
    <x v="25"/>
    <x v="661"/>
    <d v="2021-06-02T00:00:00"/>
    <n v="150"/>
    <s v="días BL"/>
    <s v="TGOA-AS-210707-3"/>
    <m/>
    <d v="2021-12-04T00:00:00"/>
    <s v="CANCELADO"/>
    <s v="CFR"/>
    <m/>
    <x v="562"/>
    <n v="218.34"/>
    <m/>
    <x v="1253"/>
    <x v="3"/>
    <s v="Granel"/>
    <m/>
    <s v="Granel Sólido"/>
    <m/>
    <m/>
    <s v="JUNIO '21"/>
    <x v="0"/>
    <d v="1899-12-30T00:00:00"/>
    <d v="2021-08-11T00:00:00"/>
    <d v="2021-09-30T00:00:00"/>
    <x v="684"/>
    <d v="2021-10-03T00:00:00"/>
    <m/>
    <x v="718"/>
    <n v="10"/>
    <n v="2021"/>
    <x v="0"/>
    <x v="0"/>
    <s v="ZHANGJIAGANG / CHINA"/>
    <x v="2"/>
    <m/>
    <x v="6"/>
    <x v="1073"/>
    <d v="2021-07-07T00:00:00"/>
    <s v="MV INKAN PANDAN"/>
    <x v="333"/>
    <x v="0"/>
    <m/>
    <s v="REALIZADO"/>
    <s v="ORIGEN"/>
    <m/>
    <m/>
    <m/>
    <x v="0"/>
    <m/>
    <m/>
    <x v="0"/>
    <x v="0"/>
    <m/>
    <m/>
    <x v="0"/>
    <e v="#REF!"/>
    <m/>
    <m/>
    <m/>
    <m/>
    <m/>
    <x v="0"/>
    <s v="anulada: 8000001534"/>
    <m/>
    <m/>
    <m/>
    <s v="NACIONALIZADO"/>
    <m/>
    <m/>
    <m/>
  </r>
  <r>
    <n v="2021"/>
    <s v="G-S"/>
    <x v="0"/>
    <x v="0"/>
    <m/>
    <m/>
    <x v="1468"/>
    <m/>
    <x v="1225"/>
    <m/>
    <d v="2021-10-13T00:00:00"/>
    <d v="2021-10-14T00:00:00"/>
    <s v="CERRADO"/>
    <n v="203616"/>
    <x v="15"/>
    <x v="25"/>
    <x v="661"/>
    <d v="2021-06-02T00:00:00"/>
    <n v="150"/>
    <s v="días BL"/>
    <s v="TGOA-AS-210707-4"/>
    <m/>
    <d v="2021-12-04T00:00:00"/>
    <s v="CANCELADO"/>
    <s v="CFR"/>
    <m/>
    <x v="563"/>
    <n v="218.34"/>
    <m/>
    <x v="1254"/>
    <x v="3"/>
    <s v="Granel"/>
    <m/>
    <s v="Granel Sólido"/>
    <m/>
    <m/>
    <s v="JUNIO '21"/>
    <x v="0"/>
    <d v="1899-12-30T00:00:00"/>
    <d v="2021-08-11T00:00:00"/>
    <d v="2021-10-06T00:00:00"/>
    <x v="685"/>
    <d v="2021-10-07T00:00:00"/>
    <m/>
    <x v="719"/>
    <n v="10"/>
    <n v="2021"/>
    <x v="0"/>
    <x v="0"/>
    <s v="ZHANGJIAGANG / CHINA"/>
    <x v="4"/>
    <m/>
    <x v="2"/>
    <x v="1074"/>
    <d v="2021-07-07T00:00:00"/>
    <s v="MV INKAN PANDAN"/>
    <x v="333"/>
    <x v="0"/>
    <m/>
    <s v="REALIZADO"/>
    <s v="ORIGEN"/>
    <m/>
    <m/>
    <m/>
    <x v="0"/>
    <m/>
    <m/>
    <x v="0"/>
    <x v="0"/>
    <m/>
    <m/>
    <x v="0"/>
    <e v="#REF!"/>
    <m/>
    <m/>
    <m/>
    <m/>
    <m/>
    <x v="0"/>
    <s v="anulada: 8000001535"/>
    <m/>
    <m/>
    <m/>
    <s v="NACIONALIZADO"/>
    <m/>
    <m/>
    <m/>
  </r>
  <r>
    <n v="2021"/>
    <s v="G-S"/>
    <x v="0"/>
    <x v="0"/>
    <m/>
    <m/>
    <x v="1469"/>
    <m/>
    <x v="1226"/>
    <m/>
    <d v="2021-09-17T00:00:00"/>
    <d v="2021-09-27T00:00:00"/>
    <s v="CERRADO"/>
    <n v="206569"/>
    <x v="14"/>
    <x v="25"/>
    <x v="661"/>
    <d v="2021-06-02T00:00:00"/>
    <n v="150"/>
    <s v="días BL"/>
    <s v="TGOA-DAP-210702-1"/>
    <m/>
    <d v="2021-11-29T00:00:00"/>
    <s v="CANCELADO"/>
    <s v="CFR"/>
    <m/>
    <x v="318"/>
    <n v="603.47"/>
    <m/>
    <x v="1255"/>
    <x v="3"/>
    <s v="Granel"/>
    <m/>
    <s v="Granel Sólido"/>
    <m/>
    <m/>
    <s v="JUNIO '21"/>
    <x v="0"/>
    <m/>
    <d v="2021-08-11T00:00:00"/>
    <m/>
    <x v="683"/>
    <m/>
    <m/>
    <x v="720"/>
    <n v="9"/>
    <n v="2021"/>
    <x v="0"/>
    <x v="0"/>
    <s v="ZHANGJIAGANG / CHINA"/>
    <x v="1"/>
    <m/>
    <x v="2"/>
    <x v="1075"/>
    <d v="2021-07-02T00:00:00"/>
    <s v="MV INKAN PANDAN"/>
    <x v="333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470"/>
    <m/>
    <x v="1227"/>
    <m/>
    <d v="2021-09-20T00:00:00"/>
    <d v="2021-10-04T00:00:00"/>
    <s v="CERRADO"/>
    <n v="206569"/>
    <x v="14"/>
    <x v="25"/>
    <x v="661"/>
    <d v="2021-06-02T00:00:00"/>
    <n v="150"/>
    <s v="días BL"/>
    <s v="TGOA-DAP-210702-2"/>
    <m/>
    <d v="2021-11-29T00:00:00"/>
    <s v="CANCELADO"/>
    <s v="CFR"/>
    <m/>
    <x v="115"/>
    <n v="603.47"/>
    <m/>
    <x v="1256"/>
    <x v="3"/>
    <s v="Granel"/>
    <m/>
    <s v="Granel Sólido"/>
    <m/>
    <m/>
    <s v="JUNIO '21"/>
    <x v="0"/>
    <d v="1899-12-30T00:00:00"/>
    <d v="2021-08-11T00:00:00"/>
    <d v="2021-09-30T00:00:00"/>
    <x v="684"/>
    <d v="2021-10-03T00:00:00"/>
    <m/>
    <x v="690"/>
    <n v="10"/>
    <n v="2021"/>
    <x v="0"/>
    <x v="0"/>
    <s v="ZHANGJIAGANG / CHINA"/>
    <x v="2"/>
    <m/>
    <x v="6"/>
    <x v="1076"/>
    <d v="2021-07-02T00:00:00"/>
    <s v="MV INKAN PANDAN"/>
    <x v="333"/>
    <x v="0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471"/>
    <m/>
    <x v="1228"/>
    <m/>
    <d v="2021-10-11T00:00:00"/>
    <d v="2021-10-14T00:00:00"/>
    <s v="CERRADO"/>
    <n v="206569"/>
    <x v="14"/>
    <x v="25"/>
    <x v="661"/>
    <d v="2021-06-02T00:00:00"/>
    <n v="150"/>
    <s v="días BL"/>
    <s v="TGOA-DAP-210702-3"/>
    <m/>
    <d v="2021-11-29T00:00:00"/>
    <s v="CANCELADO"/>
    <s v="CFR"/>
    <m/>
    <x v="287"/>
    <n v="603.47"/>
    <m/>
    <x v="1257"/>
    <x v="3"/>
    <s v="Granel"/>
    <m/>
    <s v="Granel Sólido"/>
    <m/>
    <m/>
    <s v="JUNIO '21"/>
    <x v="0"/>
    <d v="1899-12-30T00:00:00"/>
    <d v="2021-08-11T00:00:00"/>
    <d v="2021-10-06T00:00:00"/>
    <x v="685"/>
    <d v="2021-10-07T00:00:00"/>
    <m/>
    <x v="719"/>
    <n v="10"/>
    <n v="2021"/>
    <x v="0"/>
    <x v="0"/>
    <s v="ZHANGJIAGANG / CHINA"/>
    <x v="4"/>
    <m/>
    <x v="2"/>
    <x v="1077"/>
    <d v="2021-07-02T00:00:00"/>
    <s v="MV INKAN PANDAN"/>
    <x v="333"/>
    <x v="0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472"/>
    <m/>
    <x v="1229"/>
    <m/>
    <d v="2021-10-11T00:00:00"/>
    <d v="2021-10-11T00:00:00"/>
    <s v="CERRADO"/>
    <n v="209371"/>
    <x v="19"/>
    <x v="25"/>
    <x v="661"/>
    <d v="2021-06-02T00:00:00"/>
    <n v="150"/>
    <s v="días BL"/>
    <s v="TGOA-MAP-210702-1"/>
    <m/>
    <d v="2021-11-29T00:00:00"/>
    <s v="CANCELADO"/>
    <s v="CFR"/>
    <m/>
    <x v="564"/>
    <n v="539.79"/>
    <m/>
    <x v="1258"/>
    <x v="3"/>
    <s v="Granel"/>
    <m/>
    <s v="Granel Sólido"/>
    <m/>
    <m/>
    <s v="JUNIO '21"/>
    <x v="0"/>
    <d v="1899-12-30T00:00:00"/>
    <d v="2021-08-11T00:00:00"/>
    <d v="2021-10-06T00:00:00"/>
    <x v="685"/>
    <d v="2021-10-07T00:00:00"/>
    <m/>
    <x v="721"/>
    <n v="10"/>
    <n v="2021"/>
    <x v="0"/>
    <x v="0"/>
    <s v="ZHANGJIAGANG / CHINA"/>
    <x v="4"/>
    <m/>
    <x v="2"/>
    <x v="1078"/>
    <d v="2021-07-02T00:00:00"/>
    <s v="MV INKAN PANDAN"/>
    <x v="333"/>
    <x v="0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473"/>
    <m/>
    <x v="1230"/>
    <m/>
    <d v="2021-09-17T00:00:00"/>
    <d v="2021-09-18T00:00:00"/>
    <s v="CERRADO"/>
    <n v="203577"/>
    <x v="13"/>
    <x v="25"/>
    <x v="661"/>
    <d v="2021-06-02T00:00:00"/>
    <n v="150"/>
    <s v="días BL"/>
    <s v="TGOA-UREA-210802-A"/>
    <m/>
    <d v="2022-01-08T00:00:00"/>
    <s v="CANCELADO"/>
    <s v="CFR"/>
    <m/>
    <x v="513"/>
    <n v="401.3"/>
    <m/>
    <x v="1259"/>
    <x v="3"/>
    <s v="Granel"/>
    <m/>
    <s v="Granel Sólido"/>
    <m/>
    <m/>
    <s v="JUNIO '21"/>
    <x v="0"/>
    <m/>
    <d v="2021-08-11T00:00:00"/>
    <m/>
    <x v="682"/>
    <m/>
    <m/>
    <x v="716"/>
    <n v="9"/>
    <n v="2021"/>
    <x v="0"/>
    <x v="0"/>
    <s v="TIANJIN / CHINA"/>
    <x v="0"/>
    <m/>
    <x v="5"/>
    <x v="1079"/>
    <d v="2021-08-11T00:00:00"/>
    <s v="MV INKAN PANDAN"/>
    <x v="333"/>
    <x v="0"/>
    <m/>
    <s v="NO APLICA"/>
    <s v="ORIGEN"/>
    <m/>
    <m/>
    <m/>
    <x v="0"/>
    <m/>
    <m/>
    <x v="0"/>
    <x v="0"/>
    <m/>
    <m/>
    <x v="0"/>
    <e v="#REF!"/>
    <m/>
    <m/>
    <m/>
    <m/>
    <m/>
    <x v="0"/>
    <s v="anulada :8000001536"/>
    <m/>
    <m/>
    <m/>
    <s v="NACIONALIZADO"/>
    <m/>
    <m/>
    <m/>
  </r>
  <r>
    <n v="2021"/>
    <s v="G-S"/>
    <x v="0"/>
    <x v="0"/>
    <m/>
    <m/>
    <x v="1474"/>
    <m/>
    <x v="1231"/>
    <m/>
    <d v="2021-09-17T00:00:00"/>
    <d v="2021-09-30T00:00:00"/>
    <s v="CERRADO"/>
    <n v="203577"/>
    <x v="13"/>
    <x v="25"/>
    <x v="661"/>
    <d v="2021-06-02T00:00:00"/>
    <n v="150"/>
    <s v="días BL"/>
    <s v="TGOA-UREA-210802-B"/>
    <m/>
    <d v="2022-01-08T00:00:00"/>
    <s v="CANCELADO"/>
    <s v="CFR"/>
    <m/>
    <x v="100"/>
    <n v="401.3"/>
    <m/>
    <x v="1260"/>
    <x v="3"/>
    <s v="Granel"/>
    <m/>
    <s v="Granel Sólido"/>
    <m/>
    <m/>
    <s v="JUNIO '21"/>
    <x v="0"/>
    <m/>
    <d v="2021-08-11T00:00:00"/>
    <m/>
    <x v="683"/>
    <m/>
    <m/>
    <x v="720"/>
    <n v="9"/>
    <n v="2021"/>
    <x v="0"/>
    <x v="0"/>
    <s v="TIANJIN / CHINA"/>
    <x v="1"/>
    <m/>
    <x v="2"/>
    <x v="1080"/>
    <d v="2021-08-11T00:00:00"/>
    <s v="MV INKAN PANDAN"/>
    <x v="333"/>
    <x v="0"/>
    <m/>
    <s v="NO APLICA"/>
    <s v="ORIGEN"/>
    <m/>
    <m/>
    <m/>
    <x v="0"/>
    <m/>
    <m/>
    <x v="0"/>
    <x v="0"/>
    <m/>
    <m/>
    <x v="0"/>
    <e v="#REF!"/>
    <m/>
    <m/>
    <m/>
    <m/>
    <m/>
    <x v="0"/>
    <s v="anulada: 8000001548"/>
    <m/>
    <m/>
    <m/>
    <s v="NACIONALIZADO"/>
    <m/>
    <m/>
    <m/>
  </r>
  <r>
    <n v="2021"/>
    <s v="G-S"/>
    <x v="0"/>
    <x v="0"/>
    <m/>
    <m/>
    <x v="1475"/>
    <m/>
    <x v="1232"/>
    <m/>
    <d v="2021-09-20T00:00:00"/>
    <d v="2021-10-01T00:00:00"/>
    <s v="CERRADO"/>
    <n v="203577"/>
    <x v="13"/>
    <x v="25"/>
    <x v="661"/>
    <d v="2021-06-02T00:00:00"/>
    <n v="150"/>
    <s v="días BL"/>
    <s v="TGOA-UREA-210802-C"/>
    <m/>
    <d v="2022-01-08T00:00:00"/>
    <s v="CANCELADO"/>
    <s v="CFR"/>
    <m/>
    <x v="318"/>
    <n v="401.3"/>
    <m/>
    <x v="1261"/>
    <x v="3"/>
    <s v="Granel"/>
    <m/>
    <s v="Granel Sólido"/>
    <m/>
    <m/>
    <s v="JUNIO '21"/>
    <x v="0"/>
    <d v="1899-12-30T00:00:00"/>
    <d v="2021-08-11T00:00:00"/>
    <d v="2021-09-30T00:00:00"/>
    <x v="684"/>
    <d v="2021-10-03T00:00:00"/>
    <m/>
    <x v="718"/>
    <n v="10"/>
    <n v="2021"/>
    <x v="0"/>
    <x v="0"/>
    <s v="TIANJIN / CHINA"/>
    <x v="2"/>
    <m/>
    <x v="1"/>
    <x v="1081"/>
    <d v="2021-08-11T00:00:00"/>
    <s v="MV INKAN PANDAN"/>
    <x v="333"/>
    <x v="0"/>
    <m/>
    <s v="REALIZADO"/>
    <s v="ORIGEN"/>
    <m/>
    <m/>
    <m/>
    <x v="0"/>
    <m/>
    <m/>
    <x v="0"/>
    <x v="0"/>
    <m/>
    <m/>
    <x v="0"/>
    <e v="#REF!"/>
    <m/>
    <m/>
    <m/>
    <m/>
    <m/>
    <x v="0"/>
    <s v="anulada:8000001555"/>
    <m/>
    <m/>
    <m/>
    <s v="NACIONALIZADO"/>
    <m/>
    <m/>
    <m/>
  </r>
  <r>
    <n v="2021"/>
    <s v="G-S"/>
    <x v="0"/>
    <x v="0"/>
    <m/>
    <m/>
    <x v="1476"/>
    <m/>
    <x v="1233"/>
    <m/>
    <d v="2021-10-14T00:00:00"/>
    <d v="2021-10-14T00:00:00"/>
    <s v="CERRADO"/>
    <n v="203577"/>
    <x v="13"/>
    <x v="25"/>
    <x v="661"/>
    <d v="2021-06-02T00:00:00"/>
    <n v="150"/>
    <s v="días BL"/>
    <s v="TGOA-UREA-210802-D"/>
    <m/>
    <d v="2022-01-08T00:00:00"/>
    <s v="CANCELADO"/>
    <s v="CFR"/>
    <m/>
    <x v="100"/>
    <n v="401.3"/>
    <m/>
    <x v="1260"/>
    <x v="3"/>
    <s v="Granel"/>
    <m/>
    <s v="Granel Sólido"/>
    <m/>
    <m/>
    <s v="JUNIO '21"/>
    <x v="0"/>
    <d v="1899-12-30T00:00:00"/>
    <d v="2021-08-11T00:00:00"/>
    <d v="2021-10-06T00:00:00"/>
    <x v="685"/>
    <d v="2021-10-07T00:00:00"/>
    <m/>
    <x v="721"/>
    <n v="10"/>
    <n v="2021"/>
    <x v="0"/>
    <x v="0"/>
    <s v="TIANJIN / CHINA"/>
    <x v="4"/>
    <m/>
    <x v="2"/>
    <x v="1082"/>
    <d v="2021-08-11T00:00:00"/>
    <s v="MV INKAN PANDAN"/>
    <x v="333"/>
    <x v="0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477"/>
    <m/>
    <x v="1234"/>
    <m/>
    <d v="2021-09-17T00:00:00"/>
    <d v="2021-09-27T00:00:00"/>
    <s v="CERRADO"/>
    <n v="203576"/>
    <x v="6"/>
    <x v="25"/>
    <x v="661"/>
    <d v="2021-06-02T00:00:00"/>
    <n v="150"/>
    <s v="días BL"/>
    <s v="TGOA-UREA-210802-4"/>
    <m/>
    <d v="2022-01-08T00:00:00"/>
    <s v="CANCELADO"/>
    <s v="CFR"/>
    <m/>
    <x v="228"/>
    <n v="399.28"/>
    <m/>
    <x v="1262"/>
    <x v="3"/>
    <s v="Granel"/>
    <m/>
    <s v="Granel Sólido"/>
    <m/>
    <m/>
    <s v="JUNIO '21"/>
    <x v="0"/>
    <m/>
    <d v="2021-08-11T00:00:00"/>
    <m/>
    <x v="683"/>
    <m/>
    <m/>
    <x v="720"/>
    <n v="9"/>
    <n v="2021"/>
    <x v="0"/>
    <x v="0"/>
    <s v="TIANJIN / CHINA"/>
    <x v="1"/>
    <m/>
    <x v="2"/>
    <x v="1083"/>
    <d v="2021-08-11T00:00:00"/>
    <s v="MV INKAN PANDAN"/>
    <x v="333"/>
    <x v="0"/>
    <m/>
    <s v="NO APLICA"/>
    <s v="ORIGEN"/>
    <m/>
    <m/>
    <m/>
    <x v="0"/>
    <m/>
    <m/>
    <x v="0"/>
    <x v="0"/>
    <m/>
    <m/>
    <x v="0"/>
    <e v="#REF!"/>
    <m/>
    <m/>
    <m/>
    <m/>
    <m/>
    <x v="0"/>
    <s v="anulada: 8000001549"/>
    <m/>
    <m/>
    <m/>
    <s v="NACIONALIZADO"/>
    <m/>
    <m/>
    <m/>
  </r>
  <r>
    <n v="2021"/>
    <s v="G-S"/>
    <x v="0"/>
    <x v="0"/>
    <m/>
    <m/>
    <x v="1478"/>
    <m/>
    <x v="1235"/>
    <m/>
    <d v="2021-09-20T00:00:00"/>
    <d v="2021-10-01T00:00:00"/>
    <s v="CERRADO"/>
    <n v="203576"/>
    <x v="6"/>
    <x v="25"/>
    <x v="661"/>
    <d v="2021-06-02T00:00:00"/>
    <n v="150"/>
    <s v="días BL"/>
    <s v="TGOA-UREA-210802-3"/>
    <m/>
    <d v="2022-01-08T00:00:00"/>
    <s v="CANCELADO"/>
    <s v="CFR"/>
    <m/>
    <x v="287"/>
    <n v="399.28"/>
    <m/>
    <x v="1263"/>
    <x v="3"/>
    <s v="Granel"/>
    <m/>
    <s v="Granel Sólido"/>
    <m/>
    <m/>
    <s v="JUNIO '21"/>
    <x v="0"/>
    <d v="1899-12-30T00:00:00"/>
    <d v="2021-08-11T00:00:00"/>
    <d v="2021-09-30T00:00:00"/>
    <x v="684"/>
    <d v="2021-10-03T00:00:00"/>
    <m/>
    <x v="690"/>
    <n v="10"/>
    <n v="2021"/>
    <x v="0"/>
    <x v="0"/>
    <s v="TIANJIN / CHINA"/>
    <x v="2"/>
    <m/>
    <x v="3"/>
    <x v="1084"/>
    <d v="2021-08-11T00:00:00"/>
    <s v="MV INKAN PANDAN"/>
    <x v="333"/>
    <x v="0"/>
    <m/>
    <s v="REALIZADO"/>
    <s v="ORIGEN"/>
    <m/>
    <m/>
    <m/>
    <x v="0"/>
    <n v="50"/>
    <m/>
    <x v="0"/>
    <x v="0"/>
    <m/>
    <m/>
    <x v="0"/>
    <e v="#REF!"/>
    <m/>
    <m/>
    <m/>
    <m/>
    <m/>
    <x v="0"/>
    <s v="anulada: 8000001556"/>
    <m/>
    <m/>
    <m/>
    <s v="NACIONALIZADO"/>
    <m/>
    <m/>
    <m/>
  </r>
  <r>
    <n v="2021"/>
    <s v="G-S"/>
    <x v="0"/>
    <x v="0"/>
    <m/>
    <m/>
    <x v="1479"/>
    <m/>
    <x v="1236"/>
    <m/>
    <d v="2021-10-12T00:00:00"/>
    <d v="2021-10-14T00:00:00"/>
    <s v="CERRADO"/>
    <n v="203576"/>
    <x v="6"/>
    <x v="25"/>
    <x v="661"/>
    <d v="2021-06-02T00:00:00"/>
    <n v="150"/>
    <s v="días BL"/>
    <s v="TGOA-UREA-210802-2"/>
    <m/>
    <d v="2022-01-08T00:00:00"/>
    <s v="CANCELADO"/>
    <s v="CFR"/>
    <m/>
    <x v="132"/>
    <n v="399.28"/>
    <m/>
    <x v="1264"/>
    <x v="3"/>
    <s v="Granel"/>
    <m/>
    <s v="Granel Sólido"/>
    <m/>
    <m/>
    <s v="JUNIO '21"/>
    <x v="0"/>
    <d v="1899-12-30T00:00:00"/>
    <d v="2021-08-11T00:00:00"/>
    <d v="2021-10-06T00:00:00"/>
    <x v="685"/>
    <d v="2021-10-07T00:00:00"/>
    <m/>
    <x v="721"/>
    <n v="10"/>
    <n v="2021"/>
    <x v="0"/>
    <x v="0"/>
    <s v="TIANJIN / CHINA"/>
    <x v="4"/>
    <m/>
    <x v="2"/>
    <x v="1085"/>
    <d v="2021-08-11T00:00:00"/>
    <s v="MV INKAN PANDAN"/>
    <x v="333"/>
    <x v="0"/>
    <m/>
    <s v="REALIZADO"/>
    <s v="ORIGEN"/>
    <m/>
    <m/>
    <m/>
    <x v="0"/>
    <n v="56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O-S"/>
    <x v="0"/>
    <x v="0"/>
    <m/>
    <m/>
    <x v="1480"/>
    <m/>
    <x v="1237"/>
    <m/>
    <m/>
    <m/>
    <s v="CERRADO"/>
    <n v="203553"/>
    <x v="123"/>
    <x v="53"/>
    <x v="662"/>
    <s v="ABRIL '21"/>
    <s v="CAD"/>
    <m/>
    <s v="F200-43094"/>
    <m/>
    <d v="2021-06-08T00:00:00"/>
    <s v="CANCELADO"/>
    <s v="CFR"/>
    <m/>
    <x v="565"/>
    <n v="293.37"/>
    <m/>
    <x v="1265"/>
    <x v="5"/>
    <s v="Contenedor 20'"/>
    <m/>
    <s v="Granel Sólido"/>
    <m/>
    <m/>
    <s v="MAYO '21"/>
    <x v="0"/>
    <m/>
    <m/>
    <m/>
    <x v="650"/>
    <m/>
    <m/>
    <x v="675"/>
    <n v="6"/>
    <n v="2021"/>
    <x v="0"/>
    <x v="0"/>
    <s v="BREVIK / NORUEGA"/>
    <x v="0"/>
    <m/>
    <x v="2"/>
    <x v="1086"/>
    <d v="2021-05-07T00:00:00"/>
    <s v="ENERGIZER"/>
    <x v="217"/>
    <x v="9"/>
    <m/>
    <s v="REALIZADO"/>
    <s v="SWB"/>
    <m/>
    <m/>
    <m/>
    <x v="0"/>
    <d v="2021-06-21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O-S"/>
    <x v="0"/>
    <x v="0"/>
    <m/>
    <m/>
    <x v="1481"/>
    <m/>
    <x v="1238"/>
    <m/>
    <m/>
    <m/>
    <s v="CERRADO"/>
    <n v="203553"/>
    <x v="123"/>
    <x v="53"/>
    <x v="663"/>
    <s v="ABRIL '21"/>
    <s v="CAD"/>
    <m/>
    <s v="F200-43095"/>
    <m/>
    <d v="2021-06-08T00:00:00"/>
    <s v="CANCELADO"/>
    <s v="CFR"/>
    <m/>
    <x v="566"/>
    <n v="292.11"/>
    <m/>
    <x v="1266"/>
    <x v="5"/>
    <s v="Contenedor 20'"/>
    <m/>
    <s v="Granel Sólido"/>
    <m/>
    <m/>
    <s v="MAYO '21"/>
    <x v="0"/>
    <m/>
    <m/>
    <m/>
    <x v="686"/>
    <m/>
    <m/>
    <x v="645"/>
    <n v="6"/>
    <n v="2021"/>
    <x v="0"/>
    <x v="0"/>
    <s v="BREVIK / NORUEGA"/>
    <x v="2"/>
    <m/>
    <x v="3"/>
    <x v="1087"/>
    <d v="2021-05-07T00:00:00"/>
    <s v="ENERGIZER"/>
    <x v="184"/>
    <x v="9"/>
    <m/>
    <s v="REALIZADO"/>
    <s v="SWB"/>
    <m/>
    <m/>
    <m/>
    <x v="0"/>
    <d v="2021-07-01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O-S"/>
    <x v="0"/>
    <x v="0"/>
    <m/>
    <m/>
    <x v="1482"/>
    <m/>
    <x v="1239"/>
    <m/>
    <d v="2021-08-09T00:00:00"/>
    <d v="2021-08-12T00:00:00"/>
    <s v="CERRADO"/>
    <n v="203553"/>
    <x v="123"/>
    <x v="53"/>
    <x v="664"/>
    <s v="ABRIL '21"/>
    <n v="30"/>
    <s v="días FACT."/>
    <s v="F200-43106"/>
    <m/>
    <d v="2021-06-18T00:00:00"/>
    <s v="CANCELADO"/>
    <s v="CFR"/>
    <m/>
    <x v="567"/>
    <n v="316.39999999999998"/>
    <m/>
    <x v="1267"/>
    <x v="1"/>
    <s v="Contenedor 20'"/>
    <m/>
    <s v="Granel Sólido"/>
    <m/>
    <m/>
    <s v="ABRIL '21"/>
    <x v="0"/>
    <m/>
    <d v="2021-05-11T00:00:00"/>
    <m/>
    <x v="687"/>
    <m/>
    <m/>
    <x v="722"/>
    <n v="8"/>
    <n v="2021"/>
    <x v="0"/>
    <x v="0"/>
    <s v="BREVIK / NORUEGA"/>
    <x v="4"/>
    <m/>
    <x v="2"/>
    <x v="1088"/>
    <d v="2021-05-11T00:00:00"/>
    <s v="IDA RAMBOW"/>
    <x v="129"/>
    <x v="2"/>
    <m/>
    <s v="REALIZADO"/>
    <s v="DESTINO"/>
    <m/>
    <m/>
    <m/>
    <x v="0"/>
    <m/>
    <m/>
    <x v="0"/>
    <x v="0"/>
    <m/>
    <m/>
    <x v="0"/>
    <e v="#REF!"/>
    <m/>
    <m/>
    <m/>
    <m/>
    <m/>
    <x v="0"/>
    <s v="anulada : 8000001319"/>
    <m/>
    <m/>
    <m/>
    <s v="NACIONALIZADO"/>
    <m/>
    <m/>
    <m/>
  </r>
  <r>
    <n v="2021"/>
    <s v="T-S"/>
    <x v="0"/>
    <x v="0"/>
    <m/>
    <m/>
    <x v="1483"/>
    <m/>
    <x v="1240"/>
    <m/>
    <m/>
    <m/>
    <s v="CERRADO"/>
    <n v="203924"/>
    <x v="136"/>
    <x v="53"/>
    <x v="665"/>
    <d v="2021-03-15T00:00:00"/>
    <s v="CAD"/>
    <m/>
    <s v="F200-43155"/>
    <m/>
    <d v="2021-08-10T00:00:00"/>
    <s v="CANCELADO"/>
    <s v="CFR"/>
    <m/>
    <x v="332"/>
    <n v="5500"/>
    <m/>
    <x v="1268"/>
    <x v="11"/>
    <s v="Contenedor 40'"/>
    <m/>
    <s v="5 kg"/>
    <m/>
    <m/>
    <s v="MAYO '21"/>
    <x v="0"/>
    <m/>
    <d v="2021-07-21T00:00:00"/>
    <m/>
    <x v="609"/>
    <m/>
    <m/>
    <x v="723"/>
    <n v="8"/>
    <n v="2021"/>
    <x v="0"/>
    <x v="0"/>
    <s v="ROTTERDAM / PAISES BAJOS"/>
    <x v="2"/>
    <m/>
    <x v="3"/>
    <x v="1089"/>
    <d v="2021-07-22T00:00:00"/>
    <s v="SANTOS EXPRESS"/>
    <x v="184"/>
    <x v="2"/>
    <m/>
    <s v="REALIZADO"/>
    <s v="ORIGEN"/>
    <m/>
    <m/>
    <m/>
    <x v="0"/>
    <m/>
    <m/>
    <x v="0"/>
    <x v="0"/>
    <m/>
    <m/>
    <x v="0"/>
    <e v="#REF!"/>
    <m/>
    <m/>
    <m/>
    <m/>
    <m/>
    <x v="0"/>
    <s v="Anulado: 8000001288"/>
    <m/>
    <m/>
    <m/>
    <s v="NACIONALIZADO"/>
    <m/>
    <m/>
    <m/>
  </r>
  <r>
    <n v="2021"/>
    <s v="O-S"/>
    <x v="0"/>
    <x v="0"/>
    <m/>
    <m/>
    <x v="1484"/>
    <m/>
    <x v="1241"/>
    <m/>
    <d v="2021-08-09T00:00:00"/>
    <d v="2021-08-10T00:00:00"/>
    <s v="CERRADO"/>
    <n v="203553"/>
    <x v="123"/>
    <x v="53"/>
    <x v="666"/>
    <s v="MAYO '21"/>
    <s v="CAD"/>
    <m/>
    <s v="F200-43128"/>
    <m/>
    <d v="2021-07-03T00:00:00"/>
    <s v="CANCELADO"/>
    <s v="CFR"/>
    <m/>
    <x v="568"/>
    <n v="315.55"/>
    <m/>
    <x v="1269"/>
    <x v="1"/>
    <s v="Contenedor 20'"/>
    <m/>
    <s v="Granel Sólido"/>
    <m/>
    <m/>
    <s v="MAYO '21"/>
    <x v="0"/>
    <m/>
    <d v="2021-06-04T00:00:00"/>
    <m/>
    <x v="687"/>
    <m/>
    <m/>
    <x v="722"/>
    <n v="8"/>
    <n v="2021"/>
    <x v="0"/>
    <x v="0"/>
    <s v="BREVIK / NORUEGA"/>
    <x v="4"/>
    <m/>
    <x v="2"/>
    <x v="1090"/>
    <d v="2021-06-04T00:00:00"/>
    <s v="ENERGIZER"/>
    <x v="129"/>
    <x v="2"/>
    <m/>
    <s v="REALIZADO"/>
    <s v="DESTINO"/>
    <m/>
    <m/>
    <m/>
    <x v="0"/>
    <m/>
    <m/>
    <x v="0"/>
    <x v="0"/>
    <m/>
    <m/>
    <x v="0"/>
    <e v="#REF!"/>
    <m/>
    <m/>
    <m/>
    <m/>
    <m/>
    <x v="0"/>
    <s v="anulada: 8000001380"/>
    <m/>
    <m/>
    <m/>
    <s v="NACIONALIZADO"/>
    <m/>
    <m/>
    <m/>
  </r>
  <r>
    <n v="2021"/>
    <s v="O-S"/>
    <x v="0"/>
    <x v="0"/>
    <m/>
    <m/>
    <x v="1485"/>
    <m/>
    <x v="1242"/>
    <m/>
    <m/>
    <m/>
    <s v="CERRADO"/>
    <n v="203553"/>
    <x v="123"/>
    <x v="53"/>
    <x v="667"/>
    <s v="MAYO '21"/>
    <s v="CAD"/>
    <m/>
    <s v="F200-43126"/>
    <m/>
    <d v="2021-07-03T00:00:00"/>
    <s v="CANCELADO"/>
    <s v="CFR"/>
    <m/>
    <x v="569"/>
    <n v="292.93"/>
    <m/>
    <x v="1270"/>
    <x v="20"/>
    <s v="Contenedor 20'"/>
    <m/>
    <s v="Granel Sólido"/>
    <m/>
    <m/>
    <s v="MAYO '21"/>
    <x v="0"/>
    <m/>
    <m/>
    <m/>
    <x v="688"/>
    <m/>
    <m/>
    <x v="724"/>
    <n v="7"/>
    <n v="2021"/>
    <x v="0"/>
    <x v="0"/>
    <s v="BREVIK / NORUEGA"/>
    <x v="0"/>
    <m/>
    <x v="2"/>
    <x v="1091"/>
    <d v="2021-06-11T00:00:00"/>
    <s v="ENERGIZER"/>
    <x v="217"/>
    <x v="9"/>
    <m/>
    <s v="REALIZADO"/>
    <s v="SWB"/>
    <m/>
    <m/>
    <m/>
    <x v="0"/>
    <d v="2021-07-27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O-S"/>
    <x v="0"/>
    <x v="0"/>
    <m/>
    <m/>
    <x v="1486"/>
    <m/>
    <x v="1243"/>
    <m/>
    <d v="2021-08-05T00:00:00"/>
    <d v="2021-08-05T00:00:00"/>
    <s v="CERRADO"/>
    <n v="203553"/>
    <x v="123"/>
    <x v="53"/>
    <x v="668"/>
    <s v="MAYO '21"/>
    <s v="CAD"/>
    <m/>
    <s v="F200-43127"/>
    <m/>
    <d v="2021-07-03T00:00:00"/>
    <s v="CANCELADO"/>
    <s v="CPT"/>
    <m/>
    <x v="570"/>
    <n v="291.7"/>
    <m/>
    <x v="1271"/>
    <x v="9"/>
    <s v="Contenedor 20'"/>
    <m/>
    <s v="Granel Sólido"/>
    <m/>
    <m/>
    <s v="MAYO '21"/>
    <x v="0"/>
    <m/>
    <m/>
    <m/>
    <x v="629"/>
    <m/>
    <m/>
    <x v="680"/>
    <n v="8"/>
    <n v="2021"/>
    <x v="0"/>
    <x v="0"/>
    <s v="BREVIK / NORUEGA"/>
    <x v="2"/>
    <m/>
    <x v="3"/>
    <x v="1092"/>
    <d v="2021-06-19T00:00:00"/>
    <s v="ENERGIZER"/>
    <x v="39"/>
    <x v="9"/>
    <m/>
    <s v="REALIZADO"/>
    <s v="ORIGEN"/>
    <m/>
    <m/>
    <m/>
    <x v="0"/>
    <d v="2021-08-05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E-S"/>
    <x v="0"/>
    <x v="0"/>
    <m/>
    <m/>
    <x v="1487"/>
    <m/>
    <x v="1244"/>
    <m/>
    <d v="2021-09-10T00:00:00"/>
    <d v="2021-09-22T00:00:00"/>
    <s v="CERRADO"/>
    <n v="203820"/>
    <x v="117"/>
    <x v="47"/>
    <x v="669"/>
    <d v="2021-05-14T00:00:00"/>
    <s v="CAD"/>
    <m/>
    <s v="221.186"/>
    <m/>
    <d v="2021-08-09T00:00:00"/>
    <s v="CANCELADO"/>
    <s v="CFR"/>
    <m/>
    <x v="8"/>
    <n v="1274"/>
    <m/>
    <x v="1272"/>
    <x v="3"/>
    <s v="Granel - BB"/>
    <m/>
    <s v="25 kg"/>
    <m/>
    <m/>
    <s v="2H MAY - JUN '21"/>
    <x v="0"/>
    <d v="1899-12-30T00:00:00"/>
    <d v="2021-07-20T00:00:00"/>
    <d v="2021-08-19T00:00:00"/>
    <x v="609"/>
    <d v="2021-08-29T00:00:00"/>
    <m/>
    <x v="657"/>
    <n v="9"/>
    <n v="2021"/>
    <x v="0"/>
    <x v="0"/>
    <s v="TIANJIN / CHINA"/>
    <x v="2"/>
    <m/>
    <x v="3"/>
    <x v="1093"/>
    <d v="2021-07-20T00:00:00"/>
    <s v="MV MSXT FLORA"/>
    <x v="306"/>
    <x v="0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E-S"/>
    <x v="0"/>
    <x v="1"/>
    <s v="N/A"/>
    <m/>
    <x v="1488"/>
    <m/>
    <x v="34"/>
    <m/>
    <m/>
    <m/>
    <m/>
    <m/>
    <x v="117"/>
    <x v="47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1"/>
    <s v="T-S"/>
    <x v="0"/>
    <x v="0"/>
    <m/>
    <m/>
    <x v="1489"/>
    <m/>
    <x v="1245"/>
    <m/>
    <m/>
    <m/>
    <s v="CERRADO"/>
    <n v="208067"/>
    <x v="115"/>
    <x v="53"/>
    <x v="16"/>
    <s v="MAYO '21"/>
    <n v="30"/>
    <s v="días FACT."/>
    <s v="F200-43088"/>
    <m/>
    <d v="2021-06-17T00:00:00"/>
    <s v="CANCELADO"/>
    <s v="CFR"/>
    <m/>
    <x v="206"/>
    <n v="249"/>
    <m/>
    <x v="1273"/>
    <x v="7"/>
    <s v="Contenedor 20'"/>
    <m/>
    <s v="25 kg"/>
    <m/>
    <m/>
    <s v="MAYO '21"/>
    <x v="0"/>
    <m/>
    <m/>
    <m/>
    <x v="647"/>
    <m/>
    <m/>
    <x v="725"/>
    <n v="6"/>
    <n v="2021"/>
    <x v="0"/>
    <x v="0"/>
    <s v="CARTAGENA / COLOMBIA"/>
    <x v="4"/>
    <m/>
    <x v="2"/>
    <x v="1094"/>
    <d v="2021-05-14T00:00:00"/>
    <s v="LIMARI"/>
    <x v="129"/>
    <x v="2"/>
    <m/>
    <s v="REALIZADO"/>
    <s v="DESTINO"/>
    <m/>
    <m/>
    <m/>
    <x v="0"/>
    <d v="2021-07-09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C"/>
    <x v="0"/>
    <x v="0"/>
    <m/>
    <m/>
    <x v="1490"/>
    <m/>
    <x v="1246"/>
    <m/>
    <d v="2021-08-16T00:00:00"/>
    <d v="2021-08-17T00:00:00"/>
    <s v="CERRADO"/>
    <n v="207580"/>
    <x v="32"/>
    <x v="51"/>
    <x v="670"/>
    <d v="2021-05-27T00:00:00"/>
    <s v="CAD"/>
    <m/>
    <s v="5000653"/>
    <m/>
    <s v="-"/>
    <s v="CANCELADO"/>
    <s v="CPT"/>
    <m/>
    <x v="140"/>
    <n v="658"/>
    <m/>
    <x v="1274"/>
    <x v="22"/>
    <s v="Contenedor 20'"/>
    <m/>
    <s v="25 kg"/>
    <m/>
    <m/>
    <s v="JUN - JUL '21"/>
    <x v="0"/>
    <m/>
    <d v="2021-07-20T00:00:00"/>
    <m/>
    <x v="689"/>
    <m/>
    <m/>
    <x v="677"/>
    <n v="8"/>
    <n v="2021"/>
    <x v="0"/>
    <x v="0"/>
    <s v="KLAIPEDA / LITHUANIA"/>
    <x v="2"/>
    <m/>
    <x v="3"/>
    <x v="1095"/>
    <d v="2021-06-21T00:00:00"/>
    <s v="VUOKSI MAERSK"/>
    <x v="293"/>
    <x v="3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491"/>
    <m/>
    <x v="1247"/>
    <m/>
    <d v="2021-09-01T00:00:00"/>
    <d v="2021-09-01T00:00:00"/>
    <s v="CERRADO"/>
    <n v="209852"/>
    <x v="43"/>
    <x v="51"/>
    <x v="671"/>
    <d v="2021-06-02T00:00:00"/>
    <n v="90"/>
    <s v="días BL"/>
    <s v="5000691"/>
    <m/>
    <d v="2021-10-21T00:00:00"/>
    <s v="CANCELADO"/>
    <s v="CFR"/>
    <m/>
    <x v="13"/>
    <n v="214"/>
    <m/>
    <x v="1275"/>
    <x v="3"/>
    <s v="Granel - BB"/>
    <m/>
    <s v="50 kg"/>
    <m/>
    <m/>
    <s v="JUN - JUL '21"/>
    <x v="0"/>
    <m/>
    <d v="2021-07-10T00:00:00"/>
    <m/>
    <x v="690"/>
    <m/>
    <m/>
    <x v="726"/>
    <n v="9"/>
    <n v="2021"/>
    <x v="0"/>
    <x v="0"/>
    <s v="TIANJIN / CHINA"/>
    <x v="2"/>
    <m/>
    <x v="3"/>
    <x v="1096"/>
    <d v="2021-07-23T00:00:00"/>
    <s v="MV STAR HIDRA"/>
    <x v="334"/>
    <x v="0"/>
    <m/>
    <s v="REALIZADO"/>
    <s v="ORIGEN"/>
    <m/>
    <m/>
    <m/>
    <x v="0"/>
    <m/>
    <m/>
    <x v="0"/>
    <x v="0"/>
    <m/>
    <m/>
    <x v="0"/>
    <e v="#REF!"/>
    <m/>
    <m/>
    <m/>
    <m/>
    <m/>
    <x v="0"/>
    <s v="anulada: 8000001500,8000001484"/>
    <m/>
    <m/>
    <m/>
    <s v="NACIONALIZADO"/>
    <m/>
    <m/>
    <m/>
  </r>
  <r>
    <n v="2021"/>
    <s v="G-S"/>
    <x v="0"/>
    <x v="0"/>
    <m/>
    <m/>
    <x v="1492"/>
    <m/>
    <x v="1248"/>
    <m/>
    <d v="1899-12-30T00:00:00"/>
    <d v="2021-11-05T00:00:00"/>
    <s v="CERRADO"/>
    <n v="209852"/>
    <x v="43"/>
    <x v="51"/>
    <x v="671"/>
    <d v="2021-06-02T00:00:00"/>
    <n v="90"/>
    <s v="días BL"/>
    <s v="5000748"/>
    <m/>
    <d v="2021-12-09T00:00:00"/>
    <s v="CANCELADO"/>
    <s v="CFR"/>
    <m/>
    <x v="7"/>
    <n v="214"/>
    <m/>
    <x v="1276"/>
    <x v="3"/>
    <s v="Granel - BB"/>
    <m/>
    <s v="50 kg"/>
    <m/>
    <m/>
    <s v="JUN - JUL '21"/>
    <x v="0"/>
    <d v="1899-12-30T00:00:00"/>
    <d v="2021-09-11T00:00:00"/>
    <d v="2021-10-21T00:00:00"/>
    <x v="691"/>
    <d v="2021-10-31T00:00:00"/>
    <m/>
    <x v="727"/>
    <n v="11"/>
    <n v="2021"/>
    <x v="0"/>
    <x v="0"/>
    <s v="TIANJIN / CHINA"/>
    <x v="2"/>
    <m/>
    <x v="3"/>
    <x v="1097"/>
    <d v="2021-09-10T00:00:00"/>
    <s v="MV MISAGO ARROW "/>
    <x v="66"/>
    <x v="0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493"/>
    <m/>
    <x v="1249"/>
    <m/>
    <d v="1899-12-30T00:00:00"/>
    <d v="2021-11-12T00:00:00"/>
    <s v="CERRADO"/>
    <n v="209852"/>
    <x v="43"/>
    <x v="51"/>
    <x v="671"/>
    <d v="2021-06-02T00:00:00"/>
    <n v="90"/>
    <s v="días BL"/>
    <s v="5000758"/>
    <m/>
    <d v="2021-12-08T00:00:00"/>
    <s v="CANCELADO"/>
    <s v="CFR"/>
    <m/>
    <x v="571"/>
    <n v="214"/>
    <m/>
    <x v="1277"/>
    <x v="3"/>
    <s v="Granel - BB"/>
    <m/>
    <s v="50 kg"/>
    <m/>
    <m/>
    <s v="JUN - JUL '21"/>
    <x v="0"/>
    <d v="1899-12-30T00:00:00"/>
    <d v="2021-09-11T00:00:00"/>
    <d v="2021-10-21T00:00:00"/>
    <x v="691"/>
    <d v="2021-10-31T00:00:00"/>
    <m/>
    <x v="728"/>
    <n v="11"/>
    <n v="2021"/>
    <x v="0"/>
    <x v="0"/>
    <s v="TIANJIN / CHINA"/>
    <x v="2"/>
    <m/>
    <x v="3"/>
    <x v="1098"/>
    <d v="2021-09-09T00:00:00"/>
    <s v="MV MISAGO ARROW "/>
    <x v="66"/>
    <x v="0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494"/>
    <m/>
    <x v="1250"/>
    <m/>
    <d v="2021-09-03T00:00:00"/>
    <d v="2021-09-03T00:00:00"/>
    <s v="CERRADO"/>
    <n v="209851"/>
    <x v="43"/>
    <x v="51"/>
    <x v="672"/>
    <d v="2021-06-02T00:00:00"/>
    <n v="90"/>
    <s v="días BL"/>
    <s v="5000692"/>
    <m/>
    <d v="2021-10-21T00:00:00"/>
    <s v="CANCELADO"/>
    <s v="CFR"/>
    <m/>
    <x v="1"/>
    <n v="208"/>
    <m/>
    <x v="1278"/>
    <x v="3"/>
    <s v="Granel - BB"/>
    <m/>
    <s v="Bigbag"/>
    <m/>
    <m/>
    <s v="JUN - JUL '21"/>
    <x v="0"/>
    <m/>
    <d v="2021-07-10T00:00:00"/>
    <m/>
    <x v="690"/>
    <m/>
    <m/>
    <x v="726"/>
    <n v="9"/>
    <n v="2021"/>
    <x v="0"/>
    <x v="0"/>
    <s v="TIANJIN / CHINA"/>
    <x v="2"/>
    <m/>
    <x v="3"/>
    <x v="1099"/>
    <d v="2021-07-23T00:00:00"/>
    <s v="MV STAR HIDRA"/>
    <x v="334"/>
    <x v="0"/>
    <m/>
    <s v="REALIZADO"/>
    <s v="ORIGEN"/>
    <m/>
    <m/>
    <m/>
    <x v="0"/>
    <m/>
    <m/>
    <x v="0"/>
    <x v="0"/>
    <m/>
    <m/>
    <x v="0"/>
    <e v="#REF!"/>
    <m/>
    <m/>
    <m/>
    <m/>
    <m/>
    <x v="0"/>
    <s v="anulada: 8000001485"/>
    <m/>
    <m/>
    <m/>
    <s v="NACIONALIZADO"/>
    <m/>
    <m/>
    <m/>
  </r>
  <r>
    <n v="2021"/>
    <s v="G-S"/>
    <x v="0"/>
    <x v="0"/>
    <m/>
    <m/>
    <x v="1495"/>
    <m/>
    <x v="1251"/>
    <m/>
    <d v="2021-09-06T00:00:00"/>
    <d v="2021-09-07T00:00:00"/>
    <s v="CERRADO"/>
    <n v="209851"/>
    <x v="43"/>
    <x v="51"/>
    <x v="673"/>
    <d v="2021-06-02T00:00:00"/>
    <n v="90"/>
    <s v="días BL"/>
    <s v="5000693"/>
    <m/>
    <d v="2021-10-20T00:00:00"/>
    <s v="CANCELADO"/>
    <s v="CFR"/>
    <m/>
    <x v="0"/>
    <n v="227"/>
    <m/>
    <x v="1279"/>
    <x v="3"/>
    <s v="Granel - BB"/>
    <m/>
    <s v="Bigbag"/>
    <m/>
    <m/>
    <s v="JUN - JUL '21"/>
    <x v="0"/>
    <m/>
    <d v="2021-07-24T00:00:00"/>
    <m/>
    <x v="671"/>
    <m/>
    <m/>
    <x v="729"/>
    <n v="9"/>
    <n v="2021"/>
    <x v="0"/>
    <x v="0"/>
    <s v="TIANJIN / CHINA"/>
    <x v="1"/>
    <m/>
    <x v="2"/>
    <x v="1100"/>
    <d v="2021-07-22T00:00:00"/>
    <s v="MV STAR HIDRA"/>
    <x v="334"/>
    <x v="0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P"/>
    <x v="0"/>
    <x v="0"/>
    <m/>
    <m/>
    <x v="1496"/>
    <m/>
    <x v="1252"/>
    <m/>
    <d v="1899-12-30T00:00:00"/>
    <d v="2021-11-05T00:00:00"/>
    <s v="CERRADO"/>
    <n v="207499"/>
    <x v="2"/>
    <x v="51"/>
    <x v="674"/>
    <d v="2021-05-26T00:00:00"/>
    <n v="90"/>
    <s v="días BL"/>
    <s v="5000753"/>
    <m/>
    <d v="2021-12-09T00:00:00"/>
    <s v="CANCELADO"/>
    <s v="CFR"/>
    <m/>
    <x v="572"/>
    <n v="713"/>
    <m/>
    <x v="1280"/>
    <x v="3"/>
    <s v="Granel - BB"/>
    <m/>
    <s v="25 kg"/>
    <m/>
    <m/>
    <s v="2H JUL - AGO '21"/>
    <x v="0"/>
    <d v="1899-12-30T00:00:00"/>
    <d v="2021-09-11T00:00:00"/>
    <d v="2021-10-21T00:00:00"/>
    <x v="691"/>
    <d v="2021-10-31T00:00:00"/>
    <m/>
    <x v="730"/>
    <n v="11"/>
    <n v="2021"/>
    <x v="0"/>
    <x v="0"/>
    <s v="TIANJIN / CHINA"/>
    <x v="2"/>
    <m/>
    <x v="3"/>
    <x v="1101"/>
    <d v="2021-09-10T00:00:00"/>
    <s v="MV MISAGO ARROW "/>
    <x v="66"/>
    <x v="0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P"/>
    <x v="0"/>
    <x v="2"/>
    <s v="N/A"/>
    <m/>
    <x v="1497"/>
    <m/>
    <x v="34"/>
    <m/>
    <m/>
    <m/>
    <m/>
    <m/>
    <x v="2"/>
    <x v="51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1"/>
    <s v="T-S"/>
    <x v="0"/>
    <x v="0"/>
    <m/>
    <m/>
    <x v="1498"/>
    <m/>
    <x v="1253"/>
    <m/>
    <m/>
    <m/>
    <s v="CERRADO"/>
    <n v="208067"/>
    <x v="115"/>
    <x v="53"/>
    <x v="675"/>
    <s v="MAYO '21"/>
    <n v="30"/>
    <s v="días FACT."/>
    <s v="F200-43093"/>
    <m/>
    <d v="2021-06-21T00:00:00"/>
    <s v="CANCELADO"/>
    <s v="CFR"/>
    <m/>
    <x v="197"/>
    <n v="249"/>
    <m/>
    <x v="1281"/>
    <x v="31"/>
    <s v="Contenedor 20'"/>
    <m/>
    <s v="25 kg"/>
    <m/>
    <m/>
    <s v="MAYO '21"/>
    <x v="0"/>
    <m/>
    <m/>
    <m/>
    <x v="652"/>
    <m/>
    <m/>
    <x v="674"/>
    <n v="6"/>
    <n v="2021"/>
    <x v="0"/>
    <x v="0"/>
    <s v="CARTAGENA / COLOMBIA"/>
    <x v="0"/>
    <m/>
    <x v="2"/>
    <x v="1039"/>
    <d v="2021-05-21T00:00:00"/>
    <s v="CMA CGM SAMBHAR"/>
    <x v="310"/>
    <x v="2"/>
    <m/>
    <s v="REALIZADO"/>
    <s v="DESTINO"/>
    <m/>
    <m/>
    <m/>
    <x v="0"/>
    <d v="2021-06-15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O-S"/>
    <x v="0"/>
    <x v="0"/>
    <m/>
    <m/>
    <x v="1499"/>
    <m/>
    <x v="1254"/>
    <m/>
    <d v="2021-08-31T00:00:00"/>
    <d v="2021-08-31T00:00:00"/>
    <s v="CERRADO"/>
    <n v="203553"/>
    <x v="123"/>
    <x v="53"/>
    <x v="676"/>
    <d v="2021-03-15T00:00:00"/>
    <s v="CAD"/>
    <m/>
    <s v="F200-43153"/>
    <m/>
    <d v="2021-09-06T00:00:00"/>
    <s v="CANCELADO"/>
    <s v="CFR"/>
    <m/>
    <x v="573"/>
    <n v="322.76"/>
    <m/>
    <x v="1282"/>
    <x v="14"/>
    <s v="Contenedor 20'"/>
    <m/>
    <s v="Granel Sólido"/>
    <m/>
    <m/>
    <s v="JUNIO '21"/>
    <x v="0"/>
    <m/>
    <d v="2021-07-25T00:00:00"/>
    <m/>
    <x v="680"/>
    <m/>
    <m/>
    <x v="731"/>
    <n v="9"/>
    <n v="2021"/>
    <x v="0"/>
    <x v="0"/>
    <s v="BREVIK / NORUEGA"/>
    <x v="0"/>
    <m/>
    <x v="2"/>
    <x v="1102"/>
    <d v="2021-07-25T00:00:00"/>
    <s v="ENERGIZER"/>
    <x v="310"/>
    <x v="9"/>
    <m/>
    <s v="REALIZADO"/>
    <s v="SWB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O-S"/>
    <x v="0"/>
    <x v="1"/>
    <s v="N/A"/>
    <m/>
    <x v="1500"/>
    <m/>
    <x v="34"/>
    <m/>
    <m/>
    <m/>
    <m/>
    <m/>
    <x v="123"/>
    <x v="53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1"/>
    <s v="T-S"/>
    <x v="0"/>
    <x v="0"/>
    <m/>
    <m/>
    <x v="1501"/>
    <m/>
    <x v="1255"/>
    <m/>
    <m/>
    <m/>
    <s v="CERRADO"/>
    <n v="208067"/>
    <x v="115"/>
    <x v="53"/>
    <x v="677"/>
    <s v="MAYO '21"/>
    <n v="30"/>
    <s v="días FACT."/>
    <s v="F200-43114"/>
    <m/>
    <d v="2021-07-18T00:00:00"/>
    <s v="CANCELADO"/>
    <s v="CFR"/>
    <m/>
    <x v="136"/>
    <n v="249"/>
    <m/>
    <x v="1283"/>
    <x v="14"/>
    <s v="Contenedor 20'"/>
    <m/>
    <s v="25 kg"/>
    <m/>
    <m/>
    <s v="JUNIO '21"/>
    <x v="0"/>
    <m/>
    <m/>
    <m/>
    <x v="632"/>
    <m/>
    <m/>
    <x v="732"/>
    <n v="7"/>
    <n v="2021"/>
    <x v="0"/>
    <x v="0"/>
    <s v="CARTAGENA / COLOMBIA"/>
    <x v="0"/>
    <m/>
    <x v="2"/>
    <x v="1103"/>
    <d v="2021-06-18T00:00:00"/>
    <s v="CMA CGM SAMBHAR"/>
    <x v="310"/>
    <x v="2"/>
    <m/>
    <s v="REALIZADO"/>
    <s v="DESTINO"/>
    <m/>
    <m/>
    <m/>
    <x v="0"/>
    <d v="2021-07-13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502"/>
    <m/>
    <x v="1256"/>
    <m/>
    <m/>
    <m/>
    <s v="CERRADO"/>
    <n v="208067"/>
    <x v="115"/>
    <x v="53"/>
    <x v="678"/>
    <s v="MAYO '21"/>
    <n v="30"/>
    <s v="días FACT."/>
    <s v="F200-43105"/>
    <m/>
    <d v="2021-06-27T00:00:00"/>
    <s v="CANCELADO"/>
    <s v="CFR"/>
    <m/>
    <x v="250"/>
    <n v="249"/>
    <m/>
    <x v="1284"/>
    <x v="20"/>
    <s v="Contenedor 20'"/>
    <m/>
    <s v="25 kg"/>
    <m/>
    <m/>
    <s v="MAYO '21"/>
    <x v="0"/>
    <m/>
    <m/>
    <m/>
    <x v="669"/>
    <m/>
    <m/>
    <x v="697"/>
    <n v="6"/>
    <n v="2021"/>
    <x v="0"/>
    <x v="0"/>
    <s v="CARTAGENA / COLOMBIA"/>
    <x v="2"/>
    <m/>
    <x v="3"/>
    <x v="1038"/>
    <d v="2021-05-26T00:00:00"/>
    <s v="CMA CGM JEAN GABRIEL"/>
    <x v="155"/>
    <x v="9"/>
    <m/>
    <s v="REALIZADO"/>
    <s v="SWB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503"/>
    <m/>
    <x v="1257"/>
    <m/>
    <m/>
    <m/>
    <s v="CERRADO"/>
    <n v="208071"/>
    <x v="106"/>
    <x v="53"/>
    <x v="679"/>
    <d v="2021-05-15T00:00:00"/>
    <n v="30"/>
    <s v="días FACT."/>
    <s v="F200-43110"/>
    <m/>
    <d v="2021-07-04T00:00:00"/>
    <s v="CANCELADO"/>
    <s v="CFR"/>
    <m/>
    <x v="574"/>
    <n v="249"/>
    <m/>
    <x v="1285"/>
    <x v="54"/>
    <s v="Contenedor 20'"/>
    <m/>
    <s v="25 kg"/>
    <m/>
    <m/>
    <s v="MAYO '21"/>
    <x v="0"/>
    <m/>
    <m/>
    <m/>
    <x v="618"/>
    <m/>
    <m/>
    <x v="733"/>
    <n v="6"/>
    <n v="2021"/>
    <x v="0"/>
    <x v="0"/>
    <s v="CARTAGENA / COLOMBIA"/>
    <x v="0"/>
    <m/>
    <x v="2"/>
    <x v="1104"/>
    <d v="2021-06-03T00:00:00"/>
    <s v="CMA CGM SAMBHAR"/>
    <x v="310"/>
    <x v="9"/>
    <m/>
    <s v="REALIZADO"/>
    <s v="SWB"/>
    <m/>
    <m/>
    <m/>
    <x v="0"/>
    <d v="2021-06-29T00:00:00"/>
    <m/>
    <x v="0"/>
    <x v="0"/>
    <m/>
    <m/>
    <x v="0"/>
    <e v="#REF!"/>
    <m/>
    <m/>
    <m/>
    <m/>
    <m/>
    <x v="0"/>
    <s v="anulada: 8000001345"/>
    <m/>
    <m/>
    <m/>
    <s v="NACIONALIZADO"/>
    <m/>
    <m/>
    <m/>
  </r>
  <r>
    <n v="2021"/>
    <s v="T-S"/>
    <x v="0"/>
    <x v="0"/>
    <m/>
    <m/>
    <x v="1504"/>
    <m/>
    <x v="1258"/>
    <m/>
    <m/>
    <m/>
    <s v="CERRADO"/>
    <n v="208071"/>
    <x v="106"/>
    <x v="53"/>
    <x v="679"/>
    <d v="2021-05-15T00:00:00"/>
    <n v="30"/>
    <s v="días FACT."/>
    <s v="F200-43110"/>
    <m/>
    <d v="2021-07-04T00:00:00"/>
    <s v="CANCELADO"/>
    <s v="CFR"/>
    <m/>
    <x v="575"/>
    <n v="249"/>
    <m/>
    <x v="1286"/>
    <x v="11"/>
    <s v="Contenedor 20'"/>
    <m/>
    <s v="25 kg"/>
    <m/>
    <m/>
    <s v="MAYO '21"/>
    <x v="0"/>
    <m/>
    <m/>
    <m/>
    <x v="650"/>
    <m/>
    <m/>
    <x v="725"/>
    <n v="6"/>
    <n v="2021"/>
    <x v="0"/>
    <x v="0"/>
    <s v="CARTAGENA / COLOMBIA"/>
    <x v="0"/>
    <m/>
    <x v="2"/>
    <x v="1105"/>
    <d v="2021-06-03T00:00:00"/>
    <s v="CMA CGM SAMBHAR"/>
    <x v="217"/>
    <x v="9"/>
    <m/>
    <s v="REALIZADO"/>
    <s v="SWB"/>
    <m/>
    <m/>
    <m/>
    <x v="0"/>
    <d v="2021-07-06T00:00:00"/>
    <m/>
    <x v="0"/>
    <x v="0"/>
    <m/>
    <m/>
    <x v="0"/>
    <e v="#REF!"/>
    <m/>
    <m/>
    <m/>
    <m/>
    <m/>
    <x v="0"/>
    <s v="anulada: 8000001372"/>
    <m/>
    <m/>
    <m/>
    <s v="NACIONALIZADO"/>
    <m/>
    <m/>
    <m/>
  </r>
  <r>
    <n v="2021"/>
    <s v="T-S"/>
    <x v="0"/>
    <x v="0"/>
    <m/>
    <m/>
    <x v="1505"/>
    <m/>
    <x v="1259"/>
    <m/>
    <m/>
    <m/>
    <s v="CERRADO"/>
    <n v="208067"/>
    <x v="115"/>
    <x v="53"/>
    <x v="679"/>
    <s v="MAYO '21"/>
    <n v="30"/>
    <s v="días FACT."/>
    <s v="F200-43110"/>
    <m/>
    <d v="2021-07-04T00:00:00"/>
    <s v="CANCELADO"/>
    <s v="CFR"/>
    <m/>
    <x v="576"/>
    <n v="249"/>
    <m/>
    <x v="1287"/>
    <x v="55"/>
    <s v="Contenedor 20'"/>
    <m/>
    <s v="25 kg"/>
    <m/>
    <m/>
    <s v="MAYO '21"/>
    <x v="0"/>
    <m/>
    <m/>
    <m/>
    <x v="618"/>
    <m/>
    <m/>
    <x v="733"/>
    <n v="6"/>
    <n v="2021"/>
    <x v="0"/>
    <x v="0"/>
    <s v="CARTAGENA / COLOMBIA"/>
    <x v="0"/>
    <m/>
    <x v="2"/>
    <x v="1104"/>
    <d v="2021-06-03T00:00:00"/>
    <s v="CMA CGM SAMBHAR"/>
    <x v="310"/>
    <x v="9"/>
    <m/>
    <s v="REALIZADO"/>
    <s v="SWB"/>
    <m/>
    <m/>
    <m/>
    <x v="0"/>
    <d v="2021-06-29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506"/>
    <m/>
    <x v="1260"/>
    <m/>
    <m/>
    <m/>
    <s v="CERRADO"/>
    <n v="208067"/>
    <x v="115"/>
    <x v="53"/>
    <x v="679"/>
    <s v="MAYO '21"/>
    <n v="30"/>
    <s v="días FACT."/>
    <s v="F200-43110"/>
    <m/>
    <d v="2021-07-04T00:00:00"/>
    <s v="CANCELADO"/>
    <s v="CFR"/>
    <m/>
    <x v="206"/>
    <n v="249"/>
    <m/>
    <x v="1273"/>
    <x v="7"/>
    <s v="Contenedor 20'"/>
    <m/>
    <s v="25 kg"/>
    <m/>
    <m/>
    <s v="MAYO '21"/>
    <x v="0"/>
    <m/>
    <m/>
    <m/>
    <x v="650"/>
    <m/>
    <m/>
    <x v="725"/>
    <n v="6"/>
    <n v="2021"/>
    <x v="0"/>
    <x v="0"/>
    <s v="CARTAGENA / COLOMBIA"/>
    <x v="0"/>
    <m/>
    <x v="2"/>
    <x v="1105"/>
    <d v="2021-06-03T00:00:00"/>
    <s v="CMA CGM SAMBHAR"/>
    <x v="217"/>
    <x v="9"/>
    <m/>
    <s v="REALIZADO"/>
    <s v="SWB"/>
    <m/>
    <m/>
    <m/>
    <x v="0"/>
    <d v="2021-07-06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507"/>
    <m/>
    <x v="1261"/>
    <m/>
    <m/>
    <m/>
    <s v="CERRADO"/>
    <n v="208067"/>
    <x v="115"/>
    <x v="53"/>
    <x v="680"/>
    <s v="MAYO '21"/>
    <n v="30"/>
    <s v="días FACT."/>
    <s v="F200-43118"/>
    <m/>
    <d v="2021-07-29T00:00:00"/>
    <s v="CANCELADO"/>
    <s v="CFR"/>
    <m/>
    <x v="206"/>
    <n v="249"/>
    <m/>
    <x v="1273"/>
    <x v="7"/>
    <s v="Contenedor 20'"/>
    <m/>
    <s v="25 kg"/>
    <m/>
    <m/>
    <s v="JUNIO '21"/>
    <x v="0"/>
    <m/>
    <m/>
    <m/>
    <x v="675"/>
    <m/>
    <m/>
    <x v="734"/>
    <n v="7"/>
    <n v="2021"/>
    <x v="0"/>
    <x v="0"/>
    <s v="CARTAGENA / COLOMBIA"/>
    <x v="2"/>
    <m/>
    <x v="3"/>
    <x v="1106"/>
    <d v="2021-06-25T00:00:00"/>
    <s v="POLAR BRASIL"/>
    <x v="241"/>
    <x v="11"/>
    <m/>
    <s v="REALIZADO"/>
    <s v="DESTINO"/>
    <m/>
    <m/>
    <m/>
    <x v="0"/>
    <d v="2021-08-02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O-S"/>
    <x v="0"/>
    <x v="0"/>
    <m/>
    <m/>
    <x v="1508"/>
    <m/>
    <x v="1262"/>
    <m/>
    <d v="2021-09-16T00:00:00"/>
    <d v="2021-09-16T00:00:00"/>
    <s v="CERRADO"/>
    <n v="203553"/>
    <x v="123"/>
    <x v="53"/>
    <x v="681"/>
    <d v="2021-03-15T00:00:00"/>
    <s v="CAD"/>
    <m/>
    <s v="F200-43152"/>
    <m/>
    <d v="2021-08-14T00:00:00"/>
    <s v="CANCELADO"/>
    <s v="CFR"/>
    <m/>
    <x v="577"/>
    <n v="320.51"/>
    <m/>
    <x v="1288"/>
    <x v="14"/>
    <s v="Contenedor 20'"/>
    <m/>
    <s v="Granel Sólido"/>
    <m/>
    <m/>
    <s v="JUNIO '21"/>
    <x v="0"/>
    <m/>
    <d v="2021-07-31T00:00:00"/>
    <m/>
    <x v="692"/>
    <m/>
    <m/>
    <x v="735"/>
    <n v="9"/>
    <n v="2021"/>
    <x v="0"/>
    <x v="0"/>
    <s v="HEROYA / NORUEGA"/>
    <x v="2"/>
    <m/>
    <x v="3"/>
    <x v="1107"/>
    <d v="2021-07-31T00:00:00"/>
    <s v="ENERGIZER"/>
    <x v="335"/>
    <x v="9"/>
    <m/>
    <s v="REALIZADO"/>
    <s v="SWB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O-S"/>
    <x v="0"/>
    <x v="0"/>
    <m/>
    <m/>
    <x v="1509"/>
    <m/>
    <x v="1263"/>
    <m/>
    <d v="1899-12-30T00:00:00"/>
    <d v="2021-12-10T00:00:00"/>
    <s v="CERRADO"/>
    <n v="203553"/>
    <x v="123"/>
    <x v="53"/>
    <x v="682"/>
    <d v="2021-04-15T00:00:00"/>
    <s v="CAD"/>
    <m/>
    <s v="F200-43204"/>
    <m/>
    <d v="2021-10-25T00:00:00"/>
    <s v="CANCELADO"/>
    <s v="CFR"/>
    <m/>
    <x v="578"/>
    <n v="368.9"/>
    <m/>
    <x v="1289"/>
    <x v="1"/>
    <s v="Contenedor 20'"/>
    <m/>
    <s v="Granel Sólido"/>
    <m/>
    <m/>
    <s v="JUNIO '21"/>
    <x v="0"/>
    <d v="1899-12-30T00:00:00"/>
    <d v="2021-08-29T00:00:00"/>
    <d v="2021-12-01T00:00:00"/>
    <x v="693"/>
    <d v="2021-12-04T00:00:00"/>
    <m/>
    <x v="736"/>
    <n v="12"/>
    <n v="2021"/>
    <x v="0"/>
    <x v="0"/>
    <s v="BREVIK / NORUEGA"/>
    <x v="4"/>
    <m/>
    <x v="2"/>
    <x v="1108"/>
    <d v="2021-08-30T00:00:00"/>
    <s v="KATHARINA SCHEPERS"/>
    <x v="129"/>
    <x v="2"/>
    <m/>
    <s v="PENDIENTE"/>
    <s v="DESTINO"/>
    <m/>
    <m/>
    <m/>
    <x v="0"/>
    <d v="2021-12-14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P"/>
    <x v="0"/>
    <x v="0"/>
    <m/>
    <m/>
    <x v="1510"/>
    <m/>
    <x v="1264"/>
    <m/>
    <d v="2021-10-10T00:00:00"/>
    <d v="2021-10-11T00:00:00"/>
    <s v="CERRADO"/>
    <n v="207499"/>
    <x v="2"/>
    <x v="19"/>
    <x v="683"/>
    <d v="2021-05-25T00:00:00"/>
    <n v="90"/>
    <s v="días BL"/>
    <s v="SG-ZSL-12329-38"/>
    <m/>
    <d v="2021-11-08T00:00:00"/>
    <s v="CANCELADO"/>
    <s v="CFR"/>
    <m/>
    <x v="12"/>
    <n v="735"/>
    <m/>
    <x v="1290"/>
    <x v="3"/>
    <s v="Granel - BB"/>
    <m/>
    <s v="25 kg"/>
    <m/>
    <m/>
    <s v="JUNIO '21"/>
    <x v="0"/>
    <d v="1899-12-30T00:00:00"/>
    <d v="2021-08-30T00:00:00"/>
    <d v="2021-09-29T00:00:00"/>
    <x v="662"/>
    <d v="2021-10-06T00:00:00"/>
    <m/>
    <x v="690"/>
    <n v="10"/>
    <n v="2021"/>
    <x v="0"/>
    <x v="0"/>
    <s v="BAYUQUAN / CHINA"/>
    <x v="0"/>
    <m/>
    <x v="1"/>
    <x v="1109"/>
    <d v="2021-08-10T00:00:00"/>
    <s v="NEW ABLE"/>
    <x v="324"/>
    <x v="0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E-S"/>
    <x v="0"/>
    <x v="0"/>
    <m/>
    <m/>
    <x v="1511"/>
    <m/>
    <x v="1265"/>
    <m/>
    <d v="2021-09-17T00:00:00"/>
    <d v="2021-09-29T00:00:00"/>
    <s v="CERRADO"/>
    <n v="203575"/>
    <x v="48"/>
    <x v="25"/>
    <x v="661"/>
    <d v="2021-06-02T00:00:00"/>
    <n v="150"/>
    <s v="días BL"/>
    <s v="TGOA-SCR-210702-1"/>
    <m/>
    <d v="2021-11-29T00:00:00"/>
    <s v="CANCELADO"/>
    <s v="CFR"/>
    <m/>
    <x v="10"/>
    <n v="505.42"/>
    <m/>
    <x v="1291"/>
    <x v="3"/>
    <s v="Granel"/>
    <m/>
    <s v="Bigbag"/>
    <m/>
    <m/>
    <s v="JUNIO '21"/>
    <x v="0"/>
    <m/>
    <d v="2021-08-11T00:00:00"/>
    <m/>
    <x v="683"/>
    <m/>
    <m/>
    <x v="720"/>
    <n v="9"/>
    <n v="2021"/>
    <x v="0"/>
    <x v="0"/>
    <s v="ZHANGJIAGANG / CHINA"/>
    <x v="1"/>
    <m/>
    <x v="2"/>
    <x v="1110"/>
    <d v="2021-07-02T00:00:00"/>
    <s v="MV INKAN PANDAN"/>
    <x v="333"/>
    <x v="0"/>
    <m/>
    <s v="NO APLICA"/>
    <s v="ORIGEN"/>
    <m/>
    <m/>
    <m/>
    <x v="0"/>
    <m/>
    <m/>
    <x v="0"/>
    <x v="0"/>
    <m/>
    <m/>
    <x v="0"/>
    <e v="#REF!"/>
    <m/>
    <m/>
    <m/>
    <m/>
    <m/>
    <x v="0"/>
    <s v="anulada: 8000001550"/>
    <m/>
    <m/>
    <m/>
    <s v="NACIONALIZADO"/>
    <m/>
    <m/>
    <m/>
  </r>
  <r>
    <n v="2021"/>
    <s v="E-S"/>
    <x v="0"/>
    <x v="0"/>
    <m/>
    <m/>
    <x v="1512"/>
    <m/>
    <x v="1266"/>
    <m/>
    <d v="2021-10-04T00:00:00"/>
    <d v="2021-10-05T00:00:00"/>
    <s v="CERRADO"/>
    <n v="203575"/>
    <x v="48"/>
    <x v="25"/>
    <x v="661"/>
    <d v="2021-06-02T00:00:00"/>
    <n v="150"/>
    <s v="días BL"/>
    <s v="TGOA-SCR-210702-3"/>
    <m/>
    <d v="2021-11-29T00:00:00"/>
    <s v="CANCELADO"/>
    <s v="CFR"/>
    <m/>
    <x v="100"/>
    <n v="505.42"/>
    <m/>
    <x v="1292"/>
    <x v="3"/>
    <s v="Granel"/>
    <m/>
    <s v="Bigbag"/>
    <m/>
    <m/>
    <s v="JUNIO '21"/>
    <x v="0"/>
    <d v="1899-12-30T00:00:00"/>
    <d v="2021-08-11T00:00:00"/>
    <d v="2021-09-30T00:00:00"/>
    <x v="684"/>
    <d v="2021-10-03T00:00:00"/>
    <m/>
    <x v="737"/>
    <n v="10"/>
    <n v="2021"/>
    <x v="0"/>
    <x v="0"/>
    <s v="ZHANGJIAGANG / CHINA"/>
    <x v="2"/>
    <m/>
    <x v="1"/>
    <x v="1111"/>
    <d v="2021-07-02T00:00:00"/>
    <s v="MV INKAN PANDAN"/>
    <x v="333"/>
    <x v="0"/>
    <m/>
    <s v="REALIZADO"/>
    <s v="ORIGEN"/>
    <m/>
    <m/>
    <m/>
    <x v="0"/>
    <m/>
    <m/>
    <x v="0"/>
    <x v="0"/>
    <m/>
    <m/>
    <x v="0"/>
    <e v="#REF!"/>
    <m/>
    <m/>
    <m/>
    <m/>
    <m/>
    <x v="0"/>
    <s v="anulada: 8000001557"/>
    <m/>
    <m/>
    <m/>
    <s v="NACIONALIZADO"/>
    <m/>
    <m/>
    <m/>
  </r>
  <r>
    <n v="2021"/>
    <s v="E-S"/>
    <x v="0"/>
    <x v="0"/>
    <m/>
    <m/>
    <x v="1513"/>
    <m/>
    <x v="1267"/>
    <m/>
    <d v="2021-10-12T00:00:00"/>
    <d v="2021-10-14T00:00:00"/>
    <s v="CERRADO"/>
    <n v="203575"/>
    <x v="48"/>
    <x v="25"/>
    <x v="661"/>
    <d v="2021-06-02T00:00:00"/>
    <n v="150"/>
    <s v="días BL"/>
    <s v="TGOA-SCR-210702-2"/>
    <m/>
    <d v="2021-11-29T00:00:00"/>
    <s v="CANCELADO"/>
    <s v="CFR"/>
    <m/>
    <x v="10"/>
    <n v="505.42"/>
    <m/>
    <x v="1291"/>
    <x v="3"/>
    <s v="Granel"/>
    <m/>
    <s v="Bigbag"/>
    <m/>
    <m/>
    <s v="JUNIO '21"/>
    <x v="0"/>
    <d v="1899-12-30T00:00:00"/>
    <d v="2021-08-11T00:00:00"/>
    <d v="2021-10-06T00:00:00"/>
    <x v="685"/>
    <d v="2021-10-07T00:00:00"/>
    <m/>
    <x v="738"/>
    <n v="10"/>
    <n v="2021"/>
    <x v="0"/>
    <x v="0"/>
    <s v="ZHANGJIAGANG / CHINA"/>
    <x v="4"/>
    <m/>
    <x v="2"/>
    <x v="1112"/>
    <d v="2021-07-02T00:00:00"/>
    <s v="MV INKAN PANDAN"/>
    <x v="333"/>
    <x v="0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e v="#N/A"/>
    <x v="0"/>
    <x v="0"/>
    <m/>
    <m/>
    <x v="1514"/>
    <m/>
    <x v="1268"/>
    <m/>
    <d v="2021-10-25T00:00:00"/>
    <d v="2021-10-27T00:00:00"/>
    <s v="CERRADO"/>
    <n v="209878"/>
    <x v="132"/>
    <x v="49"/>
    <x v="8"/>
    <d v="2021-05-28T00:00:00"/>
    <n v="90"/>
    <s v="días BL"/>
    <s v="DEX 0114/08/2021"/>
    <m/>
    <d v="2021-11-24T00:00:00"/>
    <s v="CANCELADO"/>
    <s v="CIF"/>
    <m/>
    <x v="579"/>
    <n v="5110"/>
    <m/>
    <x v="1293"/>
    <x v="11"/>
    <s v="Contenedor 40'"/>
    <m/>
    <s v="5 kg"/>
    <m/>
    <m/>
    <s v="JUNIO '21"/>
    <x v="0"/>
    <d v="2021-09-16T00:00:00"/>
    <d v="2021-09-16T00:00:00"/>
    <d v="2021-10-21T00:00:00"/>
    <x v="691"/>
    <d v="2021-10-25T00:00:00"/>
    <m/>
    <x v="739"/>
    <n v="10"/>
    <n v="2021"/>
    <x v="0"/>
    <x v="0"/>
    <s v="POZNAN / POLONIA"/>
    <x v="2"/>
    <m/>
    <x v="3"/>
    <x v="1113"/>
    <d v="2021-08-26T00:00:00"/>
    <s v="MILAN TRADER"/>
    <x v="184"/>
    <x v="2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515"/>
    <m/>
    <x v="1269"/>
    <m/>
    <m/>
    <m/>
    <s v="CERRADO"/>
    <n v="207485"/>
    <x v="13"/>
    <x v="2"/>
    <x v="684"/>
    <d v="2021-05-31T00:00:00"/>
    <s v="CAD"/>
    <m/>
    <s v="SI0011536a"/>
    <m/>
    <d v="2021-06-04T00:00:00"/>
    <s v="CANCELADO"/>
    <s v="CFR"/>
    <m/>
    <x v="134"/>
    <n v="436.5"/>
    <m/>
    <x v="1294"/>
    <x v="3"/>
    <s v="Granel"/>
    <m/>
    <s v="Granel Sólido"/>
    <m/>
    <m/>
    <s v="MAYO '21"/>
    <x v="0"/>
    <m/>
    <m/>
    <m/>
    <x v="638"/>
    <m/>
    <m/>
    <x v="712"/>
    <n v="6"/>
    <n v="2021"/>
    <x v="0"/>
    <x v="0"/>
    <s v="JINZHOU / CHINA"/>
    <x v="0"/>
    <m/>
    <x v="5"/>
    <x v="1114"/>
    <d v="2021-05-01T00:00:00"/>
    <s v="MV CAPETAN VASSILIS II"/>
    <x v="336"/>
    <x v="0"/>
    <m/>
    <s v="NO APLICA"/>
    <s v="DESTINO"/>
    <m/>
    <m/>
    <m/>
    <x v="0"/>
    <m/>
    <m/>
    <x v="0"/>
    <x v="0"/>
    <m/>
    <m/>
    <x v="0"/>
    <e v="#REF!"/>
    <m/>
    <m/>
    <m/>
    <m/>
    <m/>
    <x v="0"/>
    <s v="anulada: 8000001351"/>
    <m/>
    <m/>
    <m/>
    <s v="NACIONALIZADO"/>
    <m/>
    <m/>
    <m/>
  </r>
  <r>
    <n v="2021"/>
    <s v="G-S"/>
    <x v="0"/>
    <x v="0"/>
    <m/>
    <m/>
    <x v="1516"/>
    <m/>
    <x v="1270"/>
    <m/>
    <m/>
    <m/>
    <s v="CERRADO"/>
    <n v="207485"/>
    <x v="13"/>
    <x v="2"/>
    <x v="684"/>
    <d v="2021-05-31T00:00:00"/>
    <s v="CAD"/>
    <m/>
    <s v="SI0011536b"/>
    <m/>
    <d v="2021-06-04T00:00:00"/>
    <s v="CANCELADO"/>
    <s v="CFR"/>
    <m/>
    <x v="580"/>
    <n v="436.5"/>
    <m/>
    <x v="1295"/>
    <x v="3"/>
    <s v="Granel"/>
    <m/>
    <s v="Granel Sólido"/>
    <m/>
    <m/>
    <s v="MAYO '21"/>
    <x v="0"/>
    <m/>
    <m/>
    <m/>
    <x v="694"/>
    <m/>
    <m/>
    <x v="740"/>
    <n v="6"/>
    <n v="2021"/>
    <x v="0"/>
    <x v="0"/>
    <s v="JINZHOU / CHINA"/>
    <x v="2"/>
    <m/>
    <x v="6"/>
    <x v="1115"/>
    <d v="2021-05-01T00:00:00"/>
    <s v="MV CAPETAN VASSILIS II"/>
    <x v="336"/>
    <x v="0"/>
    <m/>
    <s v="NO APLICA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517"/>
    <m/>
    <x v="1271"/>
    <m/>
    <m/>
    <m/>
    <s v="CERRADO"/>
    <n v="207485"/>
    <x v="13"/>
    <x v="2"/>
    <x v="684"/>
    <d v="2021-05-31T00:00:00"/>
    <s v="CAD"/>
    <m/>
    <s v="SI0011536c"/>
    <m/>
    <d v="2021-06-04T00:00:00"/>
    <s v="CANCELADO"/>
    <s v="CFR"/>
    <m/>
    <x v="581"/>
    <n v="436.5"/>
    <m/>
    <x v="1296"/>
    <x v="3"/>
    <s v="Granel"/>
    <m/>
    <s v="Granel Sólido"/>
    <m/>
    <m/>
    <s v="MAYO '21"/>
    <x v="0"/>
    <m/>
    <m/>
    <m/>
    <x v="695"/>
    <m/>
    <m/>
    <x v="741"/>
    <n v="6"/>
    <n v="2021"/>
    <x v="0"/>
    <x v="0"/>
    <s v="JINZHOU / CHINA"/>
    <x v="4"/>
    <m/>
    <x v="2"/>
    <x v="1116"/>
    <d v="2021-05-01T00:00:00"/>
    <s v="MV CAPETAN VASSILIS II"/>
    <x v="336"/>
    <x v="0"/>
    <m/>
    <s v="NO APLICA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518"/>
    <m/>
    <x v="1272"/>
    <m/>
    <d v="2021-08-16T00:00:00"/>
    <d v="2021-08-17T00:00:00"/>
    <s v="CERRADO"/>
    <n v="208057"/>
    <x v="121"/>
    <x v="53"/>
    <x v="685"/>
    <d v="2021-04-15T00:00:00"/>
    <s v="CAD"/>
    <m/>
    <s v="F200-43143"/>
    <m/>
    <d v="2021-07-29T00:00:00"/>
    <s v="CANCELADO"/>
    <s v="CFR"/>
    <m/>
    <x v="222"/>
    <n v="550"/>
    <m/>
    <x v="1297"/>
    <x v="6"/>
    <s v="Contenedor 20'"/>
    <s v="CARGA SUELTA"/>
    <s v="50 kg"/>
    <m/>
    <m/>
    <s v="JUNIO '21"/>
    <x v="0"/>
    <m/>
    <d v="2021-07-09T00:00:00"/>
    <m/>
    <x v="687"/>
    <m/>
    <m/>
    <x v="742"/>
    <n v="8"/>
    <n v="2021"/>
    <x v="0"/>
    <x v="0"/>
    <s v="CARTAGENA / COLOMBIA"/>
    <x v="4"/>
    <m/>
    <x v="2"/>
    <x v="1117"/>
    <d v="2021-07-09T00:00:00"/>
    <s v="LIMARI"/>
    <x v="129"/>
    <x v="2"/>
    <m/>
    <s v="REALIZADO"/>
    <s v="DESTINO"/>
    <m/>
    <m/>
    <m/>
    <x v="0"/>
    <d v="2021-08-22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O-S"/>
    <x v="0"/>
    <x v="0"/>
    <m/>
    <m/>
    <x v="1519"/>
    <m/>
    <x v="1273"/>
    <m/>
    <m/>
    <m/>
    <s v="CERRADO"/>
    <n v="204749"/>
    <x v="120"/>
    <x v="53"/>
    <x v="686"/>
    <s v="MAYO '21"/>
    <s v="CAD"/>
    <m/>
    <s v="F200-43116"/>
    <m/>
    <d v="2021-07-02T00:00:00"/>
    <s v="CANCELADO"/>
    <s v="CFR"/>
    <m/>
    <x v="582"/>
    <n v="567"/>
    <m/>
    <x v="1298"/>
    <x v="7"/>
    <s v="Contenedor 20'"/>
    <m/>
    <s v="50 kg"/>
    <m/>
    <m/>
    <s v="JUNIO '21"/>
    <x v="0"/>
    <m/>
    <m/>
    <m/>
    <x v="696"/>
    <m/>
    <m/>
    <x v="743"/>
    <n v="7"/>
    <n v="2021"/>
    <x v="0"/>
    <x v="0"/>
    <s v="CARTAGENA / COLOMBIA"/>
    <x v="2"/>
    <m/>
    <x v="3"/>
    <x v="1118"/>
    <d v="2021-06-24T00:00:00"/>
    <s v="GUAYAQUIL EXPRESS"/>
    <x v="42"/>
    <x v="9"/>
    <m/>
    <s v="REALIZADO"/>
    <s v="SWB"/>
    <m/>
    <m/>
    <m/>
    <x v="0"/>
    <d v="2021-07-22T00:00:00"/>
    <m/>
    <x v="0"/>
    <x v="0"/>
    <m/>
    <m/>
    <x v="0"/>
    <e v="#REF!"/>
    <m/>
    <m/>
    <m/>
    <m/>
    <m/>
    <x v="0"/>
    <s v="anulada: 8000001373"/>
    <m/>
    <m/>
    <m/>
    <s v="NACIONALIZADO"/>
    <m/>
    <m/>
    <m/>
  </r>
  <r>
    <n v="2021"/>
    <s v="O-S"/>
    <x v="0"/>
    <x v="0"/>
    <m/>
    <m/>
    <x v="1520"/>
    <m/>
    <x v="1274"/>
    <m/>
    <m/>
    <m/>
    <s v="CERRADO"/>
    <n v="204749"/>
    <x v="120"/>
    <x v="53"/>
    <x v="686"/>
    <s v="MAYO '21"/>
    <s v="CAD"/>
    <m/>
    <s v="F200-43116"/>
    <m/>
    <d v="2021-07-02T00:00:00"/>
    <s v="CANCELADO"/>
    <s v="CFR"/>
    <m/>
    <x v="163"/>
    <n v="567"/>
    <m/>
    <x v="1299"/>
    <x v="5"/>
    <s v="Contenedor 20'"/>
    <m/>
    <s v="50 kg"/>
    <m/>
    <m/>
    <s v="JUNIO '21"/>
    <x v="0"/>
    <m/>
    <m/>
    <m/>
    <x v="697"/>
    <m/>
    <m/>
    <x v="744"/>
    <n v="7"/>
    <n v="2021"/>
    <x v="0"/>
    <x v="0"/>
    <s v="CARTAGENA / COLOMBIA"/>
    <x v="2"/>
    <m/>
    <x v="3"/>
    <x v="1119"/>
    <d v="2021-07-01T00:00:00"/>
    <s v="CMA CGM ARKANSAS"/>
    <x v="335"/>
    <x v="9"/>
    <m/>
    <s v="REALIZADO"/>
    <s v="SWB"/>
    <m/>
    <m/>
    <m/>
    <x v="0"/>
    <d v="2021-07-30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O-S"/>
    <x v="0"/>
    <x v="0"/>
    <m/>
    <m/>
    <x v="1521"/>
    <m/>
    <x v="1275"/>
    <m/>
    <m/>
    <m/>
    <s v="CERRADO"/>
    <n v="204749"/>
    <x v="120"/>
    <x v="53"/>
    <x v="687"/>
    <s v="MAYO '21"/>
    <s v="CAD"/>
    <m/>
    <s v="F200-43130"/>
    <m/>
    <d v="2021-07-05T00:00:00"/>
    <s v="CANCELADO"/>
    <s v="CFR"/>
    <m/>
    <x v="418"/>
    <n v="567"/>
    <m/>
    <x v="1300"/>
    <x v="9"/>
    <s v="Contenedor 20'"/>
    <m/>
    <s v="50 kg"/>
    <m/>
    <m/>
    <s v="JUNIO '21"/>
    <x v="0"/>
    <m/>
    <m/>
    <m/>
    <x v="626"/>
    <m/>
    <m/>
    <x v="745"/>
    <n v="7"/>
    <n v="2021"/>
    <x v="0"/>
    <x v="0"/>
    <s v="CARTAGENA / COLOMBIA"/>
    <x v="0"/>
    <m/>
    <x v="2"/>
    <x v="1120"/>
    <d v="2021-07-02T00:00:00"/>
    <s v="CMA CGM SAMBHAR"/>
    <x v="310"/>
    <x v="9"/>
    <m/>
    <s v="REALIZADO"/>
    <s v="SWB"/>
    <m/>
    <m/>
    <m/>
    <x v="0"/>
    <d v="2021-07-27T00:00:00"/>
    <m/>
    <x v="0"/>
    <x v="0"/>
    <m/>
    <m/>
    <x v="0"/>
    <e v="#REF!"/>
    <m/>
    <m/>
    <m/>
    <m/>
    <m/>
    <x v="0"/>
    <s v="anulada: 8000001389"/>
    <m/>
    <m/>
    <m/>
    <s v="NACIONALIZADO"/>
    <m/>
    <m/>
    <m/>
  </r>
  <r>
    <n v="2021"/>
    <s v="O-S"/>
    <x v="0"/>
    <x v="0"/>
    <m/>
    <m/>
    <x v="1522"/>
    <m/>
    <x v="1276"/>
    <m/>
    <d v="2021-08-13T00:00:00"/>
    <d v="2021-08-16T00:00:00"/>
    <s v="CERRADO"/>
    <n v="204750"/>
    <x v="120"/>
    <x v="53"/>
    <x v="688"/>
    <d v="2021-04-15T00:00:00"/>
    <s v="CAD"/>
    <m/>
    <s v="F200-43139"/>
    <m/>
    <d v="2021-07-25T00:00:00"/>
    <s v="CANCELADO"/>
    <s v="CFR"/>
    <m/>
    <x v="583"/>
    <n v="575"/>
    <m/>
    <x v="1301"/>
    <x v="37"/>
    <s v="Contenedor 20'"/>
    <m/>
    <s v="50 kg"/>
    <m/>
    <m/>
    <s v="JUNIO '21"/>
    <x v="0"/>
    <m/>
    <d v="2021-07-09T00:00:00"/>
    <m/>
    <x v="687"/>
    <m/>
    <m/>
    <x v="746"/>
    <n v="8"/>
    <n v="2021"/>
    <x v="0"/>
    <x v="0"/>
    <s v="CARTAGENA / COLOMBIA"/>
    <x v="4"/>
    <m/>
    <x v="2"/>
    <x v="1121"/>
    <d v="2021-07-09T00:00:00"/>
    <s v="LIMARI"/>
    <x v="129"/>
    <x v="2"/>
    <m/>
    <s v="REALIZADO"/>
    <s v="DESTINO"/>
    <m/>
    <m/>
    <m/>
    <x v="0"/>
    <d v="2021-08-22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O-S"/>
    <x v="0"/>
    <x v="0"/>
    <m/>
    <m/>
    <x v="1523"/>
    <m/>
    <x v="1277"/>
    <m/>
    <m/>
    <m/>
    <s v="CERRADO"/>
    <n v="208058"/>
    <x v="122"/>
    <x v="53"/>
    <x v="689"/>
    <s v="MAYO '21"/>
    <s v="CAD"/>
    <m/>
    <s v="F200-43131"/>
    <m/>
    <d v="2021-07-09T00:00:00"/>
    <s v="CANCELADO"/>
    <s v="CFR"/>
    <m/>
    <x v="222"/>
    <n v="551"/>
    <m/>
    <x v="1302"/>
    <x v="6"/>
    <s v="Contenedor 20'"/>
    <m/>
    <s v="50 kg"/>
    <m/>
    <m/>
    <s v="JUNIO '21"/>
    <x v="0"/>
    <m/>
    <m/>
    <m/>
    <x v="697"/>
    <m/>
    <m/>
    <x v="747"/>
    <n v="7"/>
    <n v="2021"/>
    <x v="0"/>
    <x v="0"/>
    <s v="CARTAGENA / COLOMBIA"/>
    <x v="2"/>
    <m/>
    <x v="6"/>
    <x v="1122"/>
    <d v="2021-07-01T00:00:00"/>
    <s v="CMA CGM ARKANSAS"/>
    <x v="335"/>
    <x v="9"/>
    <m/>
    <s v="REALIZADO"/>
    <s v="SWB"/>
    <m/>
    <m/>
    <m/>
    <x v="0"/>
    <d v="2021-07-29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O-S"/>
    <x v="0"/>
    <x v="2"/>
    <s v="N/A"/>
    <m/>
    <x v="1524"/>
    <m/>
    <x v="34"/>
    <m/>
    <m/>
    <m/>
    <m/>
    <m/>
    <x v="122"/>
    <x v="53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1"/>
    <s v="O-S"/>
    <x v="0"/>
    <x v="2"/>
    <s v="N/A"/>
    <m/>
    <x v="1525"/>
    <m/>
    <x v="34"/>
    <m/>
    <m/>
    <m/>
    <m/>
    <m/>
    <x v="122"/>
    <x v="53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1"/>
    <s v="S-C"/>
    <x v="0"/>
    <x v="0"/>
    <m/>
    <m/>
    <x v="1526"/>
    <m/>
    <x v="1278"/>
    <m/>
    <d v="2021-08-19T00:00:00"/>
    <d v="2021-08-20T00:00:00"/>
    <s v="CERRADO"/>
    <n v="207580"/>
    <x v="32"/>
    <x v="51"/>
    <x v="670"/>
    <d v="2021-05-27T00:00:00"/>
    <s v="CAD"/>
    <m/>
    <s v="5000654"/>
    <m/>
    <s v="-"/>
    <s v="CANCELADO"/>
    <s v="CPT"/>
    <m/>
    <x v="140"/>
    <n v="658"/>
    <m/>
    <x v="1274"/>
    <x v="22"/>
    <s v="Contenedor 20'"/>
    <m/>
    <s v="25 kg"/>
    <m/>
    <m/>
    <s v="JUN - JUL '21"/>
    <x v="0"/>
    <m/>
    <d v="2021-07-27T00:00:00"/>
    <m/>
    <x v="698"/>
    <m/>
    <m/>
    <x v="748"/>
    <n v="8"/>
    <n v="2021"/>
    <x v="0"/>
    <x v="0"/>
    <s v="KLAIPEDA / LITHUANIA"/>
    <x v="2"/>
    <m/>
    <x v="3"/>
    <x v="1123"/>
    <d v="2021-06-28T00:00:00"/>
    <s v="VILNIA MAERSK"/>
    <x v="222"/>
    <x v="3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C"/>
    <x v="0"/>
    <x v="0"/>
    <m/>
    <m/>
    <x v="1527"/>
    <m/>
    <x v="1279"/>
    <m/>
    <d v="2021-09-20T00:00:00"/>
    <d v="2021-09-21T00:00:00"/>
    <s v="CERRADO"/>
    <n v="207580"/>
    <x v="32"/>
    <x v="51"/>
    <x v="670"/>
    <d v="2021-05-27T00:00:00"/>
    <s v="CAD"/>
    <m/>
    <s v="5000711"/>
    <m/>
    <d v="2021-08-16T00:00:00"/>
    <s v="CANCELADO"/>
    <s v="CPT"/>
    <m/>
    <x v="136"/>
    <n v="658"/>
    <m/>
    <x v="1303"/>
    <x v="16"/>
    <s v="Contenedor 20'"/>
    <m/>
    <s v="25 kg"/>
    <m/>
    <m/>
    <s v="JUN - JUL '21"/>
    <x v="0"/>
    <d v="1899-12-30T00:00:00"/>
    <d v="2021-08-01T00:00:00"/>
    <d v="2021-09-10T00:00:00"/>
    <x v="672"/>
    <d v="2021-09-14T00:00:00"/>
    <m/>
    <x v="716"/>
    <n v="9"/>
    <n v="2021"/>
    <x v="0"/>
    <x v="0"/>
    <s v="KLAIPEDA / LITHUANIA"/>
    <x v="2"/>
    <m/>
    <x v="3"/>
    <x v="1124"/>
    <d v="2021-07-28T00:00:00"/>
    <s v="EMPIRE"/>
    <x v="335"/>
    <x v="2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C"/>
    <x v="0"/>
    <x v="0"/>
    <m/>
    <m/>
    <x v="1528"/>
    <m/>
    <x v="1280"/>
    <m/>
    <m/>
    <m/>
    <s v="CERRADO"/>
    <n v="206573"/>
    <x v="5"/>
    <x v="41"/>
    <x v="690"/>
    <d v="2021-06-07T00:00:00"/>
    <n v="150"/>
    <s v="días BL"/>
    <s v="B7FE-21-3036-ANPE-01"/>
    <m/>
    <d v="2021-11-19T00:00:00"/>
    <s v="CANCELADO"/>
    <s v="CFR"/>
    <m/>
    <x v="100"/>
    <n v="350.5"/>
    <m/>
    <x v="1304"/>
    <x v="3"/>
    <s v="Granel"/>
    <m/>
    <s v="Granel Sólido"/>
    <m/>
    <m/>
    <s v="JUNIO '21"/>
    <x v="0"/>
    <m/>
    <m/>
    <m/>
    <x v="699"/>
    <m/>
    <m/>
    <x v="724"/>
    <n v="7"/>
    <n v="2021"/>
    <x v="0"/>
    <x v="0"/>
    <s v="RIGA / LETONIA"/>
    <x v="0"/>
    <m/>
    <x v="2"/>
    <x v="11"/>
    <d v="2021-06-22T00:00:00"/>
    <s v="MV KOTOR"/>
    <x v="337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C"/>
    <x v="0"/>
    <x v="0"/>
    <m/>
    <m/>
    <x v="1529"/>
    <m/>
    <x v="1281"/>
    <m/>
    <m/>
    <m/>
    <s v="CERRADO"/>
    <n v="206573"/>
    <x v="5"/>
    <x v="41"/>
    <x v="690"/>
    <d v="2021-06-07T00:00:00"/>
    <n v="150"/>
    <s v="días BL"/>
    <s v="B7FE-21-3036-ANPE-02"/>
    <m/>
    <d v="2021-11-19T00:00:00"/>
    <s v="CANCELADO"/>
    <s v="CFR"/>
    <m/>
    <x v="287"/>
    <n v="350.5"/>
    <m/>
    <x v="1305"/>
    <x v="3"/>
    <s v="Granel"/>
    <m/>
    <s v="Granel Sólido"/>
    <m/>
    <m/>
    <s v="JUNIO '21"/>
    <x v="0"/>
    <m/>
    <m/>
    <m/>
    <x v="629"/>
    <m/>
    <m/>
    <x v="749"/>
    <n v="7"/>
    <n v="2021"/>
    <x v="0"/>
    <x v="0"/>
    <s v="RIGA / LETONIA"/>
    <x v="1"/>
    <m/>
    <x v="2"/>
    <x v="12"/>
    <d v="2021-06-22T00:00:00"/>
    <s v="MV KOTOR"/>
    <x v="337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C"/>
    <x v="0"/>
    <x v="0"/>
    <m/>
    <m/>
    <x v="1530"/>
    <m/>
    <x v="1282"/>
    <m/>
    <d v="2021-08-05T00:00:00"/>
    <d v="2021-08-11T00:00:00"/>
    <s v="CERRADO"/>
    <n v="206573"/>
    <x v="5"/>
    <x v="41"/>
    <x v="690"/>
    <d v="2021-06-07T00:00:00"/>
    <n v="150"/>
    <s v="días BL"/>
    <s v="B7FE-21-3036-ANPE-03"/>
    <m/>
    <d v="2021-11-19T00:00:00"/>
    <s v="CANCELADO"/>
    <s v="CFR"/>
    <m/>
    <x v="138"/>
    <n v="350.5"/>
    <m/>
    <x v="1306"/>
    <x v="3"/>
    <s v="Granel"/>
    <m/>
    <s v="Granel Sólido"/>
    <m/>
    <m/>
    <s v="JUNIO '21"/>
    <x v="0"/>
    <m/>
    <d v="2021-06-22T00:00:00"/>
    <m/>
    <x v="654"/>
    <m/>
    <m/>
    <x v="680"/>
    <n v="8"/>
    <n v="2021"/>
    <x v="0"/>
    <x v="0"/>
    <s v="RIGA / LETONIA"/>
    <x v="2"/>
    <m/>
    <x v="3"/>
    <x v="13"/>
    <d v="2021-06-22T00:00:00"/>
    <s v="MV KOTOR"/>
    <x v="337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C"/>
    <x v="0"/>
    <x v="0"/>
    <m/>
    <m/>
    <x v="1531"/>
    <m/>
    <x v="1283"/>
    <m/>
    <d v="2021-08-05T00:00:00"/>
    <d v="2021-08-11T00:00:00"/>
    <s v="CERRADO"/>
    <n v="206573"/>
    <x v="5"/>
    <x v="41"/>
    <x v="690"/>
    <d v="2021-06-07T00:00:00"/>
    <n v="150"/>
    <s v="días BL"/>
    <s v="B7FE-21-3036-ANPE-04"/>
    <m/>
    <d v="2021-11-19T00:00:00"/>
    <s v="CANCELADO"/>
    <s v="CFR"/>
    <m/>
    <x v="131"/>
    <n v="350.5"/>
    <m/>
    <x v="1307"/>
    <x v="3"/>
    <s v="Granel"/>
    <m/>
    <s v="Granel Sólido"/>
    <m/>
    <m/>
    <s v="JUNIO '21"/>
    <x v="0"/>
    <m/>
    <d v="2021-06-22T00:00:00"/>
    <m/>
    <x v="700"/>
    <m/>
    <m/>
    <x v="750"/>
    <n v="8"/>
    <n v="2021"/>
    <x v="0"/>
    <x v="0"/>
    <s v="RIGA / LETONIA"/>
    <x v="3"/>
    <m/>
    <x v="1"/>
    <x v="14"/>
    <d v="2021-06-22T00:00:00"/>
    <s v="MV KOTOR"/>
    <x v="337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C"/>
    <x v="0"/>
    <x v="0"/>
    <m/>
    <m/>
    <x v="1532"/>
    <m/>
    <x v="1284"/>
    <m/>
    <d v="2021-08-09T00:00:00"/>
    <d v="2021-08-12T00:00:00"/>
    <s v="CERRADO"/>
    <n v="206573"/>
    <x v="5"/>
    <x v="41"/>
    <x v="690"/>
    <d v="2021-06-07T00:00:00"/>
    <n v="150"/>
    <s v="días BL"/>
    <s v="B7FE-21-3036-ANPE-05"/>
    <m/>
    <d v="2021-11-19T00:00:00"/>
    <s v="CANCELADO"/>
    <s v="CFR"/>
    <m/>
    <x v="17"/>
    <n v="350.5"/>
    <m/>
    <x v="1308"/>
    <x v="3"/>
    <s v="Granel"/>
    <m/>
    <s v="Granel Sólido"/>
    <m/>
    <m/>
    <s v="JUNIO '21"/>
    <x v="0"/>
    <m/>
    <d v="2021-06-22T00:00:00"/>
    <m/>
    <x v="701"/>
    <m/>
    <m/>
    <x v="751"/>
    <n v="8"/>
    <n v="2021"/>
    <x v="0"/>
    <x v="0"/>
    <s v="RIGA / LETONIA"/>
    <x v="4"/>
    <m/>
    <x v="2"/>
    <x v="131"/>
    <d v="2021-06-22T00:00:00"/>
    <s v="MV KOTOR"/>
    <x v="337"/>
    <x v="0"/>
    <m/>
    <s v="NO APLICA"/>
    <s v="ORIGEN"/>
    <m/>
    <m/>
    <m/>
    <x v="0"/>
    <m/>
    <m/>
    <x v="0"/>
    <x v="0"/>
    <m/>
    <m/>
    <x v="0"/>
    <e v="#REF!"/>
    <m/>
    <m/>
    <m/>
    <m/>
    <m/>
    <x v="0"/>
    <s v="anulada : 8000001447"/>
    <m/>
    <m/>
    <m/>
    <s v="NACIONALIZADO"/>
    <m/>
    <m/>
    <m/>
  </r>
  <r>
    <n v="2021"/>
    <s v="G-S"/>
    <x v="0"/>
    <x v="0"/>
    <m/>
    <m/>
    <x v="1533"/>
    <m/>
    <x v="1285"/>
    <m/>
    <m/>
    <m/>
    <s v="CERRADO"/>
    <n v="206597"/>
    <x v="0"/>
    <x v="24"/>
    <x v="691"/>
    <d v="2021-06-10T00:00:00"/>
    <n v="30"/>
    <s v="días BL"/>
    <s v="21-06-6720-1"/>
    <m/>
    <d v="2021-07-18T00:00:00"/>
    <s v="CANCELADO"/>
    <s v="CFR"/>
    <m/>
    <x v="70"/>
    <n v="432"/>
    <m/>
    <x v="370"/>
    <x v="3"/>
    <s v="Granel"/>
    <m/>
    <s v="Granel Sólido"/>
    <m/>
    <m/>
    <s v="JUNIO '21"/>
    <x v="0"/>
    <m/>
    <m/>
    <m/>
    <x v="629"/>
    <m/>
    <m/>
    <x v="749"/>
    <n v="7"/>
    <n v="2021"/>
    <x v="0"/>
    <x v="0"/>
    <s v="ST. PETERSBURG / RUSSIA"/>
    <x v="1"/>
    <m/>
    <x v="2"/>
    <x v="990"/>
    <d v="2021-06-18T00:00:00"/>
    <s v="MV KOTOR"/>
    <x v="337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534"/>
    <m/>
    <x v="1286"/>
    <m/>
    <d v="2021-08-05T00:00:00"/>
    <d v="2021-08-12T00:00:00"/>
    <s v="CERRADO"/>
    <n v="206597"/>
    <x v="0"/>
    <x v="24"/>
    <x v="691"/>
    <d v="2021-06-10T00:00:00"/>
    <n v="30"/>
    <s v="días BL"/>
    <s v="21-06-6720-2"/>
    <m/>
    <d v="2021-07-18T00:00:00"/>
    <s v="CANCELADO"/>
    <s v="CFR"/>
    <m/>
    <x v="117"/>
    <n v="432"/>
    <m/>
    <x v="1309"/>
    <x v="3"/>
    <s v="Granel"/>
    <m/>
    <s v="Granel Sólido"/>
    <m/>
    <m/>
    <s v="JUNIO '21"/>
    <x v="0"/>
    <m/>
    <d v="2021-06-18T00:00:00"/>
    <m/>
    <x v="654"/>
    <m/>
    <m/>
    <x v="680"/>
    <n v="8"/>
    <n v="2021"/>
    <x v="0"/>
    <x v="0"/>
    <s v="ST. PETERSBURG / RUSSIA"/>
    <x v="2"/>
    <m/>
    <x v="3"/>
    <x v="991"/>
    <d v="2021-06-18T00:00:00"/>
    <s v="MV KOTOR"/>
    <x v="337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535"/>
    <m/>
    <x v="1287"/>
    <m/>
    <d v="2021-08-09T00:00:00"/>
    <d v="2021-08-12T00:00:00"/>
    <s v="CERRADO"/>
    <n v="206597"/>
    <x v="0"/>
    <x v="24"/>
    <x v="691"/>
    <d v="2021-06-10T00:00:00"/>
    <n v="30"/>
    <s v="días BL"/>
    <s v="21-06-6720-3"/>
    <m/>
    <d v="2021-07-18T00:00:00"/>
    <s v="CANCELADO"/>
    <s v="CFR"/>
    <m/>
    <x v="11"/>
    <n v="432"/>
    <m/>
    <x v="1310"/>
    <x v="3"/>
    <s v="Granel"/>
    <m/>
    <s v="Granel Sólido"/>
    <m/>
    <m/>
    <s v="JUNIO '21"/>
    <x v="0"/>
    <m/>
    <d v="2021-06-18T00:00:00"/>
    <m/>
    <x v="701"/>
    <m/>
    <m/>
    <x v="751"/>
    <n v="8"/>
    <n v="2021"/>
    <x v="0"/>
    <x v="0"/>
    <s v="ST. PETERSBURG / RUSSIA"/>
    <x v="4"/>
    <m/>
    <x v="2"/>
    <x v="992"/>
    <d v="2021-06-18T00:00:00"/>
    <s v="MV KOTOR"/>
    <x v="337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536"/>
    <m/>
    <x v="1288"/>
    <m/>
    <m/>
    <m/>
    <s v="CERRADO"/>
    <n v="207951"/>
    <x v="6"/>
    <x v="37"/>
    <x v="692"/>
    <d v="2021-06-09T00:00:00"/>
    <s v="CAD"/>
    <m/>
    <s v="I-36009"/>
    <m/>
    <s v="-"/>
    <s v="CANCELADO"/>
    <s v="CFR"/>
    <m/>
    <x v="45"/>
    <n v="465"/>
    <m/>
    <x v="279"/>
    <x v="3"/>
    <s v="Granel"/>
    <m/>
    <s v="Granel Sólido"/>
    <m/>
    <m/>
    <s v="2H MAY - 1H JUN '21"/>
    <x v="0"/>
    <m/>
    <m/>
    <m/>
    <x v="696"/>
    <m/>
    <m/>
    <x v="752"/>
    <n v="7"/>
    <n v="2021"/>
    <x v="0"/>
    <x v="0"/>
    <s v="KOTKA / FINLANDIA"/>
    <x v="0"/>
    <m/>
    <x v="2"/>
    <x v="2"/>
    <d v="2021-05-28T00:00:00"/>
    <s v="MV COMMON CALYPSO"/>
    <x v="338"/>
    <x v="0"/>
    <m/>
    <s v="NO APLICA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537"/>
    <m/>
    <x v="1289"/>
    <m/>
    <m/>
    <m/>
    <s v="CERRADO"/>
    <n v="207951"/>
    <x v="6"/>
    <x v="37"/>
    <x v="693"/>
    <d v="2021-06-09T00:00:00"/>
    <s v="CAD"/>
    <m/>
    <s v="I-36110"/>
    <m/>
    <s v="-"/>
    <s v="CANCELADO"/>
    <s v="CFR"/>
    <m/>
    <x v="17"/>
    <n v="465"/>
    <m/>
    <x v="1311"/>
    <x v="3"/>
    <s v="Granel"/>
    <m/>
    <s v="Granel Sólido"/>
    <m/>
    <m/>
    <s v="2H MAY - 1H JUN '21"/>
    <x v="0"/>
    <m/>
    <m/>
    <m/>
    <x v="696"/>
    <m/>
    <m/>
    <x v="752"/>
    <n v="7"/>
    <n v="2021"/>
    <x v="0"/>
    <x v="0"/>
    <s v="KOTKA / FINLANDIA"/>
    <x v="0"/>
    <m/>
    <x v="2"/>
    <x v="45"/>
    <d v="2021-05-28T00:00:00"/>
    <s v="MV COMMON CALYPSO"/>
    <x v="338"/>
    <x v="0"/>
    <m/>
    <s v="NO APLICA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538"/>
    <m/>
    <x v="1290"/>
    <m/>
    <m/>
    <m/>
    <s v="CERRADO"/>
    <n v="206569"/>
    <x v="14"/>
    <x v="37"/>
    <x v="694"/>
    <d v="2021-06-09T00:00:00"/>
    <s v="CAD"/>
    <m/>
    <s v="I-36007"/>
    <m/>
    <d v="2021-06-17T00:00:00"/>
    <s v="CANCELADO"/>
    <s v="CFR"/>
    <m/>
    <x v="584"/>
    <n v="640"/>
    <m/>
    <x v="1312"/>
    <x v="3"/>
    <s v="Granel"/>
    <m/>
    <s v="Granel Sólido"/>
    <m/>
    <m/>
    <s v="2H MAY - 1H JUN '21"/>
    <x v="0"/>
    <m/>
    <m/>
    <m/>
    <x v="696"/>
    <m/>
    <m/>
    <x v="753"/>
    <n v="7"/>
    <n v="2021"/>
    <x v="0"/>
    <x v="0"/>
    <s v="KOTKA / FINLANDIA"/>
    <x v="0"/>
    <m/>
    <x v="2"/>
    <x v="1125"/>
    <d v="2021-05-28T00:00:00"/>
    <s v="MV COMMON CALYPSO"/>
    <x v="338"/>
    <x v="0"/>
    <m/>
    <s v="NO APLICA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E-S"/>
    <x v="0"/>
    <x v="0"/>
    <m/>
    <m/>
    <x v="1539"/>
    <m/>
    <x v="1291"/>
    <m/>
    <d v="2021-09-30T00:00:00"/>
    <d v="2021-10-01T00:00:00"/>
    <s v="CERRADO"/>
    <n v="207522"/>
    <x v="11"/>
    <x v="10"/>
    <x v="695"/>
    <d v="2021-06-23T00:00:00"/>
    <s v="CAD"/>
    <m/>
    <s v="306029805"/>
    <m/>
    <d v="2021-08-16T00:00:00"/>
    <s v="CANCELADO"/>
    <s v="CFR"/>
    <m/>
    <x v="585"/>
    <n v="237"/>
    <m/>
    <x v="1313"/>
    <x v="9"/>
    <s v="Contenedor 20'"/>
    <m/>
    <s v="Granel Sólido"/>
    <m/>
    <m/>
    <s v="AGOSTO  '21"/>
    <x v="0"/>
    <d v="1899-12-30T00:00:00"/>
    <d v="2021-08-08T00:00:00"/>
    <d v="2021-09-24T00:00:00"/>
    <x v="702"/>
    <d v="2021-09-28T00:00:00"/>
    <m/>
    <x v="754"/>
    <n v="9"/>
    <n v="2021"/>
    <x v="0"/>
    <x v="0"/>
    <s v="TEESPORT / UK"/>
    <x v="0"/>
    <m/>
    <x v="2"/>
    <x v="1126"/>
    <d v="2021-08-08T00:00:00"/>
    <s v="BG IRELAND"/>
    <x v="318"/>
    <x v="3"/>
    <m/>
    <s v="REALIZADO"/>
    <s v="ORIGEN"/>
    <m/>
    <m/>
    <m/>
    <x v="0"/>
    <d v="2021-09-29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E-S"/>
    <x v="0"/>
    <x v="0"/>
    <m/>
    <m/>
    <x v="1540"/>
    <m/>
    <x v="1292"/>
    <m/>
    <d v="2021-09-16T00:00:00"/>
    <d v="2021-09-16T00:00:00"/>
    <s v="CERRADO"/>
    <n v="207522"/>
    <x v="11"/>
    <x v="10"/>
    <x v="696"/>
    <d v="2021-06-23T00:00:00"/>
    <s v="CAD"/>
    <m/>
    <s v="306029806"/>
    <m/>
    <d v="2021-08-08T00:00:00"/>
    <s v="CANCELADO"/>
    <s v="CFR"/>
    <m/>
    <x v="586"/>
    <n v="228"/>
    <m/>
    <x v="1314"/>
    <x v="14"/>
    <s v="Contenedor 20'"/>
    <m/>
    <s v="Granel Sólido"/>
    <m/>
    <m/>
    <s v="AGOSTO  '21"/>
    <x v="0"/>
    <m/>
    <d v="2021-08-08T00:00:00"/>
    <m/>
    <x v="672"/>
    <m/>
    <m/>
    <x v="755"/>
    <n v="9"/>
    <n v="2021"/>
    <x v="0"/>
    <x v="0"/>
    <s v="TEESPORT / UK"/>
    <x v="2"/>
    <m/>
    <x v="3"/>
    <x v="1127"/>
    <d v="2021-08-08T00:00:00"/>
    <s v="BG IRELAND"/>
    <x v="328"/>
    <x v="3"/>
    <m/>
    <s v="REALIZADO"/>
    <s v="ORIGEN"/>
    <m/>
    <m/>
    <m/>
    <x v="0"/>
    <m/>
    <m/>
    <x v="0"/>
    <x v="0"/>
    <m/>
    <m/>
    <x v="0"/>
    <e v="#REF!"/>
    <m/>
    <m/>
    <m/>
    <m/>
    <m/>
    <x v="0"/>
    <s v="anulada: 8000001358"/>
    <m/>
    <m/>
    <m/>
    <s v="NACIONALIZADO"/>
    <m/>
    <m/>
    <m/>
  </r>
  <r>
    <n v="2021"/>
    <s v="T-S"/>
    <x v="0"/>
    <x v="0"/>
    <m/>
    <m/>
    <x v="1541"/>
    <m/>
    <x v="1293"/>
    <m/>
    <d v="1899-12-30T00:00:00"/>
    <d v="2021-11-11T00:00:00"/>
    <s v="CERRADO"/>
    <n v="203565"/>
    <x v="137"/>
    <x v="53"/>
    <x v="697"/>
    <d v="2021-06-17T00:00:00"/>
    <s v="CAD"/>
    <m/>
    <s v="F200-43195"/>
    <m/>
    <d v="2021-10-17T00:00:00"/>
    <s v="CANCELADO"/>
    <s v="CFR"/>
    <m/>
    <x v="587"/>
    <n v="4901.9607839999999"/>
    <m/>
    <x v="1315"/>
    <x v="11"/>
    <s v="Contenedor 20'"/>
    <m/>
    <s v="5 LT"/>
    <m/>
    <m/>
    <s v="AGOSTO '21"/>
    <x v="0"/>
    <d v="2021-09-27T00:00:00"/>
    <d v="2021-09-27T00:00:00"/>
    <d v="2021-10-21T00:00:00"/>
    <x v="679"/>
    <d v="2021-10-25T00:00:00"/>
    <m/>
    <x v="730"/>
    <n v="11"/>
    <n v="2021"/>
    <x v="0"/>
    <x v="0"/>
    <s v="LONDRES / REINO UNIDO"/>
    <x v="2"/>
    <m/>
    <x v="3"/>
    <x v="1128"/>
    <d v="2021-10-08T00:00:00"/>
    <s v="GUAYAQUIL EXPRESS"/>
    <x v="42"/>
    <x v="2"/>
    <m/>
    <s v="PENDIENTE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542"/>
    <m/>
    <x v="1294"/>
    <m/>
    <m/>
    <m/>
    <s v="CERRADO"/>
    <n v="208067"/>
    <x v="115"/>
    <x v="53"/>
    <x v="677"/>
    <s v="MAYO '21"/>
    <n v="30"/>
    <s v="días FACT."/>
    <s v="F200-43117"/>
    <m/>
    <d v="2021-07-25T00:00:00"/>
    <s v="CANCELADO"/>
    <s v="CFR"/>
    <m/>
    <x v="588"/>
    <n v="249"/>
    <m/>
    <x v="1316"/>
    <x v="21"/>
    <s v="Contenedor 20'"/>
    <m/>
    <s v="25 kg"/>
    <m/>
    <m/>
    <s v="JUNIO '21"/>
    <x v="0"/>
    <m/>
    <m/>
    <m/>
    <x v="703"/>
    <m/>
    <m/>
    <x v="641"/>
    <n v="7"/>
    <n v="2021"/>
    <x v="0"/>
    <x v="0"/>
    <s v="CARTAGENA / COLOMBIA"/>
    <x v="0"/>
    <m/>
    <x v="2"/>
    <x v="1129"/>
    <d v="2021-06-25T00:00:00"/>
    <s v="LIMARI"/>
    <x v="217"/>
    <x v="2"/>
    <m/>
    <s v="REALIZADO"/>
    <s v="DESTINO"/>
    <m/>
    <m/>
    <m/>
    <x v="0"/>
    <d v="2021-07-20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543"/>
    <m/>
    <x v="1295"/>
    <m/>
    <m/>
    <m/>
    <s v="CERRADO"/>
    <n v="208067"/>
    <x v="115"/>
    <x v="53"/>
    <x v="677"/>
    <s v="MAYO '21"/>
    <n v="30"/>
    <s v="días FACT."/>
    <s v="F200-43117"/>
    <m/>
    <d v="2021-07-25T00:00:00"/>
    <s v="CANCELADO"/>
    <s v="CFR"/>
    <m/>
    <x v="589"/>
    <n v="249"/>
    <m/>
    <x v="1317"/>
    <x v="15"/>
    <s v="Contenedor 20'"/>
    <m/>
    <s v="25 kg"/>
    <m/>
    <m/>
    <s v="JUNIO '21"/>
    <x v="0"/>
    <m/>
    <m/>
    <m/>
    <x v="626"/>
    <m/>
    <m/>
    <x v="706"/>
    <n v="7"/>
    <n v="2021"/>
    <x v="0"/>
    <x v="0"/>
    <s v="CARTAGENA / COLOMBIA"/>
    <x v="0"/>
    <m/>
    <x v="2"/>
    <x v="1130"/>
    <d v="2021-06-30T00:00:00"/>
    <s v="CMA CGM SAMBHAR"/>
    <x v="310"/>
    <x v="2"/>
    <m/>
    <s v="REALIZADO"/>
    <s v="DESTINO"/>
    <m/>
    <m/>
    <m/>
    <x v="0"/>
    <d v="2021-07-27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544"/>
    <m/>
    <x v="1296"/>
    <m/>
    <m/>
    <m/>
    <s v="CERRADO"/>
    <n v="208067"/>
    <x v="115"/>
    <x v="53"/>
    <x v="698"/>
    <s v="JULIO '21"/>
    <s v="CAD"/>
    <m/>
    <s v="F200-43129"/>
    <m/>
    <d v="2021-07-05T00:00:00"/>
    <s v="CANCELADO"/>
    <s v="CFR"/>
    <m/>
    <x v="229"/>
    <n v="249"/>
    <m/>
    <x v="1318"/>
    <x v="10"/>
    <s v="Contenedor 20'"/>
    <m/>
    <s v="25 kg"/>
    <m/>
    <m/>
    <s v="JUNIO '21"/>
    <x v="0"/>
    <m/>
    <m/>
    <m/>
    <x v="626"/>
    <m/>
    <m/>
    <x v="744"/>
    <n v="7"/>
    <n v="2021"/>
    <x v="0"/>
    <x v="0"/>
    <s v="CARTAGENA / COLOMBIA"/>
    <x v="0"/>
    <m/>
    <x v="2"/>
    <x v="1131"/>
    <d v="2021-07-02T00:00:00"/>
    <s v="CMA CGM SAMBHAR"/>
    <x v="310"/>
    <x v="9"/>
    <m/>
    <s v="REALIZADO"/>
    <s v="SWB"/>
    <m/>
    <m/>
    <m/>
    <x v="0"/>
    <d v="2021-07-27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545"/>
    <m/>
    <x v="1297"/>
    <m/>
    <d v="2021-08-12T00:00:00"/>
    <d v="2021-08-12T00:00:00"/>
    <s v="CERRADO"/>
    <n v="208067"/>
    <x v="115"/>
    <x v="53"/>
    <x v="699"/>
    <s v="JULIO '21"/>
    <n v="30"/>
    <s v="días FACT."/>
    <s v="F200-43144"/>
    <m/>
    <d v="2021-08-23T00:00:00"/>
    <s v="CANCELADO"/>
    <s v="CFR"/>
    <m/>
    <x v="398"/>
    <n v="269"/>
    <m/>
    <x v="1319"/>
    <x v="33"/>
    <s v="Contenedor 20'"/>
    <m/>
    <s v="25 kg"/>
    <m/>
    <m/>
    <s v="JULIO '21"/>
    <x v="0"/>
    <m/>
    <d v="2021-07-23T00:00:00"/>
    <m/>
    <x v="704"/>
    <m/>
    <m/>
    <x v="756"/>
    <n v="8"/>
    <n v="2021"/>
    <x v="0"/>
    <x v="0"/>
    <s v="CARTAGENA / COLOMBIA"/>
    <x v="0"/>
    <m/>
    <x v="5"/>
    <x v="1132"/>
    <d v="2021-07-23T00:00:00"/>
    <s v="LIMARI"/>
    <x v="217"/>
    <x v="2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546"/>
    <m/>
    <x v="1298"/>
    <m/>
    <d v="2021-08-16T00:00:00"/>
    <d v="2021-08-18T00:00:00"/>
    <s v="CERRADO"/>
    <n v="208067"/>
    <x v="115"/>
    <x v="53"/>
    <x v="699"/>
    <d v="2021-06-15T00:00:00"/>
    <n v="30"/>
    <s v="días FACT."/>
    <s v="F200-43148"/>
    <m/>
    <d v="2021-08-23T00:00:00"/>
    <s v="CANCELADO"/>
    <s v="CFR"/>
    <m/>
    <x v="147"/>
    <n v="269"/>
    <m/>
    <x v="1320"/>
    <x v="4"/>
    <s v="Contenedor 20'"/>
    <m/>
    <s v="25 kg"/>
    <m/>
    <m/>
    <s v="JULIO '21"/>
    <x v="0"/>
    <m/>
    <d v="2021-07-30T00:00:00"/>
    <m/>
    <x v="607"/>
    <m/>
    <m/>
    <x v="757"/>
    <n v="8"/>
    <n v="2021"/>
    <x v="0"/>
    <x v="0"/>
    <s v="CARTAGENA / COLOMBIA"/>
    <x v="0"/>
    <m/>
    <x v="2"/>
    <x v="1133"/>
    <d v="2021-07-30T00:00:00"/>
    <s v="CMA CGM SAMBHAR"/>
    <x v="310"/>
    <x v="2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547"/>
    <m/>
    <x v="1299"/>
    <m/>
    <d v="2021-08-16T00:00:00"/>
    <d v="2021-08-18T00:00:00"/>
    <s v="CERRADO"/>
    <n v="208067"/>
    <x v="115"/>
    <x v="53"/>
    <x v="700"/>
    <d v="2021-06-15T00:00:00"/>
    <n v="30"/>
    <s v="días FACT."/>
    <s v="F200-43145"/>
    <m/>
    <d v="2021-08-24T00:00:00"/>
    <s v="CANCELADO"/>
    <s v="CFR"/>
    <m/>
    <x v="80"/>
    <n v="269"/>
    <m/>
    <x v="1321"/>
    <x v="19"/>
    <s v="Contenedor 20'"/>
    <m/>
    <s v="25 kg"/>
    <m/>
    <m/>
    <s v="JULIO '21"/>
    <x v="0"/>
    <m/>
    <d v="2021-07-30T00:00:00"/>
    <m/>
    <x v="607"/>
    <m/>
    <m/>
    <x v="677"/>
    <n v="8"/>
    <n v="2021"/>
    <x v="0"/>
    <x v="0"/>
    <s v="CARTAGENA / COLOMBIA"/>
    <x v="0"/>
    <m/>
    <x v="2"/>
    <x v="1134"/>
    <d v="2021-07-30T00:00:00"/>
    <s v="CMA CGM SAMBHAR"/>
    <x v="310"/>
    <x v="9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O-S"/>
    <x v="0"/>
    <x v="0"/>
    <m/>
    <m/>
    <x v="1548"/>
    <m/>
    <x v="1300"/>
    <m/>
    <d v="2021-10-14T00:00:00"/>
    <d v="2021-10-18T00:00:00"/>
    <s v="CERRADO"/>
    <n v="203553"/>
    <x v="123"/>
    <x v="53"/>
    <x v="701"/>
    <d v="2021-06-15T00:00:00"/>
    <s v="CAD"/>
    <m/>
    <s v="F200-43185"/>
    <m/>
    <d v="2021-10-09T00:00:00"/>
    <s v="CANCELADO"/>
    <s v="CFR"/>
    <m/>
    <x v="590"/>
    <n v="319.13"/>
    <m/>
    <x v="1322"/>
    <x v="5"/>
    <s v="Contenedor 20'"/>
    <m/>
    <s v="Granel Sólido"/>
    <m/>
    <m/>
    <s v="JULIO '21"/>
    <x v="0"/>
    <d v="1899-12-30T00:00:00"/>
    <d v="2021-09-15T00:00:00"/>
    <d v="2021-10-05T00:00:00"/>
    <x v="705"/>
    <d v="2021-10-05T00:00:00"/>
    <m/>
    <x v="695"/>
    <n v="10"/>
    <n v="2021"/>
    <x v="0"/>
    <x v="0"/>
    <s v="AMBERES / BELGICA"/>
    <x v="0"/>
    <m/>
    <x v="2"/>
    <x v="1135"/>
    <d v="2021-09-17T00:00:00"/>
    <s v="CMA CGM JEAN GABRIEL"/>
    <x v="339"/>
    <x v="2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549"/>
    <m/>
    <x v="1301"/>
    <m/>
    <d v="2021-08-06T00:00:00"/>
    <d v="2021-08-12T00:00:00"/>
    <s v="CERRADO"/>
    <n v="208067"/>
    <x v="115"/>
    <x v="53"/>
    <x v="702"/>
    <s v="JULIO '21"/>
    <n v="30"/>
    <s v="días FACT."/>
    <s v="F200-43141"/>
    <m/>
    <d v="2021-08-22T00:00:00"/>
    <s v="CANCELADO"/>
    <s v="CFR"/>
    <m/>
    <x v="541"/>
    <n v="269"/>
    <m/>
    <x v="1323"/>
    <x v="38"/>
    <s v="Contenedor 20'"/>
    <m/>
    <s v="25 kg"/>
    <m/>
    <m/>
    <s v="JULIO '21"/>
    <x v="0"/>
    <m/>
    <d v="2021-07-14T00:00:00"/>
    <m/>
    <x v="706"/>
    <m/>
    <m/>
    <x v="750"/>
    <n v="8"/>
    <n v="2021"/>
    <x v="0"/>
    <x v="0"/>
    <s v="CARTAGENA / COLOMBIA"/>
    <x v="2"/>
    <m/>
    <x v="6"/>
    <x v="1136"/>
    <d v="2021-07-14T00:00:00"/>
    <s v="CARTAGENA EXPRESS"/>
    <x v="39"/>
    <x v="9"/>
    <m/>
    <s v="REALIZADO"/>
    <s v="SWB"/>
    <m/>
    <m/>
    <m/>
    <x v="0"/>
    <d v="2021-08-06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550"/>
    <m/>
    <x v="1302"/>
    <m/>
    <d v="2021-08-23T00:00:00"/>
    <d v="2021-08-23T00:00:00"/>
    <s v="CERRADO"/>
    <n v="208067"/>
    <x v="115"/>
    <x v="53"/>
    <x v="703"/>
    <d v="2021-06-15T00:00:00"/>
    <n v="30"/>
    <s v="días FACT."/>
    <s v="F200-43147"/>
    <m/>
    <d v="2021-09-03T00:00:00"/>
    <s v="CANCELADO"/>
    <s v="CFR"/>
    <m/>
    <x v="538"/>
    <n v="269"/>
    <m/>
    <x v="1324"/>
    <x v="2"/>
    <s v="Contenedor 20'"/>
    <m/>
    <s v="25 kg"/>
    <m/>
    <m/>
    <s v="JULIO '21"/>
    <x v="0"/>
    <m/>
    <d v="2021-08-04T00:00:00"/>
    <m/>
    <x v="707"/>
    <m/>
    <m/>
    <x v="758"/>
    <n v="8"/>
    <n v="2021"/>
    <x v="0"/>
    <x v="0"/>
    <s v="CARTAGENA / COLOMBIA"/>
    <x v="2"/>
    <m/>
    <x v="3"/>
    <x v="1137"/>
    <d v="2021-08-04T00:00:00"/>
    <s v="CALLAO EXPRESS"/>
    <x v="32"/>
    <x v="9"/>
    <m/>
    <s v="REALIZADO"/>
    <s v="SWB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551"/>
    <m/>
    <x v="1303"/>
    <m/>
    <d v="2021-08-25T00:00:00"/>
    <d v="2021-08-25T00:00:00"/>
    <s v="CERRADO"/>
    <n v="208067"/>
    <x v="115"/>
    <x v="53"/>
    <x v="704"/>
    <d v="2021-06-15T00:00:00"/>
    <n v="30"/>
    <s v="días FACT."/>
    <s v="F200-43146"/>
    <m/>
    <d v="2021-09-01T00:00:00"/>
    <s v="CANCELADO"/>
    <s v="CFR"/>
    <m/>
    <x v="229"/>
    <n v="269"/>
    <m/>
    <x v="1325"/>
    <x v="10"/>
    <s v="Contenedor 20'"/>
    <m/>
    <s v="25 kg"/>
    <m/>
    <m/>
    <s v="JULIO '21"/>
    <x v="0"/>
    <m/>
    <d v="2021-08-02T00:00:00"/>
    <m/>
    <x v="708"/>
    <m/>
    <m/>
    <x v="723"/>
    <n v="8"/>
    <n v="2021"/>
    <x v="0"/>
    <x v="0"/>
    <s v="CARTAGENA / COLOMBIA"/>
    <x v="2"/>
    <m/>
    <x v="3"/>
    <x v="1138"/>
    <d v="2021-08-02T00:00:00"/>
    <s v="SAN ANTONIO"/>
    <x v="340"/>
    <x v="4"/>
    <s v="MEDLOG"/>
    <s v="REALIZADO"/>
    <s v="SWB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552"/>
    <m/>
    <x v="1304"/>
    <m/>
    <d v="2021-08-26T00:00:00"/>
    <d v="2021-08-26T00:00:00"/>
    <s v="CERRADO"/>
    <n v="208067"/>
    <x v="115"/>
    <x v="53"/>
    <x v="705"/>
    <d v="2021-06-15T00:00:00"/>
    <n v="30"/>
    <s v="días FACT."/>
    <s v="F200-43158"/>
    <m/>
    <d v="2021-09-10T00:00:00"/>
    <s v="CANCELADO"/>
    <s v="CFR"/>
    <m/>
    <x v="591"/>
    <n v="269"/>
    <m/>
    <x v="1326"/>
    <x v="2"/>
    <s v="Contenedor 20'"/>
    <m/>
    <s v="25 kg"/>
    <m/>
    <m/>
    <s v="JULIO '21"/>
    <x v="0"/>
    <m/>
    <d v="2021-08-11T00:00:00"/>
    <m/>
    <x v="609"/>
    <m/>
    <m/>
    <x v="759"/>
    <n v="8"/>
    <n v="2021"/>
    <x v="0"/>
    <x v="0"/>
    <s v="CARTAGENA / COLOMBIA"/>
    <x v="2"/>
    <m/>
    <x v="3"/>
    <x v="1139"/>
    <d v="2021-08-11T00:00:00"/>
    <s v="SANTOS EXPRESS"/>
    <x v="184"/>
    <x v="9"/>
    <m/>
    <s v="REALIZADO"/>
    <s v="SWB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O-S"/>
    <x v="0"/>
    <x v="0"/>
    <m/>
    <m/>
    <x v="1553"/>
    <m/>
    <x v="1305"/>
    <m/>
    <d v="2021-10-14T00:00:00"/>
    <d v="2021-10-15T00:00:00"/>
    <s v="CERRADO"/>
    <n v="203553"/>
    <x v="123"/>
    <x v="53"/>
    <x v="706"/>
    <d v="2021-06-15T00:00:00"/>
    <s v="CAD"/>
    <m/>
    <s v="F200-43186"/>
    <m/>
    <d v="2021-10-10T00:00:00"/>
    <s v="CANCELADO"/>
    <s v="CFR"/>
    <m/>
    <x v="592"/>
    <n v="308.29000000000002"/>
    <m/>
    <x v="1327"/>
    <x v="14"/>
    <s v="Contenedor 20'"/>
    <m/>
    <s v="Granel Sólido"/>
    <m/>
    <m/>
    <s v="JULIO '21"/>
    <x v="0"/>
    <d v="1899-12-30T00:00:00"/>
    <d v="2021-09-30T00:00:00"/>
    <d v="2021-10-10T00:00:00"/>
    <x v="709"/>
    <d v="2021-10-14T00:00:00"/>
    <m/>
    <x v="760"/>
    <n v="10"/>
    <n v="2021"/>
    <x v="0"/>
    <x v="0"/>
    <s v="AMBERES / BELGICA"/>
    <x v="2"/>
    <m/>
    <x v="3"/>
    <x v="1140"/>
    <d v="2021-09-21T00:00:00"/>
    <s v="CARTAGENA EXPRESS"/>
    <x v="217"/>
    <x v="2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O-S"/>
    <x v="0"/>
    <x v="1"/>
    <s v="N/A"/>
    <m/>
    <x v="1554"/>
    <m/>
    <x v="34"/>
    <m/>
    <m/>
    <m/>
    <m/>
    <m/>
    <x v="123"/>
    <x v="53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1"/>
    <s v="S-S"/>
    <x v="0"/>
    <x v="1"/>
    <s v="N/A"/>
    <m/>
    <x v="1555"/>
    <m/>
    <x v="34"/>
    <m/>
    <m/>
    <m/>
    <m/>
    <m/>
    <x v="125"/>
    <x v="48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1"/>
    <s v="S-S"/>
    <x v="0"/>
    <x v="0"/>
    <s v="URGENTE"/>
    <m/>
    <x v="1556"/>
    <m/>
    <x v="1306"/>
    <m/>
    <d v="1899-12-30T00:00:00"/>
    <d v="2021-12-02T00:00:00"/>
    <s v="CERRADO"/>
    <n v="207579"/>
    <x v="9"/>
    <x v="54"/>
    <x v="707"/>
    <d v="2021-07-22T00:00:00"/>
    <n v="90"/>
    <s v="días BL"/>
    <s v="21JEQ001"/>
    <m/>
    <d v="2022-01-19T00:00:00"/>
    <s v="CANCELADO"/>
    <s v="CFR"/>
    <m/>
    <x v="1"/>
    <n v="382"/>
    <m/>
    <x v="1328"/>
    <x v="3"/>
    <s v="Granel - BB"/>
    <m/>
    <s v="25 kg"/>
    <m/>
    <m/>
    <s v="AGOSTO '21"/>
    <x v="0"/>
    <d v="1899-12-30T00:00:00"/>
    <d v="2021-10-21T00:00:00"/>
    <d v="2021-11-24T00:00:00"/>
    <x v="710"/>
    <d v="2021-11-30T00:00:00"/>
    <m/>
    <x v="761"/>
    <n v="12"/>
    <n v="2021"/>
    <x v="0"/>
    <x v="0"/>
    <s v="TIANJIN / CHINA"/>
    <x v="3"/>
    <m/>
    <x v="1"/>
    <x v="1141"/>
    <d v="2021-10-21T00:00:00"/>
    <s v="MV GLOBAL LAGUNA"/>
    <x v="341"/>
    <x v="0"/>
    <m/>
    <s v="PENDIENTE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557"/>
    <m/>
    <x v="1307"/>
    <m/>
    <d v="2021-08-09T00:00:00"/>
    <d v="2021-08-12T00:00:00"/>
    <s v="CERRADO"/>
    <n v="208067"/>
    <x v="115"/>
    <x v="53"/>
    <x v="708"/>
    <s v="JULIO '21"/>
    <n v="30"/>
    <s v="días FACT."/>
    <s v="200-43133"/>
    <m/>
    <d v="2021-08-01T00:00:00"/>
    <s v="CANCELADO"/>
    <s v="CFR"/>
    <m/>
    <x v="206"/>
    <n v="249"/>
    <m/>
    <x v="1273"/>
    <x v="7"/>
    <s v="Contenedor 20'"/>
    <m/>
    <s v="25 kg"/>
    <m/>
    <m/>
    <s v="JUNIO '21"/>
    <x v="0"/>
    <m/>
    <d v="2021-07-02T00:00:00"/>
    <m/>
    <x v="687"/>
    <m/>
    <m/>
    <x v="751"/>
    <n v="8"/>
    <n v="2021"/>
    <x v="0"/>
    <x v="0"/>
    <s v="CARTAGENA / COLOMBIA"/>
    <x v="4"/>
    <m/>
    <x v="2"/>
    <x v="1142"/>
    <d v="2021-07-02T00:00:00"/>
    <s v="CMA CGM SAMBHAR"/>
    <x v="129"/>
    <x v="2"/>
    <m/>
    <s v="REALIZADO"/>
    <s v="DESTINO"/>
    <m/>
    <m/>
    <m/>
    <x v="0"/>
    <d v="2021-08-22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P"/>
    <x v="0"/>
    <x v="0"/>
    <m/>
    <m/>
    <x v="1558"/>
    <m/>
    <x v="1308"/>
    <m/>
    <d v="2021-10-14T00:00:00"/>
    <d v="2021-10-21T00:00:00"/>
    <s v="CERRADO"/>
    <n v="208510"/>
    <x v="10"/>
    <x v="48"/>
    <x v="709"/>
    <d v="2021-07-09T00:00:00"/>
    <s v="CAD"/>
    <m/>
    <s v="21L910B"/>
    <m/>
    <s v="-"/>
    <s v="CANCELADO"/>
    <s v="CIF"/>
    <m/>
    <x v="593"/>
    <n v="1516"/>
    <m/>
    <x v="1329"/>
    <x v="2"/>
    <s v="Contenedor 20'"/>
    <m/>
    <s v="35 kg"/>
    <m/>
    <m/>
    <s v="JULIO '21"/>
    <x v="0"/>
    <d v="2021-08-28T00:00:00"/>
    <d v="2021-08-28T00:00:00"/>
    <d v="2021-10-08T00:00:00"/>
    <x v="711"/>
    <d v="2021-10-12T00:00:00"/>
    <m/>
    <x v="693"/>
    <n v="10"/>
    <n v="2021"/>
    <x v="0"/>
    <x v="0"/>
    <s v="FANGCHENG / CHINA"/>
    <x v="0"/>
    <m/>
    <x v="1"/>
    <x v="1143"/>
    <d v="2021-08-28T00:00:00"/>
    <s v="NORTHERN JADE"/>
    <x v="193"/>
    <x v="3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P"/>
    <x v="0"/>
    <x v="0"/>
    <m/>
    <m/>
    <x v="1559"/>
    <m/>
    <x v="1309"/>
    <m/>
    <d v="2021-10-25T00:00:00"/>
    <d v="2021-10-30T00:00:00"/>
    <s v="CERRADO"/>
    <n v="208510"/>
    <x v="10"/>
    <x v="48"/>
    <x v="709"/>
    <d v="2021-07-09T00:00:00"/>
    <s v="CAD"/>
    <m/>
    <s v="21L910C"/>
    <m/>
    <s v="-"/>
    <s v="CANCELADO"/>
    <s v="CIF"/>
    <m/>
    <x v="231"/>
    <n v="1516"/>
    <m/>
    <x v="1330"/>
    <x v="4"/>
    <s v="Contenedor 20'"/>
    <m/>
    <s v="35 kg"/>
    <m/>
    <m/>
    <s v="JULIO '21"/>
    <x v="0"/>
    <d v="2021-08-29T00:00:00"/>
    <d v="2021-08-29T00:00:00"/>
    <d v="2021-10-10T00:00:00"/>
    <x v="712"/>
    <d v="2021-10-14T00:00:00"/>
    <m/>
    <x v="762"/>
    <n v="10"/>
    <n v="2021"/>
    <x v="0"/>
    <x v="0"/>
    <s v="FANGCHENG / CHINA"/>
    <x v="0"/>
    <m/>
    <x v="2"/>
    <x v="1144"/>
    <d v="2021-08-31T00:00:00"/>
    <s v="MSC NATASHA"/>
    <x v="318"/>
    <x v="4"/>
    <s v="MEDLOG"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P"/>
    <x v="0"/>
    <x v="1"/>
    <s v="N/A"/>
    <m/>
    <x v="1560"/>
    <m/>
    <x v="34"/>
    <m/>
    <m/>
    <m/>
    <m/>
    <m/>
    <x v="10"/>
    <x v="48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1"/>
    <s v="S-P"/>
    <x v="0"/>
    <x v="1"/>
    <s v="N/A"/>
    <m/>
    <x v="1561"/>
    <m/>
    <x v="34"/>
    <m/>
    <m/>
    <m/>
    <m/>
    <m/>
    <x v="10"/>
    <x v="48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1"/>
    <s v="S-P"/>
    <x v="0"/>
    <x v="1"/>
    <s v="N/A"/>
    <m/>
    <x v="1562"/>
    <m/>
    <x v="34"/>
    <m/>
    <m/>
    <m/>
    <m/>
    <m/>
    <x v="10"/>
    <x v="48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1"/>
    <s v="S-P"/>
    <x v="0"/>
    <x v="0"/>
    <m/>
    <m/>
    <x v="1563"/>
    <m/>
    <x v="1310"/>
    <m/>
    <d v="2021-09-30T00:00:00"/>
    <d v="2021-09-30T00:00:00"/>
    <s v="CERRADO"/>
    <n v="208510"/>
    <x v="10"/>
    <x v="48"/>
    <x v="710"/>
    <d v="2021-07-09T00:00:00"/>
    <s v="CAD"/>
    <m/>
    <s v="21L909A"/>
    <m/>
    <d v="2021-08-17T00:00:00"/>
    <s v="CANCELADO"/>
    <s v="CIF"/>
    <m/>
    <x v="593"/>
    <n v="1497"/>
    <m/>
    <x v="1331"/>
    <x v="2"/>
    <s v="Contenedor 20'"/>
    <m/>
    <s v="35 kg"/>
    <m/>
    <m/>
    <s v="JULIO '21"/>
    <x v="0"/>
    <d v="1899-12-30T00:00:00"/>
    <d v="2021-07-24T00:00:00"/>
    <d v="2021-09-22T00:00:00"/>
    <x v="713"/>
    <d v="2021-09-26T00:00:00"/>
    <m/>
    <x v="657"/>
    <n v="9"/>
    <n v="2021"/>
    <x v="0"/>
    <x v="0"/>
    <s v="FANGCHENG / CHINA"/>
    <x v="2"/>
    <m/>
    <x v="3"/>
    <x v="1145"/>
    <d v="2021-07-24T00:00:00"/>
    <s v="EVER LOADING"/>
    <x v="342"/>
    <x v="8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P"/>
    <x v="0"/>
    <x v="1"/>
    <s v="N/A"/>
    <m/>
    <x v="1564"/>
    <m/>
    <x v="34"/>
    <m/>
    <m/>
    <m/>
    <m/>
    <m/>
    <x v="10"/>
    <x v="48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1"/>
    <s v="S-P"/>
    <x v="0"/>
    <x v="0"/>
    <m/>
    <m/>
    <x v="1565"/>
    <m/>
    <x v="1311"/>
    <m/>
    <d v="2021-10-16T00:00:00"/>
    <d v="2021-10-14T00:00:00"/>
    <s v="CERRADO"/>
    <n v="208510"/>
    <x v="10"/>
    <x v="48"/>
    <x v="710"/>
    <d v="2021-07-09T00:00:00"/>
    <s v="CAD"/>
    <m/>
    <s v="21L909C"/>
    <m/>
    <d v="2021-08-17T00:00:00"/>
    <s v="CANCELADO"/>
    <s v="CIF"/>
    <m/>
    <x v="593"/>
    <n v="1497"/>
    <m/>
    <x v="1331"/>
    <x v="2"/>
    <s v="Contenedor 20'"/>
    <m/>
    <s v="35 kg"/>
    <m/>
    <m/>
    <s v="AGOSTO '21"/>
    <x v="0"/>
    <d v="1899-12-30T00:00:00"/>
    <d v="2021-08-08T00:00:00"/>
    <d v="2021-10-08T00:00:00"/>
    <x v="714"/>
    <d v="2021-10-12T00:00:00"/>
    <m/>
    <x v="760"/>
    <n v="10"/>
    <n v="2021"/>
    <x v="0"/>
    <x v="0"/>
    <s v="FANGCHENG / CHINA"/>
    <x v="2"/>
    <m/>
    <x v="3"/>
    <x v="1146"/>
    <d v="2021-08-08T00:00:00"/>
    <s v="EVER LEGEND "/>
    <x v="343"/>
    <x v="8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P"/>
    <x v="0"/>
    <x v="1"/>
    <s v="N/A"/>
    <m/>
    <x v="1566"/>
    <m/>
    <x v="34"/>
    <m/>
    <m/>
    <m/>
    <m/>
    <m/>
    <x v="10"/>
    <x v="48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1"/>
    <s v="S-C"/>
    <x v="0"/>
    <x v="0"/>
    <m/>
    <m/>
    <x v="1567"/>
    <m/>
    <x v="1312"/>
    <m/>
    <d v="2022-02-21T00:00:00"/>
    <d v="2022-02-21T00:00:00"/>
    <s v="CERRADO"/>
    <n v="206623"/>
    <x v="32"/>
    <x v="61"/>
    <x v="8"/>
    <d v="2021-07-08T00:00:00"/>
    <n v="30"/>
    <s v="días BL"/>
    <s v="108"/>
    <m/>
    <d v="2022-03-15T00:00:00"/>
    <s v="CANCELADO"/>
    <s v="CPT"/>
    <m/>
    <x v="594"/>
    <n v="795"/>
    <m/>
    <x v="1332"/>
    <x v="2"/>
    <s v="Camión"/>
    <m/>
    <s v="Big bags"/>
    <m/>
    <m/>
    <s v="AGOSTO '21"/>
    <x v="0"/>
    <d v="2021-11-30T00:00:00"/>
    <d v="2022-02-10T00:00:00"/>
    <d v="2022-01-09T00:00:00"/>
    <x v="715"/>
    <d v="2022-03-01T00:00:00"/>
    <m/>
    <x v="763"/>
    <n v="2"/>
    <n v="2022"/>
    <x v="0"/>
    <x v="0"/>
    <s v="IQUIQUE / CHILE"/>
    <x v="4"/>
    <m/>
    <x v="2"/>
    <x v="1147"/>
    <d v="2022-01-17T00:00:00"/>
    <s v="CAMION"/>
    <x v="344"/>
    <x v="38"/>
    <m/>
    <s v="NO APLICA"/>
    <s v="ORIGEN"/>
    <m/>
    <m/>
    <m/>
    <x v="0"/>
    <m/>
    <m/>
    <x v="2"/>
    <x v="2"/>
    <s v="SADA DD"/>
    <s v="VERDE"/>
    <x v="0"/>
    <e v="#REF!"/>
    <m/>
    <m/>
    <m/>
    <m/>
    <m/>
    <x v="0"/>
    <m/>
    <m/>
    <m/>
    <m/>
    <s v="NACIONALIZADO"/>
    <m/>
    <m/>
    <m/>
  </r>
  <r>
    <n v="2021"/>
    <s v="S-C"/>
    <x v="0"/>
    <x v="0"/>
    <m/>
    <m/>
    <x v="1568"/>
    <m/>
    <x v="1313"/>
    <m/>
    <d v="2022-02-21T00:00:00"/>
    <d v="2022-02-21T00:00:00"/>
    <s v="CERRADO"/>
    <n v="206623"/>
    <x v="32"/>
    <x v="61"/>
    <x v="8"/>
    <d v="2021-07-08T00:00:00"/>
    <n v="30"/>
    <s v="días BL"/>
    <s v="109"/>
    <m/>
    <d v="2022-03-15T00:00:00"/>
    <s v="CANCELADO"/>
    <s v="CPT"/>
    <m/>
    <x v="594"/>
    <n v="795"/>
    <m/>
    <x v="1332"/>
    <x v="2"/>
    <s v="Camión"/>
    <m/>
    <s v="Big bags"/>
    <m/>
    <m/>
    <s v="AGOSTO '21"/>
    <x v="0"/>
    <d v="2021-11-30T00:00:00"/>
    <d v="2022-02-15T00:00:00"/>
    <d v="2022-01-09T00:00:00"/>
    <x v="716"/>
    <d v="2022-03-03T00:00:00"/>
    <m/>
    <x v="764"/>
    <n v="2"/>
    <n v="2022"/>
    <x v="0"/>
    <x v="0"/>
    <s v="IQUIQUE / CHILE"/>
    <x v="4"/>
    <m/>
    <x v="2"/>
    <x v="1148"/>
    <d v="2022-01-17T00:00:00"/>
    <s v="CAMION"/>
    <x v="344"/>
    <x v="38"/>
    <m/>
    <s v="NO APLICA"/>
    <s v="ORIGEN"/>
    <m/>
    <m/>
    <m/>
    <x v="0"/>
    <m/>
    <m/>
    <x v="3"/>
    <x v="3"/>
    <s v="SADA DD"/>
    <s v="ROJO"/>
    <x v="0"/>
    <e v="#REF!"/>
    <m/>
    <m/>
    <m/>
    <m/>
    <m/>
    <x v="0"/>
    <m/>
    <m/>
    <m/>
    <m/>
    <s v="NACIONALIZADO"/>
    <m/>
    <m/>
    <m/>
  </r>
  <r>
    <n v="2021"/>
    <s v="S-C"/>
    <x v="0"/>
    <x v="0"/>
    <m/>
    <m/>
    <x v="1569"/>
    <m/>
    <x v="1314"/>
    <m/>
    <d v="2022-02-23T00:00:00"/>
    <d v="2022-02-23T00:00:00"/>
    <s v="CERRADO"/>
    <n v="206623"/>
    <x v="32"/>
    <x v="61"/>
    <x v="8"/>
    <d v="2021-07-08T00:00:00"/>
    <n v="30"/>
    <s v="días BL"/>
    <s v="120"/>
    <m/>
    <d v="2022-04-04T00:00:00"/>
    <s v="CANCELADO"/>
    <s v="CPT"/>
    <m/>
    <x v="594"/>
    <n v="795"/>
    <m/>
    <x v="1332"/>
    <x v="2"/>
    <s v="Camión"/>
    <m/>
    <s v="Big bags"/>
    <m/>
    <m/>
    <s v="AGOSTO '21"/>
    <x v="0"/>
    <d v="2021-11-30T00:00:00"/>
    <d v="2022-02-16T00:00:00"/>
    <d v="2022-01-09T00:00:00"/>
    <x v="717"/>
    <d v="2022-03-01T00:00:00"/>
    <m/>
    <x v="765"/>
    <n v="2"/>
    <n v="2022"/>
    <x v="0"/>
    <x v="0"/>
    <s v="IQUIQUE / CHILE"/>
    <x v="4"/>
    <m/>
    <x v="2"/>
    <x v="1149"/>
    <d v="2022-02-03T00:00:00"/>
    <s v="CAMION"/>
    <x v="344"/>
    <x v="38"/>
    <m/>
    <s v="NO APLICA"/>
    <s v="ORIGEN"/>
    <m/>
    <m/>
    <m/>
    <x v="0"/>
    <m/>
    <m/>
    <x v="4"/>
    <x v="4"/>
    <s v="SADA DD"/>
    <s v="VERDE"/>
    <x v="0"/>
    <e v="#REF!"/>
    <m/>
    <m/>
    <m/>
    <m/>
    <m/>
    <x v="0"/>
    <m/>
    <m/>
    <m/>
    <m/>
    <s v="NACIONALIZADO"/>
    <m/>
    <m/>
    <m/>
  </r>
  <r>
    <n v="2021"/>
    <s v="S-C"/>
    <x v="0"/>
    <x v="0"/>
    <m/>
    <m/>
    <x v="1570"/>
    <m/>
    <x v="1315"/>
    <m/>
    <d v="2022-02-23T00:00:00"/>
    <d v="2022-02-23T00:00:00"/>
    <s v="CERRADO"/>
    <n v="206623"/>
    <x v="32"/>
    <x v="61"/>
    <x v="8"/>
    <d v="2021-07-08T00:00:00"/>
    <n v="30"/>
    <s v="días BL"/>
    <s v="121"/>
    <m/>
    <d v="2022-04-04T00:00:00"/>
    <s v="CANCELADO"/>
    <s v="CFR"/>
    <m/>
    <x v="463"/>
    <n v="795"/>
    <m/>
    <x v="1333"/>
    <x v="5"/>
    <s v="Camión"/>
    <m/>
    <s v="Big bags"/>
    <m/>
    <m/>
    <s v="AGOSTO '21"/>
    <x v="0"/>
    <d v="2021-11-30T00:00:00"/>
    <d v="2022-02-18T00:00:00"/>
    <d v="2022-01-09T00:00:00"/>
    <x v="718"/>
    <d v="2022-03-11T00:00:00"/>
    <m/>
    <x v="766"/>
    <n v="2"/>
    <n v="2022"/>
    <x v="0"/>
    <x v="0"/>
    <s v="IQUIQUE / CHILE"/>
    <x v="4"/>
    <m/>
    <x v="2"/>
    <x v="1150"/>
    <d v="2022-02-03T00:00:00"/>
    <s v="CAMION"/>
    <x v="344"/>
    <x v="38"/>
    <m/>
    <s v="NO APLICA"/>
    <s v="ORIGEN"/>
    <m/>
    <m/>
    <m/>
    <x v="0"/>
    <m/>
    <m/>
    <x v="5"/>
    <x v="5"/>
    <s v="SADA DD"/>
    <s v="VERDE"/>
    <x v="0"/>
    <e v="#REF!"/>
    <m/>
    <m/>
    <m/>
    <m/>
    <m/>
    <x v="0"/>
    <m/>
    <m/>
    <m/>
    <m/>
    <s v="NACIONALIZADO"/>
    <m/>
    <m/>
    <m/>
  </r>
  <r>
    <n v="2021"/>
    <s v="S-C"/>
    <x v="0"/>
    <x v="0"/>
    <m/>
    <m/>
    <x v="1571"/>
    <m/>
    <x v="1316"/>
    <m/>
    <d v="2022-02-23T00:00:00"/>
    <d v="2022-02-23T00:00:00"/>
    <s v="CERRADO"/>
    <n v="206623"/>
    <x v="32"/>
    <x v="61"/>
    <x v="8"/>
    <d v="2021-07-08T00:00:00"/>
    <n v="30"/>
    <s v="días BL"/>
    <s v="121"/>
    <m/>
    <d v="2022-04-04T00:00:00"/>
    <s v="CANCELADO"/>
    <s v="CFR"/>
    <m/>
    <x v="595"/>
    <n v="795"/>
    <m/>
    <x v="1334"/>
    <x v="11"/>
    <s v="Camión"/>
    <m/>
    <s v="Big bags"/>
    <m/>
    <m/>
    <s v="AGOSTO '21"/>
    <x v="0"/>
    <d v="1899-12-30T00:00:00"/>
    <d v="2022-02-21T00:00:00"/>
    <d v="2022-02-22T00:00:00"/>
    <x v="719"/>
    <d v="2022-03-11T00:00:00"/>
    <m/>
    <x v="767"/>
    <n v="2"/>
    <n v="2022"/>
    <x v="0"/>
    <x v="0"/>
    <s v="IQUIQUE / CHILE"/>
    <x v="4"/>
    <m/>
    <x v="2"/>
    <x v="1151"/>
    <d v="2022-02-20T00:00:00"/>
    <s v="CAMION"/>
    <x v="344"/>
    <x v="38"/>
    <m/>
    <s v="NO APLICA"/>
    <s v="ORIGEN"/>
    <m/>
    <m/>
    <m/>
    <x v="0"/>
    <m/>
    <m/>
    <x v="6"/>
    <x v="6"/>
    <s v="SADA DD"/>
    <s v="VERDE"/>
    <x v="0"/>
    <e v="#REF!"/>
    <m/>
    <m/>
    <m/>
    <m/>
    <m/>
    <x v="0"/>
    <m/>
    <m/>
    <m/>
    <m/>
    <s v="NACIONALIZADO"/>
    <m/>
    <m/>
    <m/>
  </r>
  <r>
    <n v="2021"/>
    <s v="S-C"/>
    <x v="0"/>
    <x v="0"/>
    <m/>
    <m/>
    <x v="1572"/>
    <m/>
    <x v="1317"/>
    <m/>
    <d v="2022-02-28T00:00:00"/>
    <d v="2022-02-28T00:00:00"/>
    <s v="CERRADO"/>
    <n v="206623"/>
    <x v="32"/>
    <x v="61"/>
    <x v="8"/>
    <d v="2021-07-08T00:00:00"/>
    <n v="30"/>
    <s v="días BL"/>
    <s v="122"/>
    <m/>
    <d v="2022-04-04T00:00:00"/>
    <s v="CANCELADO"/>
    <s v="CFR"/>
    <m/>
    <x v="596"/>
    <n v="795"/>
    <m/>
    <x v="1335"/>
    <x v="7"/>
    <s v="Camión"/>
    <m/>
    <s v="Big bags"/>
    <m/>
    <m/>
    <s v="AGOSTO '21"/>
    <x v="0"/>
    <d v="1899-12-30T00:00:00"/>
    <d v="2022-02-25T00:00:00"/>
    <d v="2022-02-26T00:00:00"/>
    <x v="720"/>
    <d v="2022-03-18T00:00:00"/>
    <m/>
    <x v="768"/>
    <n v="2"/>
    <n v="2022"/>
    <x v="0"/>
    <x v="0"/>
    <s v="IQUIQUE / CHILE"/>
    <x v="4"/>
    <m/>
    <x v="2"/>
    <x v="1152"/>
    <d v="2022-02-03T00:00:00"/>
    <s v="CAMION"/>
    <x v="344"/>
    <x v="38"/>
    <m/>
    <s v="NO APLICA"/>
    <s v="ORIGEN"/>
    <m/>
    <m/>
    <m/>
    <x v="0"/>
    <m/>
    <m/>
    <x v="7"/>
    <x v="7"/>
    <s v="SADA DD"/>
    <s v="VERDE"/>
    <x v="0"/>
    <e v="#REF!"/>
    <m/>
    <m/>
    <m/>
    <m/>
    <m/>
    <x v="0"/>
    <m/>
    <m/>
    <m/>
    <m/>
    <s v="NACIONALIZADO"/>
    <m/>
    <m/>
    <m/>
  </r>
  <r>
    <n v="2021"/>
    <m/>
    <x v="0"/>
    <x v="0"/>
    <m/>
    <m/>
    <x v="1573"/>
    <m/>
    <x v="1318"/>
    <m/>
    <m/>
    <m/>
    <s v="CERRADO"/>
    <n v="203683"/>
    <x v="138"/>
    <x v="51"/>
    <x v="72"/>
    <s v="-"/>
    <s v="transf."/>
    <s v="gratuita"/>
    <s v="-"/>
    <m/>
    <m/>
    <s v="-"/>
    <s v="CPT"/>
    <m/>
    <x v="597"/>
    <n v="0"/>
    <m/>
    <x v="31"/>
    <x v="3"/>
    <m/>
    <m/>
    <s v="1 LT"/>
    <m/>
    <m/>
    <s v="-"/>
    <x v="0"/>
    <m/>
    <s v="-"/>
    <m/>
    <x v="721"/>
    <m/>
    <m/>
    <x v="743"/>
    <n v="7"/>
    <n v="2021"/>
    <x v="0"/>
    <x v="0"/>
    <s v="-"/>
    <x v="1"/>
    <m/>
    <x v="2"/>
    <x v="1153"/>
    <s v="-"/>
    <s v="-"/>
    <x v="220"/>
    <x v="39"/>
    <m/>
    <s v="NO APLICA"/>
    <s v="ORIGEN"/>
    <m/>
    <m/>
    <m/>
    <x v="0"/>
    <s v="-"/>
    <m/>
    <x v="0"/>
    <x v="0"/>
    <m/>
    <m/>
    <x v="0"/>
    <e v="#REF!"/>
    <m/>
    <m/>
    <m/>
    <m/>
    <m/>
    <x v="0"/>
    <m/>
    <m/>
    <m/>
    <m/>
    <s v="-"/>
    <m/>
    <m/>
    <m/>
  </r>
  <r>
    <n v="2021"/>
    <s v="S-S"/>
    <x v="0"/>
    <x v="0"/>
    <m/>
    <m/>
    <x v="1574"/>
    <m/>
    <x v="1319"/>
    <m/>
    <d v="2022-02-28T00:00:00"/>
    <d v="2022-02-28T00:00:00"/>
    <s v="CERRADO"/>
    <n v="206713"/>
    <x v="3"/>
    <x v="51"/>
    <x v="711"/>
    <d v="2021-07-07T00:00:00"/>
    <n v="90"/>
    <s v="días BL"/>
    <s v="5000851"/>
    <m/>
    <d v="2022-03-11T00:00:00"/>
    <s v="CANCELADO"/>
    <s v="CFR"/>
    <s v="FIO"/>
    <x v="598"/>
    <n v="785.18"/>
    <n v="234.79"/>
    <x v="1336"/>
    <x v="3"/>
    <s v="Granel - BB"/>
    <m/>
    <s v="BB - Granel"/>
    <m/>
    <m/>
    <s v="2H OCT - DIC '21"/>
    <x v="0"/>
    <d v="1899-12-30T00:00:00"/>
    <d v="2021-12-11T00:00:00"/>
    <e v="#REF!"/>
    <x v="722"/>
    <d v="2022-02-17T00:00:00"/>
    <m/>
    <x v="769"/>
    <n v="3"/>
    <n v="2022"/>
    <x v="0"/>
    <x v="0"/>
    <s v="SUAO / TAIWAN"/>
    <x v="2"/>
    <m/>
    <x v="3"/>
    <x v="1154"/>
    <d v="2021-12-11T00:00:00"/>
    <s v="TCLC QUANZHOU"/>
    <x v="345"/>
    <x v="0"/>
    <m/>
    <s v="PENDIENTE"/>
    <s v="ORIGEN"/>
    <m/>
    <m/>
    <m/>
    <x v="0"/>
    <m/>
    <m/>
    <x v="8"/>
    <x v="8"/>
    <s v="SADA DD"/>
    <s v="VERDE"/>
    <x v="0"/>
    <e v="#REF!"/>
    <m/>
    <m/>
    <m/>
    <m/>
    <m/>
    <x v="0"/>
    <s v="anulada:8000001406"/>
    <m/>
    <m/>
    <m/>
    <s v="NACIONALIZADO"/>
    <m/>
    <m/>
    <m/>
  </r>
  <r>
    <n v="2021"/>
    <s v="S-S"/>
    <x v="0"/>
    <x v="1"/>
    <s v="N/A"/>
    <m/>
    <x v="1575"/>
    <m/>
    <x v="34"/>
    <m/>
    <m/>
    <m/>
    <m/>
    <m/>
    <x v="3"/>
    <x v="51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1"/>
    <s v="S-C"/>
    <x v="0"/>
    <x v="0"/>
    <m/>
    <m/>
    <x v="1576"/>
    <m/>
    <x v="1320"/>
    <m/>
    <d v="1899-12-30T00:00:00"/>
    <d v="2021-12-23T00:00:00"/>
    <s v="CERRADO"/>
    <n v="207580"/>
    <x v="32"/>
    <x v="51"/>
    <x v="712"/>
    <d v="2021-07-16T00:00:00"/>
    <s v="CAD"/>
    <m/>
    <s v="5000797"/>
    <m/>
    <d v="2021-10-27T00:00:00"/>
    <s v="CANCELADO"/>
    <s v="CPT"/>
    <m/>
    <x v="599"/>
    <n v="756"/>
    <m/>
    <x v="1337"/>
    <x v="27"/>
    <s v="Contenedor 20'"/>
    <m/>
    <s v="25 kg"/>
    <m/>
    <m/>
    <s v="JUL '21 - AGO '21"/>
    <x v="0"/>
    <d v="1899-12-30T00:00:00"/>
    <d v="2021-10-20T00:00:00"/>
    <d v="2021-12-14T00:00:00"/>
    <x v="723"/>
    <d v="2022-01-13T00:00:00"/>
    <m/>
    <x v="770"/>
    <n v="12"/>
    <n v="2021"/>
    <x v="0"/>
    <x v="0"/>
    <s v="KLAIPEDA / LITHUANIA"/>
    <x v="0"/>
    <m/>
    <x v="2"/>
    <x v="1155"/>
    <d v="2021-10-20T00:00:00"/>
    <s v="VALPARAISO EXPRESS"/>
    <x v="339"/>
    <x v="2"/>
    <m/>
    <s v="PENDIENTE"/>
    <s v="ORIGEN"/>
    <m/>
    <m/>
    <m/>
    <x v="0"/>
    <d v="2021-12-28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577"/>
    <m/>
    <x v="1321"/>
    <m/>
    <d v="2021-09-10T00:00:00"/>
    <d v="2021-09-16T00:00:00"/>
    <s v="CERRADO"/>
    <n v="207951"/>
    <x v="6"/>
    <x v="44"/>
    <x v="713"/>
    <d v="2021-07-14T00:00:00"/>
    <n v="150"/>
    <s v="días BL"/>
    <s v="B7FE-21-3037-PUPE-01"/>
    <m/>
    <d v="2022-01-15T00:00:00"/>
    <s v="CANCELADO"/>
    <s v="CFR"/>
    <m/>
    <x v="208"/>
    <n v="539.79999999999995"/>
    <m/>
    <x v="1338"/>
    <x v="3"/>
    <s v="Granel"/>
    <m/>
    <s v="Granel Sólido"/>
    <m/>
    <m/>
    <s v="2H AGO '21"/>
    <x v="0"/>
    <m/>
    <d v="2021-08-19T00:00:00"/>
    <m/>
    <x v="724"/>
    <m/>
    <m/>
    <x v="735"/>
    <n v="9"/>
    <n v="2021"/>
    <x v="0"/>
    <x v="0"/>
    <s v="UST-LUGA /RUSIA"/>
    <x v="0"/>
    <m/>
    <x v="2"/>
    <x v="19"/>
    <d v="2021-08-18T00:00:00"/>
    <s v="MV FEDERAL DEE "/>
    <x v="346"/>
    <x v="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578"/>
    <m/>
    <x v="1322"/>
    <m/>
    <d v="2021-09-10T00:00:00"/>
    <d v="2021-09-10T00:00:00"/>
    <s v="CERRADO"/>
    <n v="207951"/>
    <x v="6"/>
    <x v="44"/>
    <x v="713"/>
    <d v="2021-07-14T00:00:00"/>
    <n v="150"/>
    <s v="días BL"/>
    <s v="B7FE-21-3037-PUPE-02"/>
    <m/>
    <d v="2022-01-15T00:00:00"/>
    <s v="CANCELADO"/>
    <s v="CFR"/>
    <m/>
    <x v="600"/>
    <n v="539.79999999999995"/>
    <m/>
    <x v="1339"/>
    <x v="3"/>
    <s v="Granel"/>
    <m/>
    <s v="Granel Sólido"/>
    <m/>
    <m/>
    <s v="2H AGO '21"/>
    <x v="0"/>
    <m/>
    <d v="2021-08-19T00:00:00"/>
    <m/>
    <x v="725"/>
    <m/>
    <m/>
    <x v="754"/>
    <n v="9"/>
    <n v="2021"/>
    <x v="0"/>
    <x v="0"/>
    <s v="UST-LUGA /RUSIA"/>
    <x v="2"/>
    <m/>
    <x v="3"/>
    <x v="44"/>
    <d v="2021-08-18T00:00:00"/>
    <s v="MV FEDERAL DEE "/>
    <x v="346"/>
    <x v="0"/>
    <m/>
    <s v="REALIZADO"/>
    <s v="ORIGEN"/>
    <m/>
    <m/>
    <m/>
    <x v="0"/>
    <m/>
    <m/>
    <x v="0"/>
    <x v="0"/>
    <m/>
    <m/>
    <x v="0"/>
    <e v="#REF!"/>
    <m/>
    <m/>
    <m/>
    <m/>
    <m/>
    <x v="0"/>
    <s v="anulada :8000001488, 8000001523"/>
    <m/>
    <m/>
    <m/>
    <s v="NACIONALIZADO"/>
    <m/>
    <m/>
    <m/>
  </r>
  <r>
    <n v="2021"/>
    <s v="G-S"/>
    <x v="0"/>
    <x v="0"/>
    <m/>
    <m/>
    <x v="1579"/>
    <m/>
    <x v="1323"/>
    <m/>
    <d v="2021-10-11T00:00:00"/>
    <d v="2021-10-12T00:00:00"/>
    <s v="CERRADO"/>
    <n v="207951"/>
    <x v="6"/>
    <x v="44"/>
    <x v="713"/>
    <d v="2021-07-14T00:00:00"/>
    <n v="150"/>
    <s v="días BL"/>
    <s v="B7FE-21-3037-PUPE-03"/>
    <m/>
    <d v="2022-01-15T00:00:00"/>
    <s v="CANCELADO"/>
    <s v="CFR"/>
    <m/>
    <x v="155"/>
    <n v="539.79999999999995"/>
    <m/>
    <x v="1340"/>
    <x v="3"/>
    <s v="Granel"/>
    <m/>
    <s v="Granel Sólido"/>
    <m/>
    <m/>
    <s v="2H AGO '21"/>
    <x v="0"/>
    <d v="1899-12-30T00:00:00"/>
    <d v="2021-08-19T00:00:00"/>
    <d v="2021-10-03T00:00:00"/>
    <x v="726"/>
    <d v="2021-10-04T00:00:00"/>
    <m/>
    <x v="771"/>
    <n v="10"/>
    <n v="2021"/>
    <x v="0"/>
    <x v="0"/>
    <s v="UST-LUGA /RUSIA"/>
    <x v="4"/>
    <m/>
    <x v="2"/>
    <x v="20"/>
    <d v="2021-08-18T00:00:00"/>
    <s v="MV FEDERAL DEE "/>
    <x v="346"/>
    <x v="0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S"/>
    <x v="0"/>
    <x v="0"/>
    <m/>
    <m/>
    <x v="1580"/>
    <m/>
    <x v="1324"/>
    <m/>
    <d v="1899-12-30T00:00:00"/>
    <d v="2021-12-02T00:00:00"/>
    <s v="CERRADO"/>
    <n v="206914"/>
    <x v="12"/>
    <x v="19"/>
    <x v="714"/>
    <d v="2021-09-18T00:00:00"/>
    <n v="90"/>
    <s v="días BL"/>
    <s v="SG-MSL-12329-39"/>
    <m/>
    <d v="2022-01-19T00:00:00"/>
    <s v="CANCELADO"/>
    <s v="CFR"/>
    <m/>
    <x v="132"/>
    <n v="195"/>
    <m/>
    <x v="1341"/>
    <x v="3"/>
    <s v="Granel - BB"/>
    <m/>
    <s v="25 kg"/>
    <m/>
    <m/>
    <s v="AGO '21 - SET '21"/>
    <x v="0"/>
    <d v="1899-12-30T00:00:00"/>
    <d v="2021-10-21T00:00:00"/>
    <d v="2021-11-24T00:00:00"/>
    <x v="710"/>
    <d v="2021-11-30T00:00:00"/>
    <m/>
    <x v="761"/>
    <n v="12"/>
    <n v="2021"/>
    <x v="0"/>
    <x v="0"/>
    <s v="XINGANG / CHINA"/>
    <x v="3"/>
    <m/>
    <x v="1"/>
    <x v="1156"/>
    <d v="2021-10-21T00:00:00"/>
    <s v="MV GLOBAL LAGUNA"/>
    <x v="341"/>
    <x v="0"/>
    <m/>
    <s v="PENDIENTE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S"/>
    <x v="0"/>
    <x v="0"/>
    <m/>
    <m/>
    <x v="1581"/>
    <m/>
    <x v="1325"/>
    <m/>
    <d v="1899-12-30T00:00:00"/>
    <d v="2021-12-02T00:00:00"/>
    <s v="CERRADO"/>
    <n v="206914"/>
    <x v="12"/>
    <x v="19"/>
    <x v="714"/>
    <d v="2021-09-18T00:00:00"/>
    <n v="90"/>
    <s v="días BL"/>
    <s v="SG-MSL-12329-39"/>
    <m/>
    <d v="2022-01-19T00:00:00"/>
    <s v="CANCELADO"/>
    <s v="CFR"/>
    <m/>
    <x v="601"/>
    <n v="249"/>
    <m/>
    <x v="1342"/>
    <x v="3"/>
    <s v="Granel - BB"/>
    <m/>
    <s v="25 kg"/>
    <m/>
    <m/>
    <s v="AGO '21 - SET '21"/>
    <x v="0"/>
    <d v="1899-12-30T00:00:00"/>
    <d v="2021-10-21T00:00:00"/>
    <d v="2021-11-24T00:00:00"/>
    <x v="710"/>
    <d v="2021-11-30T00:00:00"/>
    <m/>
    <x v="761"/>
    <n v="12"/>
    <n v="2021"/>
    <x v="0"/>
    <x v="0"/>
    <s v="XINGANG / CHINA"/>
    <x v="3"/>
    <m/>
    <x v="1"/>
    <x v="1156"/>
    <d v="2021-10-21T00:00:00"/>
    <s v="MV GLOBAL LAGUNA"/>
    <x v="341"/>
    <x v="0"/>
    <m/>
    <s v="PENDIENTE"/>
    <s v="ORIGEN"/>
    <m/>
    <m/>
    <m/>
    <x v="0"/>
    <m/>
    <m/>
    <x v="0"/>
    <x v="0"/>
    <m/>
    <m/>
    <x v="0"/>
    <e v="#REF!"/>
    <m/>
    <m/>
    <m/>
    <m/>
    <m/>
    <x v="0"/>
    <s v="anulada: 8000001635"/>
    <m/>
    <m/>
    <m/>
    <s v="NACIONALIZADO"/>
    <m/>
    <m/>
    <m/>
  </r>
  <r>
    <n v="2021"/>
    <s v="G-S"/>
    <x v="0"/>
    <x v="0"/>
    <m/>
    <m/>
    <x v="1582"/>
    <m/>
    <x v="1326"/>
    <m/>
    <d v="1899-12-30T00:00:00"/>
    <d v="2021-11-17T00:00:00"/>
    <s v="CERRADO"/>
    <n v="209979"/>
    <x v="1"/>
    <x v="57"/>
    <x v="715"/>
    <d v="2021-07-23T00:00:00"/>
    <n v="120"/>
    <s v="días BL"/>
    <s v="7300242775"/>
    <m/>
    <d v="2022-02-08T00:00:00"/>
    <s v="CANCELADO"/>
    <s v="CPT"/>
    <m/>
    <x v="602"/>
    <n v="700"/>
    <m/>
    <x v="1343"/>
    <x v="15"/>
    <s v="Contenedor 20'"/>
    <m/>
    <s v="Granel Sólido"/>
    <m/>
    <m/>
    <s v="4W JUL'21"/>
    <x v="0"/>
    <d v="1899-12-30T00:00:00"/>
    <d v="2021-10-06T00:00:00"/>
    <d v="2021-11-04T00:00:00"/>
    <x v="679"/>
    <d v="2021-11-08T00:00:00"/>
    <m/>
    <x v="772"/>
    <n v="11"/>
    <n v="2021"/>
    <x v="0"/>
    <x v="0"/>
    <s v="HAMBURGO / ALEMANIA"/>
    <x v="2"/>
    <m/>
    <x v="3"/>
    <x v="1157"/>
    <d v="2021-10-11T00:00:00"/>
    <s v="GUAYAQUIL EXPRESS"/>
    <x v="42"/>
    <x v="9"/>
    <m/>
    <s v="PENDIENTE"/>
    <s v="SWB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P"/>
    <x v="0"/>
    <x v="0"/>
    <m/>
    <m/>
    <x v="1583"/>
    <m/>
    <x v="1327"/>
    <m/>
    <d v="1899-12-30T00:00:00"/>
    <d v="2021-11-29T00:00:00"/>
    <s v="CERRADO"/>
    <n v="207499"/>
    <x v="2"/>
    <x v="51"/>
    <x v="716"/>
    <d v="2021-07-23T00:00:00"/>
    <n v="90"/>
    <s v="días BL"/>
    <s v="5000772"/>
    <m/>
    <d v="2021-12-24T00:00:00"/>
    <s v="CANCELADO"/>
    <s v="CFR"/>
    <m/>
    <x v="7"/>
    <n v="765"/>
    <m/>
    <x v="1344"/>
    <x v="3"/>
    <s v="Granel - BB"/>
    <m/>
    <s v="25 kg"/>
    <m/>
    <m/>
    <s v="4W SET - OCT '21"/>
    <x v="0"/>
    <d v="2021-09-25T00:00:00"/>
    <d v="2021-09-27T00:00:00"/>
    <d v="2021-11-12T00:00:00"/>
    <x v="727"/>
    <d v="2021-11-21T00:00:00"/>
    <m/>
    <x v="773"/>
    <n v="11"/>
    <n v="2021"/>
    <x v="0"/>
    <x v="0"/>
    <s v="TIANJIN / CHINA"/>
    <x v="2"/>
    <m/>
    <x v="10"/>
    <x v="1158"/>
    <d v="2021-09-25T00:00:00"/>
    <s v="MV ACER ARROW "/>
    <x v="347"/>
    <x v="0"/>
    <m/>
    <s v="PENDIENTE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S"/>
    <x v="0"/>
    <x v="0"/>
    <m/>
    <m/>
    <x v="1584"/>
    <m/>
    <x v="1328"/>
    <m/>
    <d v="1899-12-30T00:00:00"/>
    <d v="2021-12-03T00:00:00"/>
    <s v="CERRADO"/>
    <n v="205257"/>
    <x v="125"/>
    <x v="39"/>
    <x v="717"/>
    <d v="2021-07-21T00:00:00"/>
    <s v="CAD"/>
    <m/>
    <s v="#471/2021"/>
    <m/>
    <d v="2021-11-03T00:00:00"/>
    <s v="CANCELADO"/>
    <s v="CIF"/>
    <m/>
    <x v="603"/>
    <n v="209"/>
    <m/>
    <x v="1345"/>
    <x v="3"/>
    <s v="Granel - BB"/>
    <m/>
    <s v="25 kg"/>
    <m/>
    <m/>
    <s v="SET '21"/>
    <x v="0"/>
    <d v="2021-09-26T00:00:00"/>
    <d v="2021-09-26T00:00:00"/>
    <d v="2021-11-25T00:00:00"/>
    <x v="710"/>
    <d v="2021-12-05T00:00:00"/>
    <m/>
    <x v="774"/>
    <n v="12"/>
    <n v="2021"/>
    <x v="0"/>
    <x v="0"/>
    <s v="XINGANG / CHINA"/>
    <x v="2"/>
    <m/>
    <x v="3"/>
    <x v="1159"/>
    <d v="2021-10-14T00:00:00"/>
    <s v="MV MATSU ARROW"/>
    <x v="348"/>
    <x v="0"/>
    <m/>
    <s v="PENDIENTE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S"/>
    <x v="0"/>
    <x v="0"/>
    <m/>
    <m/>
    <x v="1585"/>
    <m/>
    <x v="1329"/>
    <m/>
    <d v="2021-10-10T00:00:00"/>
    <d v="2021-10-11T00:00:00"/>
    <s v="CERRADO"/>
    <n v="205257"/>
    <x v="125"/>
    <x v="39"/>
    <x v="718"/>
    <d v="2021-07-21T00:00:00"/>
    <s v="CAD"/>
    <m/>
    <s v="#470/2021"/>
    <m/>
    <s v="-"/>
    <s v="CANCELADO"/>
    <s v="CIF"/>
    <m/>
    <x v="603"/>
    <n v="239"/>
    <m/>
    <x v="1346"/>
    <x v="3"/>
    <s v="Granel - BB"/>
    <m/>
    <s v="25 kg"/>
    <m/>
    <m/>
    <s v="1W AGO '21"/>
    <x v="0"/>
    <d v="1899-12-30T00:00:00"/>
    <d v="2021-08-30T00:00:00"/>
    <d v="2021-09-29T00:00:00"/>
    <x v="662"/>
    <d v="2021-10-06T00:00:00"/>
    <m/>
    <x v="718"/>
    <n v="10"/>
    <n v="2021"/>
    <x v="0"/>
    <x v="0"/>
    <s v="XINGANG / CHINA"/>
    <x v="0"/>
    <m/>
    <x v="1"/>
    <x v="1160"/>
    <d v="2021-08-31T00:00:00"/>
    <s v="NEW ABLE"/>
    <x v="324"/>
    <x v="0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C"/>
    <x v="0"/>
    <x v="0"/>
    <m/>
    <m/>
    <x v="1586"/>
    <m/>
    <x v="1330"/>
    <m/>
    <d v="1899-12-30T00:00:00"/>
    <d v="2021-11-18T00:00:00"/>
    <s v="CERRADO"/>
    <n v="207580"/>
    <x v="32"/>
    <x v="51"/>
    <x v="719"/>
    <d v="2021-07-23T00:00:00"/>
    <s v="CAD"/>
    <m/>
    <s v="5000783"/>
    <m/>
    <d v="2021-10-07T00:00:00"/>
    <s v="CANCELADO"/>
    <s v="CPT"/>
    <m/>
    <x v="73"/>
    <n v="766"/>
    <m/>
    <x v="1347"/>
    <x v="33"/>
    <s v="Contenedor 20'"/>
    <m/>
    <s v="25 kg"/>
    <m/>
    <m/>
    <s v="3W AGO '21 - SET '21"/>
    <x v="0"/>
    <d v="1899-12-30T00:00:00"/>
    <d v="2021-10-04T00:00:00"/>
    <d v="2021-11-11T00:00:00"/>
    <x v="728"/>
    <d v="2021-11-23T00:00:00"/>
    <m/>
    <x v="775"/>
    <n v="11"/>
    <n v="2021"/>
    <x v="0"/>
    <x v="0"/>
    <s v="KLAIPEDA / LITHUANIA"/>
    <x v="2"/>
    <m/>
    <x v="3"/>
    <x v="1161"/>
    <d v="2021-10-03T00:00:00"/>
    <s v="EMOTION"/>
    <x v="335"/>
    <x v="2"/>
    <m/>
    <s v="REALIZADO"/>
    <s v="ORIGEN"/>
    <m/>
    <m/>
    <m/>
    <x v="0"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C"/>
    <x v="0"/>
    <x v="0"/>
    <m/>
    <m/>
    <x v="1587"/>
    <m/>
    <x v="1331"/>
    <m/>
    <d v="1899-12-30T00:00:00"/>
    <d v="2021-11-25T00:00:00"/>
    <s v="CERRADO"/>
    <n v="207580"/>
    <x v="32"/>
    <x v="51"/>
    <x v="720"/>
    <d v="2021-07-23T00:00:00"/>
    <s v="CAD"/>
    <m/>
    <s v="5000782"/>
    <m/>
    <d v="2021-10-07T00:00:00"/>
    <s v="CANCELADO"/>
    <s v="CPT"/>
    <m/>
    <x v="73"/>
    <n v="771"/>
    <m/>
    <x v="1348"/>
    <x v="33"/>
    <s v="Contenedor 20'"/>
    <m/>
    <s v="25 kg"/>
    <m/>
    <m/>
    <s v="3W AGO '21 - SET '21"/>
    <x v="0"/>
    <d v="1899-12-30T00:00:00"/>
    <d v="2021-10-04T00:00:00"/>
    <d v="2021-11-16T00:00:00"/>
    <x v="729"/>
    <d v="2021-12-02T00:00:00"/>
    <m/>
    <x v="776"/>
    <n v="11"/>
    <n v="2021"/>
    <x v="0"/>
    <x v="0"/>
    <s v="KLAIPEDA / LITHUANIA"/>
    <x v="0"/>
    <m/>
    <x v="2"/>
    <x v="1162"/>
    <d v="2021-10-04T00:00:00"/>
    <s v="CMA CGM ARKANSAS"/>
    <x v="339"/>
    <x v="2"/>
    <m/>
    <s v="PENDIENTE"/>
    <s v="ORIGEN"/>
    <m/>
    <m/>
    <m/>
    <x v="0"/>
    <d v="2021-11-30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C"/>
    <x v="0"/>
    <x v="0"/>
    <m/>
    <m/>
    <x v="1588"/>
    <m/>
    <x v="1332"/>
    <m/>
    <d v="1899-12-30T00:00:00"/>
    <d v="2021-11-25T00:00:00"/>
    <s v="CERRADO"/>
    <n v="207580"/>
    <x v="32"/>
    <x v="51"/>
    <x v="719"/>
    <d v="2021-07-23T00:00:00"/>
    <s v="CAD"/>
    <m/>
    <s v="5000789"/>
    <m/>
    <d v="2021-10-15T00:00:00"/>
    <s v="CANCELADO"/>
    <s v="CPT"/>
    <m/>
    <x v="393"/>
    <n v="766"/>
    <m/>
    <x v="1349"/>
    <x v="26"/>
    <s v="Contenedor 20'"/>
    <m/>
    <s v="25 kg"/>
    <m/>
    <m/>
    <s v="3W AGO '21 - SET '21"/>
    <x v="0"/>
    <d v="1899-12-30T00:00:00"/>
    <d v="2021-10-24T00:00:00"/>
    <d v="2021-11-20T00:00:00"/>
    <x v="730"/>
    <d v="2021-12-03T00:00:00"/>
    <m/>
    <x v="777"/>
    <n v="11"/>
    <n v="2021"/>
    <x v="0"/>
    <x v="0"/>
    <s v="KLAIPEDA / LITHUANIA"/>
    <x v="2"/>
    <m/>
    <x v="1"/>
    <x v="1163"/>
    <d v="2021-10-10T00:00:00"/>
    <s v="EMPIRE"/>
    <x v="349"/>
    <x v="2"/>
    <m/>
    <s v="PENDIENTE"/>
    <s v="ORIGEN"/>
    <m/>
    <m/>
    <m/>
    <x v="0"/>
    <d v="2021-12-04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C"/>
    <x v="0"/>
    <x v="0"/>
    <m/>
    <m/>
    <x v="1589"/>
    <m/>
    <x v="1333"/>
    <m/>
    <m/>
    <m/>
    <s v="CERRADO"/>
    <n v="207580"/>
    <x v="32"/>
    <x v="51"/>
    <x v="720"/>
    <d v="2021-07-23T00:00:00"/>
    <s v="CAD"/>
    <m/>
    <s v="5000790"/>
    <m/>
    <d v="2021-10-15T00:00:00"/>
    <s v="CANCELADO"/>
    <s v="CPT"/>
    <m/>
    <x v="140"/>
    <n v="771"/>
    <m/>
    <x v="1350"/>
    <x v="22"/>
    <s v="Contenedor 20'"/>
    <m/>
    <s v="25 kg"/>
    <m/>
    <m/>
    <s v="3W AGO '21 - SET '21"/>
    <x v="0"/>
    <d v="1899-12-30T00:00:00"/>
    <d v="2021-10-24T00:00:00"/>
    <d v="2021-11-23T00:00:00"/>
    <x v="731"/>
    <d v="2021-11-27T00:00:00"/>
    <m/>
    <x v="778"/>
    <n v="11"/>
    <n v="2021"/>
    <x v="0"/>
    <x v="0"/>
    <s v="KLAIPEDA / LITHUANIA"/>
    <x v="0"/>
    <m/>
    <x v="2"/>
    <x v="1164"/>
    <d v="2021-10-10T00:00:00"/>
    <s v="COSCO SHIPPING VOLGA"/>
    <x v="326"/>
    <x v="2"/>
    <m/>
    <s v="PENDIENTE"/>
    <s v="ORIGEN"/>
    <m/>
    <m/>
    <m/>
    <x v="0"/>
    <d v="2021-12-07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P"/>
    <x v="0"/>
    <x v="0"/>
    <m/>
    <m/>
    <x v="1590"/>
    <m/>
    <x v="1334"/>
    <m/>
    <d v="1899-12-30T00:00:00"/>
    <d v="2021-11-09T00:00:00"/>
    <s v="CERRADO"/>
    <n v="208510"/>
    <x v="10"/>
    <x v="51"/>
    <x v="721"/>
    <d v="2021-08-07T00:00:00"/>
    <n v="90"/>
    <s v="días BL"/>
    <s v="5000750"/>
    <m/>
    <d v="2021-12-08T00:00:00"/>
    <s v="CANCELADO"/>
    <s v="CPT"/>
    <m/>
    <x v="161"/>
    <n v="1680"/>
    <m/>
    <x v="1351"/>
    <x v="26"/>
    <s v="Contenedor 20'"/>
    <m/>
    <s v="35 kg"/>
    <m/>
    <m/>
    <s v="2W AGO '21"/>
    <x v="0"/>
    <d v="2021-09-13T00:00:00"/>
    <d v="2021-09-09T00:00:00"/>
    <d v="2021-10-16T00:00:00"/>
    <x v="732"/>
    <d v="2021-10-20T00:00:00"/>
    <m/>
    <x v="779"/>
    <n v="11"/>
    <n v="2021"/>
    <x v="0"/>
    <x v="0"/>
    <s v="QINZHOU / CHINA"/>
    <x v="2"/>
    <m/>
    <x v="3"/>
    <x v="1165"/>
    <d v="2021-09-09T00:00:00"/>
    <s v="EVER CANDID"/>
    <x v="350"/>
    <x v="8"/>
    <m/>
    <s v="PENDIENTE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P"/>
    <x v="0"/>
    <x v="0"/>
    <m/>
    <m/>
    <x v="1591"/>
    <m/>
    <x v="1335"/>
    <m/>
    <d v="1899-12-30T00:00:00"/>
    <d v="2021-11-05T00:00:00"/>
    <s v="CERRADO"/>
    <n v="208510"/>
    <x v="10"/>
    <x v="51"/>
    <x v="722"/>
    <d v="2021-08-07T00:00:00"/>
    <n v="90"/>
    <s v="días BL"/>
    <s v="5000760"/>
    <m/>
    <d v="2021-12-07T00:00:00"/>
    <s v="CANCELADO"/>
    <s v="CPT"/>
    <m/>
    <x v="593"/>
    <n v="1691"/>
    <m/>
    <x v="1352"/>
    <x v="2"/>
    <s v="Contenedor 20'"/>
    <m/>
    <s v="35 kg"/>
    <m/>
    <m/>
    <s v="2W AGO '21"/>
    <x v="0"/>
    <d v="1899-12-30T00:00:00"/>
    <d v="2021-09-08T00:00:00"/>
    <d v="2021-10-26T00:00:00"/>
    <x v="611"/>
    <d v="2021-10-30T00:00:00"/>
    <m/>
    <x v="727"/>
    <n v="11"/>
    <n v="2021"/>
    <x v="0"/>
    <x v="0"/>
    <s v="XIAMEN / CHINA"/>
    <x v="0"/>
    <m/>
    <x v="2"/>
    <x v="1166"/>
    <d v="2021-09-08T00:00:00"/>
    <s v="CEZANNE"/>
    <x v="193"/>
    <x v="3"/>
    <m/>
    <s v="PENDIENTE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P"/>
    <x v="0"/>
    <x v="0"/>
    <m/>
    <m/>
    <x v="1592"/>
    <m/>
    <x v="1336"/>
    <m/>
    <d v="1899-12-30T00:00:00"/>
    <d v="2021-11-06T00:00:00"/>
    <s v="CERRADO"/>
    <n v="208510"/>
    <x v="10"/>
    <x v="51"/>
    <x v="722"/>
    <d v="2021-08-07T00:00:00"/>
    <n v="90"/>
    <s v="días BL"/>
    <s v="5000761"/>
    <m/>
    <d v="2021-12-07T00:00:00"/>
    <s v="CANCELADO"/>
    <s v="CPT"/>
    <m/>
    <x v="604"/>
    <n v="1691"/>
    <m/>
    <x v="1353"/>
    <x v="7"/>
    <s v="Contenedor 20'"/>
    <m/>
    <s v="35 kg"/>
    <m/>
    <m/>
    <s v="2W AGO '21"/>
    <x v="0"/>
    <d v="1899-12-30T00:00:00"/>
    <d v="2021-09-08T00:00:00"/>
    <d v="2021-10-26T00:00:00"/>
    <x v="611"/>
    <d v="2021-10-30T00:00:00"/>
    <m/>
    <x v="637"/>
    <n v="11"/>
    <n v="2021"/>
    <x v="0"/>
    <x v="0"/>
    <s v="XIAMEN / CHINA"/>
    <x v="0"/>
    <m/>
    <x v="2"/>
    <x v="1167"/>
    <d v="2021-09-08T00:00:00"/>
    <s v="CEZANNE"/>
    <x v="193"/>
    <x v="3"/>
    <m/>
    <s v="PENDIENTE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P"/>
    <x v="0"/>
    <x v="0"/>
    <m/>
    <m/>
    <x v="1593"/>
    <m/>
    <x v="1337"/>
    <m/>
    <d v="1899-12-30T00:00:00"/>
    <d v="2021-11-06T00:00:00"/>
    <s v="CERRADO"/>
    <n v="208510"/>
    <x v="10"/>
    <x v="51"/>
    <x v="722"/>
    <d v="2021-08-07T00:00:00"/>
    <n v="90"/>
    <s v="días BL"/>
    <s v="5000762"/>
    <m/>
    <d v="2021-12-07T00:00:00"/>
    <s v="CANCELADO"/>
    <s v="CPT"/>
    <m/>
    <x v="604"/>
    <n v="1691"/>
    <m/>
    <x v="1353"/>
    <x v="7"/>
    <s v="Contenedor 20'"/>
    <m/>
    <s v="35 kg"/>
    <m/>
    <m/>
    <s v="2W AGO '21"/>
    <x v="0"/>
    <d v="1899-12-30T00:00:00"/>
    <d v="2021-09-08T00:00:00"/>
    <d v="2021-10-26T00:00:00"/>
    <x v="611"/>
    <d v="2021-10-30T00:00:00"/>
    <m/>
    <x v="637"/>
    <n v="11"/>
    <n v="2021"/>
    <x v="0"/>
    <x v="0"/>
    <s v="XIAMEN / CHINA"/>
    <x v="0"/>
    <m/>
    <x v="2"/>
    <x v="1168"/>
    <d v="2021-09-08T00:00:00"/>
    <s v="CEZANNE"/>
    <x v="193"/>
    <x v="3"/>
    <m/>
    <s v="PENDIENTE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P"/>
    <x v="0"/>
    <x v="0"/>
    <m/>
    <m/>
    <x v="1594"/>
    <m/>
    <x v="1338"/>
    <m/>
    <d v="2022-03-06T00:00:00"/>
    <d v="2022-03-10T00:00:00"/>
    <s v="CERRADO"/>
    <n v="208510"/>
    <x v="10"/>
    <x v="51"/>
    <x v="722"/>
    <d v="2021-08-07T00:00:00"/>
    <n v="90"/>
    <s v="días BL"/>
    <s v="5000859"/>
    <m/>
    <d v="2022-03-17T00:00:00"/>
    <s v="CANCELADO"/>
    <s v="CPT"/>
    <m/>
    <x v="604"/>
    <n v="1691"/>
    <m/>
    <x v="1353"/>
    <x v="7"/>
    <s v="Contenedor 20'"/>
    <m/>
    <s v="35 kg"/>
    <m/>
    <m/>
    <s v="2W AGO '21"/>
    <x v="0"/>
    <d v="2021-10-30T00:00:00"/>
    <d v="2021-12-17T00:00:00"/>
    <e v="#REF!"/>
    <x v="733"/>
    <d v="2022-03-06T00:00:00"/>
    <m/>
    <x v="780"/>
    <n v="3"/>
    <n v="2022"/>
    <x v="0"/>
    <x v="1"/>
    <s v="FANGCHENG / CHINA"/>
    <x v="2"/>
    <s v="DPWC"/>
    <x v="3"/>
    <x v="1169"/>
    <d v="2021-12-17T00:00:00"/>
    <s v="GREEN CELEBRITY "/>
    <x v="343"/>
    <x v="8"/>
    <s v="EVERGREEN"/>
    <s v="PENDIENTE"/>
    <s v="DESTINO"/>
    <m/>
    <m/>
    <m/>
    <x v="0"/>
    <d v="2022-03-22T00:00:00"/>
    <m/>
    <x v="9"/>
    <x v="9"/>
    <s v="SADA PL"/>
    <s v="VERDE"/>
    <x v="0"/>
    <e v="#REF!"/>
    <m/>
    <m/>
    <m/>
    <m/>
    <m/>
    <x v="0"/>
    <m/>
    <m/>
    <m/>
    <m/>
    <s v="NACIONALIZADO"/>
    <m/>
    <m/>
    <m/>
  </r>
  <r>
    <n v="2021"/>
    <s v="S-P"/>
    <x v="0"/>
    <x v="0"/>
    <m/>
    <m/>
    <x v="1595"/>
    <m/>
    <x v="1339"/>
    <m/>
    <d v="2022-03-06T00:00:00"/>
    <d v="2022-03-08T00:00:00"/>
    <s v="CERRADO"/>
    <n v="208510"/>
    <x v="10"/>
    <x v="51"/>
    <x v="722"/>
    <d v="2021-08-07T00:00:00"/>
    <n v="90"/>
    <s v="días BL"/>
    <s v="5000860"/>
    <m/>
    <d v="2022-03-17T00:00:00"/>
    <s v="CANCELADO"/>
    <s v="CPT"/>
    <m/>
    <x v="174"/>
    <n v="1691"/>
    <m/>
    <x v="1354"/>
    <x v="5"/>
    <s v="Contenedor 20'"/>
    <m/>
    <s v="35 kg"/>
    <m/>
    <m/>
    <s v="2W AGO '21"/>
    <x v="0"/>
    <d v="2021-10-30T00:00:00"/>
    <d v="2021-12-17T00:00:00"/>
    <e v="#REF!"/>
    <x v="733"/>
    <d v="2022-03-06T00:00:00"/>
    <m/>
    <x v="781"/>
    <n v="3"/>
    <n v="2022"/>
    <x v="0"/>
    <x v="0"/>
    <s v="FANGCHENG / CHINA"/>
    <x v="2"/>
    <m/>
    <x v="3"/>
    <x v="1170"/>
    <d v="2021-12-17T00:00:00"/>
    <s v="GREEN CELEBRITY "/>
    <x v="343"/>
    <x v="8"/>
    <m/>
    <s v="PENDIENTE"/>
    <s v="DESTINO"/>
    <m/>
    <m/>
    <m/>
    <x v="0"/>
    <d v="2022-03-22T00:00:00"/>
    <m/>
    <x v="10"/>
    <x v="9"/>
    <s v="SADA PL"/>
    <s v="VERDE"/>
    <x v="0"/>
    <e v="#REF!"/>
    <m/>
    <m/>
    <m/>
    <m/>
    <m/>
    <x v="0"/>
    <m/>
    <m/>
    <m/>
    <m/>
    <s v="NACIONALIZADO"/>
    <m/>
    <m/>
    <m/>
  </r>
  <r>
    <n v="2021"/>
    <s v="S-S"/>
    <x v="0"/>
    <x v="0"/>
    <m/>
    <m/>
    <x v="1596"/>
    <m/>
    <x v="1340"/>
    <m/>
    <d v="1899-12-30T00:00:00"/>
    <d v="2021-12-02T00:00:00"/>
    <s v="CERRADO"/>
    <n v="206966"/>
    <x v="16"/>
    <x v="62"/>
    <x v="723"/>
    <d v="2021-09-01T00:00:00"/>
    <n v="90"/>
    <s v="días BL"/>
    <s v="21Y719"/>
    <m/>
    <d v="2022-01-18T00:00:00"/>
    <s v="CANCELADO"/>
    <s v="CIF"/>
    <m/>
    <x v="99"/>
    <n v="1040"/>
    <m/>
    <x v="1355"/>
    <x v="3"/>
    <s v="Granel - BB"/>
    <m/>
    <s v="25 kg"/>
    <m/>
    <m/>
    <s v="SET '21"/>
    <x v="0"/>
    <d v="1899-12-30T00:00:00"/>
    <d v="2021-10-21T00:00:00"/>
    <d v="2021-11-24T00:00:00"/>
    <x v="710"/>
    <d v="2021-11-30T00:00:00"/>
    <m/>
    <x v="761"/>
    <n v="12"/>
    <n v="2021"/>
    <x v="0"/>
    <x v="0"/>
    <s v="XINGANG / CHINA"/>
    <x v="3"/>
    <m/>
    <x v="1"/>
    <x v="1171"/>
    <d v="2021-10-20T00:00:00"/>
    <s v="MV GLOBAL LAGUNA"/>
    <x v="341"/>
    <x v="0"/>
    <m/>
    <s v="PENDIENTE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S"/>
    <x v="0"/>
    <x v="0"/>
    <m/>
    <m/>
    <x v="1597"/>
    <m/>
    <x v="1341"/>
    <m/>
    <d v="1899-12-30T00:00:00"/>
    <d v="2021-12-02T00:00:00"/>
    <s v="CERRADO"/>
    <n v="206966"/>
    <x v="16"/>
    <x v="62"/>
    <x v="724"/>
    <d v="2021-08-10T00:00:00"/>
    <n v="90"/>
    <s v="días BL"/>
    <s v="21Y720"/>
    <m/>
    <d v="2022-01-18T00:00:00"/>
    <s v="CANCELADO"/>
    <s v="CIF"/>
    <m/>
    <x v="8"/>
    <n v="1060"/>
    <m/>
    <x v="772"/>
    <x v="3"/>
    <s v="Granel - BB"/>
    <m/>
    <s v="25 kg"/>
    <m/>
    <m/>
    <s v="SET '21"/>
    <x v="0"/>
    <d v="1899-12-30T00:00:00"/>
    <d v="2021-10-21T00:00:00"/>
    <d v="2021-11-24T00:00:00"/>
    <x v="710"/>
    <d v="2021-11-30T00:00:00"/>
    <m/>
    <x v="761"/>
    <n v="12"/>
    <n v="2021"/>
    <x v="0"/>
    <x v="0"/>
    <s v="XINGANG / CHINA"/>
    <x v="3"/>
    <m/>
    <x v="1"/>
    <x v="1172"/>
    <d v="2021-10-20T00:00:00"/>
    <s v="MV GLOBAL LAGUNA"/>
    <x v="341"/>
    <x v="0"/>
    <m/>
    <s v="PENDIENTE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S"/>
    <x v="0"/>
    <x v="0"/>
    <s v="URGENTE"/>
    <m/>
    <x v="1598"/>
    <m/>
    <x v="1342"/>
    <m/>
    <d v="2021-10-10T00:00:00"/>
    <d v="2021-10-11T00:00:00"/>
    <s v="CERRADO"/>
    <n v="207579"/>
    <x v="9"/>
    <x v="62"/>
    <x v="725"/>
    <d v="2021-08-06T00:00:00"/>
    <n v="90"/>
    <s v="días BL"/>
    <s v="21Y717 "/>
    <m/>
    <d v="2021-11-29T00:00:00"/>
    <s v="CANCELADO"/>
    <s v="CIF"/>
    <m/>
    <x v="0"/>
    <n v="395"/>
    <m/>
    <x v="1356"/>
    <x v="3"/>
    <s v="Granel - BB"/>
    <m/>
    <s v="25 kg"/>
    <m/>
    <m/>
    <s v="2W AGO '21"/>
    <x v="0"/>
    <d v="2021-08-30T00:00:00"/>
    <d v="2021-08-30T00:00:00"/>
    <d v="2021-09-29T00:00:00"/>
    <x v="662"/>
    <d v="2021-10-06T00:00:00"/>
    <m/>
    <x v="711"/>
    <n v="10"/>
    <n v="2021"/>
    <x v="0"/>
    <x v="0"/>
    <s v="XINGANG / CHINA"/>
    <x v="0"/>
    <m/>
    <x v="1"/>
    <x v="1173"/>
    <d v="2021-08-31T00:00:00"/>
    <s v="NEW ABLE "/>
    <x v="351"/>
    <x v="0"/>
    <m/>
    <s v="REALIZADO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S"/>
    <x v="0"/>
    <x v="0"/>
    <s v="URGENTE"/>
    <m/>
    <x v="1599"/>
    <m/>
    <x v="1343"/>
    <m/>
    <d v="1899-12-30T00:00:00"/>
    <d v="2021-12-02T00:00:00"/>
    <s v="CERRADO"/>
    <n v="207579"/>
    <x v="9"/>
    <x v="62"/>
    <x v="726"/>
    <d v="2021-08-06T00:00:00"/>
    <n v="90"/>
    <s v="días BL"/>
    <s v="21Y718"/>
    <m/>
    <d v="2022-01-18T00:00:00"/>
    <s v="CANCELADO"/>
    <s v="CIF"/>
    <m/>
    <x v="511"/>
    <n v="395"/>
    <m/>
    <x v="1357"/>
    <x v="3"/>
    <s v="Granel - BB"/>
    <m/>
    <s v="25 kg"/>
    <m/>
    <m/>
    <s v="SET '21"/>
    <x v="0"/>
    <d v="1899-12-30T00:00:00"/>
    <d v="2021-10-21T00:00:00"/>
    <d v="2021-11-24T00:00:00"/>
    <x v="710"/>
    <d v="2021-11-30T00:00:00"/>
    <m/>
    <x v="761"/>
    <n v="12"/>
    <n v="2021"/>
    <x v="0"/>
    <x v="0"/>
    <s v="XINGANG / CHINA"/>
    <x v="3"/>
    <m/>
    <x v="1"/>
    <x v="1174"/>
    <d v="2021-10-20T00:00:00"/>
    <s v="MV GLOBAL LAGUNA"/>
    <x v="341"/>
    <x v="0"/>
    <m/>
    <s v="PENDIENTE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S"/>
    <x v="0"/>
    <x v="1"/>
    <s v="N/A"/>
    <m/>
    <x v="1600"/>
    <m/>
    <x v="34"/>
    <m/>
    <m/>
    <m/>
    <m/>
    <m/>
    <x v="3"/>
    <x v="51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1"/>
    <s v="T-S"/>
    <x v="0"/>
    <x v="0"/>
    <m/>
    <m/>
    <x v="1601"/>
    <m/>
    <x v="1344"/>
    <m/>
    <d v="2021-09-15T00:00:00"/>
    <d v="2021-09-15T00:00:00"/>
    <s v="CERRADO"/>
    <n v="208067"/>
    <x v="115"/>
    <x v="53"/>
    <x v="727"/>
    <d v="2021-07-15T00:00:00"/>
    <n v="30"/>
    <s v="días FACT."/>
    <s v="F200-43156"/>
    <m/>
    <d v="2021-09-11T00:00:00"/>
    <s v="CANCELADO"/>
    <s v="CFR"/>
    <m/>
    <x v="80"/>
    <n v="269"/>
    <m/>
    <x v="1321"/>
    <x v="19"/>
    <s v="Contenedor 20'"/>
    <m/>
    <s v="25 kg"/>
    <m/>
    <m/>
    <s v="AGOSTO '21"/>
    <x v="0"/>
    <m/>
    <d v="2021-08-13T00:00:00"/>
    <m/>
    <x v="680"/>
    <m/>
    <m/>
    <x v="782"/>
    <n v="9"/>
    <n v="2021"/>
    <x v="0"/>
    <x v="0"/>
    <s v="CARTAGENA / COLOMBIA"/>
    <x v="0"/>
    <m/>
    <x v="5"/>
    <x v="1175"/>
    <d v="2021-08-12T00:00:00"/>
    <s v="CMA CGM SAMBHAR "/>
    <x v="312"/>
    <x v="9"/>
    <m/>
    <s v="REALIZADO"/>
    <s v="SWB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O-S"/>
    <x v="0"/>
    <x v="0"/>
    <m/>
    <m/>
    <x v="1602"/>
    <m/>
    <x v="1345"/>
    <m/>
    <d v="2021-09-03T00:00:00"/>
    <d v="2021-09-03T00:00:00"/>
    <s v="CERRADO"/>
    <n v="203555"/>
    <x v="139"/>
    <x v="53"/>
    <x v="728"/>
    <d v="2021-07-15T00:00:00"/>
    <s v="CAD"/>
    <m/>
    <s v="F200-43157"/>
    <m/>
    <d v="2021-09-06T00:00:00"/>
    <s v="CANCELADO"/>
    <s v="CFR"/>
    <m/>
    <x v="250"/>
    <n v="341"/>
    <m/>
    <x v="1358"/>
    <x v="16"/>
    <s v="Contenedor 20'"/>
    <m/>
    <s v="25 kg"/>
    <m/>
    <m/>
    <s v="AGOSTO '21"/>
    <x v="0"/>
    <m/>
    <d v="2021-08-13T00:00:00"/>
    <m/>
    <x v="680"/>
    <m/>
    <m/>
    <x v="783"/>
    <n v="9"/>
    <n v="2021"/>
    <x v="0"/>
    <x v="0"/>
    <s v="CARTAGENA / COLOMBIA"/>
    <x v="0"/>
    <m/>
    <x v="2"/>
    <x v="1176"/>
    <d v="2021-08-12T00:00:00"/>
    <s v="CMA CGM SAMBHAR"/>
    <x v="312"/>
    <x v="9"/>
    <m/>
    <s v="REALIZADO"/>
    <s v="DESTINO"/>
    <m/>
    <m/>
    <m/>
    <x v="0"/>
    <d v="2021-09-06T00:00:00"/>
    <m/>
    <x v="0"/>
    <x v="0"/>
    <m/>
    <m/>
    <x v="0"/>
    <e v="#REF!"/>
    <m/>
    <m/>
    <m/>
    <m/>
    <m/>
    <x v="0"/>
    <s v="anulada:8000001458, 8000001498"/>
    <m/>
    <m/>
    <m/>
    <s v="NACIONALIZADO"/>
    <m/>
    <m/>
    <m/>
  </r>
  <r>
    <n v="2021"/>
    <s v="O-S"/>
    <x v="0"/>
    <x v="0"/>
    <m/>
    <m/>
    <x v="1603"/>
    <m/>
    <x v="1346"/>
    <m/>
    <d v="2021-08-27T00:00:00"/>
    <d v="2021-08-27T00:00:00"/>
    <s v="CERRADO"/>
    <n v="203555"/>
    <x v="139"/>
    <x v="53"/>
    <x v="728"/>
    <d v="2021-07-15T00:00:00"/>
    <s v="CAD"/>
    <m/>
    <s v="F200-43157"/>
    <m/>
    <d v="2021-09-06T00:00:00"/>
    <s v="CANCELADO"/>
    <s v="CFR"/>
    <m/>
    <x v="575"/>
    <n v="341"/>
    <m/>
    <x v="1359"/>
    <x v="11"/>
    <s v="Contenedor 20'"/>
    <m/>
    <s v="25 kg"/>
    <m/>
    <m/>
    <s v="AGO '21"/>
    <x v="0"/>
    <m/>
    <d v="2021-08-20T00:00:00"/>
    <m/>
    <x v="734"/>
    <m/>
    <m/>
    <x v="784"/>
    <n v="8"/>
    <n v="2021"/>
    <x v="0"/>
    <x v="0"/>
    <s v="CARTAGENA / COLOMBIA"/>
    <x v="0"/>
    <m/>
    <x v="2"/>
    <x v="1177"/>
    <d v="2021-08-20T00:00:00"/>
    <s v="CMA CGM SAMBHAR"/>
    <x v="217"/>
    <x v="9"/>
    <m/>
    <s v="REALIZADO"/>
    <s v="DESTINO"/>
    <m/>
    <m/>
    <m/>
    <x v="0"/>
    <m/>
    <m/>
    <x v="0"/>
    <x v="0"/>
    <m/>
    <m/>
    <x v="0"/>
    <e v="#REF!"/>
    <m/>
    <m/>
    <m/>
    <m/>
    <m/>
    <x v="0"/>
    <s v="anulado:8000001470, 8000001479"/>
    <m/>
    <m/>
    <m/>
    <s v="NACIONALIZADO"/>
    <m/>
    <m/>
    <m/>
  </r>
  <r>
    <n v="2021"/>
    <m/>
    <x v="0"/>
    <x v="0"/>
    <m/>
    <m/>
    <x v="1604"/>
    <m/>
    <x v="1347"/>
    <m/>
    <d v="2021-08-26T00:00:00"/>
    <d v="2021-08-26T00:00:00"/>
    <s v="CERRADO"/>
    <n v="203568"/>
    <x v="140"/>
    <x v="53"/>
    <x v="72"/>
    <s v="-"/>
    <s v="transf."/>
    <s v="gratuita"/>
    <s v="F200-43162"/>
    <m/>
    <s v="-"/>
    <s v="-"/>
    <s v="CFR"/>
    <m/>
    <x v="605"/>
    <n v="0"/>
    <m/>
    <x v="31"/>
    <x v="3"/>
    <s v="Contenedor 20'"/>
    <m/>
    <s v="50 kg"/>
    <m/>
    <m/>
    <s v="JULIO '21"/>
    <x v="0"/>
    <m/>
    <d v="2021-08-11T00:00:00"/>
    <m/>
    <x v="609"/>
    <m/>
    <m/>
    <x v="759"/>
    <n v="8"/>
    <n v="2021"/>
    <x v="0"/>
    <x v="0"/>
    <s v="CARTAGENA / COLOMBIA"/>
    <x v="2"/>
    <m/>
    <x v="3"/>
    <x v="1139"/>
    <d v="2021-08-11T00:00:00"/>
    <s v="SANTOS EXPRESS"/>
    <x v="184"/>
    <x v="9"/>
    <m/>
    <s v="NO APLICA"/>
    <s v="DESTINO"/>
    <m/>
    <m/>
    <m/>
    <x v="0"/>
    <s v="-"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G-S"/>
    <x v="0"/>
    <x v="0"/>
    <m/>
    <m/>
    <x v="1605"/>
    <m/>
    <x v="1348"/>
    <m/>
    <d v="1899-12-30T00:00:00"/>
    <d v="2021-11-23T00:00:00"/>
    <s v="CERRADO"/>
    <n v="206569"/>
    <x v="14"/>
    <x v="37"/>
    <x v="729"/>
    <d v="2021-08-20T00:00:00"/>
    <s v="CAD"/>
    <m/>
    <s v="I-37456"/>
    <m/>
    <d v="2021-09-24T00:00:00"/>
    <s v="CANCELADO"/>
    <s v="CFR"/>
    <m/>
    <x v="15"/>
    <n v="705"/>
    <m/>
    <x v="1360"/>
    <x v="3"/>
    <s v="Granel"/>
    <m/>
    <s v="Granel Sólido"/>
    <m/>
    <m/>
    <s v="2H SET '21"/>
    <x v="0"/>
    <d v="1899-12-30T00:00:00"/>
    <d v="2021-09-25T00:00:00"/>
    <d v="2021-11-09T00:00:00"/>
    <x v="735"/>
    <d v="2021-11-19T00:00:00"/>
    <m/>
    <x v="785"/>
    <n v="11"/>
    <n v="2021"/>
    <x v="0"/>
    <x v="0"/>
    <s v="YANGZHONG / CHINA"/>
    <x v="1"/>
    <m/>
    <x v="2"/>
    <x v="1178"/>
    <d v="2021-09-06T00:00:00"/>
    <s v="MV BBG KINDNESS"/>
    <x v="352"/>
    <x v="0"/>
    <m/>
    <s v="PENDIENTE"/>
    <s v="DESTINO"/>
    <m/>
    <m/>
    <m/>
    <x v="0"/>
    <m/>
    <m/>
    <x v="0"/>
    <x v="0"/>
    <m/>
    <m/>
    <x v="0"/>
    <e v="#REF!"/>
    <m/>
    <m/>
    <m/>
    <m/>
    <m/>
    <x v="0"/>
    <s v="anulada : 8000001465, 8000001464"/>
    <m/>
    <m/>
    <m/>
    <s v="NACIONALIZADO"/>
    <m/>
    <m/>
    <m/>
  </r>
  <r>
    <n v="2021"/>
    <s v="T-S"/>
    <x v="0"/>
    <x v="0"/>
    <m/>
    <m/>
    <x v="1606"/>
    <m/>
    <x v="1349"/>
    <m/>
    <d v="1899-12-30T00:00:00"/>
    <d v="2021-11-17T00:00:00"/>
    <s v="CERRADO"/>
    <n v="203924"/>
    <x v="136"/>
    <x v="53"/>
    <x v="730"/>
    <d v="2021-07-15T00:00:00"/>
    <s v="CAD"/>
    <m/>
    <s v="F200-43205"/>
    <m/>
    <d v="2021-10-25T00:00:00"/>
    <s v="CANCELADO"/>
    <s v="CFR"/>
    <m/>
    <x v="333"/>
    <n v="5560"/>
    <m/>
    <x v="1361"/>
    <x v="11"/>
    <s v="Contenedor 20'"/>
    <m/>
    <s v="5 kg"/>
    <m/>
    <m/>
    <s v="AGOSTO '21"/>
    <x v="0"/>
    <d v="2021-09-30T00:00:00"/>
    <d v="2021-10-14T00:00:00"/>
    <d v="2021-11-04T00:00:00"/>
    <x v="728"/>
    <d v="2021-11-08T00:00:00"/>
    <m/>
    <x v="786"/>
    <n v="11"/>
    <n v="2021"/>
    <x v="0"/>
    <x v="0"/>
    <s v="ROTTERDAM / PAISES BAJOS"/>
    <x v="2"/>
    <m/>
    <x v="3"/>
    <x v="1179"/>
    <d v="2021-09-29T00:00:00"/>
    <s v="  CMA CGM ARKANSAS"/>
    <x v="353"/>
    <x v="2"/>
    <m/>
    <s v="PENDIENTE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607"/>
    <m/>
    <x v="1350"/>
    <m/>
    <d v="1899-12-30T00:00:00"/>
    <d v="2021-11-12T00:00:00"/>
    <s v="CERRADO"/>
    <n v="203924"/>
    <x v="136"/>
    <x v="53"/>
    <x v="731"/>
    <d v="2021-07-15T00:00:00"/>
    <s v="CAD"/>
    <m/>
    <s v="F200-43206"/>
    <m/>
    <d v="2021-10-25T00:00:00"/>
    <s v="CANCELADO"/>
    <s v="CFR"/>
    <m/>
    <x v="332"/>
    <n v="5500"/>
    <m/>
    <x v="1268"/>
    <x v="11"/>
    <s v="Contenedor 40'"/>
    <m/>
    <s v="5 kg"/>
    <m/>
    <m/>
    <s v="AGOSTO '21"/>
    <x v="0"/>
    <d v="1899-12-30T00:00:00"/>
    <d v="2021-10-06T00:00:00"/>
    <d v="2021-11-04T00:00:00"/>
    <x v="679"/>
    <d v="2021-11-08T00:00:00"/>
    <m/>
    <x v="728"/>
    <n v="11"/>
    <n v="2021"/>
    <x v="0"/>
    <x v="0"/>
    <s v="ROTTERDAM / PAISES BAJOS"/>
    <x v="2"/>
    <m/>
    <x v="3"/>
    <x v="1180"/>
    <d v="2021-10-07T00:00:00"/>
    <s v="GUAYAQUIL EXPRESS"/>
    <x v="42"/>
    <x v="2"/>
    <m/>
    <s v="PENDIENTE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608"/>
    <m/>
    <x v="1351"/>
    <m/>
    <d v="2021-09-06T00:00:00"/>
    <d v="2021-09-10T00:00:00"/>
    <s v="CERRADO"/>
    <n v="208067"/>
    <x v="115"/>
    <x v="53"/>
    <x v="732"/>
    <d v="2021-07-15T00:00:00"/>
    <n v="30"/>
    <s v="días FACT."/>
    <s v="F200-43163"/>
    <m/>
    <d v="2021-09-17T00:00:00"/>
    <s v="CANCELADO"/>
    <s v="CFR"/>
    <m/>
    <x v="250"/>
    <n v="269"/>
    <m/>
    <x v="1362"/>
    <x v="20"/>
    <s v="Contenedor 20'"/>
    <m/>
    <s v="25 kg"/>
    <m/>
    <m/>
    <s v="AGOSTO '21"/>
    <x v="0"/>
    <m/>
    <d v="2021-08-18T00:00:00"/>
    <m/>
    <x v="655"/>
    <m/>
    <m/>
    <x v="731"/>
    <n v="9"/>
    <n v="2021"/>
    <x v="0"/>
    <x v="0"/>
    <s v="CARTAGENA / COLOMBIA"/>
    <x v="2"/>
    <m/>
    <x v="3"/>
    <x v="1181"/>
    <d v="2021-08-18T00:00:00"/>
    <s v="CMA CGM OHIO"/>
    <x v="325"/>
    <x v="9"/>
    <m/>
    <s v="REALIZADO"/>
    <s v="SWB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609"/>
    <m/>
    <x v="1352"/>
    <m/>
    <d v="2021-09-03T00:00:00"/>
    <d v="2021-09-08T00:00:00"/>
    <s v="CERRADO"/>
    <n v="208067"/>
    <x v="115"/>
    <x v="53"/>
    <x v="733"/>
    <d v="2021-07-15T00:00:00"/>
    <n v="30"/>
    <s v="días FACT."/>
    <s v="F200-43164"/>
    <m/>
    <d v="2021-09-23T00:00:00"/>
    <s v="CANCELADO"/>
    <s v="CFR"/>
    <m/>
    <x v="606"/>
    <n v="269"/>
    <m/>
    <x v="1363"/>
    <x v="48"/>
    <s v="Contenedor 20'"/>
    <m/>
    <s v="25 kg"/>
    <m/>
    <m/>
    <s v="AGOSTO '21"/>
    <x v="0"/>
    <m/>
    <d v="2021-08-19T00:00:00"/>
    <m/>
    <x v="734"/>
    <m/>
    <m/>
    <x v="731"/>
    <n v="9"/>
    <n v="2021"/>
    <x v="0"/>
    <x v="0"/>
    <s v="CARTAGENA / COLOMBIA"/>
    <x v="0"/>
    <m/>
    <x v="2"/>
    <x v="1182"/>
    <d v="2021-08-19T00:00:00"/>
    <s v="LIMARI"/>
    <x v="217"/>
    <x v="9"/>
    <m/>
    <s v="REALIZADO"/>
    <s v="SWB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610"/>
    <m/>
    <x v="1353"/>
    <m/>
    <d v="1899-12-30T00:00:00"/>
    <d v="2021-11-12T00:00:00"/>
    <s v="CERRADO"/>
    <n v="208072"/>
    <x v="119"/>
    <x v="53"/>
    <x v="734"/>
    <d v="2021-07-15T00:00:00"/>
    <s v="CAD"/>
    <m/>
    <s v="F200-43209"/>
    <m/>
    <d v="2021-11-01T00:00:00"/>
    <s v="CANCELADO"/>
    <s v="CFR"/>
    <m/>
    <x v="607"/>
    <n v="10000"/>
    <m/>
    <x v="422"/>
    <x v="3"/>
    <s v="Contenedor 40'"/>
    <m/>
    <s v="5 kg"/>
    <m/>
    <m/>
    <s v="AGOSTO '21"/>
    <x v="0"/>
    <d v="1899-12-30T00:00:00"/>
    <d v="2021-10-06T00:00:00"/>
    <d v="2021-11-04T00:00:00"/>
    <x v="679"/>
    <d v="2021-11-08T00:00:00"/>
    <m/>
    <x v="728"/>
    <n v="11"/>
    <n v="2021"/>
    <x v="0"/>
    <x v="0"/>
    <s v="ROTTERDAM / PAISES BAJOS"/>
    <x v="2"/>
    <m/>
    <x v="3"/>
    <x v="1183"/>
    <d v="2021-10-07T00:00:00"/>
    <s v="GUAYAQUIL EXPRESS"/>
    <x v="42"/>
    <x v="2"/>
    <m/>
    <s v="PENDIENTE"/>
    <s v="SWB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611"/>
    <m/>
    <x v="1354"/>
    <m/>
    <d v="1899-12-30T00:00:00"/>
    <d v="2021-12-16T00:00:00"/>
    <s v="CERRADO"/>
    <n v="208072"/>
    <x v="119"/>
    <x v="53"/>
    <x v="735"/>
    <d v="2021-07-15T00:00:00"/>
    <s v="CAD"/>
    <m/>
    <s v="F200-43223"/>
    <m/>
    <d v="2021-11-28T00:00:00"/>
    <s v="CANCELADO"/>
    <s v="CFR"/>
    <m/>
    <x v="608"/>
    <n v="10000"/>
    <m/>
    <x v="1364"/>
    <x v="17"/>
    <s v="Contenedor 40'"/>
    <m/>
    <s v="5 kg"/>
    <m/>
    <m/>
    <s v="AGOSTO '21"/>
    <x v="0"/>
    <d v="1899-12-30T00:00:00"/>
    <d v="2021-11-12T00:00:00"/>
    <d v="2021-12-09T00:00:00"/>
    <x v="736"/>
    <d v="2021-12-13T00:00:00"/>
    <m/>
    <x v="787"/>
    <n v="12"/>
    <n v="2021"/>
    <x v="0"/>
    <x v="0"/>
    <s v="ROTTERDAM / PAISES BAJOS"/>
    <x v="2"/>
    <m/>
    <x v="3"/>
    <x v="1184"/>
    <d v="2021-11-10T00:00:00"/>
    <s v="CMA CGM JEAN GABRIEL"/>
    <x v="155"/>
    <x v="2"/>
    <m/>
    <s v="PENDIENTE"/>
    <s v="ORIGEN"/>
    <m/>
    <m/>
    <m/>
    <x v="0"/>
    <d v="2021-12-22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E-S"/>
    <x v="0"/>
    <x v="0"/>
    <m/>
    <m/>
    <x v="1612"/>
    <m/>
    <x v="1355"/>
    <m/>
    <d v="2021-10-26T00:00:00"/>
    <d v="2021-10-30T00:00:00"/>
    <s v="CERRADO"/>
    <n v="205972"/>
    <x v="82"/>
    <x v="42"/>
    <x v="8"/>
    <d v="2021-08-25T00:00:00"/>
    <s v="CAD"/>
    <m/>
    <s v="FXE 2.100.030"/>
    <m/>
    <d v="2021-09-15T00:00:00"/>
    <s v="CANCELADO"/>
    <s v="CIF"/>
    <m/>
    <x v="243"/>
    <n v="4320"/>
    <m/>
    <x v="1365"/>
    <x v="11"/>
    <s v="Contenedor 40'"/>
    <m/>
    <s v="20 kg"/>
    <m/>
    <m/>
    <s v="2H SET '21"/>
    <x v="0"/>
    <d v="1899-12-30T00:00:00"/>
    <d v="2021-09-26T00:00:00"/>
    <d v="2021-10-21T00:00:00"/>
    <x v="691"/>
    <d v="2021-10-25T00:00:00"/>
    <m/>
    <x v="762"/>
    <n v="10"/>
    <n v="2021"/>
    <x v="0"/>
    <x v="0"/>
    <s v="BARCELONA / ESPAÑA"/>
    <x v="2"/>
    <m/>
    <x v="1"/>
    <x v="1185"/>
    <d v="2021-09-25T00:00:00"/>
    <s v="MARY"/>
    <x v="268"/>
    <x v="33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O-S"/>
    <x v="0"/>
    <x v="0"/>
    <m/>
    <m/>
    <x v="1613"/>
    <m/>
    <x v="1356"/>
    <m/>
    <d v="2021-10-25T00:00:00"/>
    <d v="2021-10-22T00:00:00"/>
    <s v="CERRADO"/>
    <n v="203553"/>
    <x v="123"/>
    <x v="53"/>
    <x v="736"/>
    <d v="2021-07-15T00:00:00"/>
    <s v="CAD"/>
    <m/>
    <s v="F200-43197"/>
    <m/>
    <d v="2021-10-17T00:00:00"/>
    <s v="CANCELADO"/>
    <s v="CFR"/>
    <m/>
    <x v="609"/>
    <n v="319.41000000000003"/>
    <m/>
    <x v="1366"/>
    <x v="14"/>
    <s v="Contenedor 20'"/>
    <m/>
    <s v="Granel Sólido"/>
    <m/>
    <m/>
    <s v="AGOSTO '21"/>
    <x v="0"/>
    <d v="2021-09-14T00:00:00"/>
    <d v="2021-09-22T00:00:00"/>
    <d v="2021-09-16T00:00:00"/>
    <x v="737"/>
    <d v="2021-09-20T00:00:00"/>
    <m/>
    <x v="788"/>
    <n v="10"/>
    <n v="2021"/>
    <x v="0"/>
    <x v="0"/>
    <s v="BREVIK / NORUEGA"/>
    <x v="0"/>
    <m/>
    <x v="2"/>
    <x v="1186"/>
    <d v="2021-09-10T00:00:00"/>
    <s v="SANTOS EXPRESS"/>
    <x v="339"/>
    <x v="9"/>
    <m/>
    <s v="REALIZADO"/>
    <s v="SWB"/>
    <m/>
    <m/>
    <m/>
    <x v="0"/>
    <m/>
    <m/>
    <x v="0"/>
    <x v="0"/>
    <m/>
    <m/>
    <x v="0"/>
    <e v="#REF!"/>
    <m/>
    <m/>
    <m/>
    <m/>
    <m/>
    <x v="0"/>
    <s v="anulada: 8000001611"/>
    <m/>
    <m/>
    <m/>
    <s v="NACIONALIZADO"/>
    <m/>
    <m/>
    <m/>
  </r>
  <r>
    <n v="2021"/>
    <s v="O-S"/>
    <x v="0"/>
    <x v="0"/>
    <m/>
    <m/>
    <x v="1614"/>
    <m/>
    <x v="1357"/>
    <m/>
    <d v="2021-10-18T00:00:00"/>
    <d v="2021-10-22T00:00:00"/>
    <s v="CERRADO"/>
    <n v="203553"/>
    <x v="123"/>
    <x v="53"/>
    <x v="737"/>
    <d v="2021-07-15T00:00:00"/>
    <s v="CAD"/>
    <m/>
    <s v="F200-43190"/>
    <m/>
    <d v="2021-10-15T00:00:00"/>
    <s v="CANCELADO"/>
    <s v="CFR"/>
    <m/>
    <x v="610"/>
    <n v="319.24"/>
    <m/>
    <x v="1367"/>
    <x v="4"/>
    <s v="Contenedor 20'"/>
    <m/>
    <s v="Granel Sólido"/>
    <m/>
    <m/>
    <s v="AGOSTO '21"/>
    <x v="0"/>
    <d v="2021-09-03T00:00:00"/>
    <d v="2021-09-15T00:00:00"/>
    <d v="2021-10-15T00:00:00"/>
    <x v="666"/>
    <d v="2021-10-19T00:00:00"/>
    <m/>
    <x v="789"/>
    <n v="10"/>
    <n v="2021"/>
    <x v="0"/>
    <x v="0"/>
    <s v="BREVIK / NORUEGA"/>
    <x v="2"/>
    <m/>
    <x v="3"/>
    <x v="1187"/>
    <d v="2021-09-03T00:00:00"/>
    <s v="ENERGIZER"/>
    <x v="32"/>
    <x v="9"/>
    <m/>
    <s v="REALIZADO"/>
    <s v="SWB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O-S"/>
    <x v="0"/>
    <x v="0"/>
    <m/>
    <m/>
    <x v="1615"/>
    <m/>
    <x v="1358"/>
    <m/>
    <d v="2022-03-01T00:00:00"/>
    <d v="2022-03-01T00:00:00"/>
    <s v="CERRADO"/>
    <n v="203553"/>
    <x v="123"/>
    <x v="53"/>
    <x v="738"/>
    <d v="2021-09-15T00:00:00"/>
    <s v="CAD"/>
    <m/>
    <s v="F200-43270"/>
    <m/>
    <d v="2022-02-28T00:00:00"/>
    <s v="CANCELADO"/>
    <s v="CFR"/>
    <m/>
    <x v="611"/>
    <n v="523.57000000000005"/>
    <m/>
    <x v="1368"/>
    <x v="5"/>
    <s v="Contenedor 20'"/>
    <m/>
    <s v="Granel Sólido"/>
    <m/>
    <m/>
    <s v="SETIEMBRE '21"/>
    <x v="0"/>
    <d v="1899-12-30T00:00:00"/>
    <d v="2022-02-05T00:00:00"/>
    <d v="2022-02-24T00:00:00"/>
    <x v="738"/>
    <d v="2022-02-28T00:00:00"/>
    <m/>
    <x v="790"/>
    <n v="3"/>
    <n v="2022"/>
    <x v="0"/>
    <x v="0"/>
    <s v="AMBERES / BELGICA"/>
    <x v="2"/>
    <m/>
    <x v="3"/>
    <x v="1188"/>
    <d v="2022-02-05T00:00:00"/>
    <s v="SANTOS EXPRESS"/>
    <x v="184"/>
    <x v="2"/>
    <m/>
    <s v="PENDIENTE"/>
    <s v="DESTINO"/>
    <m/>
    <m/>
    <m/>
    <x v="0"/>
    <d v="2022-03-10T00:00:00"/>
    <m/>
    <x v="11"/>
    <x v="7"/>
    <s v="SADA PL"/>
    <s v="VERDE"/>
    <x v="0"/>
    <e v="#REF!"/>
    <m/>
    <m/>
    <m/>
    <m/>
    <m/>
    <x v="0"/>
    <m/>
    <m/>
    <m/>
    <m/>
    <s v="NACIONALIZADO"/>
    <m/>
    <m/>
    <m/>
  </r>
  <r>
    <n v="2021"/>
    <s v="O-S"/>
    <x v="0"/>
    <x v="0"/>
    <m/>
    <m/>
    <x v="1616"/>
    <m/>
    <x v="1359"/>
    <m/>
    <d v="2022-04-06T00:00:00"/>
    <d v="2022-04-06T00:00:00"/>
    <s v="CERRADO"/>
    <n v="203553"/>
    <x v="123"/>
    <x v="53"/>
    <x v="739"/>
    <d v="2021-08-15T00:00:00"/>
    <s v="CAD"/>
    <m/>
    <s v="F200-43278"/>
    <m/>
    <d v="2022-03-19T00:00:00"/>
    <s v="CANCELADO"/>
    <s v="CFR"/>
    <s v="-"/>
    <x v="612"/>
    <n v="650.17999999999995"/>
    <m/>
    <x v="1369"/>
    <x v="11"/>
    <s v="Contenedor 20'"/>
    <m/>
    <s v="Granel Sólido"/>
    <s v="-"/>
    <s v="S/M"/>
    <s v="SETIEMBRE '21"/>
    <x v="0"/>
    <d v="1899-12-30T00:00:00"/>
    <d v="2022-02-05T00:00:00"/>
    <d v="2022-04-03T00:00:00"/>
    <x v="739"/>
    <d v="2022-04-06T00:00:00"/>
    <m/>
    <x v="791"/>
    <n v="4"/>
    <n v="2022"/>
    <x v="0"/>
    <x v="2"/>
    <s v="AMBERES / BELGICA"/>
    <x v="4"/>
    <m/>
    <x v="2"/>
    <x v="1189"/>
    <d v="2022-02-05T00:00:00"/>
    <s v="AS PATRIA"/>
    <x v="129"/>
    <x v="2"/>
    <s v="TRAMARSA"/>
    <s v="PENDIENTE"/>
    <s v="DESTINO"/>
    <m/>
    <m/>
    <m/>
    <x v="0"/>
    <d v="2022-04-18T00:00:00"/>
    <m/>
    <x v="12"/>
    <x v="10"/>
    <s v="SADA DD"/>
    <s v="VERDE"/>
    <x v="0"/>
    <e v="#REF!"/>
    <m/>
    <m/>
    <m/>
    <m/>
    <m/>
    <x v="0"/>
    <s v="Todo Ok."/>
    <m/>
    <m/>
    <m/>
    <s v="NACIONALIZADO"/>
    <m/>
    <m/>
    <m/>
  </r>
  <r>
    <n v="2021"/>
    <s v="T-S"/>
    <x v="0"/>
    <x v="0"/>
    <m/>
    <m/>
    <x v="1617"/>
    <m/>
    <x v="1360"/>
    <m/>
    <d v="2021-09-30T00:00:00"/>
    <d v="2021-10-01T00:00:00"/>
    <s v="CERRADO"/>
    <n v="208067"/>
    <x v="115"/>
    <x v="53"/>
    <x v="740"/>
    <d v="2021-07-15T00:00:00"/>
    <n v="30"/>
    <s v="días FACT."/>
    <s v="F200-43172"/>
    <m/>
    <d v="2021-10-14T00:00:00"/>
    <s v="CANCELADO"/>
    <s v="CFR"/>
    <m/>
    <x v="250"/>
    <n v="296.06"/>
    <m/>
    <x v="1370"/>
    <x v="20"/>
    <s v="Contenedor 20'"/>
    <m/>
    <s v="25 kg"/>
    <m/>
    <m/>
    <s v="AGOSTO '21"/>
    <x v="0"/>
    <d v="1899-12-30T00:00:00"/>
    <d v="2021-09-14T00:00:00"/>
    <d v="2021-09-23T00:00:00"/>
    <x v="740"/>
    <d v="2021-09-27T00:00:00"/>
    <m/>
    <x v="754"/>
    <n v="9"/>
    <n v="2021"/>
    <x v="0"/>
    <x v="0"/>
    <s v="CARTAGENA / COLOMBIA"/>
    <x v="2"/>
    <m/>
    <x v="3"/>
    <x v="1190"/>
    <d v="2021-09-14T00:00:00"/>
    <s v="COSCO SHIPPING DANUBE"/>
    <x v="211"/>
    <x v="9"/>
    <m/>
    <s v="REALIZADO"/>
    <s v="SWB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618"/>
    <m/>
    <x v="1361"/>
    <m/>
    <d v="2021-09-14T00:00:00"/>
    <d v="2021-09-17T00:00:00"/>
    <s v="CERRADO"/>
    <n v="208067"/>
    <x v="115"/>
    <x v="53"/>
    <x v="741"/>
    <d v="2021-07-15T00:00:00"/>
    <n v="30"/>
    <s v="días FACT."/>
    <s v="F200-43165"/>
    <m/>
    <d v="2021-09-25T00:00:00"/>
    <s v="CANCELADO"/>
    <s v="CFR"/>
    <m/>
    <x v="6"/>
    <n v="271.08"/>
    <m/>
    <x v="1371"/>
    <x v="1"/>
    <s v="Contenedor 20'"/>
    <m/>
    <s v="25 kg"/>
    <m/>
    <m/>
    <s v="AGOSTO '21"/>
    <x v="0"/>
    <m/>
    <d v="2021-08-20T00:00:00"/>
    <m/>
    <x v="741"/>
    <m/>
    <m/>
    <x v="699"/>
    <n v="9"/>
    <n v="2021"/>
    <x v="0"/>
    <x v="0"/>
    <s v="CARTAGENA / COLOMBIA"/>
    <x v="4"/>
    <m/>
    <x v="2"/>
    <x v="1191"/>
    <d v="2021-08-20T00:00:00"/>
    <s v="LIMARI"/>
    <x v="129"/>
    <x v="2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619"/>
    <m/>
    <x v="1362"/>
    <m/>
    <d v="2021-09-06T00:00:00"/>
    <d v="2021-09-07T00:00:00"/>
    <s v="CERRADO"/>
    <n v="208067"/>
    <x v="115"/>
    <x v="53"/>
    <x v="742"/>
    <d v="2021-07-15T00:00:00"/>
    <n v="30"/>
    <s v="días FACT."/>
    <s v="F200-43166"/>
    <m/>
    <d v="2021-09-22T00:00:00"/>
    <s v="CANCELADO"/>
    <s v="CFR"/>
    <m/>
    <x v="538"/>
    <n v="269"/>
    <m/>
    <x v="1324"/>
    <x v="2"/>
    <s v="Contenedor 20'"/>
    <m/>
    <s v="25 kg"/>
    <m/>
    <m/>
    <s v="AGOSTO '21"/>
    <x v="0"/>
    <m/>
    <d v="2021-08-23T00:00:00"/>
    <m/>
    <x v="742"/>
    <m/>
    <m/>
    <x v="726"/>
    <n v="9"/>
    <n v="2021"/>
    <x v="0"/>
    <x v="0"/>
    <s v="CARTAGENA / COLOMBIA"/>
    <x v="2"/>
    <m/>
    <x v="1"/>
    <x v="1192"/>
    <d v="2021-08-23T00:00:00"/>
    <s v="POLAR BRASIL"/>
    <x v="291"/>
    <x v="6"/>
    <m/>
    <s v="REALIZADO"/>
    <s v="DESTINO"/>
    <m/>
    <m/>
    <m/>
    <x v="0"/>
    <m/>
    <m/>
    <x v="0"/>
    <x v="0"/>
    <m/>
    <m/>
    <x v="0"/>
    <e v="#REF!"/>
    <m/>
    <m/>
    <m/>
    <m/>
    <m/>
    <x v="0"/>
    <s v="anulada: 8000001477"/>
    <m/>
    <m/>
    <m/>
    <s v="NACIONALIZADO"/>
    <m/>
    <m/>
    <m/>
  </r>
  <r>
    <n v="2021"/>
    <s v="T-S"/>
    <x v="0"/>
    <x v="0"/>
    <m/>
    <m/>
    <x v="1620"/>
    <m/>
    <x v="1363"/>
    <m/>
    <d v="2021-09-14T00:00:00"/>
    <d v="2021-09-15T00:00:00"/>
    <s v="CERRADO"/>
    <n v="208067"/>
    <x v="115"/>
    <x v="53"/>
    <x v="743"/>
    <d v="2021-07-15T00:00:00"/>
    <n v="30"/>
    <s v="días FACT."/>
    <s v="F200-43167"/>
    <m/>
    <d v="2021-09-26T00:00:00"/>
    <s v="CANCELADO"/>
    <s v="CFR"/>
    <m/>
    <x v="538"/>
    <n v="269"/>
    <m/>
    <x v="1324"/>
    <x v="2"/>
    <s v="Contenedor 20'"/>
    <m/>
    <s v="25 kg"/>
    <m/>
    <m/>
    <s v="AGOSTO '21"/>
    <x v="0"/>
    <m/>
    <d v="2021-08-25T00:00:00"/>
    <m/>
    <x v="743"/>
    <m/>
    <m/>
    <x v="782"/>
    <n v="9"/>
    <n v="2021"/>
    <x v="0"/>
    <x v="0"/>
    <s v="CARTAGENA / COLOMBIA"/>
    <x v="2"/>
    <m/>
    <x v="1"/>
    <x v="1193"/>
    <d v="2021-08-25T00:00:00"/>
    <s v="GUAYAQUIL EXPRESS"/>
    <x v="42"/>
    <x v="9"/>
    <m/>
    <s v="REALIZADO"/>
    <s v="SWB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621"/>
    <m/>
    <x v="1364"/>
    <m/>
    <d v="2021-09-20T00:00:00"/>
    <d v="2021-09-22T00:00:00"/>
    <s v="CERRADO"/>
    <n v="208067"/>
    <x v="115"/>
    <x v="53"/>
    <x v="744"/>
    <d v="2021-07-15T00:00:00"/>
    <n v="30"/>
    <s v="días FACT."/>
    <s v="F200-43168"/>
    <m/>
    <d v="2021-09-30T00:00:00"/>
    <s v="CANCELADO"/>
    <s v="CFR"/>
    <m/>
    <x v="250"/>
    <n v="269"/>
    <m/>
    <x v="1362"/>
    <x v="20"/>
    <s v="Contenedor 20'"/>
    <m/>
    <s v="25 kg"/>
    <m/>
    <m/>
    <s v="AGOSTO '21"/>
    <x v="0"/>
    <m/>
    <d v="2021-09-01T00:00:00"/>
    <m/>
    <x v="672"/>
    <m/>
    <m/>
    <x v="701"/>
    <n v="9"/>
    <n v="2021"/>
    <x v="0"/>
    <x v="0"/>
    <s v="CARTAGENA / COLOMBIA"/>
    <x v="2"/>
    <m/>
    <x v="3"/>
    <x v="1194"/>
    <d v="2021-09-01T00:00:00"/>
    <s v="CMA CGM ARKANSAS"/>
    <x v="335"/>
    <x v="9"/>
    <m/>
    <s v="REALIZADO"/>
    <s v="SWB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622"/>
    <m/>
    <x v="1365"/>
    <m/>
    <d v="2021-09-20T00:00:00"/>
    <d v="2021-09-22T00:00:00"/>
    <s v="CERRADO"/>
    <n v="208067"/>
    <x v="115"/>
    <x v="53"/>
    <x v="745"/>
    <d v="2021-08-15T00:00:00"/>
    <n v="30"/>
    <s v="días FACT."/>
    <s v="F200-43171"/>
    <m/>
    <d v="2021-10-14T00:00:00"/>
    <s v="CANCELADO"/>
    <s v="CFR"/>
    <m/>
    <x v="250"/>
    <n v="296.06"/>
    <m/>
    <x v="1370"/>
    <x v="20"/>
    <s v="Contenedor 20'"/>
    <m/>
    <s v="25 kg"/>
    <m/>
    <m/>
    <s v="SETIEMBRE '21"/>
    <x v="0"/>
    <m/>
    <d v="2021-09-10T00:00:00"/>
    <m/>
    <x v="744"/>
    <m/>
    <m/>
    <x v="701"/>
    <n v="9"/>
    <n v="2021"/>
    <x v="0"/>
    <x v="0"/>
    <s v="CARTAGENA / COLOMBIA"/>
    <x v="0"/>
    <m/>
    <x v="2"/>
    <x v="1195"/>
    <d v="2021-09-10T00:00:00"/>
    <s v="DIMITRIS C"/>
    <x v="326"/>
    <x v="9"/>
    <m/>
    <s v="REALIZADO"/>
    <s v="SWB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623"/>
    <m/>
    <x v="1366"/>
    <m/>
    <d v="2021-10-12T00:00:00"/>
    <d v="2021-10-13T00:00:00"/>
    <s v="CERRADO"/>
    <n v="208067"/>
    <x v="115"/>
    <x v="53"/>
    <x v="746"/>
    <d v="2021-08-15T00:00:00"/>
    <n v="30"/>
    <s v="días FACT."/>
    <s v="F200-43177"/>
    <m/>
    <d v="2021-10-30T00:00:00"/>
    <s v="CANCELADO"/>
    <s v="CFR"/>
    <m/>
    <x v="250"/>
    <n v="296.06"/>
    <m/>
    <x v="1370"/>
    <x v="20"/>
    <s v="Contenedor 20'"/>
    <m/>
    <s v="25 kg"/>
    <m/>
    <m/>
    <s v="SETIEMBRE '21"/>
    <x v="0"/>
    <d v="1899-12-30T00:00:00"/>
    <d v="2021-09-24T00:00:00"/>
    <d v="2021-09-29T00:00:00"/>
    <x v="662"/>
    <d v="2021-10-03T00:00:00"/>
    <m/>
    <x v="738"/>
    <n v="10"/>
    <n v="2021"/>
    <x v="0"/>
    <x v="0"/>
    <s v="CARTAGENA / COLOMBIA"/>
    <x v="0"/>
    <m/>
    <x v="5"/>
    <x v="1196"/>
    <d v="2021-09-24T00:00:00"/>
    <s v="DIMITRIS C"/>
    <x v="326"/>
    <x v="2"/>
    <m/>
    <s v="REALIZADO"/>
    <s v="SWB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624"/>
    <m/>
    <x v="1367"/>
    <m/>
    <d v="2021-09-30T00:00:00"/>
    <d v="2021-09-30T00:00:00"/>
    <s v="CERRADO"/>
    <n v="208067"/>
    <x v="115"/>
    <x v="53"/>
    <x v="747"/>
    <d v="2021-08-15T00:00:00"/>
    <n v="30"/>
    <s v="días FACT."/>
    <s v="F200-43175"/>
    <m/>
    <d v="2021-10-18T00:00:00"/>
    <s v="CANCELADO"/>
    <s v="CFR"/>
    <m/>
    <x v="250"/>
    <n v="296.06"/>
    <m/>
    <x v="1370"/>
    <x v="20"/>
    <s v="Contenedor 20'"/>
    <m/>
    <s v="25 kg"/>
    <m/>
    <m/>
    <s v="SETIEMBRE '21"/>
    <x v="0"/>
    <m/>
    <d v="2021-09-18T00:00:00"/>
    <m/>
    <x v="713"/>
    <m/>
    <m/>
    <x v="717"/>
    <n v="9"/>
    <n v="2021"/>
    <x v="0"/>
    <x v="0"/>
    <s v="CARTAGENA / COLOMBIA"/>
    <x v="0"/>
    <m/>
    <x v="2"/>
    <x v="1197"/>
    <d v="2021-09-18T00:00:00"/>
    <s v="AS PATRIA"/>
    <x v="339"/>
    <x v="9"/>
    <m/>
    <s v="REALIZADO"/>
    <s v="SWB"/>
    <m/>
    <m/>
    <m/>
    <x v="0"/>
    <d v="2021-10-12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625"/>
    <m/>
    <x v="1368"/>
    <m/>
    <d v="2021-10-04T00:00:00"/>
    <d v="2021-10-04T00:00:00"/>
    <s v="CERRADO"/>
    <n v="208067"/>
    <x v="115"/>
    <x v="53"/>
    <x v="748"/>
    <d v="2021-08-15T00:00:00"/>
    <n v="30"/>
    <s v="días FACT."/>
    <s v="F200-43174"/>
    <m/>
    <d v="2021-10-18T00:00:00"/>
    <s v="CANCELADO"/>
    <s v="CFR"/>
    <m/>
    <x v="250"/>
    <n v="296.06"/>
    <m/>
    <x v="1370"/>
    <x v="20"/>
    <s v="Contenedor 20'"/>
    <m/>
    <s v="25 kg"/>
    <m/>
    <m/>
    <s v="SETIEMBRE '21"/>
    <x v="0"/>
    <d v="1899-12-30T00:00:00"/>
    <d v="2021-09-18T00:00:00"/>
    <d v="2021-09-22T00:00:00"/>
    <x v="713"/>
    <d v="2021-09-26T00:00:00"/>
    <m/>
    <x v="792"/>
    <n v="10"/>
    <n v="2021"/>
    <x v="0"/>
    <x v="0"/>
    <s v="CARTAGENA / COLOMBIA"/>
    <x v="0"/>
    <m/>
    <x v="5"/>
    <x v="1198"/>
    <d v="2021-09-18T00:00:00"/>
    <s v=" AS PATRIA"/>
    <x v="339"/>
    <x v="9"/>
    <m/>
    <s v="REALIZADO"/>
    <s v="SWB"/>
    <m/>
    <m/>
    <m/>
    <x v="0"/>
    <d v="2021-10-12T00:00:00"/>
    <m/>
    <x v="0"/>
    <x v="0"/>
    <m/>
    <m/>
    <x v="0"/>
    <e v="#REF!"/>
    <m/>
    <m/>
    <m/>
    <m/>
    <m/>
    <x v="0"/>
    <s v="anulada: 8000001541"/>
    <m/>
    <m/>
    <m/>
    <s v="NACIONALIZADO"/>
    <m/>
    <m/>
    <m/>
  </r>
  <r>
    <n v="2021"/>
    <s v="T-S"/>
    <x v="0"/>
    <x v="0"/>
    <m/>
    <m/>
    <x v="1626"/>
    <m/>
    <x v="1369"/>
    <m/>
    <d v="2021-10-05T00:00:00"/>
    <d v="2021-10-09T00:00:00"/>
    <s v="CERRADO"/>
    <n v="208067"/>
    <x v="115"/>
    <x v="53"/>
    <x v="749"/>
    <d v="2021-07-15T00:00:00"/>
    <n v="30"/>
    <s v="días FACT."/>
    <s v="F200-43173"/>
    <m/>
    <d v="2021-10-14T00:00:00"/>
    <s v="CANCELADO"/>
    <s v="CFR"/>
    <m/>
    <x v="250"/>
    <n v="296.06"/>
    <m/>
    <x v="1370"/>
    <x v="20"/>
    <s v="Contenedor 20'"/>
    <m/>
    <s v="25 kg"/>
    <m/>
    <m/>
    <s v="AGOSTO '21"/>
    <x v="0"/>
    <d v="1899-12-30T00:00:00"/>
    <d v="2021-09-14T00:00:00"/>
    <d v="2021-09-23T00:00:00"/>
    <x v="740"/>
    <d v="2021-09-27T00:00:00"/>
    <m/>
    <x v="690"/>
    <n v="10"/>
    <n v="2021"/>
    <x v="0"/>
    <x v="0"/>
    <s v="CARTAGENA / COLOMBIA"/>
    <x v="2"/>
    <m/>
    <x v="3"/>
    <x v="1199"/>
    <d v="2021-09-14T00:00:00"/>
    <s v="COSCO SHIPPING DANUBE"/>
    <x v="211"/>
    <x v="9"/>
    <m/>
    <s v="REALIZADO"/>
    <s v="SWB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627"/>
    <m/>
    <x v="1370"/>
    <m/>
    <d v="2021-10-18T00:00:00"/>
    <d v="2021-10-18T00:00:00"/>
    <s v="CERRADO"/>
    <n v="208067"/>
    <x v="115"/>
    <x v="53"/>
    <x v="750"/>
    <d v="2021-08-15T00:00:00"/>
    <n v="30"/>
    <s v="días FACT."/>
    <s v="F200-43180"/>
    <m/>
    <d v="2021-10-30T00:00:00"/>
    <s v="CANCELADO"/>
    <s v="CFR"/>
    <m/>
    <x v="148"/>
    <n v="296.06"/>
    <m/>
    <x v="1372"/>
    <x v="8"/>
    <s v="Contenedor 20'"/>
    <m/>
    <s v="25 kg"/>
    <m/>
    <m/>
    <s v="SETIEMBRE '21"/>
    <x v="0"/>
    <d v="2021-09-29T00:00:00"/>
    <d v="2021-09-29T00:00:00"/>
    <d v="2021-10-05T00:00:00"/>
    <x v="714"/>
    <d v="2021-10-09T00:00:00"/>
    <m/>
    <x v="793"/>
    <n v="10"/>
    <n v="2021"/>
    <x v="0"/>
    <x v="0"/>
    <s v="CARTAGENA / COLOMBIA"/>
    <x v="2"/>
    <m/>
    <x v="3"/>
    <x v="1200"/>
    <d v="2021-09-29T00:00:00"/>
    <s v=" CMA CGM JEAN GABRIEL"/>
    <x v="155"/>
    <x v="9"/>
    <m/>
    <s v="REALIZADO"/>
    <s v="SWB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628"/>
    <m/>
    <x v="1371"/>
    <m/>
    <d v="2021-10-12T00:00:00"/>
    <d v="2021-10-12T00:00:00"/>
    <s v="CERRADO"/>
    <n v="208067"/>
    <x v="115"/>
    <x v="53"/>
    <x v="751"/>
    <d v="2021-08-15T00:00:00"/>
    <n v="30"/>
    <s v="días FACT."/>
    <s v="F200-43181"/>
    <m/>
    <d v="2021-10-30T00:00:00"/>
    <s v="CANCELADO"/>
    <s v="CFR"/>
    <m/>
    <x v="229"/>
    <n v="296.06"/>
    <m/>
    <x v="1373"/>
    <x v="10"/>
    <s v="Contenedor 20'"/>
    <m/>
    <s v="25 kg"/>
    <m/>
    <m/>
    <s v="SETIEMBRE '21"/>
    <x v="0"/>
    <d v="2021-09-16T00:00:00"/>
    <d v="2021-09-16T00:00:00"/>
    <d v="2021-10-01T00:00:00"/>
    <x v="745"/>
    <d v="2021-10-05T00:00:00"/>
    <m/>
    <x v="794"/>
    <n v="10"/>
    <n v="2021"/>
    <x v="0"/>
    <x v="0"/>
    <s v="CARTAGENA / COLOMBIA"/>
    <x v="2"/>
    <m/>
    <x v="3"/>
    <x v="1201"/>
    <d v="2021-09-23T00:00:00"/>
    <s v="POLAR PERU"/>
    <x v="293"/>
    <x v="6"/>
    <m/>
    <s v="REALIZADO"/>
    <s v="SWB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629"/>
    <m/>
    <x v="1372"/>
    <m/>
    <d v="2021-10-15T00:00:00"/>
    <d v="2021-10-18T00:00:00"/>
    <s v="CERRADO"/>
    <n v="208067"/>
    <x v="115"/>
    <x v="53"/>
    <x v="752"/>
    <d v="2021-08-15T00:00:00"/>
    <n v="30"/>
    <s v="días FACT."/>
    <s v="F200-43179"/>
    <m/>
    <d v="2021-10-30T00:00:00"/>
    <s v="CANCELADO"/>
    <s v="CFR"/>
    <m/>
    <x v="250"/>
    <n v="296.06"/>
    <m/>
    <x v="1370"/>
    <x v="20"/>
    <s v="Contenedor 20'"/>
    <m/>
    <s v="25 kg"/>
    <m/>
    <m/>
    <s v="SETIEMBRE '21"/>
    <x v="0"/>
    <d v="2021-09-29T00:00:00"/>
    <d v="2021-09-29T00:00:00"/>
    <d v="2021-10-05T00:00:00"/>
    <x v="714"/>
    <d v="2021-10-09T00:00:00"/>
    <m/>
    <x v="795"/>
    <n v="10"/>
    <n v="2021"/>
    <x v="0"/>
    <x v="0"/>
    <s v="CARTAGENA / COLOMBIA"/>
    <x v="2"/>
    <m/>
    <x v="1"/>
    <x v="1202"/>
    <d v="2021-09-29T00:00:00"/>
    <s v=" CMA CGM JEAN GABRIEL"/>
    <x v="354"/>
    <x v="9"/>
    <m/>
    <s v="REALIZADO"/>
    <s v="SWB"/>
    <m/>
    <m/>
    <m/>
    <x v="0"/>
    <m/>
    <m/>
    <x v="0"/>
    <x v="0"/>
    <m/>
    <m/>
    <x v="0"/>
    <e v="#REF!"/>
    <m/>
    <m/>
    <m/>
    <m/>
    <m/>
    <x v="0"/>
    <s v="anulada:  8000001571"/>
    <m/>
    <m/>
    <m/>
    <s v="NACIONALIZADO"/>
    <m/>
    <m/>
    <m/>
  </r>
  <r>
    <n v="2021"/>
    <s v="T-S"/>
    <x v="0"/>
    <x v="0"/>
    <m/>
    <m/>
    <x v="1630"/>
    <m/>
    <x v="1373"/>
    <m/>
    <d v="2021-10-14T00:00:00"/>
    <d v="2021-10-17T00:00:00"/>
    <s v="CERRADO"/>
    <n v="208067"/>
    <x v="115"/>
    <x v="53"/>
    <x v="753"/>
    <d v="2021-08-15T00:00:00"/>
    <n v="30"/>
    <s v="días FACT."/>
    <s v="F200-43178"/>
    <m/>
    <d v="2021-10-30T00:00:00"/>
    <s v="CANCELADO"/>
    <s v="CFR"/>
    <m/>
    <x v="148"/>
    <n v="296.06"/>
    <m/>
    <x v="1372"/>
    <x v="8"/>
    <s v="Contenedor 20'"/>
    <m/>
    <s v="25 kg"/>
    <m/>
    <m/>
    <s v="SETIEMBRE '21"/>
    <x v="0"/>
    <d v="2021-09-29T00:00:00"/>
    <d v="2021-09-29T00:00:00"/>
    <d v="2021-10-01T00:00:00"/>
    <x v="714"/>
    <d v="2021-10-05T00:00:00"/>
    <m/>
    <x v="695"/>
    <n v="10"/>
    <n v="2021"/>
    <x v="0"/>
    <x v="0"/>
    <s v="CARTAGENA / COLOMBIA"/>
    <x v="2"/>
    <m/>
    <x v="1"/>
    <x v="1203"/>
    <d v="2021-09-29T00:00:00"/>
    <s v=" CMA CGM JEAN GABRIEL"/>
    <x v="354"/>
    <x v="9"/>
    <m/>
    <s v="REALIZADO"/>
    <s v="SWB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631"/>
    <m/>
    <x v="1374"/>
    <m/>
    <d v="2021-10-27T00:00:00"/>
    <d v="2021-10-27T00:00:00"/>
    <s v="CERRADO"/>
    <n v="208067"/>
    <x v="115"/>
    <x v="53"/>
    <x v="754"/>
    <d v="2021-08-15T00:00:00"/>
    <n v="30"/>
    <s v="días FACT."/>
    <s v="F200-43188"/>
    <m/>
    <d v="2021-11-06T00:00:00"/>
    <s v="CANCELADO"/>
    <s v="CFR"/>
    <m/>
    <x v="309"/>
    <n v="296.06"/>
    <m/>
    <x v="1374"/>
    <x v="5"/>
    <s v="Contenedor 20'"/>
    <m/>
    <s v="25 kg"/>
    <m/>
    <m/>
    <s v="SETIEMBRE '21"/>
    <x v="0"/>
    <d v="1899-12-30T00:00:00"/>
    <d v="2021-10-06T00:00:00"/>
    <d v="2021-10-14T00:00:00"/>
    <x v="666"/>
    <d v="2021-10-18T00:00:00"/>
    <m/>
    <x v="694"/>
    <n v="10"/>
    <n v="2021"/>
    <x v="0"/>
    <x v="0"/>
    <s v="CARTAGENA / COLOMBIA"/>
    <x v="2"/>
    <m/>
    <x v="3"/>
    <x v="1204"/>
    <d v="2021-10-08T00:00:00"/>
    <s v="CALLAO EXPRESS"/>
    <x v="32"/>
    <x v="9"/>
    <m/>
    <s v="REALIZADO"/>
    <s v="SWB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632"/>
    <m/>
    <x v="1375"/>
    <m/>
    <d v="1899-12-30T00:00:00"/>
    <d v="2021-11-12T00:00:00"/>
    <s v="CERRADO"/>
    <n v="206689"/>
    <x v="141"/>
    <x v="53"/>
    <x v="734"/>
    <d v="2021-06-15T00:00:00"/>
    <s v="CAD"/>
    <m/>
    <s v="F200-43210"/>
    <m/>
    <d v="2021-11-01T00:00:00"/>
    <s v="CANCELADO"/>
    <s v="CFR"/>
    <m/>
    <x v="613"/>
    <n v="8600"/>
    <m/>
    <x v="1375"/>
    <x v="3"/>
    <s v="Contenedor 40'"/>
    <m/>
    <s v="5 kg"/>
    <m/>
    <m/>
    <s v="AGOSTO '21"/>
    <x v="0"/>
    <d v="1899-12-30T00:00:00"/>
    <d v="2021-10-06T00:00:00"/>
    <d v="2021-11-04T00:00:00"/>
    <x v="679"/>
    <d v="2021-11-08T00:00:00"/>
    <m/>
    <x v="728"/>
    <n v="11"/>
    <n v="2021"/>
    <x v="0"/>
    <x v="0"/>
    <s v="ROTTERDAM / PAISES BAJOS"/>
    <x v="2"/>
    <m/>
    <x v="3"/>
    <x v="1183"/>
    <d v="2021-10-07T00:00:00"/>
    <s v="GUAYAQUIL EXPRESS"/>
    <x v="42"/>
    <x v="2"/>
    <m/>
    <s v="PENDIENTE"/>
    <s v="SWB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633"/>
    <m/>
    <x v="1376"/>
    <m/>
    <d v="1899-12-30T00:00:00"/>
    <d v="2021-12-16T00:00:00"/>
    <s v="CERRADO"/>
    <n v="206688"/>
    <x v="142"/>
    <x v="53"/>
    <x v="735"/>
    <d v="2021-07-15T00:00:00"/>
    <s v="CAD"/>
    <m/>
    <s v="F200-43222"/>
    <m/>
    <d v="2021-11-28T00:00:00"/>
    <s v="CANCELADO"/>
    <s v="CFR"/>
    <m/>
    <x v="614"/>
    <n v="7200"/>
    <m/>
    <x v="1376"/>
    <x v="17"/>
    <s v="Contenedor 40'"/>
    <m/>
    <s v="5 kg"/>
    <m/>
    <m/>
    <s v="AGOSTO '21"/>
    <x v="0"/>
    <d v="1899-12-30T00:00:00"/>
    <d v="2021-11-12T00:00:00"/>
    <d v="2021-12-09T00:00:00"/>
    <x v="736"/>
    <d v="2021-12-13T00:00:00"/>
    <m/>
    <x v="787"/>
    <n v="12"/>
    <n v="2021"/>
    <x v="0"/>
    <x v="0"/>
    <s v="ROTTERDAM / PAISES BAJOS"/>
    <x v="2"/>
    <m/>
    <x v="3"/>
    <x v="1184"/>
    <d v="2021-11-10T00:00:00"/>
    <s v="CMA CGM JEAN GABRIEL"/>
    <x v="155"/>
    <x v="2"/>
    <m/>
    <s v="PENDIENTE"/>
    <s v="ORIGEN"/>
    <m/>
    <m/>
    <m/>
    <x v="0"/>
    <d v="2021-12-22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634"/>
    <m/>
    <x v="1377"/>
    <m/>
    <d v="1899-12-30T00:00:00"/>
    <d v="2021-11-12T00:00:00"/>
    <s v="CERRADO"/>
    <n v="206687"/>
    <x v="143"/>
    <x v="53"/>
    <x v="755"/>
    <d v="2021-06-15T00:00:00"/>
    <s v="CAD"/>
    <m/>
    <s v="F200-43213"/>
    <m/>
    <d v="2021-11-05T00:00:00"/>
    <s v="CANCELADO"/>
    <s v="CFR"/>
    <m/>
    <x v="607"/>
    <n v="8000"/>
    <m/>
    <x v="1377"/>
    <x v="3"/>
    <s v="Contenedor 40'"/>
    <m/>
    <s v="5 kg"/>
    <m/>
    <m/>
    <s v="AGOSTO '21"/>
    <x v="0"/>
    <d v="1899-12-30T00:00:00"/>
    <d v="2021-10-06T00:00:00"/>
    <d v="2021-11-04T00:00:00"/>
    <x v="679"/>
    <d v="2021-11-08T00:00:00"/>
    <m/>
    <x v="728"/>
    <n v="11"/>
    <n v="2021"/>
    <x v="0"/>
    <x v="0"/>
    <s v="ROTTERDAM / PAISES BAJOS"/>
    <x v="2"/>
    <m/>
    <x v="3"/>
    <x v="1183"/>
    <d v="2021-10-07T00:00:00"/>
    <s v="GUAYAQUIL EXPRESS"/>
    <x v="42"/>
    <x v="2"/>
    <m/>
    <s v="PENDIENTE"/>
    <s v="SWB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635"/>
    <m/>
    <x v="1378"/>
    <m/>
    <d v="1899-12-30T00:00:00"/>
    <d v="2021-12-16T00:00:00"/>
    <s v="CERRADO"/>
    <n v="206687"/>
    <x v="143"/>
    <x v="53"/>
    <x v="735"/>
    <d v="2021-07-15T00:00:00"/>
    <s v="CAD"/>
    <m/>
    <s v="F200-43224"/>
    <m/>
    <d v="2021-11-28T00:00:00"/>
    <s v="CANCELADO"/>
    <s v="CFR"/>
    <m/>
    <x v="615"/>
    <n v="8000"/>
    <m/>
    <x v="1378"/>
    <x v="17"/>
    <s v="Contenedor 40'"/>
    <m/>
    <s v="5 kg"/>
    <m/>
    <m/>
    <s v="AGOSTO '21"/>
    <x v="0"/>
    <d v="1899-12-30T00:00:00"/>
    <d v="2021-11-10T00:00:00"/>
    <d v="2021-12-09T00:00:00"/>
    <x v="736"/>
    <d v="2021-12-13T00:00:00"/>
    <m/>
    <x v="787"/>
    <n v="12"/>
    <n v="2021"/>
    <x v="0"/>
    <x v="0"/>
    <s v="ROTTERDAM / PAISES BAJOS"/>
    <x v="2"/>
    <m/>
    <x v="3"/>
    <x v="1184"/>
    <d v="2021-11-10T00:00:00"/>
    <s v="CMA CGM JEAN GABRIEL"/>
    <x v="155"/>
    <x v="2"/>
    <m/>
    <s v="PENDIENTE"/>
    <s v="ORIGEN"/>
    <m/>
    <m/>
    <m/>
    <x v="0"/>
    <d v="2021-12-22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636"/>
    <m/>
    <x v="1379"/>
    <m/>
    <d v="1899-12-30T00:00:00"/>
    <d v="2021-11-11T00:00:00"/>
    <s v="CERRADO"/>
    <n v="203562"/>
    <x v="144"/>
    <x v="53"/>
    <x v="756"/>
    <d v="2021-06-15T00:00:00"/>
    <s v="CAD"/>
    <m/>
    <s v="F200-43194"/>
    <m/>
    <d v="2021-10-17T00:00:00"/>
    <s v="CANCELADO"/>
    <s v="CFR"/>
    <m/>
    <x v="616"/>
    <n v="2937.2496000000001"/>
    <m/>
    <x v="1379"/>
    <x v="11"/>
    <s v="Contenedor 40'"/>
    <m/>
    <s v="10 LT"/>
    <m/>
    <m/>
    <s v="AGOSTO '21"/>
    <x v="0"/>
    <d v="2021-09-27T00:00:00"/>
    <d v="2021-10-08T00:00:00"/>
    <d v="2021-10-21T00:00:00"/>
    <x v="679"/>
    <d v="2021-10-25T00:00:00"/>
    <m/>
    <x v="730"/>
    <n v="11"/>
    <n v="2021"/>
    <x v="0"/>
    <x v="0"/>
    <s v="LONDRES / REINO UNIDO"/>
    <x v="2"/>
    <m/>
    <x v="3"/>
    <x v="1205"/>
    <d v="2021-10-08T00:00:00"/>
    <s v=" GUAYAQUIL EXPRESS"/>
    <x v="355"/>
    <x v="2"/>
    <m/>
    <s v="PENDIENTE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E-S"/>
    <x v="0"/>
    <x v="0"/>
    <m/>
    <m/>
    <x v="1637"/>
    <m/>
    <x v="1380"/>
    <m/>
    <d v="1899-12-30T00:00:00"/>
    <d v="2021-12-10T00:00:00"/>
    <s v="CERRADO"/>
    <n v="203620"/>
    <x v="57"/>
    <x v="51"/>
    <x v="757"/>
    <d v="2021-09-02T00:00:00"/>
    <n v="90"/>
    <s v="días BL"/>
    <s v="5000807"/>
    <m/>
    <d v="2022-01-23T00:00:00"/>
    <s v="CANCELADO"/>
    <s v="CPT"/>
    <m/>
    <x v="234"/>
    <n v="1059"/>
    <m/>
    <x v="1380"/>
    <x v="56"/>
    <s v="Contenedor 20'"/>
    <m/>
    <s v="IBC"/>
    <m/>
    <m/>
    <s v="1H OCT '21"/>
    <x v="0"/>
    <d v="1899-12-30T00:00:00"/>
    <d v="2021-10-25T00:00:00"/>
    <d v="2021-12-04T00:00:00"/>
    <x v="746"/>
    <d v="2021-12-08T00:00:00"/>
    <m/>
    <x v="796"/>
    <n v="12"/>
    <n v="2021"/>
    <x v="0"/>
    <x v="0"/>
    <s v="LA SPEZIA / ITALIA"/>
    <x v="2"/>
    <m/>
    <x v="3"/>
    <x v="1206"/>
    <d v="2021-10-25T00:00:00"/>
    <s v=" MSC MADHU B"/>
    <x v="356"/>
    <x v="4"/>
    <s v="MEDLOG"/>
    <s v="PENDIENTE"/>
    <s v="ORIGEN"/>
    <m/>
    <m/>
    <m/>
    <x v="0"/>
    <d v="2021-12-09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P"/>
    <x v="0"/>
    <x v="0"/>
    <m/>
    <m/>
    <x v="1638"/>
    <s v="2022-143"/>
    <x v="1381"/>
    <m/>
    <d v="1899-12-30T00:00:00"/>
    <d v="2021-12-03T00:00:00"/>
    <s v="CERRADO"/>
    <n v="203646"/>
    <x v="10"/>
    <x v="37"/>
    <x v="758"/>
    <d v="2021-09-07T00:00:00"/>
    <n v="90"/>
    <s v="días BL"/>
    <s v="38238"/>
    <m/>
    <d v="2022-02-05T00:00:00"/>
    <s v="CANCELADO"/>
    <s v="CFR"/>
    <m/>
    <x v="549"/>
    <n v="1557"/>
    <m/>
    <x v="1381"/>
    <x v="5"/>
    <s v="Contenedor 20'"/>
    <m/>
    <s v="IBC"/>
    <m/>
    <m/>
    <s v="OCTUBRE '21"/>
    <x v="0"/>
    <d v="2021-10-31T00:00:00"/>
    <d v="2021-11-07T00:00:00"/>
    <d v="2021-11-30T00:00:00"/>
    <x v="747"/>
    <d v="2021-12-04T00:00:00"/>
    <m/>
    <x v="797"/>
    <n v="12"/>
    <n v="2021"/>
    <x v="0"/>
    <x v="0"/>
    <s v="VERACRUZ / MEXICO"/>
    <x v="0"/>
    <m/>
    <x v="2"/>
    <x v="1207"/>
    <d v="2021-11-07T00:00:00"/>
    <s v="NYK DIANA"/>
    <x v="339"/>
    <x v="2"/>
    <m/>
    <s v="PENDIENTE"/>
    <s v="DESTINO"/>
    <m/>
    <m/>
    <m/>
    <x v="0"/>
    <d v="2021-12-13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P"/>
    <x v="0"/>
    <x v="0"/>
    <m/>
    <m/>
    <x v="1639"/>
    <m/>
    <x v="1382"/>
    <m/>
    <d v="1899-12-30T00:00:00"/>
    <d v="2021-11-13T00:00:00"/>
    <s v="CERRADO"/>
    <n v="206766"/>
    <x v="10"/>
    <x v="37"/>
    <x v="759"/>
    <d v="2021-09-07T00:00:00"/>
    <n v="90"/>
    <s v="días BL"/>
    <s v="37855"/>
    <m/>
    <d v="2022-01-11T00:00:00"/>
    <s v="CANCELADO"/>
    <s v="CFR"/>
    <m/>
    <x v="140"/>
    <n v="1546"/>
    <m/>
    <x v="1382"/>
    <x v="22"/>
    <s v="Contenedor 20'"/>
    <m/>
    <s v="50 kg"/>
    <m/>
    <m/>
    <s v="OCTUBRE '21"/>
    <x v="0"/>
    <d v="2021-10-31T00:00:00"/>
    <d v="2021-10-13T00:00:00"/>
    <d v="2021-11-05T00:00:00"/>
    <x v="748"/>
    <d v="2021-11-09T00:00:00"/>
    <m/>
    <x v="798"/>
    <n v="11"/>
    <n v="2021"/>
    <x v="0"/>
    <x v="0"/>
    <s v="VERACRUZ / MEXICO"/>
    <x v="0"/>
    <m/>
    <x v="2"/>
    <x v="1208"/>
    <d v="2021-10-14T00:00:00"/>
    <s v=" MAERSK BATUR"/>
    <x v="318"/>
    <x v="6"/>
    <m/>
    <s v="PENDIENTE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C"/>
    <x v="0"/>
    <x v="1"/>
    <s v="N/A"/>
    <m/>
    <x v="1640"/>
    <m/>
    <x v="34"/>
    <m/>
    <m/>
    <m/>
    <m/>
    <m/>
    <x v="32"/>
    <x v="54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1"/>
    <s v="S-C"/>
    <x v="0"/>
    <x v="1"/>
    <s v="N/A"/>
    <m/>
    <x v="1641"/>
    <m/>
    <x v="34"/>
    <m/>
    <m/>
    <m/>
    <m/>
    <m/>
    <x v="32"/>
    <x v="54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1"/>
    <s v="S-P"/>
    <x v="0"/>
    <x v="0"/>
    <m/>
    <m/>
    <x v="1642"/>
    <s v="2021-842"/>
    <x v="1383"/>
    <m/>
    <d v="2022-04-20T00:00:00"/>
    <d v="2022-05-02T00:00:00"/>
    <s v="CERRADO"/>
    <n v="207499"/>
    <x v="2"/>
    <x v="51"/>
    <x v="760"/>
    <d v="2021-09-14T00:00:00"/>
    <n v="90"/>
    <s v="días BL"/>
    <s v="5000906"/>
    <d v="2022-01-23T00:00:00"/>
    <d v="2022-04-23T00:00:00"/>
    <s v="CANCELADO"/>
    <s v="CFR"/>
    <s v="FIO - CQD"/>
    <x v="617"/>
    <n v="768"/>
    <n v="120"/>
    <x v="1383"/>
    <x v="3"/>
    <s v="Granel - BB"/>
    <s v="-"/>
    <s v="25 kg"/>
    <n v="1.2450000000000001"/>
    <s v="ROMERO FERTILIZANTES"/>
    <s v="OCTUBRE '21"/>
    <x v="0"/>
    <d v="1899-12-30T00:00:00"/>
    <d v="2022-01-30T00:00:00"/>
    <d v="2022-04-05T00:00:00"/>
    <x v="749"/>
    <d v="2022-04-15T00:00:00"/>
    <d v="2022-04-29T00:00:00"/>
    <x v="799"/>
    <n v="5"/>
    <n v="2022"/>
    <x v="0"/>
    <x v="0"/>
    <s v="CHINA"/>
    <x v="2"/>
    <s v="APM"/>
    <x v="3"/>
    <x v="1209"/>
    <d v="2022-01-23T00:00:00"/>
    <s v="MV QING YUN SHAN "/>
    <x v="357"/>
    <x v="0"/>
    <s v="AGUNSA"/>
    <s v="PENDIENTE"/>
    <m/>
    <m/>
    <m/>
    <m/>
    <x v="0"/>
    <m/>
    <m/>
    <x v="13"/>
    <x v="11"/>
    <s v="SADA DD"/>
    <s v="VERDE"/>
    <x v="0"/>
    <s v="OK"/>
    <m/>
    <m/>
    <m/>
    <m/>
    <m/>
    <x v="0"/>
    <m/>
    <m/>
    <m/>
    <m/>
    <s v="NACIONALIZADO"/>
    <m/>
    <m/>
    <m/>
  </r>
  <r>
    <n v="2021"/>
    <s v="G-S"/>
    <x v="0"/>
    <x v="0"/>
    <m/>
    <m/>
    <x v="1643"/>
    <m/>
    <x v="1384"/>
    <m/>
    <d v="1899-12-30T00:00:00"/>
    <d v="2021-12-16T00:00:00"/>
    <s v="CERRADO"/>
    <n v="203616"/>
    <x v="15"/>
    <x v="25"/>
    <x v="761"/>
    <d v="2021-09-03T00:00:00"/>
    <s v="CAD"/>
    <m/>
    <s v="TGOA-AS-211101-A"/>
    <m/>
    <d v="2021-11-12T00:00:00"/>
    <s v="CANCELADO"/>
    <s v="CFR"/>
    <m/>
    <x v="560"/>
    <n v="286"/>
    <n v="81.25"/>
    <x v="1384"/>
    <x v="3"/>
    <s v="Granel"/>
    <m/>
    <s v="Granel Sólido"/>
    <m/>
    <m/>
    <s v="2H SET- 1H OCT '21"/>
    <x v="0"/>
    <d v="2021-10-22T00:00:00"/>
    <d v="2021-11-18T00:00:00"/>
    <e v="#REF!"/>
    <x v="750"/>
    <d v="2021-12-22T00:00:00"/>
    <m/>
    <x v="800"/>
    <n v="12"/>
    <n v="2021"/>
    <x v="0"/>
    <x v="0"/>
    <s v="NANJING / CHINA"/>
    <x v="0"/>
    <m/>
    <x v="5"/>
    <x v="1210"/>
    <d v="2021-11-01T00:00:00"/>
    <s v="MV DORIC SHOGUN"/>
    <x v="358"/>
    <x v="0"/>
    <m/>
    <s v="PENDIENTE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644"/>
    <m/>
    <x v="1385"/>
    <m/>
    <d v="1899-12-30T00:00:00"/>
    <d v="2021-12-28T00:00:00"/>
    <s v="CERRADO"/>
    <n v="203616"/>
    <x v="15"/>
    <x v="25"/>
    <x v="761"/>
    <d v="2021-09-03T00:00:00"/>
    <s v="CAD"/>
    <m/>
    <s v="TGOA-AS-211101-B"/>
    <m/>
    <d v="2021-11-12T00:00:00"/>
    <s v="CANCELADO"/>
    <s v="CFR"/>
    <m/>
    <x v="228"/>
    <n v="286"/>
    <n v="81.25"/>
    <x v="1385"/>
    <x v="3"/>
    <s v="Granel"/>
    <m/>
    <s v="Granel Sólido"/>
    <m/>
    <m/>
    <s v="2H SET- 1H OCT '21"/>
    <x v="0"/>
    <d v="2021-10-22T00:00:00"/>
    <d v="2021-11-18T00:00:00"/>
    <e v="#REF!"/>
    <x v="751"/>
    <d v="2021-12-27T00:00:00"/>
    <m/>
    <x v="801"/>
    <n v="12"/>
    <n v="2021"/>
    <x v="0"/>
    <x v="0"/>
    <s v="NANJING / CHINA"/>
    <x v="1"/>
    <m/>
    <x v="2"/>
    <x v="1211"/>
    <d v="2021-11-01T00:00:00"/>
    <s v="MV DORIC SHOGUN"/>
    <x v="358"/>
    <x v="0"/>
    <m/>
    <s v="PENDIENTE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645"/>
    <m/>
    <x v="1386"/>
    <m/>
    <d v="1899-12-30T00:00:00"/>
    <d v="2021-12-30T00:00:00"/>
    <s v="CERRADO"/>
    <n v="203616"/>
    <x v="15"/>
    <x v="25"/>
    <x v="761"/>
    <d v="2021-09-03T00:00:00"/>
    <s v="CAD"/>
    <m/>
    <s v="TGOA-AS-211101-E"/>
    <m/>
    <d v="2021-11-12T00:00:00"/>
    <s v="CANCELADO"/>
    <s v="CFR"/>
    <m/>
    <x v="318"/>
    <n v="286"/>
    <n v="81.25"/>
    <x v="1386"/>
    <x v="3"/>
    <s v="Granel"/>
    <m/>
    <s v="Granel Sólido"/>
    <m/>
    <m/>
    <s v="2H SET- 1H OCT '21"/>
    <x v="0"/>
    <d v="2021-10-22T00:00:00"/>
    <d v="2021-11-18T00:00:00"/>
    <e v="#REF!"/>
    <x v="752"/>
    <d v="2021-12-31T00:00:00"/>
    <m/>
    <x v="802"/>
    <n v="12"/>
    <n v="2021"/>
    <x v="0"/>
    <x v="0"/>
    <s v="NANJING / CHINA"/>
    <x v="2"/>
    <m/>
    <x v="6"/>
    <x v="1212"/>
    <d v="2021-11-01T00:00:00"/>
    <s v="MV DORIC SHOGUN"/>
    <x v="358"/>
    <x v="0"/>
    <m/>
    <s v="PENDIENTE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646"/>
    <m/>
    <x v="1387"/>
    <m/>
    <d v="2022-01-04T00:00:00"/>
    <d v="2022-01-04T00:00:00"/>
    <s v="CERRADO"/>
    <n v="203616"/>
    <x v="15"/>
    <x v="25"/>
    <x v="761"/>
    <d v="2021-09-03T00:00:00"/>
    <s v="CAD"/>
    <m/>
    <s v="TGOA-AS-211101-C"/>
    <m/>
    <d v="2021-11-12T00:00:00"/>
    <s v="CANCELADO"/>
    <s v="CFR"/>
    <m/>
    <x v="35"/>
    <n v="286"/>
    <n v="81.25"/>
    <x v="1387"/>
    <x v="3"/>
    <s v="Granel"/>
    <m/>
    <s v="Granel Sólido"/>
    <m/>
    <m/>
    <s v="2H SET- 1H OCT '21"/>
    <x v="0"/>
    <d v="2021-10-22T00:00:00"/>
    <d v="2021-11-18T00:00:00"/>
    <d v="2022-01-01T00:00:00"/>
    <x v="753"/>
    <d v="2022-01-02T00:00:00"/>
    <m/>
    <x v="803"/>
    <n v="1"/>
    <n v="2022"/>
    <x v="0"/>
    <x v="0"/>
    <s v="NANJING / CHINA"/>
    <x v="4"/>
    <m/>
    <x v="2"/>
    <x v="1213"/>
    <d v="2021-11-01T00:00:00"/>
    <s v="MV DORIC SHOGUN"/>
    <x v="358"/>
    <x v="0"/>
    <m/>
    <s v="PENDIENTE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647"/>
    <m/>
    <x v="1388"/>
    <m/>
    <d v="1899-12-30T00:00:00"/>
    <d v="2021-12-23T00:00:00"/>
    <s v="CERRADO"/>
    <n v="206569"/>
    <x v="14"/>
    <x v="25"/>
    <x v="761"/>
    <d v="2021-09-03T00:00:00"/>
    <n v="120"/>
    <s v="días BL"/>
    <s v="TGOA-DAP-211102-C"/>
    <m/>
    <d v="2022-03-02T00:00:00"/>
    <s v="CANCELADO"/>
    <s v="CFR"/>
    <m/>
    <x v="35"/>
    <n v="727.01"/>
    <n v="81.25"/>
    <x v="1388"/>
    <x v="3"/>
    <s v="Granel"/>
    <m/>
    <s v="Granel Sólido"/>
    <m/>
    <m/>
    <s v="2H SET- 1H OCT '21"/>
    <x v="0"/>
    <d v="2021-10-22T00:00:00"/>
    <d v="2021-11-18T00:00:00"/>
    <e v="#REF!"/>
    <x v="750"/>
    <d v="2021-12-22T00:00:00"/>
    <m/>
    <x v="800"/>
    <n v="12"/>
    <n v="2021"/>
    <x v="0"/>
    <x v="0"/>
    <s v="NANJING / CHINA"/>
    <x v="0"/>
    <m/>
    <x v="1"/>
    <x v="1214"/>
    <d v="2021-11-02T00:00:00"/>
    <s v="MV DORIC SHOGUN"/>
    <x v="358"/>
    <x v="0"/>
    <m/>
    <s v="PENDIENTE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648"/>
    <m/>
    <x v="1389"/>
    <m/>
    <d v="1899-12-30T00:00:00"/>
    <d v="2021-12-28T00:00:00"/>
    <s v="CERRADO"/>
    <n v="206569"/>
    <x v="14"/>
    <x v="25"/>
    <x v="761"/>
    <d v="2021-09-03T00:00:00"/>
    <n v="120"/>
    <s v="días BL"/>
    <s v="TGOA-DAP-211102-D"/>
    <m/>
    <d v="2022-03-02T00:00:00"/>
    <s v="CANCELADO"/>
    <s v="CFR"/>
    <m/>
    <x v="1"/>
    <n v="727.01"/>
    <n v="81.25"/>
    <x v="1389"/>
    <x v="3"/>
    <s v="Granel"/>
    <m/>
    <s v="Granel Sólido"/>
    <m/>
    <m/>
    <s v="2H SET- 1H OCT '21"/>
    <x v="0"/>
    <d v="2021-10-22T00:00:00"/>
    <d v="2021-11-18T00:00:00"/>
    <e v="#REF!"/>
    <x v="751"/>
    <d v="2021-12-27T00:00:00"/>
    <m/>
    <x v="804"/>
    <n v="12"/>
    <n v="2021"/>
    <x v="0"/>
    <x v="0"/>
    <s v="NANJING / CHINA"/>
    <x v="1"/>
    <m/>
    <x v="2"/>
    <x v="1215"/>
    <d v="2021-11-02T00:00:00"/>
    <s v="MV DORIC SHOGUN"/>
    <x v="358"/>
    <x v="0"/>
    <m/>
    <s v="PENDIENTE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649"/>
    <m/>
    <x v="1390"/>
    <m/>
    <d v="1899-12-30T00:00:00"/>
    <d v="2021-12-30T00:00:00"/>
    <s v="CERRADO"/>
    <n v="206569"/>
    <x v="14"/>
    <x v="25"/>
    <x v="761"/>
    <d v="2021-09-03T00:00:00"/>
    <n v="120"/>
    <s v="días BL"/>
    <s v="TGOA-DAP-211102-E"/>
    <m/>
    <d v="2022-03-02T00:00:00"/>
    <s v="CANCELADO"/>
    <s v="CFR"/>
    <m/>
    <x v="402"/>
    <n v="727.01"/>
    <n v="81.25"/>
    <x v="1390"/>
    <x v="3"/>
    <s v="Granel"/>
    <m/>
    <s v="Granel Sólido"/>
    <m/>
    <m/>
    <s v="2H SET- 1H OCT '21"/>
    <x v="0"/>
    <d v="2021-10-22T00:00:00"/>
    <d v="2021-11-18T00:00:00"/>
    <e v="#REF!"/>
    <x v="752"/>
    <d v="2021-12-31T00:00:00"/>
    <m/>
    <x v="802"/>
    <n v="12"/>
    <n v="2021"/>
    <x v="0"/>
    <x v="0"/>
    <s v="NANJING / CHINA"/>
    <x v="2"/>
    <m/>
    <x v="6"/>
    <x v="1216"/>
    <d v="2021-11-02T00:00:00"/>
    <s v="MV DORIC SHOGUN"/>
    <x v="358"/>
    <x v="0"/>
    <m/>
    <s v="PENDIENTE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650"/>
    <m/>
    <x v="1391"/>
    <m/>
    <d v="2022-01-05T00:00:00"/>
    <d v="2022-01-05T00:00:00"/>
    <s v="CERRADO"/>
    <n v="206569"/>
    <x v="14"/>
    <x v="25"/>
    <x v="761"/>
    <d v="2021-09-03T00:00:00"/>
    <n v="120"/>
    <s v="días BL"/>
    <s v="TGOA-DAP-211102-F"/>
    <m/>
    <d v="2022-03-02T00:00:00"/>
    <s v="CANCELADO"/>
    <s v="CFR"/>
    <m/>
    <x v="17"/>
    <n v="727.01"/>
    <n v="81.25"/>
    <x v="1391"/>
    <x v="3"/>
    <s v="Granel"/>
    <m/>
    <s v="Granel Sólido"/>
    <m/>
    <m/>
    <s v="2H SET- 1H OCT '21"/>
    <x v="0"/>
    <d v="2021-10-22T00:00:00"/>
    <d v="2021-11-18T00:00:00"/>
    <d v="2022-01-01T00:00:00"/>
    <x v="753"/>
    <d v="2022-01-02T00:00:00"/>
    <m/>
    <x v="805"/>
    <n v="1"/>
    <n v="2022"/>
    <x v="0"/>
    <x v="0"/>
    <s v="NANJING / CHINA"/>
    <x v="4"/>
    <m/>
    <x v="2"/>
    <x v="1217"/>
    <d v="2021-11-02T00:00:00"/>
    <s v="MV DORIC SHOGUN"/>
    <x v="358"/>
    <x v="0"/>
    <m/>
    <s v="PENDIENTE"/>
    <m/>
    <m/>
    <m/>
    <m/>
    <x v="0"/>
    <m/>
    <m/>
    <x v="0"/>
    <x v="0"/>
    <m/>
    <m/>
    <x v="0"/>
    <e v="#REF!"/>
    <m/>
    <m/>
    <m/>
    <m/>
    <m/>
    <x v="0"/>
    <s v="anulada : 8000001640"/>
    <m/>
    <m/>
    <m/>
    <s v="NACIONALIZADO"/>
    <m/>
    <m/>
    <m/>
  </r>
  <r>
    <n v="2021"/>
    <s v="G-S"/>
    <x v="0"/>
    <x v="0"/>
    <m/>
    <m/>
    <x v="1651"/>
    <m/>
    <x v="1392"/>
    <m/>
    <d v="2022-01-05T00:00:00"/>
    <d v="2022-01-05T00:00:00"/>
    <s v="CERRADO"/>
    <n v="206569"/>
    <x v="14"/>
    <x v="25"/>
    <x v="761"/>
    <d v="2021-09-03T00:00:00"/>
    <n v="120"/>
    <s v="días BL"/>
    <s v="TGOA-DAP-211118-B"/>
    <m/>
    <d v="2022-03-18T00:00:00"/>
    <s v="CANCELADO"/>
    <s v="CFR"/>
    <m/>
    <x v="618"/>
    <n v="727.01"/>
    <n v="81.25"/>
    <x v="1392"/>
    <x v="3"/>
    <s v="Granel"/>
    <m/>
    <s v="Granel Sólido"/>
    <m/>
    <m/>
    <s v="2H SET- 1H OCT '21"/>
    <x v="0"/>
    <d v="2021-10-22T00:00:00"/>
    <d v="2021-11-18T00:00:00"/>
    <d v="2022-01-01T00:00:00"/>
    <x v="753"/>
    <d v="2022-01-02T00:00:00"/>
    <m/>
    <x v="805"/>
    <n v="1"/>
    <n v="2022"/>
    <x v="0"/>
    <x v="0"/>
    <s v="PANJING / CHINA"/>
    <x v="4"/>
    <m/>
    <x v="2"/>
    <x v="1218"/>
    <d v="2021-11-18T00:00:00"/>
    <s v="MV DORIC SHOGUN"/>
    <x v="358"/>
    <x v="0"/>
    <m/>
    <s v="PENDIENTE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652"/>
    <m/>
    <x v="1393"/>
    <m/>
    <d v="2022-01-05T00:00:00"/>
    <d v="2022-01-05T00:00:00"/>
    <s v="CERRADO"/>
    <n v="206569"/>
    <x v="14"/>
    <x v="25"/>
    <x v="761"/>
    <d v="2021-09-03T00:00:00"/>
    <s v="CAD"/>
    <m/>
    <s v="TGOA-DAP-211118-C"/>
    <m/>
    <d v="2021-11-30T00:00:00"/>
    <s v="CANCELADO"/>
    <s v="CFR"/>
    <m/>
    <x v="619"/>
    <n v="720"/>
    <n v="81.25"/>
    <x v="1393"/>
    <x v="3"/>
    <s v="Granel"/>
    <m/>
    <s v="Granel Sólido"/>
    <m/>
    <m/>
    <s v="2H SET- 1H OCT '21"/>
    <x v="0"/>
    <d v="2021-10-22T00:00:00"/>
    <d v="2021-11-18T00:00:00"/>
    <d v="2022-01-01T00:00:00"/>
    <x v="753"/>
    <d v="2022-01-02T00:00:00"/>
    <m/>
    <x v="805"/>
    <n v="1"/>
    <n v="2022"/>
    <x v="0"/>
    <x v="0"/>
    <s v="PANJING / CHINA"/>
    <x v="4"/>
    <m/>
    <x v="2"/>
    <x v="1219"/>
    <d v="2021-11-18T00:00:00"/>
    <s v="MV DORIC SHOGUN"/>
    <x v="358"/>
    <x v="0"/>
    <m/>
    <s v="PENDIENTE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1"/>
    <s v="N/A"/>
    <m/>
    <x v="1653"/>
    <m/>
    <x v="34"/>
    <m/>
    <m/>
    <m/>
    <m/>
    <m/>
    <x v="13"/>
    <x v="25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1"/>
    <s v="G-S"/>
    <x v="0"/>
    <x v="1"/>
    <s v="N/A"/>
    <m/>
    <x v="1654"/>
    <m/>
    <x v="34"/>
    <m/>
    <m/>
    <m/>
    <m/>
    <m/>
    <x v="13"/>
    <x v="25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1"/>
    <s v="G-S"/>
    <x v="0"/>
    <x v="1"/>
    <s v="N/A"/>
    <m/>
    <x v="1655"/>
    <m/>
    <x v="34"/>
    <m/>
    <m/>
    <m/>
    <m/>
    <m/>
    <x v="13"/>
    <x v="25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1"/>
    <s v="E-S"/>
    <x v="0"/>
    <x v="1"/>
    <s v="N/A"/>
    <m/>
    <x v="1656"/>
    <m/>
    <x v="34"/>
    <m/>
    <m/>
    <m/>
    <m/>
    <m/>
    <x v="48"/>
    <x v="25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1"/>
    <s v="E-S"/>
    <x v="0"/>
    <x v="1"/>
    <s v="N/A"/>
    <m/>
    <x v="1657"/>
    <m/>
    <x v="34"/>
    <m/>
    <m/>
    <m/>
    <m/>
    <m/>
    <x v="48"/>
    <x v="25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1"/>
    <s v="S-S"/>
    <x v="0"/>
    <x v="0"/>
    <m/>
    <m/>
    <x v="1658"/>
    <m/>
    <x v="1394"/>
    <m/>
    <d v="1899-12-30T00:00:00"/>
    <d v="2021-12-02T00:00:00"/>
    <s v="CERRADO"/>
    <n v="206966"/>
    <x v="16"/>
    <x v="63"/>
    <x v="762"/>
    <d v="2021-09-09T00:00:00"/>
    <n v="30"/>
    <s v="días BL"/>
    <s v="MC/EQ20211015CI01"/>
    <m/>
    <d v="2021-11-14T00:00:00"/>
    <s v="CANCELADO"/>
    <s v="CFR"/>
    <m/>
    <x v="100"/>
    <n v="982"/>
    <m/>
    <x v="1394"/>
    <x v="3"/>
    <s v="Granel - BB"/>
    <m/>
    <s v="25 kg"/>
    <m/>
    <m/>
    <s v="2H SET- 1H OCT '21"/>
    <x v="0"/>
    <d v="1899-12-30T00:00:00"/>
    <d v="2021-10-21T00:00:00"/>
    <d v="2021-11-24T00:00:00"/>
    <x v="710"/>
    <d v="2021-11-30T00:00:00"/>
    <m/>
    <x v="761"/>
    <n v="12"/>
    <n v="2021"/>
    <x v="0"/>
    <x v="0"/>
    <s v="TIANJIN / CHINA"/>
    <x v="3"/>
    <m/>
    <x v="1"/>
    <x v="1220"/>
    <d v="2021-10-21T00:00:00"/>
    <s v="MV GLOBAL LAGUNA"/>
    <x v="341"/>
    <x v="0"/>
    <m/>
    <s v="PENDIENTE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O-S"/>
    <x v="0"/>
    <x v="0"/>
    <m/>
    <m/>
    <x v="1659"/>
    <m/>
    <x v="1395"/>
    <m/>
    <d v="2022-03-15T00:00:00"/>
    <d v="2022-03-15T00:00:00"/>
    <s v="CERRADO"/>
    <n v="203553"/>
    <x v="123"/>
    <x v="53"/>
    <x v="763"/>
    <d v="2021-07-15T00:00:00"/>
    <s v="CAD"/>
    <m/>
    <s v="F200-43258"/>
    <m/>
    <d v="2022-02-04T00:00:00"/>
    <s v="CANCELADO"/>
    <s v="CFR"/>
    <m/>
    <x v="568"/>
    <n v="366.37"/>
    <m/>
    <x v="1395"/>
    <x v="1"/>
    <s v="Contenedor 20'"/>
    <m/>
    <s v="Granel Sólido"/>
    <m/>
    <m/>
    <s v="AGOSTO '21"/>
    <x v="0"/>
    <d v="1899-12-30T00:00:00"/>
    <d v="2021-12-01T00:00:00"/>
    <d v="2022-03-12T00:00:00"/>
    <x v="754"/>
    <d v="2022-03-15T00:00:00"/>
    <m/>
    <x v="806"/>
    <n v="3"/>
    <n v="2022"/>
    <x v="0"/>
    <x v="0"/>
    <s v="BREVIK / NORUEGA"/>
    <x v="4"/>
    <m/>
    <x v="2"/>
    <x v="1221"/>
    <d v="2021-12-01T00:00:00"/>
    <s v="KATHARINA SCHEPERS"/>
    <x v="129"/>
    <x v="2"/>
    <m/>
    <s v="PENDIENTE"/>
    <s v="DESTINO"/>
    <m/>
    <m/>
    <m/>
    <x v="0"/>
    <m/>
    <m/>
    <x v="14"/>
    <x v="12"/>
    <s v="SADA DD"/>
    <s v="VERDE"/>
    <x v="0"/>
    <e v="#REF!"/>
    <m/>
    <m/>
    <m/>
    <m/>
    <m/>
    <x v="0"/>
    <m/>
    <m/>
    <m/>
    <m/>
    <s v="NACIONALIZADO"/>
    <m/>
    <m/>
    <m/>
  </r>
  <r>
    <n v="2021"/>
    <s v="S-P"/>
    <x v="1"/>
    <x v="4"/>
    <s v="URGENTE"/>
    <m/>
    <x v="1660"/>
    <s v="2021-824"/>
    <x v="1396"/>
    <d v="2022-05-25T00:00:00"/>
    <d v="2022-04-21T00:00:00"/>
    <m/>
    <s v="PENDIENTE"/>
    <n v="206766"/>
    <x v="10"/>
    <x v="37"/>
    <x v="764"/>
    <d v="2021-09-09T00:00:00"/>
    <n v="90"/>
    <s v="días BL"/>
    <s v="39110"/>
    <d v="2022-02-22T00:00:00"/>
    <d v="2022-05-23T00:00:00"/>
    <s v="CANCELADO"/>
    <s v="CFR"/>
    <s v="N/A"/>
    <x v="63"/>
    <n v="1626"/>
    <n v="66.66"/>
    <x v="1396"/>
    <x v="7"/>
    <s v="Contenedor 20'"/>
    <s v="PALLETS"/>
    <s v="50 kg"/>
    <s v="-"/>
    <s v="S/M"/>
    <s v="1H NOV - 2H DIC '21"/>
    <x v="1"/>
    <d v="2022-02-21T00:00:00"/>
    <d v="2022-02-21T00:00:00"/>
    <d v="2022-05-27T00:00:00"/>
    <x v="755"/>
    <d v="2022-05-31T00:00:00"/>
    <d v="2022-06-02T00:00:00"/>
    <x v="807"/>
    <n v="6"/>
    <n v="2022"/>
    <x v="3"/>
    <x v="3"/>
    <s v="VERACRUZ"/>
    <x v="0"/>
    <s v="TPE"/>
    <x v="2"/>
    <x v="1222"/>
    <d v="2022-02-22T00:00:00"/>
    <s v=" SEALAND WASHINGTON"/>
    <x v="359"/>
    <x v="4"/>
    <s v="MEDLOG"/>
    <s v="REALIZADO"/>
    <s v="ORIGEN"/>
    <m/>
    <m/>
    <m/>
    <x v="1"/>
    <d v="2022-06-09T00:00:00"/>
    <m/>
    <x v="15"/>
    <x v="13"/>
    <s v="SADA DD"/>
    <s v="VERDE"/>
    <x v="0"/>
    <e v="#REF!"/>
    <s v="N/A"/>
    <s v="N/A"/>
    <s v="N/A"/>
    <s v="N/A"/>
    <s v="N/A"/>
    <x v="1"/>
    <s v="anulacion: 8000001632, 8000001877"/>
    <s v="CONGESTION EN PUERTO - INTERMEDIARIO"/>
    <m/>
    <m/>
    <m/>
    <m/>
    <m/>
    <m/>
  </r>
  <r>
    <n v="2021"/>
    <s v="S-P"/>
    <x v="0"/>
    <x v="0"/>
    <m/>
    <m/>
    <x v="1661"/>
    <s v="2021-823"/>
    <x v="1397"/>
    <m/>
    <d v="2022-03-21T00:00:00"/>
    <d v="2022-03-21T00:00:00"/>
    <s v="CERRADO"/>
    <n v="206766"/>
    <x v="10"/>
    <x v="37"/>
    <x v="764"/>
    <d v="2021-09-09T00:00:00"/>
    <n v="90"/>
    <s v="días BL"/>
    <s v="39169"/>
    <m/>
    <d v="2022-05-23T00:00:00"/>
    <s v="CANCELADO"/>
    <s v="CFR"/>
    <m/>
    <x v="21"/>
    <n v="1626"/>
    <m/>
    <x v="1397"/>
    <x v="2"/>
    <s v="Contenedor 20'"/>
    <m/>
    <s v="50 kg"/>
    <m/>
    <s v="S/M"/>
    <s v="1H NOV - 2H DIC '21"/>
    <x v="0"/>
    <d v="1899-12-30T00:00:00"/>
    <d v="2022-02-24T00:00:00"/>
    <d v="2022-03-15T00:00:00"/>
    <x v="756"/>
    <d v="2022-03-19T00:00:00"/>
    <m/>
    <x v="808"/>
    <n v="3"/>
    <n v="2022"/>
    <x v="0"/>
    <x v="0"/>
    <s v="VERACRUZ / MEXICO"/>
    <x v="0"/>
    <m/>
    <x v="2"/>
    <x v="1223"/>
    <d v="2022-02-24T00:00:00"/>
    <s v=" DIMITRIS C"/>
    <x v="360"/>
    <x v="2"/>
    <s v="TRAMARSA"/>
    <s v="PENDIENTE"/>
    <m/>
    <m/>
    <m/>
    <m/>
    <x v="0"/>
    <d v="2022-03-28T00:00:00"/>
    <m/>
    <x v="16"/>
    <x v="14"/>
    <s v="SADA DD"/>
    <s v="NARANJA"/>
    <x v="0"/>
    <e v="#REF!"/>
    <m/>
    <m/>
    <m/>
    <m/>
    <m/>
    <x v="0"/>
    <s v="COSTEO OBSERVADO"/>
    <m/>
    <m/>
    <m/>
    <s v="NACIONALIZADO"/>
    <m/>
    <m/>
    <m/>
  </r>
  <r>
    <n v="2021"/>
    <s v="S-P"/>
    <x v="0"/>
    <x v="0"/>
    <m/>
    <m/>
    <x v="1662"/>
    <s v="2021-824"/>
    <x v="1398"/>
    <m/>
    <d v="2022-04-19T00:00:00"/>
    <d v="2022-04-20T00:00:00"/>
    <s v="CERRADO"/>
    <n v="206766"/>
    <x v="10"/>
    <x v="37"/>
    <x v="764"/>
    <d v="2021-09-09T00:00:00"/>
    <n v="90"/>
    <s v="días BL"/>
    <s v="39137"/>
    <d v="2022-03-08T00:00:00"/>
    <d v="2022-06-06T00:00:00"/>
    <s v="PENDIENTE"/>
    <s v="CFR"/>
    <m/>
    <x v="21"/>
    <n v="1626"/>
    <n v="58.46"/>
    <x v="1397"/>
    <x v="2"/>
    <s v="Contenedor 20'"/>
    <m/>
    <s v="50 kg"/>
    <s v="-"/>
    <s v="S/M"/>
    <s v="1H NOV - 2H DIC '21"/>
    <x v="0"/>
    <d v="1899-12-30T00:00:00"/>
    <d v="2022-03-08T00:00:00"/>
    <d v="2022-04-08T00:00:00"/>
    <x v="757"/>
    <d v="2022-04-12T00:00:00"/>
    <m/>
    <x v="809"/>
    <n v="4"/>
    <n v="2022"/>
    <x v="0"/>
    <x v="4"/>
    <s v="VERACRUZ / MEXICO"/>
    <x v="2"/>
    <s v="DPWC"/>
    <x v="3"/>
    <x v="1224"/>
    <d v="2022-03-08T00:00:00"/>
    <s v="TIRUA"/>
    <x v="361"/>
    <x v="2"/>
    <s v="TRAMARSA"/>
    <s v="REALIZADO"/>
    <s v="ORIGEN"/>
    <m/>
    <m/>
    <m/>
    <x v="0"/>
    <d v="2022-04-21T00:00:00"/>
    <m/>
    <x v="17"/>
    <x v="15"/>
    <s v="SADA PL"/>
    <s v="VERDE"/>
    <x v="0"/>
    <e v="#REF!"/>
    <m/>
    <m/>
    <m/>
    <m/>
    <m/>
    <x v="0"/>
    <m/>
    <m/>
    <m/>
    <m/>
    <s v="NACIONALIZADO"/>
    <m/>
    <m/>
    <m/>
  </r>
  <r>
    <n v="2021"/>
    <s v="S-P"/>
    <x v="0"/>
    <x v="0"/>
    <m/>
    <m/>
    <x v="1663"/>
    <m/>
    <x v="1399"/>
    <m/>
    <d v="2022-01-24T00:00:00"/>
    <d v="2022-01-24T00:00:00"/>
    <s v="CERRADO"/>
    <n v="206766"/>
    <x v="10"/>
    <x v="37"/>
    <x v="765"/>
    <d v="2021-09-09T00:00:00"/>
    <n v="90"/>
    <s v="días BL"/>
    <s v="38657"/>
    <m/>
    <d v="2022-03-26T00:00:00"/>
    <s v="CANCELADO"/>
    <s v="CFR"/>
    <m/>
    <x v="140"/>
    <n v="1546"/>
    <m/>
    <x v="1382"/>
    <x v="22"/>
    <s v="Contenedor 20'"/>
    <m/>
    <s v="50 kg"/>
    <m/>
    <m/>
    <s v="DICIEMBRE '21"/>
    <x v="0"/>
    <d v="1899-12-30T00:00:00"/>
    <d v="2021-12-26T00:00:00"/>
    <d v="2022-01-14T00:00:00"/>
    <x v="613"/>
    <d v="2022-01-18T00:00:00"/>
    <m/>
    <x v="810"/>
    <n v="1"/>
    <n v="2022"/>
    <x v="0"/>
    <x v="0"/>
    <s v="VERACRUZ / MEXICO"/>
    <x v="0"/>
    <m/>
    <x v="2"/>
    <x v="1225"/>
    <d v="2021-12-26T00:00:00"/>
    <s v="MAERSK BRANI"/>
    <x v="193"/>
    <x v="6"/>
    <s v="IAN TAYLOR"/>
    <s v="PENDIENTE"/>
    <m/>
    <m/>
    <m/>
    <m/>
    <x v="0"/>
    <d v="2022-01-28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664"/>
    <m/>
    <x v="1400"/>
    <m/>
    <d v="2021-10-27T00:00:00"/>
    <d v="2021-11-02T00:00:00"/>
    <s v="CERRADO"/>
    <n v="203616"/>
    <x v="15"/>
    <x v="37"/>
    <x v="766"/>
    <d v="2021-09-08T00:00:00"/>
    <s v="CAD"/>
    <m/>
    <s v="I-37631"/>
    <m/>
    <d v="2021-09-24T00:00:00"/>
    <s v="CANCELADO"/>
    <s v="CFR"/>
    <m/>
    <x v="152"/>
    <n v="280"/>
    <m/>
    <x v="1398"/>
    <x v="3"/>
    <s v="Granel"/>
    <m/>
    <s v="Granel Sólido"/>
    <m/>
    <m/>
    <s v="2H SET '21"/>
    <x v="0"/>
    <d v="1899-12-30T00:00:00"/>
    <d v="2021-09-25T00:00:00"/>
    <d v="2021-10-26T00:00:00"/>
    <x v="732"/>
    <d v="2021-10-28T00:00:00"/>
    <m/>
    <x v="811"/>
    <n v="10"/>
    <n v="2021"/>
    <x v="0"/>
    <x v="0"/>
    <s v="ZHANGJIAGANG / CHINA"/>
    <x v="0"/>
    <m/>
    <x v="5"/>
    <x v="1226"/>
    <d v="2021-09-24T00:00:00"/>
    <s v="MV BBG KINDNESS"/>
    <x v="352"/>
    <x v="0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665"/>
    <m/>
    <x v="1401"/>
    <m/>
    <d v="1899-12-30T00:00:00"/>
    <d v="2021-11-23T00:00:00"/>
    <s v="CERRADO"/>
    <n v="203616"/>
    <x v="15"/>
    <x v="37"/>
    <x v="766"/>
    <d v="2021-09-08T00:00:00"/>
    <s v="CAD"/>
    <m/>
    <s v="I-37632"/>
    <m/>
    <d v="2021-09-24T00:00:00"/>
    <s v="CANCELADO"/>
    <s v="CFR"/>
    <m/>
    <x v="100"/>
    <n v="280"/>
    <m/>
    <x v="1399"/>
    <x v="3"/>
    <s v="Granel"/>
    <m/>
    <s v="Granel Sólido"/>
    <m/>
    <m/>
    <s v="2H SET '21"/>
    <x v="0"/>
    <d v="1899-12-30T00:00:00"/>
    <d v="2021-09-25T00:00:00"/>
    <d v="2021-11-09T00:00:00"/>
    <x v="735"/>
    <d v="2021-11-19T00:00:00"/>
    <m/>
    <x v="785"/>
    <n v="11"/>
    <n v="2021"/>
    <x v="0"/>
    <x v="0"/>
    <s v="ZHANGJIAGANG / CHINA"/>
    <x v="1"/>
    <m/>
    <x v="2"/>
    <x v="1227"/>
    <d v="2021-09-24T00:00:00"/>
    <s v="MV BBG KINDNESS"/>
    <x v="352"/>
    <x v="0"/>
    <m/>
    <s v="PENDIENTE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666"/>
    <m/>
    <x v="1402"/>
    <m/>
    <d v="2021-10-27T00:00:00"/>
    <d v="2021-10-28T00:00:00"/>
    <s v="CERRADO"/>
    <n v="208300"/>
    <x v="47"/>
    <x v="37"/>
    <x v="767"/>
    <d v="2021-09-08T00:00:00"/>
    <s v="CAD"/>
    <m/>
    <s v="I-37466"/>
    <m/>
    <d v="2021-09-27T00:00:00"/>
    <s v="CANCELADO"/>
    <s v="CFR"/>
    <m/>
    <x v="250"/>
    <n v="340"/>
    <m/>
    <x v="1400"/>
    <x v="3"/>
    <s v="Granel"/>
    <m/>
    <s v="Granel Sólido"/>
    <m/>
    <m/>
    <s v="2H SET '21"/>
    <x v="0"/>
    <d v="1899-12-30T00:00:00"/>
    <d v="2021-09-25T00:00:00"/>
    <d v="2021-10-26T00:00:00"/>
    <x v="732"/>
    <d v="2021-10-28T00:00:00"/>
    <m/>
    <x v="811"/>
    <n v="10"/>
    <n v="2021"/>
    <x v="0"/>
    <x v="0"/>
    <s v="YANGZHONG / CHINA"/>
    <x v="0"/>
    <m/>
    <x v="2"/>
    <x v="1228"/>
    <d v="2021-09-09T00:00:00"/>
    <s v="MV BBG KINDNESS"/>
    <x v="352"/>
    <x v="0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667"/>
    <m/>
    <x v="1403"/>
    <m/>
    <d v="1899-12-30T00:00:00"/>
    <d v="2021-11-23T00:00:00"/>
    <s v="CERRADO"/>
    <n v="208300"/>
    <x v="47"/>
    <x v="37"/>
    <x v="767"/>
    <d v="2021-09-08T00:00:00"/>
    <s v="CAD"/>
    <m/>
    <s v="I-37467"/>
    <m/>
    <d v="2021-09-27T00:00:00"/>
    <s v="CANCELADO"/>
    <s v="CFR"/>
    <m/>
    <x v="250"/>
    <n v="340"/>
    <m/>
    <x v="1400"/>
    <x v="3"/>
    <s v="Granel"/>
    <m/>
    <s v="Granel Sólido"/>
    <m/>
    <m/>
    <s v="2H SET '21"/>
    <x v="0"/>
    <d v="1899-12-30T00:00:00"/>
    <d v="2021-09-25T00:00:00"/>
    <d v="2021-11-09T00:00:00"/>
    <x v="735"/>
    <d v="2021-11-19T00:00:00"/>
    <m/>
    <x v="785"/>
    <n v="11"/>
    <n v="2021"/>
    <x v="0"/>
    <x v="0"/>
    <s v="YANGZHONG / CHINA"/>
    <x v="1"/>
    <m/>
    <x v="2"/>
    <x v="1229"/>
    <d v="2021-09-09T00:00:00"/>
    <s v="MV BBG KINDNESS"/>
    <x v="352"/>
    <x v="0"/>
    <m/>
    <s v="PENDIENTE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S"/>
    <x v="0"/>
    <x v="0"/>
    <m/>
    <m/>
    <x v="1668"/>
    <m/>
    <x v="1404"/>
    <m/>
    <d v="2022-02-03T00:00:00"/>
    <d v="2022-02-03T00:00:00"/>
    <s v="CERRADO"/>
    <s v=" "/>
    <x v="3"/>
    <x v="51"/>
    <x v="768"/>
    <d v="2021-09-08T00:00:00"/>
    <s v="CAD"/>
    <m/>
    <s v="5000853"/>
    <m/>
    <d v="2021-12-20T00:00:00"/>
    <s v="CANCELADO"/>
    <s v="CFR"/>
    <m/>
    <x v="620"/>
    <n v="946.18"/>
    <n v="234.79"/>
    <x v="1401"/>
    <x v="3"/>
    <s v="Granel - BB"/>
    <m/>
    <s v="BB - Granel"/>
    <m/>
    <m/>
    <s v="4W NOV '21 - DIC '21"/>
    <x v="0"/>
    <d v="1899-12-30T00:00:00"/>
    <d v="2021-12-11T00:00:00"/>
    <d v="2022-02-02T00:00:00"/>
    <x v="758"/>
    <d v="2022-02-04T00:00:00"/>
    <m/>
    <x v="812"/>
    <n v="2"/>
    <n v="2022"/>
    <x v="0"/>
    <x v="0"/>
    <s v="SUAO / TAIWAN"/>
    <x v="1"/>
    <m/>
    <x v="2"/>
    <x v="1230"/>
    <d v="2021-12-11T00:00:00"/>
    <s v="TCLC QUANZHOU"/>
    <x v="345"/>
    <x v="0"/>
    <m/>
    <s v="PENDIENTE"/>
    <s v="ORIGEN"/>
    <m/>
    <m/>
    <m/>
    <x v="0"/>
    <m/>
    <m/>
    <x v="18"/>
    <x v="16"/>
    <s v="SADA DD"/>
    <s v="VERDE"/>
    <x v="0"/>
    <e v="#REF!"/>
    <m/>
    <m/>
    <m/>
    <m/>
    <m/>
    <x v="0"/>
    <m/>
    <m/>
    <m/>
    <m/>
    <s v="NACIONALIZADO"/>
    <m/>
    <m/>
    <m/>
  </r>
  <r>
    <n v="2021"/>
    <s v="S-S"/>
    <x v="0"/>
    <x v="0"/>
    <m/>
    <m/>
    <x v="1669"/>
    <m/>
    <x v="1405"/>
    <m/>
    <d v="2022-02-28T00:00:00"/>
    <d v="2022-02-28T00:00:00"/>
    <s v="CERRADO"/>
    <n v="206713"/>
    <x v="3"/>
    <x v="51"/>
    <x v="768"/>
    <d v="2021-09-08T00:00:00"/>
    <s v="CAD"/>
    <m/>
    <s v="5000852"/>
    <m/>
    <d v="2021-12-20T00:00:00"/>
    <s v="CANCELADO"/>
    <s v="CFR"/>
    <s v="FIO"/>
    <x v="621"/>
    <n v="793.14286407766895"/>
    <n v="234.79"/>
    <x v="1402"/>
    <x v="3"/>
    <s v="Granel - BB"/>
    <m/>
    <s v="BB - Granel"/>
    <m/>
    <m/>
    <s v="4W NOV '21 - DIC '21"/>
    <x v="0"/>
    <d v="1899-12-30T00:00:00"/>
    <d v="2021-12-11T00:00:00"/>
    <e v="#REF!"/>
    <x v="722"/>
    <d v="2022-02-17T00:00:00"/>
    <m/>
    <x v="768"/>
    <n v="2"/>
    <n v="2022"/>
    <x v="0"/>
    <x v="0"/>
    <s v="SUAO / TAIWAN"/>
    <x v="2"/>
    <m/>
    <x v="3"/>
    <x v="1154"/>
    <d v="2021-12-11T00:00:00"/>
    <s v="TCLC QUANZHOU"/>
    <x v="345"/>
    <x v="0"/>
    <m/>
    <s v="PENDIENTE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670"/>
    <m/>
    <x v="1406"/>
    <m/>
    <d v="2022-02-04T00:00:00"/>
    <d v="2022-02-04T00:00:00"/>
    <s v="CERRADO"/>
    <n v="206621"/>
    <x v="1"/>
    <x v="51"/>
    <x v="769"/>
    <d v="2021-09-08T00:00:00"/>
    <s v="CAD"/>
    <m/>
    <s v="5000855"/>
    <m/>
    <d v="2021-12-20T00:00:00"/>
    <s v="CANCELADO"/>
    <s v="CFR"/>
    <m/>
    <x v="622"/>
    <n v="966.18"/>
    <n v="234.79"/>
    <x v="1403"/>
    <x v="3"/>
    <s v="Granel - BB"/>
    <m/>
    <s v="BB - Granel"/>
    <m/>
    <m/>
    <s v="4W NOV '21 - DIC '21"/>
    <x v="0"/>
    <d v="1899-12-30T00:00:00"/>
    <d v="2021-12-11T00:00:00"/>
    <d v="2022-02-02T00:00:00"/>
    <x v="758"/>
    <d v="2022-02-04T00:00:00"/>
    <m/>
    <x v="813"/>
    <n v="2"/>
    <n v="2022"/>
    <x v="0"/>
    <x v="0"/>
    <s v="SUAO / TAIWAN"/>
    <x v="1"/>
    <m/>
    <x v="2"/>
    <x v="1231"/>
    <d v="2021-12-11T00:00:00"/>
    <s v="TCLC QUANZHOU"/>
    <x v="345"/>
    <x v="0"/>
    <m/>
    <s v="PENDIENTE"/>
    <s v="ORIGEN"/>
    <m/>
    <m/>
    <m/>
    <x v="0"/>
    <m/>
    <m/>
    <x v="19"/>
    <x v="16"/>
    <s v="SADA DD"/>
    <s v="VERDE"/>
    <x v="0"/>
    <e v="#REF!"/>
    <m/>
    <m/>
    <m/>
    <m/>
    <m/>
    <x v="0"/>
    <s v="anulada : 8000001689"/>
    <m/>
    <m/>
    <m/>
    <s v="NACIONALIZADO"/>
    <m/>
    <m/>
    <m/>
  </r>
  <r>
    <n v="2021"/>
    <s v="G-S"/>
    <x v="0"/>
    <x v="0"/>
    <m/>
    <m/>
    <x v="1671"/>
    <m/>
    <x v="1407"/>
    <m/>
    <d v="2022-03-01T00:00:00"/>
    <d v="2022-03-01T00:00:00"/>
    <s v="CERRADO"/>
    <n v="206621"/>
    <x v="1"/>
    <x v="51"/>
    <x v="769"/>
    <d v="2021-09-08T00:00:00"/>
    <s v="CAD"/>
    <m/>
    <s v="5000854"/>
    <m/>
    <d v="2021-12-20T00:00:00"/>
    <s v="CANCELADO"/>
    <s v="CFR"/>
    <s v="FIO"/>
    <x v="4"/>
    <n v="966.18"/>
    <n v="234.79"/>
    <x v="1404"/>
    <x v="3"/>
    <s v="Granel - BB"/>
    <m/>
    <s v="BB - Granel"/>
    <m/>
    <m/>
    <s v="4W NOV '21 - DIC '21"/>
    <x v="0"/>
    <d v="1899-12-30T00:00:00"/>
    <d v="2021-12-11T00:00:00"/>
    <e v="#REF!"/>
    <x v="722"/>
    <d v="2022-02-17T00:00:00"/>
    <m/>
    <x v="814"/>
    <n v="3"/>
    <n v="2022"/>
    <x v="0"/>
    <x v="0"/>
    <s v="SUAO / TAIWAN"/>
    <x v="2"/>
    <m/>
    <x v="3"/>
    <x v="1232"/>
    <d v="2021-12-11T00:00:00"/>
    <s v="TCLC QUANZHOU"/>
    <x v="345"/>
    <x v="0"/>
    <m/>
    <s v="PENDIENTE"/>
    <s v="ORIGEN"/>
    <m/>
    <m/>
    <m/>
    <x v="0"/>
    <m/>
    <m/>
    <x v="20"/>
    <x v="8"/>
    <s v="SADA DD"/>
    <s v="VERDE"/>
    <x v="0"/>
    <e v="#REF!"/>
    <m/>
    <m/>
    <m/>
    <m/>
    <m/>
    <x v="0"/>
    <s v="anulada:8000001658"/>
    <m/>
    <m/>
    <m/>
    <s v="NACIONALIZADO"/>
    <m/>
    <m/>
    <m/>
  </r>
  <r>
    <n v="2021"/>
    <s v="S-C"/>
    <x v="0"/>
    <x v="0"/>
    <m/>
    <m/>
    <x v="1672"/>
    <m/>
    <x v="1408"/>
    <m/>
    <d v="2021-10-30T00:00:00"/>
    <d v="2021-10-30T00:00:00"/>
    <s v="CERRADO"/>
    <n v="207580"/>
    <x v="32"/>
    <x v="61"/>
    <x v="8"/>
    <d v="2021-09-15T00:00:00"/>
    <n v="60"/>
    <s v="días FACT."/>
    <s v="Nº 29"/>
    <m/>
    <d v="2021-12-02T00:00:00"/>
    <s v="CANCELADO"/>
    <s v="CPT"/>
    <m/>
    <x v="292"/>
    <n v="795"/>
    <m/>
    <x v="1405"/>
    <x v="7"/>
    <s v="Camión"/>
    <m/>
    <s v="25 kg"/>
    <m/>
    <m/>
    <s v="OCTUBRE '21"/>
    <x v="0"/>
    <d v="1899-12-30T00:00:00"/>
    <d v="2021-10-20T00:00:00"/>
    <d v="2021-10-22T00:00:00"/>
    <x v="712"/>
    <d v="2021-10-22T00:00:00"/>
    <m/>
    <x v="793"/>
    <n v="10"/>
    <n v="2021"/>
    <x v="0"/>
    <x v="0"/>
    <s v="IQUIQUE / CHILE"/>
    <x v="4"/>
    <m/>
    <x v="4"/>
    <x v="1233"/>
    <d v="2021-10-03T00:00:00"/>
    <s v="CAMION"/>
    <x v="344"/>
    <x v="4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C"/>
    <x v="0"/>
    <x v="0"/>
    <m/>
    <m/>
    <x v="1673"/>
    <m/>
    <x v="1409"/>
    <m/>
    <d v="2021-10-30T00:00:00"/>
    <d v="2021-10-30T00:00:00"/>
    <s v="CERRADO"/>
    <n v="207580"/>
    <x v="32"/>
    <x v="61"/>
    <x v="8"/>
    <d v="2021-09-15T00:00:00"/>
    <n v="60"/>
    <s v="días FACT."/>
    <s v="Nº 32"/>
    <m/>
    <d v="2021-12-17T00:00:00"/>
    <s v="CANCELADO"/>
    <s v="CPT"/>
    <m/>
    <x v="24"/>
    <n v="795"/>
    <m/>
    <x v="1406"/>
    <x v="2"/>
    <s v="Camión"/>
    <m/>
    <s v="25 kg"/>
    <m/>
    <m/>
    <s v="OCTUBRE '21"/>
    <x v="0"/>
    <d v="1899-12-30T00:00:00"/>
    <d v="2021-10-27T00:00:00"/>
    <d v="2021-10-29T00:00:00"/>
    <x v="611"/>
    <d v="2021-10-29T00:00:00"/>
    <m/>
    <x v="762"/>
    <n v="10"/>
    <n v="2021"/>
    <x v="0"/>
    <x v="0"/>
    <s v="IQUIQUE / CHILE"/>
    <x v="4"/>
    <m/>
    <x v="4"/>
    <x v="1233"/>
    <d v="2021-10-18T00:00:00"/>
    <s v="CAMION"/>
    <x v="344"/>
    <x v="4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C"/>
    <x v="0"/>
    <x v="0"/>
    <m/>
    <m/>
    <x v="1674"/>
    <m/>
    <x v="1410"/>
    <m/>
    <d v="2021-10-30T00:00:00"/>
    <d v="2021-10-30T00:00:00"/>
    <s v="CERRADO"/>
    <n v="207580"/>
    <x v="32"/>
    <x v="61"/>
    <x v="8"/>
    <d v="2021-09-15T00:00:00"/>
    <n v="60"/>
    <s v="días FACT."/>
    <s v="Nº 29"/>
    <m/>
    <d v="2021-12-02T00:00:00"/>
    <s v="CANCELADO"/>
    <s v="CPT"/>
    <m/>
    <x v="292"/>
    <n v="795"/>
    <m/>
    <x v="1405"/>
    <x v="7"/>
    <s v="Camión"/>
    <m/>
    <s v="25 kg"/>
    <m/>
    <m/>
    <s v="OCTUBRE '21"/>
    <x v="0"/>
    <d v="1899-12-30T00:00:00"/>
    <d v="2021-10-26T00:00:00"/>
    <d v="2021-10-28T00:00:00"/>
    <x v="759"/>
    <d v="2021-10-28T00:00:00"/>
    <m/>
    <x v="811"/>
    <n v="10"/>
    <n v="2021"/>
    <x v="0"/>
    <x v="0"/>
    <s v="IQUIQUE / CHILE"/>
    <x v="4"/>
    <m/>
    <x v="4"/>
    <x v="1234"/>
    <d v="2021-10-03T00:00:00"/>
    <s v="CAMION"/>
    <x v="344"/>
    <x v="4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C"/>
    <x v="0"/>
    <x v="0"/>
    <m/>
    <m/>
    <x v="1675"/>
    <m/>
    <x v="1411"/>
    <m/>
    <d v="1899-12-30T00:00:00"/>
    <d v="2021-11-15T00:00:00"/>
    <s v="CERRADO"/>
    <n v="207580"/>
    <x v="32"/>
    <x v="61"/>
    <x v="8"/>
    <d v="2021-09-15T00:00:00"/>
    <n v="60"/>
    <s v="días FACT."/>
    <s v="Nº 37"/>
    <m/>
    <d v="2021-12-24T00:00:00"/>
    <s v="CANCELADO"/>
    <s v="CPT"/>
    <m/>
    <x v="24"/>
    <n v="795"/>
    <m/>
    <x v="1406"/>
    <x v="2"/>
    <s v="Camión"/>
    <m/>
    <s v="25 kg"/>
    <m/>
    <m/>
    <s v="OCTUBRE '21"/>
    <x v="0"/>
    <d v="1899-12-30T00:00:00"/>
    <d v="2021-11-03T00:00:00"/>
    <d v="2021-11-05T00:00:00"/>
    <x v="748"/>
    <d v="2021-11-05T00:00:00"/>
    <m/>
    <x v="779"/>
    <n v="11"/>
    <n v="2021"/>
    <x v="0"/>
    <x v="0"/>
    <s v="IQUIQUE / CHILE"/>
    <x v="4"/>
    <m/>
    <x v="4"/>
    <x v="1235"/>
    <d v="2021-10-28T00:00:00"/>
    <s v="CAMION"/>
    <x v="344"/>
    <x v="38"/>
    <m/>
    <s v="NO APLICA"/>
    <s v="ORIGEN"/>
    <m/>
    <m/>
    <m/>
    <x v="0"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C"/>
    <x v="0"/>
    <x v="0"/>
    <m/>
    <m/>
    <x v="1676"/>
    <m/>
    <x v="1412"/>
    <m/>
    <d v="1899-12-30T00:00:00"/>
    <d v="2021-11-15T00:00:00"/>
    <s v="CERRADO"/>
    <n v="207580"/>
    <x v="32"/>
    <x v="61"/>
    <x v="8"/>
    <d v="2021-09-15T00:00:00"/>
    <n v="60"/>
    <s v="días FACT."/>
    <s v="Nº 29"/>
    <m/>
    <d v="2021-12-02T00:00:00"/>
    <s v="CANCELADO"/>
    <s v="CPT"/>
    <m/>
    <x v="623"/>
    <n v="795"/>
    <m/>
    <x v="1407"/>
    <x v="5"/>
    <s v="Camión"/>
    <m/>
    <s v="25 kg"/>
    <m/>
    <m/>
    <s v="OCTUBRE '21"/>
    <x v="0"/>
    <d v="1899-12-30T00:00:00"/>
    <d v="2021-11-04T00:00:00"/>
    <d v="2021-11-06T00:00:00"/>
    <x v="760"/>
    <d v="2021-11-06T00:00:00"/>
    <m/>
    <x v="815"/>
    <n v="11"/>
    <n v="2021"/>
    <x v="0"/>
    <x v="0"/>
    <s v="IQUIQUE / CHILE"/>
    <x v="4"/>
    <m/>
    <x v="4"/>
    <x v="1236"/>
    <d v="2021-10-29T00:00:00"/>
    <s v="CAMION"/>
    <x v="344"/>
    <x v="40"/>
    <m/>
    <s v="NO APLICA"/>
    <s v="ORIGEN"/>
    <m/>
    <m/>
    <m/>
    <x v="0"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C"/>
    <x v="0"/>
    <x v="0"/>
    <m/>
    <m/>
    <x v="1677"/>
    <m/>
    <x v="1413"/>
    <m/>
    <d v="1899-12-30T00:00:00"/>
    <d v="2021-11-16T00:00:00"/>
    <s v="CERRADO"/>
    <n v="207580"/>
    <x v="32"/>
    <x v="61"/>
    <x v="8"/>
    <d v="2021-09-15T00:00:00"/>
    <n v="60"/>
    <s v="días FACT."/>
    <s v="N° 41"/>
    <m/>
    <d v="2022-01-08T00:00:00"/>
    <s v="CANCELADO"/>
    <s v="CPT"/>
    <m/>
    <x v="292"/>
    <n v="795"/>
    <m/>
    <x v="1405"/>
    <x v="7"/>
    <s v="Camión"/>
    <m/>
    <s v="25 kg"/>
    <m/>
    <m/>
    <s v="OCTUBRE '21"/>
    <x v="0"/>
    <d v="1899-12-30T00:00:00"/>
    <d v="2021-11-11T00:00:00"/>
    <d v="2021-11-13T00:00:00"/>
    <x v="761"/>
    <d v="2021-12-02T00:00:00"/>
    <m/>
    <x v="816"/>
    <n v="11"/>
    <n v="2021"/>
    <x v="0"/>
    <x v="0"/>
    <s v="IQUIQUE / CHILE"/>
    <x v="4"/>
    <m/>
    <x v="2"/>
    <x v="1237"/>
    <d v="2021-11-09T00:00:00"/>
    <s v="CAMION"/>
    <x v="344"/>
    <x v="4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C"/>
    <x v="0"/>
    <x v="0"/>
    <m/>
    <m/>
    <x v="1678"/>
    <m/>
    <x v="1414"/>
    <m/>
    <d v="1899-12-30T00:00:00"/>
    <d v="2021-11-23T00:00:00"/>
    <s v="CERRADO"/>
    <n v="207580"/>
    <x v="32"/>
    <x v="61"/>
    <x v="8"/>
    <d v="2021-09-15T00:00:00"/>
    <n v="60"/>
    <s v="días FACT."/>
    <s v="N° 43"/>
    <m/>
    <d v="2022-01-15T00:00:00"/>
    <s v="CANCELADO"/>
    <s v="CPT"/>
    <m/>
    <x v="24"/>
    <n v="795"/>
    <m/>
    <x v="1406"/>
    <x v="2"/>
    <s v="Camión"/>
    <m/>
    <s v="25 kg"/>
    <m/>
    <m/>
    <s v="OCTUBRE '21"/>
    <x v="0"/>
    <d v="1899-12-30T00:00:00"/>
    <d v="2021-11-18T00:00:00"/>
    <d v="2021-11-19T00:00:00"/>
    <x v="762"/>
    <d v="2021-12-02T00:00:00"/>
    <m/>
    <x v="817"/>
    <n v="11"/>
    <n v="2021"/>
    <x v="0"/>
    <x v="0"/>
    <s v="IQUIQUE / CHILE"/>
    <x v="4"/>
    <m/>
    <x v="2"/>
    <x v="1238"/>
    <d v="2021-11-16T00:00:00"/>
    <s v="CAMION"/>
    <x v="344"/>
    <x v="38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C"/>
    <x v="0"/>
    <x v="0"/>
    <m/>
    <m/>
    <x v="1679"/>
    <m/>
    <x v="1415"/>
    <m/>
    <d v="1899-12-30T00:00:00"/>
    <d v="2021-11-25T00:00:00"/>
    <s v="CERRADO"/>
    <n v="207580"/>
    <x v="32"/>
    <x v="61"/>
    <x v="8"/>
    <d v="2021-09-15T00:00:00"/>
    <n v="60"/>
    <s v="días FACT."/>
    <s v="N° 41"/>
    <m/>
    <d v="2022-01-08T00:00:00"/>
    <s v="CANCELADO"/>
    <s v="CPT"/>
    <m/>
    <x v="185"/>
    <n v="795"/>
    <m/>
    <x v="1408"/>
    <x v="1"/>
    <s v="Camión"/>
    <m/>
    <s v="25 kg"/>
    <m/>
    <m/>
    <s v="OCTUBRE '21"/>
    <x v="0"/>
    <d v="1899-12-30T00:00:00"/>
    <d v="2021-11-23T00:00:00"/>
    <d v="2021-11-24T00:00:00"/>
    <x v="763"/>
    <d v="2021-12-02T00:00:00"/>
    <m/>
    <x v="777"/>
    <n v="11"/>
    <n v="2021"/>
    <x v="0"/>
    <x v="0"/>
    <s v="IQUIQUE / CHILE"/>
    <x v="4"/>
    <m/>
    <x v="2"/>
    <x v="1237"/>
    <d v="2021-11-09T00:00:00"/>
    <s v="CAMION"/>
    <x v="344"/>
    <x v="4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C"/>
    <x v="0"/>
    <x v="0"/>
    <m/>
    <m/>
    <x v="1680"/>
    <m/>
    <x v="1416"/>
    <m/>
    <d v="1899-12-30T00:00:00"/>
    <d v="2021-11-25T00:00:00"/>
    <s v="CERRADO"/>
    <n v="207580"/>
    <x v="32"/>
    <x v="61"/>
    <x v="8"/>
    <d v="2021-09-15T00:00:00"/>
    <n v="60"/>
    <s v="días FACT."/>
    <s v="N° 44"/>
    <m/>
    <d v="2022-01-15T00:00:00"/>
    <s v="CANCELADO"/>
    <s v="CPT"/>
    <m/>
    <x v="69"/>
    <n v="795"/>
    <m/>
    <x v="1409"/>
    <x v="11"/>
    <s v="Camión"/>
    <m/>
    <s v="25 kg"/>
    <m/>
    <m/>
    <s v="OCTUBRE '21"/>
    <x v="0"/>
    <d v="1899-12-30T00:00:00"/>
    <d v="2021-11-23T00:00:00"/>
    <d v="2021-11-24T00:00:00"/>
    <x v="763"/>
    <d v="2021-12-02T00:00:00"/>
    <m/>
    <x v="777"/>
    <n v="11"/>
    <n v="2021"/>
    <x v="0"/>
    <x v="0"/>
    <s v="IQUIQUE / CHILE"/>
    <x v="4"/>
    <m/>
    <x v="2"/>
    <x v="1239"/>
    <d v="2021-11-16T00:00:00"/>
    <s v="CAMION"/>
    <x v="344"/>
    <x v="4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C"/>
    <x v="0"/>
    <x v="0"/>
    <m/>
    <m/>
    <x v="1681"/>
    <m/>
    <x v="1417"/>
    <m/>
    <m/>
    <m/>
    <s v="CERRADO"/>
    <n v="207580"/>
    <x v="32"/>
    <x v="61"/>
    <x v="8"/>
    <d v="2021-09-15T00:00:00"/>
    <n v="60"/>
    <s v="días FACT."/>
    <s v="N° 44"/>
    <m/>
    <d v="2022-01-15T00:00:00"/>
    <s v="CANCELADO"/>
    <s v="CPT"/>
    <m/>
    <x v="185"/>
    <n v="795"/>
    <m/>
    <x v="1408"/>
    <x v="1"/>
    <s v="Camión"/>
    <m/>
    <s v="25 kg"/>
    <m/>
    <m/>
    <s v="OCTUBRE '21"/>
    <x v="0"/>
    <d v="1899-12-30T00:00:00"/>
    <d v="2021-11-25T00:00:00"/>
    <d v="2021-11-26T00:00:00"/>
    <x v="764"/>
    <d v="2021-12-09T00:00:00"/>
    <m/>
    <x v="773"/>
    <n v="11"/>
    <n v="2021"/>
    <x v="0"/>
    <x v="0"/>
    <s v="IQUIQUE / CHILE"/>
    <x v="4"/>
    <m/>
    <x v="2"/>
    <x v="1240"/>
    <d v="2021-11-24T00:00:00"/>
    <s v="CAMION"/>
    <x v="344"/>
    <x v="4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C"/>
    <x v="0"/>
    <x v="0"/>
    <m/>
    <m/>
    <x v="1682"/>
    <m/>
    <x v="1418"/>
    <m/>
    <d v="1899-12-30T00:00:00"/>
    <d v="2021-12-10T00:00:00"/>
    <s v="CERRADO"/>
    <n v="207580"/>
    <x v="32"/>
    <x v="61"/>
    <x v="8"/>
    <d v="2021-09-15T00:00:00"/>
    <n v="60"/>
    <s v="días FACT."/>
    <s v="N° 48"/>
    <m/>
    <d v="2022-01-21T00:00:00"/>
    <s v="CANCELADO"/>
    <s v="CPT"/>
    <m/>
    <x v="623"/>
    <n v="795"/>
    <m/>
    <x v="1407"/>
    <x v="5"/>
    <s v="Camión"/>
    <m/>
    <s v="25 kg"/>
    <m/>
    <m/>
    <s v="OCTUBRE '21"/>
    <x v="0"/>
    <d v="1899-12-30T00:00:00"/>
    <d v="2021-11-30T00:00:00"/>
    <d v="2021-12-02T00:00:00"/>
    <x v="765"/>
    <d v="2021-12-09T00:00:00"/>
    <m/>
    <x v="818"/>
    <n v="12"/>
    <n v="2021"/>
    <x v="0"/>
    <x v="0"/>
    <s v="IQUIQUE / CHILE"/>
    <x v="4"/>
    <m/>
    <x v="2"/>
    <x v="1241"/>
    <d v="2021-11-24T00:00:00"/>
    <s v="CAMION"/>
    <x v="344"/>
    <x v="38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C"/>
    <x v="0"/>
    <x v="0"/>
    <m/>
    <m/>
    <x v="1683"/>
    <m/>
    <x v="1419"/>
    <m/>
    <d v="1899-12-30T00:00:00"/>
    <d v="2021-12-10T00:00:00"/>
    <s v="CERRADO"/>
    <n v="207580"/>
    <x v="32"/>
    <x v="61"/>
    <x v="8"/>
    <d v="2021-09-15T00:00:00"/>
    <n v="60"/>
    <s v="días FACT."/>
    <s v="N° 44"/>
    <m/>
    <d v="2022-01-15T00:00:00"/>
    <s v="CANCELADO"/>
    <s v="CPT"/>
    <m/>
    <x v="185"/>
    <n v="795"/>
    <m/>
    <x v="1408"/>
    <x v="1"/>
    <s v="Camión"/>
    <m/>
    <s v="25 kg"/>
    <m/>
    <m/>
    <s v="OCTUBRE '21"/>
    <x v="0"/>
    <d v="1899-12-30T00:00:00"/>
    <d v="2021-12-03T00:00:00"/>
    <d v="2021-12-04T00:00:00"/>
    <x v="746"/>
    <d v="2021-12-17T00:00:00"/>
    <m/>
    <x v="797"/>
    <n v="12"/>
    <n v="2021"/>
    <x v="0"/>
    <x v="0"/>
    <s v="IQUIQUE / CHILE"/>
    <x v="4"/>
    <m/>
    <x v="2"/>
    <x v="1242"/>
    <d v="2021-11-30T00:00:00"/>
    <s v="CAMION"/>
    <x v="344"/>
    <x v="40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C"/>
    <x v="0"/>
    <x v="0"/>
    <m/>
    <m/>
    <x v="1684"/>
    <m/>
    <x v="1420"/>
    <m/>
    <d v="1899-12-30T00:00:00"/>
    <d v="2021-12-17T00:00:00"/>
    <s v="CERRADO"/>
    <n v="207580"/>
    <x v="32"/>
    <x v="61"/>
    <x v="8"/>
    <d v="2021-09-15T00:00:00"/>
    <n v="60"/>
    <s v="días FACT."/>
    <s v="N° 48"/>
    <m/>
    <d v="2022-01-21T00:00:00"/>
    <s v="CANCELADO"/>
    <s v="CPT"/>
    <m/>
    <x v="69"/>
    <n v="795"/>
    <m/>
    <x v="1409"/>
    <x v="11"/>
    <s v="Camión"/>
    <m/>
    <s v="25 kg"/>
    <m/>
    <m/>
    <s v="OCTUBRE '21"/>
    <x v="0"/>
    <d v="1899-12-30T00:00:00"/>
    <d v="2021-12-14T00:00:00"/>
    <d v="2021-12-15T00:00:00"/>
    <x v="766"/>
    <d v="2022-01-06T00:00:00"/>
    <m/>
    <x v="819"/>
    <n v="12"/>
    <n v="2021"/>
    <x v="0"/>
    <x v="0"/>
    <s v="IQUIQUE / CHILE"/>
    <x v="4"/>
    <m/>
    <x v="2"/>
    <x v="1243"/>
    <d v="2021-12-14T00:00:00"/>
    <s v="CAMION"/>
    <x v="344"/>
    <x v="38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C"/>
    <x v="0"/>
    <x v="0"/>
    <m/>
    <m/>
    <x v="1685"/>
    <m/>
    <x v="1421"/>
    <m/>
    <d v="1899-12-30T00:00:00"/>
    <d v="2021-12-14T00:00:00"/>
    <s v="CERRADO"/>
    <n v="207580"/>
    <x v="32"/>
    <x v="61"/>
    <x v="8"/>
    <d v="2021-09-15T00:00:00"/>
    <n v="60"/>
    <s v="días FACT."/>
    <s v="N° 57"/>
    <m/>
    <d v="2022-01-31T00:00:00"/>
    <s v="CANCELADO"/>
    <s v="CPT"/>
    <m/>
    <x v="24"/>
    <n v="795"/>
    <m/>
    <x v="1406"/>
    <x v="2"/>
    <s v="Camión"/>
    <m/>
    <s v="25 kg"/>
    <m/>
    <m/>
    <s v="OCTUBRE '21"/>
    <x v="0"/>
    <d v="1899-12-30T00:00:00"/>
    <d v="2021-12-10T00:00:00"/>
    <d v="2021-12-11T00:00:00"/>
    <x v="767"/>
    <d v="2021-12-30T00:00:00"/>
    <m/>
    <x v="820"/>
    <n v="12"/>
    <n v="2021"/>
    <x v="0"/>
    <x v="0"/>
    <s v="IQUIQUE / CHILE"/>
    <x v="4"/>
    <m/>
    <x v="2"/>
    <x v="1244"/>
    <d v="2021-12-02T00:00:00"/>
    <s v="CAMION"/>
    <x v="344"/>
    <x v="38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C"/>
    <x v="0"/>
    <x v="0"/>
    <m/>
    <m/>
    <x v="1686"/>
    <m/>
    <x v="1422"/>
    <m/>
    <d v="1899-12-30T00:00:00"/>
    <d v="2021-12-17T00:00:00"/>
    <s v="CERRADO"/>
    <n v="207580"/>
    <x v="32"/>
    <x v="61"/>
    <x v="8"/>
    <d v="2021-09-15T00:00:00"/>
    <n v="60"/>
    <s v="días FACT."/>
    <s v="N° 58"/>
    <m/>
    <d v="2022-01-31T00:00:00"/>
    <s v="CANCELADO"/>
    <s v="CPT"/>
    <m/>
    <x v="185"/>
    <n v="795"/>
    <m/>
    <x v="1408"/>
    <x v="1"/>
    <s v="Camión"/>
    <m/>
    <s v="25 kg"/>
    <m/>
    <m/>
    <s v="OCTUBRE '21"/>
    <x v="0"/>
    <d v="1899-12-30T00:00:00"/>
    <d v="2021-12-15T00:00:00"/>
    <d v="2021-12-16T00:00:00"/>
    <x v="768"/>
    <d v="2021-12-30T00:00:00"/>
    <m/>
    <x v="821"/>
    <n v="12"/>
    <n v="2021"/>
    <x v="0"/>
    <x v="0"/>
    <s v="IQUIQUE / CHILE"/>
    <x v="4"/>
    <m/>
    <x v="2"/>
    <x v="1245"/>
    <d v="2021-12-14T00:00:00"/>
    <s v="CAMION"/>
    <x v="344"/>
    <x v="38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C"/>
    <x v="0"/>
    <x v="0"/>
    <m/>
    <m/>
    <x v="1687"/>
    <m/>
    <x v="1423"/>
    <m/>
    <d v="1899-12-30T00:00:00"/>
    <d v="2021-12-23T00:00:00"/>
    <s v="CERRADO"/>
    <n v="207580"/>
    <x v="32"/>
    <x v="61"/>
    <x v="8"/>
    <d v="2021-09-15T00:00:00"/>
    <n v="60"/>
    <s v="días FACT."/>
    <s v="N° 58"/>
    <m/>
    <d v="2022-01-31T00:00:00"/>
    <s v="CANCELADO"/>
    <s v="CPT"/>
    <m/>
    <x v="185"/>
    <n v="795"/>
    <m/>
    <x v="1408"/>
    <x v="1"/>
    <s v="Camión"/>
    <m/>
    <s v="25 kg"/>
    <m/>
    <m/>
    <s v="OCTUBRE '21"/>
    <x v="0"/>
    <d v="1899-12-30T00:00:00"/>
    <d v="2021-12-16T00:00:00"/>
    <d v="2021-12-15T00:00:00"/>
    <x v="766"/>
    <d v="2021-12-30T00:00:00"/>
    <m/>
    <x v="819"/>
    <n v="12"/>
    <n v="2021"/>
    <x v="0"/>
    <x v="0"/>
    <s v="IQUIQUE / CHILE"/>
    <x v="4"/>
    <m/>
    <x v="2"/>
    <x v="1246"/>
    <d v="2021-12-14T00:00:00"/>
    <s v="CAMION"/>
    <x v="344"/>
    <x v="38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C"/>
    <x v="0"/>
    <x v="0"/>
    <m/>
    <m/>
    <x v="1688"/>
    <m/>
    <x v="1424"/>
    <m/>
    <d v="1899-12-30T00:00:00"/>
    <d v="2021-12-23T00:00:00"/>
    <s v="CERRADO"/>
    <n v="207580"/>
    <x v="32"/>
    <x v="61"/>
    <x v="8"/>
    <d v="2021-09-15T00:00:00"/>
    <n v="60"/>
    <s v="días FACT."/>
    <s v="N° 58"/>
    <m/>
    <d v="2022-01-31T00:00:00"/>
    <s v="CANCELADO"/>
    <s v="CPT"/>
    <m/>
    <x v="69"/>
    <n v="795"/>
    <m/>
    <x v="1409"/>
    <x v="11"/>
    <s v="Camión"/>
    <m/>
    <s v="25 kg"/>
    <m/>
    <m/>
    <s v="OCTUBRE '21"/>
    <x v="0"/>
    <d v="1899-12-30T00:00:00"/>
    <d v="2021-12-16T00:00:00"/>
    <d v="2021-12-17T00:00:00"/>
    <x v="769"/>
    <d v="2021-12-30T00:00:00"/>
    <m/>
    <x v="822"/>
    <n v="12"/>
    <n v="2021"/>
    <x v="0"/>
    <x v="0"/>
    <s v="IQUIQUE / CHILE"/>
    <x v="4"/>
    <m/>
    <x v="2"/>
    <x v="1247"/>
    <d v="2021-12-15T00:00:00"/>
    <s v="CAMION"/>
    <x v="344"/>
    <x v="38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C"/>
    <x v="0"/>
    <x v="0"/>
    <m/>
    <m/>
    <x v="1689"/>
    <m/>
    <x v="1425"/>
    <m/>
    <d v="1899-12-30T00:00:00"/>
    <d v="2021-12-23T00:00:00"/>
    <s v="CERRADO"/>
    <n v="207580"/>
    <x v="32"/>
    <x v="61"/>
    <x v="8"/>
    <d v="2021-09-15T00:00:00"/>
    <n v="60"/>
    <s v="días FACT."/>
    <s v="N° 59"/>
    <m/>
    <d v="2022-01-31T00:00:00"/>
    <s v="CANCELADO"/>
    <s v="CPT"/>
    <m/>
    <x v="623"/>
    <n v="795"/>
    <m/>
    <x v="1407"/>
    <x v="5"/>
    <s v="Camión"/>
    <m/>
    <s v="25 kg"/>
    <m/>
    <m/>
    <s v="OCTUBRE '21"/>
    <x v="0"/>
    <d v="1899-12-30T00:00:00"/>
    <d v="2021-12-19T00:00:00"/>
    <d v="2021-12-20T00:00:00"/>
    <x v="750"/>
    <d v="2021-12-30T00:00:00"/>
    <m/>
    <x v="823"/>
    <n v="12"/>
    <n v="2021"/>
    <x v="0"/>
    <x v="0"/>
    <s v="IQUIQUE / CHILE"/>
    <x v="4"/>
    <m/>
    <x v="2"/>
    <x v="1248"/>
    <d v="2021-12-12T00:00:00"/>
    <s v="CAMION"/>
    <x v="344"/>
    <x v="38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C"/>
    <x v="0"/>
    <x v="0"/>
    <m/>
    <m/>
    <x v="1690"/>
    <m/>
    <x v="1426"/>
    <m/>
    <d v="2022-01-14T00:00:00"/>
    <d v="2022-01-14T00:00:00"/>
    <s v="CERRADO"/>
    <n v="206623"/>
    <x v="32"/>
    <x v="61"/>
    <x v="8"/>
    <d v="2021-09-15T00:00:00"/>
    <n v="60"/>
    <s v="días FACT."/>
    <s v="N° 98"/>
    <m/>
    <d v="2022-03-08T00:00:00"/>
    <s v="CANCELADO"/>
    <s v="CPT"/>
    <m/>
    <x v="594"/>
    <n v="795"/>
    <m/>
    <x v="1332"/>
    <x v="2"/>
    <s v="Camión"/>
    <m/>
    <s v="Big bags"/>
    <m/>
    <m/>
    <s v="OCTUBRE '21"/>
    <x v="0"/>
    <d v="1899-12-30T00:00:00"/>
    <d v="2022-01-10T00:00:00"/>
    <d v="2021-12-31T00:00:00"/>
    <x v="770"/>
    <d v="2022-01-26T00:00:00"/>
    <m/>
    <x v="824"/>
    <n v="1"/>
    <n v="2022"/>
    <x v="0"/>
    <x v="0"/>
    <s v="IQUIQUE / CHILE"/>
    <x v="4"/>
    <m/>
    <x v="2"/>
    <x v="1249"/>
    <d v="2022-01-07T00:00:00"/>
    <s v="CAMION"/>
    <x v="344"/>
    <x v="38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C"/>
    <x v="0"/>
    <x v="0"/>
    <m/>
    <m/>
    <x v="1691"/>
    <m/>
    <x v="1427"/>
    <m/>
    <d v="2022-01-17T00:00:00"/>
    <d v="2022-01-17T00:00:00"/>
    <s v="CERRADO"/>
    <n v="206623"/>
    <x v="32"/>
    <x v="61"/>
    <x v="8"/>
    <d v="2021-09-15T00:00:00"/>
    <n v="60"/>
    <s v="días FACT."/>
    <s v="N° 99"/>
    <m/>
    <d v="2022-03-08T00:00:00"/>
    <s v="CANCELADO"/>
    <s v="CPT"/>
    <m/>
    <x v="594"/>
    <n v="795"/>
    <m/>
    <x v="1332"/>
    <x v="2"/>
    <s v="Camión"/>
    <m/>
    <s v="Big bags"/>
    <m/>
    <m/>
    <s v="OCTUBRE '21"/>
    <x v="0"/>
    <d v="1899-12-30T00:00:00"/>
    <d v="2022-01-10T00:00:00"/>
    <d v="2021-12-31T00:00:00"/>
    <x v="771"/>
    <d v="2022-01-26T00:00:00"/>
    <m/>
    <x v="825"/>
    <n v="1"/>
    <n v="2022"/>
    <x v="0"/>
    <x v="0"/>
    <s v="IQUIQUE / CHILE"/>
    <x v="4"/>
    <m/>
    <x v="2"/>
    <x v="1250"/>
    <d v="2022-01-07T00:00:00"/>
    <s v="CAMION"/>
    <x v="344"/>
    <x v="38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C"/>
    <x v="0"/>
    <x v="0"/>
    <m/>
    <m/>
    <x v="1692"/>
    <m/>
    <x v="1428"/>
    <m/>
    <d v="2022-01-19T00:00:00"/>
    <d v="2022-01-19T00:00:00"/>
    <s v="CERRADO"/>
    <n v="206623"/>
    <x v="32"/>
    <x v="61"/>
    <x v="8"/>
    <d v="2021-09-15T00:00:00"/>
    <n v="60"/>
    <s v="días FACT."/>
    <s v="N° 106"/>
    <m/>
    <d v="2022-03-15T00:00:00"/>
    <s v="CANCELADO"/>
    <s v="CPT"/>
    <m/>
    <x v="594"/>
    <n v="795"/>
    <m/>
    <x v="1332"/>
    <x v="2"/>
    <s v="Camión"/>
    <m/>
    <s v="Big bags"/>
    <m/>
    <m/>
    <s v="OCTUBRE '21"/>
    <x v="0"/>
    <d v="1899-12-30T00:00:00"/>
    <d v="2022-01-17T00:00:00"/>
    <d v="2022-01-19T00:00:00"/>
    <x v="772"/>
    <d v="2022-02-03T00:00:00"/>
    <m/>
    <x v="639"/>
    <n v="1"/>
    <n v="2022"/>
    <x v="0"/>
    <x v="0"/>
    <s v="IQUIQUE / CHILE"/>
    <x v="4"/>
    <m/>
    <x v="2"/>
    <x v="1251"/>
    <d v="2022-01-14T00:00:00"/>
    <s v="CAMION"/>
    <x v="344"/>
    <x v="38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C"/>
    <x v="0"/>
    <x v="0"/>
    <m/>
    <m/>
    <x v="1693"/>
    <m/>
    <x v="1429"/>
    <m/>
    <d v="2022-01-24T00:00:00"/>
    <d v="2022-01-24T00:00:00"/>
    <s v="CERRADO"/>
    <n v="206623"/>
    <x v="32"/>
    <x v="61"/>
    <x v="8"/>
    <d v="2021-09-15T00:00:00"/>
    <n v="60"/>
    <s v="días FACT."/>
    <s v="N° 107"/>
    <m/>
    <d v="2022-03-15T00:00:00"/>
    <s v="CANCELADO"/>
    <s v="CPT"/>
    <m/>
    <x v="594"/>
    <n v="795"/>
    <m/>
    <x v="1332"/>
    <x v="2"/>
    <s v="Camión"/>
    <m/>
    <s v="Big bags"/>
    <m/>
    <m/>
    <s v="OCTUBRE '21"/>
    <x v="0"/>
    <d v="1899-12-30T00:00:00"/>
    <d v="2022-01-24T00:00:00"/>
    <d v="2022-01-22T00:00:00"/>
    <x v="773"/>
    <d v="2022-02-03T00:00:00"/>
    <m/>
    <x v="826"/>
    <n v="1"/>
    <n v="2022"/>
    <x v="0"/>
    <x v="0"/>
    <s v="IQUIQUE / CHILE"/>
    <x v="4"/>
    <m/>
    <x v="2"/>
    <x v="1252"/>
    <d v="2022-01-14T00:00:00"/>
    <s v="CAMION"/>
    <x v="344"/>
    <x v="38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C"/>
    <x v="0"/>
    <x v="0"/>
    <m/>
    <m/>
    <x v="1694"/>
    <m/>
    <x v="1430"/>
    <m/>
    <d v="2022-02-01T00:00:00"/>
    <d v="2022-02-01T00:00:00"/>
    <s v="CERRADO"/>
    <n v="207580"/>
    <x v="32"/>
    <x v="61"/>
    <x v="8"/>
    <d v="2021-09-15T00:00:00"/>
    <n v="60"/>
    <s v="días FACT."/>
    <s v="N° 110"/>
    <m/>
    <d v="2022-03-20T00:00:00"/>
    <s v="CANCELADO"/>
    <s v="CPT"/>
    <m/>
    <x v="24"/>
    <n v="795"/>
    <m/>
    <x v="1406"/>
    <x v="2"/>
    <s v="Camión"/>
    <m/>
    <s v="25 kg"/>
    <m/>
    <m/>
    <s v="OCTUBRE '21"/>
    <x v="0"/>
    <d v="1899-12-30T00:00:00"/>
    <d v="2022-01-24T00:00:00"/>
    <d v="2022-01-28T00:00:00"/>
    <x v="614"/>
    <d v="2022-02-16T00:00:00"/>
    <m/>
    <x v="827"/>
    <n v="1"/>
    <n v="2022"/>
    <x v="0"/>
    <x v="0"/>
    <s v="IQUIQUE / CHILE"/>
    <x v="4"/>
    <m/>
    <x v="2"/>
    <x v="1253"/>
    <d v="2022-01-17T00:00:00"/>
    <s v="CAMION"/>
    <x v="344"/>
    <x v="38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C"/>
    <x v="0"/>
    <x v="0"/>
    <m/>
    <m/>
    <x v="1695"/>
    <m/>
    <x v="1431"/>
    <m/>
    <d v="2022-02-01T00:00:00"/>
    <d v="2022-02-01T00:00:00"/>
    <s v="CERRADO"/>
    <n v="207580"/>
    <x v="32"/>
    <x v="61"/>
    <x v="8"/>
    <d v="2021-09-15T00:00:00"/>
    <n v="60"/>
    <s v="días FACT."/>
    <s v="N° 112"/>
    <m/>
    <d v="2022-03-20T00:00:00"/>
    <s v="CANCELADO"/>
    <s v="CPT"/>
    <m/>
    <x v="24"/>
    <n v="795"/>
    <m/>
    <x v="1406"/>
    <x v="2"/>
    <s v="Camión"/>
    <m/>
    <s v="25 kg"/>
    <m/>
    <m/>
    <s v="OCTUBRE '21"/>
    <x v="0"/>
    <d v="1899-12-30T00:00:00"/>
    <d v="2022-01-24T00:00:00"/>
    <d v="2022-01-29T00:00:00"/>
    <x v="774"/>
    <d v="2022-02-16T00:00:00"/>
    <m/>
    <x v="828"/>
    <n v="1"/>
    <n v="2022"/>
    <x v="0"/>
    <x v="0"/>
    <s v="IQUIQUE / CHILE"/>
    <x v="4"/>
    <m/>
    <x v="2"/>
    <x v="1254"/>
    <d v="2022-01-19T00:00:00"/>
    <s v="CAMION"/>
    <x v="344"/>
    <x v="38"/>
    <m/>
    <s v="NO APLICA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C"/>
    <x v="0"/>
    <x v="0"/>
    <m/>
    <m/>
    <x v="1696"/>
    <m/>
    <x v="1432"/>
    <m/>
    <d v="2022-02-16T00:00:00"/>
    <d v="2022-02-16T00:00:00"/>
    <s v="CERRADO"/>
    <n v="207580"/>
    <x v="32"/>
    <x v="61"/>
    <x v="8"/>
    <d v="2021-09-15T00:00:00"/>
    <n v="60"/>
    <s v="días FACT."/>
    <s v="N° 113"/>
    <m/>
    <d v="2022-03-20T00:00:00"/>
    <s v="CANCELADO"/>
    <s v="CPT"/>
    <m/>
    <x v="24"/>
    <n v="795"/>
    <m/>
    <x v="1406"/>
    <x v="2"/>
    <s v="Camión"/>
    <m/>
    <s v="25 kg"/>
    <m/>
    <m/>
    <s v="OCTUBRE '21"/>
    <x v="0"/>
    <d v="1899-12-30T00:00:00"/>
    <d v="2022-02-04T00:00:00"/>
    <d v="2022-02-05T00:00:00"/>
    <x v="775"/>
    <d v="2022-02-21T00:00:00"/>
    <m/>
    <x v="812"/>
    <n v="2"/>
    <n v="2022"/>
    <x v="0"/>
    <x v="0"/>
    <s v="IQUIQUE / CHILE"/>
    <x v="4"/>
    <m/>
    <x v="2"/>
    <x v="1255"/>
    <d v="2022-01-19T00:00:00"/>
    <s v="CAMION"/>
    <x v="344"/>
    <x v="38"/>
    <m/>
    <s v="NO APLICA"/>
    <s v="ORIGEN"/>
    <m/>
    <m/>
    <m/>
    <x v="0"/>
    <m/>
    <m/>
    <x v="21"/>
    <x v="17"/>
    <s v="SADA DD"/>
    <s v="VERDE"/>
    <x v="0"/>
    <e v="#REF!"/>
    <m/>
    <m/>
    <m/>
    <m/>
    <m/>
    <x v="0"/>
    <m/>
    <m/>
    <m/>
    <m/>
    <s v="NACIONALIZADO"/>
    <m/>
    <m/>
    <m/>
  </r>
  <r>
    <n v="2021"/>
    <s v="S-C"/>
    <x v="0"/>
    <x v="0"/>
    <m/>
    <m/>
    <x v="1697"/>
    <m/>
    <x v="1433"/>
    <m/>
    <d v="2022-02-09T00:00:00"/>
    <d v="2022-02-09T00:00:00"/>
    <s v="CERRADO"/>
    <n v="207580"/>
    <x v="32"/>
    <x v="61"/>
    <x v="8"/>
    <d v="2021-09-15T00:00:00"/>
    <n v="60"/>
    <s v="días FACT."/>
    <s v="N° 114"/>
    <m/>
    <d v="2022-03-20T00:00:00"/>
    <s v="CANCELADO"/>
    <s v="CPT"/>
    <m/>
    <x v="24"/>
    <n v="795"/>
    <m/>
    <x v="1406"/>
    <x v="2"/>
    <s v="Camión"/>
    <m/>
    <s v="25 kg"/>
    <m/>
    <m/>
    <s v="OCTUBRE '21"/>
    <x v="0"/>
    <d v="1899-12-30T00:00:00"/>
    <d v="2022-02-06T00:00:00"/>
    <d v="2022-02-07T00:00:00"/>
    <x v="722"/>
    <d v="2022-02-21T00:00:00"/>
    <m/>
    <x v="829"/>
    <n v="2"/>
    <n v="2022"/>
    <x v="0"/>
    <x v="0"/>
    <s v="IQUIQUE / CHILE"/>
    <x v="4"/>
    <m/>
    <x v="2"/>
    <x v="1256"/>
    <d v="2022-01-19T00:00:00"/>
    <s v="CAMION"/>
    <x v="344"/>
    <x v="38"/>
    <m/>
    <s v="NO APLICA"/>
    <s v="ORIGEN"/>
    <m/>
    <m/>
    <m/>
    <x v="0"/>
    <m/>
    <m/>
    <x v="22"/>
    <x v="18"/>
    <s v="SADA DD"/>
    <s v="VERDE"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698"/>
    <m/>
    <x v="1434"/>
    <m/>
    <d v="2021-10-19T00:00:00"/>
    <d v="2021-10-19T00:00:00"/>
    <s v="CERRADO"/>
    <n v="208067"/>
    <x v="115"/>
    <x v="53"/>
    <x v="770"/>
    <d v="2021-08-15T00:00:00"/>
    <n v="30"/>
    <s v="días FACT."/>
    <s v="F200-43187"/>
    <m/>
    <d v="2021-11-06T00:00:00"/>
    <s v="CANCELADO"/>
    <s v="CFR"/>
    <m/>
    <x v="250"/>
    <n v="296.06"/>
    <m/>
    <x v="1370"/>
    <x v="20"/>
    <s v="Contenedor 20'"/>
    <m/>
    <s v="25 kg"/>
    <m/>
    <m/>
    <s v="SETIEMBRE '21"/>
    <x v="0"/>
    <d v="1899-12-30T00:00:00"/>
    <d v="2021-10-05T00:00:00"/>
    <d v="2021-10-15T00:00:00"/>
    <x v="711"/>
    <d v="2021-10-19T00:00:00"/>
    <m/>
    <x v="693"/>
    <n v="10"/>
    <n v="2021"/>
    <x v="0"/>
    <x v="0"/>
    <s v="CARTAGENA / COLOMBIA"/>
    <x v="2"/>
    <m/>
    <x v="3"/>
    <x v="1257"/>
    <d v="2021-10-07T00:00:00"/>
    <s v="POLAR CHILE"/>
    <x v="297"/>
    <x v="6"/>
    <m/>
    <s v="REALIZADO"/>
    <s v="SWB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O-S"/>
    <x v="0"/>
    <x v="0"/>
    <m/>
    <m/>
    <x v="1699"/>
    <m/>
    <x v="1435"/>
    <m/>
    <d v="1899-12-30T00:00:00"/>
    <d v="2021-11-09T00:00:00"/>
    <s v="CERRADO"/>
    <n v="204749"/>
    <x v="120"/>
    <x v="53"/>
    <x v="771"/>
    <d v="2021-09-21T00:00:00"/>
    <s v="CAD"/>
    <m/>
    <s v="F200-43207"/>
    <m/>
    <d v="2021-10-28T00:00:00"/>
    <s v="CANCELADO"/>
    <s v="CFR"/>
    <m/>
    <x v="624"/>
    <n v="706.23"/>
    <m/>
    <x v="1410"/>
    <x v="16"/>
    <s v="Contenedor 20'"/>
    <m/>
    <s v="50 kg"/>
    <m/>
    <m/>
    <s v="OCTUBRE '21"/>
    <x v="0"/>
    <d v="1899-12-30T00:00:00"/>
    <d v="2021-10-16T00:00:00"/>
    <d v="2021-10-26T00:00:00"/>
    <x v="732"/>
    <d v="2021-10-30T00:00:00"/>
    <m/>
    <x v="815"/>
    <n v="11"/>
    <n v="2021"/>
    <x v="0"/>
    <x v="0"/>
    <s v="CARTAGENA / COLOMBIA"/>
    <x v="0"/>
    <m/>
    <x v="2"/>
    <x v="1258"/>
    <d v="2021-10-22T00:00:00"/>
    <s v="DIMITRIS C"/>
    <x v="326"/>
    <x v="9"/>
    <m/>
    <s v="PENDIENTE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O-S"/>
    <x v="0"/>
    <x v="0"/>
    <m/>
    <m/>
    <x v="1700"/>
    <m/>
    <x v="1436"/>
    <m/>
    <d v="1899-12-30T00:00:00"/>
    <d v="2021-11-13T00:00:00"/>
    <s v="CERRADO"/>
    <n v="204749"/>
    <x v="120"/>
    <x v="53"/>
    <x v="772"/>
    <d v="2021-09-21T00:00:00"/>
    <s v="CAD"/>
    <m/>
    <s v="F200-43208"/>
    <m/>
    <d v="2021-10-30T00:00:00"/>
    <s v="CANCELADO"/>
    <s v="CFR"/>
    <m/>
    <x v="78"/>
    <n v="708.73"/>
    <m/>
    <x v="1411"/>
    <x v="2"/>
    <s v="Contenedor 20'"/>
    <m/>
    <s v="50 kg"/>
    <m/>
    <m/>
    <s v="OCTUBRE '21"/>
    <x v="0"/>
    <d v="1899-12-30T00:00:00"/>
    <d v="2021-10-26T00:00:00"/>
    <d v="2021-11-04T00:00:00"/>
    <x v="679"/>
    <d v="2021-11-08T00:00:00"/>
    <m/>
    <x v="798"/>
    <n v="11"/>
    <n v="2021"/>
    <x v="0"/>
    <x v="0"/>
    <s v="CARTAGENA / COLOMBIA"/>
    <x v="2"/>
    <m/>
    <x v="3"/>
    <x v="1259"/>
    <d v="2021-10-27T00:00:00"/>
    <s v="GUAYAQUIL EXPRESS"/>
    <x v="42"/>
    <x v="9"/>
    <m/>
    <s v="PENDIENTE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O-S"/>
    <x v="0"/>
    <x v="0"/>
    <m/>
    <m/>
    <x v="1701"/>
    <m/>
    <x v="1437"/>
    <m/>
    <d v="1899-12-30T00:00:00"/>
    <d v="2021-11-16T00:00:00"/>
    <s v="CERRADO"/>
    <n v="204749"/>
    <x v="120"/>
    <x v="53"/>
    <x v="773"/>
    <d v="2021-09-21T00:00:00"/>
    <s v="CAD"/>
    <m/>
    <s v="F200-43218"/>
    <m/>
    <d v="2021-11-12T00:00:00"/>
    <s v="CANCELADO"/>
    <s v="CFR"/>
    <m/>
    <x v="78"/>
    <n v="716.23"/>
    <m/>
    <x v="1412"/>
    <x v="2"/>
    <s v="Contenedor 20'"/>
    <m/>
    <s v="50 kg"/>
    <m/>
    <m/>
    <s v="OCTUBRE '21"/>
    <x v="0"/>
    <d v="1899-12-30T00:00:00"/>
    <d v="2021-11-04T00:00:00"/>
    <d v="2021-11-12T00:00:00"/>
    <x v="612"/>
    <d v="2021-11-16T00:00:00"/>
    <m/>
    <x v="772"/>
    <n v="11"/>
    <n v="2021"/>
    <x v="0"/>
    <x v="0"/>
    <s v="CARTAGENA / COLOMBIA"/>
    <x v="2"/>
    <m/>
    <x v="3"/>
    <x v="1260"/>
    <m/>
    <s v="POLAR ECUADOR"/>
    <x v="260"/>
    <x v="6"/>
    <m/>
    <s v="PENDIENTE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O-S"/>
    <x v="0"/>
    <x v="0"/>
    <m/>
    <m/>
    <x v="1702"/>
    <m/>
    <x v="1438"/>
    <m/>
    <d v="1899-12-30T00:00:00"/>
    <d v="2021-12-16T00:00:00"/>
    <s v="CERRADO"/>
    <n v="204750"/>
    <x v="120"/>
    <x v="53"/>
    <x v="774"/>
    <d v="2021-09-21T00:00:00"/>
    <s v="CAD"/>
    <m/>
    <s v="F200-43212"/>
    <m/>
    <d v="2021-11-01T00:00:00"/>
    <s v="CANCELADO"/>
    <s v="CFR"/>
    <m/>
    <x v="625"/>
    <n v="723.41"/>
    <m/>
    <x v="1413"/>
    <x v="36"/>
    <s v="Contenedor 20'"/>
    <m/>
    <s v="50 kg"/>
    <m/>
    <m/>
    <s v="OCTUBRE '21"/>
    <x v="0"/>
    <d v="1899-12-30T00:00:00"/>
    <d v="2021-10-28T00:00:00"/>
    <d v="2021-12-01T00:00:00"/>
    <x v="693"/>
    <d v="2021-12-04T00:00:00"/>
    <m/>
    <x v="787"/>
    <n v="12"/>
    <n v="2021"/>
    <x v="0"/>
    <x v="0"/>
    <s v="CARTAGENA / COLOMBIA"/>
    <x v="4"/>
    <m/>
    <x v="2"/>
    <x v="1261"/>
    <d v="2021-10-29T00:00:00"/>
    <s v="AS PATRIA"/>
    <x v="129"/>
    <x v="2"/>
    <m/>
    <s v="PENDIENTE"/>
    <s v="DESTINO"/>
    <m/>
    <m/>
    <m/>
    <x v="0"/>
    <d v="2021-12-21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O-S"/>
    <x v="0"/>
    <x v="0"/>
    <m/>
    <m/>
    <x v="1703"/>
    <m/>
    <x v="1439"/>
    <m/>
    <d v="1899-12-30T00:00:00"/>
    <d v="2021-11-09T00:00:00"/>
    <s v="CERRADO"/>
    <n v="204750"/>
    <x v="120"/>
    <x v="53"/>
    <x v="775"/>
    <d v="2021-09-21T00:00:00"/>
    <s v="CAD"/>
    <m/>
    <s v="F200-43203"/>
    <m/>
    <d v="2021-10-25T00:00:00"/>
    <s v="CANCELADO"/>
    <s v="CFR"/>
    <m/>
    <x v="626"/>
    <n v="725"/>
    <m/>
    <x v="1414"/>
    <x v="10"/>
    <s v="Contenedor 20'"/>
    <m/>
    <s v="50 kg"/>
    <m/>
    <m/>
    <s v="OCTUBRE '21"/>
    <x v="0"/>
    <d v="2021-10-07T00:00:00"/>
    <d v="2021-10-05T00:00:00"/>
    <d v="2021-10-14T00:00:00"/>
    <x v="759"/>
    <d v="2021-10-17T00:00:00"/>
    <m/>
    <x v="830"/>
    <n v="11"/>
    <n v="2021"/>
    <x v="0"/>
    <x v="0"/>
    <s v="CARTAGENA / COLOMBIA"/>
    <x v="4"/>
    <m/>
    <x v="2"/>
    <x v="1262"/>
    <d v="2021-10-08T00:00:00"/>
    <s v="DIMITRIS C"/>
    <x v="129"/>
    <x v="2"/>
    <m/>
    <s v="PENDIENTE"/>
    <s v="DESTINO"/>
    <m/>
    <m/>
    <m/>
    <x v="0"/>
    <d v="2021-11-17T00:00:00"/>
    <m/>
    <x v="0"/>
    <x v="0"/>
    <m/>
    <m/>
    <x v="0"/>
    <e v="#REF!"/>
    <m/>
    <m/>
    <m/>
    <m/>
    <m/>
    <x v="0"/>
    <s v="anulada: 8000001614"/>
    <m/>
    <m/>
    <m/>
    <s v="NACIONALIZADO"/>
    <m/>
    <m/>
    <m/>
  </r>
  <r>
    <n v="2021"/>
    <s v="O-S"/>
    <x v="0"/>
    <x v="0"/>
    <m/>
    <m/>
    <x v="1704"/>
    <m/>
    <x v="1440"/>
    <m/>
    <d v="1899-12-30T00:00:00"/>
    <d v="2021-12-10T00:00:00"/>
    <s v="CERRADO"/>
    <n v="204750"/>
    <x v="120"/>
    <x v="53"/>
    <x v="775"/>
    <d v="2021-09-21T00:00:00"/>
    <s v="CAD"/>
    <m/>
    <s v="F200-43200"/>
    <m/>
    <d v="2021-10-25T00:00:00"/>
    <s v="CANCELADO"/>
    <s v="CFR"/>
    <m/>
    <x v="222"/>
    <n v="725"/>
    <m/>
    <x v="1415"/>
    <x v="6"/>
    <s v="Contenedor 20'"/>
    <m/>
    <s v="50 kg"/>
    <m/>
    <m/>
    <s v="OCTUBRE '21"/>
    <x v="0"/>
    <d v="1899-12-30T00:00:00"/>
    <d v="2021-10-14T00:00:00"/>
    <d v="2021-12-01T00:00:00"/>
    <x v="693"/>
    <d v="2021-12-04T00:00:00"/>
    <m/>
    <x v="736"/>
    <n v="12"/>
    <n v="2021"/>
    <x v="0"/>
    <x v="0"/>
    <s v="CARTAGENA / COLOMBIA"/>
    <x v="4"/>
    <m/>
    <x v="2"/>
    <x v="1263"/>
    <d v="2021-10-15T00:00:00"/>
    <s v="AS PATRIA"/>
    <x v="129"/>
    <x v="2"/>
    <m/>
    <s v="PENDIENTE"/>
    <s v="DESTINO"/>
    <m/>
    <m/>
    <m/>
    <x v="0"/>
    <d v="2021-12-21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S"/>
    <x v="0"/>
    <x v="0"/>
    <m/>
    <m/>
    <x v="1705"/>
    <m/>
    <x v="1441"/>
    <m/>
    <d v="2022-02-03T00:00:00"/>
    <d v="2022-02-03T00:00:00"/>
    <s v="CERRADO"/>
    <n v="206914"/>
    <x v="12"/>
    <x v="19"/>
    <x v="776"/>
    <d v="2021-09-23T00:00:00"/>
    <n v="90"/>
    <s v="días BL"/>
    <s v="SG-MSL-12329-40"/>
    <m/>
    <d v="2022-03-17T00:00:00"/>
    <s v="CANCELADO"/>
    <s v="CFR"/>
    <m/>
    <x v="94"/>
    <n v="262"/>
    <m/>
    <x v="1416"/>
    <x v="3"/>
    <s v="Granel - BB"/>
    <m/>
    <s v="25 kg"/>
    <m/>
    <m/>
    <s v="OCT - DIC 21'"/>
    <x v="0"/>
    <d v="1899-12-30T00:00:00"/>
    <d v="2021-12-17T00:00:00"/>
    <d v="2022-01-30T00:00:00"/>
    <x v="776"/>
    <d v="2022-02-02T00:00:00"/>
    <m/>
    <x v="831"/>
    <n v="2"/>
    <n v="2022"/>
    <x v="0"/>
    <x v="0"/>
    <s v="XINGANG / CHINA"/>
    <x v="3"/>
    <m/>
    <x v="1"/>
    <x v="1264"/>
    <d v="2021-12-17T00:00:00"/>
    <s v="ROYAL CHIBA"/>
    <x v="362"/>
    <x v="0"/>
    <m/>
    <s v="PENDIENTE"/>
    <m/>
    <m/>
    <m/>
    <m/>
    <x v="0"/>
    <m/>
    <m/>
    <x v="23"/>
    <x v="19"/>
    <s v="SADA DD"/>
    <s v="VERDE"/>
    <x v="0"/>
    <s v="PENDIENTE"/>
    <m/>
    <m/>
    <m/>
    <m/>
    <m/>
    <x v="0"/>
    <m/>
    <m/>
    <m/>
    <m/>
    <s v="NACIONALIZADO"/>
    <m/>
    <m/>
    <m/>
  </r>
  <r>
    <n v="2021"/>
    <s v="G-C"/>
    <x v="0"/>
    <x v="0"/>
    <m/>
    <m/>
    <x v="1706"/>
    <m/>
    <x v="1442"/>
    <m/>
    <d v="1899-12-30T00:00:00"/>
    <d v="2021-11-18T00:00:00"/>
    <s v="CERRADO"/>
    <n v="206573"/>
    <x v="5"/>
    <x v="41"/>
    <x v="777"/>
    <d v="2021-09-22T00:00:00"/>
    <n v="150"/>
    <s v="días BL"/>
    <s v="B7FE-21-3039-ANPE-01"/>
    <m/>
    <d v="2022-03-09T00:00:00"/>
    <s v="CANCELADO"/>
    <s v="CFR"/>
    <m/>
    <x v="377"/>
    <n v="443.88"/>
    <m/>
    <x v="1417"/>
    <x v="3"/>
    <s v="Granel"/>
    <m/>
    <s v="Granel Sólido"/>
    <m/>
    <m/>
    <s v="1W OCTUBRE '21"/>
    <x v="0"/>
    <d v="2021-10-05T00:00:00"/>
    <d v="2021-10-10T00:00:00"/>
    <d v="2021-11-15T00:00:00"/>
    <x v="777"/>
    <d v="2021-11-25T00:00:00"/>
    <m/>
    <x v="786"/>
    <n v="11"/>
    <n v="2021"/>
    <x v="0"/>
    <x v="0"/>
    <s v="RIGA / LATVIA"/>
    <x v="0"/>
    <m/>
    <x v="2"/>
    <x v="50"/>
    <d v="2021-10-10T00:00:00"/>
    <s v="MV CHIOS FREEDOM "/>
    <x v="363"/>
    <x v="0"/>
    <m/>
    <s v="PENDIENTE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C"/>
    <x v="0"/>
    <x v="0"/>
    <m/>
    <m/>
    <x v="1707"/>
    <m/>
    <x v="1443"/>
    <m/>
    <d v="1899-12-30T00:00:00"/>
    <d v="2021-11-24T00:00:00"/>
    <s v="CERRADO"/>
    <n v="206573"/>
    <x v="5"/>
    <x v="41"/>
    <x v="777"/>
    <d v="2021-09-22T00:00:00"/>
    <n v="150"/>
    <s v="días BL"/>
    <s v="B7FE-21-3039-ANPE-02"/>
    <m/>
    <d v="2022-03-09T00:00:00"/>
    <s v="CANCELADO"/>
    <s v="CFR"/>
    <m/>
    <x v="130"/>
    <n v="443.88"/>
    <m/>
    <x v="1418"/>
    <x v="3"/>
    <s v="Granel"/>
    <m/>
    <s v="Granel Sólido"/>
    <m/>
    <m/>
    <s v="1W OCTUBRE '21"/>
    <x v="0"/>
    <d v="2021-10-05T00:00:00"/>
    <d v="2021-10-13T00:00:00"/>
    <d v="2021-11-18T00:00:00"/>
    <x v="778"/>
    <d v="2021-12-02T00:00:00"/>
    <m/>
    <x v="832"/>
    <n v="11"/>
    <n v="2021"/>
    <x v="0"/>
    <x v="0"/>
    <s v="RIGA / LATVIA"/>
    <x v="2"/>
    <m/>
    <x v="3"/>
    <x v="17"/>
    <d v="2021-10-10T00:00:00"/>
    <s v="MV CHIOS FREEDOM "/>
    <x v="363"/>
    <x v="0"/>
    <m/>
    <s v="PENDIENTE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C"/>
    <x v="0"/>
    <x v="0"/>
    <m/>
    <m/>
    <x v="1708"/>
    <m/>
    <x v="1444"/>
    <m/>
    <m/>
    <m/>
    <s v="CERRADO"/>
    <n v="206573"/>
    <x v="5"/>
    <x v="41"/>
    <x v="777"/>
    <d v="2021-09-22T00:00:00"/>
    <n v="150"/>
    <s v="días BL"/>
    <s v="B7FE-21-3039-ANPE-03"/>
    <m/>
    <d v="2022-03-09T00:00:00"/>
    <s v="CANCELADO"/>
    <s v="CFR"/>
    <m/>
    <x v="94"/>
    <n v="443.88"/>
    <m/>
    <x v="1419"/>
    <x v="3"/>
    <s v="Granel"/>
    <m/>
    <s v="Granel Sólido"/>
    <m/>
    <m/>
    <s v="1W OCTUBRE '21"/>
    <x v="0"/>
    <d v="2021-10-05T00:00:00"/>
    <d v="2021-10-13T00:00:00"/>
    <d v="2021-11-25T00:00:00"/>
    <x v="710"/>
    <d v="2021-12-09T00:00:00"/>
    <m/>
    <x v="833"/>
    <n v="11"/>
    <n v="2021"/>
    <x v="0"/>
    <x v="0"/>
    <s v="RIGA / LATVIA"/>
    <x v="4"/>
    <m/>
    <x v="2"/>
    <x v="51"/>
    <d v="2021-10-10T00:00:00"/>
    <s v="MV CHIOS FREEDOM "/>
    <x v="363"/>
    <x v="0"/>
    <m/>
    <s v="PENDIENTE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709"/>
    <m/>
    <x v="1445"/>
    <m/>
    <d v="1899-12-30T00:00:00"/>
    <d v="2021-11-18T00:00:00"/>
    <s v="CERRADO"/>
    <n v="207791"/>
    <x v="7"/>
    <x v="24"/>
    <x v="778"/>
    <d v="2021-09-24T00:00:00"/>
    <n v="180"/>
    <s v="días BL"/>
    <s v="21-07-7429-1"/>
    <m/>
    <d v="2022-04-11T00:00:00"/>
    <s v="CANCELADO"/>
    <s v="CFR"/>
    <m/>
    <x v="212"/>
    <n v="700"/>
    <m/>
    <x v="1420"/>
    <x v="3"/>
    <s v="Granel"/>
    <m/>
    <s v="Granel Sólido"/>
    <m/>
    <m/>
    <s v="1W OCTUBRE '21"/>
    <x v="0"/>
    <d v="2021-10-05T00:00:00"/>
    <d v="2021-10-13T00:00:00"/>
    <d v="2021-11-15T00:00:00"/>
    <x v="777"/>
    <d v="2021-11-17T00:00:00"/>
    <m/>
    <x v="786"/>
    <n v="11"/>
    <n v="2021"/>
    <x v="0"/>
    <x v="0"/>
    <s v="ST. PETERSBURG / RUSSIA"/>
    <x v="0"/>
    <m/>
    <x v="2"/>
    <x v="990"/>
    <d v="2021-10-13T00:00:00"/>
    <s v="MV CHIOS FREEDOM "/>
    <x v="363"/>
    <x v="0"/>
    <m/>
    <s v="PENDIENTE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710"/>
    <m/>
    <x v="1446"/>
    <m/>
    <d v="1899-12-30T00:00:00"/>
    <d v="2021-11-24T00:00:00"/>
    <s v="CERRADO"/>
    <n v="207791"/>
    <x v="7"/>
    <x v="24"/>
    <x v="778"/>
    <d v="2021-09-24T00:00:00"/>
    <n v="180"/>
    <s v="días BL"/>
    <s v="21-07-7429-2"/>
    <m/>
    <d v="2022-04-11T00:00:00"/>
    <s v="CANCELADO"/>
    <s v="CFR"/>
    <m/>
    <x v="80"/>
    <n v="700"/>
    <m/>
    <x v="1020"/>
    <x v="3"/>
    <s v="Granel"/>
    <m/>
    <s v="Granel Sólido"/>
    <m/>
    <m/>
    <s v="1W OCTUBRE '21"/>
    <x v="0"/>
    <d v="2021-10-05T00:00:00"/>
    <d v="2021-10-13T00:00:00"/>
    <d v="2021-11-18T00:00:00"/>
    <x v="778"/>
    <d v="2021-11-20T00:00:00"/>
    <m/>
    <x v="776"/>
    <n v="11"/>
    <n v="2021"/>
    <x v="0"/>
    <x v="0"/>
    <s v="ST. PETERSBURG / RUSSIA"/>
    <x v="2"/>
    <m/>
    <x v="3"/>
    <x v="991"/>
    <d v="2021-10-13T00:00:00"/>
    <s v="MV CHIOS FREEDOM "/>
    <x v="363"/>
    <x v="0"/>
    <m/>
    <s v="PENDIENTE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711"/>
    <m/>
    <x v="1447"/>
    <m/>
    <m/>
    <m/>
    <s v="CERRADO"/>
    <n v="207791"/>
    <x v="7"/>
    <x v="24"/>
    <x v="778"/>
    <d v="2021-09-24T00:00:00"/>
    <n v="180"/>
    <s v="días BL"/>
    <s v="21-07-7429-3"/>
    <m/>
    <d v="2022-04-11T00:00:00"/>
    <s v="CANCELADO"/>
    <s v="CFR"/>
    <m/>
    <x v="0"/>
    <n v="700"/>
    <m/>
    <x v="1421"/>
    <x v="3"/>
    <s v="Granel"/>
    <m/>
    <s v="Granel Sólido"/>
    <m/>
    <m/>
    <s v="1W OCTUBRE '21"/>
    <x v="0"/>
    <d v="2021-10-05T00:00:00"/>
    <d v="2021-10-13T00:00:00"/>
    <d v="2021-11-25T00:00:00"/>
    <x v="710"/>
    <d v="2021-11-26T00:00:00"/>
    <m/>
    <x v="773"/>
    <n v="11"/>
    <n v="2021"/>
    <x v="0"/>
    <x v="0"/>
    <s v="ST. PETERSBURG / RUSSIA"/>
    <x v="4"/>
    <m/>
    <x v="2"/>
    <x v="992"/>
    <d v="2021-10-13T00:00:00"/>
    <s v="MV CHIOS FREEDOM "/>
    <x v="363"/>
    <x v="0"/>
    <m/>
    <s v="PENDIENTE"/>
    <s v="ORIGEN"/>
    <m/>
    <m/>
    <m/>
    <x v="0"/>
    <m/>
    <m/>
    <x v="0"/>
    <x v="0"/>
    <m/>
    <m/>
    <x v="0"/>
    <e v="#REF!"/>
    <m/>
    <m/>
    <m/>
    <m/>
    <m/>
    <x v="0"/>
    <s v="anulada : 8000001653"/>
    <m/>
    <m/>
    <m/>
    <s v="NACIONALIZADO"/>
    <m/>
    <m/>
    <m/>
  </r>
  <r>
    <n v="2021"/>
    <s v="G-S"/>
    <x v="0"/>
    <x v="0"/>
    <m/>
    <m/>
    <x v="1712"/>
    <m/>
    <x v="1448"/>
    <m/>
    <d v="1899-12-30T00:00:00"/>
    <d v="2021-11-18T00:00:00"/>
    <s v="CERRADO"/>
    <n v="207951"/>
    <x v="6"/>
    <x v="41"/>
    <x v="777"/>
    <d v="2021-09-22T00:00:00"/>
    <n v="150"/>
    <s v="días BL"/>
    <s v="B7FE-21-3040-PUPE-01"/>
    <m/>
    <d v="2022-03-09T00:00:00"/>
    <s v="CANCELADO"/>
    <s v="CFR"/>
    <m/>
    <x v="15"/>
    <n v="573.24"/>
    <m/>
    <x v="1422"/>
    <x v="3"/>
    <s v="Granel"/>
    <m/>
    <s v="Granel Sólido"/>
    <m/>
    <m/>
    <s v="1W OCTUBRE '21"/>
    <x v="0"/>
    <d v="2021-10-05T00:00:00"/>
    <d v="2021-10-10T00:00:00"/>
    <d v="2021-11-15T00:00:00"/>
    <x v="777"/>
    <d v="2021-11-17T00:00:00"/>
    <m/>
    <x v="786"/>
    <n v="11"/>
    <n v="2021"/>
    <x v="0"/>
    <x v="0"/>
    <s v="RIGA / LATVIA"/>
    <x v="0"/>
    <m/>
    <x v="2"/>
    <x v="18"/>
    <d v="2021-10-10T00:00:00"/>
    <s v="MV CHIOS FREEDOM "/>
    <x v="363"/>
    <x v="0"/>
    <m/>
    <s v="PENDIENTE"/>
    <s v="ORIGEN"/>
    <m/>
    <m/>
    <m/>
    <x v="0"/>
    <n v="36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713"/>
    <m/>
    <x v="1449"/>
    <m/>
    <d v="1899-12-30T00:00:00"/>
    <d v="2021-11-17T00:00:00"/>
    <s v="CERRADO"/>
    <n v="207951"/>
    <x v="6"/>
    <x v="41"/>
    <x v="777"/>
    <d v="2021-09-22T00:00:00"/>
    <n v="150"/>
    <s v="días BL"/>
    <s v="B7FE-21-3040-PUPE-02"/>
    <m/>
    <d v="2022-03-09T00:00:00"/>
    <s v="CANCELADO"/>
    <s v="CFR"/>
    <m/>
    <x v="17"/>
    <n v="573.24"/>
    <m/>
    <x v="1423"/>
    <x v="3"/>
    <s v="Granel"/>
    <m/>
    <s v="Granel Sólido"/>
    <m/>
    <m/>
    <s v="1W OCTUBRE '21"/>
    <x v="0"/>
    <d v="2021-10-05T00:00:00"/>
    <d v="2021-10-13T00:00:00"/>
    <d v="2021-11-18T00:00:00"/>
    <x v="778"/>
    <d v="2021-11-21T00:00:00"/>
    <m/>
    <x v="832"/>
    <n v="11"/>
    <n v="2021"/>
    <x v="0"/>
    <x v="0"/>
    <s v="RIGA / LATVIA"/>
    <x v="2"/>
    <m/>
    <x v="11"/>
    <x v="52"/>
    <d v="2021-10-10T00:00:00"/>
    <s v="MV CHIOS FREEDOM "/>
    <x v="363"/>
    <x v="0"/>
    <m/>
    <s v="PENDIENTE"/>
    <s v="ORIGEN"/>
    <m/>
    <m/>
    <m/>
    <x v="0"/>
    <n v="36"/>
    <m/>
    <x v="0"/>
    <x v="0"/>
    <m/>
    <m/>
    <x v="0"/>
    <e v="#REF!"/>
    <m/>
    <m/>
    <m/>
    <m/>
    <m/>
    <x v="0"/>
    <s v="anulada : 8000001649"/>
    <m/>
    <m/>
    <m/>
    <s v="NACIONALIZADO"/>
    <m/>
    <m/>
    <m/>
  </r>
  <r>
    <n v="2021"/>
    <s v="G-S"/>
    <x v="0"/>
    <x v="0"/>
    <m/>
    <m/>
    <x v="1714"/>
    <m/>
    <x v="1450"/>
    <m/>
    <d v="1899-12-30T00:00:00"/>
    <d v="2021-11-29T00:00:00"/>
    <s v="CERRADO"/>
    <n v="207951"/>
    <x v="6"/>
    <x v="41"/>
    <x v="777"/>
    <d v="2021-09-22T00:00:00"/>
    <n v="150"/>
    <s v="días BL"/>
    <s v="B7FE-21-3040-PUPE-03"/>
    <m/>
    <d v="2022-03-09T00:00:00"/>
    <s v="CANCELADO"/>
    <s v="CFR"/>
    <m/>
    <x v="100"/>
    <n v="573.24"/>
    <m/>
    <x v="1424"/>
    <x v="3"/>
    <s v="Granel"/>
    <m/>
    <s v="Granel Sólido"/>
    <m/>
    <m/>
    <s v="1W OCTUBRE '21"/>
    <x v="0"/>
    <d v="2021-10-05T00:00:00"/>
    <d v="2021-10-13T00:00:00"/>
    <d v="2021-11-25T00:00:00"/>
    <x v="710"/>
    <d v="2021-11-26T00:00:00"/>
    <m/>
    <x v="773"/>
    <n v="11"/>
    <n v="2021"/>
    <x v="0"/>
    <x v="0"/>
    <s v="RIGA / LATVIA"/>
    <x v="4"/>
    <m/>
    <x v="2"/>
    <x v="19"/>
    <d v="2021-10-10T00:00:00"/>
    <s v="MV CHIOS FREEDOM "/>
    <x v="363"/>
    <x v="0"/>
    <m/>
    <s v="PENDIENTE"/>
    <s v="ORIGEN"/>
    <m/>
    <m/>
    <m/>
    <x v="0"/>
    <n v="43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S"/>
    <x v="0"/>
    <x v="1"/>
    <s v="N/A"/>
    <m/>
    <x v="1715"/>
    <m/>
    <x v="34"/>
    <m/>
    <m/>
    <m/>
    <m/>
    <m/>
    <x v="3"/>
    <x v="25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1"/>
    <s v="S-S"/>
    <x v="0"/>
    <x v="0"/>
    <m/>
    <m/>
    <x v="1716"/>
    <m/>
    <x v="1451"/>
    <m/>
    <d v="1899-12-30T00:00:00"/>
    <d v="2021-12-22T00:00:00"/>
    <s v="CERRADO"/>
    <n v="206914"/>
    <x v="12"/>
    <x v="25"/>
    <x v="761"/>
    <d v="2021-09-23T00:00:00"/>
    <s v="CAD"/>
    <m/>
    <s v="TGOA-MGN-211102-B"/>
    <m/>
    <d v="2021-11-14T00:00:00"/>
    <s v="CANCELADO"/>
    <s v="CFR"/>
    <m/>
    <x v="17"/>
    <n v="269"/>
    <n v="81.25"/>
    <x v="1425"/>
    <x v="3"/>
    <s v="Granel - BB"/>
    <m/>
    <s v="25 kg"/>
    <m/>
    <m/>
    <s v="2H SET- 1H OCT '21"/>
    <x v="0"/>
    <d v="2021-10-22T00:00:00"/>
    <d v="2021-11-18T00:00:00"/>
    <e v="#REF!"/>
    <x v="750"/>
    <d v="2021-12-27T00:00:00"/>
    <m/>
    <x v="770"/>
    <n v="12"/>
    <n v="2021"/>
    <x v="0"/>
    <x v="0"/>
    <s v="NANJING / CHINA"/>
    <x v="0"/>
    <m/>
    <x v="1"/>
    <x v="1265"/>
    <d v="2021-11-02T00:00:00"/>
    <s v="MV DORIC SHOGUN"/>
    <x v="358"/>
    <x v="0"/>
    <m/>
    <s v="PENDIENTE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S"/>
    <x v="0"/>
    <x v="0"/>
    <m/>
    <m/>
    <x v="1717"/>
    <m/>
    <x v="1452"/>
    <m/>
    <d v="1899-12-30T00:00:00"/>
    <d v="2021-12-28T00:00:00"/>
    <s v="CERRADO"/>
    <n v="206914"/>
    <x v="12"/>
    <x v="25"/>
    <x v="761"/>
    <d v="2021-09-23T00:00:00"/>
    <s v="CAD"/>
    <m/>
    <s v="TGOA-MGN-211102-A"/>
    <m/>
    <d v="2021-11-14T00:00:00"/>
    <s v="CANCELADO"/>
    <s v="CFR"/>
    <m/>
    <x v="17"/>
    <n v="269"/>
    <n v="81.25"/>
    <x v="1425"/>
    <x v="3"/>
    <s v="Granel - BB"/>
    <m/>
    <s v="25 kg"/>
    <m/>
    <m/>
    <s v="2H SET- 1H OCT '21"/>
    <x v="0"/>
    <d v="2021-10-22T00:00:00"/>
    <d v="2021-11-18T00:00:00"/>
    <e v="#REF!"/>
    <x v="751"/>
    <d v="2021-12-27T00:00:00"/>
    <m/>
    <x v="804"/>
    <n v="12"/>
    <n v="2021"/>
    <x v="0"/>
    <x v="0"/>
    <s v="NANJING / CHINA"/>
    <x v="1"/>
    <m/>
    <x v="2"/>
    <x v="1266"/>
    <d v="2021-11-02T00:00:00"/>
    <s v="MV DORIC SHOGUN"/>
    <x v="358"/>
    <x v="0"/>
    <m/>
    <s v="PENDIENTE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S"/>
    <x v="0"/>
    <x v="0"/>
    <m/>
    <m/>
    <x v="1718"/>
    <m/>
    <x v="1453"/>
    <m/>
    <d v="2022-01-05T00:00:00"/>
    <d v="2022-01-05T00:00:00"/>
    <s v="CERRADO"/>
    <n v="206914"/>
    <x v="12"/>
    <x v="25"/>
    <x v="761"/>
    <d v="2021-09-23T00:00:00"/>
    <s v="CAD"/>
    <m/>
    <s v="TGOA-MGN-211102-C"/>
    <m/>
    <d v="2022-01-02T00:00:00"/>
    <s v="CANCELADO"/>
    <s v="CFR"/>
    <m/>
    <x v="241"/>
    <n v="269"/>
    <n v="81.25"/>
    <x v="1426"/>
    <x v="3"/>
    <s v="Granel - BB"/>
    <m/>
    <s v="25 kg"/>
    <m/>
    <m/>
    <s v="2H SET- 1H OCT '21"/>
    <x v="0"/>
    <d v="2021-10-22T00:00:00"/>
    <d v="2021-11-18T00:00:00"/>
    <d v="2022-01-01T00:00:00"/>
    <x v="753"/>
    <d v="2022-01-02T00:00:00"/>
    <m/>
    <x v="805"/>
    <n v="1"/>
    <n v="2022"/>
    <x v="0"/>
    <x v="0"/>
    <s v="NANJING / CHINA"/>
    <x v="4"/>
    <m/>
    <x v="2"/>
    <x v="1267"/>
    <d v="2021-11-02T00:00:00"/>
    <s v="MV DORIC SHOGUN"/>
    <x v="358"/>
    <x v="0"/>
    <m/>
    <s v="PENDIENTE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S"/>
    <x v="0"/>
    <x v="1"/>
    <s v="N/A"/>
    <m/>
    <x v="1719"/>
    <m/>
    <x v="34"/>
    <m/>
    <m/>
    <m/>
    <m/>
    <m/>
    <x v="8"/>
    <x v="25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1"/>
    <s v="S-S"/>
    <x v="0"/>
    <x v="1"/>
    <s v="N/A"/>
    <m/>
    <x v="1720"/>
    <m/>
    <x v="34"/>
    <m/>
    <m/>
    <m/>
    <m/>
    <m/>
    <x v="16"/>
    <x v="25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1"/>
    <s v="E-S"/>
    <x v="0"/>
    <x v="0"/>
    <m/>
    <m/>
    <x v="1721"/>
    <m/>
    <x v="1454"/>
    <m/>
    <d v="1899-12-30T00:00:00"/>
    <d v="2021-11-30T00:00:00"/>
    <s v="CERRADO"/>
    <n v="207522"/>
    <x v="11"/>
    <x v="10"/>
    <x v="779"/>
    <d v="2021-09-20T00:00:00"/>
    <s v="CAD"/>
    <m/>
    <s v="306031286"/>
    <m/>
    <d v="2021-10-27T00:00:00"/>
    <s v="CANCELADO"/>
    <s v="CFR"/>
    <m/>
    <x v="627"/>
    <n v="269.83"/>
    <m/>
    <x v="1427"/>
    <x v="20"/>
    <s v="Contenedor 20'"/>
    <m/>
    <s v="Granel Sólido"/>
    <m/>
    <m/>
    <s v="OCT 21'"/>
    <x v="0"/>
    <d v="1899-12-30T00:00:00"/>
    <d v="2021-10-11T00:00:00"/>
    <d v="2021-11-26T00:00:00"/>
    <x v="764"/>
    <d v="2021-11-30T00:00:00"/>
    <m/>
    <x v="778"/>
    <n v="11"/>
    <n v="2021"/>
    <x v="0"/>
    <x v="0"/>
    <s v="TEESPORT / REINO UNIDO"/>
    <x v="2"/>
    <m/>
    <x v="10"/>
    <x v="1268"/>
    <d v="2021-10-16T00:00:00"/>
    <s v="BG IRLANDA"/>
    <x v="293"/>
    <x v="3"/>
    <m/>
    <s v="PENDIENTE"/>
    <s v="DESTINO"/>
    <m/>
    <m/>
    <m/>
    <x v="0"/>
    <d v="2021-12-02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E-S"/>
    <x v="0"/>
    <x v="0"/>
    <m/>
    <m/>
    <x v="1722"/>
    <m/>
    <x v="1455"/>
    <m/>
    <d v="1899-12-30T00:00:00"/>
    <d v="2021-12-02T00:00:00"/>
    <s v="CERRADO"/>
    <n v="207522"/>
    <x v="11"/>
    <x v="10"/>
    <x v="780"/>
    <d v="2021-09-20T00:00:00"/>
    <s v="CAD"/>
    <m/>
    <s v="306031276"/>
    <m/>
    <d v="2021-10-21T00:00:00"/>
    <s v="CANCELADO"/>
    <s v="CFR"/>
    <m/>
    <x v="628"/>
    <n v="281.07"/>
    <m/>
    <x v="1428"/>
    <x v="14"/>
    <s v="Contenedor 20'"/>
    <m/>
    <s v="Granel Sólido"/>
    <m/>
    <m/>
    <s v="OCT 21'"/>
    <x v="0"/>
    <d v="1899-12-30T00:00:00"/>
    <d v="2021-10-12T00:00:00"/>
    <d v="2021-11-26T00:00:00"/>
    <x v="764"/>
    <d v="2021-11-30T00:00:00"/>
    <m/>
    <x v="818"/>
    <n v="12"/>
    <n v="2021"/>
    <x v="0"/>
    <x v="0"/>
    <s v="TEESPORT / REINO UNIDO"/>
    <x v="0"/>
    <m/>
    <x v="5"/>
    <x v="1269"/>
    <d v="2021-10-11T00:00:00"/>
    <s v="ELBSTROM"/>
    <x v="193"/>
    <x v="3"/>
    <m/>
    <s v="PENDIENTE"/>
    <s v="DESTINO"/>
    <m/>
    <m/>
    <m/>
    <x v="0"/>
    <d v="2021-12-02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E-S"/>
    <x v="0"/>
    <x v="0"/>
    <m/>
    <m/>
    <x v="1723"/>
    <m/>
    <x v="1456"/>
    <m/>
    <d v="1899-12-30T00:00:00"/>
    <d v="2021-12-30T00:00:00"/>
    <s v="CERRADO"/>
    <n v="204207"/>
    <x v="33"/>
    <x v="23"/>
    <x v="8"/>
    <d v="2021-09-30T00:00:00"/>
    <n v="150"/>
    <s v="días BL"/>
    <s v="202152716"/>
    <m/>
    <d v="2022-03-28T00:00:00"/>
    <s v="CANCELADO"/>
    <s v="CIF"/>
    <m/>
    <x v="105"/>
    <n v="2100"/>
    <n v="4809"/>
    <x v="642"/>
    <x v="1"/>
    <s v="Contenedor 20'"/>
    <m/>
    <s v="25 kg"/>
    <m/>
    <m/>
    <s v="1H NOV 21'"/>
    <x v="0"/>
    <d v="2021-11-10T00:00:00"/>
    <d v="2021-10-29T00:00:00"/>
    <d v="2021-12-19T00:00:00"/>
    <x v="779"/>
    <d v="2021-12-26T00:00:00"/>
    <m/>
    <x v="834"/>
    <n v="12"/>
    <n v="2021"/>
    <x v="0"/>
    <x v="0"/>
    <s v="HAIFA / ISRAEL"/>
    <x v="2"/>
    <m/>
    <x v="3"/>
    <x v="1270"/>
    <d v="2021-10-29T00:00:00"/>
    <s v="MAERSK NORFOLK"/>
    <x v="364"/>
    <x v="6"/>
    <m/>
    <s v="PENDIENTE"/>
    <s v="ORIGEN"/>
    <m/>
    <m/>
    <m/>
    <x v="0"/>
    <d v="2022-01-01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E-S"/>
    <x v="0"/>
    <x v="0"/>
    <m/>
    <m/>
    <x v="1724"/>
    <m/>
    <x v="1457"/>
    <m/>
    <d v="2022-01-24T00:00:00"/>
    <d v="2022-01-24T00:00:00"/>
    <s v="CERRADO"/>
    <n v="204207"/>
    <x v="33"/>
    <x v="23"/>
    <x v="8"/>
    <d v="2021-09-30T00:00:00"/>
    <n v="150"/>
    <s v="días BL"/>
    <s v="202152934"/>
    <m/>
    <d v="2022-04-25T00:00:00"/>
    <s v="CANCELADO"/>
    <s v="CIF"/>
    <m/>
    <x v="105"/>
    <n v="2100"/>
    <m/>
    <x v="642"/>
    <x v="1"/>
    <s v="Contenedor 20'"/>
    <m/>
    <s v="25 kg"/>
    <m/>
    <m/>
    <s v="1H NOV 21'"/>
    <x v="0"/>
    <d v="2021-11-10T00:00:00"/>
    <d v="2021-11-25T00:00:00"/>
    <d v="2022-01-04T00:00:00"/>
    <x v="772"/>
    <d v="2022-01-23T00:00:00"/>
    <m/>
    <x v="810"/>
    <n v="1"/>
    <n v="2022"/>
    <x v="0"/>
    <x v="0"/>
    <s v="HAIFA / ISRAEL"/>
    <x v="2"/>
    <m/>
    <x v="3"/>
    <x v="1271"/>
    <d v="2021-11-25T00:00:00"/>
    <s v="MAERSK NORFOLK"/>
    <x v="365"/>
    <x v="6"/>
    <m/>
    <s v="PENDIENTE"/>
    <s v="SWB"/>
    <m/>
    <m/>
    <m/>
    <x v="0"/>
    <d v="2022-01-28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E-E"/>
    <x v="0"/>
    <x v="0"/>
    <m/>
    <m/>
    <x v="1725"/>
    <m/>
    <x v="1458"/>
    <m/>
    <d v="2022-03-07T00:00:00"/>
    <d v="2022-04-04T00:00:00"/>
    <s v="CERRADO"/>
    <n v="205996"/>
    <x v="126"/>
    <x v="59"/>
    <x v="8"/>
    <d v="2021-09-30T00:00:00"/>
    <s v="CAD"/>
    <m/>
    <s v="50887PRE"/>
    <m/>
    <d v="2022-02-02T00:00:00"/>
    <s v="CANCELADO"/>
    <s v="CFR"/>
    <m/>
    <x v="629"/>
    <n v="2060"/>
    <m/>
    <x v="1429"/>
    <x v="3"/>
    <s v="Granel - BB"/>
    <m/>
    <s v="25 kg"/>
    <n v="1.25"/>
    <s v="VALUCID PK 0-60-20"/>
    <s v="1H NOV 21'"/>
    <x v="0"/>
    <d v="2021-11-20T00:00:00"/>
    <d v="2021-12-25T00:00:00"/>
    <d v="2022-02-23T00:00:00"/>
    <x v="780"/>
    <d v="2022-03-31T00:00:00"/>
    <m/>
    <x v="835"/>
    <n v="3"/>
    <n v="2022"/>
    <x v="0"/>
    <x v="0"/>
    <s v="TIANJIN / CHINA"/>
    <x v="2"/>
    <m/>
    <x v="3"/>
    <x v="1272"/>
    <d v="2021-12-18T00:00:00"/>
    <s v="CHANG HANG JIN HAI "/>
    <x v="366"/>
    <x v="0"/>
    <s v="AGENTAL"/>
    <s v="PENDIENTE"/>
    <s v="DESTINO"/>
    <m/>
    <m/>
    <m/>
    <x v="0"/>
    <m/>
    <m/>
    <x v="24"/>
    <x v="20"/>
    <s v="SADA DD"/>
    <s v="VERDE"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726"/>
    <m/>
    <x v="1459"/>
    <m/>
    <d v="2021-10-26T00:00:00"/>
    <d v="2021-10-13T00:00:00"/>
    <s v="CERRADO"/>
    <n v="208067"/>
    <x v="115"/>
    <x v="53"/>
    <x v="781"/>
    <d v="2021-10-05T00:00:00"/>
    <n v="30"/>
    <s v="días FACT."/>
    <s v="F200-43198"/>
    <m/>
    <d v="2021-11-14T00:00:00"/>
    <s v="CANCELADO"/>
    <s v="CFR"/>
    <m/>
    <x v="80"/>
    <n v="296.06"/>
    <m/>
    <x v="1430"/>
    <x v="19"/>
    <s v="Contenedor 20'"/>
    <m/>
    <s v="25 kg"/>
    <m/>
    <m/>
    <s v="OCT '21"/>
    <x v="0"/>
    <d v="2021-10-08T00:00:00"/>
    <d v="2021-10-08T00:00:00"/>
    <d v="2021-12-02T00:00:00"/>
    <x v="781"/>
    <d v="2021-12-04T00:00:00"/>
    <m/>
    <x v="836"/>
    <n v="10"/>
    <n v="2021"/>
    <x v="0"/>
    <x v="0"/>
    <s v="CARTAGENA / COLOMBIA"/>
    <x v="0"/>
    <m/>
    <x v="2"/>
    <x v="1273"/>
    <d v="2021-10-15T00:00:00"/>
    <s v="AS PATRIA"/>
    <x v="15"/>
    <x v="9"/>
    <m/>
    <s v="REALIZADO"/>
    <s v="SWB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727"/>
    <m/>
    <x v="1460"/>
    <m/>
    <d v="2022-02-04T00:00:00"/>
    <d v="2022-02-04T00:00:00"/>
    <s v="CERRADO"/>
    <n v="208067"/>
    <x v="115"/>
    <x v="53"/>
    <x v="782"/>
    <d v="2021-10-05T00:00:00"/>
    <n v="30"/>
    <s v="días FACT."/>
    <s v="F200-43255"/>
    <m/>
    <d v="2022-02-25T00:00:00"/>
    <s v="CANCELADO"/>
    <s v="CFR"/>
    <m/>
    <x v="249"/>
    <n v="320"/>
    <m/>
    <x v="1431"/>
    <x v="9"/>
    <s v="Contenedor 20'"/>
    <m/>
    <s v="25 kg"/>
    <m/>
    <m/>
    <s v="OCTUBRE '21"/>
    <x v="0"/>
    <d v="2021-11-15T00:00:00"/>
    <d v="2021-12-18T00:00:00"/>
    <d v="2022-01-09T00:00:00"/>
    <x v="782"/>
    <d v="2022-01-31T00:00:00"/>
    <m/>
    <x v="837"/>
    <n v="2"/>
    <n v="2022"/>
    <x v="0"/>
    <x v="0"/>
    <s v="BREVIK / NORUEGA"/>
    <x v="2"/>
    <m/>
    <x v="3"/>
    <x v="1274"/>
    <d v="2021-12-18T00:00:00"/>
    <s v="ENERGIZER"/>
    <x v="39"/>
    <x v="9"/>
    <m/>
    <s v="PENDIENTE"/>
    <s v="DESTINO"/>
    <m/>
    <m/>
    <m/>
    <x v="0"/>
    <m/>
    <m/>
    <x v="25"/>
    <x v="21"/>
    <s v="SADA PL"/>
    <s v="VERDE"/>
    <x v="0"/>
    <s v="OK"/>
    <m/>
    <m/>
    <m/>
    <m/>
    <m/>
    <x v="0"/>
    <m/>
    <m/>
    <m/>
    <m/>
    <s v="NACIONALIZADO"/>
    <m/>
    <m/>
    <m/>
  </r>
  <r>
    <n v="2021"/>
    <s v="T-S"/>
    <x v="0"/>
    <x v="0"/>
    <m/>
    <m/>
    <x v="1728"/>
    <m/>
    <x v="1461"/>
    <m/>
    <d v="2021-10-20T00:00:00"/>
    <d v="2021-10-21T00:00:00"/>
    <s v="CERRADO"/>
    <n v="208067"/>
    <x v="115"/>
    <x v="53"/>
    <x v="16"/>
    <s v="NOVIEMBRE"/>
    <n v="30"/>
    <s v="días FACT."/>
    <s v="F200-43189"/>
    <m/>
    <d v="2021-11-11T00:00:00"/>
    <s v="CANCELADO"/>
    <s v="CFR"/>
    <m/>
    <x v="250"/>
    <n v="296.06"/>
    <m/>
    <x v="1370"/>
    <x v="20"/>
    <s v="Contenedor 20'"/>
    <m/>
    <s v="25 kg"/>
    <m/>
    <m/>
    <s v="SETIEMBRE '21"/>
    <x v="0"/>
    <d v="2021-10-01T00:00:00"/>
    <d v="2021-10-01T00:00:00"/>
    <d v="2021-10-13T00:00:00"/>
    <x v="665"/>
    <d v="2021-10-17T00:00:00"/>
    <m/>
    <x v="838"/>
    <n v="10"/>
    <n v="2021"/>
    <x v="0"/>
    <x v="0"/>
    <s v="CARTAGENA / COLOMBIA"/>
    <x v="0"/>
    <m/>
    <x v="2"/>
    <x v="1275"/>
    <d v="2021-10-08T00:00:00"/>
    <s v="DIMITRIS C"/>
    <x v="326"/>
    <x v="9"/>
    <m/>
    <s v="REALIZADO"/>
    <s v="SWB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S"/>
    <x v="0"/>
    <x v="0"/>
    <m/>
    <m/>
    <x v="1729"/>
    <m/>
    <x v="1462"/>
    <m/>
    <d v="2022-02-28T00:00:00"/>
    <d v="2022-02-28T00:00:00"/>
    <s v="CERRADO"/>
    <n v="209677"/>
    <x v="80"/>
    <x v="51"/>
    <x v="783"/>
    <d v="2021-10-14T00:00:00"/>
    <n v="90"/>
    <s v="días BL"/>
    <s v="5000867"/>
    <m/>
    <d v="2022-03-25T00:00:00"/>
    <s v="CANCELADO"/>
    <s v="CFR"/>
    <s v="FILO"/>
    <x v="630"/>
    <n v="1048"/>
    <n v="123"/>
    <x v="1432"/>
    <x v="3"/>
    <s v="Granel - BB"/>
    <m/>
    <s v="25 kg"/>
    <m/>
    <m/>
    <s v="NOV '21 - 1H DIC '21"/>
    <x v="0"/>
    <d v="2021-12-15T00:00:00"/>
    <d v="2021-12-28T00:00:00"/>
    <d v="2022-01-19T00:00:00"/>
    <x v="722"/>
    <d v="2022-02-17T00:00:00"/>
    <m/>
    <x v="790"/>
    <n v="3"/>
    <n v="2022"/>
    <x v="0"/>
    <x v="1"/>
    <s v="TIANJIN"/>
    <x v="2"/>
    <m/>
    <x v="3"/>
    <x v="1276"/>
    <d v="2021-12-25T00:00:00"/>
    <s v="TCLC QUANZHOU"/>
    <x v="345"/>
    <x v="0"/>
    <m/>
    <s v="PENDIENTE"/>
    <s v="DESTINO"/>
    <m/>
    <m/>
    <m/>
    <x v="0"/>
    <m/>
    <m/>
    <x v="26"/>
    <x v="8"/>
    <s v="SADA DD"/>
    <s v="VERDE"/>
    <x v="0"/>
    <e v="#REF!"/>
    <m/>
    <m/>
    <m/>
    <m/>
    <m/>
    <x v="0"/>
    <m/>
    <m/>
    <m/>
    <m/>
    <s v="NACIONALIZADO"/>
    <m/>
    <m/>
    <m/>
  </r>
  <r>
    <n v="2021"/>
    <s v="E-S"/>
    <x v="0"/>
    <x v="0"/>
    <m/>
    <m/>
    <x v="1730"/>
    <m/>
    <x v="1463"/>
    <m/>
    <d v="1899-12-30T00:00:00"/>
    <d v="2021-12-30T00:00:00"/>
    <s v="CERRADO"/>
    <n v="207522"/>
    <x v="11"/>
    <x v="10"/>
    <x v="784"/>
    <d v="2021-10-11T00:00:00"/>
    <s v="CAD"/>
    <m/>
    <s v="301001940"/>
    <m/>
    <d v="2021-12-11T00:00:00"/>
    <s v="CANCELADO"/>
    <s v="CFR"/>
    <m/>
    <x v="631"/>
    <n v="347.3"/>
    <n v="140.30000000000001"/>
    <x v="1433"/>
    <x v="6"/>
    <s v="Contenedor 20'"/>
    <m/>
    <s v="Granel Sólido"/>
    <m/>
    <m/>
    <s v="OCT 21'"/>
    <x v="0"/>
    <d v="2021-11-20T00:00:00"/>
    <d v="2021-12-01T00:00:00"/>
    <e v="#REF!"/>
    <x v="783"/>
    <d v="2021-12-27T00:00:00"/>
    <m/>
    <x v="839"/>
    <n v="12"/>
    <n v="2021"/>
    <x v="0"/>
    <x v="0"/>
    <s v="AMBERES / BELGICA"/>
    <x v="2"/>
    <m/>
    <x v="3"/>
    <x v="1277"/>
    <d v="2021-12-01T00:00:00"/>
    <s v="SANTOS EXPRESS"/>
    <x v="184"/>
    <x v="2"/>
    <m/>
    <s v="PENDIENTE"/>
    <s v="DESTINO"/>
    <m/>
    <m/>
    <m/>
    <x v="0"/>
    <d v="2021-12-27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E-S"/>
    <x v="0"/>
    <x v="0"/>
    <m/>
    <m/>
    <x v="1731"/>
    <m/>
    <x v="1464"/>
    <m/>
    <d v="2022-01-05T00:00:00"/>
    <d v="2022-01-05T00:00:00"/>
    <s v="CERRADO"/>
    <n v="207522"/>
    <x v="11"/>
    <x v="10"/>
    <x v="784"/>
    <d v="2021-10-11T00:00:00"/>
    <s v="CAD"/>
    <m/>
    <s v="301001945"/>
    <m/>
    <d v="2021-12-19T00:00:00"/>
    <s v="CANCELADO"/>
    <s v="CFR"/>
    <m/>
    <x v="632"/>
    <n v="347.3"/>
    <n v="140.30000000000001"/>
    <x v="1434"/>
    <x v="1"/>
    <s v="Contenedor 20'"/>
    <m/>
    <s v="Granel Sólido"/>
    <m/>
    <m/>
    <s v="OCT 21'"/>
    <x v="0"/>
    <d v="1899-12-30T00:00:00"/>
    <d v="2021-12-09T00:00:00"/>
    <d v="2021-12-30T00:00:00"/>
    <x v="784"/>
    <d v="2022-01-03T00:00:00"/>
    <m/>
    <x v="840"/>
    <n v="1"/>
    <n v="2022"/>
    <x v="0"/>
    <x v="0"/>
    <s v="AMBERES / BELGICA"/>
    <x v="2"/>
    <m/>
    <x v="3"/>
    <x v="1278"/>
    <d v="2021-12-09T00:00:00"/>
    <s v="CMA CGM OHIO"/>
    <x v="325"/>
    <x v="2"/>
    <m/>
    <s v="PENDIENTE"/>
    <s v="DESTINO"/>
    <m/>
    <m/>
    <m/>
    <x v="0"/>
    <d v="2022-01-03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E-S"/>
    <x v="0"/>
    <x v="0"/>
    <m/>
    <m/>
    <x v="1732"/>
    <m/>
    <x v="1465"/>
    <m/>
    <d v="1899-12-30T00:00:00"/>
    <d v="2021-12-23T00:00:00"/>
    <s v="CERRADO"/>
    <n v="207522"/>
    <x v="11"/>
    <x v="10"/>
    <x v="785"/>
    <d v="2021-10-11T00:00:00"/>
    <s v="CAD"/>
    <m/>
    <s v="301001934"/>
    <m/>
    <d v="2021-12-06T00:00:00"/>
    <s v="CANCELADO"/>
    <s v="CFR"/>
    <m/>
    <x v="633"/>
    <n v="347.36"/>
    <n v="140.36000000000001"/>
    <x v="1435"/>
    <x v="5"/>
    <s v="Contenedor 20'"/>
    <m/>
    <s v="Granel Sólido"/>
    <m/>
    <m/>
    <s v="OCT 21'"/>
    <x v="0"/>
    <d v="2021-11-20T00:00:00"/>
    <d v="2021-11-26T00:00:00"/>
    <e v="#REF!"/>
    <x v="723"/>
    <d v="2021-12-18T00:00:00"/>
    <m/>
    <x v="841"/>
    <n v="12"/>
    <n v="2021"/>
    <x v="0"/>
    <x v="0"/>
    <s v="AMBERES / BELGICA"/>
    <x v="0"/>
    <m/>
    <x v="1"/>
    <x v="1279"/>
    <d v="2021-11-25T00:00:00"/>
    <s v="CALLAO EXPRESS"/>
    <x v="339"/>
    <x v="2"/>
    <m/>
    <s v="PENDIENTE"/>
    <m/>
    <m/>
    <m/>
    <m/>
    <x v="0"/>
    <d v="2021-12-19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E-S"/>
    <x v="0"/>
    <x v="0"/>
    <m/>
    <m/>
    <x v="1733"/>
    <m/>
    <x v="1466"/>
    <m/>
    <d v="2022-04-19T00:00:00"/>
    <d v="2022-04-08T00:00:00"/>
    <s v="CERRADO"/>
    <n v="207522"/>
    <x v="11"/>
    <x v="10"/>
    <x v="785"/>
    <d v="2021-10-11T00:00:00"/>
    <s v="CAD"/>
    <m/>
    <s v="301002125"/>
    <m/>
    <d v="2022-03-19T00:00:00"/>
    <s v="CANCELADO"/>
    <s v="CFR"/>
    <s v="-"/>
    <x v="634"/>
    <n v="347.36"/>
    <n v="140.36000000000001"/>
    <x v="1436"/>
    <x v="7"/>
    <s v="Contenedor 20'"/>
    <m/>
    <s v="Granel Sólido"/>
    <s v="-"/>
    <s v="S/M"/>
    <s v="OCTUBRE '21"/>
    <x v="0"/>
    <d v="2022-03-09T00:00:00"/>
    <d v="2022-03-09T00:00:00"/>
    <e v="#REF!"/>
    <x v="785"/>
    <d v="2022-04-02T00:00:00"/>
    <m/>
    <x v="842"/>
    <n v="4"/>
    <n v="2022"/>
    <x v="0"/>
    <x v="0"/>
    <s v="AMBERES / BELGICA"/>
    <x v="0"/>
    <m/>
    <x v="2"/>
    <x v="1280"/>
    <d v="2022-03-09T00:00:00"/>
    <s v="GUAYAQUIL EXPRESS"/>
    <x v="326"/>
    <x v="2"/>
    <s v="TRAMARSA"/>
    <s v="PENDIENTE"/>
    <s v="ORIGEN"/>
    <m/>
    <m/>
    <m/>
    <x v="0"/>
    <d v="2022-04-03T00:00:00"/>
    <m/>
    <x v="27"/>
    <x v="22"/>
    <s v="SADA DD"/>
    <s v="VERDE"/>
    <x v="0"/>
    <e v="#REF!"/>
    <m/>
    <m/>
    <m/>
    <m/>
    <m/>
    <x v="0"/>
    <s v="Daño de CNT USD 29.50"/>
    <m/>
    <m/>
    <m/>
    <s v="NACIONALIZADO"/>
    <m/>
    <m/>
    <m/>
  </r>
  <r>
    <n v="2021"/>
    <s v="T-S"/>
    <x v="0"/>
    <x v="0"/>
    <m/>
    <m/>
    <x v="1734"/>
    <m/>
    <x v="1467"/>
    <m/>
    <d v="1899-12-30T00:00:00"/>
    <d v="2021-11-05T00:00:00"/>
    <s v="CERRADO"/>
    <n v="208067"/>
    <x v="115"/>
    <x v="53"/>
    <x v="786"/>
    <d v="2021-10-12T00:00:00"/>
    <n v="30"/>
    <s v="días FACT."/>
    <s v="F200-43199"/>
    <m/>
    <d v="2021-11-21T00:00:00"/>
    <s v="CANCELADO"/>
    <s v="CFR"/>
    <m/>
    <x v="538"/>
    <n v="296.06"/>
    <m/>
    <x v="1437"/>
    <x v="2"/>
    <s v="Contenedor 20'"/>
    <m/>
    <s v="25 kg"/>
    <m/>
    <m/>
    <s v="SETIEMBRE '21"/>
    <x v="0"/>
    <d v="2021-10-01T00:00:00"/>
    <d v="2021-10-05T00:00:00"/>
    <d v="2021-10-13T00:00:00"/>
    <x v="759"/>
    <d v="2021-10-17T00:00:00"/>
    <m/>
    <x v="779"/>
    <n v="11"/>
    <n v="2021"/>
    <x v="0"/>
    <x v="0"/>
    <s v="CARTAGENA / COLOMBIA"/>
    <x v="4"/>
    <m/>
    <x v="2"/>
    <x v="1281"/>
    <d v="2021-10-08T00:00:00"/>
    <s v="DIMITRIS C"/>
    <x v="129"/>
    <x v="2"/>
    <m/>
    <s v="PENDIENTE"/>
    <s v="DESTINO"/>
    <m/>
    <m/>
    <m/>
    <x v="0"/>
    <d v="2021-11-17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735"/>
    <m/>
    <x v="1468"/>
    <m/>
    <d v="2022-01-05T00:00:00"/>
    <d v="2022-01-05T00:00:00"/>
    <s v="CERRADO"/>
    <n v="208067"/>
    <x v="115"/>
    <x v="53"/>
    <x v="787"/>
    <d v="2021-10-12T00:00:00"/>
    <n v="30"/>
    <s v="días FACT."/>
    <s v="F200-43226"/>
    <m/>
    <d v="2021-12-29T00:00:00"/>
    <s v="CANCELADO"/>
    <s v="CFR"/>
    <m/>
    <x v="304"/>
    <n v="296.06"/>
    <m/>
    <x v="1438"/>
    <x v="6"/>
    <s v="Contenedor 20'"/>
    <m/>
    <s v="25 kg"/>
    <m/>
    <m/>
    <s v="NOVIEMBRE '21"/>
    <x v="0"/>
    <d v="2021-11-25T00:00:00"/>
    <d v="2021-11-26T00:00:00"/>
    <d v="2021-12-26T00:00:00"/>
    <x v="786"/>
    <d v="2021-12-29T00:00:00"/>
    <m/>
    <x v="843"/>
    <n v="1"/>
    <n v="2022"/>
    <x v="0"/>
    <x v="0"/>
    <s v="CARTAGENA / COLOMBIA"/>
    <x v="4"/>
    <m/>
    <x v="2"/>
    <x v="1282"/>
    <d v="2021-11-26T00:00:00"/>
    <s v="CERINTHUS"/>
    <x v="129"/>
    <x v="2"/>
    <m/>
    <s v="PENDIENTE"/>
    <s v="DESTINO"/>
    <m/>
    <m/>
    <m/>
    <x v="0"/>
    <d v="2022-01-16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736"/>
    <m/>
    <x v="1469"/>
    <m/>
    <d v="2021-10-22T00:00:00"/>
    <d v="2021-10-30T00:00:00"/>
    <s v="CERRADO"/>
    <n v="208067"/>
    <x v="115"/>
    <x v="53"/>
    <x v="788"/>
    <d v="2021-10-05T00:00:00"/>
    <n v="30"/>
    <s v="días FACT."/>
    <s v="F200-43196"/>
    <m/>
    <d v="2021-11-13T00:00:00"/>
    <s v="CANCELADO"/>
    <s v="CFR"/>
    <m/>
    <x v="159"/>
    <n v="296.06"/>
    <m/>
    <x v="1439"/>
    <x v="16"/>
    <s v="Contenedor 20'"/>
    <m/>
    <s v="25 kg"/>
    <m/>
    <m/>
    <s v="OCT '21"/>
    <x v="0"/>
    <d v="2021-10-06T00:00:00"/>
    <d v="2021-10-06T00:00:00"/>
    <d v="2022-01-09T00:00:00"/>
    <x v="691"/>
    <d v="2021-10-25T00:00:00"/>
    <m/>
    <x v="836"/>
    <n v="10"/>
    <n v="2021"/>
    <x v="0"/>
    <x v="0"/>
    <s v="CARTAGENA / COLOMBIA"/>
    <x v="2"/>
    <m/>
    <x v="3"/>
    <x v="1283"/>
    <d v="2021-10-13T00:00:00"/>
    <s v="SANTOS EXPRESS"/>
    <x v="184"/>
    <x v="9"/>
    <m/>
    <s v="REALIZADO"/>
    <s v="SWB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m/>
    <x v="0"/>
    <x v="0"/>
    <m/>
    <m/>
    <x v="1737"/>
    <m/>
    <x v="34"/>
    <m/>
    <m/>
    <m/>
    <m/>
    <m/>
    <x v="145"/>
    <x v="64"/>
    <x v="789"/>
    <d v="2021-09-10T00:00:00"/>
    <s v="CAD"/>
    <m/>
    <m/>
    <m/>
    <s v="-"/>
    <s v="CANCELADO"/>
    <s v="DAP"/>
    <m/>
    <x v="635"/>
    <n v="4.6020066229414303"/>
    <m/>
    <x v="1440"/>
    <x v="3"/>
    <s v="-"/>
    <m/>
    <s v="-"/>
    <m/>
    <m/>
    <s v="OCTUBRE '21"/>
    <x v="0"/>
    <d v="2021-10-13T00:00:00"/>
    <d v="2021-10-13T00:00:00"/>
    <d v="2021-10-20T00:00:00"/>
    <x v="711"/>
    <d v="2021-10-18T00:00:00"/>
    <m/>
    <x v="795"/>
    <n v="10"/>
    <n v="2021"/>
    <x v="0"/>
    <x v="0"/>
    <s v="PUERTO ALEGRE / BRASIL"/>
    <x v="2"/>
    <m/>
    <x v="3"/>
    <x v="1284"/>
    <s v="-"/>
    <s v="FEDEX"/>
    <x v="367"/>
    <x v="0"/>
    <m/>
    <s v="NO APLICA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738"/>
    <m/>
    <x v="1470"/>
    <m/>
    <d v="1899-12-30T00:00:00"/>
    <d v="2021-11-03T00:00:00"/>
    <s v="CERRADO"/>
    <n v="208067"/>
    <x v="115"/>
    <x v="53"/>
    <x v="790"/>
    <d v="2021-10-05T00:00:00"/>
    <n v="30"/>
    <s v="días FACT."/>
    <s v="F200-43202"/>
    <m/>
    <d v="2021-11-21T00:00:00"/>
    <s v="CANCELADO"/>
    <s v="CFR"/>
    <m/>
    <x v="250"/>
    <n v="296.06"/>
    <m/>
    <x v="1370"/>
    <x v="20"/>
    <s v="Contenedor 20'"/>
    <m/>
    <s v="25 kg"/>
    <m/>
    <m/>
    <s v="OCT '21"/>
    <x v="0"/>
    <d v="2021-10-16T00:00:00"/>
    <d v="2021-10-15T00:00:00"/>
    <d v="2021-10-26T00:00:00"/>
    <x v="732"/>
    <d v="2021-10-28T00:00:00"/>
    <m/>
    <x v="844"/>
    <n v="11"/>
    <n v="2021"/>
    <x v="0"/>
    <x v="0"/>
    <s v="CARTAGENA / COLOMBIA"/>
    <x v="0"/>
    <m/>
    <x v="2"/>
    <x v="1285"/>
    <d v="2021-10-22T00:00:00"/>
    <s v="DIMITRIS C"/>
    <x v="326"/>
    <x v="9"/>
    <m/>
    <s v="REALIZADO"/>
    <s v="SWB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739"/>
    <m/>
    <x v="1471"/>
    <m/>
    <d v="1899-12-30T00:00:00"/>
    <d v="2021-11-09T00:00:00"/>
    <s v="CERRADO"/>
    <n v="208067"/>
    <x v="115"/>
    <x v="53"/>
    <x v="791"/>
    <d v="2021-10-05T00:00:00"/>
    <n v="30"/>
    <s v="días FACT."/>
    <s v="F200-43201"/>
    <m/>
    <d v="2021-11-21T00:00:00"/>
    <s v="CANCELADO"/>
    <s v="CFR"/>
    <m/>
    <x v="250"/>
    <n v="296.06"/>
    <m/>
    <x v="1370"/>
    <x v="20"/>
    <s v="Contenedor 20'"/>
    <m/>
    <s v="25 kg"/>
    <m/>
    <m/>
    <s v="OCT '21"/>
    <x v="0"/>
    <d v="2021-10-16T00:00:00"/>
    <d v="2021-10-15T00:00:00"/>
    <d v="2021-10-26T00:00:00"/>
    <x v="759"/>
    <d v="2021-10-28T00:00:00"/>
    <m/>
    <x v="779"/>
    <n v="11"/>
    <n v="2021"/>
    <x v="0"/>
    <x v="0"/>
    <s v="CARTAGENA / COLOMBIA"/>
    <x v="2"/>
    <m/>
    <x v="3"/>
    <x v="1286"/>
    <d v="2021-10-22T00:00:00"/>
    <s v="CMA CGM OHIO"/>
    <x v="325"/>
    <x v="9"/>
    <m/>
    <s v="REALIZADO"/>
    <s v="SWB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S-S"/>
    <x v="0"/>
    <x v="0"/>
    <m/>
    <m/>
    <x v="1740"/>
    <m/>
    <x v="1472"/>
    <m/>
    <d v="2022-02-03T00:00:00"/>
    <d v="2022-02-03T00:00:00"/>
    <s v="CERRADO"/>
    <n v="206971"/>
    <x v="3"/>
    <x v="51"/>
    <x v="792"/>
    <d v="2021-10-22T00:00:00"/>
    <s v="CAD"/>
    <m/>
    <s v="5000836"/>
    <m/>
    <m/>
    <s v="CANCELADO"/>
    <s v="CFR"/>
    <m/>
    <x v="128"/>
    <n v="999.65509999999995"/>
    <n v="160.12"/>
    <x v="1441"/>
    <x v="3"/>
    <s v="Granel - BB"/>
    <m/>
    <s v="25 kg"/>
    <m/>
    <m/>
    <s v="4W NOV '21 - DIC '21"/>
    <x v="0"/>
    <d v="1899-12-30T00:00:00"/>
    <d v="2021-12-01T00:00:00"/>
    <d v="2022-02-02T00:00:00"/>
    <x v="758"/>
    <d v="2022-02-04T00:00:00"/>
    <m/>
    <x v="812"/>
    <n v="2"/>
    <n v="2022"/>
    <x v="0"/>
    <x v="0"/>
    <s v="KAOHSIUNG / TAIWAN"/>
    <x v="1"/>
    <m/>
    <x v="2"/>
    <x v="1287"/>
    <d v="2021-12-01T00:00:00"/>
    <s v="TCLC QUANZHOU"/>
    <x v="345"/>
    <x v="0"/>
    <m/>
    <s v="PENDIENTE"/>
    <s v="DESTINO"/>
    <m/>
    <m/>
    <m/>
    <x v="0"/>
    <m/>
    <m/>
    <x v="28"/>
    <x v="16"/>
    <s v="SADA DD"/>
    <s v="VERDE"/>
    <x v="0"/>
    <e v="#REF!"/>
    <m/>
    <m/>
    <m/>
    <m/>
    <m/>
    <x v="0"/>
    <m/>
    <m/>
    <m/>
    <m/>
    <s v="NACIONALIZADO"/>
    <m/>
    <m/>
    <m/>
  </r>
  <r>
    <n v="2021"/>
    <m/>
    <x v="0"/>
    <x v="0"/>
    <m/>
    <m/>
    <x v="1741"/>
    <m/>
    <x v="34"/>
    <m/>
    <m/>
    <m/>
    <m/>
    <m/>
    <x v="146"/>
    <x v="65"/>
    <x v="72"/>
    <s v="-"/>
    <s v="transf."/>
    <s v="gratuita"/>
    <s v="-"/>
    <m/>
    <s v="-"/>
    <s v="-"/>
    <s v="-"/>
    <m/>
    <x v="263"/>
    <n v="4.6020066229414303"/>
    <m/>
    <x v="1442"/>
    <x v="3"/>
    <s v="-"/>
    <m/>
    <s v="-"/>
    <m/>
    <m/>
    <s v="OCTUBRE '21"/>
    <x v="0"/>
    <d v="2021-10-13T00:00:00"/>
    <d v="2021-10-13T00:00:00"/>
    <d v="2021-10-20T00:00:00"/>
    <x v="711"/>
    <d v="2021-10-18T00:00:00"/>
    <m/>
    <x v="838"/>
    <n v="10"/>
    <n v="2021"/>
    <x v="0"/>
    <x v="0"/>
    <s v="MINATITLAN / MEXICO"/>
    <x v="2"/>
    <m/>
    <x v="12"/>
    <x v="1288"/>
    <s v="-"/>
    <s v="DHL"/>
    <x v="368"/>
    <x v="0"/>
    <m/>
    <s v="NO APLICA"/>
    <s v="DESTINO"/>
    <m/>
    <m/>
    <m/>
    <x v="0"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S-P"/>
    <x v="0"/>
    <x v="0"/>
    <m/>
    <m/>
    <x v="1742"/>
    <m/>
    <x v="1473"/>
    <m/>
    <d v="2022-04-22T00:00:00"/>
    <d v="2022-05-02T00:00:00"/>
    <s v="CERRADO"/>
    <n v="206766"/>
    <x v="10"/>
    <x v="37"/>
    <x v="793"/>
    <d v="2021-10-20T00:00:00"/>
    <n v="90"/>
    <s v="días BL"/>
    <s v="39374"/>
    <d v="2022-03-21T00:00:00"/>
    <d v="2022-06-19T00:00:00"/>
    <s v="PENDIENTE"/>
    <s v="CFR"/>
    <m/>
    <x v="60"/>
    <n v="1826"/>
    <m/>
    <x v="1443"/>
    <x v="8"/>
    <s v="Contenedor 20'"/>
    <s v="PALLETS"/>
    <s v="50 kg"/>
    <s v="-"/>
    <s v="S/M"/>
    <s v="ENERO '22"/>
    <x v="0"/>
    <d v="1899-12-30T00:00:00"/>
    <d v="2022-03-21T00:00:00"/>
    <d v="2022-04-20T00:00:00"/>
    <x v="787"/>
    <d v="2022-04-24T00:00:00"/>
    <d v="2022-04-25T00:00:00"/>
    <x v="845"/>
    <n v="4"/>
    <n v="2022"/>
    <x v="0"/>
    <x v="4"/>
    <s v="VERACRUZ"/>
    <x v="0"/>
    <m/>
    <x v="2"/>
    <x v="1289"/>
    <d v="2022-03-21T00:00:00"/>
    <s v="TEMPANOS"/>
    <x v="339"/>
    <x v="2"/>
    <s v="TRAMARSA"/>
    <s v="REALIZADO"/>
    <m/>
    <m/>
    <m/>
    <m/>
    <x v="0"/>
    <d v="2022-05-03T00:00:00"/>
    <m/>
    <x v="29"/>
    <x v="23"/>
    <s v="SADA DD"/>
    <s v="VERDE"/>
    <x v="0"/>
    <s v="OK"/>
    <m/>
    <m/>
    <m/>
    <m/>
    <m/>
    <x v="0"/>
    <s v="Segregación IMO incluida en la tarifa Segu?"/>
    <s v="CONGESTION EN PUERTO - INTERMEDIARIO"/>
    <m/>
    <m/>
    <s v="NACIONALIZADO"/>
    <m/>
    <m/>
    <m/>
  </r>
  <r>
    <n v="2021"/>
    <s v="O-S"/>
    <x v="0"/>
    <x v="2"/>
    <s v="N/A"/>
    <m/>
    <x v="1743"/>
    <m/>
    <x v="34"/>
    <m/>
    <m/>
    <m/>
    <m/>
    <m/>
    <x v="123"/>
    <x v="53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1"/>
    <s v="O-S"/>
    <x v="0"/>
    <x v="0"/>
    <m/>
    <m/>
    <x v="1744"/>
    <m/>
    <x v="1474"/>
    <m/>
    <d v="1899-12-30T00:00:00"/>
    <d v="2021-12-23T00:00:00"/>
    <s v="CERRADO"/>
    <n v="203553"/>
    <x v="123"/>
    <x v="53"/>
    <x v="794"/>
    <d v="2021-10-20T00:00:00"/>
    <s v="CAD"/>
    <m/>
    <s v="F200-43245"/>
    <m/>
    <d v="2021-12-19T00:00:00"/>
    <s v="CANCELADO"/>
    <s v="CFR"/>
    <m/>
    <x v="636"/>
    <n v="334.22"/>
    <m/>
    <x v="1444"/>
    <x v="11"/>
    <s v="Contenedor 20'"/>
    <m/>
    <s v="Granel Sólido"/>
    <m/>
    <m/>
    <s v="NOVIEMBRE '21"/>
    <x v="0"/>
    <d v="2021-10-05T00:00:00"/>
    <d v="2021-11-26T00:00:00"/>
    <d v="2021-11-14T00:00:00"/>
    <x v="768"/>
    <d v="2021-12-20T00:00:00"/>
    <m/>
    <x v="800"/>
    <n v="12"/>
    <n v="2021"/>
    <x v="0"/>
    <x v="0"/>
    <s v="AMBERES / BELGICA"/>
    <x v="2"/>
    <m/>
    <x v="3"/>
    <x v="1290"/>
    <d v="2021-11-26T00:00:00"/>
    <s v="CALLAO EXPRESS"/>
    <x v="32"/>
    <x v="2"/>
    <m/>
    <s v="PENDIENTE"/>
    <s v="DESTINO"/>
    <m/>
    <m/>
    <m/>
    <x v="0"/>
    <d v="2021-12-29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O-S"/>
    <x v="0"/>
    <x v="0"/>
    <m/>
    <m/>
    <x v="1745"/>
    <m/>
    <x v="1475"/>
    <m/>
    <d v="1899-12-30T00:00:00"/>
    <d v="2021-12-23T00:00:00"/>
    <s v="CERRADO"/>
    <n v="203553"/>
    <x v="123"/>
    <x v="53"/>
    <x v="795"/>
    <d v="2021-10-20T00:00:00"/>
    <s v="CAD"/>
    <m/>
    <s v="F200-43244"/>
    <m/>
    <d v="2021-12-19T00:00:00"/>
    <s v="CANCELADO"/>
    <s v="CFR"/>
    <m/>
    <x v="637"/>
    <n v="340.6"/>
    <m/>
    <x v="1445"/>
    <x v="5"/>
    <s v="Contenedor 20'"/>
    <m/>
    <s v="Granel Sólido"/>
    <m/>
    <m/>
    <s v="NOVIEMBRE '21"/>
    <x v="0"/>
    <d v="2021-10-05T00:00:00"/>
    <d v="2021-12-02T00:00:00"/>
    <d v="2021-11-14T00:00:00"/>
    <x v="788"/>
    <d v="2021-12-25T00:00:00"/>
    <m/>
    <x v="770"/>
    <n v="12"/>
    <n v="2021"/>
    <x v="0"/>
    <x v="0"/>
    <s v="AMBERES / BELGICA"/>
    <x v="0"/>
    <m/>
    <x v="1"/>
    <x v="1291"/>
    <d v="2021-12-02T00:00:00"/>
    <s v="FLEUR N"/>
    <x v="326"/>
    <x v="2"/>
    <m/>
    <s v="PENDIENTE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746"/>
    <m/>
    <x v="1476"/>
    <m/>
    <d v="1899-12-30T00:00:00"/>
    <d v="2021-11-30T00:00:00"/>
    <s v="CERRADO"/>
    <n v="208067"/>
    <x v="115"/>
    <x v="53"/>
    <x v="796"/>
    <d v="2021-10-05T00:00:00"/>
    <n v="30"/>
    <s v="días FACT."/>
    <s v="F200-43221"/>
    <m/>
    <d v="2021-12-22T00:00:00"/>
    <s v="CANCELADO"/>
    <s v="CFR"/>
    <m/>
    <x v="148"/>
    <n v="296.06"/>
    <m/>
    <x v="1372"/>
    <x v="8"/>
    <s v="Contenedor 20'"/>
    <m/>
    <s v="25 kg"/>
    <m/>
    <m/>
    <s v="NOVIEMBRE '21"/>
    <x v="0"/>
    <d v="1899-12-30T00:00:00"/>
    <d v="2021-11-18T00:00:00"/>
    <d v="2021-11-26T00:00:00"/>
    <x v="764"/>
    <d v="2021-11-30T00:00:00"/>
    <m/>
    <x v="778"/>
    <n v="11"/>
    <n v="2021"/>
    <x v="0"/>
    <x v="0"/>
    <s v="CARTAGENA / COLOMBIA"/>
    <x v="2"/>
    <m/>
    <x v="10"/>
    <x v="1292"/>
    <d v="2021-11-18T00:00:00"/>
    <s v="POLAR PERU"/>
    <x v="293"/>
    <x v="6"/>
    <m/>
    <s v="PENDIENTE"/>
    <s v="SWB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747"/>
    <m/>
    <x v="1477"/>
    <m/>
    <d v="1899-12-30T00:00:00"/>
    <d v="2021-11-16T00:00:00"/>
    <s v="CERRADO"/>
    <n v="208067"/>
    <x v="115"/>
    <x v="53"/>
    <x v="797"/>
    <d v="2021-10-05T00:00:00"/>
    <n v="30"/>
    <s v="días FACT."/>
    <s v="F200-43211"/>
    <m/>
    <d v="2021-11-28T00:00:00"/>
    <s v="CANCELADO"/>
    <s v="CFR"/>
    <m/>
    <x v="250"/>
    <n v="296.06"/>
    <m/>
    <x v="1370"/>
    <x v="20"/>
    <s v="Contenedor 20'"/>
    <m/>
    <s v="25 kg"/>
    <m/>
    <m/>
    <s v="OCTUBRE '21"/>
    <x v="0"/>
    <d v="2021-11-25T00:00:00"/>
    <d v="2021-10-29T00:00:00"/>
    <d v="2021-11-28T00:00:00"/>
    <x v="789"/>
    <d v="2021-11-30T00:00:00"/>
    <m/>
    <x v="816"/>
    <n v="11"/>
    <n v="2021"/>
    <x v="0"/>
    <x v="0"/>
    <s v="CARTAGENA / COLOMBIA"/>
    <x v="0"/>
    <m/>
    <x v="2"/>
    <x v="1293"/>
    <d v="2021-10-29T00:00:00"/>
    <s v="AS PATRIA"/>
    <x v="339"/>
    <x v="2"/>
    <m/>
    <s v="PENDIENTE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748"/>
    <m/>
    <x v="1478"/>
    <m/>
    <d v="2022-04-07T00:00:00"/>
    <d v="2022-04-07T00:00:00"/>
    <s v="CERRADO"/>
    <n v="208067"/>
    <x v="115"/>
    <x v="53"/>
    <x v="798"/>
    <d v="2021-10-05T00:00:00"/>
    <n v="30"/>
    <s v="días FACT."/>
    <s v="F200-43280"/>
    <d v="2022-03-21T00:00:00"/>
    <d v="2022-04-20T00:00:00"/>
    <s v="CANCELADO"/>
    <s v="CFR"/>
    <m/>
    <x v="411"/>
    <n v="500"/>
    <m/>
    <x v="1446"/>
    <x v="48"/>
    <s v="Contenedor 20'"/>
    <m/>
    <s v="25 kg"/>
    <s v="-"/>
    <s v="YARATERA CALCINIT"/>
    <s v="OCTUBRE '21"/>
    <x v="0"/>
    <d v="2021-11-25T00:00:00"/>
    <d v="2022-02-11T00:00:00"/>
    <e v="#REF!"/>
    <x v="785"/>
    <d v="2022-04-02T00:00:00"/>
    <m/>
    <x v="846"/>
    <n v="4"/>
    <n v="2022"/>
    <x v="0"/>
    <x v="0"/>
    <s v="BREVIK / NORUEGA"/>
    <x v="0"/>
    <m/>
    <x v="2"/>
    <x v="1294"/>
    <d v="2022-02-12T00:00:00"/>
    <s v="ENERGIZER"/>
    <x v="369"/>
    <x v="9"/>
    <s v="IAN TAYLOR"/>
    <s v="REALIZADO"/>
    <s v="DESTINO"/>
    <m/>
    <m/>
    <m/>
    <x v="0"/>
    <d v="2022-04-11T00:00:00"/>
    <m/>
    <x v="30"/>
    <x v="22"/>
    <s v="SADA DD"/>
    <s v="ROJO"/>
    <x v="0"/>
    <e v="#REF!"/>
    <m/>
    <m/>
    <m/>
    <m/>
    <m/>
    <x v="0"/>
    <s v="Provisionar el aforo (movilización, precintos, etc). Todo ok. 14SE"/>
    <m/>
    <m/>
    <m/>
    <s v="NACIONALIZADO"/>
    <m/>
    <m/>
    <m/>
  </r>
  <r>
    <n v="2021"/>
    <s v="T-S"/>
    <x v="0"/>
    <x v="0"/>
    <m/>
    <m/>
    <x v="1749"/>
    <m/>
    <x v="1479"/>
    <m/>
    <d v="1899-12-30T00:00:00"/>
    <d v="2021-11-30T00:00:00"/>
    <s v="CERRADO"/>
    <n v="208067"/>
    <x v="115"/>
    <x v="53"/>
    <x v="799"/>
    <d v="2021-10-05T00:00:00"/>
    <n v="30"/>
    <s v="días FACT."/>
    <s v="F200-43220"/>
    <m/>
    <d v="2021-12-22T00:00:00"/>
    <s v="CANCELADO"/>
    <s v="CFR"/>
    <m/>
    <x v="80"/>
    <n v="296.06"/>
    <m/>
    <x v="1430"/>
    <x v="19"/>
    <s v="Contenedor 20'"/>
    <m/>
    <s v="25 kg"/>
    <m/>
    <m/>
    <s v="NOVIEMBRE '21"/>
    <x v="0"/>
    <d v="2021-11-25T00:00:00"/>
    <d v="2021-11-19T00:00:00"/>
    <e v="#REF!"/>
    <x v="731"/>
    <d v="2021-11-27T00:00:00"/>
    <m/>
    <x v="773"/>
    <n v="11"/>
    <n v="2021"/>
    <x v="0"/>
    <x v="0"/>
    <s v="CARTAGENA / COLOMBIA"/>
    <x v="0"/>
    <m/>
    <x v="1"/>
    <x v="1295"/>
    <d v="2021-11-19T00:00:00"/>
    <s v="DIMITRIS C"/>
    <x v="326"/>
    <x v="2"/>
    <m/>
    <s v="PENDIENTE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750"/>
    <m/>
    <x v="1480"/>
    <m/>
    <d v="1899-12-30T00:00:00"/>
    <d v="2021-12-23T00:00:00"/>
    <s v="CERRADO"/>
    <n v="208067"/>
    <x v="115"/>
    <x v="53"/>
    <x v="800"/>
    <d v="2021-10-05T00:00:00"/>
    <n v="30"/>
    <s v="días FACT."/>
    <s v="F200-43239"/>
    <m/>
    <d v="2022-01-13T00:00:00"/>
    <s v="CANCELADO"/>
    <s v="CFR"/>
    <m/>
    <x v="250"/>
    <n v="296.06"/>
    <m/>
    <x v="1370"/>
    <x v="20"/>
    <s v="Contenedor 20'"/>
    <m/>
    <s v="25 kg"/>
    <m/>
    <m/>
    <s v="NOVIEMBRE '21"/>
    <x v="0"/>
    <d v="1899-12-30T00:00:00"/>
    <d v="2021-12-10T00:00:00"/>
    <d v="2021-12-14T00:00:00"/>
    <x v="723"/>
    <d v="2021-12-18T00:00:00"/>
    <m/>
    <x v="847"/>
    <n v="12"/>
    <n v="2021"/>
    <x v="0"/>
    <x v="0"/>
    <s v="CARTAGENA / COLOMBIA"/>
    <x v="0"/>
    <m/>
    <x v="1"/>
    <x v="1296"/>
    <d v="2021-12-10T00:00:00"/>
    <s v="AS PATRIA"/>
    <x v="339"/>
    <x v="2"/>
    <m/>
    <s v="PENDIENTE"/>
    <s v="DESTINO"/>
    <m/>
    <m/>
    <m/>
    <x v="0"/>
    <d v="2022-01-04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751"/>
    <m/>
    <x v="1481"/>
    <m/>
    <d v="1899-12-30T00:00:00"/>
    <d v="2021-12-06T00:00:00"/>
    <s v="CERRADO"/>
    <n v="208067"/>
    <x v="115"/>
    <x v="53"/>
    <x v="800"/>
    <d v="2021-10-05T00:00:00"/>
    <n v="30"/>
    <s v="días FACT."/>
    <s v="F200-43227"/>
    <m/>
    <d v="2021-12-29T00:00:00"/>
    <s v="CANCELADO"/>
    <s v="CFR"/>
    <m/>
    <x v="229"/>
    <n v="296.06"/>
    <m/>
    <x v="1373"/>
    <x v="10"/>
    <s v="Contenedor 20'"/>
    <m/>
    <s v="25 kg"/>
    <m/>
    <m/>
    <s v="NOVIEMBRE '21"/>
    <x v="0"/>
    <d v="2021-11-25T00:00:00"/>
    <d v="2021-11-26T00:00:00"/>
    <d v="2021-11-30T00:00:00"/>
    <x v="747"/>
    <d v="2021-12-04T00:00:00"/>
    <m/>
    <x v="796"/>
    <n v="12"/>
    <n v="2021"/>
    <x v="0"/>
    <x v="0"/>
    <s v="CARTAGENA / COLOMBIA"/>
    <x v="0"/>
    <m/>
    <x v="2"/>
    <x v="1297"/>
    <d v="2021-11-26T00:00:00"/>
    <s v="AS PATRIA"/>
    <x v="339"/>
    <x v="2"/>
    <m/>
    <s v="PENDIENTE"/>
    <s v="DESTINO"/>
    <m/>
    <m/>
    <m/>
    <x v="0"/>
    <d v="2021-12-21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752"/>
    <m/>
    <x v="1482"/>
    <m/>
    <d v="1899-12-30T00:00:00"/>
    <d v="2021-12-14T00:00:00"/>
    <s v="CERRADO"/>
    <n v="208067"/>
    <x v="115"/>
    <x v="53"/>
    <x v="801"/>
    <d v="2021-10-05T00:00:00"/>
    <n v="30"/>
    <s v="días FACT."/>
    <s v="F200-43225"/>
    <m/>
    <d v="2021-12-29T00:00:00"/>
    <s v="CANCELADO"/>
    <s v="CFR"/>
    <m/>
    <x v="80"/>
    <n v="296.06"/>
    <m/>
    <x v="1430"/>
    <x v="19"/>
    <s v="Contenedor 20'"/>
    <m/>
    <s v="25 kg"/>
    <m/>
    <m/>
    <s v="NOVIEMBRE '21"/>
    <x v="0"/>
    <d v="2021-11-25T00:00:00"/>
    <d v="2021-11-26T00:00:00"/>
    <e v="#REF!"/>
    <x v="747"/>
    <d v="2021-12-04T00:00:00"/>
    <m/>
    <x v="848"/>
    <n v="12"/>
    <n v="2021"/>
    <x v="0"/>
    <x v="0"/>
    <s v="CARTAGENA / COLOMBIA"/>
    <x v="0"/>
    <m/>
    <x v="2"/>
    <x v="1298"/>
    <d v="2021-11-26T00:00:00"/>
    <s v="AS PATRIA"/>
    <x v="339"/>
    <x v="2"/>
    <m/>
    <s v="PENDIENTE"/>
    <s v="DESTINO"/>
    <m/>
    <m/>
    <m/>
    <x v="0"/>
    <d v="2021-12-21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e v="#N/A"/>
    <x v="0"/>
    <x v="0"/>
    <m/>
    <m/>
    <x v="1753"/>
    <s v="2021-842"/>
    <x v="1483"/>
    <m/>
    <d v="2022-04-20T00:00:00"/>
    <d v="2022-05-04T00:00:00"/>
    <s v="CERRADO"/>
    <n v="204913"/>
    <x v="147"/>
    <x v="54"/>
    <x v="802"/>
    <d v="2021-10-27T00:00:00"/>
    <n v="90"/>
    <s v="días BL"/>
    <s v="21JEQ002"/>
    <d v="2022-01-08T00:00:00"/>
    <d v="2022-04-23T00:00:00"/>
    <s v="CANCELADO"/>
    <s v="CFR"/>
    <s v="FILO"/>
    <x v="35"/>
    <n v="339"/>
    <n v="125"/>
    <x v="1447"/>
    <x v="3"/>
    <s v="Granel - BB"/>
    <m/>
    <s v="BB - Granel"/>
    <n v="1.25"/>
    <s v="-"/>
    <s v="NOV - DIC '21"/>
    <x v="0"/>
    <d v="1899-12-30T00:00:00"/>
    <d v="2022-01-30T00:00:00"/>
    <d v="2022-04-05T00:00:00"/>
    <x v="749"/>
    <d v="2022-04-15T00:00:00"/>
    <d v="2022-04-29T00:00:00"/>
    <x v="849"/>
    <n v="5"/>
    <n v="2022"/>
    <x v="0"/>
    <x v="0"/>
    <s v="CHINA"/>
    <x v="2"/>
    <s v="APM"/>
    <x v="3"/>
    <x v="1299"/>
    <d v="2022-01-23T00:00:00"/>
    <s v="MV QING YUN SHAN "/>
    <x v="357"/>
    <x v="0"/>
    <s v="AGUNSA"/>
    <s v="PENDIENTE"/>
    <s v="ORIGEN"/>
    <m/>
    <m/>
    <m/>
    <x v="0"/>
    <m/>
    <m/>
    <x v="31"/>
    <x v="11"/>
    <s v="SADA DD"/>
    <s v="VERDE"/>
    <x v="0"/>
    <s v="OK"/>
    <m/>
    <m/>
    <m/>
    <m/>
    <m/>
    <x v="0"/>
    <s v="OC ANULADA 8000001679 por cambio de código de 209851 a 204913"/>
    <m/>
    <m/>
    <m/>
    <s v="NACIONALIZADO"/>
    <m/>
    <m/>
    <m/>
  </r>
  <r>
    <n v="2021"/>
    <s v="T-S"/>
    <x v="0"/>
    <x v="0"/>
    <m/>
    <m/>
    <x v="1754"/>
    <m/>
    <x v="1484"/>
    <m/>
    <d v="2022-02-03T00:00:00"/>
    <d v="2022-02-03T00:00:00"/>
    <s v="CERRADO"/>
    <n v="206914"/>
    <x v="12"/>
    <x v="19"/>
    <x v="803"/>
    <d v="2021-10-27T00:00:00"/>
    <n v="90"/>
    <s v="días BL"/>
    <s v="SG-MSL-12329-41"/>
    <m/>
    <d v="2022-03-17T00:00:00"/>
    <s v="CANCELADO"/>
    <s v="CFR"/>
    <m/>
    <x v="152"/>
    <n v="313"/>
    <m/>
    <x v="1448"/>
    <x v="3"/>
    <s v="Granel - BB"/>
    <m/>
    <s v="25 kg"/>
    <m/>
    <m/>
    <s v="DICIEMBRE '21"/>
    <x v="0"/>
    <d v="2021-12-17T00:00:00"/>
    <d v="2021-12-17T00:00:00"/>
    <d v="2022-01-30T00:00:00"/>
    <x v="776"/>
    <d v="2022-02-02T00:00:00"/>
    <m/>
    <x v="763"/>
    <n v="2"/>
    <n v="2022"/>
    <x v="0"/>
    <x v="0"/>
    <s v="XINGANG / CHINA"/>
    <x v="3"/>
    <m/>
    <x v="1"/>
    <x v="1300"/>
    <d v="2021-12-17T00:00:00"/>
    <s v="ROYAL CHIBA"/>
    <x v="362"/>
    <x v="0"/>
    <m/>
    <s v="PENDIENTE"/>
    <m/>
    <m/>
    <m/>
    <m/>
    <x v="0"/>
    <m/>
    <m/>
    <x v="32"/>
    <x v="19"/>
    <s v="SADA DD"/>
    <s v="VERDE"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755"/>
    <m/>
    <x v="1485"/>
    <m/>
    <d v="1899-12-30T00:00:00"/>
    <d v="2021-12-09T00:00:00"/>
    <s v="CERRADO"/>
    <n v="207951"/>
    <x v="6"/>
    <x v="37"/>
    <x v="804"/>
    <d v="2021-10-29T00:00:00"/>
    <s v="CAD"/>
    <m/>
    <s v="I-38310"/>
    <m/>
    <s v="-"/>
    <s v="CANCELADO"/>
    <s v="CFR"/>
    <m/>
    <x v="14"/>
    <n v="920"/>
    <m/>
    <x v="1449"/>
    <x v="3"/>
    <s v="Granel"/>
    <m/>
    <s v="Granel Sólido"/>
    <m/>
    <m/>
    <s v="2H OCT - 1H NOV '21"/>
    <x v="0"/>
    <d v="2021-11-12T00:00:00"/>
    <d v="2021-10-27T00:00:00"/>
    <e v="#REF!"/>
    <x v="746"/>
    <d v="2021-12-06T00:00:00"/>
    <m/>
    <x v="850"/>
    <n v="12"/>
    <n v="2021"/>
    <x v="0"/>
    <x v="0"/>
    <s v="KOTKA / FINLANDIA"/>
    <x v="0"/>
    <m/>
    <x v="1"/>
    <x v="20"/>
    <d v="2021-11-18T00:00:00"/>
    <s v="MV EQUINOX STAR"/>
    <x v="370"/>
    <x v="0"/>
    <m/>
    <s v="PENDIENTE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756"/>
    <m/>
    <x v="1486"/>
    <m/>
    <d v="1899-12-30T00:00:00"/>
    <d v="2021-12-06T00:00:00"/>
    <s v="CERRADO"/>
    <n v="207485"/>
    <x v="13"/>
    <x v="37"/>
    <x v="805"/>
    <d v="2021-10-29T00:00:00"/>
    <s v="CAD"/>
    <m/>
    <s v="I-38304"/>
    <m/>
    <s v="-"/>
    <s v="CANCELADO"/>
    <s v="CFR"/>
    <m/>
    <x v="14"/>
    <n v="925"/>
    <m/>
    <x v="1450"/>
    <x v="3"/>
    <s v="Granel"/>
    <m/>
    <s v="Granel Sólido"/>
    <m/>
    <m/>
    <s v="2H OCT - 1H NOV '21"/>
    <x v="0"/>
    <d v="2021-11-12T00:00:00"/>
    <d v="2021-10-27T00:00:00"/>
    <e v="#REF!"/>
    <x v="746"/>
    <d v="2021-12-06T00:00:00"/>
    <m/>
    <x v="851"/>
    <n v="12"/>
    <n v="2021"/>
    <x v="0"/>
    <x v="0"/>
    <s v="KOTKA / FINLANDIA"/>
    <x v="0"/>
    <m/>
    <x v="5"/>
    <x v="17"/>
    <d v="2021-10-27T00:00:00"/>
    <s v="MV EQUINOX STAR"/>
    <x v="370"/>
    <x v="0"/>
    <m/>
    <s v="PENDIENTE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757"/>
    <m/>
    <x v="1487"/>
    <m/>
    <d v="1899-12-30T00:00:00"/>
    <d v="2021-12-14T00:00:00"/>
    <s v="CERRADO"/>
    <n v="206573"/>
    <x v="5"/>
    <x v="41"/>
    <x v="806"/>
    <d v="2021-11-03T00:00:00"/>
    <n v="150"/>
    <s v="días BL"/>
    <s v="B7FE-21-3042-ANPE-01"/>
    <m/>
    <d v="2022-04-08T00:00:00"/>
    <s v="CANCELADO"/>
    <s v="CFR"/>
    <m/>
    <x v="132"/>
    <n v="771.08"/>
    <n v="125"/>
    <x v="1451"/>
    <x v="3"/>
    <s v="Granel"/>
    <m/>
    <s v="Granel Sólido"/>
    <m/>
    <m/>
    <s v="1H NOV '21"/>
    <x v="0"/>
    <d v="1899-12-30T00:00:00"/>
    <d v="2021-11-09T00:00:00"/>
    <d v="2021-12-10T00:00:00"/>
    <x v="790"/>
    <d v="2021-12-30T00:00:00"/>
    <m/>
    <x v="820"/>
    <n v="12"/>
    <n v="2021"/>
    <x v="0"/>
    <x v="0"/>
    <s v="RIGA / LATVIA"/>
    <x v="0"/>
    <m/>
    <x v="2"/>
    <x v="50"/>
    <d v="2021-11-09T00:00:00"/>
    <s v="MV MAESTRO DIAMOND"/>
    <x v="371"/>
    <x v="0"/>
    <m/>
    <s v="REALIZADO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758"/>
    <m/>
    <x v="1488"/>
    <m/>
    <d v="1899-12-30T00:00:00"/>
    <d v="2021-12-16T00:00:00"/>
    <s v="CERRADO"/>
    <n v="206573"/>
    <x v="5"/>
    <x v="15"/>
    <x v="807"/>
    <d v="2021-11-03T00:00:00"/>
    <s v="PREPAGO"/>
    <m/>
    <s v="999/21 ZMU 02"/>
    <m/>
    <d v="2021-11-08T00:00:00"/>
    <s v="CANCELADO"/>
    <s v="CFR"/>
    <m/>
    <x v="129"/>
    <n v="760"/>
    <n v="125"/>
    <x v="1452"/>
    <x v="3"/>
    <s v="Granel"/>
    <m/>
    <s v="Granel Sólido"/>
    <m/>
    <m/>
    <s v="1H NOV '21"/>
    <x v="0"/>
    <d v="1899-12-30T00:00:00"/>
    <d v="2021-11-09T00:00:00"/>
    <d v="2021-12-12T00:00:00"/>
    <x v="791"/>
    <d v="2021-12-23T00:00:00"/>
    <m/>
    <x v="787"/>
    <n v="12"/>
    <n v="2021"/>
    <x v="0"/>
    <x v="0"/>
    <s v="RIGA / LATVIA"/>
    <x v="1"/>
    <m/>
    <x v="2"/>
    <x v="51"/>
    <d v="2021-11-09T00:00:00"/>
    <s v="MV MAESTRO DIAMOND"/>
    <x v="371"/>
    <x v="0"/>
    <m/>
    <s v="PENDIENTE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759"/>
    <m/>
    <x v="1489"/>
    <m/>
    <d v="1899-12-30T00:00:00"/>
    <d v="2021-12-23T00:00:00"/>
    <s v="CERRADO"/>
    <n v="206573"/>
    <x v="5"/>
    <x v="41"/>
    <x v="806"/>
    <d v="2021-11-03T00:00:00"/>
    <n v="150"/>
    <s v="días BL"/>
    <s v="B7FE-21-3042-ANPE-02"/>
    <m/>
    <d v="2022-04-08T00:00:00"/>
    <s v="CANCELADO"/>
    <s v="CFR"/>
    <m/>
    <x v="284"/>
    <n v="771.08"/>
    <n v="125"/>
    <x v="1453"/>
    <x v="3"/>
    <s v="Granel"/>
    <m/>
    <s v="Granel Sólido"/>
    <m/>
    <m/>
    <s v="1H NOV '21"/>
    <x v="0"/>
    <d v="1899-12-30T00:00:00"/>
    <d v="2021-11-09T00:00:00"/>
    <d v="2021-12-15T00:00:00"/>
    <x v="766"/>
    <d v="2021-12-30T00:00:00"/>
    <m/>
    <x v="823"/>
    <n v="12"/>
    <n v="2021"/>
    <x v="0"/>
    <x v="0"/>
    <s v="RIGA / LATVIA"/>
    <x v="2"/>
    <m/>
    <x v="3"/>
    <x v="18"/>
    <d v="2021-11-09T00:00:00"/>
    <s v="MV MAESTRO DIAMOND"/>
    <x v="371"/>
    <x v="0"/>
    <m/>
    <s v="PENDIENTE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760"/>
    <m/>
    <x v="1490"/>
    <m/>
    <d v="1899-12-30T00:00:00"/>
    <d v="2021-12-22T00:00:00"/>
    <s v="CERRADO"/>
    <n v="206573"/>
    <x v="5"/>
    <x v="15"/>
    <x v="807"/>
    <d v="2021-11-03T00:00:00"/>
    <s v="PREPAGO"/>
    <m/>
    <s v="999/21 ZMU 01"/>
    <m/>
    <d v="2022-04-08T00:00:00"/>
    <s v="CANCELADO"/>
    <s v="CFR"/>
    <m/>
    <x v="138"/>
    <n v="760"/>
    <n v="125"/>
    <x v="1454"/>
    <x v="3"/>
    <s v="Granel"/>
    <m/>
    <s v="Granel Sólido"/>
    <m/>
    <m/>
    <s v="1H NOV '21"/>
    <x v="0"/>
    <d v="1899-12-30T00:00:00"/>
    <d v="2021-11-09T00:00:00"/>
    <d v="2021-12-21T00:00:00"/>
    <x v="788"/>
    <d v="2022-01-06T00:00:00"/>
    <m/>
    <x v="800"/>
    <n v="12"/>
    <n v="2021"/>
    <x v="0"/>
    <x v="0"/>
    <s v="RIGA / LATVIA"/>
    <x v="3"/>
    <m/>
    <x v="1"/>
    <x v="17"/>
    <d v="2021-11-09T00:00:00"/>
    <s v="MV MAESTRO DIAMOND"/>
    <x v="371"/>
    <x v="0"/>
    <m/>
    <s v="PENDIENTE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761"/>
    <m/>
    <x v="1491"/>
    <m/>
    <d v="1899-12-30T00:00:00"/>
    <d v="2021-12-23T00:00:00"/>
    <s v="CERRADO"/>
    <n v="206573"/>
    <x v="5"/>
    <x v="41"/>
    <x v="806"/>
    <d v="2021-11-03T00:00:00"/>
    <n v="150"/>
    <s v="días BL"/>
    <s v="B7FE-21-3042-ANPE-03"/>
    <m/>
    <d v="2022-04-08T00:00:00"/>
    <s v="CANCELADO"/>
    <s v="CFR"/>
    <m/>
    <x v="42"/>
    <n v="771.08"/>
    <n v="125"/>
    <x v="1455"/>
    <x v="3"/>
    <s v="Granel"/>
    <m/>
    <s v="Granel Sólido"/>
    <m/>
    <m/>
    <s v="1H NOV '21"/>
    <x v="0"/>
    <d v="1899-12-30T00:00:00"/>
    <d v="2021-11-09T00:00:00"/>
    <d v="2021-12-21T00:00:00"/>
    <x v="788"/>
    <d v="2022-01-06T00:00:00"/>
    <m/>
    <x v="770"/>
    <n v="12"/>
    <n v="2021"/>
    <x v="0"/>
    <x v="0"/>
    <s v="RIGA / LATVIA"/>
    <x v="3"/>
    <m/>
    <x v="1"/>
    <x v="52"/>
    <d v="2021-11-09T00:00:00"/>
    <s v="MV MAESTRO DIAMOND"/>
    <x v="371"/>
    <x v="0"/>
    <m/>
    <s v="PENDIENTE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762"/>
    <m/>
    <x v="1492"/>
    <m/>
    <d v="1899-12-30T00:00:00"/>
    <d v="2021-12-28T00:00:00"/>
    <s v="CERRADO"/>
    <n v="206573"/>
    <x v="5"/>
    <x v="41"/>
    <x v="806"/>
    <d v="2021-11-03T00:00:00"/>
    <n v="150"/>
    <s v="días BL"/>
    <s v="B7FE-21-3042-ANPE-04"/>
    <m/>
    <d v="2022-04-08T00:00:00"/>
    <s v="CANCELADO"/>
    <s v="CFR"/>
    <m/>
    <x v="134"/>
    <n v="771.08"/>
    <n v="125"/>
    <x v="1456"/>
    <x v="3"/>
    <s v="Granel"/>
    <m/>
    <s v="Granel Sólido"/>
    <m/>
    <m/>
    <s v="1H NOV '21"/>
    <x v="0"/>
    <d v="1899-12-30T00:00:00"/>
    <d v="2021-11-09T00:00:00"/>
    <d v="2021-12-24T00:00:00"/>
    <x v="792"/>
    <d v="2022-01-12T00:00:00"/>
    <m/>
    <x v="801"/>
    <n v="12"/>
    <n v="2021"/>
    <x v="0"/>
    <x v="0"/>
    <s v="RIGA / LATVIA"/>
    <x v="4"/>
    <m/>
    <x v="2"/>
    <x v="19"/>
    <d v="2021-11-09T00:00:00"/>
    <s v="MV MAESTRO DIAMOND"/>
    <x v="371"/>
    <x v="0"/>
    <m/>
    <s v="PENDIENTE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e v="#N/A"/>
    <x v="0"/>
    <x v="0"/>
    <m/>
    <m/>
    <x v="1763"/>
    <m/>
    <x v="1493"/>
    <m/>
    <d v="2022-03-23T00:00:00"/>
    <d v="2022-03-28T00:00:00"/>
    <s v="CERRADO"/>
    <n v="206714"/>
    <x v="148"/>
    <x v="53"/>
    <x v="808"/>
    <d v="2021-11-01T00:00:00"/>
    <s v="CAD"/>
    <m/>
    <s v="F200-43273"/>
    <m/>
    <d v="2022-03-08T00:00:00"/>
    <s v="CANCELADO"/>
    <s v="CFR"/>
    <s v="-"/>
    <x v="638"/>
    <n v="881.7"/>
    <m/>
    <x v="1457"/>
    <x v="14"/>
    <s v="Contenedor 20'"/>
    <m/>
    <s v="Granel Sólido"/>
    <s v="-"/>
    <s v="S/M"/>
    <s v="DICIEMBRE '21"/>
    <x v="0"/>
    <d v="1899-12-30T00:00:00"/>
    <d v="2022-01-22T00:00:00"/>
    <d v="2022-03-22T00:00:00"/>
    <x v="793"/>
    <d v="2022-03-26T00:00:00"/>
    <m/>
    <x v="852"/>
    <n v="3"/>
    <n v="2022"/>
    <x v="0"/>
    <x v="0"/>
    <s v="BREVIK / NORUEGA"/>
    <x v="2"/>
    <m/>
    <x v="3"/>
    <x v="1301"/>
    <d v="2022-01-22T00:00:00"/>
    <s v="ENERGIZER"/>
    <x v="349"/>
    <x v="9"/>
    <m/>
    <s v="REALIZADO"/>
    <s v="SWB"/>
    <m/>
    <m/>
    <m/>
    <x v="0"/>
    <d v="2022-04-05T00:00:00"/>
    <m/>
    <x v="33"/>
    <x v="24"/>
    <s v="SADA PL"/>
    <s v="VERDE"/>
    <x v="0"/>
    <e v="#REF!"/>
    <m/>
    <m/>
    <m/>
    <m/>
    <m/>
    <x v="0"/>
    <s v="Todo ok"/>
    <m/>
    <m/>
    <m/>
    <s v="NACIONALIZADO"/>
    <m/>
    <m/>
    <m/>
  </r>
  <r>
    <n v="2021"/>
    <s v="T-S"/>
    <x v="1"/>
    <x v="5"/>
    <s v="NORMAL"/>
    <m/>
    <x v="1764"/>
    <m/>
    <x v="1494"/>
    <d v="2021-11-03T00:00:00"/>
    <m/>
    <m/>
    <s v="PENDIENTE"/>
    <n v="206714"/>
    <x v="103"/>
    <x v="53"/>
    <x v="809"/>
    <d v="2021-11-01T00:00:00"/>
    <s v="CAD"/>
    <m/>
    <m/>
    <m/>
    <m/>
    <s v="PENDIENTE"/>
    <s v="CFR"/>
    <s v="N/A"/>
    <x v="639"/>
    <n v="806"/>
    <m/>
    <x v="1458"/>
    <x v="14"/>
    <s v="Contenedor 20'"/>
    <m/>
    <s v="Granel Sólido"/>
    <s v="-"/>
    <s v="S/M"/>
    <s v="DICIEMBRE '21"/>
    <x v="1"/>
    <d v="2022-05-07T00:00:00"/>
    <d v="2022-06-09T00:00:00"/>
    <d v="2022-07-17T00:00:00"/>
    <x v="794"/>
    <d v="2022-07-20T00:00:00"/>
    <m/>
    <x v="853"/>
    <n v="7"/>
    <n v="2022"/>
    <x v="3"/>
    <x v="5"/>
    <s v="BREVIK"/>
    <x v="4"/>
    <s v="TISUR"/>
    <x v="2"/>
    <x v="1302"/>
    <d v="2022-05-30T00:00:00"/>
    <s v="CMA CGM OHIO"/>
    <x v="325"/>
    <x v="2"/>
    <s v="TRAMARSA"/>
    <s v="PENDIENTE"/>
    <s v="DESTINO"/>
    <m/>
    <m/>
    <m/>
    <x v="0"/>
    <m/>
    <m/>
    <x v="0"/>
    <x v="0"/>
    <m/>
    <m/>
    <x v="0"/>
    <e v="#REF!"/>
    <s v="N/A"/>
    <s v="N/A"/>
    <s v="N/A"/>
    <s v="N/A"/>
    <s v="N/A"/>
    <x v="1"/>
    <m/>
    <m/>
    <m/>
    <m/>
    <m/>
    <m/>
    <m/>
    <m/>
  </r>
  <r>
    <n v="2021"/>
    <s v="T-S"/>
    <x v="0"/>
    <x v="0"/>
    <m/>
    <m/>
    <x v="1765"/>
    <m/>
    <x v="1495"/>
    <m/>
    <d v="1899-12-30T00:00:00"/>
    <d v="2021-12-14T00:00:00"/>
    <s v="CERRADO"/>
    <n v="208063"/>
    <x v="104"/>
    <x v="53"/>
    <x v="810"/>
    <d v="2021-11-02T00:00:00"/>
    <s v="CAD"/>
    <m/>
    <s v="F200-43233"/>
    <m/>
    <d v="2021-12-02T00:00:00"/>
    <s v="CANCELADO"/>
    <s v="CFR"/>
    <m/>
    <x v="11"/>
    <n v="820.24"/>
    <n v="143.749"/>
    <x v="1459"/>
    <x v="3"/>
    <s v="Granel"/>
    <m/>
    <s v="Granel Sólido"/>
    <m/>
    <m/>
    <s v="1H NOV '21"/>
    <x v="0"/>
    <d v="1899-12-30T00:00:00"/>
    <d v="2021-11-16T00:00:00"/>
    <d v="2021-12-10T00:00:00"/>
    <x v="790"/>
    <d v="2021-12-12T00:00:00"/>
    <m/>
    <x v="820"/>
    <n v="12"/>
    <n v="2021"/>
    <x v="0"/>
    <x v="0"/>
    <s v="HEROYA / NORWAY"/>
    <x v="0"/>
    <m/>
    <x v="1"/>
    <x v="1066"/>
    <d v="2021-11-16T00:00:00"/>
    <s v="MV MAESTRO DIAMOND"/>
    <x v="371"/>
    <x v="0"/>
    <m/>
    <s v="PENDIENTE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766"/>
    <m/>
    <x v="1496"/>
    <m/>
    <d v="1899-12-30T00:00:00"/>
    <d v="2021-12-17T00:00:00"/>
    <s v="CERRADO"/>
    <n v="208063"/>
    <x v="104"/>
    <x v="53"/>
    <x v="810"/>
    <d v="2021-11-02T00:00:00"/>
    <n v="60"/>
    <s v="días BL"/>
    <s v="F200-43229"/>
    <m/>
    <d v="2022-01-28T00:00:00"/>
    <s v="CANCELADO"/>
    <s v="CFR"/>
    <m/>
    <x v="294"/>
    <n v="820.24"/>
    <n v="143.749"/>
    <x v="1460"/>
    <x v="3"/>
    <s v="Granel"/>
    <m/>
    <s v="Granel Sólido"/>
    <m/>
    <m/>
    <s v="1H NOV '21"/>
    <x v="0"/>
    <d v="1899-12-30T00:00:00"/>
    <d v="2021-11-16T00:00:00"/>
    <d v="2021-12-12T00:00:00"/>
    <x v="791"/>
    <d v="2021-12-14T00:00:00"/>
    <m/>
    <x v="848"/>
    <n v="12"/>
    <n v="2021"/>
    <x v="0"/>
    <x v="0"/>
    <s v="HEROYA / NORWAY"/>
    <x v="1"/>
    <m/>
    <x v="2"/>
    <x v="1067"/>
    <d v="2021-11-16T00:00:00"/>
    <s v="MV MAESTRO DIAMOND"/>
    <x v="371"/>
    <x v="0"/>
    <m/>
    <s v="PENDIENTE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767"/>
    <m/>
    <x v="1497"/>
    <m/>
    <d v="1899-12-30T00:00:00"/>
    <d v="2021-12-23T00:00:00"/>
    <s v="CERRADO"/>
    <n v="208063"/>
    <x v="104"/>
    <x v="53"/>
    <x v="811"/>
    <d v="2021-11-02T00:00:00"/>
    <s v="CAD"/>
    <m/>
    <s v="F200-43228"/>
    <m/>
    <d v="2021-12-02T00:00:00"/>
    <s v="CANCELADO"/>
    <s v="CFR"/>
    <m/>
    <x v="132"/>
    <n v="820.24"/>
    <n v="143.749"/>
    <x v="1461"/>
    <x v="3"/>
    <s v="Granel"/>
    <m/>
    <s v="Granel Sólido"/>
    <m/>
    <m/>
    <s v="1H NOV '21"/>
    <x v="0"/>
    <d v="1899-12-30T00:00:00"/>
    <d v="2021-11-16T00:00:00"/>
    <d v="2021-12-15T00:00:00"/>
    <x v="766"/>
    <d v="2021-12-18T00:00:00"/>
    <m/>
    <x v="854"/>
    <n v="12"/>
    <n v="2021"/>
    <x v="0"/>
    <x v="0"/>
    <s v="HEROYA / NORWAY"/>
    <x v="2"/>
    <m/>
    <x v="3"/>
    <x v="1068"/>
    <d v="2021-11-16T00:00:00"/>
    <s v="MV MAESTRO DIAMOND"/>
    <x v="371"/>
    <x v="0"/>
    <m/>
    <s v="PENDIENTE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768"/>
    <m/>
    <x v="1498"/>
    <m/>
    <d v="1899-12-30T00:00:00"/>
    <d v="2021-12-23T00:00:00"/>
    <s v="CERRADO"/>
    <n v="208063"/>
    <x v="104"/>
    <x v="53"/>
    <x v="810"/>
    <d v="2021-11-02T00:00:00"/>
    <s v="CAD"/>
    <m/>
    <s v="F200-43236"/>
    <m/>
    <d v="2021-12-02T00:00:00"/>
    <s v="CANCELADO"/>
    <s v="CFR"/>
    <m/>
    <x v="42"/>
    <n v="820.24"/>
    <n v="143.749"/>
    <x v="1462"/>
    <x v="3"/>
    <s v="Granel"/>
    <m/>
    <s v="Granel Sólido"/>
    <m/>
    <m/>
    <s v="1H NOV '21"/>
    <x v="0"/>
    <d v="1899-12-30T00:00:00"/>
    <d v="2021-11-16T00:00:00"/>
    <d v="2021-12-21T00:00:00"/>
    <x v="788"/>
    <d v="2021-12-22T00:00:00"/>
    <m/>
    <x v="770"/>
    <n v="12"/>
    <n v="2021"/>
    <x v="0"/>
    <x v="0"/>
    <s v="HEROYA / NORWAY"/>
    <x v="3"/>
    <m/>
    <x v="1"/>
    <x v="1069"/>
    <d v="2021-11-16T00:00:00"/>
    <s v="MV MAESTRO DIAMOND"/>
    <x v="371"/>
    <x v="0"/>
    <m/>
    <s v="PENDIENTE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769"/>
    <m/>
    <x v="1499"/>
    <m/>
    <d v="1899-12-30T00:00:00"/>
    <d v="2021-12-28T00:00:00"/>
    <s v="CERRADO"/>
    <n v="208063"/>
    <x v="104"/>
    <x v="53"/>
    <x v="810"/>
    <d v="2021-11-02T00:00:00"/>
    <s v="CAD"/>
    <m/>
    <s v="F200-43230"/>
    <m/>
    <d v="2021-12-02T00:00:00"/>
    <s v="CANCELADO"/>
    <s v="CFR"/>
    <m/>
    <x v="640"/>
    <n v="820.24"/>
    <n v="143.749"/>
    <x v="1463"/>
    <x v="3"/>
    <s v="Granel"/>
    <m/>
    <s v="Granel Sólido"/>
    <m/>
    <m/>
    <s v="1H NOV '21"/>
    <x v="0"/>
    <d v="1899-12-30T00:00:00"/>
    <d v="2021-11-16T00:00:00"/>
    <d v="2021-12-24T00:00:00"/>
    <x v="792"/>
    <d v="2021-12-25T00:00:00"/>
    <m/>
    <x v="804"/>
    <n v="12"/>
    <n v="2021"/>
    <x v="0"/>
    <x v="0"/>
    <s v="HEROYA / NORWAY"/>
    <x v="4"/>
    <m/>
    <x v="2"/>
    <x v="1070"/>
    <d v="2021-11-16T00:00:00"/>
    <s v="MV MAESTRO DIAMOND"/>
    <x v="371"/>
    <x v="0"/>
    <m/>
    <s v="PENDIENTE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770"/>
    <m/>
    <x v="1500"/>
    <m/>
    <d v="1899-12-30T00:00:00"/>
    <d v="2021-12-14T00:00:00"/>
    <s v="CERRADO"/>
    <n v="208061"/>
    <x v="102"/>
    <x v="53"/>
    <x v="812"/>
    <d v="2021-11-02T00:00:00"/>
    <s v="CAD"/>
    <m/>
    <s v="F200-43235"/>
    <m/>
    <d v="2021-12-02T00:00:00"/>
    <s v="CANCELADO"/>
    <s v="CFR"/>
    <m/>
    <x v="151"/>
    <n v="822.65"/>
    <n v="143.749"/>
    <x v="1464"/>
    <x v="3"/>
    <s v="Granel"/>
    <m/>
    <s v="Granel Sólido"/>
    <m/>
    <m/>
    <s v="1H NOV '21"/>
    <x v="0"/>
    <d v="1899-12-30T00:00:00"/>
    <d v="2021-11-16T00:00:00"/>
    <d v="2021-12-10T00:00:00"/>
    <x v="790"/>
    <d v="2021-12-12T00:00:00"/>
    <m/>
    <x v="820"/>
    <n v="12"/>
    <n v="2021"/>
    <x v="0"/>
    <x v="0"/>
    <s v="HEROYA / NORWAY"/>
    <x v="0"/>
    <m/>
    <x v="2"/>
    <x v="1063"/>
    <d v="2021-11-16T00:00:00"/>
    <s v="MV MAESTRO DIAMOND"/>
    <x v="371"/>
    <x v="0"/>
    <m/>
    <s v="PENDIENTE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771"/>
    <m/>
    <x v="1501"/>
    <m/>
    <d v="1899-12-30T00:00:00"/>
    <d v="2021-12-17T00:00:00"/>
    <s v="CERRADO"/>
    <n v="208061"/>
    <x v="102"/>
    <x v="53"/>
    <x v="812"/>
    <d v="2021-11-02T00:00:00"/>
    <s v="CAD"/>
    <m/>
    <s v="F200-43232"/>
    <m/>
    <d v="2021-12-02T00:00:00"/>
    <s v="CANCELADO"/>
    <s v="CFR"/>
    <m/>
    <x v="146"/>
    <n v="822.65"/>
    <n v="143.749"/>
    <x v="1465"/>
    <x v="3"/>
    <s v="Granel"/>
    <m/>
    <s v="Granel Sólido"/>
    <m/>
    <m/>
    <s v="1H NOV '21"/>
    <x v="0"/>
    <d v="1899-12-30T00:00:00"/>
    <d v="2021-11-16T00:00:00"/>
    <d v="2021-12-12T00:00:00"/>
    <x v="791"/>
    <d v="2021-12-14T00:00:00"/>
    <m/>
    <x v="848"/>
    <n v="12"/>
    <n v="2021"/>
    <x v="0"/>
    <x v="0"/>
    <s v="HEROYA / NORWAY"/>
    <x v="1"/>
    <m/>
    <x v="2"/>
    <x v="1303"/>
    <d v="2021-11-16T00:00:00"/>
    <s v="MV MAESTRO DIAMOND"/>
    <x v="371"/>
    <x v="0"/>
    <m/>
    <s v="PENDIENTE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772"/>
    <m/>
    <x v="1502"/>
    <m/>
    <d v="1899-12-30T00:00:00"/>
    <d v="2021-12-22T00:00:00"/>
    <s v="CERRADO"/>
    <n v="208061"/>
    <x v="102"/>
    <x v="53"/>
    <x v="812"/>
    <d v="2021-11-02T00:00:00"/>
    <s v="CAD"/>
    <m/>
    <s v="F200-43231"/>
    <m/>
    <d v="2021-12-02T00:00:00"/>
    <s v="CANCELADO"/>
    <s v="CFR"/>
    <m/>
    <x v="287"/>
    <n v="822.65"/>
    <n v="143.749"/>
    <x v="1466"/>
    <x v="3"/>
    <s v="Granel"/>
    <m/>
    <s v="Granel Sólido"/>
    <m/>
    <m/>
    <s v="1H NOV '21"/>
    <x v="0"/>
    <d v="1899-12-30T00:00:00"/>
    <d v="2021-11-16T00:00:00"/>
    <d v="2021-12-15T00:00:00"/>
    <x v="766"/>
    <d v="2021-12-18T00:00:00"/>
    <m/>
    <x v="823"/>
    <n v="12"/>
    <n v="2021"/>
    <x v="0"/>
    <x v="0"/>
    <s v="HEROYA / NORWAY"/>
    <x v="2"/>
    <m/>
    <x v="3"/>
    <x v="1064"/>
    <d v="2021-11-16T00:00:00"/>
    <s v="MV MAESTRO DIAMOND"/>
    <x v="371"/>
    <x v="0"/>
    <m/>
    <s v="PENDIENTE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773"/>
    <m/>
    <x v="1503"/>
    <m/>
    <d v="1899-12-30T00:00:00"/>
    <d v="2021-12-28T00:00:00"/>
    <s v="CERRADO"/>
    <n v="208061"/>
    <x v="102"/>
    <x v="53"/>
    <x v="812"/>
    <d v="2021-11-02T00:00:00"/>
    <n v="60"/>
    <s v="días BL"/>
    <s v="F200-43234"/>
    <m/>
    <d v="2022-01-28T00:00:00"/>
    <s v="CANCELADO"/>
    <s v="CFR"/>
    <m/>
    <x v="641"/>
    <n v="822.65"/>
    <n v="143.749"/>
    <x v="1467"/>
    <x v="3"/>
    <s v="Granel"/>
    <m/>
    <s v="Granel Sólido"/>
    <m/>
    <m/>
    <s v="1H NOV '21"/>
    <x v="0"/>
    <d v="1899-12-30T00:00:00"/>
    <d v="2021-11-16T00:00:00"/>
    <d v="2021-12-24T00:00:00"/>
    <x v="792"/>
    <d v="2021-12-25T00:00:00"/>
    <m/>
    <x v="804"/>
    <n v="12"/>
    <n v="2021"/>
    <x v="0"/>
    <x v="0"/>
    <s v="HEROYA / NORWAY"/>
    <x v="4"/>
    <m/>
    <x v="2"/>
    <x v="1065"/>
    <d v="2021-11-16T00:00:00"/>
    <s v="MV MAESTRO DIAMOND"/>
    <x v="371"/>
    <x v="0"/>
    <m/>
    <s v="PENDIENTE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E-S"/>
    <x v="0"/>
    <x v="0"/>
    <m/>
    <m/>
    <x v="1774"/>
    <m/>
    <x v="1504"/>
    <m/>
    <d v="2022-03-07T00:00:00"/>
    <d v="2022-04-06T00:00:00"/>
    <s v="CERRADO"/>
    <n v="203820"/>
    <x v="117"/>
    <x v="51"/>
    <x v="813"/>
    <d v="2021-11-05T00:00:00"/>
    <s v="CAD"/>
    <m/>
    <s v="5000862"/>
    <m/>
    <d v="2022-01-04T00:00:00"/>
    <s v="CANCELADO"/>
    <s v="CFR"/>
    <s v="FILO"/>
    <x v="642"/>
    <n v="2194"/>
    <m/>
    <x v="1468"/>
    <x v="3"/>
    <s v="Granel - BB"/>
    <m/>
    <s v="25 kg"/>
    <n v="1.25"/>
    <s v="ROMERO"/>
    <s v="DICIEMBRE '21"/>
    <x v="0"/>
    <d v="1899-12-30T00:00:00"/>
    <d v="2021-12-24T00:00:00"/>
    <d v="2022-02-23T00:00:00"/>
    <x v="780"/>
    <d v="2022-03-31T00:00:00"/>
    <m/>
    <x v="855"/>
    <n v="4"/>
    <n v="2022"/>
    <x v="0"/>
    <x v="0"/>
    <s v="XINGANG / CHINA "/>
    <x v="2"/>
    <m/>
    <x v="3"/>
    <x v="1304"/>
    <d v="2021-12-24T00:00:00"/>
    <s v="CHANG HANG JIN HAI "/>
    <x v="366"/>
    <x v="0"/>
    <s v="AGENTAL"/>
    <s v="PENDIENTE"/>
    <m/>
    <m/>
    <m/>
    <m/>
    <x v="0"/>
    <m/>
    <m/>
    <x v="34"/>
    <x v="20"/>
    <s v="SADA DD"/>
    <s v="VERDE"/>
    <x v="0"/>
    <e v="#REF!"/>
    <m/>
    <m/>
    <m/>
    <m/>
    <m/>
    <x v="0"/>
    <m/>
    <m/>
    <m/>
    <m/>
    <s v="NACIONALIZADO"/>
    <m/>
    <m/>
    <m/>
  </r>
  <r>
    <n v="2021"/>
    <s v="T-S"/>
    <x v="1"/>
    <x v="3"/>
    <s v="URGENTE"/>
    <m/>
    <x v="1775"/>
    <m/>
    <x v="1505"/>
    <d v="2021-11-08T00:00:00"/>
    <m/>
    <m/>
    <s v="PENDIENTE"/>
    <n v="206622"/>
    <x v="16"/>
    <x v="54"/>
    <x v="814"/>
    <d v="2021-11-05T00:00:00"/>
    <n v="90"/>
    <s v="días BL"/>
    <s v="21JEQ003"/>
    <m/>
    <m/>
    <s v="PENDIENTE"/>
    <s v="CFR"/>
    <s v="FILO"/>
    <x v="60"/>
    <n v="1142"/>
    <m/>
    <x v="1469"/>
    <x v="3"/>
    <s v="Granel - BB"/>
    <m/>
    <s v="BB - Granel"/>
    <n v="1"/>
    <s v="-"/>
    <s v="DICIEMBRE '21"/>
    <x v="1"/>
    <d v="2022-05-30T00:00:00"/>
    <d v="2022-07-15T00:00:00"/>
    <d v="2022-07-15T00:00:00"/>
    <x v="795"/>
    <d v="2022-09-09T00:00:00"/>
    <m/>
    <x v="856"/>
    <n v="9"/>
    <n v="2022"/>
    <x v="2"/>
    <x v="1"/>
    <s v="TIANJIN"/>
    <x v="2"/>
    <m/>
    <x v="3"/>
    <x v="29"/>
    <m/>
    <m/>
    <x v="15"/>
    <x v="0"/>
    <m/>
    <s v="PENDIENTE"/>
    <m/>
    <m/>
    <m/>
    <m/>
    <x v="0"/>
    <m/>
    <m/>
    <x v="0"/>
    <x v="0"/>
    <m/>
    <m/>
    <x v="0"/>
    <e v="#REF!"/>
    <m/>
    <m/>
    <m/>
    <m/>
    <m/>
    <x v="0"/>
    <m/>
    <s v="INSPECCION EN ORIGEN"/>
    <s v="PRODUCTO VENCIDO "/>
    <m/>
    <m/>
    <m/>
    <m/>
    <m/>
  </r>
  <r>
    <n v="2021"/>
    <s v="T-S"/>
    <x v="1"/>
    <x v="3"/>
    <s v="URGENTE"/>
    <m/>
    <x v="1776"/>
    <m/>
    <x v="1506"/>
    <d v="2021-12-24T00:00:00"/>
    <m/>
    <m/>
    <s v="PENDIENTE"/>
    <n v="206622"/>
    <x v="16"/>
    <x v="54"/>
    <x v="814"/>
    <d v="2021-11-05T00:00:00"/>
    <n v="90"/>
    <s v="días BL"/>
    <s v="21JEQ003"/>
    <m/>
    <m/>
    <s v="PENDIENTE"/>
    <s v="CFR"/>
    <s v="FILO"/>
    <x v="643"/>
    <n v="1142"/>
    <m/>
    <x v="1470"/>
    <x v="3"/>
    <s v="Granel - BB"/>
    <m/>
    <s v="BB - Granel"/>
    <n v="1"/>
    <s v="-"/>
    <s v="DICIEMBRE '21"/>
    <x v="1"/>
    <d v="2022-06-15T00:00:00"/>
    <d v="2022-07-15T00:00:00"/>
    <d v="2022-07-31T00:00:00"/>
    <x v="795"/>
    <d v="2022-09-09T00:00:00"/>
    <m/>
    <x v="856"/>
    <n v="9"/>
    <n v="2022"/>
    <x v="2"/>
    <x v="1"/>
    <s v="TIANJIN"/>
    <x v="2"/>
    <m/>
    <x v="3"/>
    <x v="29"/>
    <m/>
    <m/>
    <x v="15"/>
    <x v="0"/>
    <m/>
    <s v="PENDIENTE"/>
    <m/>
    <m/>
    <m/>
    <m/>
    <x v="0"/>
    <m/>
    <m/>
    <x v="0"/>
    <x v="0"/>
    <m/>
    <m/>
    <x v="0"/>
    <e v="#REF!"/>
    <m/>
    <m/>
    <m/>
    <m/>
    <m/>
    <x v="0"/>
    <m/>
    <s v="INSPECCION EN ORIGEN"/>
    <s v="PRODUCTO VENCIDO "/>
    <m/>
    <m/>
    <m/>
    <m/>
    <m/>
  </r>
  <r>
    <n v="2021"/>
    <s v="T-S"/>
    <x v="0"/>
    <x v="1"/>
    <s v="N/A"/>
    <m/>
    <x v="1777"/>
    <m/>
    <x v="34"/>
    <m/>
    <m/>
    <m/>
    <m/>
    <m/>
    <x v="8"/>
    <x v="54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1"/>
    <s v="T-S"/>
    <x v="0"/>
    <x v="1"/>
    <s v="N/A"/>
    <m/>
    <x v="1778"/>
    <m/>
    <x v="34"/>
    <m/>
    <m/>
    <m/>
    <m/>
    <m/>
    <x v="126"/>
    <x v="59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1"/>
    <s v="T-S"/>
    <x v="0"/>
    <x v="0"/>
    <m/>
    <m/>
    <x v="1779"/>
    <m/>
    <x v="1507"/>
    <m/>
    <d v="2022-01-04T00:00:00"/>
    <d v="2022-01-04T00:00:00"/>
    <s v="CERRADO"/>
    <n v="208067"/>
    <x v="115"/>
    <x v="53"/>
    <x v="815"/>
    <d v="2021-11-05T00:00:00"/>
    <n v="30"/>
    <s v="días FACT."/>
    <s v="F200-43247"/>
    <m/>
    <d v="2022-01-22T00:00:00"/>
    <s v="CANCELADO"/>
    <s v="CFR"/>
    <m/>
    <x v="250"/>
    <n v="372.44"/>
    <m/>
    <x v="1471"/>
    <x v="20"/>
    <s v="Contenedor 20'"/>
    <m/>
    <s v="25 kg"/>
    <m/>
    <m/>
    <s v="DICIEMBRE '21"/>
    <x v="0"/>
    <d v="1899-12-30T00:00:00"/>
    <d v="2021-12-24T00:00:00"/>
    <d v="2021-12-28T00:00:00"/>
    <x v="752"/>
    <d v="2022-01-01T00:00:00"/>
    <m/>
    <x v="805"/>
    <n v="1"/>
    <n v="2022"/>
    <x v="0"/>
    <x v="0"/>
    <s v="CARTAGENA / COLOMBIA"/>
    <x v="0"/>
    <m/>
    <x v="1"/>
    <x v="1305"/>
    <d v="2021-12-24T00:00:00"/>
    <s v=" GUAYAQUIL EXPRESS "/>
    <x v="339"/>
    <x v="2"/>
    <m/>
    <s v="PENDIENTE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780"/>
    <m/>
    <x v="1508"/>
    <m/>
    <d v="2022-01-14T00:00:00"/>
    <d v="2022-01-14T00:00:00"/>
    <s v="CERRADO"/>
    <n v="208067"/>
    <x v="115"/>
    <x v="53"/>
    <x v="815"/>
    <d v="2021-11-05T00:00:00"/>
    <n v="30"/>
    <s v="días FACT."/>
    <s v="F200-43249"/>
    <m/>
    <d v="2022-02-10T00:00:00"/>
    <s v="CANCELADO"/>
    <s v="CFR"/>
    <m/>
    <x v="250"/>
    <n v="372.44"/>
    <m/>
    <x v="1471"/>
    <x v="20"/>
    <s v="Contenedor 20'"/>
    <m/>
    <s v="25 kg"/>
    <m/>
    <m/>
    <s v="DICIEMBRE '21"/>
    <x v="0"/>
    <d v="1899-12-30T00:00:00"/>
    <d v="2022-01-07T00:00:00"/>
    <d v="2022-01-11T00:00:00"/>
    <x v="796"/>
    <d v="2022-01-15T00:00:00"/>
    <m/>
    <x v="824"/>
    <n v="1"/>
    <n v="2022"/>
    <x v="0"/>
    <x v="0"/>
    <s v="CARTAGENA / COLOMBIA"/>
    <x v="0"/>
    <m/>
    <x v="5"/>
    <x v="1306"/>
    <d v="2022-01-07T00:00:00"/>
    <s v="AS PATRIA"/>
    <x v="339"/>
    <x v="2"/>
    <m/>
    <s v="PENDIENTE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781"/>
    <m/>
    <x v="1509"/>
    <m/>
    <m/>
    <m/>
    <s v="CERRADO"/>
    <n v="208067"/>
    <x v="115"/>
    <x v="53"/>
    <x v="816"/>
    <d v="2021-11-05T00:00:00"/>
    <n v="30"/>
    <s v="días FACT."/>
    <s v="F200-43250"/>
    <m/>
    <d v="2022-02-16T00:00:00"/>
    <s v="CANCELADO"/>
    <s v="CFR"/>
    <m/>
    <x v="250"/>
    <n v="372.44"/>
    <m/>
    <x v="1471"/>
    <x v="20"/>
    <s v="Contenedor 20'"/>
    <m/>
    <s v="25 kg"/>
    <m/>
    <m/>
    <s v="DICIEMBRE '21"/>
    <x v="0"/>
    <d v="1899-12-30T00:00:00"/>
    <d v="2022-01-14T00:00:00"/>
    <d v="2022-01-18T00:00:00"/>
    <x v="797"/>
    <d v="2022-01-22T00:00:00"/>
    <m/>
    <x v="857"/>
    <n v="1"/>
    <n v="2022"/>
    <x v="0"/>
    <x v="0"/>
    <s v="CARTAGENA / COLOMBIA"/>
    <x v="0"/>
    <m/>
    <x v="2"/>
    <x v="1307"/>
    <d v="2022-01-14T00:00:00"/>
    <s v=" DIMITRIS C "/>
    <x v="326"/>
    <x v="2"/>
    <m/>
    <s v="PENDIENTE"/>
    <s v="DESTINO"/>
    <m/>
    <m/>
    <m/>
    <x v="0"/>
    <d v="2022-02-07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782"/>
    <m/>
    <x v="1510"/>
    <m/>
    <d v="2022-02-04T00:00:00"/>
    <d v="2022-02-04T00:00:00"/>
    <s v="CERRADO"/>
    <n v="208067"/>
    <x v="115"/>
    <x v="53"/>
    <x v="815"/>
    <d v="2021-11-05T00:00:00"/>
    <n v="30"/>
    <s v="días FACT."/>
    <s v="F200-43261"/>
    <m/>
    <d v="2022-03-02T00:00:00"/>
    <s v="CANCELADO"/>
    <s v="CFR"/>
    <m/>
    <x v="136"/>
    <n v="372.44"/>
    <m/>
    <x v="1472"/>
    <x v="14"/>
    <s v="Contenedor 20'"/>
    <m/>
    <s v="25 kg"/>
    <m/>
    <m/>
    <s v="DICIEMBRE '21"/>
    <x v="0"/>
    <d v="1899-12-30T00:00:00"/>
    <d v="2022-01-28T00:00:00"/>
    <d v="2022-02-01T00:00:00"/>
    <x v="798"/>
    <d v="2022-02-05T00:00:00"/>
    <m/>
    <x v="812"/>
    <n v="2"/>
    <n v="2022"/>
    <x v="0"/>
    <x v="0"/>
    <s v="CARTAGENA / COLOMBIA"/>
    <x v="0"/>
    <m/>
    <x v="1"/>
    <x v="1308"/>
    <d v="2022-01-28T00:00:00"/>
    <s v=" DIMITRIS C "/>
    <x v="372"/>
    <x v="2"/>
    <m/>
    <s v="PENDIENTE"/>
    <s v="DESTINO"/>
    <m/>
    <m/>
    <m/>
    <x v="0"/>
    <m/>
    <m/>
    <x v="35"/>
    <x v="16"/>
    <s v="SADA DD"/>
    <s v="VERDE"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783"/>
    <m/>
    <x v="1511"/>
    <m/>
    <d v="1899-12-30T00:00:00"/>
    <d v="2021-12-23T00:00:00"/>
    <s v="CERRADO"/>
    <n v="208067"/>
    <x v="115"/>
    <x v="53"/>
    <x v="817"/>
    <d v="2021-11-05T00:00:00"/>
    <n v="30"/>
    <s v="días FACT."/>
    <s v="F200-43238"/>
    <m/>
    <d v="2022-01-13T00:00:00"/>
    <s v="CANCELADO"/>
    <s v="CFR"/>
    <m/>
    <x v="147"/>
    <n v="296.06"/>
    <m/>
    <x v="1473"/>
    <x v="4"/>
    <s v="Contenedor 20'"/>
    <m/>
    <s v="25 kg"/>
    <m/>
    <m/>
    <s v="DICIEMBRE '21"/>
    <x v="0"/>
    <d v="1899-12-30T00:00:00"/>
    <d v="2021-12-08T00:00:00"/>
    <d v="2021-12-16T00:00:00"/>
    <x v="768"/>
    <d v="2021-12-20T00:00:00"/>
    <m/>
    <x v="800"/>
    <n v="12"/>
    <n v="2021"/>
    <x v="0"/>
    <x v="0"/>
    <s v="CARTAGENA / COLOMBIA"/>
    <x v="2"/>
    <m/>
    <x v="3"/>
    <x v="1309"/>
    <d v="2021-12-08T00:00:00"/>
    <s v="CALLAO EXPRESS"/>
    <x v="32"/>
    <x v="9"/>
    <m/>
    <s v="PENDIENTE"/>
    <s v="DESTINO"/>
    <m/>
    <m/>
    <m/>
    <x v="0"/>
    <d v="2021-12-21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784"/>
    <m/>
    <x v="1512"/>
    <m/>
    <d v="1899-12-30T00:00:00"/>
    <d v="2021-12-30T00:00:00"/>
    <s v="CERRADO"/>
    <n v="208067"/>
    <x v="115"/>
    <x v="53"/>
    <x v="817"/>
    <d v="2021-11-05T00:00:00"/>
    <n v="30"/>
    <s v="días FACT."/>
    <s v="F200-43242"/>
    <m/>
    <d v="2022-01-15T00:00:00"/>
    <s v="CANCELADO"/>
    <s v="CFR"/>
    <m/>
    <x v="147"/>
    <n v="372.44"/>
    <m/>
    <x v="1474"/>
    <x v="4"/>
    <s v="Contenedor 20'"/>
    <m/>
    <s v="25 kg"/>
    <m/>
    <m/>
    <s v="DICIEMBRE '21"/>
    <x v="0"/>
    <d v="1899-12-30T00:00:00"/>
    <d v="2021-12-15T00:00:00"/>
    <d v="2021-12-23T00:00:00"/>
    <x v="783"/>
    <d v="2021-12-27T00:00:00"/>
    <m/>
    <x v="858"/>
    <n v="12"/>
    <n v="2021"/>
    <x v="0"/>
    <x v="0"/>
    <s v="CARTAGENA / COLOMBIA"/>
    <x v="2"/>
    <m/>
    <x v="3"/>
    <x v="1310"/>
    <d v="2021-12-15T00:00:00"/>
    <s v="SANTOS EXPRESS"/>
    <x v="184"/>
    <x v="9"/>
    <m/>
    <s v="PENDIENTE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785"/>
    <m/>
    <x v="1513"/>
    <m/>
    <d v="2022-01-07T00:00:00"/>
    <d v="2022-01-07T00:00:00"/>
    <s v="CERRADO"/>
    <n v="208067"/>
    <x v="115"/>
    <x v="53"/>
    <x v="817"/>
    <d v="2021-11-05T00:00:00"/>
    <n v="30"/>
    <s v="días FACT."/>
    <s v="F200-43246"/>
    <m/>
    <d v="2022-01-22T00:00:00"/>
    <s v="CANCELADO"/>
    <s v="CFR"/>
    <m/>
    <x v="136"/>
    <n v="372.44"/>
    <m/>
    <x v="1472"/>
    <x v="14"/>
    <s v="Contenedor 20'"/>
    <m/>
    <s v="25 kg"/>
    <m/>
    <m/>
    <s v="DICIEMBRE '21"/>
    <x v="0"/>
    <d v="1899-12-30T00:00:00"/>
    <d v="2021-12-22T00:00:00"/>
    <d v="2021-12-30T00:00:00"/>
    <x v="784"/>
    <d v="2022-01-03T00:00:00"/>
    <m/>
    <x v="859"/>
    <n v="1"/>
    <n v="2022"/>
    <x v="0"/>
    <x v="0"/>
    <s v="CARTAGENA / COLOMBIA"/>
    <x v="2"/>
    <m/>
    <x v="3"/>
    <x v="1311"/>
    <d v="2021-12-22T00:00:00"/>
    <s v=" CMA CGM OHIO "/>
    <x v="373"/>
    <x v="9"/>
    <m/>
    <s v="REALIZADO"/>
    <s v="SWB"/>
    <m/>
    <m/>
    <m/>
    <x v="0"/>
    <d v="2022-01-20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786"/>
    <m/>
    <x v="1514"/>
    <m/>
    <d v="2022-01-14T00:00:00"/>
    <d v="2022-01-14T00:00:00"/>
    <s v="CERRADO"/>
    <n v="208067"/>
    <x v="115"/>
    <x v="53"/>
    <x v="817"/>
    <d v="2021-11-05T00:00:00"/>
    <n v="30"/>
    <s v="días FACT."/>
    <s v="F200-43248"/>
    <m/>
    <d v="2022-01-29T00:00:00"/>
    <s v="CANCELADO"/>
    <s v="CFR"/>
    <m/>
    <x v="136"/>
    <n v="372.44"/>
    <m/>
    <x v="1472"/>
    <x v="14"/>
    <s v="Contenedor 20'"/>
    <m/>
    <s v="25 kg"/>
    <m/>
    <m/>
    <s v="DICIEMBRE '21"/>
    <x v="0"/>
    <d v="1899-12-30T00:00:00"/>
    <d v="2021-12-29T00:00:00"/>
    <d v="2022-01-07T00:00:00"/>
    <x v="630"/>
    <d v="2022-01-11T00:00:00"/>
    <m/>
    <x v="824"/>
    <n v="1"/>
    <n v="2022"/>
    <x v="0"/>
    <x v="0"/>
    <s v="CARTAGENA / COLOMBIA"/>
    <x v="2"/>
    <m/>
    <x v="3"/>
    <x v="1312"/>
    <d v="2021-12-29T00:00:00"/>
    <s v=" GUAYAQUIL EXPRESS "/>
    <x v="374"/>
    <x v="9"/>
    <m/>
    <s v="PENDIENTE"/>
    <s v="DESTINO"/>
    <m/>
    <m/>
    <m/>
    <x v="0"/>
    <d v="2022-01-27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787"/>
    <m/>
    <x v="1515"/>
    <m/>
    <d v="2022-01-06T00:00:00"/>
    <d v="2022-01-06T00:00:00"/>
    <s v="CERRADO"/>
    <n v="208067"/>
    <x v="115"/>
    <x v="53"/>
    <x v="818"/>
    <d v="2021-11-05T00:00:00"/>
    <n v="30"/>
    <s v="días FACT."/>
    <s v="F200-43243"/>
    <m/>
    <d v="2022-01-15T00:00:00"/>
    <s v="CANCELADO"/>
    <s v="CFR"/>
    <m/>
    <x v="250"/>
    <n v="372.44"/>
    <m/>
    <x v="1471"/>
    <x v="20"/>
    <s v="Contenedor 20'"/>
    <m/>
    <s v="25 kg"/>
    <m/>
    <m/>
    <s v="DICIEMBRE '21"/>
    <x v="0"/>
    <d v="1899-12-30T00:00:00"/>
    <d v="2021-12-11T00:00:00"/>
    <d v="2021-12-26T00:00:00"/>
    <x v="786"/>
    <d v="2021-12-29T00:00:00"/>
    <m/>
    <x v="860"/>
    <n v="1"/>
    <n v="2022"/>
    <x v="0"/>
    <x v="0"/>
    <s v="CARTAGENA / COLOMBIA"/>
    <x v="4"/>
    <m/>
    <x v="2"/>
    <x v="1313"/>
    <d v="2021-12-11T00:00:00"/>
    <s v="CERINTHUS"/>
    <x v="129"/>
    <x v="2"/>
    <m/>
    <s v="PENDIENTE"/>
    <s v="DESTINO"/>
    <m/>
    <m/>
    <m/>
    <x v="0"/>
    <d v="2022-01-16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O-S"/>
    <x v="0"/>
    <x v="0"/>
    <m/>
    <m/>
    <x v="1788"/>
    <m/>
    <x v="1516"/>
    <m/>
    <d v="1899-12-30T00:00:00"/>
    <d v="2021-12-10T00:00:00"/>
    <s v="CERRADO"/>
    <n v="203555"/>
    <x v="139"/>
    <x v="53"/>
    <x v="819"/>
    <d v="2021-11-05T00:00:00"/>
    <s v="CAD"/>
    <m/>
    <s v="F200-43237"/>
    <m/>
    <d v="2021-12-03T00:00:00"/>
    <s v="CANCELADO"/>
    <s v="CFR"/>
    <m/>
    <x v="337"/>
    <n v="352.26"/>
    <m/>
    <x v="1475"/>
    <x v="9"/>
    <s v="Contenedor 20'"/>
    <m/>
    <s v="25 kg"/>
    <m/>
    <m/>
    <s v="NOVIEMBRE '21"/>
    <x v="0"/>
    <d v="1899-12-30T00:00:00"/>
    <d v="2021-11-24T00:00:00"/>
    <d v="2021-12-02T00:00:00"/>
    <x v="765"/>
    <d v="2021-12-06T00:00:00"/>
    <m/>
    <x v="820"/>
    <n v="12"/>
    <n v="2021"/>
    <x v="0"/>
    <x v="0"/>
    <s v="CARTAGENA / COLOMBIA"/>
    <x v="2"/>
    <m/>
    <x v="3"/>
    <x v="1314"/>
    <d v="2021-11-24T00:00:00"/>
    <s v="VALPARAISO EXPRESS"/>
    <x v="30"/>
    <x v="9"/>
    <m/>
    <s v="PENDIENTE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O-S"/>
    <x v="0"/>
    <x v="0"/>
    <m/>
    <m/>
    <x v="1789"/>
    <m/>
    <x v="1517"/>
    <m/>
    <d v="2022-01-11T00:00:00"/>
    <d v="2022-01-11T00:00:00"/>
    <s v="CERRADO"/>
    <n v="208066"/>
    <x v="139"/>
    <x v="53"/>
    <x v="820"/>
    <d v="2021-11-05T00:00:00"/>
    <s v="CAD"/>
    <m/>
    <s v="F200-43241"/>
    <m/>
    <d v="2021-12-19T00:00:00"/>
    <s v="CANCELADO"/>
    <s v="CFR"/>
    <m/>
    <x v="136"/>
    <n v="364.22"/>
    <m/>
    <x v="1476"/>
    <x v="14"/>
    <s v="Contenedor 20'"/>
    <m/>
    <s v="25 kg"/>
    <m/>
    <m/>
    <s v="DICIEMBRE '21"/>
    <x v="0"/>
    <d v="1899-12-30T00:00:00"/>
    <d v="2021-12-11T00:00:00"/>
    <d v="2021-12-26T00:00:00"/>
    <x v="786"/>
    <d v="2021-12-29T00:00:00"/>
    <m/>
    <x v="860"/>
    <n v="1"/>
    <n v="2022"/>
    <x v="0"/>
    <x v="0"/>
    <s v="CARTAGENA / COLOMBIA"/>
    <x v="4"/>
    <m/>
    <x v="2"/>
    <x v="1315"/>
    <d v="2021-12-11T00:00:00"/>
    <s v="AS PATRIA"/>
    <x v="129"/>
    <x v="2"/>
    <m/>
    <s v="PENDIENTE"/>
    <s v="DESTINO"/>
    <m/>
    <m/>
    <m/>
    <x v="0"/>
    <d v="2022-01-16T00:00:00"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O-S"/>
    <x v="0"/>
    <x v="0"/>
    <m/>
    <m/>
    <x v="1790"/>
    <m/>
    <x v="1518"/>
    <m/>
    <d v="2022-02-25T00:00:00"/>
    <d v="2022-02-25T00:00:00"/>
    <s v="CERRADO"/>
    <n v="208066"/>
    <x v="139"/>
    <x v="53"/>
    <x v="820"/>
    <d v="2021-11-05T00:00:00"/>
    <s v="CAD"/>
    <m/>
    <s v="F200-43267"/>
    <m/>
    <d v="2022-02-26T00:00:00"/>
    <s v="CANCELADO"/>
    <s v="CFR"/>
    <m/>
    <x v="575"/>
    <n v="556.26"/>
    <m/>
    <x v="1477"/>
    <x v="11"/>
    <s v="Contenedor 20'"/>
    <m/>
    <s v="25 kg"/>
    <m/>
    <m/>
    <s v="DICIEMBRE '21"/>
    <x v="0"/>
    <d v="1899-12-30T00:00:00"/>
    <d v="2022-02-18T00:00:00"/>
    <d v="2022-02-22T00:00:00"/>
    <x v="719"/>
    <d v="2022-02-25T00:00:00"/>
    <m/>
    <x v="861"/>
    <n v="2"/>
    <n v="2022"/>
    <x v="0"/>
    <x v="0"/>
    <s v="CARTAGENA / COLOMBIA"/>
    <x v="0"/>
    <m/>
    <x v="2"/>
    <x v="1316"/>
    <d v="2022-02-18T00:00:00"/>
    <s v="AS PATRIA"/>
    <x v="339"/>
    <x v="2"/>
    <m/>
    <s v="PENDIENTE"/>
    <s v="DESTINO"/>
    <m/>
    <m/>
    <m/>
    <x v="0"/>
    <m/>
    <m/>
    <x v="36"/>
    <x v="25"/>
    <s v="SADA DD"/>
    <s v="VERDE"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791"/>
    <m/>
    <x v="1519"/>
    <m/>
    <d v="2022-03-07T00:00:00"/>
    <d v="2022-04-05T00:00:00"/>
    <s v="CERRADO"/>
    <n v="205996"/>
    <x v="126"/>
    <x v="59"/>
    <x v="8"/>
    <d v="2021-11-05T00:00:00"/>
    <s v="CAD"/>
    <m/>
    <s v="50887PRE"/>
    <m/>
    <d v="2022-02-02T00:00:00"/>
    <s v="CANCELADO"/>
    <s v="CFR"/>
    <m/>
    <x v="644"/>
    <n v="2950"/>
    <m/>
    <x v="1478"/>
    <x v="3"/>
    <s v="Granel - BB"/>
    <m/>
    <s v="25 kg"/>
    <n v="1.25"/>
    <s v="VALUCID PK 0-60-20"/>
    <s v="2H NOV - 1H DIC '21"/>
    <x v="0"/>
    <d v="1899-12-30T00:00:00"/>
    <d v="2021-12-25T00:00:00"/>
    <d v="2022-02-23T00:00:00"/>
    <x v="780"/>
    <d v="2022-03-31T00:00:00"/>
    <m/>
    <x v="862"/>
    <n v="4"/>
    <n v="2022"/>
    <x v="0"/>
    <x v="0"/>
    <s v="TIANJIN / CHINA"/>
    <x v="2"/>
    <m/>
    <x v="3"/>
    <x v="1272"/>
    <d v="2021-12-18T00:00:00"/>
    <s v="CHANG HANG JIN HAI "/>
    <x v="366"/>
    <x v="0"/>
    <s v="AGENTAL"/>
    <s v="PENDIENTE"/>
    <s v="DESTINO"/>
    <m/>
    <m/>
    <m/>
    <x v="0"/>
    <m/>
    <m/>
    <x v="24"/>
    <x v="20"/>
    <s v="SADA DD"/>
    <s v="VERDE"/>
    <x v="0"/>
    <e v="#REF!"/>
    <m/>
    <m/>
    <m/>
    <m/>
    <m/>
    <x v="0"/>
    <s v="anulada : 8000001703"/>
    <m/>
    <m/>
    <m/>
    <s v="NACIONALIZADO"/>
    <m/>
    <m/>
    <m/>
  </r>
  <r>
    <n v="2021"/>
    <s v="T-S"/>
    <x v="0"/>
    <x v="0"/>
    <m/>
    <m/>
    <x v="1792"/>
    <m/>
    <x v="1520"/>
    <m/>
    <d v="2022-03-07T00:00:00"/>
    <d v="2022-04-08T00:00:00"/>
    <s v="CERRADO"/>
    <n v="205996"/>
    <x v="126"/>
    <x v="59"/>
    <x v="8"/>
    <d v="2021-11-05T00:00:00"/>
    <s v="CAD"/>
    <m/>
    <s v="50887PRE"/>
    <m/>
    <d v="2022-02-02T00:00:00"/>
    <s v="CANCELADO"/>
    <s v="CFR"/>
    <m/>
    <x v="644"/>
    <n v="2855"/>
    <m/>
    <x v="1479"/>
    <x v="3"/>
    <s v="Granel - BB"/>
    <m/>
    <s v="25 kg"/>
    <n v="1.25"/>
    <s v="VALUCID PK 0-60-20"/>
    <s v="2H NOV - 1H DIC '21"/>
    <x v="0"/>
    <d v="1899-12-30T00:00:00"/>
    <d v="2021-12-25T00:00:00"/>
    <d v="2022-02-23T00:00:00"/>
    <x v="780"/>
    <d v="2022-03-31T00:00:00"/>
    <m/>
    <x v="846"/>
    <n v="4"/>
    <n v="2022"/>
    <x v="0"/>
    <x v="0"/>
    <s v="TIANJIN / CHINA"/>
    <x v="2"/>
    <m/>
    <x v="3"/>
    <x v="1272"/>
    <d v="2021-12-18T00:00:00"/>
    <s v="CHANG HANG JIN HAI "/>
    <x v="366"/>
    <x v="0"/>
    <s v="AGENTAL"/>
    <s v="PENDIENTE"/>
    <s v="DESTINO"/>
    <m/>
    <m/>
    <m/>
    <x v="0"/>
    <m/>
    <m/>
    <x v="24"/>
    <x v="20"/>
    <s v="SADA DD"/>
    <s v="VERDE"/>
    <x v="0"/>
    <e v="#REF!"/>
    <m/>
    <m/>
    <m/>
    <m/>
    <m/>
    <x v="0"/>
    <m/>
    <m/>
    <m/>
    <m/>
    <s v="NACIONALIZADO"/>
    <m/>
    <m/>
    <m/>
  </r>
  <r>
    <n v="2021"/>
    <s v="E-E"/>
    <x v="0"/>
    <x v="0"/>
    <m/>
    <m/>
    <x v="1793"/>
    <s v="2021-842"/>
    <x v="1521"/>
    <m/>
    <d v="2022-04-21T00:00:00"/>
    <d v="2022-05-05T00:00:00"/>
    <s v="CERRADO"/>
    <n v="205996"/>
    <x v="126"/>
    <x v="59"/>
    <x v="8"/>
    <d v="2021-11-05T00:00:00"/>
    <s v="CAD"/>
    <m/>
    <s v="51531PRE"/>
    <d v="2022-02-25T00:00:00"/>
    <m/>
    <s v="CANCELADO"/>
    <s v="CFR"/>
    <s v="FILO"/>
    <x v="645"/>
    <n v="2885"/>
    <m/>
    <x v="1480"/>
    <x v="3"/>
    <s v="Granel - BB"/>
    <m/>
    <s v="25 kg"/>
    <n v="1.25"/>
    <s v="VALUCID PK 0-60-20"/>
    <s v="2H NOV - 1H DIC '21"/>
    <x v="0"/>
    <d v="1899-12-30T00:00:00"/>
    <d v="2022-01-30T00:00:00"/>
    <d v="2022-04-05T00:00:00"/>
    <x v="749"/>
    <d v="2022-04-15T00:00:00"/>
    <m/>
    <x v="863"/>
    <n v="5"/>
    <n v="2022"/>
    <x v="0"/>
    <x v="1"/>
    <s v="TIANJIN / CHINA"/>
    <x v="2"/>
    <s v="APM"/>
    <x v="3"/>
    <x v="1317"/>
    <d v="2022-01-24T00:00:00"/>
    <s v="MV QING YUN SHAN "/>
    <x v="357"/>
    <x v="0"/>
    <s v="AGUNSA"/>
    <s v="REALIZADO"/>
    <s v="ORIGEN"/>
    <m/>
    <m/>
    <m/>
    <x v="0"/>
    <m/>
    <m/>
    <x v="37"/>
    <x v="11"/>
    <s v="SADA DD"/>
    <s v="VERDE"/>
    <x v="0"/>
    <s v="OK"/>
    <m/>
    <m/>
    <m/>
    <m/>
    <m/>
    <x v="0"/>
    <m/>
    <m/>
    <m/>
    <m/>
    <s v="NACIONALIZADO"/>
    <m/>
    <m/>
    <m/>
  </r>
  <r>
    <n v="2021"/>
    <s v="E-E"/>
    <x v="0"/>
    <x v="0"/>
    <m/>
    <m/>
    <x v="1794"/>
    <s v="2021-842"/>
    <x v="1522"/>
    <m/>
    <d v="1900-03-12T00:00:00"/>
    <d v="2022-04-27T00:00:00"/>
    <s v="CERRADO"/>
    <n v="205996"/>
    <x v="126"/>
    <x v="59"/>
    <x v="8"/>
    <d v="2021-11-05T00:00:00"/>
    <s v="CAD"/>
    <m/>
    <s v="51531PRE"/>
    <d v="2022-02-25T00:00:00"/>
    <m/>
    <s v="CANCELADO"/>
    <s v="CFR"/>
    <s v="FILO"/>
    <x v="646"/>
    <n v="2885"/>
    <n v="129.457142857142"/>
    <x v="1481"/>
    <x v="3"/>
    <s v="Granel - BB"/>
    <m/>
    <s v="25 kg"/>
    <n v="1.05"/>
    <s v="VALUCID PK 0-60-20"/>
    <s v="2H NOV - 1H DIC '21"/>
    <x v="0"/>
    <d v="1899-12-30T00:00:00"/>
    <d v="2022-01-30T00:00:00"/>
    <d v="2022-04-05T00:00:00"/>
    <x v="749"/>
    <d v="2022-04-15T00:00:00"/>
    <d v="2022-04-25T00:00:00"/>
    <x v="864"/>
    <n v="4"/>
    <n v="2022"/>
    <x v="0"/>
    <x v="1"/>
    <s v="TIANJIN / CHINA"/>
    <x v="2"/>
    <s v="APM"/>
    <x v="3"/>
    <x v="1318"/>
    <d v="2022-01-25T00:00:00"/>
    <s v="MV QING YUN SHAN "/>
    <x v="357"/>
    <x v="0"/>
    <s v="AGUNSA"/>
    <s v="REALIZADO"/>
    <s v="ORIGEN"/>
    <m/>
    <m/>
    <m/>
    <x v="0"/>
    <m/>
    <m/>
    <x v="38"/>
    <x v="11"/>
    <s v="SADA DD"/>
    <s v="VERDE"/>
    <x v="0"/>
    <s v="OK"/>
    <m/>
    <m/>
    <m/>
    <m/>
    <m/>
    <x v="0"/>
    <s v="3 HORAS EXTRAS PARA LA RECEPCION POR DEMORA EN APM. TOTAL PEN 255.00"/>
    <m/>
    <m/>
    <m/>
    <s v="NACIONALIZADO"/>
    <m/>
    <m/>
    <m/>
  </r>
  <r>
    <n v="2021"/>
    <s v="T-S"/>
    <x v="0"/>
    <x v="1"/>
    <s v="N/A"/>
    <m/>
    <x v="1795"/>
    <m/>
    <x v="34"/>
    <m/>
    <m/>
    <m/>
    <m/>
    <m/>
    <x v="126"/>
    <x v="59"/>
    <x v="16"/>
    <m/>
    <m/>
    <m/>
    <m/>
    <m/>
    <m/>
    <m/>
    <m/>
    <m/>
    <x v="29"/>
    <m/>
    <m/>
    <x v="1482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1"/>
    <s v="T-S"/>
    <x v="0"/>
    <x v="0"/>
    <m/>
    <m/>
    <x v="1796"/>
    <m/>
    <x v="1523"/>
    <m/>
    <d v="2022-02-11T00:00:00"/>
    <d v="2022-02-11T00:00:00"/>
    <s v="CERRADO"/>
    <n v="203616"/>
    <x v="15"/>
    <x v="25"/>
    <x v="821"/>
    <d v="2022-01-05T00:00:00"/>
    <n v="180"/>
    <s v="días BL"/>
    <s v="TGOA-AS-220109-E"/>
    <m/>
    <d v="2022-01-21T00:00:00"/>
    <s v="CANCELADO"/>
    <s v="CFR"/>
    <m/>
    <x v="51"/>
    <n v="516.42999999999995"/>
    <n v="66.400000000000006"/>
    <x v="1483"/>
    <x v="3"/>
    <s v="Granel"/>
    <m/>
    <s v="Granel Sólido"/>
    <m/>
    <m/>
    <s v="ENERO '22"/>
    <x v="0"/>
    <d v="1899-12-30T00:00:00"/>
    <d v="2022-01-09T00:00:00"/>
    <d v="2022-02-08T00:00:00"/>
    <x v="799"/>
    <d v="2022-02-10T00:00:00"/>
    <m/>
    <x v="865"/>
    <n v="2"/>
    <n v="2022"/>
    <x v="0"/>
    <x v="0"/>
    <s v="ZHANGJIAGANG / CHINA"/>
    <x v="0"/>
    <m/>
    <x v="2"/>
    <x v="1319"/>
    <d v="2022-01-09T00:00:00"/>
    <s v="GW ELENI"/>
    <x v="375"/>
    <x v="0"/>
    <m/>
    <s v="PENDIENTE"/>
    <m/>
    <m/>
    <m/>
    <m/>
    <x v="0"/>
    <m/>
    <m/>
    <x v="39"/>
    <x v="26"/>
    <s v="URGENTE"/>
    <s v="VERDE"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797"/>
    <m/>
    <x v="1524"/>
    <m/>
    <d v="2022-02-16T00:00:00"/>
    <d v="2022-02-16T00:00:00"/>
    <s v="CERRADO"/>
    <n v="203616"/>
    <x v="15"/>
    <x v="25"/>
    <x v="821"/>
    <d v="2022-01-05T00:00:00"/>
    <n v="180"/>
    <s v="días BL"/>
    <s v="TGOA-AS-220109-F"/>
    <m/>
    <d v="2022-01-21T00:00:00"/>
    <s v="CANCELADO"/>
    <s v="CFR"/>
    <m/>
    <x v="127"/>
    <n v="516.42999999999995"/>
    <n v="66.400000000000006"/>
    <x v="1484"/>
    <x v="3"/>
    <s v="Granel"/>
    <m/>
    <s v="Granel Sólido"/>
    <m/>
    <m/>
    <s v="ENERO '22"/>
    <x v="0"/>
    <d v="1899-12-30T00:00:00"/>
    <d v="2022-01-09T00:00:00"/>
    <d v="2022-02-12T00:00:00"/>
    <x v="800"/>
    <d v="2022-02-14T00:00:00"/>
    <m/>
    <x v="866"/>
    <n v="2"/>
    <n v="2022"/>
    <x v="0"/>
    <x v="0"/>
    <s v="ZHANGJIAGANG / CHINA"/>
    <x v="1"/>
    <m/>
    <x v="2"/>
    <x v="1320"/>
    <d v="2022-01-09T00:00:00"/>
    <s v="GW ELENI"/>
    <x v="375"/>
    <x v="0"/>
    <m/>
    <s v="PENDIENTE"/>
    <m/>
    <m/>
    <m/>
    <m/>
    <x v="0"/>
    <m/>
    <m/>
    <x v="40"/>
    <x v="27"/>
    <s v="URGENTE"/>
    <s v="VERDE"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798"/>
    <m/>
    <x v="1525"/>
    <m/>
    <d v="2022-02-21T00:00:00"/>
    <d v="2022-02-21T00:00:00"/>
    <s v="CERRADO"/>
    <n v="203616"/>
    <x v="15"/>
    <x v="25"/>
    <x v="821"/>
    <d v="2022-01-05T00:00:00"/>
    <n v="180"/>
    <s v="días BL"/>
    <s v="TGOA-AS-220109-G"/>
    <m/>
    <d v="2022-01-21T00:00:00"/>
    <s v="CANCELADO"/>
    <s v="CFR"/>
    <m/>
    <x v="11"/>
    <n v="516.42999999999995"/>
    <n v="66.400000000000006"/>
    <x v="1485"/>
    <x v="3"/>
    <s v="Granel"/>
    <m/>
    <s v="Granel Sólido"/>
    <m/>
    <m/>
    <s v="ENERO '22"/>
    <x v="0"/>
    <d v="1899-12-30T00:00:00"/>
    <d v="2022-01-09T00:00:00"/>
    <d v="2022-02-15T00:00:00"/>
    <x v="801"/>
    <d v="2022-02-17T00:00:00"/>
    <m/>
    <x v="765"/>
    <n v="2"/>
    <n v="2022"/>
    <x v="0"/>
    <x v="0"/>
    <s v="ZHANGJIAGANG / CHINA"/>
    <x v="2"/>
    <m/>
    <x v="6"/>
    <x v="1321"/>
    <d v="2022-01-09T00:00:00"/>
    <s v="GW ELENI"/>
    <x v="375"/>
    <x v="0"/>
    <m/>
    <s v="PENDIENTE"/>
    <m/>
    <m/>
    <m/>
    <m/>
    <x v="0"/>
    <m/>
    <m/>
    <x v="41"/>
    <x v="28"/>
    <s v="URGENTE"/>
    <s v="VERDE"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799"/>
    <m/>
    <x v="1526"/>
    <m/>
    <d v="2022-02-22T00:00:00"/>
    <d v="2022-02-22T00:00:00"/>
    <s v="CERRADO"/>
    <n v="203616"/>
    <x v="15"/>
    <x v="25"/>
    <x v="821"/>
    <d v="2022-01-05T00:00:00"/>
    <n v="180"/>
    <s v="días BL"/>
    <s v="TGOA-AS-220109-H"/>
    <m/>
    <d v="2022-01-21T00:00:00"/>
    <s v="CANCELADO"/>
    <s v="CFR"/>
    <m/>
    <x v="70"/>
    <n v="516.42999999999995"/>
    <n v="66.400000000000006"/>
    <x v="1486"/>
    <x v="3"/>
    <s v="Granel"/>
    <m/>
    <s v="Granel Sólido"/>
    <m/>
    <m/>
    <s v="ENERO '22"/>
    <x v="0"/>
    <d v="1899-12-30T00:00:00"/>
    <d v="2022-01-09T00:00:00"/>
    <d v="2022-02-19T00:00:00"/>
    <x v="718"/>
    <d v="2022-02-20T00:00:00"/>
    <m/>
    <x v="766"/>
    <n v="2"/>
    <n v="2022"/>
    <x v="0"/>
    <x v="0"/>
    <s v="ZHANGJIAGANG / CHINA"/>
    <x v="4"/>
    <m/>
    <x v="2"/>
    <x v="1322"/>
    <d v="2022-01-09T00:00:00"/>
    <s v="GW ELENI"/>
    <x v="375"/>
    <x v="0"/>
    <m/>
    <s v="PENDIENTE"/>
    <m/>
    <m/>
    <m/>
    <m/>
    <x v="0"/>
    <m/>
    <m/>
    <x v="42"/>
    <x v="29"/>
    <s v="URGENTE"/>
    <s v="ROJO"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800"/>
    <m/>
    <x v="1527"/>
    <m/>
    <d v="2022-02-11T00:00:00"/>
    <d v="2022-02-11T00:00:00"/>
    <s v="CERRADO"/>
    <n v="208300"/>
    <x v="47"/>
    <x v="25"/>
    <x v="821"/>
    <d v="2022-01-05T00:00:00"/>
    <n v="180"/>
    <s v="días BL"/>
    <s v="TGOA-GAS-220109-E"/>
    <m/>
    <d v="2022-01-21T00:00:00"/>
    <s v="CANCELADO"/>
    <s v="CFR"/>
    <m/>
    <x v="92"/>
    <n v="602.5"/>
    <n v="66.400000000000006"/>
    <x v="1487"/>
    <x v="3"/>
    <s v="Granel"/>
    <m/>
    <s v="Granel Sólido"/>
    <m/>
    <m/>
    <s v="ENERO '22"/>
    <x v="0"/>
    <d v="1899-12-30T00:00:00"/>
    <d v="2022-01-09T00:00:00"/>
    <d v="2022-02-08T00:00:00"/>
    <x v="799"/>
    <d v="2022-02-10T00:00:00"/>
    <m/>
    <x v="865"/>
    <n v="2"/>
    <n v="2022"/>
    <x v="0"/>
    <x v="0"/>
    <s v="ZHANGJIAGANG / CHINA"/>
    <x v="0"/>
    <m/>
    <x v="2"/>
    <x v="1323"/>
    <d v="2022-01-09T00:00:00"/>
    <s v="GW ELENI"/>
    <x v="375"/>
    <x v="0"/>
    <m/>
    <s v="PENDIENTE"/>
    <m/>
    <m/>
    <m/>
    <m/>
    <x v="0"/>
    <m/>
    <m/>
    <x v="43"/>
    <x v="26"/>
    <s v="URGENTE"/>
    <s v="ROJO"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801"/>
    <m/>
    <x v="1528"/>
    <m/>
    <d v="2022-02-21T00:00:00"/>
    <d v="2022-02-21T00:00:00"/>
    <s v="CERRADO"/>
    <n v="208300"/>
    <x v="47"/>
    <x v="25"/>
    <x v="821"/>
    <d v="2022-01-05T00:00:00"/>
    <n v="180"/>
    <s v="días BL"/>
    <s v="TGOA-GAS-220109-F"/>
    <m/>
    <d v="2022-01-21T00:00:00"/>
    <s v="CANCELADO"/>
    <s v="CFR"/>
    <m/>
    <x v="92"/>
    <n v="602.5"/>
    <n v="66.400000000000006"/>
    <x v="1487"/>
    <x v="3"/>
    <s v="Granel"/>
    <m/>
    <s v="Granel Sólido"/>
    <m/>
    <m/>
    <s v="ENERO '22"/>
    <x v="0"/>
    <d v="1899-12-30T00:00:00"/>
    <d v="2022-01-09T00:00:00"/>
    <d v="2022-02-15T00:00:00"/>
    <x v="801"/>
    <d v="2022-02-17T00:00:00"/>
    <m/>
    <x v="765"/>
    <n v="2"/>
    <n v="2022"/>
    <x v="0"/>
    <x v="0"/>
    <s v="ZHANGJIAGANG / CHINA"/>
    <x v="2"/>
    <m/>
    <x v="3"/>
    <x v="1324"/>
    <d v="2022-01-09T00:00:00"/>
    <s v="GW ELENI"/>
    <x v="375"/>
    <x v="0"/>
    <m/>
    <s v="PENDIENTE"/>
    <m/>
    <m/>
    <m/>
    <m/>
    <x v="0"/>
    <m/>
    <m/>
    <x v="44"/>
    <x v="28"/>
    <s v="URGENTE"/>
    <s v="VERDE"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802"/>
    <m/>
    <x v="1529"/>
    <m/>
    <d v="2022-02-22T00:00:00"/>
    <d v="2022-02-22T00:00:00"/>
    <s v="CERRADO"/>
    <n v="208300"/>
    <x v="47"/>
    <x v="25"/>
    <x v="821"/>
    <d v="2022-01-05T00:00:00"/>
    <n v="180"/>
    <s v="días BL"/>
    <s v="TGOA-GAS-220109-G"/>
    <m/>
    <d v="2022-01-21T00:00:00"/>
    <s v="CANCELADO"/>
    <s v="CFR"/>
    <m/>
    <x v="1"/>
    <n v="602.5"/>
    <n v="66.400000000000006"/>
    <x v="381"/>
    <x v="3"/>
    <s v="Granel"/>
    <m/>
    <s v="Granel Sólido"/>
    <m/>
    <m/>
    <s v="ENERO '22"/>
    <x v="0"/>
    <d v="1899-12-30T00:00:00"/>
    <d v="2022-01-09T00:00:00"/>
    <d v="2022-02-19T00:00:00"/>
    <x v="718"/>
    <d v="2022-02-20T00:00:00"/>
    <m/>
    <x v="766"/>
    <n v="2"/>
    <n v="2022"/>
    <x v="0"/>
    <x v="0"/>
    <s v="ZHANGJIAGANG / CHINA"/>
    <x v="4"/>
    <m/>
    <x v="2"/>
    <x v="1325"/>
    <d v="2022-01-09T00:00:00"/>
    <s v="GW ELENI"/>
    <x v="375"/>
    <x v="0"/>
    <m/>
    <s v="PENDIENTE"/>
    <m/>
    <m/>
    <m/>
    <m/>
    <x v="0"/>
    <m/>
    <m/>
    <x v="45"/>
    <x v="29"/>
    <s v="URGENTE"/>
    <s v="NARANJA"/>
    <x v="0"/>
    <s v="PENDIENTE"/>
    <m/>
    <m/>
    <m/>
    <m/>
    <m/>
    <x v="0"/>
    <m/>
    <m/>
    <m/>
    <m/>
    <s v="NACIONALIZADO"/>
    <m/>
    <m/>
    <m/>
  </r>
  <r>
    <n v="2021"/>
    <s v="T-S"/>
    <x v="0"/>
    <x v="0"/>
    <s v="URGENTE"/>
    <m/>
    <x v="1803"/>
    <m/>
    <x v="1530"/>
    <m/>
    <d v="2022-02-03T00:00:00"/>
    <d v="2022-02-03T00:00:00"/>
    <s v="CERRADO"/>
    <n v="207579"/>
    <x v="9"/>
    <x v="19"/>
    <x v="822"/>
    <d v="2021-11-11T00:00:00"/>
    <n v="90"/>
    <s v="días BL"/>
    <s v="SG-MNL-12329-42"/>
    <m/>
    <d v="2022-03-17T00:00:00"/>
    <s v="CANCELADO"/>
    <s v="CFR"/>
    <m/>
    <x v="3"/>
    <n v="449"/>
    <m/>
    <x v="1488"/>
    <x v="3"/>
    <s v="Granel - BB"/>
    <m/>
    <s v="25 kg"/>
    <m/>
    <m/>
    <s v="DICIEMBRE '21"/>
    <x v="0"/>
    <d v="1899-12-30T00:00:00"/>
    <d v="2021-12-17T00:00:00"/>
    <d v="2022-01-30T00:00:00"/>
    <x v="776"/>
    <d v="2022-02-02T00:00:00"/>
    <m/>
    <x v="867"/>
    <n v="2"/>
    <n v="2022"/>
    <x v="0"/>
    <x v="0"/>
    <s v="XINGANG / CHINA"/>
    <x v="3"/>
    <m/>
    <x v="1"/>
    <x v="1326"/>
    <d v="2021-12-17T00:00:00"/>
    <s v="ROYAL CHIBA"/>
    <x v="362"/>
    <x v="0"/>
    <m/>
    <s v="PENDIENTE"/>
    <m/>
    <m/>
    <m/>
    <m/>
    <x v="0"/>
    <m/>
    <m/>
    <x v="46"/>
    <x v="19"/>
    <s v="SADA DD"/>
    <s v="VERDE"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804"/>
    <m/>
    <x v="1531"/>
    <m/>
    <d v="2022-02-03T00:00:00"/>
    <d v="2022-02-03T00:00:00"/>
    <s v="CERRADO"/>
    <n v="206914"/>
    <x v="12"/>
    <x v="19"/>
    <x v="823"/>
    <d v="2021-11-13T00:00:00"/>
    <n v="90"/>
    <s v="días BL"/>
    <s v="SG-MSL-12329-43A"/>
    <m/>
    <d v="2022-03-17T00:00:00"/>
    <s v="CANCELADO"/>
    <s v="CFR"/>
    <m/>
    <x v="647"/>
    <n v="311"/>
    <m/>
    <x v="1489"/>
    <x v="3"/>
    <s v="Granel - BB"/>
    <m/>
    <s v="25 kg"/>
    <m/>
    <m/>
    <s v="ENERO '22"/>
    <x v="0"/>
    <d v="1899-12-30T00:00:00"/>
    <d v="2021-12-17T00:00:00"/>
    <d v="2022-01-30T00:00:00"/>
    <x v="776"/>
    <d v="2022-02-02T00:00:00"/>
    <m/>
    <x v="812"/>
    <n v="2"/>
    <n v="2022"/>
    <x v="0"/>
    <x v="0"/>
    <s v="XINGANG / CHINA"/>
    <x v="3"/>
    <m/>
    <x v="1"/>
    <x v="1327"/>
    <d v="2021-12-17T00:00:00"/>
    <s v="ROYAL CHIBA"/>
    <x v="362"/>
    <x v="0"/>
    <m/>
    <s v="PENDIENTE"/>
    <m/>
    <m/>
    <m/>
    <m/>
    <x v="0"/>
    <m/>
    <m/>
    <x v="47"/>
    <x v="19"/>
    <s v="SADA DD"/>
    <s v="VERDE"/>
    <x v="0"/>
    <s v="PENDIENTE"/>
    <m/>
    <m/>
    <m/>
    <m/>
    <m/>
    <x v="0"/>
    <m/>
    <m/>
    <m/>
    <m/>
    <s v="NACIONALIZADO"/>
    <m/>
    <m/>
    <m/>
  </r>
  <r>
    <n v="2021"/>
    <s v="T-S"/>
    <x v="0"/>
    <x v="0"/>
    <m/>
    <m/>
    <x v="1805"/>
    <m/>
    <x v="1532"/>
    <m/>
    <d v="2022-03-06T00:00:00"/>
    <d v="2022-03-10T00:00:00"/>
    <s v="CERRADO"/>
    <n v="206914"/>
    <x v="12"/>
    <x v="19"/>
    <x v="823"/>
    <d v="2021-11-12T00:00:00"/>
    <n v="90"/>
    <s v="días BL"/>
    <s v="SG-MSL-12329-43B"/>
    <m/>
    <d v="2022-04-06T00:00:00"/>
    <s v="CANCELADO"/>
    <s v="CFR"/>
    <s v="FILO"/>
    <x v="648"/>
    <n v="311"/>
    <n v="1068.37813504823"/>
    <x v="1490"/>
    <x v="3"/>
    <s v="Granel - BB"/>
    <m/>
    <s v="25 kg"/>
    <m/>
    <m/>
    <s v="ENERO '22"/>
    <x v="0"/>
    <d v="1899-12-30T00:00:00"/>
    <d v="2022-01-06T00:00:00"/>
    <d v="2022-03-01T00:00:00"/>
    <x v="802"/>
    <d v="2022-03-02T00:00:00"/>
    <m/>
    <x v="780"/>
    <n v="3"/>
    <n v="2022"/>
    <x v="0"/>
    <x v="0"/>
    <s v="XINGANG / CHINA"/>
    <x v="3"/>
    <m/>
    <x v="1"/>
    <x v="1328"/>
    <d v="2022-01-06T00:00:00"/>
    <s v="GLOBAL SPLENDOUR"/>
    <x v="376"/>
    <x v="0"/>
    <m/>
    <s v="PENDIENTE"/>
    <s v="ORIGEN"/>
    <m/>
    <m/>
    <m/>
    <x v="0"/>
    <m/>
    <m/>
    <x v="48"/>
    <x v="20"/>
    <s v="SADA DD"/>
    <s v="VERDE"/>
    <x v="0"/>
    <s v="PENDIENTE"/>
    <m/>
    <m/>
    <m/>
    <m/>
    <m/>
    <x v="0"/>
    <m/>
    <m/>
    <m/>
    <m/>
    <s v="NACIONALIZADO"/>
    <m/>
    <m/>
    <m/>
  </r>
  <r>
    <n v="2021"/>
    <s v="S-S"/>
    <x v="0"/>
    <x v="0"/>
    <m/>
    <m/>
    <x v="1806"/>
    <s v="2021-849"/>
    <x v="1533"/>
    <m/>
    <d v="2022-04-25T00:00:00"/>
    <d v="2022-05-02T00:00:00"/>
    <s v="CERRADO"/>
    <n v="206713"/>
    <x v="3"/>
    <x v="51"/>
    <x v="824"/>
    <d v="2021-12-02T00:00:00"/>
    <s v="CAD"/>
    <m/>
    <s v="5000924"/>
    <d v="2022-03-01T00:00:00"/>
    <m/>
    <s v="CANCELADO"/>
    <s v="CFR"/>
    <s v="FIO - CQD"/>
    <x v="649"/>
    <n v="1028.5"/>
    <n v="171.5"/>
    <x v="1491"/>
    <x v="3"/>
    <s v="Granel - BB"/>
    <m/>
    <s v="BB - Granel"/>
    <n v="1.2"/>
    <s v="-"/>
    <s v="ENERO - FEBRERO 22'"/>
    <x v="0"/>
    <d v="1899-12-30T00:00:00"/>
    <d v="2022-03-01T00:00:00"/>
    <d v="2022-04-21T00:00:00"/>
    <x v="803"/>
    <d v="2022-04-23T00:00:00"/>
    <d v="2022-04-29T00:00:00"/>
    <x v="868"/>
    <n v="4"/>
    <n v="2022"/>
    <x v="0"/>
    <x v="6"/>
    <s v="SUAO"/>
    <x v="1"/>
    <s v="CANOPUS"/>
    <x v="2"/>
    <x v="1329"/>
    <d v="2022-03-01T00:00:00"/>
    <s v="MV OBROVAC"/>
    <x v="377"/>
    <x v="0"/>
    <s v="CANOPUS"/>
    <s v="PENDIENTE"/>
    <m/>
    <m/>
    <m/>
    <m/>
    <x v="0"/>
    <m/>
    <m/>
    <x v="49"/>
    <x v="30"/>
    <s v="SADA DD "/>
    <s v="VERDE"/>
    <x v="0"/>
    <s v="OK"/>
    <m/>
    <m/>
    <m/>
    <m/>
    <m/>
    <x v="0"/>
    <s v="Limpieza de bodega USD 538.41 (prorratear con MF-010/22)"/>
    <m/>
    <m/>
    <m/>
    <s v="NACIONALIZADO"/>
    <m/>
    <m/>
    <m/>
  </r>
  <r>
    <n v="2021"/>
    <s v="S-S"/>
    <x v="0"/>
    <x v="0"/>
    <m/>
    <m/>
    <x v="1807"/>
    <s v="2021-849"/>
    <x v="1534"/>
    <m/>
    <d v="2022-05-02T00:00:00"/>
    <d v="1899-12-30T00:00:00"/>
    <s v="CERRADO"/>
    <n v="206713"/>
    <x v="3"/>
    <x v="51"/>
    <x v="824"/>
    <d v="2021-12-02T00:00:00"/>
    <s v="CAD"/>
    <m/>
    <s v="5000923"/>
    <d v="2022-03-01T00:00:00"/>
    <m/>
    <s v="CANCELADO"/>
    <s v="CFR"/>
    <s v="FIO - CQD"/>
    <x v="650"/>
    <n v="1028.5"/>
    <n v="171.5"/>
    <x v="1492"/>
    <x v="3"/>
    <s v="Granel - BB"/>
    <m/>
    <s v="BB - Granel"/>
    <n v="1.2"/>
    <s v="-"/>
    <s v="ENERO - FEBRERO 22'"/>
    <x v="0"/>
    <d v="1899-12-30T00:00:00"/>
    <d v="2022-03-01T00:00:00"/>
    <d v="2022-05-02T00:00:00"/>
    <x v="804"/>
    <d v="2022-05-02T00:00:00"/>
    <d v="2022-05-02T00:00:00"/>
    <x v="799"/>
    <n v="5"/>
    <n v="2022"/>
    <x v="0"/>
    <x v="6"/>
    <s v="SUAO"/>
    <x v="3"/>
    <s v="CANOPUS"/>
    <x v="1"/>
    <x v="1330"/>
    <d v="2022-03-01T00:00:00"/>
    <s v="MV OBROVAC"/>
    <x v="377"/>
    <x v="0"/>
    <s v="CANOPUS"/>
    <s v="PENDIENTE"/>
    <m/>
    <m/>
    <m/>
    <m/>
    <x v="0"/>
    <m/>
    <m/>
    <x v="50"/>
    <x v="31"/>
    <s v="SADA DD"/>
    <s v="VERDE"/>
    <x v="0"/>
    <s v="OK"/>
    <m/>
    <m/>
    <m/>
    <m/>
    <m/>
    <x v="0"/>
    <s v="Costo de desconsolidación por PEN 5/TM?. ANULAR OC 8000001894"/>
    <m/>
    <m/>
    <m/>
    <s v="NACIONALIZADO"/>
    <m/>
    <m/>
    <m/>
  </r>
  <r>
    <n v="2021"/>
    <s v="E-S"/>
    <x v="0"/>
    <x v="0"/>
    <m/>
    <m/>
    <x v="1808"/>
    <m/>
    <x v="1535"/>
    <m/>
    <d v="2022-02-15T00:00:00"/>
    <d v="2022-02-15T00:00:00"/>
    <s v="CERRADO"/>
    <s v="204826"/>
    <x v="48"/>
    <x v="66"/>
    <x v="825"/>
    <d v="2021-11-12T00:00:00"/>
    <s v="CAD"/>
    <m/>
    <s v="22CH-40100138"/>
    <m/>
    <d v="2022-01-17T00:00:00"/>
    <s v="CANCELADO"/>
    <s v="CFR"/>
    <m/>
    <x v="651"/>
    <n v="1030"/>
    <m/>
    <x v="1493"/>
    <x v="21"/>
    <s v="Contenedor 40'"/>
    <m/>
    <s v="Bigbag"/>
    <m/>
    <m/>
    <s v="2H DICIEMBRE '21"/>
    <x v="0"/>
    <d v="1899-12-30T00:00:00"/>
    <d v="2022-01-07T00:00:00"/>
    <d v="2022-02-11T00:00:00"/>
    <x v="715"/>
    <d v="2022-02-15T00:00:00"/>
    <m/>
    <x v="869"/>
    <n v="2"/>
    <n v="2022"/>
    <x v="0"/>
    <x v="0"/>
    <s v="ST. PETERSBURG / RUSSIA"/>
    <x v="2"/>
    <m/>
    <x v="3"/>
    <x v="1331"/>
    <d v="2022-01-07T00:00:00"/>
    <s v="VAYENGA MAERSK"/>
    <x v="378"/>
    <x v="3"/>
    <m/>
    <s v="PENDIENTE"/>
    <s v="DESTINO"/>
    <m/>
    <m/>
    <m/>
    <x v="0"/>
    <d v="2022-02-24T00:00:00"/>
    <m/>
    <x v="51"/>
    <x v="27"/>
    <s v="SADA DD"/>
    <s v="VERDE"/>
    <x v="0"/>
    <s v="PENDIENTE"/>
    <m/>
    <m/>
    <m/>
    <m/>
    <m/>
    <x v="0"/>
    <m/>
    <m/>
    <m/>
    <m/>
    <s v="NACIONALIZADO"/>
    <m/>
    <m/>
    <m/>
  </r>
  <r>
    <n v="2021"/>
    <s v="E-S"/>
    <x v="0"/>
    <x v="0"/>
    <m/>
    <m/>
    <x v="1809"/>
    <m/>
    <x v="1536"/>
    <m/>
    <d v="2022-02-03T00:00:00"/>
    <d v="2022-02-03T00:00:00"/>
    <s v="CERRADO"/>
    <n v="209865"/>
    <x v="49"/>
    <x v="51"/>
    <x v="826"/>
    <d v="2021-11-18T00:00:00"/>
    <n v="90"/>
    <s v="días BL"/>
    <s v="20210695"/>
    <m/>
    <d v="2022-03-31T00:00:00"/>
    <s v="CANCELADO"/>
    <s v="CPT"/>
    <m/>
    <x v="652"/>
    <n v="12859.884836852199"/>
    <m/>
    <x v="1494"/>
    <x v="11"/>
    <s v="Contenedor 20'"/>
    <m/>
    <s v="Granel Líquido"/>
    <m/>
    <m/>
    <s v="2H DIC - ENE '22"/>
    <x v="0"/>
    <d v="1899-12-30T00:00:00"/>
    <d v="2021-12-27T00:00:00"/>
    <d v="2022-01-27T00:00:00"/>
    <x v="782"/>
    <d v="2022-01-31T00:00:00"/>
    <m/>
    <x v="640"/>
    <n v="2"/>
    <n v="2022"/>
    <x v="0"/>
    <x v="0"/>
    <s v="BARCELONA / ESPAÑA"/>
    <x v="2"/>
    <m/>
    <x v="1"/>
    <x v="1332"/>
    <d v="2021-12-31T00:00:00"/>
    <s v="ALEXIS"/>
    <x v="286"/>
    <x v="0"/>
    <m/>
    <s v="PENDIENTE"/>
    <s v="ORIGEN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810"/>
    <m/>
    <x v="1537"/>
    <m/>
    <d v="2022-01-10T00:00:00"/>
    <d v="2022-01-10T00:00:00"/>
    <s v="CERRADO"/>
    <n v="207951"/>
    <x v="6"/>
    <x v="37"/>
    <x v="827"/>
    <d v="2021-11-18T00:00:00"/>
    <s v="CAD"/>
    <m/>
    <s v="I-38461"/>
    <m/>
    <m/>
    <s v="CANCELADO"/>
    <s v="CFR"/>
    <m/>
    <x v="44"/>
    <n v="980"/>
    <n v="110"/>
    <x v="1495"/>
    <x v="3"/>
    <s v="Granel"/>
    <m/>
    <s v="Granel Sólido"/>
    <m/>
    <m/>
    <s v="2H NOV- 1H DIC "/>
    <x v="0"/>
    <d v="1899-12-30T00:00:00"/>
    <d v="2021-11-23T00:00:00"/>
    <d v="2022-01-08T00:00:00"/>
    <x v="805"/>
    <d v="2022-01-10T00:00:00"/>
    <m/>
    <x v="870"/>
    <n v="1"/>
    <n v="2022"/>
    <x v="0"/>
    <x v="0"/>
    <s v="KOTKA / FINLANDIA"/>
    <x v="1"/>
    <m/>
    <x v="2"/>
    <x v="52"/>
    <d v="2021-11-22T00:00:00"/>
    <s v="MV EXPLORER AFRICA "/>
    <x v="379"/>
    <x v="0"/>
    <m/>
    <s v="PENDIENTE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811"/>
    <m/>
    <x v="1538"/>
    <m/>
    <d v="2022-01-19T00:00:00"/>
    <d v="2022-01-19T00:00:00"/>
    <s v="CERRADO"/>
    <n v="207951"/>
    <x v="6"/>
    <x v="37"/>
    <x v="827"/>
    <d v="2021-11-18T00:00:00"/>
    <s v="CAD"/>
    <m/>
    <s v="I-38462"/>
    <m/>
    <m/>
    <s v="CANCELADO"/>
    <s v="CFR"/>
    <m/>
    <x v="49"/>
    <n v="980"/>
    <m/>
    <x v="1496"/>
    <x v="3"/>
    <s v="Granel"/>
    <m/>
    <s v="Granel Sólido"/>
    <m/>
    <m/>
    <s v="2H NOV- 1H DIC "/>
    <x v="0"/>
    <d v="1899-12-30T00:00:00"/>
    <d v="2021-11-23T00:00:00"/>
    <d v="2022-01-11T00:00:00"/>
    <x v="796"/>
    <d v="2022-01-14T00:00:00"/>
    <m/>
    <x v="639"/>
    <n v="1"/>
    <n v="2022"/>
    <x v="0"/>
    <x v="0"/>
    <s v="KOTKA / FINLANDIA"/>
    <x v="2"/>
    <m/>
    <x v="3"/>
    <x v="19"/>
    <d v="2021-11-22T00:00:00"/>
    <s v="MV EXPLORER AFRICA "/>
    <x v="379"/>
    <x v="0"/>
    <m/>
    <s v="PENDIENTE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812"/>
    <m/>
    <x v="1539"/>
    <m/>
    <d v="2022-01-10T00:00:00"/>
    <d v="2022-01-10T00:00:00"/>
    <s v="CERRADO"/>
    <n v="207485"/>
    <x v="13"/>
    <x v="37"/>
    <x v="828"/>
    <d v="2021-11-18T00:00:00"/>
    <s v="CAD"/>
    <m/>
    <s v="I-38472"/>
    <m/>
    <m/>
    <s v="CANCELADO"/>
    <s v="CFR"/>
    <m/>
    <x v="653"/>
    <n v="990"/>
    <n v="110"/>
    <x v="1497"/>
    <x v="3"/>
    <s v="Granel"/>
    <m/>
    <s v="Granel Sólido"/>
    <m/>
    <m/>
    <s v="2H NOV- 1H DIC "/>
    <x v="0"/>
    <d v="1899-12-30T00:00:00"/>
    <d v="2021-11-23T00:00:00"/>
    <d v="2022-01-08T00:00:00"/>
    <x v="805"/>
    <d v="2022-01-10T00:00:00"/>
    <m/>
    <x v="870"/>
    <n v="1"/>
    <n v="2022"/>
    <x v="0"/>
    <x v="0"/>
    <s v="KOTKA / FINLANDIA"/>
    <x v="1"/>
    <m/>
    <x v="2"/>
    <x v="12"/>
    <d v="2021-11-21T00:00:00"/>
    <s v="MV EXPLORER AFRICA "/>
    <x v="379"/>
    <x v="0"/>
    <m/>
    <s v="PENDIENTE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813"/>
    <m/>
    <x v="1540"/>
    <m/>
    <d v="2022-01-10T00:00:00"/>
    <d v="2022-01-10T00:00:00"/>
    <s v="CERRADO"/>
    <n v="207485"/>
    <x v="13"/>
    <x v="37"/>
    <x v="828"/>
    <d v="2021-11-18T00:00:00"/>
    <s v="CAD"/>
    <m/>
    <s v="I-38473"/>
    <m/>
    <m/>
    <s v="CANCELADO"/>
    <s v="CFR"/>
    <m/>
    <x v="467"/>
    <n v="990"/>
    <n v="110"/>
    <x v="1498"/>
    <x v="3"/>
    <s v="Granel"/>
    <m/>
    <s v="Granel Sólido"/>
    <m/>
    <m/>
    <s v="2H NOV- 1H DIC "/>
    <x v="0"/>
    <d v="1899-12-30T00:00:00"/>
    <d v="2021-11-23T00:00:00"/>
    <d v="2022-01-08T00:00:00"/>
    <x v="805"/>
    <d v="2022-01-10T00:00:00"/>
    <m/>
    <x v="870"/>
    <n v="1"/>
    <n v="2022"/>
    <x v="0"/>
    <x v="0"/>
    <s v="KOTKA / FINLANDIA"/>
    <x v="1"/>
    <m/>
    <x v="2"/>
    <x v="13"/>
    <d v="2021-11-21T00:00:00"/>
    <s v="MV EXPLORER AFRICA "/>
    <x v="379"/>
    <x v="0"/>
    <m/>
    <s v="PENDIENTE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G-S"/>
    <x v="0"/>
    <x v="0"/>
    <m/>
    <m/>
    <x v="1814"/>
    <m/>
    <x v="1541"/>
    <m/>
    <d v="2022-01-19T00:00:00"/>
    <d v="2022-01-19T00:00:00"/>
    <s v="CERRADO"/>
    <n v="207485"/>
    <x v="13"/>
    <x v="37"/>
    <x v="828"/>
    <d v="2021-11-18T00:00:00"/>
    <s v="CAD"/>
    <m/>
    <s v="I-38474"/>
    <m/>
    <m/>
    <s v="CANCELADO"/>
    <s v="CFR"/>
    <m/>
    <x v="208"/>
    <n v="990"/>
    <m/>
    <x v="1499"/>
    <x v="3"/>
    <s v="Granel"/>
    <m/>
    <s v="Granel Sólido"/>
    <m/>
    <m/>
    <s v="2H NOV- 1H DIC "/>
    <x v="0"/>
    <d v="1899-12-30T00:00:00"/>
    <d v="2021-11-23T00:00:00"/>
    <d v="2022-01-11T00:00:00"/>
    <x v="796"/>
    <d v="2022-01-14T00:00:00"/>
    <m/>
    <x v="639"/>
    <n v="1"/>
    <n v="2022"/>
    <x v="0"/>
    <x v="0"/>
    <s v="KOTKA / FINLANDIA"/>
    <x v="2"/>
    <m/>
    <x v="6"/>
    <x v="14"/>
    <d v="2021-11-21T00:00:00"/>
    <s v="MV EXPLORER AFRICA "/>
    <x v="379"/>
    <x v="0"/>
    <m/>
    <s v="PENDIENTE"/>
    <m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e v="#N/A"/>
    <x v="0"/>
    <x v="0"/>
    <m/>
    <m/>
    <x v="1815"/>
    <m/>
    <x v="1542"/>
    <m/>
    <d v="2022-02-15T00:00:00"/>
    <d v="2022-03-14T00:00:00"/>
    <s v="CERRADO"/>
    <n v="203583"/>
    <x v="149"/>
    <x v="67"/>
    <x v="72"/>
    <d v="2021-11-16T00:00:00"/>
    <n v="90"/>
    <s v="días BL"/>
    <s v="INV220010"/>
    <m/>
    <d v="2022-04-19T00:00:00"/>
    <s v="CANCELADO"/>
    <s v="CFR"/>
    <m/>
    <x v="654"/>
    <n v="2327.1736785328999"/>
    <m/>
    <x v="1500"/>
    <x v="3"/>
    <s v="Contenedor 20'"/>
    <m/>
    <s v="10 LT"/>
    <s v="-"/>
    <s v="ALGARIUM"/>
    <s v="DICIEMBRE '21"/>
    <x v="0"/>
    <d v="2021-12-20T00:00:00"/>
    <d v="2022-01-18T00:00:00"/>
    <e v="#REF!"/>
    <x v="806"/>
    <d v="2022-03-08T00:00:00"/>
    <m/>
    <x v="871"/>
    <n v="3"/>
    <n v="2022"/>
    <x v="0"/>
    <x v="7"/>
    <s v="DUBLIN"/>
    <x v="2"/>
    <m/>
    <x v="3"/>
    <x v="1333"/>
    <d v="2022-02-06T00:00:00"/>
    <s v="SANTOS EXPRESS"/>
    <x v="184"/>
    <x v="41"/>
    <m/>
    <s v="NO APLICA"/>
    <m/>
    <m/>
    <m/>
    <m/>
    <x v="0"/>
    <m/>
    <m/>
    <x v="52"/>
    <x v="32"/>
    <s v="SADA PL"/>
    <s v="VERDE"/>
    <x v="0"/>
    <e v="#REF!"/>
    <m/>
    <m/>
    <m/>
    <m/>
    <m/>
    <x v="0"/>
    <m/>
    <m/>
    <m/>
    <m/>
    <s v="NACIONALIZADO"/>
    <m/>
    <m/>
    <m/>
  </r>
  <r>
    <n v="2021"/>
    <s v="T-S"/>
    <x v="1"/>
    <x v="3"/>
    <s v="NORMAL"/>
    <m/>
    <x v="1816"/>
    <s v="2022-214"/>
    <x v="1543"/>
    <d v="2021-11-26T00:00:00"/>
    <m/>
    <m/>
    <s v="PENDIENTE"/>
    <n v="203557"/>
    <x v="150"/>
    <x v="53"/>
    <x v="829"/>
    <d v="2021-11-26T00:00:00"/>
    <s v="CAD"/>
    <m/>
    <m/>
    <m/>
    <m/>
    <s v="PENDIENTE"/>
    <s v="CFR"/>
    <s v="N/A"/>
    <x v="655"/>
    <n v="6050"/>
    <m/>
    <x v="1501"/>
    <x v="11"/>
    <s v="Contenedor 20'"/>
    <m/>
    <s v="1 LT"/>
    <s v="-"/>
    <s v="YARAVITA CROP BOOST"/>
    <s v="ENERO '22"/>
    <x v="1"/>
    <d v="2022-05-06T00:00:00"/>
    <d v="2022-06-20T00:00:00"/>
    <d v="2022-07-28T00:00:00"/>
    <x v="807"/>
    <d v="2022-08-01T00:00:00"/>
    <m/>
    <x v="872"/>
    <n v="8"/>
    <n v="2022"/>
    <x v="2"/>
    <x v="8"/>
    <s v="POCKLINGTON"/>
    <x v="2"/>
    <m/>
    <x v="3"/>
    <x v="29"/>
    <m/>
    <s v="CMA CGM CARL ANTOINE"/>
    <x v="15"/>
    <x v="2"/>
    <s v="TRAMARSA"/>
    <s v="PENDIENTE"/>
    <s v="DESTINO"/>
    <m/>
    <m/>
    <m/>
    <x v="0"/>
    <m/>
    <m/>
    <x v="0"/>
    <x v="0"/>
    <m/>
    <m/>
    <x v="0"/>
    <e v="#REF!"/>
    <s v="N/A"/>
    <s v="N/A"/>
    <s v="N/A"/>
    <s v="N/A"/>
    <s v="N/A"/>
    <x v="1"/>
    <m/>
    <m/>
    <m/>
    <m/>
    <m/>
    <m/>
    <m/>
    <m/>
  </r>
  <r>
    <n v="2021"/>
    <s v="T-S"/>
    <x v="1"/>
    <x v="3"/>
    <s v="NORMAL"/>
    <m/>
    <x v="1817"/>
    <s v="2022-214"/>
    <x v="1544"/>
    <d v="2022-05-24T00:00:00"/>
    <m/>
    <m/>
    <s v="PENDIENTE"/>
    <n v="203558"/>
    <x v="151"/>
    <x v="53"/>
    <x v="829"/>
    <d v="2021-11-26T00:00:00"/>
    <s v="CAD"/>
    <m/>
    <m/>
    <m/>
    <m/>
    <s v="PENDIENTE"/>
    <s v="CFR"/>
    <s v="N/A"/>
    <x v="656"/>
    <n v="5300"/>
    <m/>
    <x v="1502"/>
    <x v="11"/>
    <s v="Contenedor 20'"/>
    <m/>
    <s v="10 LT"/>
    <s v="-"/>
    <s v="YARAVITA CROP BOOST"/>
    <s v="ENERO '22"/>
    <x v="1"/>
    <d v="2022-05-06T00:00:00"/>
    <d v="2022-06-20T00:00:00"/>
    <d v="2022-07-28T00:00:00"/>
    <x v="807"/>
    <d v="2022-08-01T00:00:00"/>
    <m/>
    <x v="872"/>
    <n v="8"/>
    <n v="2022"/>
    <x v="2"/>
    <x v="8"/>
    <s v="POCKLINGTON"/>
    <x v="2"/>
    <m/>
    <x v="3"/>
    <x v="29"/>
    <m/>
    <s v="CMA CGM CARL ANTOINE"/>
    <x v="15"/>
    <x v="2"/>
    <s v="TRAMARSA"/>
    <s v="PENDIENTE"/>
    <s v="DESTINO"/>
    <m/>
    <m/>
    <m/>
    <x v="0"/>
    <m/>
    <m/>
    <x v="0"/>
    <x v="0"/>
    <m/>
    <m/>
    <x v="0"/>
    <e v="#REF!"/>
    <s v="N/A"/>
    <s v="N/A"/>
    <s v="N/A"/>
    <s v="N/A"/>
    <s v="N/A"/>
    <x v="1"/>
    <m/>
    <m/>
    <m/>
    <m/>
    <m/>
    <m/>
    <m/>
    <m/>
  </r>
  <r>
    <n v="2021"/>
    <s v="T-S"/>
    <x v="1"/>
    <x v="3"/>
    <s v="NORMAL"/>
    <m/>
    <x v="1818"/>
    <s v="2022-214"/>
    <x v="1545"/>
    <d v="2021-11-26T00:00:00"/>
    <m/>
    <m/>
    <s v="PENDIENTE"/>
    <n v="208077"/>
    <x v="152"/>
    <x v="53"/>
    <x v="829"/>
    <d v="2021-11-26T00:00:00"/>
    <s v="CAD"/>
    <m/>
    <m/>
    <m/>
    <m/>
    <s v="PENDIENTE"/>
    <s v="CFR"/>
    <s v="N/A"/>
    <x v="357"/>
    <n v="5600"/>
    <m/>
    <x v="1503"/>
    <x v="11"/>
    <s v="Contenedor 20'"/>
    <m/>
    <s v="10 LT"/>
    <s v="-"/>
    <s v="YARAVITA BUD BUILDER"/>
    <s v="ENERO '22"/>
    <x v="1"/>
    <d v="2022-05-06T00:00:00"/>
    <d v="2022-06-20T00:00:00"/>
    <d v="2022-07-28T00:00:00"/>
    <x v="807"/>
    <d v="2022-08-01T00:00:00"/>
    <m/>
    <x v="873"/>
    <n v="8"/>
    <n v="2022"/>
    <x v="2"/>
    <x v="8"/>
    <s v="POCKLINGTON"/>
    <x v="2"/>
    <m/>
    <x v="3"/>
    <x v="29"/>
    <m/>
    <s v="CMA CGM CARL ANTOINE"/>
    <x v="15"/>
    <x v="2"/>
    <s v="TRAMARSA"/>
    <s v="PENDIENTE"/>
    <s v="DESTINO"/>
    <m/>
    <m/>
    <m/>
    <x v="0"/>
    <m/>
    <m/>
    <x v="0"/>
    <x v="0"/>
    <m/>
    <m/>
    <x v="0"/>
    <e v="#REF!"/>
    <s v="N/A"/>
    <s v="N/A"/>
    <s v="N/A"/>
    <s v="N/A"/>
    <s v="N/A"/>
    <x v="1"/>
    <m/>
    <m/>
    <m/>
    <m/>
    <m/>
    <m/>
    <m/>
    <m/>
  </r>
  <r>
    <n v="2021"/>
    <m/>
    <x v="0"/>
    <x v="0"/>
    <m/>
    <m/>
    <x v="1819"/>
    <m/>
    <x v="34"/>
    <m/>
    <m/>
    <m/>
    <m/>
    <m/>
    <x v="153"/>
    <x v="67"/>
    <x v="72"/>
    <s v="-"/>
    <s v="transf."/>
    <s v="gratuita"/>
    <s v="100866"/>
    <m/>
    <s v="-"/>
    <s v="-"/>
    <s v="FOB"/>
    <m/>
    <x v="657"/>
    <n v="500"/>
    <m/>
    <x v="1504"/>
    <x v="3"/>
    <s v="Contenedor 20'"/>
    <m/>
    <s v="10 LT"/>
    <m/>
    <m/>
    <s v="NOVIEMBRE '21"/>
    <x v="0"/>
    <d v="1899-12-30T00:00:00"/>
    <d v="2021-11-23T00:00:00"/>
    <d v="2021-12-01T00:00:00"/>
    <x v="693"/>
    <d v="2021-12-02T00:00:00"/>
    <m/>
    <x v="818"/>
    <n v="12"/>
    <n v="2021"/>
    <x v="0"/>
    <x v="7"/>
    <s v="DUBLIN"/>
    <x v="2"/>
    <m/>
    <x v="0"/>
    <x v="1334"/>
    <m/>
    <s v="UPS"/>
    <x v="380"/>
    <x v="0"/>
    <m/>
    <s v="NO APLICA"/>
    <s v="DESTINO"/>
    <m/>
    <m/>
    <m/>
    <x v="0"/>
    <m/>
    <m/>
    <x v="0"/>
    <x v="0"/>
    <m/>
    <m/>
    <x v="0"/>
    <s v="OK"/>
    <m/>
    <m/>
    <m/>
    <m/>
    <m/>
    <x v="0"/>
    <m/>
    <m/>
    <m/>
    <m/>
    <s v="NACIONALIZADO"/>
    <m/>
    <m/>
    <m/>
  </r>
  <r>
    <n v="2021"/>
    <s v="O-S"/>
    <x v="0"/>
    <x v="0"/>
    <m/>
    <m/>
    <x v="1820"/>
    <s v="2022-137"/>
    <x v="1546"/>
    <m/>
    <d v="2022-03-07T00:00:00"/>
    <d v="2022-04-19T00:00:00"/>
    <s v="CERRADO"/>
    <n v="204750"/>
    <x v="120"/>
    <x v="53"/>
    <x v="830"/>
    <d v="2021-12-02T00:00:00"/>
    <s v="CAD"/>
    <m/>
    <s v="F200-43283"/>
    <d v="2022-03-25T00:00:00"/>
    <d v="2022-03-29T00:00:00"/>
    <s v="CANCELADO"/>
    <s v="CPT"/>
    <m/>
    <x v="658"/>
    <n v="943.9"/>
    <m/>
    <x v="1505"/>
    <x v="13"/>
    <s v="Contenedor 20'"/>
    <m/>
    <s v="50 kg"/>
    <s v="-"/>
    <s v="10-30-10"/>
    <s v="ENERO '22"/>
    <x v="0"/>
    <d v="1899-12-30T00:00:00"/>
    <d v="2022-03-04T00:00:00"/>
    <d v="2022-03-31T00:00:00"/>
    <x v="808"/>
    <d v="2022-04-03T00:00:00"/>
    <n v="27"/>
    <x v="855"/>
    <n v="4"/>
    <n v="2022"/>
    <x v="0"/>
    <x v="9"/>
    <s v="CARTAGENA / COLOMBIA"/>
    <x v="4"/>
    <m/>
    <x v="2"/>
    <x v="1335"/>
    <d v="2022-03-04T00:00:00"/>
    <s v="AS PATRIA"/>
    <x v="129"/>
    <x v="2"/>
    <s v="TRAMARSA"/>
    <s v="REALIZADO"/>
    <s v="DESTINO"/>
    <m/>
    <m/>
    <m/>
    <x v="0"/>
    <d v="2022-04-14T00:00:00"/>
    <m/>
    <x v="53"/>
    <x v="10"/>
    <s v="SADA DD"/>
    <s v="NARANJA"/>
    <x v="0"/>
    <e v="#REF!"/>
    <m/>
    <m/>
    <m/>
    <m/>
    <m/>
    <x v="0"/>
    <s v="Pte: Carta aclaratoria COA. OC anulada 8000001763"/>
    <m/>
    <m/>
    <m/>
    <s v="NACIONALIZADO"/>
    <m/>
    <m/>
    <m/>
  </r>
  <r>
    <n v="2021"/>
    <s v="O-S"/>
    <x v="0"/>
    <x v="0"/>
    <m/>
    <m/>
    <x v="1821"/>
    <m/>
    <x v="1547"/>
    <m/>
    <d v="2022-02-04T00:00:00"/>
    <d v="2022-02-04T00:00:00"/>
    <s v="CERRADO"/>
    <n v="204749"/>
    <x v="120"/>
    <x v="53"/>
    <x v="831"/>
    <d v="2021-12-02T00:00:00"/>
    <s v="CAD"/>
    <m/>
    <s v="F200-43252"/>
    <m/>
    <d v="2022-01-25T00:00:00"/>
    <s v="CANCELADO"/>
    <s v="CFR"/>
    <m/>
    <x v="659"/>
    <n v="889.86"/>
    <m/>
    <x v="1506"/>
    <x v="14"/>
    <s v="Contenedor 20'"/>
    <m/>
    <s v="50 kg"/>
    <m/>
    <s v="10-30-10"/>
    <s v="ENERO '22"/>
    <x v="0"/>
    <d v="1899-12-30T00:00:00"/>
    <d v="2022-01-20T00:00:00"/>
    <d v="2022-01-28T00:00:00"/>
    <x v="614"/>
    <d v="2022-01-31T00:00:00"/>
    <m/>
    <x v="874"/>
    <n v="2"/>
    <n v="2022"/>
    <x v="0"/>
    <x v="0"/>
    <s v="CARTAGENA / COLOMBIA"/>
    <x v="2"/>
    <m/>
    <x v="3"/>
    <x v="1336"/>
    <d v="2022-01-20T00:00:00"/>
    <s v="CARTAGENA EXPRESS"/>
    <x v="39"/>
    <x v="9"/>
    <m/>
    <s v="PENDIENTE"/>
    <s v="DESTINO"/>
    <m/>
    <m/>
    <m/>
    <x v="0"/>
    <m/>
    <m/>
    <x v="54"/>
    <x v="21"/>
    <s v="SADA PL"/>
    <s v="VERDE"/>
    <x v="0"/>
    <e v="#REF!"/>
    <m/>
    <m/>
    <m/>
    <m/>
    <m/>
    <x v="0"/>
    <m/>
    <m/>
    <m/>
    <m/>
    <s v="NACIONALIZADO"/>
    <m/>
    <m/>
    <m/>
  </r>
  <r>
    <n v="2021"/>
    <s v="O-S"/>
    <x v="0"/>
    <x v="0"/>
    <m/>
    <m/>
    <x v="1822"/>
    <m/>
    <x v="1548"/>
    <m/>
    <d v="2022-02-05T00:00:00"/>
    <d v="2022-02-05T00:00:00"/>
    <s v="CERRADO"/>
    <n v="204749"/>
    <x v="120"/>
    <x v="53"/>
    <x v="831"/>
    <d v="2021-12-02T00:00:00"/>
    <n v="30"/>
    <s v="días FACT."/>
    <s v="F200-43254"/>
    <m/>
    <d v="2022-02-25T00:00:00"/>
    <s v="CANCELADO"/>
    <s v="CFR"/>
    <m/>
    <x v="163"/>
    <n v="883.13"/>
    <m/>
    <x v="1507"/>
    <x v="5"/>
    <s v="Contenedor 20'"/>
    <m/>
    <s v="50 kg"/>
    <m/>
    <s v="10-30-10"/>
    <s v="ENERO '22"/>
    <x v="0"/>
    <d v="1899-12-30T00:00:00"/>
    <d v="2022-01-20T00:00:00"/>
    <d v="2022-01-28T00:00:00"/>
    <x v="614"/>
    <d v="2022-01-31T00:00:00"/>
    <m/>
    <x v="813"/>
    <n v="2"/>
    <n v="2022"/>
    <x v="0"/>
    <x v="0"/>
    <s v="CARTAGENA / COLOMBIA"/>
    <x v="2"/>
    <m/>
    <x v="3"/>
    <x v="1337"/>
    <d v="2022-01-20T00:00:00"/>
    <s v="CARTAGENA EXPRESS"/>
    <x v="39"/>
    <x v="2"/>
    <m/>
    <s v="PENDIENTE"/>
    <s v="DESTINO"/>
    <m/>
    <m/>
    <m/>
    <x v="0"/>
    <m/>
    <m/>
    <x v="55"/>
    <x v="21"/>
    <s v="SADA PL"/>
    <s v="VERDE"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823"/>
    <m/>
    <x v="1549"/>
    <m/>
    <d v="2022-02-18T00:00:00"/>
    <d v="2022-02-18T00:00:00"/>
    <s v="CERRADO"/>
    <n v="208057"/>
    <x v="121"/>
    <x v="53"/>
    <x v="832"/>
    <d v="2021-12-02T00:00:00"/>
    <s v="CAD"/>
    <m/>
    <s v="F200-43266"/>
    <m/>
    <d v="2022-02-19T00:00:00"/>
    <s v="CANCELADO"/>
    <s v="CPT"/>
    <m/>
    <x v="582"/>
    <n v="851.96"/>
    <m/>
    <x v="1508"/>
    <x v="7"/>
    <s v="Contenedor 20'"/>
    <s v="CARGA SUELTA"/>
    <s v="50 kg"/>
    <m/>
    <m/>
    <s v="ENERO '22"/>
    <x v="0"/>
    <d v="1899-12-30T00:00:00"/>
    <d v="2022-02-11T00:00:00"/>
    <d v="2022-02-15T00:00:00"/>
    <x v="801"/>
    <d v="2022-02-19T00:00:00"/>
    <m/>
    <x v="875"/>
    <n v="2"/>
    <n v="2022"/>
    <x v="0"/>
    <x v="0"/>
    <s v="CARTAGENA / COLOMBIA"/>
    <x v="0"/>
    <m/>
    <x v="2"/>
    <x v="1338"/>
    <d v="2022-02-11T00:00:00"/>
    <s v="DIMITRIS C"/>
    <x v="326"/>
    <x v="2"/>
    <m/>
    <s v="PENDIENTE"/>
    <s v="DESTINO"/>
    <m/>
    <m/>
    <m/>
    <x v="0"/>
    <m/>
    <m/>
    <x v="56"/>
    <x v="28"/>
    <s v="SADA DD"/>
    <s v="VERDE"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824"/>
    <m/>
    <x v="1550"/>
    <m/>
    <d v="2022-02-21T00:00:00"/>
    <d v="2022-02-21T00:00:00"/>
    <s v="CERRADO"/>
    <n v="208057"/>
    <x v="121"/>
    <x v="53"/>
    <x v="833"/>
    <d v="2021-12-02T00:00:00"/>
    <s v="CAD"/>
    <m/>
    <s v="F200-43263"/>
    <m/>
    <d v="2022-02-15T00:00:00"/>
    <s v="CANCELADO"/>
    <s v="CPT"/>
    <m/>
    <x v="626"/>
    <n v="835.86"/>
    <m/>
    <x v="1509"/>
    <x v="10"/>
    <s v="Contenedor 20'"/>
    <s v="CARGA SUELTA"/>
    <s v="50 kg"/>
    <m/>
    <m/>
    <s v="ENERO '22"/>
    <x v="0"/>
    <d v="1899-12-30T00:00:00"/>
    <d v="2022-01-28T00:00:00"/>
    <d v="2022-02-11T00:00:00"/>
    <x v="715"/>
    <d v="2022-02-14T00:00:00"/>
    <m/>
    <x v="765"/>
    <n v="2"/>
    <n v="2022"/>
    <x v="0"/>
    <x v="0"/>
    <s v="CARTAGENA / COLOMBIA"/>
    <x v="4"/>
    <m/>
    <x v="2"/>
    <x v="1339"/>
    <e v="#REF!"/>
    <s v="DIMITRIS C"/>
    <x v="129"/>
    <x v="2"/>
    <m/>
    <s v="PENDIENTE"/>
    <s v="DESTINO"/>
    <m/>
    <m/>
    <m/>
    <x v="0"/>
    <m/>
    <m/>
    <x v="57"/>
    <x v="33"/>
    <s v="SADA DD"/>
    <s v="VERDE"/>
    <x v="0"/>
    <e v="#REF!"/>
    <m/>
    <m/>
    <m/>
    <m/>
    <m/>
    <x v="0"/>
    <m/>
    <m/>
    <m/>
    <m/>
    <s v="NACIONALIZADO"/>
    <m/>
    <m/>
    <m/>
  </r>
  <r>
    <n v="2021"/>
    <e v="#N/A"/>
    <x v="0"/>
    <x v="0"/>
    <s v="URGENTE"/>
    <m/>
    <x v="1825"/>
    <s v="2021-894"/>
    <x v="1551"/>
    <d v="2022-05-30T00:00:00"/>
    <d v="2022-05-23T00:00:00"/>
    <d v="2022-05-25T00:00:00"/>
    <s v="PENDIENTE"/>
    <n v="204925"/>
    <x v="154"/>
    <x v="68"/>
    <x v="72"/>
    <d v="2021-12-07T00:00:00"/>
    <s v="L/C"/>
    <m/>
    <s v="2/2022"/>
    <d v="2022-03-16T00:00:00"/>
    <m/>
    <s v="PENDIENTE"/>
    <s v="CFR"/>
    <s v="N/A"/>
    <x v="1"/>
    <n v="1384"/>
    <n v="480"/>
    <x v="1510"/>
    <x v="6"/>
    <s v="Contenedor 20'"/>
    <s v="PALLETS"/>
    <s v="Bidones 25 kg"/>
    <s v="-"/>
    <s v="ROMERO FERTILIZANTES"/>
    <s v="ENERO '22"/>
    <x v="1"/>
    <d v="2022-01-20T00:00:00"/>
    <d v="2022-03-28T00:00:00"/>
    <d v="2022-05-20T00:00:00"/>
    <x v="809"/>
    <d v="2022-05-24T00:00:00"/>
    <d v="2022-05-23T00:00:00"/>
    <x v="876"/>
    <n v="5"/>
    <n v="2022"/>
    <x v="3"/>
    <x v="10"/>
    <s v="AQABA"/>
    <x v="2"/>
    <n v="53"/>
    <x v="3"/>
    <x v="1340"/>
    <d v="2022-03-28T00:00:00"/>
    <s v="CONTSHIP VIE"/>
    <x v="335"/>
    <x v="9"/>
    <s v="IAN TAYLOR"/>
    <s v="REALIZADO"/>
    <s v="DESTINO"/>
    <m/>
    <m/>
    <m/>
    <x v="2"/>
    <d v="2022-05-24T00:00:00"/>
    <m/>
    <x v="58"/>
    <x v="34"/>
    <s v="SADA PL"/>
    <s v="VERDE"/>
    <x v="0"/>
    <s v="OK"/>
    <s v="N/A"/>
    <s v="N/A"/>
    <s v="N/A"/>
    <s v="N/A"/>
    <s v="N/A"/>
    <x v="1"/>
    <s v="ANA YA CUENTA CON EL BL EN FÍSICO"/>
    <m/>
    <s v="ANULACION DE OC: 8000001770"/>
    <m/>
    <m/>
    <m/>
    <m/>
    <m/>
  </r>
  <r>
    <n v="2021"/>
    <e v="#N/A"/>
    <x v="1"/>
    <x v="5"/>
    <s v="URGENTE"/>
    <m/>
    <x v="1826"/>
    <s v="2021-894"/>
    <x v="1552"/>
    <d v="2022-05-30T00:00:00"/>
    <m/>
    <m/>
    <s v="PENDIENTE"/>
    <n v="204925"/>
    <x v="154"/>
    <x v="68"/>
    <x v="72"/>
    <d v="2021-12-07T00:00:00"/>
    <s v="L/C"/>
    <m/>
    <s v="4/2022"/>
    <d v="2022-04-10T00:00:00"/>
    <m/>
    <s v="PENDIENTE"/>
    <s v="CFR"/>
    <s v="N/A"/>
    <x v="10"/>
    <n v="1384"/>
    <n v="480"/>
    <x v="1511"/>
    <x v="4"/>
    <s v="Contenedor 20'"/>
    <s v="PALLETS"/>
    <s v="Bidones 25 kg"/>
    <s v="-"/>
    <s v="ROMERO FERTILIZANTES"/>
    <s v="ENERO '22"/>
    <x v="1"/>
    <d v="2022-01-20T00:00:00"/>
    <d v="2022-04-18T00:00:00"/>
    <d v="2022-03-13T00:00:00"/>
    <x v="810"/>
    <d v="2022-06-21T00:00:00"/>
    <m/>
    <x v="877"/>
    <n v="6"/>
    <n v="2022"/>
    <x v="3"/>
    <x v="10"/>
    <s v="AQABA"/>
    <x v="2"/>
    <m/>
    <x v="3"/>
    <x v="1341"/>
    <d v="2022-04-19T00:00:00"/>
    <s v="CMA CGM OTELLO"/>
    <x v="381"/>
    <x v="9"/>
    <s v="IAN TAYLOR"/>
    <s v="PENDIENTE"/>
    <s v="DESTINO"/>
    <m/>
    <m/>
    <m/>
    <x v="0"/>
    <d v="2022-06-21T00:00:00"/>
    <m/>
    <x v="0"/>
    <x v="0"/>
    <m/>
    <m/>
    <x v="0"/>
    <e v="#REF!"/>
    <s v="N/A"/>
    <s v="N/A"/>
    <s v="N/A"/>
    <s v="N/A"/>
    <s v="N/A"/>
    <x v="1"/>
    <s v="Provisionar inspeccion SGS por USD 2,340 + IGV"/>
    <m/>
    <s v="ANULACION DE OC:8000001968"/>
    <m/>
    <m/>
    <m/>
    <m/>
    <m/>
  </r>
  <r>
    <n v="2021"/>
    <e v="#N/A"/>
    <x v="1"/>
    <x v="5"/>
    <s v="URGENTE"/>
    <m/>
    <x v="1827"/>
    <s v="2021-894"/>
    <x v="1553"/>
    <d v="2022-05-30T00:00:00"/>
    <m/>
    <m/>
    <s v="PENDIENTE"/>
    <n v="202925"/>
    <x v="154"/>
    <x v="68"/>
    <x v="72"/>
    <d v="2021-12-07T00:00:00"/>
    <s v="L/C"/>
    <m/>
    <s v="6/2022"/>
    <d v="2022-04-10T00:00:00"/>
    <m/>
    <s v="PENDIENTE"/>
    <s v="CFR"/>
    <s v="N/A"/>
    <x v="511"/>
    <n v="1384"/>
    <n v="480"/>
    <x v="1512"/>
    <x v="9"/>
    <s v="Contenedor 20'"/>
    <s v="PALLETS"/>
    <s v="Bidones 25 kg"/>
    <s v="-"/>
    <s v="ROMERO FERTILIZANTES"/>
    <s v="ENERO '22"/>
    <x v="1"/>
    <d v="2022-01-20T00:00:00"/>
    <d v="2022-04-28T00:00:00"/>
    <d v="2022-03-13T00:00:00"/>
    <x v="811"/>
    <d v="2022-07-11T00:00:00"/>
    <m/>
    <x v="878"/>
    <n v="7"/>
    <n v="2022"/>
    <x v="3"/>
    <x v="10"/>
    <s v="AQABA"/>
    <x v="2"/>
    <m/>
    <x v="3"/>
    <x v="1342"/>
    <d v="2022-04-29T00:00:00"/>
    <s v="NINGBO EXPRESS"/>
    <x v="325"/>
    <x v="9"/>
    <s v="IAN TAYLOR"/>
    <s v="PENDIENTE"/>
    <s v="DESTINO"/>
    <m/>
    <m/>
    <m/>
    <x v="0"/>
    <d v="2022-07-11T00:00:00"/>
    <m/>
    <x v="0"/>
    <x v="0"/>
    <m/>
    <m/>
    <x v="0"/>
    <e v="#REF!"/>
    <s v="N/A"/>
    <s v="N/A"/>
    <s v="N/A"/>
    <s v="N/A"/>
    <s v="N/A"/>
    <x v="1"/>
    <m/>
    <m/>
    <s v="ANULACION DE OC:8000001969"/>
    <m/>
    <m/>
    <m/>
    <m/>
    <m/>
  </r>
  <r>
    <n v="2021"/>
    <e v="#N/A"/>
    <x v="1"/>
    <x v="5"/>
    <s v="URGENTE"/>
    <m/>
    <x v="1828"/>
    <s v="2021-894"/>
    <x v="1554"/>
    <d v="2022-05-30T00:00:00"/>
    <m/>
    <m/>
    <s v="PENDIENTE"/>
    <n v="204925"/>
    <x v="154"/>
    <x v="68"/>
    <x v="72"/>
    <d v="2021-12-07T00:00:00"/>
    <s v="L/C"/>
    <m/>
    <m/>
    <m/>
    <m/>
    <s v="PENDIENTE"/>
    <s v="CFR"/>
    <s v="N/A"/>
    <x v="511"/>
    <n v="1384"/>
    <m/>
    <x v="1512"/>
    <x v="9"/>
    <s v="Contenedor 20'"/>
    <s v="PALLETS"/>
    <s v="Bidones 25 kg"/>
    <s v="-"/>
    <s v="ROMERO FERTILIZANTES"/>
    <s v="ENERO '22"/>
    <x v="1"/>
    <d v="2022-01-20T00:00:00"/>
    <d v="2022-05-12T00:00:00"/>
    <d v="2022-03-13T00:00:00"/>
    <x v="811"/>
    <d v="2022-07-11T00:00:00"/>
    <m/>
    <x v="878"/>
    <n v="7"/>
    <n v="2022"/>
    <x v="3"/>
    <x v="10"/>
    <s v="AQABA"/>
    <x v="2"/>
    <m/>
    <x v="3"/>
    <x v="1343"/>
    <d v="2022-05-12T00:00:00"/>
    <s v="CONTSHIP VIE"/>
    <x v="325"/>
    <x v="9"/>
    <s v="IAN TAYLOR"/>
    <s v="PENDIENTE"/>
    <s v="DESTINO"/>
    <m/>
    <m/>
    <m/>
    <x v="0"/>
    <d v="2022-07-11T00:00:00"/>
    <m/>
    <x v="0"/>
    <x v="0"/>
    <m/>
    <m/>
    <x v="0"/>
    <e v="#REF!"/>
    <s v="N/A"/>
    <s v="N/A"/>
    <s v="N/A"/>
    <s v="N/A"/>
    <s v="N/A"/>
    <x v="1"/>
    <m/>
    <m/>
    <s v="ANULACION DE OC:8000001922"/>
    <m/>
    <m/>
    <m/>
    <m/>
    <m/>
  </r>
  <r>
    <n v="2021"/>
    <e v="#N/A"/>
    <x v="1"/>
    <x v="5"/>
    <s v="URGENTE"/>
    <m/>
    <x v="1829"/>
    <s v="2021-894"/>
    <x v="1555"/>
    <d v="2022-05-30T00:00:00"/>
    <m/>
    <m/>
    <s v="PENDIENTE"/>
    <n v="204925"/>
    <x v="154"/>
    <x v="68"/>
    <x v="72"/>
    <d v="2021-12-07T00:00:00"/>
    <s v="L/C"/>
    <m/>
    <m/>
    <m/>
    <m/>
    <s v="PENDIENTE"/>
    <s v="CFR"/>
    <s v="N/A"/>
    <x v="35"/>
    <n v="1384"/>
    <m/>
    <x v="1513"/>
    <x v="26"/>
    <s v="Contenedor 20'"/>
    <s v="PALLETS"/>
    <s v="Bidones 25 kg"/>
    <s v="-"/>
    <s v="ROMERO FERTILIZANTES"/>
    <s v="ENERO '22"/>
    <x v="1"/>
    <d v="2022-01-20T00:00:00"/>
    <d v="2022-05-26T00:00:00"/>
    <d v="2022-03-13T00:00:00"/>
    <x v="812"/>
    <d v="2022-07-19T00:00:00"/>
    <m/>
    <x v="879"/>
    <n v="7"/>
    <n v="2022"/>
    <x v="3"/>
    <x v="10"/>
    <s v="AQABA"/>
    <x v="2"/>
    <m/>
    <x v="3"/>
    <x v="1344"/>
    <m/>
    <s v="APL ANTWERP"/>
    <x v="349"/>
    <x v="9"/>
    <s v="IAN TAYLOR"/>
    <s v="PENDIENTE"/>
    <s v="DESTINO"/>
    <m/>
    <m/>
    <m/>
    <x v="0"/>
    <d v="2022-07-19T00:00:00"/>
    <m/>
    <x v="0"/>
    <x v="0"/>
    <m/>
    <m/>
    <x v="0"/>
    <e v="#REF!"/>
    <s v="N/A"/>
    <s v="N/A"/>
    <s v="N/A"/>
    <s v="N/A"/>
    <s v="N/A"/>
    <x v="1"/>
    <m/>
    <m/>
    <m/>
    <m/>
    <m/>
    <m/>
    <m/>
    <m/>
  </r>
  <r>
    <n v="2021"/>
    <s v="S-C"/>
    <x v="0"/>
    <x v="0"/>
    <m/>
    <m/>
    <x v="1830"/>
    <m/>
    <x v="1556"/>
    <m/>
    <d v="2022-03-23T00:00:00"/>
    <d v="2022-03-29T00:00:00"/>
    <s v="CERRADO"/>
    <n v="207580"/>
    <x v="32"/>
    <x v="69"/>
    <x v="72"/>
    <d v="2021-12-07T00:00:00"/>
    <s v="L/C"/>
    <m/>
    <s v="KINGENTA-20211210TA"/>
    <m/>
    <m/>
    <s v="CANCELADO"/>
    <s v="CFR"/>
    <m/>
    <x v="80"/>
    <n v="1625"/>
    <m/>
    <x v="1514"/>
    <x v="19"/>
    <s v="Contenedor 20'"/>
    <s v="CARGA SUELTA"/>
    <s v="25 kg"/>
    <m/>
    <s v="ROMERO FERTILIZANTES"/>
    <s v="ENERO '22"/>
    <x v="0"/>
    <d v="1899-12-30T00:00:00"/>
    <d v="2022-01-27T00:00:00"/>
    <e v="#REF!"/>
    <x v="813"/>
    <d v="2022-03-30T00:00:00"/>
    <m/>
    <x v="880"/>
    <n v="3"/>
    <n v="2022"/>
    <x v="0"/>
    <x v="1"/>
    <s v="LIANYUNGANG"/>
    <x v="2"/>
    <m/>
    <x v="3"/>
    <x v="1345"/>
    <d v="2022-02-14T00:00:00"/>
    <s v="SONGYUNHE"/>
    <x v="382"/>
    <x v="2"/>
    <m/>
    <s v="PENDIENTE"/>
    <s v="ORIGEN"/>
    <m/>
    <m/>
    <m/>
    <x v="0"/>
    <d v="2022-03-30T00:00:00"/>
    <m/>
    <x v="59"/>
    <x v="35"/>
    <s v="SADA PL"/>
    <s v="VERDE"/>
    <x v="0"/>
    <s v="OK"/>
    <m/>
    <m/>
    <m/>
    <m/>
    <m/>
    <x v="0"/>
    <s v="SUCE 2022168463 / Exp. 202200076629 - APROBADO. Daño de CNT por USD 29.50"/>
    <m/>
    <m/>
    <m/>
    <s v="NACIONALIZADO"/>
    <m/>
    <m/>
    <m/>
  </r>
  <r>
    <n v="2021"/>
    <s v="S-C"/>
    <x v="0"/>
    <x v="0"/>
    <m/>
    <m/>
    <x v="1831"/>
    <s v="2021-892"/>
    <x v="1557"/>
    <m/>
    <d v="2022-04-11T00:00:00"/>
    <d v="2022-04-19T00:00:00"/>
    <s v="CERRADO"/>
    <n v="207580"/>
    <x v="32"/>
    <x v="69"/>
    <x v="72"/>
    <d v="2021-12-07T00:00:00"/>
    <s v="L/C"/>
    <m/>
    <s v="KINGENTA-20211210TB"/>
    <m/>
    <m/>
    <s v="CANCELADO"/>
    <s v="CFR"/>
    <m/>
    <x v="80"/>
    <n v="1625"/>
    <m/>
    <x v="1514"/>
    <x v="19"/>
    <s v="Contenedor 20'"/>
    <s v="CARGA SUELTA"/>
    <s v="25 kg"/>
    <s v="-"/>
    <s v="ROMERO FERTILIZANTES"/>
    <s v="ENERO '22"/>
    <x v="0"/>
    <d v="1899-12-30T00:00:00"/>
    <d v="2022-02-17T00:00:00"/>
    <e v="#REF!"/>
    <x v="808"/>
    <d v="2022-05-03T00:00:00"/>
    <m/>
    <x v="881"/>
    <n v="4"/>
    <n v="2022"/>
    <x v="0"/>
    <x v="1"/>
    <s v="LIANYUNGANG "/>
    <x v="2"/>
    <s v="DPWC"/>
    <x v="3"/>
    <x v="1346"/>
    <d v="2022-02-17T00:00:00"/>
    <s v="SONGYUNHE"/>
    <x v="383"/>
    <x v="2"/>
    <s v="TRAMARSA"/>
    <s v="PENDIENTE"/>
    <s v="ORIGEN"/>
    <m/>
    <m/>
    <m/>
    <x v="0"/>
    <d v="2022-04-13T00:00:00"/>
    <m/>
    <x v="60"/>
    <x v="36"/>
    <s v="SADA PL"/>
    <s v="VERDE"/>
    <x v="0"/>
    <s v="OK"/>
    <m/>
    <m/>
    <m/>
    <m/>
    <m/>
    <x v="0"/>
    <s v="SUCE 2022220933 / EXP 202200104891 - APROBADO/ Daño de CNT por USD 153.30 + IGV"/>
    <m/>
    <m/>
    <m/>
    <s v="NACIONALIZADO"/>
    <m/>
    <m/>
    <m/>
  </r>
  <r>
    <n v="2021"/>
    <s v="S-C"/>
    <x v="0"/>
    <x v="0"/>
    <m/>
    <m/>
    <x v="1832"/>
    <s v="2021-892"/>
    <x v="1558"/>
    <m/>
    <d v="2022-04-11T00:00:00"/>
    <d v="2022-04-20T00:00:00"/>
    <s v="CERRADO"/>
    <n v="207580"/>
    <x v="32"/>
    <x v="69"/>
    <x v="72"/>
    <d v="2021-12-07T00:00:00"/>
    <s v="L/C"/>
    <m/>
    <s v="KINGENTA-20211210TE"/>
    <d v="2021-12-10T00:00:00"/>
    <m/>
    <s v="PENDIENTE"/>
    <s v="CFR"/>
    <m/>
    <x v="250"/>
    <n v="1625"/>
    <m/>
    <x v="1515"/>
    <x v="20"/>
    <s v="Contenedor 20'"/>
    <s v="CARGA SUELTA"/>
    <s v="25 kg"/>
    <s v="-"/>
    <s v="ROMERO FERTILIZANTES"/>
    <s v="ENERO '22"/>
    <x v="0"/>
    <d v="2022-02-14T00:00:00"/>
    <d v="2022-03-01T00:00:00"/>
    <d v="2022-03-20T00:00:00"/>
    <x v="814"/>
    <d v="2022-04-25T00:00:00"/>
    <m/>
    <x v="882"/>
    <n v="4"/>
    <n v="2022"/>
    <x v="0"/>
    <x v="1"/>
    <s v="LIANYUNGANG"/>
    <x v="2"/>
    <s v="APM"/>
    <x v="3"/>
    <x v="1347"/>
    <d v="2022-03-01T00:00:00"/>
    <s v="YONGYUE11 "/>
    <x v="384"/>
    <x v="3"/>
    <s v="COLUMBUS"/>
    <s v="PENDIENTE"/>
    <s v="ORIGEN"/>
    <m/>
    <m/>
    <m/>
    <x v="0"/>
    <d v="2022-04-24T00:00:00"/>
    <m/>
    <x v="61"/>
    <x v="37"/>
    <s v="SADA DD"/>
    <s v="VERDE"/>
    <x v="0"/>
    <e v="#REF!"/>
    <m/>
    <m/>
    <m/>
    <m/>
    <m/>
    <x v="0"/>
    <s v="SUCE 2022211285 / Exp. 202200099975 - APROBADO"/>
    <m/>
    <m/>
    <m/>
    <s v="NACIONALIZADO"/>
    <m/>
    <m/>
    <m/>
  </r>
  <r>
    <n v="2021"/>
    <s v="S-C"/>
    <x v="0"/>
    <x v="0"/>
    <m/>
    <m/>
    <x v="1833"/>
    <s v="2021-892"/>
    <x v="1559"/>
    <m/>
    <d v="2022-04-19T00:00:00"/>
    <d v="2022-04-25T00:00:00"/>
    <s v="CERRADO"/>
    <n v="207580"/>
    <x v="32"/>
    <x v="69"/>
    <x v="72"/>
    <d v="2021-12-07T00:00:00"/>
    <s v="L/C"/>
    <m/>
    <s v="KINGENTA-20211210TC/D"/>
    <m/>
    <m/>
    <s v="PENDIENTE"/>
    <s v="CFR"/>
    <m/>
    <x v="147"/>
    <n v="1625"/>
    <m/>
    <x v="1516"/>
    <x v="4"/>
    <s v="Contenedor 20'"/>
    <s v="CARGA SUELTA"/>
    <s v="25 kg"/>
    <s v="-"/>
    <s v="ROMERO FERTILIZANTES"/>
    <s v="ENERO '22"/>
    <x v="0"/>
    <d v="2022-02-14T00:00:00"/>
    <d v="2022-03-14T00:00:00"/>
    <d v="2022-03-20T00:00:00"/>
    <x v="815"/>
    <d v="2022-05-03T00:00:00"/>
    <d v="2022-04-22T00:00:00"/>
    <x v="883"/>
    <n v="4"/>
    <n v="2022"/>
    <x v="0"/>
    <x v="1"/>
    <s v="LIANYUNGANG"/>
    <x v="2"/>
    <s v="DPWC"/>
    <x v="3"/>
    <x v="1348"/>
    <d v="2022-03-10T00:00:00"/>
    <s v=" EASLINE KWANGYANG"/>
    <x v="385"/>
    <x v="2"/>
    <s v="TRAMARSA"/>
    <s v="PENDIENTE"/>
    <s v="ORIGEN"/>
    <m/>
    <m/>
    <m/>
    <x v="0"/>
    <d v="2022-04-29T00:00:00"/>
    <m/>
    <x v="62"/>
    <x v="38"/>
    <s v="SADA PL"/>
    <s v="VERDE"/>
    <x v="0"/>
    <e v="#REF!"/>
    <m/>
    <m/>
    <m/>
    <m/>
    <m/>
    <x v="0"/>
    <s v="SUCE 2022220934 / EXP 202200104892 - APROBADO / Daño de CNT por USD 93.90"/>
    <m/>
    <m/>
    <m/>
    <s v="NACIONALIZADO"/>
    <m/>
    <m/>
    <m/>
  </r>
  <r>
    <n v="2021"/>
    <s v="S-P"/>
    <x v="0"/>
    <x v="0"/>
    <s v="URGENTE"/>
    <m/>
    <x v="1834"/>
    <s v="2021-907"/>
    <x v="1560"/>
    <d v="2022-05-18T00:00:00"/>
    <d v="2022-05-20T00:00:00"/>
    <d v="2022-05-20T00:00:00"/>
    <s v="CERRADO"/>
    <n v="206766"/>
    <x v="10"/>
    <x v="37"/>
    <x v="834"/>
    <d v="2021-12-08T00:00:00"/>
    <n v="90"/>
    <s v="días BL"/>
    <s v="39895"/>
    <d v="2022-04-13T00:00:00"/>
    <d v="2022-07-12T00:00:00"/>
    <s v="PENDIENTE"/>
    <s v="CFR"/>
    <s v="N/A"/>
    <x v="60"/>
    <n v="2178"/>
    <s v="93.31"/>
    <x v="1517"/>
    <x v="33"/>
    <s v="Contenedor 20'"/>
    <s v="PALLETS"/>
    <s v="50 kg"/>
    <s v="-"/>
    <s v="S/M"/>
    <s v="FEBRERO - MARZO '22"/>
    <x v="1"/>
    <d v="2022-04-13T00:00:00"/>
    <d v="2022-04-13T00:00:00"/>
    <d v="2022-04-04T00:00:00"/>
    <x v="816"/>
    <d v="2022-05-16T00:00:00"/>
    <d v="2022-05-19T00:00:00"/>
    <x v="884"/>
    <n v="5"/>
    <n v="2022"/>
    <x v="3"/>
    <x v="4"/>
    <s v="MANZANILLO"/>
    <x v="0"/>
    <s v="TPE"/>
    <x v="2"/>
    <x v="1349"/>
    <d v="2022-04-13T00:00:00"/>
    <s v="SVENDBORG MAERSK "/>
    <x v="193"/>
    <x v="6"/>
    <s v="IAN TAYLOR"/>
    <s v="REALIZADO"/>
    <s v="DESTINO"/>
    <s v="046-2022-249"/>
    <m/>
    <m/>
    <x v="3"/>
    <d v="2022-05-26T00:00:00"/>
    <m/>
    <x v="63"/>
    <x v="39"/>
    <s v="SADA DT"/>
    <s v="VERDE"/>
    <x v="0"/>
    <e v="#REF!"/>
    <s v="N/A"/>
    <s v="N/A"/>
    <s v="N/A"/>
    <s v="N/A"/>
    <s v="N/A"/>
    <x v="1"/>
    <s v="LIBRE DE ALMACENAJE 22/05"/>
    <m/>
    <m/>
    <m/>
    <m/>
    <m/>
    <m/>
    <m/>
  </r>
  <r>
    <n v="2021"/>
    <s v="S-P"/>
    <x v="1"/>
    <x v="5"/>
    <s v="URGENTE"/>
    <m/>
    <x v="1835"/>
    <s v="2021-907"/>
    <x v="34"/>
    <d v="2021-12-07T00:00:00"/>
    <m/>
    <m/>
    <s v="PENDIENTE"/>
    <n v="208510"/>
    <x v="10"/>
    <x v="37"/>
    <x v="834"/>
    <d v="2021-12-08T00:00:00"/>
    <n v="90"/>
    <s v="días BL"/>
    <s v="40362"/>
    <d v="2022-05-22T00:00:00"/>
    <d v="2022-08-20T00:00:00"/>
    <s v="PENDIENTE"/>
    <s v="CFR"/>
    <m/>
    <x v="660"/>
    <n v="2178"/>
    <m/>
    <x v="1518"/>
    <x v="15"/>
    <s v="Contenedor 20'"/>
    <m/>
    <s v="35 kg"/>
    <s v="-"/>
    <s v="S/M"/>
    <s v="FEBRERO - MARZO '22"/>
    <x v="1"/>
    <d v="2022-05-23T00:00:00"/>
    <d v="2022-05-27T00:00:00"/>
    <d v="2022-04-04T00:00:00"/>
    <x v="817"/>
    <d v="2022-07-26T00:00:00"/>
    <m/>
    <x v="885"/>
    <n v="7"/>
    <n v="2022"/>
    <x v="3"/>
    <x v="1"/>
    <s v="FANGCHENG"/>
    <x v="0"/>
    <s v="TPE"/>
    <x v="13"/>
    <x v="1350"/>
    <m/>
    <s v="MAERSK LIMA"/>
    <x v="386"/>
    <x v="6"/>
    <s v="COLUMBUS"/>
    <s v="PENDIENTE"/>
    <s v="ORIGEN"/>
    <m/>
    <m/>
    <m/>
    <x v="0"/>
    <d v="2022-07-28T00:00:00"/>
    <m/>
    <x v="0"/>
    <x v="0"/>
    <m/>
    <m/>
    <x v="0"/>
    <e v="#REF!"/>
    <s v="N/A"/>
    <s v="N/A"/>
    <s v="N/A"/>
    <s v="N/A"/>
    <s v="N/A"/>
    <x v="1"/>
    <m/>
    <m/>
    <m/>
    <m/>
    <m/>
    <m/>
    <m/>
    <m/>
  </r>
  <r>
    <n v="2021"/>
    <s v="S-S"/>
    <x v="0"/>
    <x v="0"/>
    <s v="URGENTE"/>
    <m/>
    <x v="1836"/>
    <m/>
    <x v="1561"/>
    <m/>
    <d v="2022-03-06T00:00:00"/>
    <d v="2022-03-06T00:00:00"/>
    <s v="CERRADO"/>
    <n v="207579"/>
    <x v="9"/>
    <x v="19"/>
    <x v="835"/>
    <d v="2021-12-08T00:00:00"/>
    <n v="90"/>
    <s v="días BL"/>
    <s v="SG-MNL-12329-44"/>
    <m/>
    <d v="2022-04-06T00:00:00"/>
    <s v="CANCELADO"/>
    <s v="CFR"/>
    <s v="FILO"/>
    <x v="35"/>
    <n v="448"/>
    <m/>
    <x v="1519"/>
    <x v="3"/>
    <s v="Granel - BB"/>
    <m/>
    <s v="25 kg"/>
    <m/>
    <m/>
    <s v="ENERO '22"/>
    <x v="0"/>
    <d v="1899-12-30T00:00:00"/>
    <d v="2022-01-06T00:00:00"/>
    <e v="#REF!"/>
    <x v="802"/>
    <d v="2022-03-02T00:00:00"/>
    <m/>
    <x v="814"/>
    <n v="3"/>
    <n v="2022"/>
    <x v="0"/>
    <x v="0"/>
    <s v="XINGANG / CHINA"/>
    <x v="3"/>
    <m/>
    <x v="1"/>
    <x v="1351"/>
    <d v="2022-01-06T00:00:00"/>
    <s v="GLOBAL SPLENDOUR"/>
    <x v="376"/>
    <x v="0"/>
    <m/>
    <s v="PENDIENTE"/>
    <s v="ORIGEN"/>
    <m/>
    <m/>
    <m/>
    <x v="0"/>
    <m/>
    <m/>
    <x v="64"/>
    <x v="20"/>
    <s v="SADA DD"/>
    <s v="VERDE"/>
    <x v="0"/>
    <e v="#REF!"/>
    <m/>
    <m/>
    <m/>
    <m/>
    <m/>
    <x v="0"/>
    <m/>
    <m/>
    <m/>
    <m/>
    <s v="NACIONALIZADO"/>
    <m/>
    <m/>
    <m/>
  </r>
  <r>
    <n v="2021"/>
    <s v="S-S"/>
    <x v="1"/>
    <x v="5"/>
    <s v="URGENTE"/>
    <m/>
    <x v="1837"/>
    <m/>
    <x v="1562"/>
    <d v="2021-12-17T00:00:00"/>
    <m/>
    <m/>
    <s v="PENDIENTE"/>
    <n v="206622"/>
    <x v="16"/>
    <x v="54"/>
    <x v="836"/>
    <d v="2021-12-08T00:00:00"/>
    <n v="90"/>
    <s v="días BL"/>
    <s v="21JEQ005-1/21JEQ005-2"/>
    <d v="2022-04-20T00:00:00"/>
    <d v="2022-07-19T00:00:00"/>
    <s v="PENDIENTE"/>
    <s v="CFR"/>
    <s v="FILO"/>
    <x v="541"/>
    <n v="1315"/>
    <m/>
    <x v="1520"/>
    <x v="57"/>
    <s v="Granel - BB"/>
    <s v="-"/>
    <s v="BB - Granel"/>
    <n v="1"/>
    <s v="-"/>
    <s v="DICIEMBRE '21"/>
    <x v="1"/>
    <d v="2022-05-01T00:00:00"/>
    <d v="2022-05-01T00:00:00"/>
    <d v="2022-06-10T00:00:00"/>
    <x v="818"/>
    <d v="2022-06-20T00:00:00"/>
    <m/>
    <x v="886"/>
    <n v="6"/>
    <n v="2022"/>
    <x v="3"/>
    <x v="1"/>
    <s v="TIANJIN"/>
    <x v="2"/>
    <m/>
    <x v="3"/>
    <x v="29"/>
    <d v="2022-04-28T00:00:00"/>
    <s v="GLOBAL ANDES"/>
    <x v="387"/>
    <x v="0"/>
    <s v="TRANSMERIDIAN"/>
    <s v="PENDIENTE"/>
    <m/>
    <m/>
    <m/>
    <m/>
    <x v="0"/>
    <m/>
    <m/>
    <x v="0"/>
    <x v="0"/>
    <m/>
    <m/>
    <x v="0"/>
    <s v="OK"/>
    <s v="N/A"/>
    <s v="N/A"/>
    <s v="N/A"/>
    <s v="N/A"/>
    <s v="N/A"/>
    <x v="1"/>
    <m/>
    <s v="INSPECCION EN ORIGEN"/>
    <m/>
    <m/>
    <m/>
    <m/>
    <m/>
    <m/>
  </r>
  <r>
    <n v="2021"/>
    <s v="S-S"/>
    <x v="1"/>
    <x v="3"/>
    <s v="URGENTE"/>
    <m/>
    <x v="1838"/>
    <s v="2021-898"/>
    <x v="1563"/>
    <d v="2022-04-26T00:00:00"/>
    <m/>
    <m/>
    <s v="PENDIENTE"/>
    <n v="206622"/>
    <x v="16"/>
    <x v="54"/>
    <x v="836"/>
    <d v="2021-12-08T00:00:00"/>
    <n v="90"/>
    <s v="días BL"/>
    <m/>
    <m/>
    <m/>
    <s v="PENDIENTE"/>
    <s v="CFR"/>
    <m/>
    <x v="1"/>
    <n v="1315"/>
    <m/>
    <x v="1521"/>
    <x v="3"/>
    <s v="Granel - BB"/>
    <m/>
    <s v="BB - Granel"/>
    <n v="1"/>
    <s v="-"/>
    <s v="DICIEMBRE '21"/>
    <x v="1"/>
    <d v="2022-04-17T00:00:00"/>
    <d v="2022-06-05T00:00:00"/>
    <d v="2022-06-02T00:00:00"/>
    <x v="819"/>
    <d v="2022-07-31T00:00:00"/>
    <m/>
    <x v="887"/>
    <n v="7"/>
    <n v="2022"/>
    <x v="1"/>
    <x v="1"/>
    <s v="TIANJIN"/>
    <x v="2"/>
    <m/>
    <x v="3"/>
    <x v="29"/>
    <m/>
    <m/>
    <x v="15"/>
    <x v="0"/>
    <m/>
    <s v="PENDIENTE"/>
    <m/>
    <m/>
    <m/>
    <m/>
    <x v="0"/>
    <m/>
    <m/>
    <x v="0"/>
    <x v="0"/>
    <m/>
    <m/>
    <x v="0"/>
    <e v="#REF!"/>
    <m/>
    <m/>
    <m/>
    <m/>
    <m/>
    <x v="0"/>
    <m/>
    <s v="INSPECCION EN ORIGEN"/>
    <s v="YA PASO INSPECCION"/>
    <m/>
    <m/>
    <m/>
    <m/>
    <m/>
  </r>
  <r>
    <n v="2021"/>
    <s v="S-S"/>
    <x v="1"/>
    <x v="3"/>
    <s v="URGENTE"/>
    <m/>
    <x v="1839"/>
    <m/>
    <x v="34"/>
    <m/>
    <m/>
    <m/>
    <s v="PENDIENTE"/>
    <n v="206622"/>
    <x v="16"/>
    <x v="54"/>
    <x v="836"/>
    <d v="2021-12-08T00:00:00"/>
    <n v="90"/>
    <s v="días BL"/>
    <m/>
    <m/>
    <m/>
    <s v="PENDIENTE"/>
    <s v="CFR"/>
    <m/>
    <x v="11"/>
    <n v="1315"/>
    <m/>
    <x v="1522"/>
    <x v="3"/>
    <s v="Granel - BB"/>
    <m/>
    <s v="BB - Granel"/>
    <n v="1"/>
    <s v="-"/>
    <s v="DICIEMBRE '21"/>
    <x v="1"/>
    <d v="2022-04-17T00:00:00"/>
    <d v="2022-07-04T00:00:00"/>
    <d v="2022-06-02T00:00:00"/>
    <x v="820"/>
    <d v="2022-08-29T00:00:00"/>
    <m/>
    <x v="888"/>
    <n v="8"/>
    <n v="2022"/>
    <x v="2"/>
    <x v="1"/>
    <s v="TIANJIN"/>
    <x v="2"/>
    <m/>
    <x v="3"/>
    <x v="29"/>
    <m/>
    <m/>
    <x v="15"/>
    <x v="0"/>
    <m/>
    <s v="PENDIENTE"/>
    <m/>
    <m/>
    <m/>
    <m/>
    <x v="0"/>
    <m/>
    <m/>
    <x v="0"/>
    <x v="0"/>
    <m/>
    <m/>
    <x v="0"/>
    <e v="#REF!"/>
    <m/>
    <m/>
    <m/>
    <m/>
    <m/>
    <x v="0"/>
    <m/>
    <s v="INSPECCION EN ORIGEN"/>
    <m/>
    <m/>
    <m/>
    <m/>
    <m/>
    <m/>
  </r>
  <r>
    <n v="2021"/>
    <s v="O-S"/>
    <x v="0"/>
    <x v="0"/>
    <m/>
    <m/>
    <x v="1840"/>
    <m/>
    <x v="1564"/>
    <m/>
    <d v="2022-02-01T00:00:00"/>
    <d v="2022-02-01T00:00:00"/>
    <s v="CERRADO"/>
    <n v="203553"/>
    <x v="123"/>
    <x v="53"/>
    <x v="837"/>
    <d v="2021-10-15T00:00:00"/>
    <s v="CAD"/>
    <m/>
    <s v="F200-43251"/>
    <m/>
    <d v="2022-01-24T00:00:00"/>
    <s v="CANCELADO"/>
    <s v="CFR"/>
    <m/>
    <x v="611"/>
    <n v="475.68"/>
    <m/>
    <x v="1523"/>
    <x v="5"/>
    <s v="Contenedor 20'"/>
    <m/>
    <s v="Granel Sólido"/>
    <m/>
    <m/>
    <s v="NOVIEMBRE '21"/>
    <x v="0"/>
    <d v="1899-12-30T00:00:00"/>
    <d v="2021-12-01T00:00:00"/>
    <d v="2022-01-27T00:00:00"/>
    <x v="782"/>
    <d v="2022-01-30T00:00:00"/>
    <m/>
    <x v="889"/>
    <n v="1"/>
    <n v="2022"/>
    <x v="0"/>
    <x v="0"/>
    <s v="AMBERES / BELGICA"/>
    <x v="4"/>
    <m/>
    <x v="2"/>
    <x v="1352"/>
    <d v="2021-12-01T00:00:00"/>
    <s v="SANTOS EXPRESS"/>
    <x v="129"/>
    <x v="2"/>
    <s v="TRAMARSA"/>
    <s v="PENDIENTE"/>
    <s v="DESTINO"/>
    <m/>
    <m/>
    <m/>
    <x v="0"/>
    <m/>
    <m/>
    <x v="65"/>
    <x v="40"/>
    <s v="SADA DD"/>
    <s v="VERDE"/>
    <x v="0"/>
    <e v="#REF!"/>
    <m/>
    <m/>
    <m/>
    <m/>
    <m/>
    <x v="0"/>
    <m/>
    <m/>
    <m/>
    <m/>
    <s v="NACIONALIZADO"/>
    <m/>
    <m/>
    <m/>
  </r>
  <r>
    <n v="2021"/>
    <s v="E-S"/>
    <x v="0"/>
    <x v="0"/>
    <m/>
    <m/>
    <x v="1841"/>
    <m/>
    <x v="1565"/>
    <m/>
    <d v="2022-04-21T00:00:00"/>
    <d v="2022-04-21T00:00:00"/>
    <s v="CERRADO"/>
    <n v="207522"/>
    <x v="11"/>
    <x v="10"/>
    <x v="838"/>
    <d v="2021-12-09T00:00:00"/>
    <s v="CAD"/>
    <m/>
    <s v="301002131"/>
    <d v="2022-03-13T00:00:00"/>
    <d v="2022-03-23T00:00:00"/>
    <s v="CANCELADO"/>
    <s v="CFR"/>
    <s v="-"/>
    <x v="661"/>
    <n v="405"/>
    <m/>
    <x v="1524"/>
    <x v="8"/>
    <s v="Contenedor 20'"/>
    <m/>
    <s v="Granel Sólido"/>
    <s v="-"/>
    <s v="S/M"/>
    <s v="ENERO '22"/>
    <x v="0"/>
    <d v="1899-12-30T00:00:00"/>
    <d v="2022-03-13T00:00:00"/>
    <e v="#REF!"/>
    <x v="814"/>
    <d v="2022-04-15T00:00:00"/>
    <m/>
    <x v="882"/>
    <n v="4"/>
    <n v="2022"/>
    <x v="0"/>
    <x v="2"/>
    <s v="AMBERES / BELGICA"/>
    <x v="2"/>
    <s v="DPWC"/>
    <x v="3"/>
    <x v="1353"/>
    <d v="2022-03-13T00:00:00"/>
    <s v="CARTAGENA EXPRESS"/>
    <x v="39"/>
    <x v="2"/>
    <s v="TRAMARSA"/>
    <s v="PENDIENTE"/>
    <s v="ORIGEN"/>
    <m/>
    <m/>
    <m/>
    <x v="0"/>
    <d v="2022-04-23T00:00:00"/>
    <m/>
    <x v="66"/>
    <x v="41"/>
    <s v="SADA PL"/>
    <s v="VERDE"/>
    <x v="0"/>
    <e v="#REF!"/>
    <m/>
    <m/>
    <m/>
    <m/>
    <m/>
    <x v="0"/>
    <s v="ANULAR OC: 8000001774 / Daño de CNT por USD 59.00 "/>
    <m/>
    <m/>
    <m/>
    <s v="NACIONALIZADO"/>
    <m/>
    <m/>
    <m/>
  </r>
  <r>
    <n v="2021"/>
    <s v="E-S"/>
    <x v="0"/>
    <x v="0"/>
    <m/>
    <m/>
    <x v="1842"/>
    <m/>
    <x v="1566"/>
    <m/>
    <d v="2022-04-19T00:00:00"/>
    <d v="2022-04-21T00:00:00"/>
    <s v="CERRADO"/>
    <n v="207522"/>
    <x v="11"/>
    <x v="10"/>
    <x v="838"/>
    <d v="2021-12-09T00:00:00"/>
    <s v="CAD"/>
    <m/>
    <s v="301002131"/>
    <d v="2022-03-13T00:00:00"/>
    <d v="2022-03-23T00:00:00"/>
    <s v="CANCELADO"/>
    <s v="CFR"/>
    <s v="-"/>
    <x v="662"/>
    <n v="405"/>
    <m/>
    <x v="1525"/>
    <x v="11"/>
    <s v="Contenedor 20'"/>
    <m/>
    <s v="Granel Sólido"/>
    <s v="-"/>
    <s v="S/M"/>
    <s v="ENERO '22"/>
    <x v="0"/>
    <d v="1899-12-30T00:00:00"/>
    <d v="2022-03-12T00:00:00"/>
    <d v="2022-04-12T00:00:00"/>
    <x v="821"/>
    <d v="2022-04-17T00:00:00"/>
    <d v="2022-04-20T00:00:00"/>
    <x v="890"/>
    <n v="4"/>
    <n v="2022"/>
    <x v="0"/>
    <x v="2"/>
    <s v="AMBERES / BELGICA"/>
    <x v="2"/>
    <s v="DPWC"/>
    <x v="3"/>
    <x v="1353"/>
    <d v="2022-03-13T00:00:00"/>
    <s v="CARTAGENA EXPRESS"/>
    <x v="39"/>
    <x v="2"/>
    <s v="TRAMARSA"/>
    <s v="PENDIENTE"/>
    <s v="ORIGEN"/>
    <m/>
    <m/>
    <m/>
    <x v="0"/>
    <d v="2022-04-25T00:00:00"/>
    <m/>
    <x v="67"/>
    <x v="37"/>
    <s v="SADA PL"/>
    <s v="VERDE"/>
    <x v="0"/>
    <e v="#REF!"/>
    <m/>
    <m/>
    <m/>
    <m/>
    <m/>
    <x v="0"/>
    <s v="1 CONTENEDOR RESTANTE"/>
    <m/>
    <m/>
    <m/>
    <s v="NACIONALIZADO"/>
    <m/>
    <m/>
    <m/>
  </r>
  <r>
    <n v="2021"/>
    <e v="#N/A"/>
    <x v="1"/>
    <x v="3"/>
    <s v="NORMAL"/>
    <m/>
    <x v="1843"/>
    <m/>
    <x v="1567"/>
    <d v="2021-12-10T00:00:00"/>
    <m/>
    <m/>
    <s v="PENDIENTE"/>
    <n v="203585"/>
    <x v="155"/>
    <x v="54"/>
    <x v="839"/>
    <d v="2021-12-13T00:00:00"/>
    <n v="90"/>
    <s v="días BL"/>
    <m/>
    <m/>
    <m/>
    <s v="PENDIENTE"/>
    <s v="CFR"/>
    <m/>
    <x v="70"/>
    <n v="435"/>
    <m/>
    <x v="1526"/>
    <x v="3"/>
    <s v="Granel - BB"/>
    <m/>
    <s v="25 kg"/>
    <n v="1.25"/>
    <s v="NEUTRAL"/>
    <s v="ENERO '22"/>
    <x v="1"/>
    <d v="2022-06-03T00:00:00"/>
    <d v="2022-07-04T00:00:00"/>
    <d v="2022-07-19T00:00:00"/>
    <x v="820"/>
    <d v="2022-08-29T00:00:00"/>
    <m/>
    <x v="888"/>
    <n v="8"/>
    <n v="2022"/>
    <x v="2"/>
    <x v="1"/>
    <s v="TIANJIN"/>
    <x v="2"/>
    <m/>
    <x v="3"/>
    <x v="29"/>
    <m/>
    <m/>
    <x v="15"/>
    <x v="0"/>
    <m/>
    <s v="PENDIENTE"/>
    <m/>
    <m/>
    <m/>
    <m/>
    <x v="0"/>
    <m/>
    <m/>
    <x v="0"/>
    <x v="0"/>
    <m/>
    <m/>
    <x v="0"/>
    <e v="#REF!"/>
    <m/>
    <m/>
    <m/>
    <m/>
    <m/>
    <x v="0"/>
    <m/>
    <s v="INSPECCION EN ORIGEN"/>
    <s v="CIUDAD BLOQUEADA POR COVID 19"/>
    <m/>
    <m/>
    <m/>
    <m/>
    <m/>
  </r>
  <r>
    <n v="2021"/>
    <e v="#N/A"/>
    <x v="1"/>
    <x v="3"/>
    <s v="NORMAL"/>
    <m/>
    <x v="1844"/>
    <m/>
    <x v="1567"/>
    <d v="2021-12-10T00:00:00"/>
    <m/>
    <m/>
    <s v="PENDIENTE"/>
    <n v="203585"/>
    <x v="155"/>
    <x v="54"/>
    <x v="839"/>
    <d v="2021-12-13T00:00:00"/>
    <n v="90"/>
    <s v="días BL"/>
    <m/>
    <m/>
    <m/>
    <s v="PENDIENTE"/>
    <s v="CFR"/>
    <m/>
    <x v="134"/>
    <n v="435"/>
    <m/>
    <x v="1527"/>
    <x v="3"/>
    <s v="Granel - BB"/>
    <m/>
    <s v="25 kg"/>
    <n v="1.25"/>
    <s v="NEUTRAL"/>
    <s v="ENERO '22"/>
    <x v="1"/>
    <d v="2022-06-03T00:00:00"/>
    <d v="2022-07-15T00:00:00"/>
    <d v="2022-07-19T00:00:00"/>
    <x v="795"/>
    <d v="2022-09-09T00:00:00"/>
    <m/>
    <x v="856"/>
    <n v="9"/>
    <n v="2022"/>
    <x v="2"/>
    <x v="1"/>
    <s v="TIANJIN"/>
    <x v="2"/>
    <m/>
    <x v="3"/>
    <x v="29"/>
    <m/>
    <m/>
    <x v="15"/>
    <x v="0"/>
    <m/>
    <s v="PENDIENTE"/>
    <m/>
    <m/>
    <m/>
    <m/>
    <x v="0"/>
    <m/>
    <m/>
    <x v="0"/>
    <x v="0"/>
    <m/>
    <m/>
    <x v="0"/>
    <e v="#REF!"/>
    <m/>
    <m/>
    <m/>
    <m/>
    <m/>
    <x v="0"/>
    <m/>
    <s v="INSPECCION EN ORIGEN"/>
    <s v="CIUDAD BLOQUEADA POR COVID 19"/>
    <m/>
    <m/>
    <m/>
    <m/>
    <m/>
  </r>
  <r>
    <n v="2021"/>
    <s v="S-S"/>
    <x v="0"/>
    <x v="0"/>
    <m/>
    <m/>
    <x v="1845"/>
    <m/>
    <x v="1568"/>
    <m/>
    <d v="2022-02-08T00:00:00"/>
    <d v="2022-02-08T00:00:00"/>
    <s v="CERRADO"/>
    <n v="206615"/>
    <x v="108"/>
    <x v="61"/>
    <x v="8"/>
    <d v="2021-12-16T00:00:00"/>
    <n v="60"/>
    <s v="días FACT."/>
    <s v="N° 117"/>
    <m/>
    <d v="2022-03-27T00:00:00"/>
    <s v="CANCELADO"/>
    <s v="CIP"/>
    <m/>
    <x v="623"/>
    <n v="1300"/>
    <m/>
    <x v="1528"/>
    <x v="5"/>
    <s v="Camión"/>
    <m/>
    <s v="25 kg"/>
    <m/>
    <m/>
    <s v="ENERO '22"/>
    <x v="0"/>
    <d v="1899-12-30T00:00:00"/>
    <d v="2022-02-03T00:00:00"/>
    <d v="2022-02-04T00:00:00"/>
    <x v="822"/>
    <d v="2022-02-21T00:00:00"/>
    <m/>
    <x v="813"/>
    <n v="2"/>
    <n v="2022"/>
    <x v="0"/>
    <x v="0"/>
    <s v="IQUIQUE / CHILE"/>
    <x v="4"/>
    <m/>
    <x v="2"/>
    <x v="1354"/>
    <d v="2022-01-26T00:00:00"/>
    <s v="CAMION"/>
    <x v="344"/>
    <x v="42"/>
    <m/>
    <s v="NO APLICA"/>
    <s v="ORIGEN"/>
    <m/>
    <m/>
    <m/>
    <x v="0"/>
    <m/>
    <m/>
    <x v="68"/>
    <x v="16"/>
    <s v="SADA PL"/>
    <s v="VERDE"/>
    <x v="0"/>
    <e v="#REF!"/>
    <m/>
    <m/>
    <m/>
    <m/>
    <m/>
    <x v="0"/>
    <m/>
    <m/>
    <m/>
    <m/>
    <s v="NACIONALIZADO"/>
    <m/>
    <m/>
    <m/>
  </r>
  <r>
    <n v="2021"/>
    <s v="O-S"/>
    <x v="0"/>
    <x v="0"/>
    <m/>
    <m/>
    <x v="1846"/>
    <m/>
    <x v="1569"/>
    <m/>
    <d v="2022-02-21T00:00:00"/>
    <d v="2022-02-21T00:00:00"/>
    <s v="CERRADO"/>
    <n v="208060"/>
    <x v="103"/>
    <x v="53"/>
    <x v="840"/>
    <d v="2021-12-15T00:00:00"/>
    <n v="60"/>
    <s v="días FACT."/>
    <s v="F200-43265"/>
    <m/>
    <d v="2022-02-19T00:00:00"/>
    <s v="CANCELADO"/>
    <s v="CFR"/>
    <m/>
    <x v="53"/>
    <n v="923.96"/>
    <m/>
    <x v="1529"/>
    <x v="20"/>
    <s v="Contenedor 20'"/>
    <m/>
    <s v="50 kg"/>
    <m/>
    <m/>
    <s v="ENERO '22"/>
    <x v="0"/>
    <d v="1899-12-30T00:00:00"/>
    <d v="2022-02-11T00:00:00"/>
    <d v="2022-02-15T00:00:00"/>
    <x v="801"/>
    <d v="2022-02-19T00:00:00"/>
    <m/>
    <x v="875"/>
    <n v="2"/>
    <n v="2022"/>
    <x v="0"/>
    <x v="9"/>
    <s v="CARTAGENA"/>
    <x v="0"/>
    <m/>
    <x v="2"/>
    <x v="1355"/>
    <d v="2022-02-11T00:00:00"/>
    <s v="DIMITRIS C"/>
    <x v="326"/>
    <x v="2"/>
    <m/>
    <s v="PENDIENTE"/>
    <s v="DESTINO"/>
    <m/>
    <m/>
    <m/>
    <x v="0"/>
    <m/>
    <m/>
    <x v="69"/>
    <x v="28"/>
    <s v="SADA DD"/>
    <s v="VERDE"/>
    <x v="0"/>
    <e v="#REF!"/>
    <m/>
    <m/>
    <m/>
    <m/>
    <m/>
    <x v="0"/>
    <m/>
    <m/>
    <m/>
    <m/>
    <s v="NACIONALIZADO"/>
    <m/>
    <m/>
    <m/>
  </r>
  <r>
    <n v="2021"/>
    <s v="O-S"/>
    <x v="0"/>
    <x v="0"/>
    <m/>
    <m/>
    <x v="1847"/>
    <m/>
    <x v="1570"/>
    <m/>
    <d v="2022-02-21T00:00:00"/>
    <d v="2022-02-21T00:00:00"/>
    <s v="CERRADO"/>
    <n v="208060"/>
    <x v="103"/>
    <x v="53"/>
    <x v="841"/>
    <d v="2021-12-15T00:00:00"/>
    <n v="60"/>
    <s v="días FACT."/>
    <s v="F200-43262"/>
    <m/>
    <d v="2022-02-08T00:00:00"/>
    <s v="CANCELADO"/>
    <s v="CFR"/>
    <m/>
    <x v="418"/>
    <n v="893.18"/>
    <m/>
    <x v="1530"/>
    <x v="9"/>
    <s v="Contenedor 20'"/>
    <m/>
    <s v="50 kg"/>
    <m/>
    <m/>
    <s v="ENERO '22"/>
    <x v="0"/>
    <d v="1899-12-30T00:00:00"/>
    <d v="2022-01-30T00:00:00"/>
    <d v="2022-02-14T00:00:00"/>
    <x v="823"/>
    <d v="2022-02-18T00:00:00"/>
    <m/>
    <x v="765"/>
    <n v="2"/>
    <n v="2022"/>
    <x v="0"/>
    <x v="9"/>
    <s v="CARTAGENA"/>
    <x v="2"/>
    <m/>
    <x v="3"/>
    <x v="1356"/>
    <d v="2022-01-30T00:00:00"/>
    <s v="VALPARAISO EXPRESS"/>
    <x v="30"/>
    <x v="9"/>
    <m/>
    <s v="PENDIENTE"/>
    <s v="DESTINO"/>
    <m/>
    <m/>
    <m/>
    <x v="0"/>
    <m/>
    <m/>
    <x v="70"/>
    <x v="18"/>
    <s v="SADA PL"/>
    <s v="VERDE"/>
    <x v="0"/>
    <e v="#REF!"/>
    <m/>
    <m/>
    <m/>
    <m/>
    <m/>
    <x v="0"/>
    <m/>
    <m/>
    <m/>
    <m/>
    <s v="NACIONALIZADO"/>
    <m/>
    <m/>
    <m/>
  </r>
  <r>
    <n v="2021"/>
    <s v="O-S"/>
    <x v="0"/>
    <x v="0"/>
    <m/>
    <m/>
    <x v="1848"/>
    <m/>
    <x v="1571"/>
    <m/>
    <d v="2022-02-21T00:00:00"/>
    <d v="2022-02-21T00:00:00"/>
    <s v="CERRADO"/>
    <n v="208060"/>
    <x v="103"/>
    <x v="53"/>
    <x v="842"/>
    <d v="2021-12-15T00:00:00"/>
    <s v="CAD"/>
    <m/>
    <s v="F200-43264"/>
    <m/>
    <d v="2022-02-15T00:00:00"/>
    <s v="CANCELADO"/>
    <s v="CFR"/>
    <m/>
    <x v="53"/>
    <n v="907.86"/>
    <m/>
    <x v="1531"/>
    <x v="20"/>
    <s v="Contenedor 20'"/>
    <m/>
    <s v="50 kg"/>
    <m/>
    <m/>
    <s v="DICIEMBRE '21"/>
    <x v="0"/>
    <d v="1899-12-30T00:00:00"/>
    <d v="2022-01-28T00:00:00"/>
    <d v="2022-02-11T00:00:00"/>
    <x v="715"/>
    <d v="2022-02-14T00:00:00"/>
    <m/>
    <x v="766"/>
    <n v="2"/>
    <n v="2022"/>
    <x v="0"/>
    <x v="9"/>
    <s v="CARTAGENA"/>
    <x v="4"/>
    <m/>
    <x v="2"/>
    <x v="1339"/>
    <d v="2022-01-28T00:00:00"/>
    <s v="DIMITRIS C"/>
    <x v="129"/>
    <x v="2"/>
    <m/>
    <s v="PENDIENTE"/>
    <s v="DESTINO"/>
    <s v="30-2022"/>
    <m/>
    <m/>
    <x v="0"/>
    <m/>
    <m/>
    <x v="71"/>
    <x v="33"/>
    <s v="SADA DD"/>
    <s v="VERDE"/>
    <x v="1"/>
    <e v="#REF!"/>
    <m/>
    <m/>
    <m/>
    <m/>
    <m/>
    <x v="0"/>
    <m/>
    <m/>
    <m/>
    <m/>
    <s v="NACIONALIZADO"/>
    <m/>
    <m/>
    <m/>
  </r>
  <r>
    <n v="2021"/>
    <s v="S-S"/>
    <x v="0"/>
    <x v="0"/>
    <m/>
    <m/>
    <x v="1849"/>
    <m/>
    <x v="1572"/>
    <m/>
    <d v="2022-02-11T00:00:00"/>
    <d v="2022-02-11T00:00:00"/>
    <s v="CERRADO"/>
    <n v="206914"/>
    <x v="12"/>
    <x v="25"/>
    <x v="821"/>
    <d v="2022-01-05T00:00:00"/>
    <n v="180"/>
    <s v="días BL"/>
    <s v="TGOA-MGN-220109-1"/>
    <m/>
    <d v="2022-01-21T00:00:00"/>
    <s v="CANCELADO"/>
    <s v="CFR"/>
    <m/>
    <x v="138"/>
    <n v="313.91000000000003"/>
    <n v="66.400000000000006"/>
    <x v="1532"/>
    <x v="3"/>
    <s v="Granel - BB"/>
    <m/>
    <s v="25 kg"/>
    <m/>
    <m/>
    <s v="ENERO '22"/>
    <x v="0"/>
    <d v="1899-12-30T00:00:00"/>
    <d v="2022-01-09T00:00:00"/>
    <d v="2022-02-08T00:00:00"/>
    <x v="799"/>
    <d v="2022-02-10T00:00:00"/>
    <m/>
    <x v="763"/>
    <n v="2"/>
    <n v="2022"/>
    <x v="0"/>
    <x v="0"/>
    <s v="ZHANGJIAGANG / CHINA"/>
    <x v="0"/>
    <m/>
    <x v="5"/>
    <x v="1357"/>
    <d v="2022-01-09T00:00:00"/>
    <s v="GW ELENI"/>
    <x v="375"/>
    <x v="0"/>
    <m/>
    <s v="PENDIENTE"/>
    <m/>
    <m/>
    <m/>
    <m/>
    <x v="0"/>
    <m/>
    <m/>
    <x v="72"/>
    <x v="26"/>
    <s v="SADA DD"/>
    <s v="VERDE"/>
    <x v="0"/>
    <s v="PENDIENTE"/>
    <m/>
    <m/>
    <m/>
    <m/>
    <m/>
    <x v="0"/>
    <m/>
    <m/>
    <m/>
    <m/>
    <s v="NACIONALIZADO"/>
    <m/>
    <m/>
    <m/>
  </r>
  <r>
    <n v="2021"/>
    <s v="S-S"/>
    <x v="0"/>
    <x v="0"/>
    <m/>
    <m/>
    <x v="1850"/>
    <m/>
    <x v="1573"/>
    <m/>
    <d v="2022-02-15T00:00:00"/>
    <d v="2022-02-15T00:00:00"/>
    <s v="CERRADO"/>
    <n v="206914"/>
    <x v="12"/>
    <x v="25"/>
    <x v="821"/>
    <d v="2022-01-05T00:00:00"/>
    <n v="180"/>
    <s v="días BL"/>
    <s v="TGOA-MGN-220109-2"/>
    <m/>
    <d v="2022-01-21T00:00:00"/>
    <s v="CANCELADO"/>
    <s v="CFR"/>
    <m/>
    <x v="152"/>
    <n v="313.91000000000003"/>
    <n v="66.400000000000006"/>
    <x v="1533"/>
    <x v="3"/>
    <s v="Granel - BB"/>
    <m/>
    <s v="25 kg"/>
    <m/>
    <m/>
    <s v="ENERO '22"/>
    <x v="0"/>
    <d v="1899-12-30T00:00:00"/>
    <d v="2022-01-09T00:00:00"/>
    <d v="2022-02-12T00:00:00"/>
    <x v="800"/>
    <d v="2022-02-14T00:00:00"/>
    <m/>
    <x v="866"/>
    <n v="2"/>
    <n v="2022"/>
    <x v="0"/>
    <x v="0"/>
    <s v="ZHANGJIAGANG / CHINA"/>
    <x v="1"/>
    <m/>
    <x v="2"/>
    <x v="1358"/>
    <d v="2022-01-09T00:00:00"/>
    <s v="GW ELENI"/>
    <x v="375"/>
    <x v="0"/>
    <m/>
    <s v="PENDIENTE"/>
    <m/>
    <m/>
    <m/>
    <m/>
    <x v="0"/>
    <m/>
    <m/>
    <x v="73"/>
    <x v="33"/>
    <s v="SADA DD"/>
    <s v="VERDE"/>
    <x v="0"/>
    <s v="PENDIENTE"/>
    <m/>
    <m/>
    <m/>
    <m/>
    <m/>
    <x v="0"/>
    <m/>
    <m/>
    <m/>
    <m/>
    <s v="NACIONALIZADO"/>
    <m/>
    <m/>
    <m/>
  </r>
  <r>
    <n v="2021"/>
    <s v="S-S"/>
    <x v="0"/>
    <x v="0"/>
    <m/>
    <m/>
    <x v="1851"/>
    <m/>
    <x v="1574"/>
    <m/>
    <d v="2022-02-11T00:00:00"/>
    <d v="2022-02-11T00:00:00"/>
    <s v="CERRADO"/>
    <n v="205257"/>
    <x v="125"/>
    <x v="25"/>
    <x v="821"/>
    <d v="2022-01-05T00:00:00"/>
    <n v="180"/>
    <s v="días BL"/>
    <s v="TGOA-FE-220109-1"/>
    <m/>
    <d v="2022-01-21T00:00:00"/>
    <s v="CANCELADO"/>
    <s v="CFR"/>
    <m/>
    <x v="8"/>
    <n v="313.91000000000003"/>
    <n v="66.400000000000006"/>
    <x v="1534"/>
    <x v="3"/>
    <s v="Granel - BB"/>
    <m/>
    <s v="25 kg"/>
    <m/>
    <m/>
    <s v="ENERO '22"/>
    <x v="0"/>
    <d v="1899-12-30T00:00:00"/>
    <d v="2022-01-09T00:00:00"/>
    <d v="2022-02-08T00:00:00"/>
    <x v="799"/>
    <d v="2022-02-10T00:00:00"/>
    <m/>
    <x v="865"/>
    <n v="2"/>
    <n v="2022"/>
    <x v="0"/>
    <x v="0"/>
    <s v="ZHANGJIAGANG / CHINA"/>
    <x v="0"/>
    <m/>
    <x v="5"/>
    <x v="1359"/>
    <d v="2022-01-09T00:00:00"/>
    <s v="GW ELENI"/>
    <x v="375"/>
    <x v="0"/>
    <m/>
    <s v="PENDIENTE"/>
    <m/>
    <m/>
    <m/>
    <m/>
    <x v="0"/>
    <m/>
    <m/>
    <x v="74"/>
    <x v="26"/>
    <s v="SADA DD"/>
    <s v="VERDE"/>
    <x v="0"/>
    <s v="PENDIENTE"/>
    <m/>
    <m/>
    <m/>
    <m/>
    <m/>
    <x v="0"/>
    <m/>
    <m/>
    <m/>
    <m/>
    <s v="NACIONALIZADO"/>
    <m/>
    <m/>
    <m/>
  </r>
  <r>
    <n v="2021"/>
    <s v="S-S"/>
    <x v="0"/>
    <x v="0"/>
    <m/>
    <m/>
    <x v="1852"/>
    <m/>
    <x v="1575"/>
    <m/>
    <d v="2022-02-15T00:00:00"/>
    <d v="2022-02-15T00:00:00"/>
    <s v="CERRADO"/>
    <n v="205257"/>
    <x v="125"/>
    <x v="25"/>
    <x v="821"/>
    <d v="2022-01-05T00:00:00"/>
    <n v="180"/>
    <s v="días BL"/>
    <s v="TGOA-FE-220109-2"/>
    <m/>
    <d v="2022-01-21T00:00:00"/>
    <s v="CANCELADO"/>
    <s v="CFR"/>
    <m/>
    <x v="8"/>
    <n v="313.91000000000003"/>
    <n v="66.400000000000006"/>
    <x v="1534"/>
    <x v="3"/>
    <s v="Granel - BB"/>
    <m/>
    <s v="25 kg"/>
    <m/>
    <m/>
    <s v="ENERO '22"/>
    <x v="0"/>
    <d v="1899-12-30T00:00:00"/>
    <d v="2022-01-09T00:00:00"/>
    <d v="2022-02-12T00:00:00"/>
    <x v="800"/>
    <d v="2022-02-14T00:00:00"/>
    <m/>
    <x v="866"/>
    <n v="2"/>
    <n v="2022"/>
    <x v="0"/>
    <x v="0"/>
    <s v="ZHANGJIAGANG / CHINA"/>
    <x v="1"/>
    <m/>
    <x v="2"/>
    <x v="1360"/>
    <d v="2022-01-09T00:00:00"/>
    <s v="GW ELENI"/>
    <x v="375"/>
    <x v="0"/>
    <m/>
    <s v="PENDIENTE"/>
    <m/>
    <m/>
    <m/>
    <m/>
    <x v="0"/>
    <m/>
    <m/>
    <x v="75"/>
    <x v="33"/>
    <s v="SADA DD"/>
    <s v="VERDE"/>
    <x v="0"/>
    <s v="PENDIENTE"/>
    <m/>
    <m/>
    <m/>
    <m/>
    <m/>
    <x v="0"/>
    <m/>
    <m/>
    <m/>
    <m/>
    <s v="NACIONALIZADO"/>
    <m/>
    <m/>
    <m/>
  </r>
  <r>
    <n v="2021"/>
    <s v="O-S"/>
    <x v="0"/>
    <x v="2"/>
    <s v="N/A"/>
    <m/>
    <x v="1853"/>
    <m/>
    <x v="34"/>
    <m/>
    <m/>
    <m/>
    <m/>
    <m/>
    <x v="123"/>
    <x v="53"/>
    <x v="16"/>
    <m/>
    <m/>
    <m/>
    <m/>
    <m/>
    <m/>
    <m/>
    <m/>
    <m/>
    <x v="29"/>
    <m/>
    <m/>
    <x v="31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1"/>
    <s v="O-S"/>
    <x v="0"/>
    <x v="0"/>
    <m/>
    <m/>
    <x v="1854"/>
    <s v="2022-48"/>
    <x v="1576"/>
    <m/>
    <d v="2022-04-20T00:00:00"/>
    <d v="2022-04-07T00:00:00"/>
    <s v="CERRADO"/>
    <n v="203553"/>
    <x v="123"/>
    <x v="53"/>
    <x v="843"/>
    <d v="2021-12-15T00:00:00"/>
    <s v="CAD"/>
    <m/>
    <s v="F200-43285"/>
    <m/>
    <d v="2022-03-29T00:00:00"/>
    <s v="CANCELADO"/>
    <s v="CFR"/>
    <s v="-"/>
    <x v="663"/>
    <n v="620.55999999999995"/>
    <n v="130.55998940116586"/>
    <x v="1535"/>
    <x v="9"/>
    <s v="Contenedor 20'"/>
    <m/>
    <s v="Granel Sólido"/>
    <s v="-"/>
    <s v="S/M"/>
    <s v="ENERO '22"/>
    <x v="0"/>
    <d v="2022-01-30T00:00:00"/>
    <d v="2022-03-09T00:00:00"/>
    <d v="2022-03-29T00:00:00"/>
    <x v="785"/>
    <d v="2022-04-02T00:00:00"/>
    <m/>
    <x v="842"/>
    <n v="4"/>
    <n v="2022"/>
    <x v="0"/>
    <x v="0"/>
    <s v="AMBERES / BELGICA"/>
    <x v="0"/>
    <s v="TPE"/>
    <x v="2"/>
    <x v="1361"/>
    <d v="2022-03-09T00:00:00"/>
    <s v="GUAYAQUIL EXPRESS"/>
    <x v="369"/>
    <x v="2"/>
    <s v="TRAMARSA"/>
    <s v="REALIZADO"/>
    <s v="DESTINO"/>
    <m/>
    <m/>
    <m/>
    <x v="0"/>
    <d v="2022-04-12T00:00:00"/>
    <m/>
    <x v="76"/>
    <x v="22"/>
    <s v="SADA DD"/>
    <s v="VERDE"/>
    <x v="0"/>
    <e v="#REF!"/>
    <m/>
    <m/>
    <m/>
    <m/>
    <m/>
    <x v="0"/>
    <s v="Todo ok. 14 SE"/>
    <m/>
    <m/>
    <m/>
    <s v="NACIONALIZADO"/>
    <m/>
    <m/>
    <m/>
  </r>
  <r>
    <n v="2021"/>
    <s v="O-S"/>
    <x v="0"/>
    <x v="0"/>
    <m/>
    <m/>
    <x v="1855"/>
    <s v="2022-49"/>
    <x v="1577"/>
    <m/>
    <d v="2022-04-06T00:00:00"/>
    <d v="2022-04-05T00:00:00"/>
    <s v="CERRADO"/>
    <n v="203553"/>
    <x v="123"/>
    <x v="53"/>
    <x v="844"/>
    <d v="2021-12-15T00:00:00"/>
    <s v="CAD"/>
    <m/>
    <s v="F200-43284"/>
    <m/>
    <d v="2022-03-29T00:00:00"/>
    <s v="CANCELADO"/>
    <s v="CFR"/>
    <s v="-"/>
    <x v="664"/>
    <n v="613.76"/>
    <m/>
    <x v="1536"/>
    <x v="11"/>
    <s v="Contenedor 20'"/>
    <m/>
    <s v="Granel Sólido"/>
    <s v="-"/>
    <s v="S/M"/>
    <s v="ENERO '22"/>
    <x v="0"/>
    <d v="2022-01-30T00:00:00"/>
    <d v="2022-03-02T00:00:00"/>
    <d v="2022-03-29T00:00:00"/>
    <x v="785"/>
    <d v="2022-04-02T00:00:00"/>
    <m/>
    <x v="862"/>
    <n v="4"/>
    <n v="2022"/>
    <x v="0"/>
    <x v="0"/>
    <s v="AMBERES / BELGICA"/>
    <x v="2"/>
    <s v="DPWC"/>
    <x v="3"/>
    <x v="1362"/>
    <d v="2022-03-02T00:00:00"/>
    <s v="CMA CGM ARKANSAS"/>
    <x v="335"/>
    <x v="2"/>
    <s v="TRAMARSA"/>
    <s v="REALIZADO"/>
    <s v="DESTINO"/>
    <m/>
    <m/>
    <m/>
    <x v="0"/>
    <d v="2022-04-11T00:00:00"/>
    <m/>
    <x v="77"/>
    <x v="22"/>
    <s v="SADA PL"/>
    <s v="VERDE"/>
    <x v="0"/>
    <e v="#REF!"/>
    <m/>
    <m/>
    <m/>
    <m/>
    <m/>
    <x v="0"/>
    <s v="Todo ok. 14SE"/>
    <m/>
    <m/>
    <m/>
    <s v="NACIONALIZADO"/>
    <m/>
    <m/>
    <m/>
  </r>
  <r>
    <n v="2021"/>
    <s v="O-S"/>
    <x v="0"/>
    <x v="0"/>
    <s v="URGENTE"/>
    <m/>
    <x v="1856"/>
    <s v="2022-50"/>
    <x v="1578"/>
    <d v="2022-05-02T00:00:00"/>
    <d v="2022-05-09T00:00:00"/>
    <d v="2022-05-16T00:00:00"/>
    <s v="CERRADO"/>
    <n v="203553"/>
    <x v="123"/>
    <x v="53"/>
    <x v="845"/>
    <d v="2021-12-15T00:00:00"/>
    <s v="CAD"/>
    <m/>
    <s v="F200-43302"/>
    <d v="2022-05-02T00:00:00"/>
    <d v="2022-05-06T00:00:00"/>
    <s v="CANCELADO"/>
    <s v="CFR"/>
    <m/>
    <x v="665"/>
    <n v="1171.82"/>
    <m/>
    <x v="1537"/>
    <x v="2"/>
    <s v="Contenedor 20'"/>
    <s v="-"/>
    <s v="Granel Sólido"/>
    <s v="-"/>
    <s v="S/M"/>
    <s v="FEBRERO '22"/>
    <x v="0"/>
    <d v="2022-01-30T00:00:00"/>
    <d v="2022-04-15T00:00:00"/>
    <d v="2022-05-04T00:00:00"/>
    <x v="824"/>
    <d v="2022-05-08T00:00:00"/>
    <d v="2022-05-12T00:00:00"/>
    <x v="891"/>
    <n v="5"/>
    <n v="2022"/>
    <x v="0"/>
    <x v="5"/>
    <s v="BREVIK"/>
    <x v="0"/>
    <m/>
    <x v="2"/>
    <x v="1363"/>
    <d v="2022-04-18T00:00:00"/>
    <s v="CMA CGM OHIO "/>
    <x v="339"/>
    <x v="2"/>
    <s v="TRAMARSA"/>
    <s v="REALIZADO"/>
    <s v="DESTINO"/>
    <m/>
    <m/>
    <m/>
    <x v="0"/>
    <d v="2022-05-15T00:00:00"/>
    <m/>
    <x v="78"/>
    <x v="42"/>
    <s v="SADA DD"/>
    <s v="VERDE"/>
    <x v="0"/>
    <e v="#REF!"/>
    <m/>
    <m/>
    <m/>
    <m/>
    <m/>
    <x v="0"/>
    <m/>
    <m/>
    <m/>
    <m/>
    <s v="NACIONALIZADA"/>
    <m/>
    <m/>
    <m/>
  </r>
  <r>
    <n v="2021"/>
    <s v="O-S"/>
    <x v="0"/>
    <x v="0"/>
    <m/>
    <m/>
    <x v="1857"/>
    <m/>
    <x v="1579"/>
    <m/>
    <d v="2022-04-27T00:00:00"/>
    <d v="2022-04-29T00:00:00"/>
    <s v="CERRADO"/>
    <n v="203553"/>
    <x v="123"/>
    <x v="53"/>
    <x v="846"/>
    <d v="2021-12-15T00:00:00"/>
    <s v="CAD"/>
    <m/>
    <s v="F200-43288"/>
    <d v="2022-04-20T00:00:00"/>
    <d v="2022-04-24T00:00:00"/>
    <s v="CANCELADO"/>
    <s v="CFR"/>
    <m/>
    <x v="666"/>
    <n v="956.1"/>
    <m/>
    <x v="1538"/>
    <x v="5"/>
    <s v="Contenedor 20'"/>
    <m/>
    <s v="Granel Sólido"/>
    <s v="-"/>
    <s v="S/M"/>
    <s v="FEBRERO '22"/>
    <x v="0"/>
    <d v="2022-01-30T00:00:00"/>
    <d v="2022-04-05T00:00:00"/>
    <d v="2022-04-24T00:00:00"/>
    <x v="825"/>
    <d v="2022-04-28T00:00:00"/>
    <d v="2022-04-27T00:00:00"/>
    <x v="845"/>
    <n v="4"/>
    <n v="2022"/>
    <x v="0"/>
    <x v="2"/>
    <s v="AMBERES"/>
    <x v="0"/>
    <s v="DPWC"/>
    <x v="3"/>
    <x v="1364"/>
    <d v="2022-04-06T00:00:00"/>
    <s v="CALLAO EXPRESS"/>
    <x v="32"/>
    <x v="2"/>
    <s v="TRAMARSA"/>
    <s v="PENDIENTE"/>
    <s v="DESTINO"/>
    <m/>
    <m/>
    <m/>
    <x v="0"/>
    <d v="2022-05-06T00:00:00"/>
    <m/>
    <x v="79"/>
    <x v="43"/>
    <s v="SADA PL"/>
    <s v="VERDE"/>
    <x v="0"/>
    <e v="#REF!"/>
    <m/>
    <m/>
    <m/>
    <m/>
    <m/>
    <x v="0"/>
    <s v="PDTE: PRECIO CIF, FACTURA, SEGURO, 12 SE..ANULAR OC 8000001887"/>
    <m/>
    <m/>
    <m/>
    <s v="NACIONALIZADO"/>
    <m/>
    <m/>
    <m/>
  </r>
  <r>
    <n v="2021"/>
    <s v="O-S"/>
    <x v="0"/>
    <x v="0"/>
    <s v="URGENTE"/>
    <m/>
    <x v="1858"/>
    <s v="2022-53"/>
    <x v="1580"/>
    <d v="2022-05-02T00:00:00"/>
    <d v="2022-05-09T00:00:00"/>
    <d v="2022-05-13T00:00:00"/>
    <s v="CERRADO"/>
    <n v="203553"/>
    <x v="123"/>
    <x v="53"/>
    <x v="847"/>
    <d v="2021-12-15T00:00:00"/>
    <s v="CAD"/>
    <m/>
    <s v="F200-43301"/>
    <d v="2022-05-02T00:00:00"/>
    <d v="2022-05-06T00:00:00"/>
    <s v="CANCELADO"/>
    <s v="CFR"/>
    <m/>
    <x v="667"/>
    <n v="1171.46"/>
    <m/>
    <x v="1539"/>
    <x v="15"/>
    <s v="Contenedor 20'"/>
    <s v="-"/>
    <s v="Granel Sólido"/>
    <s v="-"/>
    <s v="S/M"/>
    <s v="MARZO '22"/>
    <x v="0"/>
    <d v="2022-01-30T00:00:00"/>
    <d v="2022-04-13T00:00:00"/>
    <d v="2022-05-03T00:00:00"/>
    <x v="826"/>
    <d v="2022-05-07T00:00:00"/>
    <d v="2022-05-12T00:00:00"/>
    <x v="891"/>
    <n v="5"/>
    <n v="2022"/>
    <x v="0"/>
    <x v="2"/>
    <s v="AMBERES"/>
    <x v="0"/>
    <m/>
    <x v="2"/>
    <x v="1365"/>
    <d v="2022-04-13T00:00:00"/>
    <s v="SANTOS EXPRESS"/>
    <x v="339"/>
    <x v="2"/>
    <s v="TRAMARSA"/>
    <s v="REALIZADO"/>
    <s v="DESTINO"/>
    <m/>
    <m/>
    <m/>
    <x v="0"/>
    <d v="2022-05-14T00:00:00"/>
    <m/>
    <x v="80"/>
    <x v="42"/>
    <s v="SADA DD"/>
    <s v="VERDE"/>
    <x v="0"/>
    <e v="#REF!"/>
    <m/>
    <m/>
    <m/>
    <m/>
    <m/>
    <x v="0"/>
    <s v="Pte: Todo. 12 SE. Roleo de MN por estabilidad"/>
    <m/>
    <m/>
    <m/>
    <s v="NACIONALIZADA"/>
    <m/>
    <m/>
    <m/>
  </r>
  <r>
    <n v="2021"/>
    <s v="O-S"/>
    <x v="0"/>
    <x v="0"/>
    <m/>
    <m/>
    <x v="1859"/>
    <s v="2022-54"/>
    <x v="1581"/>
    <m/>
    <d v="2022-05-03T00:00:00"/>
    <d v="1899-12-30T00:00:00"/>
    <s v="CERRADO"/>
    <n v="203553"/>
    <x v="123"/>
    <x v="53"/>
    <x v="848"/>
    <d v="2021-12-15T00:00:00"/>
    <s v="CAD"/>
    <m/>
    <s v="F200-43300"/>
    <d v="2022-04-28T00:00:00"/>
    <d v="2022-05-02T00:00:00"/>
    <s v="CANCELADO"/>
    <s v="CFR"/>
    <m/>
    <x v="611"/>
    <n v="963.63"/>
    <m/>
    <x v="1540"/>
    <x v="5"/>
    <s v="Contenedor 20'"/>
    <m/>
    <s v="Granel Sólido"/>
    <s v="-"/>
    <s v="-"/>
    <s v="MARZO '22"/>
    <x v="0"/>
    <d v="2022-01-30T00:00:00"/>
    <d v="2022-04-13T00:00:00"/>
    <d v="2022-04-30T00:00:00"/>
    <x v="827"/>
    <d v="2022-05-04T00:00:00"/>
    <m/>
    <x v="849"/>
    <n v="5"/>
    <n v="2022"/>
    <x v="0"/>
    <x v="2"/>
    <s v="AMBERES"/>
    <x v="2"/>
    <s v="DPWC"/>
    <x v="3"/>
    <x v="1366"/>
    <d v="2022-04-13T00:00:00"/>
    <s v="SANTOS EXPRESS"/>
    <x v="184"/>
    <x v="2"/>
    <s v="TRAMARSA"/>
    <s v="REALIZADO"/>
    <s v="DESTINO"/>
    <m/>
    <m/>
    <m/>
    <x v="0"/>
    <d v="2022-05-11T00:00:00"/>
    <m/>
    <x v="81"/>
    <x v="44"/>
    <s v="SADA PL"/>
    <s v="VERDE"/>
    <x v="0"/>
    <e v="#REF!"/>
    <m/>
    <m/>
    <m/>
    <m/>
    <m/>
    <x v="0"/>
    <s v="PTE: Todo. 12 SE. Anular oc 8000001910,8000001932"/>
    <s v="DEMORA POR DISPONIBILIDAD DE BOOKING"/>
    <m/>
    <m/>
    <s v="NACIONALIZADO"/>
    <m/>
    <m/>
    <m/>
  </r>
  <r>
    <n v="2021"/>
    <s v="T-S"/>
    <x v="0"/>
    <x v="0"/>
    <m/>
    <m/>
    <x v="1860"/>
    <m/>
    <x v="1582"/>
    <m/>
    <d v="2022-02-04T00:00:00"/>
    <d v="2022-02-04T00:00:00"/>
    <s v="CERRADO"/>
    <n v="208067"/>
    <x v="115"/>
    <x v="53"/>
    <x v="849"/>
    <d v="2021-12-15T00:00:00"/>
    <n v="30"/>
    <s v="días FACT."/>
    <s v="F200-43259"/>
    <m/>
    <d v="2022-03-29T00:00:00"/>
    <s v="CANCELADO"/>
    <s v="CFR"/>
    <m/>
    <x v="229"/>
    <n v="372.44"/>
    <m/>
    <x v="1541"/>
    <x v="10"/>
    <s v="Contenedor 20'"/>
    <m/>
    <s v="25 kg"/>
    <m/>
    <m/>
    <s v="ENERO '22"/>
    <x v="0"/>
    <d v="2022-01-30T00:00:00"/>
    <d v="2022-01-28T00:00:00"/>
    <d v="2022-02-01T00:00:00"/>
    <x v="798"/>
    <d v="2022-02-05T00:00:00"/>
    <m/>
    <x v="829"/>
    <n v="2"/>
    <n v="2022"/>
    <x v="0"/>
    <x v="0"/>
    <s v="CARTAGENA / COLOMBIA"/>
    <x v="0"/>
    <m/>
    <x v="2"/>
    <x v="1367"/>
    <d v="2022-01-28T00:00:00"/>
    <s v="DIMITRIS C"/>
    <x v="326"/>
    <x v="2"/>
    <m/>
    <s v="PENDIENTE"/>
    <s v="DESTINO"/>
    <m/>
    <m/>
    <m/>
    <x v="0"/>
    <m/>
    <m/>
    <x v="82"/>
    <x v="16"/>
    <s v="SADA DD"/>
    <s v="NARANJA"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861"/>
    <m/>
    <x v="1583"/>
    <m/>
    <d v="2022-02-04T00:00:00"/>
    <d v="2022-02-04T00:00:00"/>
    <s v="CERRADO"/>
    <n v="208067"/>
    <x v="115"/>
    <x v="53"/>
    <x v="849"/>
    <d v="2021-12-15T00:00:00"/>
    <n v="30"/>
    <s v="días FACT."/>
    <s v="F200-43257"/>
    <m/>
    <d v="2022-03-29T00:00:00"/>
    <s v="CANCELADO"/>
    <s v="CFR"/>
    <m/>
    <x v="229"/>
    <n v="372.44"/>
    <m/>
    <x v="1541"/>
    <x v="10"/>
    <s v="Contenedor 20'"/>
    <m/>
    <s v="25 kg"/>
    <m/>
    <m/>
    <s v="ENERO '22"/>
    <x v="0"/>
    <d v="2022-01-30T00:00:00"/>
    <d v="2022-01-28T00:00:00"/>
    <d v="2022-02-01T00:00:00"/>
    <x v="798"/>
    <d v="2022-02-05T00:00:00"/>
    <m/>
    <x v="892"/>
    <n v="2"/>
    <n v="2022"/>
    <x v="0"/>
    <x v="0"/>
    <s v="CARTAGENA / COLOMBIA"/>
    <x v="0"/>
    <m/>
    <x v="2"/>
    <x v="1368"/>
    <d v="2022-01-28T00:00:00"/>
    <s v="DIMITRIS C"/>
    <x v="326"/>
    <x v="2"/>
    <m/>
    <s v="PENDIENTE"/>
    <s v="DESTINO"/>
    <m/>
    <m/>
    <m/>
    <x v="0"/>
    <m/>
    <m/>
    <x v="83"/>
    <x v="16"/>
    <s v="SADA DD"/>
    <s v="VERDE"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862"/>
    <m/>
    <x v="1584"/>
    <m/>
    <d v="2022-02-21T00:00:00"/>
    <d v="2022-02-21T00:00:00"/>
    <s v="CERRADO"/>
    <n v="208067"/>
    <x v="115"/>
    <x v="53"/>
    <x v="850"/>
    <d v="2021-12-15T00:00:00"/>
    <n v="30"/>
    <s v="días FACT."/>
    <s v="F200-43256"/>
    <m/>
    <d v="2022-03-14T00:00:00"/>
    <s v="CANCELADO"/>
    <s v="CFR"/>
    <m/>
    <x v="136"/>
    <n v="372.44"/>
    <m/>
    <x v="1472"/>
    <x v="14"/>
    <s v="Contenedor 20'"/>
    <m/>
    <s v="25 kg"/>
    <m/>
    <m/>
    <s v="ENERO '22"/>
    <x v="0"/>
    <d v="2022-01-30T00:00:00"/>
    <d v="2022-01-13T00:00:00"/>
    <e v="#REF!"/>
    <x v="828"/>
    <d v="2022-02-13T00:00:00"/>
    <m/>
    <x v="875"/>
    <n v="2"/>
    <n v="2022"/>
    <x v="0"/>
    <x v="0"/>
    <s v="CARTAGENA / COLOMBIA"/>
    <x v="2"/>
    <m/>
    <x v="6"/>
    <x v="1369"/>
    <d v="2022-01-13T00:00:00"/>
    <s v="COSCO SHIPPING VOLGA"/>
    <x v="349"/>
    <x v="9"/>
    <s v="COLUMBUS"/>
    <s v="PENDIENTE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863"/>
    <m/>
    <x v="1585"/>
    <m/>
    <d v="2022-02-04T00:00:00"/>
    <d v="2022-02-04T00:00:00"/>
    <s v="CERRADO"/>
    <n v="208067"/>
    <x v="115"/>
    <x v="53"/>
    <x v="850"/>
    <d v="2021-12-15T00:00:00"/>
    <n v="30"/>
    <s v="días FACT."/>
    <s v="F200-43253"/>
    <m/>
    <d v="2022-03-21T00:00:00"/>
    <s v="CANCELADO"/>
    <s v="CFR"/>
    <m/>
    <x v="309"/>
    <n v="372.44"/>
    <m/>
    <x v="1542"/>
    <x v="5"/>
    <s v="Contenedor 20'"/>
    <m/>
    <s v="25 kg"/>
    <m/>
    <m/>
    <s v="ENERO '22"/>
    <x v="0"/>
    <d v="1899-12-30T00:00:00"/>
    <d v="2022-01-20T00:00:00"/>
    <d v="2022-01-28T00:00:00"/>
    <x v="614"/>
    <d v="2022-02-01T00:00:00"/>
    <m/>
    <x v="813"/>
    <n v="2"/>
    <n v="2022"/>
    <x v="0"/>
    <x v="0"/>
    <s v="CARTAGENA / COLOMBIA"/>
    <x v="2"/>
    <m/>
    <x v="3"/>
    <x v="1337"/>
    <d v="2022-01-20T00:00:00"/>
    <s v="CARTAGENA EXPRESS"/>
    <x v="39"/>
    <x v="2"/>
    <m/>
    <s v="PENDIENTE"/>
    <s v="DESTINO"/>
    <m/>
    <m/>
    <m/>
    <x v="0"/>
    <m/>
    <m/>
    <x v="0"/>
    <x v="0"/>
    <m/>
    <m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864"/>
    <m/>
    <x v="1586"/>
    <m/>
    <d v="2022-02-21T00:00:00"/>
    <d v="2022-02-21T00:00:00"/>
    <s v="CERRADO"/>
    <n v="208067"/>
    <x v="115"/>
    <x v="53"/>
    <x v="851"/>
    <d v="2021-12-15T00:00:00"/>
    <n v="30"/>
    <s v="días FACT."/>
    <s v="F200-43260"/>
    <m/>
    <d v="2022-03-29T00:00:00"/>
    <s v="CANCELADO"/>
    <s v="CFR"/>
    <m/>
    <x v="206"/>
    <n v="372.44"/>
    <m/>
    <x v="1543"/>
    <x v="7"/>
    <s v="Contenedor 20'"/>
    <m/>
    <s v="25 kg"/>
    <m/>
    <m/>
    <s v="ENERO '22"/>
    <x v="0"/>
    <d v="2022-01-30T00:00:00"/>
    <d v="2022-01-28T00:00:00"/>
    <d v="2022-02-11T00:00:00"/>
    <x v="715"/>
    <d v="2022-02-14T00:00:00"/>
    <m/>
    <x v="875"/>
    <n v="2"/>
    <n v="2022"/>
    <x v="0"/>
    <x v="0"/>
    <s v="CARTAGENA / COLOMBIA"/>
    <x v="4"/>
    <m/>
    <x v="2"/>
    <x v="1370"/>
    <d v="2022-01-28T00:00:00"/>
    <s v="DIMITRIS C"/>
    <x v="129"/>
    <x v="2"/>
    <m/>
    <s v="PENDIENTE"/>
    <s v="DESTINO"/>
    <m/>
    <m/>
    <m/>
    <x v="0"/>
    <m/>
    <m/>
    <x v="84"/>
    <x v="27"/>
    <s v="SADA DD"/>
    <s v="VERDE"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865"/>
    <m/>
    <x v="1587"/>
    <m/>
    <d v="2022-02-25T00:00:00"/>
    <d v="2022-02-25T00:00:00"/>
    <s v="CERRADO"/>
    <n v="208067"/>
    <x v="115"/>
    <x v="53"/>
    <x v="852"/>
    <d v="2021-12-15T00:00:00"/>
    <n v="30"/>
    <s v="días FACT."/>
    <s v="F200-43268"/>
    <m/>
    <d v="2022-03-25T00:00:00"/>
    <s v="CANCELADO"/>
    <s v="CFR"/>
    <m/>
    <x v="588"/>
    <n v="500"/>
    <m/>
    <x v="1544"/>
    <x v="21"/>
    <s v="Contenedor 20'"/>
    <m/>
    <s v="25 kg"/>
    <m/>
    <m/>
    <s v="FEBRERO '22"/>
    <x v="0"/>
    <d v="2022-01-30T00:00:00"/>
    <d v="2022-02-18T00:00:00"/>
    <d v="2022-02-22T00:00:00"/>
    <x v="719"/>
    <d v="2022-02-26T00:00:00"/>
    <m/>
    <x v="893"/>
    <n v="3"/>
    <n v="2022"/>
    <x v="0"/>
    <x v="0"/>
    <s v="CARTAGENA / COLOMBIA"/>
    <x v="0"/>
    <m/>
    <x v="2"/>
    <x v="1371"/>
    <d v="2022-02-18T00:00:00"/>
    <s v="AS PATRIA"/>
    <x v="339"/>
    <x v="2"/>
    <m/>
    <s v="PENDIENTE"/>
    <s v="DESTINO"/>
    <m/>
    <m/>
    <m/>
    <x v="0"/>
    <d v="2022-03-08T00:00:00"/>
    <m/>
    <x v="85"/>
    <x v="7"/>
    <s v="SADA DD"/>
    <s v="VERDE"/>
    <x v="0"/>
    <e v="#REF!"/>
    <m/>
    <m/>
    <m/>
    <m/>
    <m/>
    <x v="0"/>
    <s v="Daño de CNT por USD 108.80"/>
    <m/>
    <m/>
    <m/>
    <s v="NACIONALIZADO"/>
    <m/>
    <m/>
    <m/>
  </r>
  <r>
    <n v="2021"/>
    <s v="T-S"/>
    <x v="0"/>
    <x v="0"/>
    <m/>
    <m/>
    <x v="1866"/>
    <m/>
    <x v="1588"/>
    <m/>
    <d v="2022-03-06T00:00:00"/>
    <d v="2022-03-08T00:00:00"/>
    <s v="CERRADO"/>
    <n v="208067"/>
    <x v="115"/>
    <x v="53"/>
    <x v="853"/>
    <d v="2021-12-15T00:00:00"/>
    <n v="30"/>
    <s v="días FACT."/>
    <s v="F200-43271"/>
    <m/>
    <d v="2022-03-30T00:00:00"/>
    <s v="CANCELADO"/>
    <s v="CFR"/>
    <m/>
    <x v="136"/>
    <n v="500"/>
    <m/>
    <x v="790"/>
    <x v="14"/>
    <s v="Contenedor 20'"/>
    <m/>
    <s v="25 kg"/>
    <m/>
    <m/>
    <s v="FEBRERO '22"/>
    <x v="0"/>
    <d v="2022-01-30T00:00:00"/>
    <d v="2022-02-23T00:00:00"/>
    <e v="#REF!"/>
    <x v="806"/>
    <d v="2022-03-08T00:00:00"/>
    <m/>
    <x v="871"/>
    <n v="3"/>
    <n v="2022"/>
    <x v="0"/>
    <x v="0"/>
    <s v="CARTAGENA / COLOMBIA"/>
    <x v="2"/>
    <m/>
    <x v="3"/>
    <x v="1372"/>
    <d v="2022-02-23T00:00:00"/>
    <s v=" CMA CGM OHIO"/>
    <x v="325"/>
    <x v="9"/>
    <m/>
    <s v="REALIZADO"/>
    <s v="SWB"/>
    <m/>
    <m/>
    <m/>
    <x v="0"/>
    <d v="2022-03-17T00:00:00"/>
    <m/>
    <x v="86"/>
    <x v="45"/>
    <s v="SADA PL"/>
    <s v="VERDE"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867"/>
    <m/>
    <x v="1589"/>
    <m/>
    <d v="2022-03-01T00:00:00"/>
    <d v="2022-03-01T00:00:00"/>
    <s v="CERRADO"/>
    <n v="208067"/>
    <x v="115"/>
    <x v="53"/>
    <x v="853"/>
    <d v="2021-12-15T00:00:00"/>
    <n v="30"/>
    <s v="días FACT."/>
    <s v="F200-43269"/>
    <m/>
    <d v="2022-03-26T00:00:00"/>
    <s v="CANCELADO"/>
    <s v="CFR"/>
    <m/>
    <x v="136"/>
    <n v="500"/>
    <m/>
    <x v="790"/>
    <x v="14"/>
    <s v="Contenedor 20'"/>
    <m/>
    <s v="25 kg"/>
    <m/>
    <m/>
    <s v="FEBRERO '22"/>
    <x v="0"/>
    <d v="2022-01-30T00:00:00"/>
    <d v="2022-02-17T00:00:00"/>
    <e v="#REF!"/>
    <x v="738"/>
    <d v="2022-02-28T00:00:00"/>
    <m/>
    <x v="790"/>
    <n v="3"/>
    <n v="2022"/>
    <x v="0"/>
    <x v="0"/>
    <s v="CARTAGENA / COLOMBIA"/>
    <x v="2"/>
    <m/>
    <x v="3"/>
    <x v="1373"/>
    <d v="2022-02-17T00:00:00"/>
    <s v="SANTOS EXPRESS"/>
    <x v="184"/>
    <x v="9"/>
    <m/>
    <s v="PENDIENTE"/>
    <s v="DESTINO"/>
    <m/>
    <m/>
    <m/>
    <x v="0"/>
    <d v="2022-03-09T00:00:00"/>
    <m/>
    <x v="87"/>
    <x v="7"/>
    <s v="SADA PL"/>
    <s v="VERDE"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868"/>
    <m/>
    <x v="1590"/>
    <m/>
    <d v="2022-03-03T00:00:00"/>
    <d v="2022-03-03T00:00:00"/>
    <s v="CERRADO"/>
    <n v="208067"/>
    <x v="115"/>
    <x v="53"/>
    <x v="854"/>
    <d v="2021-12-15T00:00:00"/>
    <n v="30"/>
    <s v="días FACT."/>
    <s v="F200-43272"/>
    <m/>
    <d v="2022-03-30T00:00:00"/>
    <s v="CANCELADO"/>
    <s v="CFR"/>
    <m/>
    <x v="206"/>
    <n v="500"/>
    <m/>
    <x v="1545"/>
    <x v="7"/>
    <s v="Contenedor 20'"/>
    <m/>
    <s v="25 kg"/>
    <m/>
    <m/>
    <s v="FEBRERO '22"/>
    <x v="0"/>
    <d v="2022-01-30T00:00:00"/>
    <d v="2022-02-25T00:00:00"/>
    <d v="2022-03-01T00:00:00"/>
    <x v="802"/>
    <d v="2022-03-05T00:00:00"/>
    <m/>
    <x v="894"/>
    <n v="3"/>
    <n v="2022"/>
    <x v="0"/>
    <x v="0"/>
    <s v="CARTAGENA / COLOMBIA"/>
    <x v="0"/>
    <m/>
    <x v="2"/>
    <x v="1374"/>
    <d v="2022-02-25T00:00:00"/>
    <s v=" DIMITRIS C"/>
    <x v="360"/>
    <x v="2"/>
    <m/>
    <s v="PENDIENTE"/>
    <s v="DESTINO"/>
    <m/>
    <m/>
    <m/>
    <x v="0"/>
    <d v="2022-03-15T00:00:00"/>
    <m/>
    <x v="88"/>
    <x v="45"/>
    <s v="SADA DD"/>
    <s v="VERDE"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869"/>
    <s v="2022-46"/>
    <x v="1591"/>
    <m/>
    <d v="2022-03-22T00:00:00"/>
    <d v="2022-03-21T00:00:00"/>
    <s v="CERRADO"/>
    <n v="208067"/>
    <x v="115"/>
    <x v="53"/>
    <x v="855"/>
    <d v="2021-12-15T00:00:00"/>
    <n v="30"/>
    <s v="días FACT."/>
    <s v="F200-43279"/>
    <m/>
    <d v="2022-04-14T00:00:00"/>
    <s v="CANCELADO"/>
    <s v="CFR"/>
    <m/>
    <x v="304"/>
    <n v="500"/>
    <m/>
    <x v="1546"/>
    <x v="6"/>
    <s v="Contenedor 20'"/>
    <m/>
    <s v="25 kg"/>
    <m/>
    <m/>
    <s v="MARZO '22"/>
    <x v="0"/>
    <d v="2022-01-30T00:00:00"/>
    <d v="2022-03-11T00:00:00"/>
    <d v="2022-03-15T00:00:00"/>
    <x v="756"/>
    <d v="2022-03-19T00:00:00"/>
    <m/>
    <x v="895"/>
    <n v="3"/>
    <n v="2022"/>
    <x v="0"/>
    <x v="0"/>
    <s v="CARTAGENA / COLOMBIA"/>
    <x v="0"/>
    <m/>
    <x v="2"/>
    <x v="1375"/>
    <d v="2022-03-11T00:00:00"/>
    <s v="DIMITRIS C"/>
    <x v="326"/>
    <x v="2"/>
    <m/>
    <s v="PENDIENTE"/>
    <s v="DESTINO"/>
    <m/>
    <m/>
    <m/>
    <x v="0"/>
    <d v="2022-03-29T00:00:00"/>
    <m/>
    <x v="89"/>
    <x v="46"/>
    <s v="SADA DD"/>
    <s v="VERDE"/>
    <x v="0"/>
    <e v="#REF!"/>
    <m/>
    <m/>
    <m/>
    <m/>
    <m/>
    <x v="0"/>
    <m/>
    <m/>
    <m/>
    <m/>
    <s v="NACIONALIZADO"/>
    <m/>
    <m/>
    <m/>
  </r>
  <r>
    <n v="2021"/>
    <s v="T-S"/>
    <x v="0"/>
    <x v="0"/>
    <m/>
    <m/>
    <x v="1870"/>
    <s v="2022-46"/>
    <x v="1592"/>
    <m/>
    <d v="2022-03-23T00:00:00"/>
    <d v="2022-03-31T00:00:00"/>
    <s v="CERRADO"/>
    <n v="208067"/>
    <x v="115"/>
    <x v="53"/>
    <x v="855"/>
    <d v="2021-12-15T00:00:00"/>
    <n v="30"/>
    <s v="días FACT."/>
    <s v="F200-43281"/>
    <d v="2022-03-21T00:00:00"/>
    <d v="2022-04-20T00:00:00"/>
    <s v="CANCELADO"/>
    <s v="CFR"/>
    <m/>
    <x v="538"/>
    <n v="500"/>
    <m/>
    <x v="1547"/>
    <x v="2"/>
    <s v="Contenedor 20'"/>
    <m/>
    <s v="25 kg"/>
    <s v="-"/>
    <s v="YARATERA CALCINIT"/>
    <s v="MARZO '22"/>
    <x v="0"/>
    <d v="2022-01-30T00:00:00"/>
    <d v="2022-03-18T00:00:00"/>
    <d v="2022-03-22T00:00:00"/>
    <x v="793"/>
    <d v="2022-03-30T00:00:00"/>
    <m/>
    <x v="896"/>
    <n v="3"/>
    <n v="2022"/>
    <x v="0"/>
    <x v="0"/>
    <s v="CARTAGENA / COLOMBIA"/>
    <x v="0"/>
    <m/>
    <x v="2"/>
    <x v="1376"/>
    <d v="2022-03-18T00:00:00"/>
    <s v="AS PATRIA"/>
    <x v="339"/>
    <x v="2"/>
    <m/>
    <s v="REALIZADO"/>
    <s v="DESTINO"/>
    <m/>
    <m/>
    <m/>
    <x v="0"/>
    <m/>
    <m/>
    <x v="90"/>
    <x v="47"/>
    <s v="SADA DD"/>
    <s v="VERDE"/>
    <x v="0"/>
    <e v="#REF!"/>
    <m/>
    <m/>
    <m/>
    <m/>
    <m/>
    <x v="0"/>
    <s v="Todo Ok."/>
    <m/>
    <m/>
    <m/>
    <s v="NACIONALIZADO"/>
    <m/>
    <m/>
    <m/>
  </r>
  <r>
    <n v="2021"/>
    <s v="T-S"/>
    <x v="0"/>
    <x v="0"/>
    <m/>
    <m/>
    <x v="1871"/>
    <s v="2022-46"/>
    <x v="1593"/>
    <m/>
    <d v="2022-04-05T00:00:00"/>
    <d v="2022-04-21T00:00:00"/>
    <s v="CERRADO"/>
    <n v="208067"/>
    <x v="115"/>
    <x v="53"/>
    <x v="856"/>
    <d v="2021-12-15T00:00:00"/>
    <n v="30"/>
    <s v="días FACT."/>
    <s v="F200-43286"/>
    <d v="2022-04-11T00:00:00"/>
    <d v="2022-05-11T00:00:00"/>
    <s v="CANCELADO"/>
    <s v="CFR"/>
    <m/>
    <x v="337"/>
    <n v="850"/>
    <m/>
    <x v="1548"/>
    <x v="9"/>
    <s v="Contenedor 20'"/>
    <m/>
    <s v="25 kg"/>
    <s v="-"/>
    <s v="YARATERA CALCINIT"/>
    <s v="MARZO '22"/>
    <x v="0"/>
    <d v="2022-01-30T00:00:00"/>
    <d v="2022-04-07T00:00:00"/>
    <d v="2022-04-13T00:00:00"/>
    <x v="821"/>
    <d v="2022-04-17T00:00:00"/>
    <m/>
    <x v="897"/>
    <n v="4"/>
    <n v="2022"/>
    <x v="0"/>
    <x v="9"/>
    <s v="CARTAGENA / COLOMBIA"/>
    <x v="0"/>
    <s v="TPE"/>
    <x v="2"/>
    <x v="1377"/>
    <d v="2022-04-08T00:00:00"/>
    <s v="DIMITRIS C"/>
    <x v="326"/>
    <x v="2"/>
    <s v="TRAMARSA"/>
    <s v="REALIZADO"/>
    <s v="DESTINO"/>
    <m/>
    <m/>
    <m/>
    <x v="0"/>
    <d v="2022-04-26T00:00:00"/>
    <m/>
    <x v="91"/>
    <x v="48"/>
    <s v="SADA DD"/>
    <s v="VERDE"/>
    <x v="0"/>
    <s v="OK"/>
    <m/>
    <m/>
    <m/>
    <m/>
    <m/>
    <x v="0"/>
    <s v="Demora en liberación de BL (fds). Daño de CNT por USD 29.50 "/>
    <m/>
    <m/>
    <m/>
    <s v="NACIONALIZADO"/>
    <m/>
    <m/>
    <m/>
  </r>
  <r>
    <n v="2021"/>
    <s v="T-S"/>
    <x v="0"/>
    <x v="0"/>
    <m/>
    <m/>
    <x v="1872"/>
    <s v="2022-46"/>
    <x v="1594"/>
    <m/>
    <d v="2022-04-19T00:00:00"/>
    <d v="2022-04-21T00:00:00"/>
    <s v="CERRADO"/>
    <n v="208067"/>
    <x v="115"/>
    <x v="53"/>
    <x v="855"/>
    <d v="2021-12-15T00:00:00"/>
    <n v="30"/>
    <s v="días FACT."/>
    <s v="F200-43287"/>
    <d v="2022-04-11T00:00:00"/>
    <d v="2022-05-11T00:00:00"/>
    <s v="CANCELADO"/>
    <s v="CFR"/>
    <m/>
    <x v="304"/>
    <n v="850"/>
    <m/>
    <x v="880"/>
    <x v="6"/>
    <s v="Contenedor 20'"/>
    <m/>
    <s v="25 kg"/>
    <s v="-"/>
    <s v="YARATERA CALCINIT"/>
    <s v="MARZO '22"/>
    <x v="0"/>
    <d v="2022-01-30T00:00:00"/>
    <d v="2022-04-07T00:00:00"/>
    <d v="2022-04-13T00:00:00"/>
    <x v="821"/>
    <d v="2022-04-17T00:00:00"/>
    <m/>
    <x v="897"/>
    <n v="4"/>
    <n v="2022"/>
    <x v="0"/>
    <x v="9"/>
    <s v="CARTAGENA / COLOMBIA"/>
    <x v="0"/>
    <s v="TPE"/>
    <x v="2"/>
    <x v="1378"/>
    <d v="2022-04-08T00:00:00"/>
    <s v="DIMITRIS C"/>
    <x v="326"/>
    <x v="2"/>
    <s v="TRAMARSA"/>
    <s v="REALIZADO"/>
    <s v="DESTINO"/>
    <m/>
    <m/>
    <m/>
    <x v="0"/>
    <d v="2022-04-26T00:00:00"/>
    <m/>
    <x v="92"/>
    <x v="48"/>
    <s v="SADA DD"/>
    <s v="VERDE"/>
    <x v="0"/>
    <s v="OK"/>
    <m/>
    <m/>
    <m/>
    <m/>
    <m/>
    <x v="0"/>
    <s v="Demora en liberación de BL (fds). Daño de CNT por USD 29.50 "/>
    <m/>
    <m/>
    <m/>
    <s v="NACIONALIZADO"/>
    <m/>
    <m/>
    <m/>
  </r>
  <r>
    <n v="2021"/>
    <s v="T-S"/>
    <x v="0"/>
    <x v="0"/>
    <m/>
    <m/>
    <x v="1873"/>
    <s v="2022-47"/>
    <x v="1595"/>
    <m/>
    <d v="2022-04-19T00:00:00"/>
    <d v="2022-04-21T00:00:00"/>
    <s v="CERRADO"/>
    <n v="208067"/>
    <x v="115"/>
    <x v="53"/>
    <x v="857"/>
    <d v="2021-12-15T00:00:00"/>
    <n v="30"/>
    <s v="días FACT."/>
    <s v="F200-43282"/>
    <d v="2022-03-23T00:00:00"/>
    <d v="2022-04-22T00:00:00"/>
    <s v="CANCELADO"/>
    <s v="CFR"/>
    <m/>
    <x v="668"/>
    <n v="500"/>
    <m/>
    <x v="1549"/>
    <x v="11"/>
    <s v="Contenedor 20'"/>
    <m/>
    <s v="25 kg"/>
    <s v="-"/>
    <s v="YARATERA CALCINIT"/>
    <s v="MARZO '22"/>
    <x v="0"/>
    <d v="2022-01-30T00:00:00"/>
    <d v="2022-03-24T00:00:00"/>
    <e v="#REF!"/>
    <x v="739"/>
    <d v="2022-04-07T00:00:00"/>
    <m/>
    <x v="881"/>
    <n v="4"/>
    <n v="2022"/>
    <x v="0"/>
    <x v="9"/>
    <s v="CARTAGENA / COLOMBIA"/>
    <x v="2"/>
    <s v="DPWC"/>
    <x v="3"/>
    <x v="1379"/>
    <d v="2022-03-25T00:00:00"/>
    <s v="GUAYAQUIL EXPRESS"/>
    <x v="39"/>
    <x v="2"/>
    <s v="TRAMARSA"/>
    <s v="REALIZADO"/>
    <s v="DESTINO"/>
    <m/>
    <m/>
    <m/>
    <x v="0"/>
    <d v="2022-04-17T00:00:00"/>
    <m/>
    <x v="66"/>
    <x v="41"/>
    <s v="SADA PL"/>
    <s v="VERDE"/>
    <x v="0"/>
    <e v="#REF!"/>
    <m/>
    <m/>
    <m/>
    <m/>
    <m/>
    <x v="0"/>
    <s v="Todo ok. 1/8 CNTs descargados., OC anulada 8000001867, 8000001919"/>
    <m/>
    <m/>
    <m/>
    <s v="NACIONALIZADO"/>
    <m/>
    <m/>
    <m/>
  </r>
  <r>
    <n v="2021"/>
    <s v="T-S"/>
    <x v="0"/>
    <x v="0"/>
    <m/>
    <m/>
    <x v="1874"/>
    <s v="2022-47"/>
    <x v="1596"/>
    <m/>
    <d v="2022-04-11T00:00:00"/>
    <d v="2022-04-21T00:00:00"/>
    <s v="CERRADO"/>
    <n v="208067"/>
    <x v="115"/>
    <x v="53"/>
    <x v="857"/>
    <d v="2021-12-15T00:00:00"/>
    <n v="30"/>
    <s v="días FACT."/>
    <s v="F200-43282"/>
    <d v="2022-03-23T00:00:00"/>
    <d v="2022-04-22T00:00:00"/>
    <s v="CANCELADO"/>
    <s v="CFR"/>
    <m/>
    <x v="669"/>
    <n v="500"/>
    <m/>
    <x v="1550"/>
    <x v="9"/>
    <s v="Contenedor 20'"/>
    <m/>
    <s v="25 kg"/>
    <s v="-"/>
    <s v="YARATERA CALCINIT"/>
    <s v="MARZO '22"/>
    <x v="0"/>
    <d v="2022-01-30T00:00:00"/>
    <d v="2022-03-24T00:00:00"/>
    <e v="#REF!"/>
    <x v="821"/>
    <d v="2022-04-17T00:00:00"/>
    <m/>
    <x v="897"/>
    <n v="4"/>
    <n v="2022"/>
    <x v="0"/>
    <x v="9"/>
    <s v="CARTAGENA / COLOMBIA"/>
    <x v="2"/>
    <s v="DPWC"/>
    <x v="3"/>
    <x v="1379"/>
    <d v="2022-03-25T00:00:00"/>
    <s v="CARTAGENA EXPRESS   "/>
    <x v="388"/>
    <x v="2"/>
    <s v="TRAMARSA"/>
    <s v="REALIZADO"/>
    <s v="DESTINO"/>
    <m/>
    <m/>
    <m/>
    <x v="0"/>
    <d v="2022-04-27T00:00:00"/>
    <m/>
    <x v="93"/>
    <x v="38"/>
    <s v="SADA PL"/>
    <s v="VERDE"/>
    <x v="0"/>
    <e v="#REF!"/>
    <m/>
    <m/>
    <m/>
    <m/>
    <m/>
    <x v="0"/>
    <s v="Todo ok. 7 CNTs restantes. Daño de CNT por USD USD 274.79 (posterior al cierre de provisión)."/>
    <m/>
    <m/>
    <m/>
    <s v="NACIONALIZADO"/>
    <m/>
    <m/>
    <m/>
  </r>
  <r>
    <n v="2021"/>
    <s v="T-S"/>
    <x v="0"/>
    <x v="0"/>
    <m/>
    <m/>
    <x v="1875"/>
    <s v="2022-47"/>
    <x v="1597"/>
    <m/>
    <d v="2022-03-23T00:00:00"/>
    <d v="2022-03-28T00:00:00"/>
    <s v="CERRADO"/>
    <n v="208067"/>
    <x v="115"/>
    <x v="53"/>
    <x v="857"/>
    <d v="2021-12-15T00:00:00"/>
    <n v="30"/>
    <s v="días FACT."/>
    <s v=" F200-43277"/>
    <m/>
    <d v="2022-04-10T00:00:00"/>
    <s v="CANCELADO"/>
    <s v="CFR"/>
    <m/>
    <x v="309"/>
    <n v="500"/>
    <m/>
    <x v="39"/>
    <x v="5"/>
    <s v="Contenedor 20'"/>
    <m/>
    <s v="25 kg"/>
    <s v="-"/>
    <s v="YARATERA CALCINIT"/>
    <s v="MARZO '22"/>
    <x v="0"/>
    <d v="2022-01-30T00:00:00"/>
    <d v="2022-03-08T00:00:00"/>
    <e v="#REF!"/>
    <x v="793"/>
    <d v="2022-03-26T00:00:00"/>
    <m/>
    <x v="898"/>
    <n v="3"/>
    <n v="2022"/>
    <x v="0"/>
    <x v="0"/>
    <s v="CARTAGENA / COLOMBIA"/>
    <x v="2"/>
    <m/>
    <x v="3"/>
    <x v="1380"/>
    <d v="2022-03-08T00:00:00"/>
    <s v="COSCO SHIPPING VOLGA"/>
    <x v="349"/>
    <x v="9"/>
    <m/>
    <s v="REALIZADO"/>
    <s v="SWB"/>
    <m/>
    <m/>
    <m/>
    <x v="0"/>
    <d v="2022-04-05T00:00:00"/>
    <m/>
    <x v="94"/>
    <x v="24"/>
    <s v="SADA PL"/>
    <s v="VERDE"/>
    <x v="0"/>
    <e v="#REF!"/>
    <m/>
    <m/>
    <m/>
    <m/>
    <m/>
    <x v="0"/>
    <s v="Todo ok"/>
    <m/>
    <m/>
    <m/>
    <s v="NACIONALIZADO"/>
    <m/>
    <m/>
    <m/>
  </r>
  <r>
    <n v="2021"/>
    <s v="T-S"/>
    <x v="0"/>
    <x v="0"/>
    <m/>
    <m/>
    <x v="1876"/>
    <s v="2022-46"/>
    <x v="1598"/>
    <m/>
    <d v="2022-03-09T00:00:00"/>
    <d v="2022-03-10T00:00:00"/>
    <s v="CERRADO"/>
    <n v="208067"/>
    <x v="115"/>
    <x v="53"/>
    <x v="858"/>
    <d v="2021-12-15T00:00:00"/>
    <n v="30"/>
    <s v="días FACT."/>
    <s v="F200-43274"/>
    <m/>
    <d v="2022-04-07T00:00:00"/>
    <s v="CANCELADO"/>
    <s v="CFR"/>
    <m/>
    <x v="575"/>
    <n v="500"/>
    <m/>
    <x v="1551"/>
    <x v="11"/>
    <s v="Contenedor 20'"/>
    <m/>
    <s v="25 kg"/>
    <s v="-"/>
    <m/>
    <s v="MARZO '22"/>
    <x v="0"/>
    <d v="2022-01-30T00:00:00"/>
    <d v="2022-03-04T00:00:00"/>
    <d v="2022-03-09T00:00:00"/>
    <x v="829"/>
    <d v="2022-03-13T00:00:00"/>
    <m/>
    <x v="899"/>
    <n v="3"/>
    <n v="2022"/>
    <x v="0"/>
    <x v="0"/>
    <s v="CARTAGENA / COLOMBIA"/>
    <x v="0"/>
    <m/>
    <x v="2"/>
    <x v="1381"/>
    <d v="2022-03-04T00:00:00"/>
    <s v="AS PATRIA"/>
    <x v="339"/>
    <x v="2"/>
    <m/>
    <s v="REALIZADO"/>
    <s v="DESTINO"/>
    <m/>
    <m/>
    <m/>
    <x v="0"/>
    <m/>
    <m/>
    <x v="95"/>
    <x v="49"/>
    <s v="SADA PL"/>
    <s v="VERDE"/>
    <x v="0"/>
    <e v="#REF!"/>
    <m/>
    <m/>
    <m/>
    <m/>
    <m/>
    <x v="0"/>
    <s v="Daño de CNT por USD 29.50"/>
    <m/>
    <m/>
    <m/>
    <s v="NACIONALIZADO"/>
    <m/>
    <m/>
    <m/>
  </r>
  <r>
    <n v="2021"/>
    <e v="#N/A"/>
    <x v="0"/>
    <x v="0"/>
    <s v="NORMAL"/>
    <m/>
    <x v="1877"/>
    <s v="2022-55"/>
    <x v="1599"/>
    <d v="2021-12-17T00:00:00"/>
    <d v="2022-05-25T00:00:00"/>
    <d v="2022-05-26T00:00:00"/>
    <s v="CERRADO"/>
    <n v="206630"/>
    <x v="156"/>
    <x v="51"/>
    <x v="859"/>
    <d v="2021-12-30T00:00:00"/>
    <s v="CAD"/>
    <m/>
    <s v="5000940"/>
    <d v="2022-03-06T00:00:00"/>
    <d v="2022-03-11T00:00:00"/>
    <s v="CANCELADO"/>
    <s v="CPT"/>
    <s v="N/A"/>
    <x v="8"/>
    <n v="600.5"/>
    <n v="281.5"/>
    <x v="1552"/>
    <x v="2"/>
    <s v="Contenedor 20'"/>
    <s v="PALLETS"/>
    <s v="BB - Granel"/>
    <n v="1"/>
    <s v="-"/>
    <s v="ENERO - FEBRERO 22'"/>
    <x v="1"/>
    <d v="2022-03-06T00:00:00"/>
    <d v="2022-03-06T00:00:00"/>
    <d v="2022-05-20T00:00:00"/>
    <x v="809"/>
    <d v="2022-05-24T00:00:00"/>
    <d v="2022-05-24T00:00:00"/>
    <x v="876"/>
    <n v="5"/>
    <n v="2022"/>
    <x v="3"/>
    <x v="11"/>
    <s v="ALEXANDRIA"/>
    <x v="0"/>
    <s v="TPE"/>
    <x v="2"/>
    <x v="1382"/>
    <d v="2022-03-06T00:00:00"/>
    <s v="MSC GIANINA"/>
    <x v="389"/>
    <x v="4"/>
    <s v="MEDLOG"/>
    <s v="REALIZADO"/>
    <s v="DESTINO"/>
    <m/>
    <m/>
    <m/>
    <x v="4"/>
    <d v="2022-05-25T00:00:00"/>
    <m/>
    <x v="96"/>
    <x v="50"/>
    <s v="SADA DD"/>
    <s v="ROJO"/>
    <x v="0"/>
    <s v="OK"/>
    <m/>
    <s v="7C2000-2022-I-000891"/>
    <m/>
    <m/>
    <d v="2022-05-11T00:00:00"/>
    <x v="2"/>
    <s v="AUTORIZACIÓN VIGENTE 10/08"/>
    <m/>
    <m/>
    <m/>
    <m/>
    <m/>
    <m/>
    <m/>
  </r>
  <r>
    <n v="2022"/>
    <s v="S-C"/>
    <x v="0"/>
    <x v="0"/>
    <s v="URGENTE"/>
    <m/>
    <x v="1878"/>
    <s v="2021-912"/>
    <x v="1600"/>
    <d v="2022-02-18T00:00:00"/>
    <d v="2022-05-09T00:00:00"/>
    <d v="2022-05-16T00:00:00"/>
    <s v="CERRADO"/>
    <n v="207580"/>
    <x v="32"/>
    <x v="51"/>
    <x v="860"/>
    <d v="2022-01-06T00:00:00"/>
    <n v="90"/>
    <s v="días BL"/>
    <s v="5000917"/>
    <d v="2022-02-17T00:00:00"/>
    <d v="2022-05-18T00:00:00"/>
    <s v="CANCELADO"/>
    <s v="CPT"/>
    <m/>
    <x v="170"/>
    <n v="1531"/>
    <n v="418.18"/>
    <x v="1553"/>
    <x v="20"/>
    <s v="Contenedor 20'"/>
    <s v="CARGA SUELTA"/>
    <s v="25 kg"/>
    <s v="-"/>
    <s v="NEUTRAL"/>
    <s v="2H ENE - 2H MAR '22"/>
    <x v="1"/>
    <d v="2022-02-17T00:00:00"/>
    <d v="2022-02-17T00:00:00"/>
    <d v="2022-03-29T00:00:00"/>
    <x v="830"/>
    <d v="2022-05-20T00:00:00"/>
    <m/>
    <x v="900"/>
    <n v="5"/>
    <n v="2022"/>
    <x v="3"/>
    <x v="1"/>
    <s v="QINGDAO"/>
    <x v="0"/>
    <s v="TPE"/>
    <x v="2"/>
    <x v="1383"/>
    <d v="2022-02-17T00:00:00"/>
    <s v="VALOR"/>
    <x v="390"/>
    <x v="4"/>
    <s v="MEDLOG"/>
    <s v="REALIZADO"/>
    <s v="ORIGEN"/>
    <m/>
    <m/>
    <m/>
    <x v="0"/>
    <d v="2022-05-20T00:00:00"/>
    <m/>
    <x v="97"/>
    <x v="51"/>
    <s v="SADA DD"/>
    <s v="VERDE"/>
    <x v="0"/>
    <e v="#REF!"/>
    <s v="N° 03117-2021-SUCAMEC/GEPP"/>
    <n v="202200123301"/>
    <n v="2022252389"/>
    <d v="2022-05-13T00:00:00"/>
    <d v="2022-05-19T00:00:00"/>
    <x v="3"/>
    <m/>
    <s v="CONGESTION EN PUERTO - INTERMEDIARIO"/>
    <m/>
    <m/>
    <s v="NACIONALIZADO"/>
    <m/>
    <m/>
    <m/>
  </r>
  <r>
    <n v="2022"/>
    <s v="S-C"/>
    <x v="1"/>
    <x v="6"/>
    <s v="URGENTE"/>
    <m/>
    <x v="1879"/>
    <m/>
    <x v="1601"/>
    <d v="2022-02-18T00:00:00"/>
    <d v="2022-05-30T00:00:00"/>
    <m/>
    <s v="PENDIENTE"/>
    <n v="207580"/>
    <x v="32"/>
    <x v="51"/>
    <x v="860"/>
    <d v="2022-01-06T00:00:00"/>
    <n v="90"/>
    <s v="días BL"/>
    <s v="5000950"/>
    <d v="2022-03-08T00:00:00"/>
    <d v="2022-06-06T00:00:00"/>
    <s v="PENDIENTE"/>
    <s v="CPT"/>
    <s v="N/A"/>
    <x v="170"/>
    <n v="1531"/>
    <n v="418.2"/>
    <x v="1553"/>
    <x v="20"/>
    <s v="Contenedor 20'"/>
    <s v="CARGA SUELTA"/>
    <s v="25 kg"/>
    <s v="-"/>
    <s v="NEUTRAL"/>
    <s v="2H ENE - 2H MAR '22"/>
    <x v="1"/>
    <d v="2022-03-08T00:00:00"/>
    <d v="2022-03-08T00:00:00"/>
    <d v="2022-04-17T00:00:00"/>
    <x v="755"/>
    <d v="2022-06-06T00:00:00"/>
    <d v="2022-05-28T00:00:00"/>
    <x v="901"/>
    <n v="5"/>
    <n v="2022"/>
    <x v="3"/>
    <x v="1"/>
    <s v="QINGDAO"/>
    <x v="0"/>
    <s v="TPE"/>
    <x v="2"/>
    <x v="1384"/>
    <d v="2022-03-08T00:00:00"/>
    <s v="MSC ANTONELLA"/>
    <x v="390"/>
    <x v="4"/>
    <s v="MEDLOG"/>
    <s v="REALIZADO"/>
    <s v="DESTINO"/>
    <m/>
    <m/>
    <m/>
    <x v="5"/>
    <d v="2022-06-09T00:00:00"/>
    <m/>
    <x v="98"/>
    <x v="52"/>
    <s v="SADA PL"/>
    <s v="VERDE"/>
    <x v="0"/>
    <s v="OK"/>
    <s v="N° 03117-2021-SUCAMEC/GEPP"/>
    <n v="202200149561"/>
    <n v="2022299634"/>
    <m/>
    <m/>
    <x v="4"/>
    <s v="PENDIENTE PROGRAMACION DE INSPECCIÓN"/>
    <s v="CONGESTION EN PUERTO - ORIGEN"/>
    <m/>
    <m/>
    <m/>
    <m/>
    <m/>
    <m/>
  </r>
  <r>
    <n v="2022"/>
    <s v="S-C"/>
    <x v="0"/>
    <x v="0"/>
    <s v="URGENTE"/>
    <m/>
    <x v="1880"/>
    <s v="2021-912"/>
    <x v="1602"/>
    <d v="2022-05-18T00:00:00"/>
    <d v="2022-05-17T00:00:00"/>
    <d v="2022-05-18T00:00:00"/>
    <s v="CERRADO"/>
    <n v="207580"/>
    <x v="32"/>
    <x v="51"/>
    <x v="860"/>
    <d v="2022-01-06T00:00:00"/>
    <n v="90"/>
    <s v="días BL"/>
    <s v="5000970"/>
    <d v="2022-03-16T00:00:00"/>
    <d v="2022-06-14T00:00:00"/>
    <s v="PENDIENTE"/>
    <s v="CPT"/>
    <s v="N/A"/>
    <x v="170"/>
    <n v="1531"/>
    <n v="418.2"/>
    <x v="1553"/>
    <x v="20"/>
    <s v="Contenedor 20'"/>
    <s v="CARGA SUELTA"/>
    <s v="25 kg"/>
    <s v="-"/>
    <s v="NEUTRAL"/>
    <s v="2H ENE - 2H MAR '22"/>
    <x v="1"/>
    <d v="2022-03-16T00:00:00"/>
    <d v="2022-03-16T00:00:00"/>
    <d v="2022-04-25T00:00:00"/>
    <x v="816"/>
    <d v="2022-05-27T00:00:00"/>
    <d v="2022-05-16T00:00:00"/>
    <x v="902"/>
    <n v="5"/>
    <n v="2022"/>
    <x v="3"/>
    <x v="1"/>
    <s v="QINGDAO"/>
    <x v="0"/>
    <s v="TPE"/>
    <x v="2"/>
    <x v="1385"/>
    <d v="2022-03-16T00:00:00"/>
    <s v="MAERSK STOCKHOLM"/>
    <x v="193"/>
    <x v="3"/>
    <s v="COLUMBUS"/>
    <s v="REALIZADO"/>
    <s v="ORIGEN"/>
    <s v="046-2022-249"/>
    <m/>
    <m/>
    <x v="6"/>
    <d v="2022-05-18T00:00:00"/>
    <m/>
    <x v="99"/>
    <x v="39"/>
    <s v="SADA PL"/>
    <s v="VERDE"/>
    <x v="0"/>
    <s v="OK"/>
    <s v="N° 03117-2021-SUCAMEC/GEPP"/>
    <n v="202200134598"/>
    <n v="2022273244"/>
    <d v="2022-05-23T00:00:00"/>
    <m/>
    <x v="3"/>
    <m/>
    <s v="CONGESTION EN PUERTO - ORIGEN"/>
    <s v="ANULAR OC 8000001842"/>
    <m/>
    <m/>
    <m/>
    <m/>
    <m/>
  </r>
  <r>
    <n v="2022"/>
    <s v="S-C"/>
    <x v="0"/>
    <x v="0"/>
    <s v="URGENTE"/>
    <m/>
    <x v="1881"/>
    <s v="2021-912"/>
    <x v="1603"/>
    <d v="2022-04-07T00:00:00"/>
    <d v="2022-05-17T00:00:00"/>
    <d v="2022-05-18T00:00:00"/>
    <s v="CERRADO"/>
    <n v="207580"/>
    <x v="32"/>
    <x v="51"/>
    <x v="860"/>
    <d v="2022-01-06T00:00:00"/>
    <n v="90"/>
    <s v="días BL"/>
    <s v="5000971"/>
    <d v="2022-03-16T00:00:00"/>
    <d v="2022-06-14T00:00:00"/>
    <s v="PENDIENTE"/>
    <s v="CPT"/>
    <s v="N/A"/>
    <x v="170"/>
    <n v="1531"/>
    <n v="418.2"/>
    <x v="1553"/>
    <x v="20"/>
    <s v="Contenedor 20'"/>
    <s v="CARGA SUELTA"/>
    <s v="25 kg"/>
    <s v="-"/>
    <s v="NEUTRAL"/>
    <s v="2H ENE - 2H MAR '22"/>
    <x v="1"/>
    <d v="2022-03-16T00:00:00"/>
    <d v="2022-03-16T00:00:00"/>
    <d v="2022-04-25T00:00:00"/>
    <x v="816"/>
    <d v="2022-05-27T00:00:00"/>
    <d v="2022-05-17T00:00:00"/>
    <x v="902"/>
    <n v="5"/>
    <n v="2022"/>
    <x v="3"/>
    <x v="1"/>
    <s v="QINGDAO"/>
    <x v="0"/>
    <s v="TPE"/>
    <x v="2"/>
    <x v="1386"/>
    <d v="2022-03-16T00:00:00"/>
    <s v="MAERSK STOCKHOLM"/>
    <x v="193"/>
    <x v="3"/>
    <s v="COLUMBUS"/>
    <s v="REALIZADO"/>
    <s v="ORIGEN"/>
    <s v="046-2022-249"/>
    <m/>
    <m/>
    <x v="6"/>
    <d v="2022-05-18T00:00:00"/>
    <m/>
    <x v="100"/>
    <x v="39"/>
    <s v="SADA PL"/>
    <s v="VERDE"/>
    <x v="0"/>
    <s v="OK"/>
    <s v="N° 03117-2021-SUCAMEC/GEPP"/>
    <n v="202200134599"/>
    <n v="2022273249"/>
    <d v="2022-05-23T00:00:00"/>
    <m/>
    <x v="3"/>
    <m/>
    <m/>
    <m/>
    <m/>
    <m/>
    <m/>
    <m/>
    <m/>
  </r>
  <r>
    <n v="2022"/>
    <s v="S-C"/>
    <x v="0"/>
    <x v="0"/>
    <s v="URGENTE"/>
    <m/>
    <x v="1882"/>
    <s v="2021-912"/>
    <x v="1604"/>
    <d v="2022-04-07T00:00:00"/>
    <d v="2022-05-17T00:00:00"/>
    <d v="2022-05-17T00:00:00"/>
    <s v="CERRADO"/>
    <n v="207580"/>
    <x v="32"/>
    <x v="51"/>
    <x v="860"/>
    <d v="2022-01-06T00:00:00"/>
    <n v="90"/>
    <s v="días BL"/>
    <s v="5000972"/>
    <d v="2022-03-16T00:00:00"/>
    <d v="2022-06-14T00:00:00"/>
    <s v="PENDIENTE"/>
    <s v="CPT"/>
    <s v="N/A"/>
    <x v="397"/>
    <n v="1531"/>
    <n v="418.2"/>
    <x v="1554"/>
    <x v="4"/>
    <s v="Contenedor 20'"/>
    <s v="CARGA SUELTA"/>
    <s v="25 kg"/>
    <s v="-"/>
    <s v="NEUTRAL"/>
    <s v="2H ENE - 2H MAR '22"/>
    <x v="1"/>
    <d v="2022-03-16T00:00:00"/>
    <d v="2022-03-16T00:00:00"/>
    <d v="2022-04-25T00:00:00"/>
    <x v="816"/>
    <d v="2022-05-25T00:00:00"/>
    <d v="2022-05-14T00:00:00"/>
    <x v="903"/>
    <n v="5"/>
    <n v="2022"/>
    <x v="3"/>
    <x v="1"/>
    <s v="QINGDAO"/>
    <x v="0"/>
    <s v="TPE"/>
    <x v="2"/>
    <x v="1387"/>
    <d v="2022-03-16T00:00:00"/>
    <s v="MAERSK STOCKHOLM"/>
    <x v="193"/>
    <x v="3"/>
    <s v="COLUMBUS"/>
    <s v="REALIZADO"/>
    <s v="ORIGEN"/>
    <s v="046-2022-249"/>
    <m/>
    <m/>
    <x v="6"/>
    <d v="2022-05-18T00:00:00"/>
    <m/>
    <x v="101"/>
    <x v="39"/>
    <s v="SADA PL"/>
    <s v="VERDE"/>
    <x v="0"/>
    <s v="OK"/>
    <s v="N° 03117-2021-SUCAMEC/GEPP"/>
    <n v="202200134609"/>
    <n v="2022273251"/>
    <d v="2022-05-18T00:00:00"/>
    <d v="2022-05-20T00:00:00"/>
    <x v="3"/>
    <s v="A LA ESPERA DE LIBERACIÓN"/>
    <m/>
    <m/>
    <m/>
    <m/>
    <m/>
    <m/>
    <m/>
  </r>
  <r>
    <n v="2022"/>
    <s v="S-C"/>
    <x v="0"/>
    <x v="0"/>
    <s v="URGENTE"/>
    <m/>
    <x v="1883"/>
    <s v="2021-912"/>
    <x v="1605"/>
    <d v="2022-03-25T00:00:00"/>
    <d v="2022-05-17T00:00:00"/>
    <d v="2022-05-17T00:00:00"/>
    <s v="CERRADO"/>
    <n v="207580"/>
    <x v="32"/>
    <x v="51"/>
    <x v="860"/>
    <d v="2022-01-06T00:00:00"/>
    <n v="90"/>
    <s v="días BL"/>
    <s v="5000969"/>
    <d v="2022-03-24T00:00:00"/>
    <d v="2022-06-22T00:00:00"/>
    <s v="PENDIENTE"/>
    <s v="CPT"/>
    <s v="N/A"/>
    <x v="170"/>
    <n v="1531"/>
    <n v="418.2"/>
    <x v="1553"/>
    <x v="20"/>
    <s v="Contenedor 20'"/>
    <s v="CARGA SUELTA"/>
    <s v="25 kg"/>
    <s v="-"/>
    <s v="NEUTRAL"/>
    <s v="2H ENE - 2H MAR '22"/>
    <x v="1"/>
    <d v="2022-03-24T00:00:00"/>
    <d v="2022-03-24T00:00:00"/>
    <d v="2022-05-03T00:00:00"/>
    <x v="816"/>
    <d v="2022-05-25T00:00:00"/>
    <d v="2022-05-14T00:00:00"/>
    <x v="904"/>
    <n v="5"/>
    <n v="2022"/>
    <x v="3"/>
    <x v="1"/>
    <s v="QINGDAO"/>
    <x v="0"/>
    <s v="TPE"/>
    <x v="2"/>
    <x v="1388"/>
    <d v="2022-03-24T00:00:00"/>
    <s v="SVENDBORG MAERSK "/>
    <x v="193"/>
    <x v="3"/>
    <s v="COLUMBUS"/>
    <s v="REALIZADO"/>
    <s v="ORIGEN"/>
    <s v="046-2022-249"/>
    <m/>
    <m/>
    <x v="6"/>
    <d v="2022-05-18T00:00:00"/>
    <m/>
    <x v="102"/>
    <x v="39"/>
    <s v="SADA PL"/>
    <s v="VERDE"/>
    <x v="0"/>
    <s v="OK"/>
    <s v="N° 03117-2021-SUCAMEC/GEPP"/>
    <n v="202200134610"/>
    <n v="2022273252"/>
    <d v="2022-05-18T00:00:00"/>
    <d v="2022-05-20T00:00:00"/>
    <x v="3"/>
    <s v="A LA ESPERA DE LIBERACIÓN"/>
    <m/>
    <m/>
    <m/>
    <m/>
    <m/>
    <m/>
    <m/>
  </r>
  <r>
    <n v="2022"/>
    <s v="E-S"/>
    <x v="0"/>
    <x v="0"/>
    <m/>
    <m/>
    <x v="1884"/>
    <m/>
    <x v="1606"/>
    <m/>
    <d v="2022-04-20T00:00:00"/>
    <d v="2022-04-22T00:00:00"/>
    <s v="CERRADO"/>
    <s v="204826"/>
    <x v="48"/>
    <x v="66"/>
    <x v="861"/>
    <d v="2022-01-18T00:00:00"/>
    <s v="CAD"/>
    <m/>
    <s v="22CH-40100666"/>
    <d v="2022-02-27T00:00:00"/>
    <d v="2022-03-09T00:00:00"/>
    <s v="CANCELADO"/>
    <s v="CFR"/>
    <m/>
    <x v="670"/>
    <n v="900"/>
    <m/>
    <x v="1555"/>
    <x v="31"/>
    <s v="Contenedor 40'"/>
    <m/>
    <s v="Bigbag"/>
    <n v="0.8"/>
    <s v="-"/>
    <s v="FEBRERO '22"/>
    <x v="0"/>
    <d v="2022-02-21T00:00:00"/>
    <d v="2022-02-27T00:00:00"/>
    <d v="2022-04-15T00:00:00"/>
    <x v="831"/>
    <d v="2022-04-19T00:00:00"/>
    <m/>
    <x v="905"/>
    <n v="4"/>
    <n v="2022"/>
    <x v="0"/>
    <x v="12"/>
    <s v="ST. PETERSBURG / RUSSIA"/>
    <x v="2"/>
    <s v="APM"/>
    <x v="10"/>
    <x v="1389"/>
    <d v="2022-02-27T00:00:00"/>
    <s v="VISTULA MAERSK"/>
    <x v="391"/>
    <x v="3"/>
    <s v="COLUMBUS"/>
    <s v="PENDIENTE"/>
    <s v="ORIGEN"/>
    <m/>
    <m/>
    <m/>
    <x v="0"/>
    <d v="2022-04-25T00:00:00"/>
    <m/>
    <x v="103"/>
    <x v="38"/>
    <s v="SADA DD"/>
    <s v="VERDE"/>
    <x v="0"/>
    <e v="#REF!"/>
    <m/>
    <m/>
    <m/>
    <m/>
    <m/>
    <x v="0"/>
    <s v="Pernocte de unidades por PEN 250.00 por T. Descarga el 16/04 03AM"/>
    <m/>
    <m/>
    <m/>
    <m/>
    <m/>
    <m/>
    <m/>
  </r>
  <r>
    <n v="2022"/>
    <m/>
    <x v="0"/>
    <x v="0"/>
    <m/>
    <m/>
    <x v="1885"/>
    <m/>
    <x v="34"/>
    <m/>
    <m/>
    <m/>
    <m/>
    <m/>
    <x v="157"/>
    <x v="70"/>
    <x v="72"/>
    <s v="-"/>
    <s v="transf."/>
    <s v="gratuita"/>
    <s v="#EQUILIBRA1221"/>
    <m/>
    <s v="-"/>
    <s v="-"/>
    <s v="FOB"/>
    <m/>
    <x v="81"/>
    <n v="0.5"/>
    <m/>
    <x v="1556"/>
    <x v="3"/>
    <s v="-"/>
    <m/>
    <s v="6 LT"/>
    <m/>
    <m/>
    <s v="ENERO '22"/>
    <x v="0"/>
    <d v="1899-12-30T00:00:00"/>
    <d v="2022-01-19T00:00:00"/>
    <d v="2022-01-22T00:00:00"/>
    <x v="773"/>
    <d v="2022-01-22T00:00:00"/>
    <m/>
    <x v="23"/>
    <n v="1"/>
    <n v="1900"/>
    <x v="0"/>
    <x v="0"/>
    <s v="LANNILIS / FRANCIA"/>
    <x v="2"/>
    <m/>
    <x v="0"/>
    <x v="1390"/>
    <m/>
    <s v="DHL"/>
    <x v="368"/>
    <x v="43"/>
    <m/>
    <s v="NO APLICA"/>
    <s v="DESTINO"/>
    <m/>
    <m/>
    <m/>
    <x v="0"/>
    <m/>
    <m/>
    <x v="0"/>
    <x v="0"/>
    <m/>
    <m/>
    <x v="0"/>
    <s v="OK"/>
    <m/>
    <m/>
    <m/>
    <m/>
    <m/>
    <x v="0"/>
    <m/>
    <m/>
    <m/>
    <m/>
    <s v="NACIONALIZADO"/>
    <m/>
    <m/>
    <m/>
  </r>
  <r>
    <n v="2022"/>
    <m/>
    <x v="0"/>
    <x v="0"/>
    <m/>
    <m/>
    <x v="1886"/>
    <m/>
    <x v="34"/>
    <m/>
    <m/>
    <m/>
    <m/>
    <m/>
    <x v="158"/>
    <x v="70"/>
    <x v="72"/>
    <s v="-"/>
    <s v="transf."/>
    <s v="gratuita"/>
    <s v="#EQUILIBRA1221"/>
    <m/>
    <s v="-"/>
    <s v="-"/>
    <s v="FOB"/>
    <m/>
    <x v="81"/>
    <n v="0.5"/>
    <m/>
    <x v="1556"/>
    <x v="3"/>
    <s v="-"/>
    <m/>
    <s v="6 LT"/>
    <m/>
    <m/>
    <s v="ENERO '22"/>
    <x v="0"/>
    <d v="1899-12-30T00:00:00"/>
    <d v="2022-01-19T00:00:00"/>
    <d v="2022-01-22T00:00:00"/>
    <x v="773"/>
    <d v="2022-01-22T00:00:00"/>
    <m/>
    <x v="23"/>
    <n v="1"/>
    <n v="1900"/>
    <x v="0"/>
    <x v="0"/>
    <s v="LANNILIS / FRANCIA"/>
    <x v="2"/>
    <m/>
    <x v="0"/>
    <x v="1390"/>
    <m/>
    <s v="DHL"/>
    <x v="368"/>
    <x v="43"/>
    <m/>
    <s v="NO APLICA"/>
    <s v="DESTINO"/>
    <m/>
    <m/>
    <m/>
    <x v="0"/>
    <m/>
    <m/>
    <x v="0"/>
    <x v="0"/>
    <m/>
    <m/>
    <x v="0"/>
    <s v="OK"/>
    <m/>
    <m/>
    <m/>
    <m/>
    <m/>
    <x v="0"/>
    <m/>
    <m/>
    <m/>
    <m/>
    <s v="NACIONALIZADO"/>
    <m/>
    <m/>
    <m/>
  </r>
  <r>
    <n v="2022"/>
    <s v="G-S"/>
    <x v="0"/>
    <x v="0"/>
    <m/>
    <m/>
    <x v="1887"/>
    <m/>
    <x v="1607"/>
    <m/>
    <d v="2022-04-21T00:00:00"/>
    <d v="2022-04-11T00:00:00"/>
    <s v="CERRADO"/>
    <n v="207791"/>
    <x v="7"/>
    <x v="24"/>
    <x v="862"/>
    <d v="2022-02-07T00:00:00"/>
    <s v="PREPAGO"/>
    <m/>
    <s v="22-01-1018-1"/>
    <m/>
    <m/>
    <s v="CANCELADO"/>
    <s v="CFR"/>
    <m/>
    <x v="15"/>
    <n v="760"/>
    <m/>
    <x v="1557"/>
    <x v="3"/>
    <s v="Granel"/>
    <m/>
    <s v="Granel Sólido"/>
    <s v="-"/>
    <s v="-"/>
    <s v="FEBRERO '22"/>
    <x v="0"/>
    <d v="2022-02-28T00:00:00"/>
    <d v="2022-03-03T00:00:00"/>
    <e v="#REF!"/>
    <x v="757"/>
    <d v="2022-04-10T00:00:00"/>
    <m/>
    <x v="855"/>
    <n v="4"/>
    <n v="2022"/>
    <x v="0"/>
    <x v="12"/>
    <s v="ST. PETERSBURG / RUSSIA"/>
    <x v="0"/>
    <m/>
    <x v="2"/>
    <x v="44"/>
    <d v="2022-03-03T00:00:00"/>
    <s v="MV BBC NEPTUNE"/>
    <x v="392"/>
    <x v="0"/>
    <s v="CANOPUS"/>
    <s v="REALIZADO"/>
    <m/>
    <m/>
    <m/>
    <m/>
    <x v="0"/>
    <m/>
    <m/>
    <x v="104"/>
    <x v="15"/>
    <s v="URGENTE"/>
    <s v="VERDE"/>
    <x v="0"/>
    <s v="OK"/>
    <m/>
    <m/>
    <m/>
    <m/>
    <m/>
    <x v="0"/>
    <m/>
    <m/>
    <m/>
    <m/>
    <s v="NACIONALIZADO"/>
    <m/>
    <m/>
    <m/>
  </r>
  <r>
    <n v="2022"/>
    <s v="G-S"/>
    <x v="0"/>
    <x v="0"/>
    <m/>
    <m/>
    <x v="1888"/>
    <m/>
    <x v="1608"/>
    <m/>
    <d v="2022-04-11T00:00:00"/>
    <d v="2022-04-19T00:00:00"/>
    <s v="CERRADO"/>
    <n v="207791"/>
    <x v="7"/>
    <x v="24"/>
    <x v="862"/>
    <d v="2022-02-07T00:00:00"/>
    <s v="PREPAGO"/>
    <m/>
    <s v="22-01-1018-2"/>
    <d v="2022-03-03T00:00:00"/>
    <m/>
    <s v="CANCELADO"/>
    <s v="CFR"/>
    <m/>
    <x v="13"/>
    <n v="760"/>
    <m/>
    <x v="1558"/>
    <x v="3"/>
    <s v="Granel"/>
    <m/>
    <s v="Granel Sólido"/>
    <s v="-"/>
    <s v="-"/>
    <s v="FEBRERO '22"/>
    <x v="0"/>
    <d v="2022-02-28T00:00:00"/>
    <d v="2022-03-03T00:00:00"/>
    <e v="#REF!"/>
    <x v="832"/>
    <d v="2022-04-12T00:00:00"/>
    <m/>
    <x v="897"/>
    <n v="4"/>
    <n v="2022"/>
    <x v="0"/>
    <x v="12"/>
    <s v="ST. PETERSBURG / RUSSIA"/>
    <x v="1"/>
    <m/>
    <x v="2"/>
    <x v="20"/>
    <d v="2022-03-03T00:00:00"/>
    <s v="MV BBC NEPTUNE"/>
    <x v="392"/>
    <x v="0"/>
    <s v="CANOPUS"/>
    <s v="REALIZADO"/>
    <m/>
    <m/>
    <m/>
    <m/>
    <x v="0"/>
    <m/>
    <m/>
    <x v="105"/>
    <x v="53"/>
    <s v="URGENTE"/>
    <s v="VERDE"/>
    <x v="0"/>
    <s v="OK"/>
    <m/>
    <m/>
    <m/>
    <m/>
    <m/>
    <x v="0"/>
    <m/>
    <m/>
    <m/>
    <m/>
    <s v="NACIONALIZADO"/>
    <m/>
    <m/>
    <m/>
  </r>
  <r>
    <n v="2022"/>
    <s v="G-S"/>
    <x v="0"/>
    <x v="0"/>
    <m/>
    <m/>
    <x v="1889"/>
    <s v="2021-854"/>
    <x v="1609"/>
    <m/>
    <d v="2022-04-27T00:00:00"/>
    <d v="2022-05-02T00:00:00"/>
    <s v="CERRADO"/>
    <n v="207791"/>
    <x v="7"/>
    <x v="24"/>
    <x v="862"/>
    <d v="2022-02-07T00:00:00"/>
    <s v="PREPAGO"/>
    <m/>
    <s v="22-01-1018-3"/>
    <m/>
    <m/>
    <s v="CANCELADO"/>
    <s v="CFR"/>
    <m/>
    <x v="10"/>
    <n v="760"/>
    <m/>
    <x v="140"/>
    <x v="3"/>
    <s v="Granel"/>
    <m/>
    <s v="Granel Sólido"/>
    <s v="-"/>
    <s v="-"/>
    <s v="FEBRERO '22"/>
    <x v="0"/>
    <d v="2022-02-28T00:00:00"/>
    <d v="2022-03-03T00:00:00"/>
    <e v="#REF!"/>
    <x v="833"/>
    <d v="2022-04-30T00:00:00"/>
    <d v="2022-04-27T00:00:00"/>
    <x v="845"/>
    <n v="4"/>
    <n v="2022"/>
    <x v="0"/>
    <x v="12"/>
    <s v="ST. PETERSBURG"/>
    <x v="2"/>
    <m/>
    <x v="3"/>
    <x v="45"/>
    <d v="2022-03-03T00:00:00"/>
    <s v="MV BBC NEPTUNE"/>
    <x v="392"/>
    <x v="0"/>
    <s v="CANOPUS"/>
    <s v="REALIZADO"/>
    <m/>
    <m/>
    <m/>
    <m/>
    <x v="0"/>
    <m/>
    <m/>
    <x v="106"/>
    <x v="54"/>
    <s v="SADA DD"/>
    <s v="VERDE"/>
    <x v="0"/>
    <s v="OK"/>
    <m/>
    <m/>
    <m/>
    <m/>
    <m/>
    <x v="0"/>
    <m/>
    <m/>
    <m/>
    <m/>
    <s v="NACIONALIZADO"/>
    <m/>
    <m/>
    <m/>
  </r>
  <r>
    <n v="2022"/>
    <s v="G-S"/>
    <x v="0"/>
    <x v="0"/>
    <m/>
    <m/>
    <x v="1890"/>
    <m/>
    <x v="1610"/>
    <m/>
    <d v="2022-04-19T00:00:00"/>
    <d v="2022-04-19T00:00:00"/>
    <s v="CERRADO"/>
    <n v="206597"/>
    <x v="0"/>
    <x v="24"/>
    <x v="863"/>
    <d v="2022-02-07T00:00:00"/>
    <n v="30"/>
    <s v="días BL"/>
    <s v="21-12-9849-1"/>
    <d v="2022-03-03T00:00:00"/>
    <d v="2022-04-02T00:00:00"/>
    <s v="CANCELADO"/>
    <s v="CFR"/>
    <m/>
    <x v="671"/>
    <n v="775"/>
    <m/>
    <x v="1559"/>
    <x v="3"/>
    <s v="Granel"/>
    <m/>
    <s v="Granel Sólido"/>
    <s v="-"/>
    <s v="-"/>
    <s v="FEBRERO '22"/>
    <x v="0"/>
    <d v="2022-02-28T00:00:00"/>
    <d v="2022-03-03T00:00:00"/>
    <e v="#REF!"/>
    <x v="832"/>
    <d v="2022-04-12T00:00:00"/>
    <m/>
    <x v="897"/>
    <n v="4"/>
    <n v="2022"/>
    <x v="0"/>
    <x v="12"/>
    <s v="ST. PETERSBURG / RUSSIA"/>
    <x v="1"/>
    <m/>
    <x v="2"/>
    <x v="52"/>
    <d v="2022-03-03T00:00:00"/>
    <s v="MV BBC NEPTUNE"/>
    <x v="392"/>
    <x v="0"/>
    <s v="CANOPUS"/>
    <s v="REALIZADO"/>
    <m/>
    <m/>
    <m/>
    <m/>
    <x v="0"/>
    <m/>
    <m/>
    <x v="107"/>
    <x v="53"/>
    <s v="URGENTE"/>
    <s v="NARANJA"/>
    <x v="0"/>
    <s v="OK"/>
    <m/>
    <m/>
    <m/>
    <m/>
    <m/>
    <x v="0"/>
    <m/>
    <m/>
    <m/>
    <m/>
    <s v="NACIONALIZADO"/>
    <m/>
    <m/>
    <m/>
  </r>
  <r>
    <n v="2022"/>
    <s v="G-S"/>
    <x v="0"/>
    <x v="0"/>
    <m/>
    <m/>
    <x v="1891"/>
    <s v="2021-856"/>
    <x v="1611"/>
    <m/>
    <d v="2022-04-27T00:00:00"/>
    <d v="2022-04-30T00:00:00"/>
    <s v="CERRADO"/>
    <n v="206597"/>
    <x v="0"/>
    <x v="24"/>
    <x v="863"/>
    <d v="2022-02-07T00:00:00"/>
    <n v="30"/>
    <s v="días BL"/>
    <s v="21-12-9849-2"/>
    <d v="2022-03-03T00:00:00"/>
    <d v="2022-04-02T00:00:00"/>
    <s v="CANCELADO"/>
    <s v="CFR"/>
    <m/>
    <x v="377"/>
    <n v="775"/>
    <m/>
    <x v="1560"/>
    <x v="3"/>
    <s v="Granel"/>
    <m/>
    <s v="Granel Sólido"/>
    <s v="-"/>
    <s v="-"/>
    <s v="FEBRERO '22"/>
    <x v="0"/>
    <d v="2022-02-28T00:00:00"/>
    <d v="2022-03-03T00:00:00"/>
    <e v="#REF!"/>
    <x v="833"/>
    <d v="2022-04-30T00:00:00"/>
    <d v="2022-04-27T00:00:00"/>
    <x v="906"/>
    <n v="4"/>
    <n v="2022"/>
    <x v="0"/>
    <x v="12"/>
    <s v="ST. PETERSBURG"/>
    <x v="2"/>
    <m/>
    <x v="6"/>
    <x v="19"/>
    <d v="2022-03-03T00:00:00"/>
    <s v="MV BBC NEPTUNE"/>
    <x v="392"/>
    <x v="0"/>
    <s v="CANOPUS"/>
    <s v="REALIZADO"/>
    <m/>
    <m/>
    <m/>
    <m/>
    <x v="0"/>
    <m/>
    <m/>
    <x v="108"/>
    <x v="54"/>
    <s v="SADA DD"/>
    <s v="VERDE"/>
    <x v="0"/>
    <s v="OK"/>
    <m/>
    <m/>
    <m/>
    <m/>
    <m/>
    <x v="0"/>
    <s v="ANULAR OC: 8000001848"/>
    <m/>
    <m/>
    <m/>
    <s v="NACIONALIZADO"/>
    <m/>
    <m/>
    <m/>
  </r>
  <r>
    <n v="2022"/>
    <s v="O-S"/>
    <x v="1"/>
    <x v="5"/>
    <s v="URGENTE"/>
    <m/>
    <x v="1892"/>
    <m/>
    <x v="1612"/>
    <d v="2022-02-18T00:00:00"/>
    <m/>
    <m/>
    <s v="PENDIENTE"/>
    <n v="203553"/>
    <x v="123"/>
    <x v="53"/>
    <x v="864"/>
    <d v="2022-02-10T00:00:00"/>
    <s v="CAD"/>
    <m/>
    <m/>
    <m/>
    <m/>
    <s v="PENDIENTE"/>
    <s v="CFR"/>
    <s v="N/A"/>
    <x v="672"/>
    <n v="366.37"/>
    <m/>
    <x v="1561"/>
    <x v="11"/>
    <s v="Contenedor 20'"/>
    <s v="-"/>
    <s v="Granel Sólido"/>
    <s v="-"/>
    <s v="S/M"/>
    <s v="FEBRERO '22"/>
    <x v="1"/>
    <d v="2022-04-27T00:00:00"/>
    <d v="2022-05-17T00:00:00"/>
    <d v="2022-06-19T00:00:00"/>
    <x v="834"/>
    <d v="2022-06-22T00:00:00"/>
    <m/>
    <x v="907"/>
    <n v="6"/>
    <n v="2022"/>
    <x v="3"/>
    <x v="2"/>
    <s v="AMBERES"/>
    <x v="4"/>
    <s v="TISUR"/>
    <x v="2"/>
    <x v="1391"/>
    <d v="2022-05-18T00:00:00"/>
    <s v="CARTAGENA EXPRESS"/>
    <x v="326"/>
    <x v="2"/>
    <s v="TRAMARSA"/>
    <s v="PENDIENTE"/>
    <s v="DESTINO"/>
    <m/>
    <m/>
    <m/>
    <x v="0"/>
    <m/>
    <m/>
    <x v="0"/>
    <x v="0"/>
    <m/>
    <m/>
    <x v="0"/>
    <e v="#REF!"/>
    <s v="N/A"/>
    <s v="N/A"/>
    <s v="N/A"/>
    <s v="N/A"/>
    <s v="N/A"/>
    <x v="1"/>
    <s v="Pte: Todo. 14 SE."/>
    <m/>
    <m/>
    <m/>
    <m/>
    <m/>
    <m/>
    <m/>
  </r>
  <r>
    <n v="2022"/>
    <s v="E-S"/>
    <x v="0"/>
    <x v="1"/>
    <s v="N/A"/>
    <m/>
    <x v="1893"/>
    <m/>
    <x v="1613"/>
    <m/>
    <m/>
    <m/>
    <m/>
    <m/>
    <x v="48"/>
    <x v="66"/>
    <x v="16"/>
    <m/>
    <m/>
    <m/>
    <m/>
    <m/>
    <m/>
    <m/>
    <m/>
    <m/>
    <x v="29"/>
    <m/>
    <m/>
    <x v="1482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2"/>
    <s v="S-C"/>
    <x v="0"/>
    <x v="0"/>
    <m/>
    <m/>
    <x v="1894"/>
    <m/>
    <x v="1614"/>
    <m/>
    <d v="2022-03-15T00:00:00"/>
    <d v="2022-03-10T00:00:00"/>
    <s v="CERRADO"/>
    <n v="207580"/>
    <x v="32"/>
    <x v="61"/>
    <x v="8"/>
    <d v="2022-02-17T00:00:00"/>
    <n v="30"/>
    <s v="días BL"/>
    <s v="N° 134"/>
    <m/>
    <d v="2022-03-28T00:00:00"/>
    <s v="CANCELADO"/>
    <s v="CPT"/>
    <m/>
    <x v="292"/>
    <n v="1340"/>
    <m/>
    <x v="1562"/>
    <x v="7"/>
    <s v="Camión"/>
    <m/>
    <s v="25 kg"/>
    <n v="1.1200000000000001"/>
    <s v="ACF"/>
    <s v="1H MARZO '22"/>
    <x v="0"/>
    <d v="2022-03-21T00:00:00"/>
    <d v="2022-03-09T00:00:00"/>
    <d v="2022-03-25T00:00:00"/>
    <x v="835"/>
    <d v="2022-04-15T00:00:00"/>
    <m/>
    <x v="899"/>
    <n v="3"/>
    <n v="2022"/>
    <x v="0"/>
    <x v="0"/>
    <s v="IQUIQUE / CHILE"/>
    <x v="4"/>
    <m/>
    <x v="2"/>
    <x v="1392"/>
    <d v="2022-03-01T00:00:00"/>
    <s v="CAMION"/>
    <x v="344"/>
    <x v="40"/>
    <m/>
    <s v="PENDIENTE"/>
    <m/>
    <m/>
    <m/>
    <m/>
    <x v="0"/>
    <m/>
    <m/>
    <x v="0"/>
    <x v="0"/>
    <m/>
    <m/>
    <x v="0"/>
    <e v="#REF!"/>
    <m/>
    <m/>
    <m/>
    <m/>
    <m/>
    <x v="0"/>
    <s v="SUCE 2022159814 / Exp. 202200072422 - APROBADO "/>
    <m/>
    <m/>
    <m/>
    <s v="NACIONALIZADO"/>
    <m/>
    <m/>
    <m/>
  </r>
  <r>
    <n v="2022"/>
    <s v="S-C"/>
    <x v="0"/>
    <x v="0"/>
    <m/>
    <m/>
    <x v="1895"/>
    <s v="2022-11"/>
    <x v="1615"/>
    <m/>
    <d v="2022-03-22T00:00:00"/>
    <d v="2022-03-22T00:00:00"/>
    <s v="CERRADO"/>
    <n v="207580"/>
    <x v="32"/>
    <x v="61"/>
    <x v="8"/>
    <d v="2022-02-17T00:00:00"/>
    <n v="30"/>
    <s v="días BL"/>
    <s v="N° 138"/>
    <m/>
    <d v="2022-04-01T00:00:00"/>
    <s v="CANCELADO"/>
    <s v="CPT"/>
    <m/>
    <x v="24"/>
    <n v="1340"/>
    <m/>
    <x v="1563"/>
    <x v="2"/>
    <s v="Camión"/>
    <m/>
    <s v="25 kg"/>
    <n v="1.1200000000000001"/>
    <s v="ACF"/>
    <s v="1H MARZO '22"/>
    <x v="0"/>
    <d v="1899-12-30T00:00:00"/>
    <d v="2022-03-16T00:00:00"/>
    <d v="2022-03-17T00:00:00"/>
    <x v="813"/>
    <d v="2022-04-15T00:00:00"/>
    <m/>
    <x v="908"/>
    <n v="3"/>
    <n v="2022"/>
    <x v="0"/>
    <x v="0"/>
    <s v="IQUIQUE / CHILE"/>
    <x v="4"/>
    <m/>
    <x v="2"/>
    <x v="1393"/>
    <d v="2022-03-02T00:00:00"/>
    <s v="CAMION"/>
    <x v="344"/>
    <x v="38"/>
    <m/>
    <s v="PENDIENTE"/>
    <m/>
    <m/>
    <m/>
    <m/>
    <x v="0"/>
    <m/>
    <m/>
    <x v="109"/>
    <x v="46"/>
    <s v="SADA PL"/>
    <s v="VERDE"/>
    <x v="0"/>
    <e v="#REF!"/>
    <m/>
    <m/>
    <m/>
    <m/>
    <m/>
    <x v="0"/>
    <s v="SUCE 2022167202 / Exp. 202200076104 - APROBADO "/>
    <m/>
    <m/>
    <m/>
    <s v="NACIONALIZADO"/>
    <m/>
    <m/>
    <m/>
  </r>
  <r>
    <n v="2022"/>
    <s v="S-C"/>
    <x v="0"/>
    <x v="0"/>
    <m/>
    <m/>
    <x v="1896"/>
    <s v="2022-11"/>
    <x v="1616"/>
    <m/>
    <d v="2022-03-22T00:00:00"/>
    <d v="2022-03-22T00:00:00"/>
    <s v="CERRADO"/>
    <n v="207580"/>
    <x v="32"/>
    <x v="61"/>
    <x v="8"/>
    <d v="2022-02-17T00:00:00"/>
    <n v="30"/>
    <s v="días BL"/>
    <s v="N° 134"/>
    <m/>
    <d v="2022-03-28T00:00:00"/>
    <s v="CANCELADO"/>
    <s v="CPT"/>
    <m/>
    <x v="185"/>
    <n v="1340"/>
    <m/>
    <x v="1564"/>
    <x v="1"/>
    <s v="Camión"/>
    <m/>
    <s v="25 kg"/>
    <n v="1.1200000000000001"/>
    <s v="ACF"/>
    <s v="1H MARZO '22"/>
    <x v="0"/>
    <d v="1899-12-30T00:00:00"/>
    <d v="2022-03-15T00:00:00"/>
    <d v="2022-03-16T00:00:00"/>
    <x v="836"/>
    <d v="2022-04-15T00:00:00"/>
    <m/>
    <x v="808"/>
    <n v="3"/>
    <n v="2022"/>
    <x v="0"/>
    <x v="0"/>
    <s v="IQUIQUE / CHILE"/>
    <x v="4"/>
    <m/>
    <x v="2"/>
    <x v="1394"/>
    <d v="2022-03-14T00:00:00"/>
    <s v="CAMION"/>
    <x v="344"/>
    <x v="40"/>
    <m/>
    <s v="PENDIENTE"/>
    <m/>
    <m/>
    <m/>
    <m/>
    <x v="0"/>
    <m/>
    <m/>
    <x v="110"/>
    <x v="55"/>
    <s v="SADA DD"/>
    <s v="VERDE"/>
    <x v="0"/>
    <e v="#REF!"/>
    <m/>
    <m/>
    <m/>
    <m/>
    <m/>
    <x v="0"/>
    <s v="SUCE 2022167203 / Exp. 202200076105 - APROBADO "/>
    <m/>
    <m/>
    <m/>
    <s v="NACIONALIZADO"/>
    <m/>
    <m/>
    <m/>
  </r>
  <r>
    <n v="2022"/>
    <s v="S-C"/>
    <x v="0"/>
    <x v="0"/>
    <m/>
    <m/>
    <x v="1897"/>
    <s v="2022-11"/>
    <x v="1617"/>
    <m/>
    <d v="2022-03-22T00:00:00"/>
    <d v="2022-03-22T00:00:00"/>
    <s v="CERRADO"/>
    <n v="207580"/>
    <x v="32"/>
    <x v="61"/>
    <x v="8"/>
    <d v="2022-02-17T00:00:00"/>
    <n v="30"/>
    <s v="días BL"/>
    <s v="N° 142"/>
    <m/>
    <d v="2022-04-01T00:00:00"/>
    <s v="CANCELADO"/>
    <s v="CPT"/>
    <m/>
    <x v="69"/>
    <n v="1340"/>
    <m/>
    <x v="1565"/>
    <x v="11"/>
    <s v="Camión"/>
    <m/>
    <s v="25 kg"/>
    <n v="1.1200000000000001"/>
    <s v="ACF"/>
    <s v="1H MARZO '22"/>
    <x v="0"/>
    <d v="1899-12-30T00:00:00"/>
    <d v="2022-03-15T00:00:00"/>
    <d v="2022-03-16T00:00:00"/>
    <x v="836"/>
    <d v="2022-04-15T00:00:00"/>
    <m/>
    <x v="808"/>
    <n v="3"/>
    <n v="2022"/>
    <x v="0"/>
    <x v="0"/>
    <s v="IQUIQUE / CHILE"/>
    <x v="4"/>
    <m/>
    <x v="2"/>
    <x v="1395"/>
    <d v="2022-03-11T00:00:00"/>
    <s v="CAMION"/>
    <x v="344"/>
    <x v="40"/>
    <m/>
    <s v="PENDIENTE"/>
    <m/>
    <m/>
    <m/>
    <m/>
    <x v="0"/>
    <m/>
    <m/>
    <x v="111"/>
    <x v="55"/>
    <s v="SADA DD"/>
    <s v="VERDE"/>
    <x v="0"/>
    <e v="#REF!"/>
    <m/>
    <m/>
    <m/>
    <m/>
    <m/>
    <x v="0"/>
    <s v="SUCE 2022167204 / Exp. 202200076106 - APROBADO"/>
    <m/>
    <m/>
    <m/>
    <s v="NACIONALIZADO"/>
    <m/>
    <m/>
    <m/>
  </r>
  <r>
    <n v="2022"/>
    <s v="S-S"/>
    <x v="1"/>
    <x v="5"/>
    <s v="URGENTE"/>
    <m/>
    <x v="1898"/>
    <m/>
    <x v="1618"/>
    <d v="2022-02-18T00:00:00"/>
    <m/>
    <m/>
    <s v="PENDIENTE"/>
    <n v="207579"/>
    <x v="9"/>
    <x v="39"/>
    <x v="865"/>
    <d v="2022-02-23T00:00:00"/>
    <s v="CAD"/>
    <m/>
    <m/>
    <m/>
    <m/>
    <s v="PENDIENTE"/>
    <s v="CIF"/>
    <s v="FILO"/>
    <x v="70"/>
    <n v="430.5"/>
    <m/>
    <x v="585"/>
    <x v="57"/>
    <s v="Granel - BB"/>
    <s v="-"/>
    <s v="25 kg"/>
    <m/>
    <s v="ROMERO FERTILIZANTES"/>
    <s v="MARZO '22"/>
    <x v="1"/>
    <d v="2022-05-14T00:00:00"/>
    <d v="2022-05-30T00:00:00"/>
    <d v="2022-07-14T00:00:00"/>
    <x v="837"/>
    <d v="2022-07-24T00:00:00"/>
    <m/>
    <x v="909"/>
    <n v="7"/>
    <n v="2022"/>
    <x v="1"/>
    <x v="1"/>
    <s v="TIANJIN"/>
    <x v="2"/>
    <m/>
    <x v="3"/>
    <x v="1396"/>
    <m/>
    <s v="ATLANTIC MONTERREY"/>
    <x v="393"/>
    <x v="0"/>
    <m/>
    <s v="PENDIENTE"/>
    <m/>
    <m/>
    <m/>
    <m/>
    <x v="0"/>
    <m/>
    <m/>
    <x v="0"/>
    <x v="0"/>
    <m/>
    <m/>
    <x v="0"/>
    <e v="#REF!"/>
    <s v="N/A"/>
    <s v="N/A"/>
    <s v="N/A"/>
    <s v="N/A"/>
    <s v="N/A"/>
    <x v="1"/>
    <m/>
    <m/>
    <m/>
    <m/>
    <m/>
    <m/>
    <m/>
    <m/>
  </r>
  <r>
    <n v="2022"/>
    <s v="S-S"/>
    <x v="1"/>
    <x v="3"/>
    <s v="URGENTE"/>
    <m/>
    <x v="1899"/>
    <m/>
    <x v="1619"/>
    <d v="2022-02-18T00:00:00"/>
    <m/>
    <m/>
    <s v="PENDIENTE"/>
    <n v="207579"/>
    <x v="9"/>
    <x v="19"/>
    <x v="866"/>
    <d v="2022-02-16T00:00:00"/>
    <n v="90"/>
    <s v="días BL"/>
    <m/>
    <m/>
    <m/>
    <s v="PENDIENTE"/>
    <s v="CFR"/>
    <s v="FILO"/>
    <x v="35"/>
    <n v="420"/>
    <m/>
    <x v="575"/>
    <x v="3"/>
    <s v="Granel - BB"/>
    <m/>
    <s v="25 kg"/>
    <n v="1.25"/>
    <s v="ROMERO FERTILIZANTES"/>
    <s v="2H ABRIL '22"/>
    <x v="1"/>
    <d v="2022-05-13T00:00:00"/>
    <d v="2022-07-29T00:00:00"/>
    <d v="2022-09-13T00:00:00"/>
    <x v="838"/>
    <d v="2022-09-23T00:00:00"/>
    <m/>
    <x v="910"/>
    <n v="9"/>
    <n v="2022"/>
    <x v="2"/>
    <x v="1"/>
    <s v="TIANJIN"/>
    <x v="2"/>
    <m/>
    <x v="3"/>
    <x v="29"/>
    <m/>
    <m/>
    <x v="15"/>
    <x v="0"/>
    <m/>
    <s v="PENDIENTE"/>
    <m/>
    <m/>
    <m/>
    <m/>
    <x v="0"/>
    <m/>
    <m/>
    <x v="0"/>
    <x v="0"/>
    <m/>
    <m/>
    <x v="0"/>
    <e v="#REF!"/>
    <m/>
    <m/>
    <m/>
    <m/>
    <m/>
    <x v="0"/>
    <s v="EXPLOSIÓN EN FÁBRICA"/>
    <s v="FACTORES DE FUERZA MAYOR"/>
    <m/>
    <m/>
    <m/>
    <m/>
    <m/>
    <m/>
  </r>
  <r>
    <n v="2022"/>
    <s v="S-S"/>
    <x v="0"/>
    <x v="0"/>
    <m/>
    <m/>
    <x v="1900"/>
    <s v="2021-849"/>
    <x v="1620"/>
    <m/>
    <d v="2022-04-25T00:00:00"/>
    <d v="2022-05-02T00:00:00"/>
    <s v="CERRADO"/>
    <n v="206713"/>
    <x v="3"/>
    <x v="51"/>
    <x v="867"/>
    <d v="2022-02-16T00:00:00"/>
    <n v="150"/>
    <s v="días BL"/>
    <s v="5000926"/>
    <d v="2022-03-01T00:00:00"/>
    <d v="2022-07-29T00:00:00"/>
    <s v="PENDIENTE"/>
    <s v="CFR"/>
    <s v="FIO - CQD"/>
    <x v="94"/>
    <n v="1028.5"/>
    <n v="171.5"/>
    <x v="1566"/>
    <x v="3"/>
    <s v="Granel - BB"/>
    <m/>
    <s v="BB - Granel"/>
    <n v="1.2"/>
    <s v="-"/>
    <s v="2H FEBRERO '22"/>
    <x v="0"/>
    <d v="1899-12-30T00:00:00"/>
    <d v="2022-03-01T00:00:00"/>
    <d v="2022-04-21T00:00:00"/>
    <x v="803"/>
    <d v="2022-04-23T00:00:00"/>
    <d v="2022-04-29T00:00:00"/>
    <x v="868"/>
    <n v="4"/>
    <n v="2022"/>
    <x v="0"/>
    <x v="6"/>
    <s v="SUAO"/>
    <x v="1"/>
    <s v="CANOPUS"/>
    <x v="2"/>
    <x v="1329"/>
    <d v="2022-03-01T00:00:00"/>
    <s v="MV OBROVAC"/>
    <x v="377"/>
    <x v="0"/>
    <s v="CANOPUS"/>
    <s v="PENDIENTE"/>
    <s v="DESTINO"/>
    <m/>
    <m/>
    <m/>
    <x v="0"/>
    <m/>
    <m/>
    <x v="49"/>
    <x v="30"/>
    <s v="SADA DD "/>
    <s v="VERDE"/>
    <x v="0"/>
    <s v="OK"/>
    <m/>
    <m/>
    <m/>
    <m/>
    <m/>
    <x v="0"/>
    <s v="Limpieza de bodega USD 260.96. ANULAR OC: 8000001844"/>
    <m/>
    <m/>
    <m/>
    <s v="NACIONALIZADO"/>
    <m/>
    <m/>
    <m/>
  </r>
  <r>
    <n v="2022"/>
    <s v="T-S"/>
    <x v="1"/>
    <x v="3"/>
    <s v="NORMAL"/>
    <m/>
    <x v="1901"/>
    <s v="2022-14"/>
    <x v="1621"/>
    <d v="2022-03-25T00:00:00"/>
    <m/>
    <m/>
    <s v="PENDIENTE"/>
    <n v="206687"/>
    <x v="143"/>
    <x v="53"/>
    <x v="868"/>
    <d v="2022-02-17T00:00:00"/>
    <s v="CAD"/>
    <m/>
    <m/>
    <m/>
    <m/>
    <s v="PENDIENTE"/>
    <s v="CFR"/>
    <s v="N/A"/>
    <x v="332"/>
    <n v="9520"/>
    <m/>
    <x v="1567"/>
    <x v="3"/>
    <s v="Contenedor 40'"/>
    <m/>
    <s v="5 kg"/>
    <s v="-"/>
    <s v="S/M"/>
    <s v="MARZO '22"/>
    <x v="1"/>
    <d v="2022-05-25T00:00:00"/>
    <d v="2022-06-10T00:00:00"/>
    <d v="2022-07-09T00:00:00"/>
    <x v="839"/>
    <d v="2022-07-13T00:00:00"/>
    <m/>
    <x v="911"/>
    <n v="7"/>
    <n v="2022"/>
    <x v="2"/>
    <x v="13"/>
    <s v="ROTTERDAM / PAISES BAJOS"/>
    <x v="2"/>
    <m/>
    <x v="3"/>
    <x v="29"/>
    <m/>
    <m/>
    <x v="15"/>
    <x v="5"/>
    <m/>
    <s v="PENDIENTE"/>
    <m/>
    <m/>
    <m/>
    <m/>
    <x v="0"/>
    <m/>
    <m/>
    <x v="0"/>
    <x v="0"/>
    <m/>
    <m/>
    <x v="0"/>
    <e v="#REF!"/>
    <s v="N/A"/>
    <s v="N/A"/>
    <s v="N/A"/>
    <s v="N/A"/>
    <s v="N/A"/>
    <x v="1"/>
    <m/>
    <m/>
    <m/>
    <m/>
    <m/>
    <m/>
    <m/>
    <m/>
  </r>
  <r>
    <n v="2022"/>
    <s v="G-S"/>
    <x v="0"/>
    <x v="0"/>
    <m/>
    <m/>
    <x v="1902"/>
    <s v="2022-59"/>
    <x v="1622"/>
    <m/>
    <d v="2022-04-19T00:00:00"/>
    <d v="2022-04-22T00:00:00"/>
    <s v="CERRADO"/>
    <n v="207485"/>
    <x v="13"/>
    <x v="39"/>
    <x v="869"/>
    <d v="2022-02-25T00:00:00"/>
    <s v="CAD"/>
    <m/>
    <s v="177-1/2022"/>
    <d v="2022-04-13T00:00:00"/>
    <d v="2022-04-20T00:00:00"/>
    <s v="CANCELADO"/>
    <s v="CPT"/>
    <m/>
    <x v="249"/>
    <n v="775"/>
    <m/>
    <x v="1568"/>
    <x v="4"/>
    <s v="Camión"/>
    <m/>
    <s v="Bigbag"/>
    <n v="1"/>
    <s v="YPFB"/>
    <s v="MARZO '22"/>
    <x v="0"/>
    <d v="1899-12-30T00:00:00"/>
    <d v="2022-04-13T00:00:00"/>
    <d v="2022-04-21T00:00:00"/>
    <x v="803"/>
    <d v="2022-04-21T00:00:00"/>
    <d v="2022-04-21T00:00:00"/>
    <x v="912"/>
    <n v="4"/>
    <n v="2022"/>
    <x v="0"/>
    <x v="14"/>
    <s v="DESAGUADERO"/>
    <x v="4"/>
    <s v="TISUR"/>
    <x v="2"/>
    <x v="1397"/>
    <m/>
    <s v="CAMION"/>
    <x v="344"/>
    <x v="44"/>
    <s v="-"/>
    <s v="PENDIENTE"/>
    <m/>
    <m/>
    <m/>
    <m/>
    <x v="0"/>
    <m/>
    <m/>
    <x v="112"/>
    <x v="56"/>
    <s v="SADA PL"/>
    <s v="VERDE"/>
    <x v="0"/>
    <s v="OK"/>
    <m/>
    <m/>
    <m/>
    <m/>
    <m/>
    <x v="0"/>
    <s v="ANULAR OC: 8000001863"/>
    <m/>
    <m/>
    <m/>
    <m/>
    <m/>
    <m/>
    <m/>
  </r>
  <r>
    <n v="2022"/>
    <s v="G-S"/>
    <x v="0"/>
    <x v="0"/>
    <m/>
    <m/>
    <x v="1903"/>
    <s v="2022-59"/>
    <x v="1623"/>
    <m/>
    <d v="2022-04-21T00:00:00"/>
    <d v="2022-04-22T00:00:00"/>
    <s v="CERRADO"/>
    <n v="207485"/>
    <x v="13"/>
    <x v="39"/>
    <x v="869"/>
    <d v="2022-02-25T00:00:00"/>
    <s v="CAD"/>
    <m/>
    <s v="177-2/2022"/>
    <d v="2022-04-14T00:00:00"/>
    <d v="2022-04-22T00:00:00"/>
    <s v="CANCELADO"/>
    <s v="CPT"/>
    <m/>
    <x v="249"/>
    <n v="775"/>
    <m/>
    <x v="1568"/>
    <x v="4"/>
    <s v="Camión"/>
    <m/>
    <s v="Bigbag"/>
    <n v="1"/>
    <s v="YPFB"/>
    <s v="MARZO '22"/>
    <x v="0"/>
    <d v="1899-12-30T00:00:00"/>
    <d v="2022-04-20T00:00:00"/>
    <d v="2022-04-22T00:00:00"/>
    <x v="840"/>
    <d v="2022-04-22T00:00:00"/>
    <d v="2022-04-22T00:00:00"/>
    <x v="913"/>
    <n v="4"/>
    <n v="2022"/>
    <x v="0"/>
    <x v="14"/>
    <s v="DESAGUADERO"/>
    <x v="4"/>
    <m/>
    <x v="2"/>
    <x v="1398"/>
    <m/>
    <s v="CAMION"/>
    <x v="344"/>
    <x v="44"/>
    <s v="-"/>
    <s v="PENDIENTE"/>
    <m/>
    <m/>
    <m/>
    <m/>
    <x v="0"/>
    <m/>
    <m/>
    <x v="113"/>
    <x v="57"/>
    <s v="SADA PL"/>
    <s v="VERDE"/>
    <x v="0"/>
    <s v="OK"/>
    <m/>
    <m/>
    <m/>
    <m/>
    <m/>
    <x v="0"/>
    <m/>
    <m/>
    <m/>
    <m/>
    <s v="NACIONALIZADO"/>
    <m/>
    <m/>
    <m/>
  </r>
  <r>
    <n v="2022"/>
    <s v="G-S"/>
    <x v="0"/>
    <x v="0"/>
    <m/>
    <m/>
    <x v="1904"/>
    <s v="2022-59"/>
    <x v="1624"/>
    <m/>
    <d v="2022-04-25T00:00:00"/>
    <d v="2022-04-26T00:00:00"/>
    <s v="CERRADO"/>
    <n v="204177"/>
    <x v="13"/>
    <x v="39"/>
    <x v="869"/>
    <d v="2022-02-25T00:00:00"/>
    <s v="CAD"/>
    <m/>
    <s v="177-3/2022"/>
    <d v="2022-04-19T00:00:00"/>
    <d v="2022-04-25T00:00:00"/>
    <s v="CANCELADO"/>
    <s v="CPT"/>
    <m/>
    <x v="249"/>
    <n v="775"/>
    <m/>
    <x v="1568"/>
    <x v="4"/>
    <s v="Camión"/>
    <m/>
    <s v="Bigbag"/>
    <n v="1"/>
    <s v="YPFB"/>
    <s v="MARZO '22"/>
    <x v="0"/>
    <d v="1899-12-30T00:00:00"/>
    <d v="2022-04-21T00:00:00"/>
    <d v="2022-04-23T00:00:00"/>
    <x v="841"/>
    <d v="2022-04-23T00:00:00"/>
    <d v="2022-04-23T00:00:00"/>
    <x v="913"/>
    <n v="4"/>
    <n v="2022"/>
    <x v="0"/>
    <x v="14"/>
    <s v="DESAGUADERO"/>
    <x v="4"/>
    <m/>
    <x v="2"/>
    <x v="1399"/>
    <m/>
    <s v="CAMION"/>
    <x v="344"/>
    <x v="44"/>
    <m/>
    <s v="PENDIENTE"/>
    <m/>
    <m/>
    <m/>
    <m/>
    <x v="0"/>
    <m/>
    <m/>
    <x v="114"/>
    <x v="43"/>
    <s v="SADA PL"/>
    <s v="VERDE"/>
    <x v="0"/>
    <s v="OK"/>
    <m/>
    <m/>
    <m/>
    <m/>
    <m/>
    <x v="0"/>
    <s v="ANULAR OC: 8000001975"/>
    <m/>
    <m/>
    <m/>
    <s v="NACIONALIZADO"/>
    <m/>
    <m/>
    <m/>
  </r>
  <r>
    <n v="2022"/>
    <s v="G-S"/>
    <x v="0"/>
    <x v="0"/>
    <m/>
    <m/>
    <x v="1905"/>
    <s v="2022-59"/>
    <x v="1625"/>
    <m/>
    <d v="2022-04-25T00:00:00"/>
    <d v="2022-04-29T00:00:00"/>
    <s v="CERRADO"/>
    <n v="204177"/>
    <x v="13"/>
    <x v="39"/>
    <x v="869"/>
    <d v="2022-02-25T00:00:00"/>
    <s v="CAD"/>
    <m/>
    <s v="177-4/2022"/>
    <d v="2022-04-21T00:00:00"/>
    <d v="2022-04-26T00:00:00"/>
    <s v="CANCELADO"/>
    <s v="CPT"/>
    <m/>
    <x v="249"/>
    <n v="775"/>
    <m/>
    <x v="1568"/>
    <x v="4"/>
    <s v="Camión"/>
    <m/>
    <s v="Bigbag"/>
    <n v="1"/>
    <s v="YPFB"/>
    <s v="MARZO '22"/>
    <x v="0"/>
    <d v="1899-12-30T00:00:00"/>
    <d v="2022-04-24T00:00:00"/>
    <d v="2022-04-26T00:00:00"/>
    <x v="842"/>
    <d v="2022-04-27T00:00:00"/>
    <d v="2022-04-26T00:00:00"/>
    <x v="845"/>
    <n v="4"/>
    <n v="2022"/>
    <x v="0"/>
    <x v="14"/>
    <s v="DESAGUADERO"/>
    <x v="4"/>
    <s v="EQUILIBRA"/>
    <x v="2"/>
    <x v="1400"/>
    <m/>
    <s v="CAMION"/>
    <x v="344"/>
    <x v="45"/>
    <s v="N/A"/>
    <s v="PENDIENTE"/>
    <m/>
    <m/>
    <m/>
    <m/>
    <x v="0"/>
    <m/>
    <m/>
    <x v="115"/>
    <x v="54"/>
    <s v="SADA PL"/>
    <s v="VERDE"/>
    <x v="0"/>
    <s v="OK"/>
    <m/>
    <m/>
    <m/>
    <m/>
    <m/>
    <x v="0"/>
    <s v="ANULAR OC: 8000001937"/>
    <m/>
    <m/>
    <m/>
    <s v="NACIONALIZADO"/>
    <m/>
    <m/>
    <m/>
  </r>
  <r>
    <n v="2022"/>
    <s v="G-S"/>
    <x v="0"/>
    <x v="0"/>
    <m/>
    <m/>
    <x v="1906"/>
    <s v="2022-59"/>
    <x v="1626"/>
    <m/>
    <d v="2022-04-27T00:00:00"/>
    <d v="2022-04-29T00:00:00"/>
    <s v="CERRADO"/>
    <n v="204177"/>
    <x v="13"/>
    <x v="39"/>
    <x v="869"/>
    <d v="2022-02-25T00:00:00"/>
    <s v="CAD"/>
    <m/>
    <s v="177-5/2022"/>
    <d v="2022-04-20T00:00:00"/>
    <m/>
    <s v="CANCELADO"/>
    <s v="CPT"/>
    <m/>
    <x v="249"/>
    <n v="775"/>
    <m/>
    <x v="1568"/>
    <x v="4"/>
    <s v="Camión"/>
    <m/>
    <s v="Bigbag"/>
    <n v="1"/>
    <s v="YPFB"/>
    <s v="MARZO '22"/>
    <x v="0"/>
    <d v="1899-12-30T00:00:00"/>
    <d v="2022-04-24T00:00:00"/>
    <d v="2022-04-26T00:00:00"/>
    <x v="842"/>
    <d v="2022-04-26T00:00:00"/>
    <d v="2022-04-26T00:00:00"/>
    <x v="914"/>
    <n v="4"/>
    <n v="2022"/>
    <x v="0"/>
    <x v="14"/>
    <s v="DESAGUADERO"/>
    <x v="4"/>
    <s v="EQUILIBRA"/>
    <x v="2"/>
    <x v="1401"/>
    <m/>
    <s v="CAMION"/>
    <x v="344"/>
    <x v="44"/>
    <m/>
    <s v="PENDIENTE"/>
    <m/>
    <m/>
    <m/>
    <m/>
    <x v="0"/>
    <m/>
    <m/>
    <x v="116"/>
    <x v="58"/>
    <s v="SADA PL"/>
    <s v="VERDE"/>
    <x v="0"/>
    <s v="OK"/>
    <m/>
    <m/>
    <m/>
    <m/>
    <m/>
    <x v="0"/>
    <s v="ANULAR OC: 8000001938"/>
    <m/>
    <m/>
    <m/>
    <s v="NACIONALIZADO"/>
    <m/>
    <m/>
    <m/>
  </r>
  <r>
    <n v="2022"/>
    <s v="G-S"/>
    <x v="0"/>
    <x v="0"/>
    <m/>
    <m/>
    <x v="1907"/>
    <s v="2022-59"/>
    <x v="1627"/>
    <m/>
    <d v="2022-04-27T00:00:00"/>
    <d v="2022-04-28T00:00:00"/>
    <s v="CERRADO"/>
    <n v="204177"/>
    <x v="13"/>
    <x v="39"/>
    <x v="869"/>
    <d v="2022-02-25T00:00:00"/>
    <s v="CAD"/>
    <m/>
    <s v="177-6/2022"/>
    <d v="2022-04-22T00:00:00"/>
    <m/>
    <s v="CANCELADO"/>
    <s v="CPT"/>
    <m/>
    <x v="249"/>
    <n v="775"/>
    <m/>
    <x v="1568"/>
    <x v="4"/>
    <s v="Camión"/>
    <m/>
    <s v="Bigbag"/>
    <n v="1"/>
    <s v="YPFB"/>
    <s v="MARZO '22"/>
    <x v="0"/>
    <d v="1899-12-30T00:00:00"/>
    <d v="2022-04-25T00:00:00"/>
    <d v="2022-04-27T00:00:00"/>
    <x v="833"/>
    <d v="2022-04-27T00:00:00"/>
    <d v="2022-04-27T00:00:00"/>
    <x v="845"/>
    <n v="4"/>
    <n v="2022"/>
    <x v="0"/>
    <x v="14"/>
    <s v="DESAGUADERO"/>
    <x v="4"/>
    <s v="TPE"/>
    <x v="14"/>
    <x v="1400"/>
    <m/>
    <s v="CAMION"/>
    <x v="344"/>
    <x v="45"/>
    <m/>
    <s v="PENDIENTE"/>
    <m/>
    <m/>
    <m/>
    <m/>
    <x v="0"/>
    <m/>
    <m/>
    <x v="117"/>
    <x v="59"/>
    <s v="SADA PL"/>
    <s v="VERDE"/>
    <x v="0"/>
    <s v="OK"/>
    <m/>
    <m/>
    <m/>
    <m/>
    <m/>
    <x v="0"/>
    <s v="ANULAR OC: 8000001939"/>
    <m/>
    <m/>
    <m/>
    <s v="DESAGUADERO"/>
    <m/>
    <m/>
    <m/>
  </r>
  <r>
    <n v="2022"/>
    <s v="G-S"/>
    <x v="0"/>
    <x v="1"/>
    <s v="N/A"/>
    <m/>
    <x v="1908"/>
    <m/>
    <x v="1628"/>
    <m/>
    <m/>
    <m/>
    <m/>
    <m/>
    <x v="0"/>
    <x v="24"/>
    <x v="16"/>
    <m/>
    <m/>
    <m/>
    <m/>
    <m/>
    <m/>
    <m/>
    <m/>
    <m/>
    <x v="29"/>
    <m/>
    <m/>
    <x v="1482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2"/>
    <s v="E-S"/>
    <x v="0"/>
    <x v="0"/>
    <s v="NORMAL"/>
    <m/>
    <x v="1909"/>
    <s v="2022-37"/>
    <x v="1629"/>
    <d v="2022-05-09T00:00:00"/>
    <d v="2022-05-09T00:00:00"/>
    <d v="2022-05-09T00:00:00"/>
    <s v="CERRADO"/>
    <n v="203620"/>
    <x v="57"/>
    <x v="51"/>
    <x v="870"/>
    <d v="2022-03-04T00:00:00"/>
    <n v="90"/>
    <s v="días BL"/>
    <s v="5000993"/>
    <d v="2022-04-10T00:00:00"/>
    <d v="2022-07-09T00:00:00"/>
    <s v="PENDIENTE"/>
    <s v="CPT"/>
    <m/>
    <x v="234"/>
    <n v="1547"/>
    <m/>
    <x v="1569"/>
    <x v="11"/>
    <s v="Contenedor 20'"/>
    <s v="TANQUE  IBC"/>
    <s v="IBC"/>
    <s v="-"/>
    <s v="S/M"/>
    <s v="2H MAR - 2H ABR '22"/>
    <x v="0"/>
    <d v="2022-04-09T00:00:00"/>
    <d v="2022-04-09T00:00:00"/>
    <d v="2022-05-12T00:00:00"/>
    <x v="843"/>
    <d v="2022-05-09T00:00:00"/>
    <m/>
    <x v="863"/>
    <n v="5"/>
    <n v="2022"/>
    <x v="0"/>
    <x v="15"/>
    <s v="LA SPEZIA"/>
    <x v="2"/>
    <s v="APM"/>
    <x v="3"/>
    <x v="1402"/>
    <d v="2022-04-10T00:00:00"/>
    <s v=" CAPE AKRITAS"/>
    <x v="394"/>
    <x v="4"/>
    <s v="MEDLOG"/>
    <s v="PENDIENTE"/>
    <s v="DESTINO"/>
    <m/>
    <m/>
    <m/>
    <x v="0"/>
    <d v="2022-05-10T00:00:00"/>
    <m/>
    <x v="118"/>
    <x v="51"/>
    <s v="SADA DD"/>
    <s v="VERDE"/>
    <x v="0"/>
    <e v="#REF!"/>
    <m/>
    <m/>
    <m/>
    <m/>
    <m/>
    <x v="0"/>
    <s v="ANULACION DE OC  8000001902"/>
    <m/>
    <m/>
    <m/>
    <s v="NACIONALIZADO"/>
    <m/>
    <m/>
    <m/>
  </r>
  <r>
    <n v="2022"/>
    <s v="G-S"/>
    <x v="0"/>
    <x v="0"/>
    <m/>
    <m/>
    <x v="1910"/>
    <s v=" 2022-60"/>
    <x v="1630"/>
    <m/>
    <d v="2022-04-19T00:00:00"/>
    <d v="2022-04-19T00:00:00"/>
    <s v="CERRADO"/>
    <n v="207485"/>
    <x v="13"/>
    <x v="37"/>
    <x v="871"/>
    <d v="2022-03-09T00:00:00"/>
    <s v="CAD"/>
    <m/>
    <s v="I-39538"/>
    <d v="2022-03-09T00:00:00"/>
    <m/>
    <s v="CANCELADO"/>
    <s v="CFR"/>
    <m/>
    <x v="580"/>
    <n v="1070"/>
    <n v="255"/>
    <x v="1570"/>
    <x v="3"/>
    <s v="Granel"/>
    <m/>
    <s v="Granel Sólido"/>
    <s v="-"/>
    <s v="-"/>
    <s v="MARZO '22"/>
    <x v="0"/>
    <d v="2022-03-31T00:00:00"/>
    <d v="2022-03-09T00:00:00"/>
    <d v="2022-04-17T00:00:00"/>
    <x v="844"/>
    <d v="2022-04-19T00:00:00"/>
    <m/>
    <x v="897"/>
    <n v="4"/>
    <n v="2022"/>
    <x v="0"/>
    <x v="16"/>
    <s v="MERS EL HADJADJ JETTY / ALGERIA"/>
    <x v="0"/>
    <s v="TPE"/>
    <x v="2"/>
    <x v="1403"/>
    <d v="2022-03-09T00:00:00"/>
    <s v="MV INGWAR SELMER"/>
    <x v="395"/>
    <x v="0"/>
    <s v="SOUTH SHIPPING"/>
    <s v="PENDIENTE"/>
    <s v="ORIGEN"/>
    <m/>
    <m/>
    <m/>
    <x v="0"/>
    <m/>
    <m/>
    <x v="119"/>
    <x v="48"/>
    <s v="SADA DD"/>
    <s v="VERDE"/>
    <x v="0"/>
    <s v="OK"/>
    <m/>
    <m/>
    <m/>
    <m/>
    <m/>
    <x v="0"/>
    <s v="Reclamo por trimado USD 0.07/TM"/>
    <m/>
    <m/>
    <m/>
    <s v="NACIONALIZADO"/>
    <m/>
    <m/>
    <m/>
  </r>
  <r>
    <n v="2022"/>
    <s v="S-P"/>
    <x v="1"/>
    <x v="5"/>
    <s v="URGENTE"/>
    <m/>
    <x v="1911"/>
    <s v="2022-36"/>
    <x v="1631"/>
    <d v="2022-03-14T00:00:00"/>
    <m/>
    <m/>
    <s v="PENDIENTE"/>
    <n v="207499"/>
    <x v="2"/>
    <x v="51"/>
    <x v="872"/>
    <d v="2022-03-15T00:00:00"/>
    <n v="90"/>
    <s v="días BL"/>
    <s v="50001013"/>
    <d v="2022-04-25T00:00:00"/>
    <d v="2022-07-24T00:00:00"/>
    <s v="PENDIENTE"/>
    <s v="CFR"/>
    <s v="FILO"/>
    <x v="225"/>
    <n v="867"/>
    <m/>
    <x v="1571"/>
    <x v="57"/>
    <s v="Granel - BB"/>
    <s v="-"/>
    <s v="25 kg"/>
    <n v="1"/>
    <s v="ROMERO FERTILIZANTES"/>
    <s v="ABRIL - MAYO '22"/>
    <x v="1"/>
    <d v="2022-04-30T00:00:00"/>
    <d v="2022-04-30T00:00:00"/>
    <d v="2022-07-19T00:00:00"/>
    <x v="845"/>
    <d v="2022-07-29T00:00:00"/>
    <m/>
    <x v="915"/>
    <n v="7"/>
    <n v="2022"/>
    <x v="1"/>
    <x v="1"/>
    <s v="TIANJIN"/>
    <x v="2"/>
    <m/>
    <x v="3"/>
    <x v="1404"/>
    <d v="2022-04-25T00:00:00"/>
    <s v="SHENG XIANG HAI"/>
    <x v="396"/>
    <x v="0"/>
    <m/>
    <s v="PENDIENTE"/>
    <s v="ORIGEN"/>
    <m/>
    <m/>
    <m/>
    <x v="0"/>
    <m/>
    <m/>
    <x v="0"/>
    <x v="0"/>
    <m/>
    <m/>
    <x v="0"/>
    <e v="#REF!"/>
    <s v="N/A"/>
    <s v="N/A"/>
    <s v="N/A"/>
    <s v="N/A"/>
    <s v="N/A"/>
    <x v="1"/>
    <s v="BL emitido en origen, enviado a SEGU"/>
    <m/>
    <m/>
    <m/>
    <m/>
    <m/>
    <m/>
    <m/>
  </r>
  <r>
    <n v="2022"/>
    <s v="S-S"/>
    <x v="1"/>
    <x v="5"/>
    <s v="URGENTE"/>
    <m/>
    <x v="1912"/>
    <s v="2022-41"/>
    <x v="1632"/>
    <d v="2022-03-14T00:00:00"/>
    <m/>
    <m/>
    <s v="PENDIENTE"/>
    <n v="209677"/>
    <x v="80"/>
    <x v="51"/>
    <x v="873"/>
    <d v="2022-03-15T00:00:00"/>
    <n v="90"/>
    <s v="días BL"/>
    <m/>
    <m/>
    <m/>
    <s v="PENDIENTE"/>
    <s v="CFR"/>
    <s v="FILO"/>
    <x v="538"/>
    <n v="1424"/>
    <m/>
    <x v="1572"/>
    <x v="57"/>
    <s v="Granel - BB"/>
    <s v="-"/>
    <s v="25 kg"/>
    <n v="1.125"/>
    <s v="ROMERO FERTILIZANTES"/>
    <s v="ABRIL - MAYO '22"/>
    <x v="1"/>
    <d v="2022-05-20T00:00:00"/>
    <d v="2022-05-19T00:00:00"/>
    <d v="2022-06-30T00:00:00"/>
    <x v="846"/>
    <d v="2022-07-16T00:00:00"/>
    <m/>
    <x v="916"/>
    <n v="7"/>
    <n v="2022"/>
    <x v="1"/>
    <x v="1"/>
    <s v="TIANJIN"/>
    <x v="2"/>
    <m/>
    <x v="3"/>
    <x v="1405"/>
    <d v="2022-05-18T00:00:00"/>
    <s v="MV GINKGO ARROW"/>
    <x v="397"/>
    <x v="0"/>
    <m/>
    <s v="PENDIENTE"/>
    <m/>
    <m/>
    <m/>
    <m/>
    <x v="0"/>
    <m/>
    <m/>
    <x v="0"/>
    <x v="0"/>
    <m/>
    <m/>
    <x v="0"/>
    <e v="#REF!"/>
    <s v="N/A"/>
    <s v="N/A"/>
    <s v="N/A"/>
    <s v="N/A"/>
    <s v="N/A"/>
    <x v="1"/>
    <m/>
    <s v="FALTA DE DISPONIBILIDAD DE NAVES EN ORIGEN"/>
    <m/>
    <m/>
    <m/>
    <m/>
    <m/>
    <m/>
  </r>
  <r>
    <n v="2022"/>
    <s v="G-S"/>
    <x v="1"/>
    <x v="5"/>
    <s v="URGENTE"/>
    <m/>
    <x v="1913"/>
    <s v="2022-61"/>
    <x v="1633"/>
    <d v="2022-03-14T00:00:00"/>
    <m/>
    <m/>
    <s v="PENDIENTE"/>
    <n v="209852"/>
    <x v="43"/>
    <x v="51"/>
    <x v="874"/>
    <d v="2022-03-15T00:00:00"/>
    <n v="90"/>
    <s v="días BL"/>
    <s v="5001036"/>
    <d v="2022-05-17T00:00:00"/>
    <d v="2022-08-15T00:00:00"/>
    <s v="PENDIENTE"/>
    <s v="CFR"/>
    <s v="FILO"/>
    <x v="331"/>
    <n v="315"/>
    <n v="130.208"/>
    <x v="1573"/>
    <x v="57"/>
    <s v="Granel - BB"/>
    <s v="-"/>
    <s v="50 kg"/>
    <n v="1.25"/>
    <s v="NEUTRAL"/>
    <s v="MARZO - MAYO '22"/>
    <x v="1"/>
    <d v="2022-05-09T00:00:00"/>
    <d v="2022-05-17T00:00:00"/>
    <d v="2022-06-19T00:00:00"/>
    <x v="847"/>
    <d v="2022-07-12T00:00:00"/>
    <m/>
    <x v="917"/>
    <n v="7"/>
    <n v="2022"/>
    <x v="1"/>
    <x v="1"/>
    <s v="DALIAN"/>
    <x v="2"/>
    <m/>
    <x v="3"/>
    <x v="1406"/>
    <d v="2022-05-17T00:00:00"/>
    <s v="MV HONG KONG"/>
    <x v="398"/>
    <x v="0"/>
    <m/>
    <s v="PENDIENTE"/>
    <s v="ORIGEN"/>
    <m/>
    <m/>
    <m/>
    <x v="0"/>
    <m/>
    <m/>
    <x v="0"/>
    <x v="0"/>
    <m/>
    <m/>
    <x v="0"/>
    <e v="#REF!"/>
    <s v="N/A"/>
    <s v="N/A"/>
    <s v="N/A"/>
    <s v="N/A"/>
    <s v="N/A"/>
    <x v="1"/>
    <m/>
    <s v="FALTA DE DISPONIBILIDAD DE NAVES EN ORIGEN"/>
    <m/>
    <m/>
    <m/>
    <m/>
    <m/>
    <m/>
  </r>
  <r>
    <n v="2022"/>
    <s v="S-S"/>
    <x v="1"/>
    <x v="3"/>
    <s v="NORMAL"/>
    <m/>
    <x v="1914"/>
    <s v="2022-39"/>
    <x v="1634"/>
    <d v="2022-03-14T00:00:00"/>
    <m/>
    <m/>
    <s v="PENDIENTE"/>
    <n v="207578"/>
    <x v="8"/>
    <x v="39"/>
    <x v="875"/>
    <d v="2022-03-30T00:00:00"/>
    <s v="CAD"/>
    <m/>
    <m/>
    <m/>
    <m/>
    <s v="PENDIENTE"/>
    <s v="CFR"/>
    <s v="FILO"/>
    <x v="212"/>
    <n v="502"/>
    <m/>
    <x v="1574"/>
    <x v="3"/>
    <s v="Granel - BB"/>
    <m/>
    <s v="25 kg"/>
    <m/>
    <s v="NEUTRAL"/>
    <s v="ABRIL-JUNIO '22"/>
    <x v="1"/>
    <d v="2022-06-20T00:00:00"/>
    <d v="2022-07-29T00:00:00"/>
    <d v="2022-09-13T00:00:00"/>
    <x v="838"/>
    <d v="2022-09-23T00:00:00"/>
    <m/>
    <x v="910"/>
    <n v="9"/>
    <n v="2022"/>
    <x v="2"/>
    <x v="1"/>
    <m/>
    <x v="2"/>
    <m/>
    <x v="2"/>
    <x v="29"/>
    <m/>
    <m/>
    <x v="15"/>
    <x v="0"/>
    <m/>
    <s v="PENDIENTE"/>
    <m/>
    <m/>
    <m/>
    <m/>
    <x v="0"/>
    <m/>
    <m/>
    <x v="0"/>
    <x v="0"/>
    <m/>
    <m/>
    <x v="0"/>
    <e v="#REF!"/>
    <m/>
    <m/>
    <m/>
    <m/>
    <m/>
    <x v="0"/>
    <m/>
    <s v="INSPECCION EN ORIGEN"/>
    <m/>
    <m/>
    <m/>
    <m/>
    <m/>
    <m/>
  </r>
  <r>
    <n v="2022"/>
    <s v="S-S"/>
    <x v="1"/>
    <x v="3"/>
    <s v="NORMAL"/>
    <m/>
    <x v="1915"/>
    <s v="2022-38"/>
    <x v="1635"/>
    <d v="2022-04-01T00:00:00"/>
    <m/>
    <m/>
    <s v="PENDIENTE"/>
    <n v="207578"/>
    <x v="8"/>
    <x v="39"/>
    <x v="876"/>
    <d v="2022-03-30T00:00:00"/>
    <s v="CAD"/>
    <m/>
    <m/>
    <m/>
    <m/>
    <s v="PENDIENTE"/>
    <s v="CFR"/>
    <s v="FILO"/>
    <x v="130"/>
    <n v="523"/>
    <m/>
    <x v="1575"/>
    <x v="3"/>
    <s v="Granel - BB"/>
    <m/>
    <s v="25 kg"/>
    <m/>
    <s v="NEUTRAL"/>
    <s v="ABRIL-JUNIO '22"/>
    <x v="1"/>
    <d v="2022-06-20T00:00:00"/>
    <d v="2022-07-29T00:00:00"/>
    <d v="2022-09-13T00:00:00"/>
    <x v="838"/>
    <d v="2022-09-20T00:00:00"/>
    <m/>
    <x v="910"/>
    <n v="9"/>
    <n v="2022"/>
    <x v="2"/>
    <x v="1"/>
    <m/>
    <x v="0"/>
    <s v="TPE"/>
    <x v="2"/>
    <x v="29"/>
    <m/>
    <m/>
    <x v="15"/>
    <x v="0"/>
    <m/>
    <s v="PENDIENTE"/>
    <m/>
    <m/>
    <m/>
    <m/>
    <x v="0"/>
    <m/>
    <m/>
    <x v="0"/>
    <x v="0"/>
    <m/>
    <m/>
    <x v="0"/>
    <e v="#REF!"/>
    <m/>
    <m/>
    <m/>
    <m/>
    <m/>
    <x v="0"/>
    <m/>
    <s v="INSPECCION EN ORIGEN"/>
    <m/>
    <m/>
    <m/>
    <m/>
    <m/>
    <m/>
  </r>
  <r>
    <n v="2022"/>
    <e v="#N/A"/>
    <x v="1"/>
    <x v="5"/>
    <s v="URGENTE"/>
    <m/>
    <x v="1916"/>
    <s v="2022-62"/>
    <x v="1636"/>
    <d v="2022-03-14T00:00:00"/>
    <m/>
    <m/>
    <s v="PENDIENTE"/>
    <n v="207951"/>
    <x v="159"/>
    <x v="37"/>
    <x v="877"/>
    <d v="2022-04-22T00:00:00"/>
    <n v="150"/>
    <s v="dias BL"/>
    <s v="B7FE-22-3046-PUPE-01"/>
    <d v="2022-05-20T00:00:00"/>
    <d v="2022-09-27T00:00:00"/>
    <s v="PENDIENTE"/>
    <s v="CFR"/>
    <s v="-"/>
    <x v="402"/>
    <n v="1148.1199999999999"/>
    <n v="120"/>
    <x v="1576"/>
    <x v="57"/>
    <s v="Granel"/>
    <s v="-"/>
    <s v="Granel Sólido"/>
    <s v="-"/>
    <s v="-"/>
    <s v="1H ABRIL '22"/>
    <x v="1"/>
    <d v="2022-05-03T00:00:00"/>
    <d v="2022-05-03T00:00:00"/>
    <d v="2022-06-06T00:00:00"/>
    <x v="848"/>
    <d v="2022-06-08T00:00:00"/>
    <m/>
    <x v="918"/>
    <n v="6"/>
    <n v="2022"/>
    <x v="3"/>
    <x v="17"/>
    <s v="BONTANG"/>
    <x v="0"/>
    <s v="TPE"/>
    <x v="2"/>
    <x v="1407"/>
    <d v="2022-04-30T00:00:00"/>
    <s v="CL DIYIN HE"/>
    <x v="399"/>
    <x v="0"/>
    <s v="TRANSMERIDIAN"/>
    <s v="PENDIENTE"/>
    <m/>
    <m/>
    <m/>
    <m/>
    <x v="0"/>
    <m/>
    <m/>
    <x v="0"/>
    <x v="0"/>
    <m/>
    <m/>
    <x v="0"/>
    <s v="OK"/>
    <s v="N/A"/>
    <s v="N/A"/>
    <s v="N/A"/>
    <s v="N/A"/>
    <s v="N/A"/>
    <x v="1"/>
    <m/>
    <m/>
    <m/>
    <m/>
    <m/>
    <m/>
    <m/>
    <m/>
  </r>
  <r>
    <n v="2022"/>
    <e v="#N/A"/>
    <x v="1"/>
    <x v="5"/>
    <s v="URGENTE"/>
    <m/>
    <x v="1917"/>
    <s v="2022-62"/>
    <x v="34"/>
    <m/>
    <m/>
    <m/>
    <s v="PENDIENTE"/>
    <n v="207951"/>
    <x v="159"/>
    <x v="37"/>
    <x v="877"/>
    <d v="2022-04-22T00:00:00"/>
    <n v="150"/>
    <s v="dias BL"/>
    <s v="B7FE-22-3046-PUPE-02"/>
    <d v="2022-05-20T00:00:00"/>
    <d v="2022-09-27T00:00:00"/>
    <s v="PENDIENTE"/>
    <s v="CFR"/>
    <s v="-"/>
    <x v="402"/>
    <n v="1148.1199999999999"/>
    <n v="120"/>
    <x v="1576"/>
    <x v="57"/>
    <s v="Granel"/>
    <s v="-"/>
    <s v="Granel Sólido"/>
    <s v="-"/>
    <s v="-"/>
    <s v="1H ABRIL '22"/>
    <x v="1"/>
    <d v="2022-05-03T00:00:00"/>
    <d v="2022-05-03T00:00:00"/>
    <d v="2022-06-11T00:00:00"/>
    <x v="849"/>
    <d v="2022-06-13T00:00:00"/>
    <m/>
    <x v="919"/>
    <n v="6"/>
    <n v="2022"/>
    <x v="3"/>
    <x v="17"/>
    <s v="BONTANG"/>
    <x v="1"/>
    <s v="TISUR"/>
    <x v="2"/>
    <x v="1408"/>
    <d v="2022-04-30T00:00:00"/>
    <s v="CL DIYIN HE"/>
    <x v="399"/>
    <x v="0"/>
    <s v="TRANSMERIDIAN"/>
    <s v="PENDIENTE"/>
    <m/>
    <m/>
    <m/>
    <m/>
    <x v="0"/>
    <m/>
    <m/>
    <x v="0"/>
    <x v="0"/>
    <m/>
    <m/>
    <x v="0"/>
    <s v="OK"/>
    <s v="N/A"/>
    <s v="N/A"/>
    <s v="N/A"/>
    <s v="N/A"/>
    <s v="N/A"/>
    <x v="1"/>
    <m/>
    <m/>
    <m/>
    <m/>
    <m/>
    <m/>
    <m/>
    <m/>
  </r>
  <r>
    <n v="2022"/>
    <e v="#N/A"/>
    <x v="1"/>
    <x v="5"/>
    <s v="URGENTE"/>
    <m/>
    <x v="1918"/>
    <s v="2022-62"/>
    <x v="34"/>
    <m/>
    <m/>
    <m/>
    <s v="PENDIENTE"/>
    <n v="207951"/>
    <x v="159"/>
    <x v="37"/>
    <x v="877"/>
    <d v="2022-04-22T00:00:00"/>
    <n v="150"/>
    <s v="dias BL"/>
    <s v="B7FE-22-3046-PUPE-03"/>
    <d v="2022-05-20T00:00:00"/>
    <d v="2022-09-27T00:00:00"/>
    <s v="PENDIENTE"/>
    <s v="CFR"/>
    <s v="-"/>
    <x v="580"/>
    <n v="1148.1199999999999"/>
    <n v="120"/>
    <x v="1577"/>
    <x v="57"/>
    <s v="Granel"/>
    <s v="-"/>
    <s v="Granel Sólido"/>
    <s v="-"/>
    <s v="-"/>
    <s v="1H ABRIL '22"/>
    <x v="1"/>
    <d v="2022-05-03T00:00:00"/>
    <d v="2022-05-03T00:00:00"/>
    <d v="2022-06-15T00:00:00"/>
    <x v="850"/>
    <d v="2022-06-18T00:00:00"/>
    <m/>
    <x v="920"/>
    <n v="6"/>
    <n v="2022"/>
    <x v="3"/>
    <x v="17"/>
    <s v="BONTANG"/>
    <x v="2"/>
    <m/>
    <x v="3"/>
    <x v="1409"/>
    <d v="2022-04-30T00:00:00"/>
    <s v="CL DIYIN HE"/>
    <x v="399"/>
    <x v="0"/>
    <s v="TRANSMERIDIAN"/>
    <s v="PENDIENTE"/>
    <m/>
    <m/>
    <m/>
    <m/>
    <x v="0"/>
    <m/>
    <m/>
    <x v="0"/>
    <x v="0"/>
    <m/>
    <m/>
    <x v="0"/>
    <s v="OK"/>
    <s v="N/A"/>
    <s v="N/A"/>
    <s v="N/A"/>
    <s v="N/A"/>
    <s v="N/A"/>
    <x v="1"/>
    <m/>
    <m/>
    <m/>
    <m/>
    <m/>
    <m/>
    <m/>
    <m/>
  </r>
  <r>
    <n v="2022"/>
    <e v="#N/A"/>
    <x v="1"/>
    <x v="5"/>
    <s v="URGENTE"/>
    <m/>
    <x v="1919"/>
    <s v="2022-62"/>
    <x v="34"/>
    <m/>
    <m/>
    <m/>
    <s v="PENDIENTE"/>
    <n v="207951"/>
    <x v="159"/>
    <x v="37"/>
    <x v="877"/>
    <d v="2022-04-22T00:00:00"/>
    <n v="150"/>
    <s v="dias BL"/>
    <s v="B7FE-22-3046-PUPE-04"/>
    <d v="2022-05-20T00:00:00"/>
    <d v="2022-09-27T00:00:00"/>
    <s v="PENDIENTE"/>
    <s v="CFR"/>
    <s v="-"/>
    <x v="17"/>
    <n v="1148.1199999999999"/>
    <n v="120"/>
    <x v="1578"/>
    <x v="57"/>
    <s v="Granel"/>
    <s v="-"/>
    <s v="Granel Sólido"/>
    <s v="-"/>
    <s v="-"/>
    <s v="1H ABRIL '22"/>
    <x v="1"/>
    <d v="2022-05-03T00:00:00"/>
    <d v="2022-05-03T00:00:00"/>
    <d v="2022-06-19T00:00:00"/>
    <x v="834"/>
    <d v="2022-06-20T00:00:00"/>
    <m/>
    <x v="877"/>
    <n v="6"/>
    <n v="2022"/>
    <x v="3"/>
    <x v="17"/>
    <s v="BONTANG"/>
    <x v="4"/>
    <s v="TISUR"/>
    <x v="2"/>
    <x v="1410"/>
    <d v="2022-04-30T00:00:00"/>
    <s v="CL DIYIN HE"/>
    <x v="399"/>
    <x v="0"/>
    <s v="TRANSMERIDIAN"/>
    <s v="PENDIENTE"/>
    <m/>
    <m/>
    <m/>
    <m/>
    <x v="0"/>
    <m/>
    <m/>
    <x v="0"/>
    <x v="0"/>
    <m/>
    <m/>
    <x v="0"/>
    <s v="OK"/>
    <s v="N/A"/>
    <s v="N/A"/>
    <s v="N/A"/>
    <s v="N/A"/>
    <s v="N/A"/>
    <x v="1"/>
    <m/>
    <m/>
    <m/>
    <m/>
    <m/>
    <m/>
    <m/>
    <m/>
  </r>
  <r>
    <n v="2022"/>
    <s v="T-S"/>
    <x v="0"/>
    <x v="0"/>
    <s v="URGENTE"/>
    <m/>
    <x v="1920"/>
    <s v="2022-63"/>
    <x v="1637"/>
    <m/>
    <d v="2022-04-05T00:00:00"/>
    <d v="1899-12-30T00:00:00"/>
    <s v="CERRADO"/>
    <n v="208067"/>
    <x v="115"/>
    <x v="53"/>
    <x v="878"/>
    <d v="2022-03-10T00:00:00"/>
    <n v="30"/>
    <s v="días FACT."/>
    <s v="F200-43298"/>
    <d v="2022-04-28T00:00:00"/>
    <d v="2022-05-28T00:00:00"/>
    <s v="CANCELADO"/>
    <s v="CFR"/>
    <m/>
    <x v="136"/>
    <n v="850"/>
    <m/>
    <x v="1579"/>
    <x v="14"/>
    <s v="Contenedor 20'"/>
    <m/>
    <s v="25 kg"/>
    <s v="-"/>
    <s v="YARATERA CALCINIT"/>
    <s v="ABRIL '22"/>
    <x v="0"/>
    <d v="2022-04-29T00:00:00"/>
    <d v="2022-04-29T00:00:00"/>
    <d v="2022-05-03T00:00:00"/>
    <x v="826"/>
    <d v="2022-05-07T00:00:00"/>
    <d v="2022-05-05T00:00:00"/>
    <x v="921"/>
    <n v="5"/>
    <n v="2022"/>
    <x v="0"/>
    <x v="9"/>
    <s v="CARTAGENA"/>
    <x v="0"/>
    <m/>
    <x v="2"/>
    <x v="1411"/>
    <d v="2022-04-29T00:00:00"/>
    <s v="AS PATRIA"/>
    <x v="339"/>
    <x v="2"/>
    <s v="TRAMARSA"/>
    <s v="REALIZADO"/>
    <s v="DESTINO"/>
    <m/>
    <m/>
    <m/>
    <x v="0"/>
    <d v="2022-05-17T00:00:00"/>
    <m/>
    <x v="120"/>
    <x v="60"/>
    <s v="SADA DD"/>
    <s v="VERDE"/>
    <x v="0"/>
    <e v="#REF!"/>
    <m/>
    <m/>
    <m/>
    <m/>
    <m/>
    <x v="0"/>
    <m/>
    <m/>
    <m/>
    <m/>
    <s v="NACIONALIZADO"/>
    <m/>
    <m/>
    <m/>
  </r>
  <r>
    <n v="2022"/>
    <s v="T-S"/>
    <x v="0"/>
    <x v="0"/>
    <s v="URGENTE"/>
    <s v="A"/>
    <x v="1921"/>
    <s v="2022-63"/>
    <x v="1638"/>
    <d v="2022-05-05T00:00:00"/>
    <d v="2022-04-05T00:00:00"/>
    <d v="2022-05-09T00:00:00"/>
    <s v="CERRADO"/>
    <n v="208067"/>
    <x v="115"/>
    <x v="53"/>
    <x v="878"/>
    <d v="2022-03-10T00:00:00"/>
    <n v="30"/>
    <s v="días FACT."/>
    <s v="F200-43299"/>
    <d v="2022-04-28T00:00:00"/>
    <d v="2022-05-28T00:00:00"/>
    <s v="CANCELADO"/>
    <s v="CFR"/>
    <m/>
    <x v="229"/>
    <n v="850"/>
    <m/>
    <x v="1580"/>
    <x v="10"/>
    <s v="Contenedor 20'"/>
    <m/>
    <s v="25 kg"/>
    <s v="-"/>
    <s v="YARATERA CALCINIT"/>
    <s v="ABRIL '22"/>
    <x v="0"/>
    <d v="2022-04-29T00:00:00"/>
    <d v="2022-04-29T00:00:00"/>
    <d v="2022-05-03T00:00:00"/>
    <x v="826"/>
    <d v="2022-05-07T00:00:00"/>
    <d v="2022-05-06T00:00:00"/>
    <x v="922"/>
    <n v="5"/>
    <n v="2022"/>
    <x v="0"/>
    <x v="9"/>
    <s v="CARTAGENA"/>
    <x v="0"/>
    <m/>
    <x v="2"/>
    <x v="1412"/>
    <d v="2022-04-29T00:00:00"/>
    <s v="AS PATRIA"/>
    <x v="339"/>
    <x v="2"/>
    <s v="TRAMARSA"/>
    <s v="REALIZADO"/>
    <s v="DESTINO"/>
    <m/>
    <m/>
    <m/>
    <x v="0"/>
    <d v="2022-05-17T00:00:00"/>
    <m/>
    <x v="121"/>
    <x v="60"/>
    <s v="SADA DD"/>
    <s v="VERDE"/>
    <x v="0"/>
    <e v="#REF!"/>
    <m/>
    <m/>
    <m/>
    <m/>
    <m/>
    <x v="0"/>
    <s v="Daño de CNT por USD 591.92"/>
    <m/>
    <m/>
    <m/>
    <s v="NACIONALIZADO"/>
    <m/>
    <m/>
    <m/>
  </r>
  <r>
    <n v="2022"/>
    <s v="O-S"/>
    <x v="1"/>
    <x v="5"/>
    <s v="URGENTE"/>
    <m/>
    <x v="1922"/>
    <s v="2022-64"/>
    <x v="1639"/>
    <d v="2022-04-25T00:00:00"/>
    <m/>
    <m/>
    <s v="PENDIENTE"/>
    <n v="203553"/>
    <x v="123"/>
    <x v="53"/>
    <x v="879"/>
    <d v="2022-03-10T00:00:00"/>
    <s v="CAD"/>
    <m/>
    <m/>
    <m/>
    <m/>
    <s v="PENDIENTE"/>
    <s v="CFR"/>
    <s v="N/A"/>
    <x v="673"/>
    <n v="956.1"/>
    <m/>
    <x v="1581"/>
    <x v="22"/>
    <s v="Contenedor 20'"/>
    <m/>
    <s v="Granel Sólido"/>
    <s v="-"/>
    <s v="S/M"/>
    <s v="ABRIL '22"/>
    <x v="1"/>
    <d v="2022-05-09T00:00:00"/>
    <d v="2022-05-11T00:00:00"/>
    <d v="2022-06-07T00:00:00"/>
    <x v="851"/>
    <d v="2022-06-11T00:00:00"/>
    <m/>
    <x v="923"/>
    <n v="6"/>
    <n v="2022"/>
    <x v="3"/>
    <x v="2"/>
    <s v="AMBERES"/>
    <x v="0"/>
    <s v="TPE"/>
    <x v="2"/>
    <x v="1413"/>
    <d v="2022-05-11T00:00:00"/>
    <s v="GUAYAQUIL EXPRESS"/>
    <x v="326"/>
    <x v="2"/>
    <s v="TRAMARSA"/>
    <s v="PENDIENTE"/>
    <s v="DESTINO"/>
    <m/>
    <m/>
    <m/>
    <x v="0"/>
    <d v="2022-06-19T00:00:00"/>
    <m/>
    <x v="0"/>
    <x v="0"/>
    <m/>
    <m/>
    <x v="0"/>
    <s v="OK"/>
    <s v="N/A"/>
    <s v="N/A"/>
    <s v="N/A"/>
    <s v="N/A"/>
    <s v="N/A"/>
    <x v="1"/>
    <m/>
    <m/>
    <m/>
    <m/>
    <m/>
    <m/>
    <m/>
    <m/>
  </r>
  <r>
    <n v="2022"/>
    <s v="G-S"/>
    <x v="0"/>
    <x v="0"/>
    <s v="URGENTE"/>
    <m/>
    <x v="1923"/>
    <s v="2022-66"/>
    <x v="1640"/>
    <d v="2022-05-03T00:00:00"/>
    <d v="2022-05-18T00:00:00"/>
    <d v="2022-05-18T00:00:00"/>
    <s v="CERRADO"/>
    <n v="204177"/>
    <x v="13"/>
    <x v="39"/>
    <x v="880"/>
    <d v="2022-03-16T00:00:00"/>
    <s v="CAD"/>
    <m/>
    <s v="#192-1/2022"/>
    <d v="2022-05-12T00:00:00"/>
    <m/>
    <s v="CANCELADO"/>
    <s v="CPT"/>
    <s v="N/A"/>
    <x v="249"/>
    <n v="975"/>
    <n v="160"/>
    <x v="1582"/>
    <x v="4"/>
    <s v="Camión"/>
    <m/>
    <s v="Bigbag"/>
    <n v="1"/>
    <s v="YPFB"/>
    <s v="2H ABRIL - MAYO"/>
    <x v="1"/>
    <d v="2022-05-11T00:00:00"/>
    <d v="2022-05-11T00:00:00"/>
    <d v="2022-05-18T00:00:00"/>
    <x v="852"/>
    <d v="2022-05-18T00:00:00"/>
    <d v="2022-05-18T00:00:00"/>
    <x v="902"/>
    <n v="5"/>
    <n v="2022"/>
    <x v="1"/>
    <x v="14"/>
    <s v="DESAGUADERO"/>
    <x v="4"/>
    <s v="N/A"/>
    <x v="2"/>
    <x v="1414"/>
    <d v="2022-05-12T00:00:00"/>
    <s v="CAMION"/>
    <x v="344"/>
    <x v="44"/>
    <s v="N/A"/>
    <s v="PENDIENTE"/>
    <s v="ORIGEN"/>
    <m/>
    <m/>
    <m/>
    <x v="0"/>
    <m/>
    <m/>
    <x v="122"/>
    <x v="61"/>
    <s v="SADA DD"/>
    <s v="VERDE"/>
    <x v="0"/>
    <s v="OK"/>
    <s v="N/A"/>
    <s v="N/A"/>
    <s v="N/A"/>
    <s v="N/A"/>
    <s v="N/A"/>
    <x v="1"/>
    <s v="ANULAR OC: 8000001940"/>
    <m/>
    <m/>
    <m/>
    <m/>
    <m/>
    <m/>
    <m/>
  </r>
  <r>
    <n v="2022"/>
    <s v="G-S"/>
    <x v="0"/>
    <x v="0"/>
    <s v="URGENTE"/>
    <m/>
    <x v="1924"/>
    <s v="2022-66"/>
    <x v="1641"/>
    <d v="2022-05-03T00:00:00"/>
    <d v="2022-05-18T00:00:00"/>
    <d v="2022-05-19T00:00:00"/>
    <s v="CERRADO"/>
    <n v="204177"/>
    <x v="13"/>
    <x v="39"/>
    <x v="880"/>
    <d v="2022-03-16T00:00:00"/>
    <s v="CAD"/>
    <m/>
    <s v="#192-2/2022"/>
    <d v="2022-05-17T00:00:00"/>
    <m/>
    <s v="CANCELADO"/>
    <s v="CPT"/>
    <s v="N/A"/>
    <x v="217"/>
    <n v="975"/>
    <n v="160"/>
    <x v="1583"/>
    <x v="9"/>
    <s v="Camión"/>
    <m/>
    <s v="Bigbag"/>
    <n v="1"/>
    <s v="YPFB"/>
    <s v="2H ABRIL - MAYO"/>
    <x v="1"/>
    <d v="2022-05-18T00:00:00"/>
    <d v="2022-05-18T00:00:00"/>
    <d v="2022-05-21T00:00:00"/>
    <x v="853"/>
    <d v="2022-05-21T00:00:00"/>
    <m/>
    <x v="924"/>
    <n v="5"/>
    <n v="2022"/>
    <x v="1"/>
    <x v="14"/>
    <s v="DESAGUADERO"/>
    <x v="4"/>
    <s v="N/A"/>
    <x v="2"/>
    <x v="1415"/>
    <d v="2022-05-16T00:00:00"/>
    <s v="CAMION"/>
    <x v="344"/>
    <x v="44"/>
    <s v="N/A"/>
    <s v="PENDIENTE"/>
    <s v="ORIGEN"/>
    <m/>
    <m/>
    <m/>
    <x v="0"/>
    <m/>
    <m/>
    <x v="123"/>
    <x v="34"/>
    <s v="SADA DD"/>
    <s v="VERDE"/>
    <x v="0"/>
    <s v="OK"/>
    <s v="N/A"/>
    <s v="N/A"/>
    <s v="N/A"/>
    <s v="N/A"/>
    <s v="N/A"/>
    <x v="1"/>
    <s v="ANULAR OC: 8000001941"/>
    <m/>
    <m/>
    <m/>
    <m/>
    <m/>
    <m/>
    <m/>
  </r>
  <r>
    <n v="2022"/>
    <s v="G-S"/>
    <x v="0"/>
    <x v="0"/>
    <s v="URGENTE"/>
    <m/>
    <x v="1925"/>
    <s v="2022-66"/>
    <x v="1642"/>
    <d v="2022-05-20T00:00:00"/>
    <d v="2022-05-23T00:00:00"/>
    <d v="2022-05-24T00:00:00"/>
    <s v="CERRADO"/>
    <n v="204177"/>
    <x v="13"/>
    <x v="39"/>
    <x v="880"/>
    <d v="2022-03-16T00:00:00"/>
    <s v="CAD"/>
    <m/>
    <s v="#192-3/2022"/>
    <d v="2022-05-19T00:00:00"/>
    <m/>
    <s v="CANCELADO"/>
    <s v="CPT"/>
    <s v="N/A"/>
    <x v="217"/>
    <n v="975"/>
    <n v="75"/>
    <x v="1583"/>
    <x v="9"/>
    <s v="Camión"/>
    <m/>
    <s v="Bigbag"/>
    <n v="1"/>
    <s v="YPFB"/>
    <s v="2H ABRIL - MAYO"/>
    <x v="1"/>
    <d v="2022-05-23T00:00:00"/>
    <d v="2022-05-19T00:00:00"/>
    <d v="2022-05-23T00:00:00"/>
    <x v="854"/>
    <d v="2022-05-23T00:00:00"/>
    <d v="2022-05-23T00:00:00"/>
    <x v="925"/>
    <n v="5"/>
    <n v="2022"/>
    <x v="1"/>
    <x v="14"/>
    <s v="DESAGUADERO"/>
    <x v="4"/>
    <s v="N/A"/>
    <x v="2"/>
    <x v="1416"/>
    <d v="2022-05-19T00:00:00"/>
    <s v="CAMION"/>
    <x v="344"/>
    <x v="44"/>
    <s v="N/A"/>
    <s v="PENDIENTE"/>
    <s v="ORIGEN"/>
    <m/>
    <m/>
    <m/>
    <x v="0"/>
    <m/>
    <m/>
    <x v="124"/>
    <x v="62"/>
    <s v="SADA DD"/>
    <s v="VERDE"/>
    <x v="0"/>
    <s v="OK"/>
    <s v="N/A"/>
    <s v="N/A"/>
    <s v="N/A"/>
    <s v="N/A"/>
    <s v="N/A"/>
    <x v="1"/>
    <s v="ANULAR OC: 8000001942"/>
    <m/>
    <m/>
    <m/>
    <m/>
    <m/>
    <m/>
    <m/>
  </r>
  <r>
    <n v="2022"/>
    <s v="G-S"/>
    <x v="0"/>
    <x v="0"/>
    <s v="URGENTE"/>
    <m/>
    <x v="1926"/>
    <s v="2022-66"/>
    <x v="1643"/>
    <d v="2022-05-03T00:00:00"/>
    <d v="2022-05-26T00:00:00"/>
    <d v="2022-05-27T00:00:00"/>
    <s v="CERRADO"/>
    <n v="204177"/>
    <x v="13"/>
    <x v="39"/>
    <x v="880"/>
    <d v="2022-03-16T00:00:00"/>
    <s v="CAD"/>
    <m/>
    <s v="#192-4/2022"/>
    <d v="2022-05-20T00:00:00"/>
    <m/>
    <s v="CANCELADO"/>
    <s v="CPT"/>
    <s v="N/A"/>
    <x v="674"/>
    <n v="975"/>
    <m/>
    <x v="1584"/>
    <x v="5"/>
    <s v="Camión"/>
    <m/>
    <s v="Bigbag"/>
    <n v="1"/>
    <s v="YPFB"/>
    <s v="2H ABRIL - MAYO"/>
    <x v="1"/>
    <d v="2022-05-28T00:00:00"/>
    <d v="2022-05-28T00:00:00"/>
    <d v="2022-05-25T00:00:00"/>
    <x v="855"/>
    <d v="2022-05-25T00:00:00"/>
    <m/>
    <x v="926"/>
    <n v="5"/>
    <n v="2022"/>
    <x v="2"/>
    <x v="14"/>
    <s v="DESAGUADERO"/>
    <x v="4"/>
    <s v="N/A"/>
    <x v="2"/>
    <x v="1417"/>
    <d v="2022-05-20T00:00:00"/>
    <s v="CAMION"/>
    <x v="344"/>
    <x v="44"/>
    <s v="N/A"/>
    <s v="PENDIENTE"/>
    <s v="ORIGEN"/>
    <m/>
    <m/>
    <m/>
    <x v="0"/>
    <m/>
    <m/>
    <x v="125"/>
    <x v="63"/>
    <s v="SADA DD"/>
    <s v="VERDE"/>
    <x v="0"/>
    <s v="OK"/>
    <s v="N/A"/>
    <s v="N/A"/>
    <s v="N/A"/>
    <s v="N/A"/>
    <s v="N/A"/>
    <x v="1"/>
    <s v="ANULAR OC: 8000001943"/>
    <m/>
    <m/>
    <m/>
    <m/>
    <m/>
    <m/>
    <m/>
  </r>
  <r>
    <n v="2022"/>
    <e v="#N/A"/>
    <x v="1"/>
    <x v="3"/>
    <s v="URGENTE"/>
    <m/>
    <x v="1927"/>
    <s v="2022-31"/>
    <x v="1644"/>
    <d v="2022-03-18T00:00:00"/>
    <m/>
    <m/>
    <s v="PENDIENTE"/>
    <n v="205258"/>
    <x v="160"/>
    <x v="69"/>
    <x v="72"/>
    <d v="2022-03-18T00:00:00"/>
    <s v="CAD"/>
    <m/>
    <m/>
    <m/>
    <m/>
    <s v="PENDIENTE"/>
    <s v="CFR"/>
    <s v="FILO"/>
    <x v="408"/>
    <n v="900"/>
    <m/>
    <x v="1585"/>
    <x v="3"/>
    <s v="Granel - BB"/>
    <m/>
    <s v="25 kg"/>
    <m/>
    <s v="ROMERO FERTILIZANTES"/>
    <s v="ABRIL '22"/>
    <x v="0"/>
    <d v="2022-05-16T00:00:00"/>
    <d v="2022-05-30T00:00:00"/>
    <d v="2022-06-30T00:00:00"/>
    <x v="856"/>
    <d v="2022-07-10T00:00:00"/>
    <m/>
    <x v="927"/>
    <n v="7"/>
    <n v="2022"/>
    <x v="1"/>
    <x v="1"/>
    <m/>
    <x v="2"/>
    <m/>
    <x v="3"/>
    <x v="29"/>
    <m/>
    <m/>
    <x v="15"/>
    <x v="0"/>
    <m/>
    <s v="PENDIENTE"/>
    <m/>
    <m/>
    <m/>
    <m/>
    <x v="0"/>
    <m/>
    <m/>
    <x v="0"/>
    <x v="0"/>
    <m/>
    <m/>
    <x v="0"/>
    <e v="#REF!"/>
    <m/>
    <m/>
    <m/>
    <m/>
    <m/>
    <x v="0"/>
    <m/>
    <m/>
    <m/>
    <m/>
    <m/>
    <m/>
    <m/>
    <m/>
  </r>
  <r>
    <n v="2022"/>
    <e v="#N/A"/>
    <x v="1"/>
    <x v="3"/>
    <s v="NORMAL"/>
    <m/>
    <x v="1928"/>
    <s v="2022-95"/>
    <x v="1645"/>
    <d v="2022-04-01T00:00:00"/>
    <m/>
    <m/>
    <s v="PENDIENTE"/>
    <n v="206636"/>
    <x v="161"/>
    <x v="51"/>
    <x v="881"/>
    <d v="2022-03-31T00:00:00"/>
    <n v="90"/>
    <s v="días BL"/>
    <m/>
    <m/>
    <m/>
    <s v="PENDIENTE"/>
    <s v="CFR"/>
    <s v="FILO"/>
    <x v="675"/>
    <n v="810"/>
    <m/>
    <x v="1586"/>
    <x v="57"/>
    <s v="Granel - BB"/>
    <m/>
    <s v="25 kg"/>
    <n v="1"/>
    <s v="NEUTRAL"/>
    <s v="2H ABRIL - MAYO"/>
    <x v="1"/>
    <d v="2022-05-16T00:00:00"/>
    <d v="2022-06-14T00:00:00"/>
    <d v="2022-07-30T00:00:00"/>
    <x v="857"/>
    <d v="2022-08-16T00:00:00"/>
    <m/>
    <x v="928"/>
    <n v="8"/>
    <n v="2022"/>
    <x v="2"/>
    <x v="1"/>
    <s v="XINGANG"/>
    <x v="2"/>
    <m/>
    <x v="3"/>
    <x v="1418"/>
    <d v="2022-05-28T00:00:00"/>
    <s v="MV TOP ADVANCER"/>
    <x v="400"/>
    <x v="0"/>
    <m/>
    <s v="PENDIENTE"/>
    <m/>
    <m/>
    <m/>
    <m/>
    <x v="0"/>
    <m/>
    <m/>
    <x v="0"/>
    <x v="0"/>
    <m/>
    <m/>
    <x v="0"/>
    <e v="#REF!"/>
    <m/>
    <m/>
    <m/>
    <m/>
    <m/>
    <x v="0"/>
    <m/>
    <m/>
    <m/>
    <m/>
    <m/>
    <m/>
    <m/>
    <m/>
  </r>
  <r>
    <n v="2022"/>
    <e v="#N/A"/>
    <x v="1"/>
    <x v="3"/>
    <s v="NORMAL"/>
    <m/>
    <x v="1929"/>
    <s v="2022-106"/>
    <x v="1646"/>
    <d v="2022-04-01T00:00:00"/>
    <m/>
    <m/>
    <s v="PENDIENTE"/>
    <n v="206636"/>
    <x v="161"/>
    <x v="51"/>
    <x v="881"/>
    <d v="2022-03-31T00:00:00"/>
    <n v="90"/>
    <s v="días BL"/>
    <m/>
    <m/>
    <m/>
    <s v="PENDIENTE"/>
    <s v="CFR"/>
    <s v="FILO"/>
    <x v="676"/>
    <n v="870"/>
    <m/>
    <x v="1587"/>
    <x v="57"/>
    <s v="Granel - BB"/>
    <m/>
    <s v="25 kg"/>
    <n v="1"/>
    <s v="NEUTRAL"/>
    <s v="2H ABRIL - MAYO"/>
    <x v="1"/>
    <d v="2022-05-16T00:00:00"/>
    <d v="2022-06-14T00:00:00"/>
    <d v="2022-07-30T00:00:00"/>
    <x v="857"/>
    <d v="2022-08-16T00:00:00"/>
    <m/>
    <x v="928"/>
    <n v="8"/>
    <n v="2022"/>
    <x v="2"/>
    <x v="1"/>
    <s v="XINGANG"/>
    <x v="2"/>
    <m/>
    <x v="3"/>
    <x v="1418"/>
    <d v="2022-05-28T00:00:00"/>
    <s v="MV TOP ADVANCER"/>
    <x v="400"/>
    <x v="0"/>
    <m/>
    <s v="PENDIENTE"/>
    <m/>
    <m/>
    <m/>
    <m/>
    <x v="0"/>
    <m/>
    <m/>
    <x v="0"/>
    <x v="0"/>
    <m/>
    <m/>
    <x v="0"/>
    <e v="#REF!"/>
    <m/>
    <m/>
    <m/>
    <m/>
    <m/>
    <x v="0"/>
    <m/>
    <m/>
    <m/>
    <m/>
    <m/>
    <m/>
    <m/>
    <m/>
  </r>
  <r>
    <n v="2022"/>
    <s v="T-S"/>
    <x v="0"/>
    <x v="0"/>
    <s v="URGENTE"/>
    <m/>
    <x v="1930"/>
    <s v="2021-107"/>
    <x v="1647"/>
    <d v="2022-05-12T00:00:00"/>
    <d v="2022-05-20T00:00:00"/>
    <d v="2022-05-21T00:00:00"/>
    <s v="CERRADO"/>
    <n v="208057"/>
    <x v="121"/>
    <x v="53"/>
    <x v="882"/>
    <d v="2022-03-16T00:00:00"/>
    <s v="CAD"/>
    <m/>
    <s v="F200-43304"/>
    <d v="2022-05-16T00:00:00"/>
    <d v="2022-05-20T00:00:00"/>
    <s v="CANCELADO"/>
    <s v="CPT"/>
    <s v="N/A"/>
    <x v="163"/>
    <n v="957.91"/>
    <n v="57.91"/>
    <x v="1588"/>
    <x v="5"/>
    <s v="Contenedor 20'"/>
    <s v="CARGA SUELTA"/>
    <s v="50 kg"/>
    <m/>
    <s v="YARAMILA TRISTAR NKP 15-15-15"/>
    <s v="ABRIL '22"/>
    <x v="1"/>
    <d v="2022-05-02T00:00:00"/>
    <d v="2022-05-08T00:00:00"/>
    <d v="2022-05-06T00:00:00"/>
    <x v="858"/>
    <d v="2022-05-21T00:00:00"/>
    <d v="2022-05-21T00:00:00"/>
    <x v="924"/>
    <n v="5"/>
    <n v="2022"/>
    <x v="3"/>
    <x v="9"/>
    <s v="CARTAGENA"/>
    <x v="0"/>
    <s v="TPE"/>
    <x v="2"/>
    <x v="1419"/>
    <d v="2022-05-09T00:00:00"/>
    <s v="EMMA A"/>
    <x v="401"/>
    <x v="2"/>
    <s v="TRAMARSA"/>
    <s v="REALIZADO"/>
    <s v="DESTINO"/>
    <m/>
    <m/>
    <m/>
    <x v="7"/>
    <d v="2022-05-31T00:00:00"/>
    <m/>
    <x v="126"/>
    <x v="64"/>
    <s v="SADA DD"/>
    <s v="VERDE"/>
    <x v="0"/>
    <s v="OK"/>
    <s v="N/A"/>
    <s v="N/A"/>
    <s v="N/A"/>
    <s v="N/A"/>
    <s v="N/A"/>
    <x v="1"/>
    <s v="BL YA CUENTA CON EMISIÓN EN DESTINO"/>
    <m/>
    <m/>
    <m/>
    <m/>
    <m/>
    <m/>
    <m/>
  </r>
  <r>
    <n v="2022"/>
    <s v="T-S"/>
    <x v="1"/>
    <x v="5"/>
    <s v="URGENTE"/>
    <m/>
    <x v="1931"/>
    <s v="2021-108"/>
    <x v="1648"/>
    <d v="2022-03-30T00:00:00"/>
    <m/>
    <m/>
    <s v="PENDIENTE"/>
    <n v="208057"/>
    <x v="121"/>
    <x v="53"/>
    <x v="883"/>
    <d v="2022-03-16T00:00:00"/>
    <s v="CAD"/>
    <m/>
    <s v="F200-43306"/>
    <d v="2022-05-20T00:00:00"/>
    <d v="2022-05-24T00:00:00"/>
    <s v="CANCELADO"/>
    <s v="CPT"/>
    <s v="N/A"/>
    <x v="626"/>
    <n v="964.9"/>
    <n v="64.900000000000006"/>
    <x v="1589"/>
    <x v="10"/>
    <s v="Contenedor 20'"/>
    <s v="CARGA SUELTA"/>
    <s v="50 kg"/>
    <m/>
    <s v="YARAMILA TRISTAR NKP 15-15-15"/>
    <s v="MAYO '22"/>
    <x v="1"/>
    <d v="2022-05-02T00:00:00"/>
    <d v="2022-05-08T00:00:00"/>
    <d v="2022-05-29T00:00:00"/>
    <x v="859"/>
    <d v="2022-06-05T00:00:00"/>
    <m/>
    <x v="929"/>
    <n v="6"/>
    <n v="2022"/>
    <x v="3"/>
    <x v="9"/>
    <s v="CARTAGENA"/>
    <x v="4"/>
    <s v="TISUR"/>
    <x v="2"/>
    <x v="1420"/>
    <d v="2022-05-09T00:00:00"/>
    <s v="EMMA A"/>
    <x v="129"/>
    <x v="2"/>
    <s v="TRAMARSA"/>
    <s v="REALIZADO"/>
    <s v="DESTINO"/>
    <m/>
    <m/>
    <m/>
    <x v="8"/>
    <d v="2022-06-16T00:00:00"/>
    <m/>
    <x v="127"/>
    <x v="65"/>
    <s v="SADA DD"/>
    <s v="ROJO"/>
    <x v="0"/>
    <s v="OK"/>
    <s v="N/A"/>
    <s v="N/A"/>
    <s v="N/A"/>
    <s v="N/A"/>
    <s v="N/A"/>
    <x v="1"/>
    <s v="BL YA CUENTA CON EMISIÓN EN DESTINO"/>
    <m/>
    <m/>
    <m/>
    <m/>
    <m/>
    <m/>
    <m/>
  </r>
  <r>
    <n v="2022"/>
    <s v="S-C"/>
    <x v="0"/>
    <x v="0"/>
    <s v="URGENTE"/>
    <m/>
    <x v="1932"/>
    <s v="2022-71"/>
    <x v="1649"/>
    <m/>
    <d v="2022-05-03T00:00:00"/>
    <d v="1899-12-30T00:00:00"/>
    <s v="CERRADO"/>
    <n v="207580"/>
    <x v="32"/>
    <x v="61"/>
    <x v="884"/>
    <d v="2022-03-31T00:00:00"/>
    <n v="30"/>
    <s v="días BL"/>
    <s v="N° 192"/>
    <d v="2022-04-24T00:00:00"/>
    <d v="2022-05-24T00:00:00"/>
    <s v="CANCELADO"/>
    <s v="CPT"/>
    <m/>
    <x v="24"/>
    <n v="1570"/>
    <n v="62.5"/>
    <x v="1590"/>
    <x v="2"/>
    <s v="Camión"/>
    <s v="PALLETS"/>
    <s v="25 kg"/>
    <m/>
    <s v="ACF"/>
    <s v="2H MAYO '22"/>
    <x v="0"/>
    <d v="2022-05-17T00:00:00"/>
    <d v="2022-04-02T00:00:00"/>
    <d v="2022-05-18T00:00:00"/>
    <x v="824"/>
    <d v="2022-05-13T00:00:00"/>
    <m/>
    <x v="849"/>
    <n v="5"/>
    <n v="2022"/>
    <x v="1"/>
    <x v="18"/>
    <s v="IQUIQUE"/>
    <x v="4"/>
    <m/>
    <x v="2"/>
    <x v="1421"/>
    <d v="2022-04-26T00:00:00"/>
    <s v="CAMION"/>
    <x v="344"/>
    <x v="44"/>
    <s v="N/A"/>
    <s v="PENDIENTE"/>
    <m/>
    <m/>
    <m/>
    <m/>
    <x v="0"/>
    <m/>
    <m/>
    <x v="128"/>
    <x v="31"/>
    <s v="SADA DD"/>
    <s v="VERDE"/>
    <x v="2"/>
    <e v="#REF!"/>
    <s v="N° 03117-2021-SUCAMEC/GEPP"/>
    <n v="202200120239"/>
    <n v="2022247338"/>
    <d v="2022-05-06T00:00:00"/>
    <d v="2022-05-11T00:00:00"/>
    <x v="3"/>
    <m/>
    <m/>
    <m/>
    <m/>
    <s v="NACIONALIZADO"/>
    <m/>
    <m/>
    <m/>
  </r>
  <r>
    <n v="2022"/>
    <s v="S-C"/>
    <x v="0"/>
    <x v="0"/>
    <s v="URGENTE"/>
    <m/>
    <x v="1933"/>
    <s v="2022-71"/>
    <x v="1650"/>
    <m/>
    <d v="2022-05-03T00:00:00"/>
    <d v="1899-12-30T00:00:00"/>
    <s v="CERRADO"/>
    <n v="207580"/>
    <x v="32"/>
    <x v="61"/>
    <x v="884"/>
    <d v="2022-03-31T00:00:00"/>
    <n v="30"/>
    <s v="días BL"/>
    <s v="N° 193"/>
    <d v="2022-04-24T00:00:00"/>
    <d v="2022-05-24T00:00:00"/>
    <s v="CANCELADO"/>
    <s v="CPT"/>
    <m/>
    <x v="24"/>
    <n v="1570"/>
    <n v="62.5"/>
    <x v="1590"/>
    <x v="2"/>
    <s v="Camión"/>
    <s v="PALLETS"/>
    <s v="25 kg"/>
    <m/>
    <s v="ACF"/>
    <s v="2H MAYO '22"/>
    <x v="0"/>
    <d v="2022-05-19T00:00:00"/>
    <d v="2022-04-03T00:00:00"/>
    <d v="2022-05-20T00:00:00"/>
    <x v="843"/>
    <d v="2022-05-14T00:00:00"/>
    <m/>
    <x v="930"/>
    <n v="5"/>
    <n v="2022"/>
    <x v="1"/>
    <x v="18"/>
    <s v="IQUIQUE"/>
    <x v="4"/>
    <m/>
    <x v="2"/>
    <x v="1422"/>
    <d v="2022-04-26T00:00:00"/>
    <s v="CAMION"/>
    <x v="344"/>
    <x v="44"/>
    <s v="N/A"/>
    <s v="PENDIENTE"/>
    <m/>
    <m/>
    <m/>
    <m/>
    <x v="0"/>
    <m/>
    <m/>
    <x v="129"/>
    <x v="42"/>
    <s v="SADA DD"/>
    <s v="VERDE"/>
    <x v="2"/>
    <e v="#REF!"/>
    <s v="N° 03117-2021-SUCAMEC/GEPP"/>
    <n v="202200121886"/>
    <n v="2022250129"/>
    <d v="2022-05-06T00:00:00"/>
    <d v="2022-05-11T00:00:00"/>
    <x v="3"/>
    <m/>
    <m/>
    <m/>
    <m/>
    <s v="NACIONALIZADO"/>
    <m/>
    <m/>
    <m/>
  </r>
  <r>
    <n v="2022"/>
    <s v="S-C"/>
    <x v="0"/>
    <x v="7"/>
    <s v="URGENTE"/>
    <m/>
    <x v="1934"/>
    <s v="2022-71"/>
    <x v="1651"/>
    <d v="2022-05-03T00:00:00"/>
    <d v="2022-05-20T00:00:00"/>
    <d v="2022-05-20T00:00:00"/>
    <s v="CERRADO"/>
    <n v="207580"/>
    <x v="32"/>
    <x v="61"/>
    <x v="884"/>
    <d v="2022-03-31T00:00:00"/>
    <n v="30"/>
    <s v="días BL"/>
    <s v="Nº 198"/>
    <d v="2022-05-02T00:00:00"/>
    <d v="2022-06-02T00:00:00"/>
    <s v="PENDIENTE"/>
    <s v="CPT"/>
    <s v="N/A"/>
    <x v="292"/>
    <n v="1570"/>
    <n v="104.16"/>
    <x v="1591"/>
    <x v="7"/>
    <s v="Camión"/>
    <s v="PALLETS"/>
    <s v="25 kg"/>
    <m/>
    <s v="ACF"/>
    <s v="2H MAYO '22"/>
    <x v="1"/>
    <d v="2022-05-24T00:00:00"/>
    <d v="2022-05-17T00:00:00"/>
    <d v="2022-05-25T00:00:00"/>
    <x v="852"/>
    <d v="2022-06-02T00:00:00"/>
    <d v="2022-05-18T00:00:00"/>
    <x v="902"/>
    <n v="5"/>
    <n v="2022"/>
    <x v="1"/>
    <x v="18"/>
    <s v="IQUIQUE"/>
    <x v="4"/>
    <s v="N/A"/>
    <x v="2"/>
    <x v="1423"/>
    <d v="2022-05-10T00:00:00"/>
    <s v="CAMION"/>
    <x v="344"/>
    <x v="44"/>
    <s v="N/A"/>
    <s v="PENDIENTE"/>
    <s v="ORIGEN"/>
    <m/>
    <m/>
    <m/>
    <x v="9"/>
    <s v="N/A"/>
    <s v="N/A"/>
    <x v="130"/>
    <x v="64"/>
    <s v="SADA DD"/>
    <s v="VERDE"/>
    <x v="0"/>
    <s v="OK"/>
    <s v="N° 03117-2021-SUCAMEC/GEPP"/>
    <n v="202200138218"/>
    <n v="2022279294"/>
    <d v="2022-05-26T00:00:00"/>
    <m/>
    <x v="4"/>
    <s v="PDTE DE RESPUESTA POR PARTE DE SUCAMEC"/>
    <m/>
    <m/>
    <m/>
    <m/>
    <m/>
    <m/>
    <m/>
  </r>
  <r>
    <n v="2022"/>
    <s v="S-C"/>
    <x v="1"/>
    <x v="7"/>
    <s v="URGENTE"/>
    <m/>
    <x v="1935"/>
    <s v="2022-71"/>
    <x v="1652"/>
    <d v="2022-05-24T00:00:00"/>
    <d v="2022-05-23T00:00:00"/>
    <d v="2022-05-25T00:00:00"/>
    <s v="CERRADO"/>
    <n v="207580"/>
    <x v="32"/>
    <x v="61"/>
    <x v="884"/>
    <d v="2022-03-31T00:00:00"/>
    <n v="30"/>
    <s v="días BL"/>
    <s v="Nº 198"/>
    <d v="2022-05-02T00:00:00"/>
    <d v="2022-06-02T00:00:00"/>
    <s v="PENDIENTE"/>
    <s v="CPT"/>
    <s v="N/A"/>
    <x v="185"/>
    <n v="1570"/>
    <n v="156.25"/>
    <x v="1592"/>
    <x v="1"/>
    <s v="Camión"/>
    <s v="PALLETS"/>
    <s v="25 kg"/>
    <m/>
    <s v="ACF"/>
    <s v="2H MAYO '22"/>
    <x v="1"/>
    <d v="2022-05-26T00:00:00"/>
    <d v="2022-05-19T00:00:00"/>
    <d v="2022-05-27T00:00:00"/>
    <x v="853"/>
    <d v="2022-06-02T00:00:00"/>
    <d v="2022-05-21T00:00:00"/>
    <x v="924"/>
    <n v="5"/>
    <n v="2022"/>
    <x v="1"/>
    <x v="18"/>
    <s v="IQUIQUE"/>
    <x v="4"/>
    <s v="N/A"/>
    <x v="2"/>
    <x v="1424"/>
    <d v="2022-05-19T00:00:00"/>
    <s v="CAMION"/>
    <x v="344"/>
    <x v="44"/>
    <s v="N/A"/>
    <s v="PENDIENTE"/>
    <s v="ORIGEN"/>
    <m/>
    <m/>
    <m/>
    <x v="9"/>
    <s v="N/A"/>
    <s v="N/A"/>
    <x v="131"/>
    <x v="62"/>
    <s v="SADA DD"/>
    <s v="VERDE"/>
    <x v="0"/>
    <s v="OK"/>
    <s v="N° 03117-2021-SUCAMEC/GEPP"/>
    <n v="202200141705"/>
    <n v="2022285312"/>
    <d v="2022-05-26T00:00:00"/>
    <m/>
    <x v="4"/>
    <s v="PDTE DE RESPUESTA POR PARTE DE SUCAMEC"/>
    <m/>
    <m/>
    <m/>
    <m/>
    <m/>
    <m/>
    <m/>
  </r>
  <r>
    <n v="2022"/>
    <s v="S-C"/>
    <x v="1"/>
    <x v="7"/>
    <s v="URGENTE"/>
    <m/>
    <x v="1936"/>
    <s v="2022-71"/>
    <x v="1653"/>
    <d v="2022-05-03T00:00:00"/>
    <d v="2022-05-20T00:00:00"/>
    <d v="2022-05-24T00:00:00"/>
    <s v="CERRADO"/>
    <n v="207580"/>
    <x v="32"/>
    <x v="61"/>
    <x v="884"/>
    <d v="2022-03-31T00:00:00"/>
    <n v="30"/>
    <s v="días BL"/>
    <s v="Nº 199"/>
    <d v="2022-05-03T00:00:00"/>
    <d v="2022-06-03T00:00:00"/>
    <s v="PENDIENTE"/>
    <s v="CPT"/>
    <s v="N/A"/>
    <x v="24"/>
    <n v="1570"/>
    <n v="62.5"/>
    <x v="1590"/>
    <x v="2"/>
    <s v="Camión"/>
    <s v="PALLETS"/>
    <s v="25 kg"/>
    <m/>
    <s v="ACF"/>
    <s v="2H MAYO '22"/>
    <x v="1"/>
    <d v="2022-05-31T00:00:00"/>
    <d v="2022-05-18T00:00:00"/>
    <d v="2022-06-01T00:00:00"/>
    <x v="809"/>
    <d v="2022-06-02T00:00:00"/>
    <d v="2022-05-20T00:00:00"/>
    <x v="884"/>
    <n v="5"/>
    <n v="2022"/>
    <x v="1"/>
    <x v="18"/>
    <s v="IQUIQUE"/>
    <x v="4"/>
    <s v="N/A"/>
    <x v="2"/>
    <x v="1425"/>
    <d v="2022-05-03T00:00:00"/>
    <s v="CAMION"/>
    <x v="344"/>
    <x v="44"/>
    <s v="N/A"/>
    <s v="PENDIENTE"/>
    <s v="ORIGEN"/>
    <m/>
    <m/>
    <m/>
    <x v="9"/>
    <s v="N/A"/>
    <s v="N/A"/>
    <x v="132"/>
    <x v="34"/>
    <s v="SADA DD"/>
    <s v="VERDE"/>
    <x v="0"/>
    <s v="OK"/>
    <s v="N° 03117-2021-SUCAMEC/GEPP"/>
    <n v="202200141727"/>
    <n v="2022285331"/>
    <d v="2022-05-26T00:00:00"/>
    <m/>
    <x v="4"/>
    <s v="PDTE DE RESPUESTA POR PARTE DE SUCAMEC"/>
    <m/>
    <m/>
    <m/>
    <m/>
    <m/>
    <m/>
    <m/>
  </r>
  <r>
    <n v="2022"/>
    <s v="S-C"/>
    <x v="1"/>
    <x v="7"/>
    <s v="URGENTE"/>
    <m/>
    <x v="1937"/>
    <s v="2022-71"/>
    <x v="1654"/>
    <d v="2022-05-25T00:00:00"/>
    <d v="2022-05-26T00:00:00"/>
    <d v="2022-05-30T00:00:00"/>
    <s v="CERRADO"/>
    <n v="207580"/>
    <x v="32"/>
    <x v="61"/>
    <x v="884"/>
    <d v="2022-03-31T00:00:00"/>
    <n v="30"/>
    <s v="días BL"/>
    <s v="Nº 211"/>
    <d v="2022-05-13T00:00:00"/>
    <d v="2022-06-12T00:00:00"/>
    <s v="PENDIENTE"/>
    <s v="CPT"/>
    <s v="N/A"/>
    <x v="69"/>
    <n v="1570"/>
    <n v="64.290000000000006"/>
    <x v="1593"/>
    <x v="11"/>
    <s v="Camión"/>
    <s v="PALLETS"/>
    <s v="25 kg"/>
    <m/>
    <s v="ACF"/>
    <s v="2H MAYO '22"/>
    <x v="1"/>
    <d v="2022-06-02T00:00:00"/>
    <d v="2022-05-25T00:00:00"/>
    <d v="2022-06-03T00:00:00"/>
    <x v="755"/>
    <d v="2022-06-07T00:00:00"/>
    <d v="2022-05-27T00:00:00"/>
    <x v="931"/>
    <n v="5"/>
    <n v="2022"/>
    <x v="1"/>
    <x v="18"/>
    <s v="IQUIQUE"/>
    <x v="4"/>
    <s v="N/A"/>
    <x v="2"/>
    <x v="1426"/>
    <d v="2022-05-24T00:00:00"/>
    <s v="CAMION"/>
    <x v="344"/>
    <x v="44"/>
    <s v="N/A"/>
    <s v="PENDIENTE"/>
    <s v="ORIGEN"/>
    <m/>
    <m/>
    <m/>
    <x v="9"/>
    <s v="N/A"/>
    <s v="N/A"/>
    <x v="133"/>
    <x v="52"/>
    <s v="SADA DD"/>
    <s v="VERDE"/>
    <x v="0"/>
    <s v="OK"/>
    <s v="N° 03117-2021-SUCAMEC/GEPP"/>
    <n v="202200150639"/>
    <n v="2022301356"/>
    <m/>
    <m/>
    <x v="4"/>
    <s v="PDTE DE RESPUESTA POR PARTE DE SUCAMEC"/>
    <m/>
    <m/>
    <m/>
    <m/>
    <m/>
    <m/>
    <m/>
  </r>
  <r>
    <n v="2022"/>
    <s v="S-C"/>
    <x v="1"/>
    <x v="5"/>
    <s v="URGENTE"/>
    <m/>
    <x v="1938"/>
    <s v="2022-71"/>
    <x v="1655"/>
    <d v="2022-05-25T00:00:00"/>
    <d v="2022-05-30T00:00:00"/>
    <m/>
    <s v="PENDIENTE"/>
    <n v="207580"/>
    <x v="32"/>
    <x v="61"/>
    <x v="884"/>
    <d v="2022-03-31T00:00:00"/>
    <n v="30"/>
    <s v="días BL"/>
    <s v="Nº 211"/>
    <d v="2022-05-25T00:00:00"/>
    <d v="2022-06-24T00:00:00"/>
    <s v="PENDIENTE"/>
    <s v="CPT"/>
    <s v="N/A"/>
    <x v="623"/>
    <n v="1570"/>
    <n v="64.290000000000006"/>
    <x v="1594"/>
    <x v="5"/>
    <s v="Camión"/>
    <s v="PALLETS"/>
    <s v="25 kg"/>
    <m/>
    <s v="ACF"/>
    <s v="2H MAYO '22"/>
    <x v="1"/>
    <d v="2022-06-07T00:00:00"/>
    <d v="2022-05-31T00:00:00"/>
    <d v="2022-06-08T00:00:00"/>
    <x v="859"/>
    <d v="2022-06-09T00:00:00"/>
    <d v="2022-06-01T00:00:00"/>
    <x v="807"/>
    <n v="6"/>
    <n v="2022"/>
    <x v="1"/>
    <x v="18"/>
    <s v="IQUIQUE"/>
    <x v="4"/>
    <s v="N/A"/>
    <x v="2"/>
    <x v="1427"/>
    <d v="2022-05-24T00:00:00"/>
    <s v="CAMION"/>
    <x v="344"/>
    <x v="44"/>
    <s v="N/A"/>
    <s v="PENDIENTE"/>
    <s v="ORIGEN"/>
    <m/>
    <m/>
    <m/>
    <x v="9"/>
    <s v="N/A"/>
    <s v="N/A"/>
    <x v="134"/>
    <x v="66"/>
    <s v="SADA DD"/>
    <m/>
    <x v="0"/>
    <s v="OK"/>
    <s v="N° 03117-2021-SUCAMEC/GEPP"/>
    <m/>
    <m/>
    <m/>
    <m/>
    <x v="0"/>
    <m/>
    <m/>
    <m/>
    <m/>
    <m/>
    <m/>
    <m/>
    <m/>
  </r>
  <r>
    <n v="2022"/>
    <s v="S-C"/>
    <x v="1"/>
    <x v="3"/>
    <s v="URGENTE"/>
    <m/>
    <x v="1939"/>
    <s v="2022-71"/>
    <x v="1656"/>
    <d v="2022-05-31T00:00:00"/>
    <m/>
    <m/>
    <s v="PENDIENTE"/>
    <n v="207580"/>
    <x v="32"/>
    <x v="61"/>
    <x v="884"/>
    <d v="2022-03-31T00:00:00"/>
    <n v="30"/>
    <s v="días BL"/>
    <s v="Nº 225"/>
    <d v="2022-05-13T00:00:00"/>
    <d v="2022-06-12T00:00:00"/>
    <s v="PENDIENTE"/>
    <s v="CPT"/>
    <s v="N/A"/>
    <x v="292"/>
    <n v="1570"/>
    <m/>
    <x v="1591"/>
    <x v="7"/>
    <s v="Camión"/>
    <s v="PALLETS"/>
    <s v="25 kg"/>
    <m/>
    <s v="ACF"/>
    <s v="2H MAYO '22"/>
    <x v="1"/>
    <d v="2022-06-09T00:00:00"/>
    <d v="2022-06-01T00:00:00"/>
    <d v="2022-06-10T00:00:00"/>
    <x v="860"/>
    <d v="2022-06-10T00:00:00"/>
    <m/>
    <x v="932"/>
    <n v="6"/>
    <n v="2022"/>
    <x v="1"/>
    <x v="18"/>
    <s v="IQUIQUE"/>
    <x v="4"/>
    <s v="N/A"/>
    <x v="2"/>
    <x v="29"/>
    <m/>
    <s v="CAMION"/>
    <x v="344"/>
    <x v="44"/>
    <s v="N/A"/>
    <s v="PENDIENTE"/>
    <s v="ORIGEN"/>
    <m/>
    <m/>
    <m/>
    <x v="9"/>
    <s v="N/A"/>
    <s v="N/A"/>
    <x v="0"/>
    <x v="0"/>
    <m/>
    <m/>
    <x v="0"/>
    <e v="#REF!"/>
    <s v="N° 03117-2021-SUCAMEC/GEPP"/>
    <m/>
    <m/>
    <m/>
    <m/>
    <x v="0"/>
    <m/>
    <m/>
    <m/>
    <m/>
    <m/>
    <m/>
    <m/>
    <m/>
  </r>
  <r>
    <n v="2022"/>
    <s v="S-C"/>
    <x v="1"/>
    <x v="3"/>
    <s v="URGENTE"/>
    <m/>
    <x v="1940"/>
    <s v="2022-71"/>
    <x v="1657"/>
    <d v="2022-05-31T00:00:00"/>
    <m/>
    <m/>
    <s v="PENDIENTE"/>
    <n v="207580"/>
    <x v="32"/>
    <x v="61"/>
    <x v="884"/>
    <d v="2022-03-31T00:00:00"/>
    <n v="30"/>
    <s v="días BL"/>
    <s v="Nº 225"/>
    <d v="2022-05-13T00:00:00"/>
    <d v="2022-06-12T00:00:00"/>
    <s v="PENDIENTE"/>
    <s v="CPT"/>
    <s v="N/A"/>
    <x v="185"/>
    <n v="1570"/>
    <m/>
    <x v="1592"/>
    <x v="1"/>
    <s v="Camión"/>
    <s v="PALLETS"/>
    <s v="25 kg"/>
    <m/>
    <s v="ACF"/>
    <s v="2H MAYO '22"/>
    <x v="1"/>
    <d v="2022-06-14T00:00:00"/>
    <d v="2022-06-06T00:00:00"/>
    <d v="2022-06-15T00:00:00"/>
    <x v="861"/>
    <d v="2022-06-15T00:00:00"/>
    <m/>
    <x v="918"/>
    <n v="6"/>
    <n v="2022"/>
    <x v="1"/>
    <x v="18"/>
    <s v="IQUIQUE"/>
    <x v="4"/>
    <s v="N/A"/>
    <x v="2"/>
    <x v="29"/>
    <m/>
    <s v="CAMION"/>
    <x v="344"/>
    <x v="44"/>
    <s v="N/A"/>
    <s v="PENDIENTE"/>
    <s v="ORIGEN"/>
    <m/>
    <m/>
    <m/>
    <x v="9"/>
    <s v="N/A"/>
    <s v="N/A"/>
    <x v="0"/>
    <x v="0"/>
    <m/>
    <m/>
    <x v="0"/>
    <e v="#REF!"/>
    <s v="N° 03117-2021-SUCAMEC/GEPP"/>
    <m/>
    <m/>
    <m/>
    <m/>
    <x v="0"/>
    <m/>
    <m/>
    <m/>
    <m/>
    <m/>
    <m/>
    <m/>
    <m/>
  </r>
  <r>
    <n v="2022"/>
    <s v="S-C"/>
    <x v="1"/>
    <x v="3"/>
    <s v="URGENTE"/>
    <m/>
    <x v="1941"/>
    <s v="2022-71"/>
    <x v="34"/>
    <m/>
    <m/>
    <m/>
    <s v="PENDIENTE"/>
    <n v="207580"/>
    <x v="32"/>
    <x v="61"/>
    <x v="884"/>
    <d v="2022-03-31T00:00:00"/>
    <n v="30"/>
    <s v="días BL"/>
    <m/>
    <m/>
    <m/>
    <s v="PENDIENTE"/>
    <s v="CPT"/>
    <s v="N/A"/>
    <x v="24"/>
    <n v="1570"/>
    <m/>
    <x v="1590"/>
    <x v="2"/>
    <s v="Camión"/>
    <s v="PALLETS"/>
    <s v="25 kg"/>
    <m/>
    <s v="ACF"/>
    <s v="2H MAYO '22"/>
    <x v="1"/>
    <d v="2022-06-14T00:00:00"/>
    <d v="2022-06-08T00:00:00"/>
    <d v="2022-06-15T00:00:00"/>
    <x v="818"/>
    <d v="2022-06-17T00:00:00"/>
    <m/>
    <x v="923"/>
    <n v="6"/>
    <n v="2022"/>
    <x v="2"/>
    <x v="18"/>
    <s v="IQUIQUE"/>
    <x v="4"/>
    <s v="N/A"/>
    <x v="2"/>
    <x v="29"/>
    <m/>
    <s v="CAMION"/>
    <x v="344"/>
    <x v="44"/>
    <s v="N/A"/>
    <s v="PENDIENTE"/>
    <s v="ORIGEN"/>
    <m/>
    <m/>
    <m/>
    <x v="9"/>
    <s v="N/A"/>
    <s v="N/A"/>
    <x v="0"/>
    <x v="0"/>
    <m/>
    <m/>
    <x v="0"/>
    <e v="#REF!"/>
    <s v="N° 03117-2021-SUCAMEC/GEPP"/>
    <m/>
    <m/>
    <m/>
    <m/>
    <x v="0"/>
    <m/>
    <m/>
    <m/>
    <m/>
    <m/>
    <m/>
    <m/>
    <m/>
  </r>
  <r>
    <n v="2022"/>
    <s v="S-C"/>
    <x v="1"/>
    <x v="3"/>
    <s v="URGENTE"/>
    <m/>
    <x v="1942"/>
    <s v="2022-71"/>
    <x v="34"/>
    <m/>
    <m/>
    <m/>
    <s v="PENDIENTE"/>
    <n v="207580"/>
    <x v="32"/>
    <x v="61"/>
    <x v="884"/>
    <d v="2022-03-31T00:00:00"/>
    <n v="30"/>
    <s v="días BL"/>
    <m/>
    <m/>
    <m/>
    <s v="PENDIENTE"/>
    <s v="CPT"/>
    <s v="N/A"/>
    <x v="24"/>
    <n v="1570"/>
    <m/>
    <x v="1590"/>
    <x v="2"/>
    <s v="Camión"/>
    <s v="PALLETS"/>
    <s v="25 kg"/>
    <m/>
    <s v="ACF"/>
    <s v="2H MAYO '22"/>
    <x v="1"/>
    <d v="2022-06-16T00:00:00"/>
    <d v="2022-06-13T00:00:00"/>
    <d v="2022-06-17T00:00:00"/>
    <x v="850"/>
    <d v="2022-06-22T00:00:00"/>
    <m/>
    <x v="933"/>
    <n v="6"/>
    <n v="2022"/>
    <x v="2"/>
    <x v="18"/>
    <s v="IQUIQUE"/>
    <x v="4"/>
    <s v="N/A"/>
    <x v="2"/>
    <x v="29"/>
    <m/>
    <s v="CAMION"/>
    <x v="344"/>
    <x v="44"/>
    <s v="N/A"/>
    <s v="PENDIENTE"/>
    <s v="ORIGEN"/>
    <m/>
    <m/>
    <m/>
    <x v="9"/>
    <s v="N/A"/>
    <s v="N/A"/>
    <x v="0"/>
    <x v="0"/>
    <m/>
    <m/>
    <x v="0"/>
    <e v="#REF!"/>
    <s v="N° 03117-2021-SUCAMEC/GEPP"/>
    <m/>
    <m/>
    <m/>
    <m/>
    <x v="0"/>
    <m/>
    <m/>
    <m/>
    <m/>
    <m/>
    <m/>
    <m/>
    <m/>
  </r>
  <r>
    <n v="2022"/>
    <s v="S-C"/>
    <x v="1"/>
    <x v="3"/>
    <s v="URGENTE"/>
    <m/>
    <x v="1943"/>
    <s v="2022-71"/>
    <x v="34"/>
    <m/>
    <m/>
    <m/>
    <s v="PENDIENTE"/>
    <n v="207580"/>
    <x v="32"/>
    <x v="61"/>
    <x v="884"/>
    <d v="2022-03-31T00:00:00"/>
    <n v="30"/>
    <s v="días BL"/>
    <m/>
    <m/>
    <m/>
    <s v="PENDIENTE"/>
    <s v="CPT"/>
    <s v="N/A"/>
    <x v="24"/>
    <n v="1570"/>
    <m/>
    <x v="1590"/>
    <x v="2"/>
    <s v="Camión"/>
    <s v="PALLETS"/>
    <s v="25 kg"/>
    <m/>
    <s v="ACF"/>
    <s v="2H MAYO '22"/>
    <x v="1"/>
    <d v="2022-06-21T00:00:00"/>
    <d v="2022-06-15T00:00:00"/>
    <d v="2022-06-22T00:00:00"/>
    <x v="810"/>
    <d v="2022-06-24T00:00:00"/>
    <m/>
    <x v="920"/>
    <n v="6"/>
    <n v="2022"/>
    <x v="2"/>
    <x v="18"/>
    <s v="IQUIQUE"/>
    <x v="4"/>
    <s v="N/A"/>
    <x v="2"/>
    <x v="29"/>
    <m/>
    <s v="CAMION"/>
    <x v="344"/>
    <x v="44"/>
    <s v="N/A"/>
    <s v="PENDIENTE"/>
    <s v="ORIGEN"/>
    <m/>
    <m/>
    <m/>
    <x v="9"/>
    <s v="N/A"/>
    <s v="N/A"/>
    <x v="0"/>
    <x v="0"/>
    <m/>
    <m/>
    <x v="0"/>
    <e v="#REF!"/>
    <s v="N° 03117-2021-SUCAMEC/GEPP"/>
    <m/>
    <m/>
    <m/>
    <m/>
    <x v="0"/>
    <m/>
    <m/>
    <m/>
    <m/>
    <m/>
    <m/>
    <m/>
    <m/>
  </r>
  <r>
    <n v="2022"/>
    <s v="S-C"/>
    <x v="1"/>
    <x v="3"/>
    <s v="URGENTE"/>
    <m/>
    <x v="1944"/>
    <s v="2022-71"/>
    <x v="34"/>
    <m/>
    <m/>
    <m/>
    <s v="PENDIENTE"/>
    <n v="207580"/>
    <x v="32"/>
    <x v="61"/>
    <x v="884"/>
    <d v="2022-03-31T00:00:00"/>
    <n v="30"/>
    <s v="días BL"/>
    <m/>
    <m/>
    <m/>
    <s v="PENDIENTE"/>
    <s v="CPT"/>
    <s v="N/A"/>
    <x v="24"/>
    <n v="1570"/>
    <m/>
    <x v="1590"/>
    <x v="2"/>
    <s v="Camión"/>
    <s v="PALLETS"/>
    <s v="25 kg"/>
    <m/>
    <s v="ACF"/>
    <s v="2H MAYO '22"/>
    <x v="1"/>
    <d v="2022-06-23T00:00:00"/>
    <d v="2022-06-20T00:00:00"/>
    <d v="2022-06-24T00:00:00"/>
    <x v="862"/>
    <d v="2022-06-29T00:00:00"/>
    <m/>
    <x v="907"/>
    <n v="6"/>
    <n v="2022"/>
    <x v="2"/>
    <x v="18"/>
    <s v="IQUIQUE"/>
    <x v="4"/>
    <s v="N/A"/>
    <x v="2"/>
    <x v="29"/>
    <m/>
    <s v="CAMION"/>
    <x v="344"/>
    <x v="44"/>
    <s v="N/A"/>
    <s v="PENDIENTE"/>
    <s v="ORIGEN"/>
    <m/>
    <m/>
    <m/>
    <x v="9"/>
    <s v="N/A"/>
    <s v="N/A"/>
    <x v="0"/>
    <x v="0"/>
    <m/>
    <m/>
    <x v="0"/>
    <e v="#REF!"/>
    <s v="N° 03117-2021-SUCAMEC/GEPP"/>
    <m/>
    <m/>
    <m/>
    <m/>
    <x v="0"/>
    <m/>
    <m/>
    <m/>
    <m/>
    <m/>
    <m/>
    <m/>
    <m/>
  </r>
  <r>
    <n v="2022"/>
    <s v="S-C"/>
    <x v="1"/>
    <x v="3"/>
    <s v="URGENTE"/>
    <m/>
    <x v="1945"/>
    <s v="2022-71"/>
    <x v="34"/>
    <m/>
    <m/>
    <m/>
    <s v="PENDIENTE"/>
    <n v="207580"/>
    <x v="32"/>
    <x v="61"/>
    <x v="884"/>
    <d v="2022-03-31T00:00:00"/>
    <n v="30"/>
    <s v="días BL"/>
    <m/>
    <m/>
    <m/>
    <s v="PENDIENTE"/>
    <s v="CPT"/>
    <s v="N/A"/>
    <x v="24"/>
    <n v="1570"/>
    <m/>
    <x v="1590"/>
    <x v="2"/>
    <s v="Camión"/>
    <s v="PALLETS"/>
    <s v="25 kg"/>
    <m/>
    <s v="ACF"/>
    <s v="2H MAYO '22"/>
    <x v="1"/>
    <d v="2022-06-28T00:00:00"/>
    <d v="2022-06-22T00:00:00"/>
    <d v="2022-06-29T00:00:00"/>
    <x v="863"/>
    <d v="2022-07-01T00:00:00"/>
    <m/>
    <x v="934"/>
    <n v="6"/>
    <n v="2022"/>
    <x v="2"/>
    <x v="18"/>
    <s v="IQUIQUE"/>
    <x v="4"/>
    <s v="N/A"/>
    <x v="2"/>
    <x v="29"/>
    <m/>
    <s v="CAMION"/>
    <x v="344"/>
    <x v="44"/>
    <s v="N/A"/>
    <s v="PENDIENTE"/>
    <s v="ORIGEN"/>
    <m/>
    <m/>
    <m/>
    <x v="9"/>
    <s v="N/A"/>
    <s v="N/A"/>
    <x v="0"/>
    <x v="0"/>
    <m/>
    <m/>
    <x v="0"/>
    <e v="#REF!"/>
    <s v="N° 03117-2021-SUCAMEC/GEPP"/>
    <m/>
    <m/>
    <m/>
    <m/>
    <x v="0"/>
    <m/>
    <m/>
    <m/>
    <m/>
    <m/>
    <m/>
    <m/>
    <m/>
  </r>
  <r>
    <n v="2022"/>
    <s v="S-C"/>
    <x v="1"/>
    <x v="3"/>
    <s v="URGENTE"/>
    <m/>
    <x v="1946"/>
    <s v="2022-71"/>
    <x v="34"/>
    <m/>
    <m/>
    <m/>
    <s v="PENDIENTE"/>
    <n v="207580"/>
    <x v="32"/>
    <x v="61"/>
    <x v="884"/>
    <d v="2022-03-31T00:00:00"/>
    <n v="30"/>
    <s v="días BL"/>
    <m/>
    <m/>
    <m/>
    <s v="PENDIENTE"/>
    <s v="CPT"/>
    <s v="N/A"/>
    <x v="24"/>
    <n v="1570"/>
    <m/>
    <x v="1590"/>
    <x v="2"/>
    <s v="Camión"/>
    <s v="PALLETS"/>
    <s v="25 kg"/>
    <m/>
    <s v="ACF"/>
    <s v="2H MAYO '22"/>
    <x v="1"/>
    <d v="2022-06-30T00:00:00"/>
    <d v="2022-06-27T00:00:00"/>
    <d v="2022-07-01T00:00:00"/>
    <x v="864"/>
    <d v="2022-07-06T00:00:00"/>
    <m/>
    <x v="935"/>
    <n v="6"/>
    <n v="2022"/>
    <x v="2"/>
    <x v="18"/>
    <s v="IQUIQUE"/>
    <x v="4"/>
    <s v="N/A"/>
    <x v="2"/>
    <x v="29"/>
    <m/>
    <s v="CAMION"/>
    <x v="344"/>
    <x v="44"/>
    <s v="N/A"/>
    <s v="PENDIENTE"/>
    <s v="ORIGEN"/>
    <m/>
    <m/>
    <m/>
    <x v="9"/>
    <s v="N/A"/>
    <s v="N/A"/>
    <x v="0"/>
    <x v="0"/>
    <m/>
    <m/>
    <x v="0"/>
    <e v="#REF!"/>
    <s v="N° 03117-2021-SUCAMEC/GEPP"/>
    <m/>
    <m/>
    <m/>
    <m/>
    <x v="0"/>
    <m/>
    <m/>
    <m/>
    <m/>
    <m/>
    <m/>
    <m/>
    <m/>
  </r>
  <r>
    <n v="2022"/>
    <s v="S-C"/>
    <x v="1"/>
    <x v="3"/>
    <s v="URGENTE"/>
    <m/>
    <x v="1947"/>
    <s v="2022-71"/>
    <x v="34"/>
    <m/>
    <m/>
    <m/>
    <s v="PENDIENTE"/>
    <n v="207580"/>
    <x v="32"/>
    <x v="61"/>
    <x v="884"/>
    <d v="2022-03-31T00:00:00"/>
    <n v="30"/>
    <s v="días BL"/>
    <m/>
    <m/>
    <m/>
    <s v="PENDIENTE"/>
    <s v="CPT"/>
    <s v="N/A"/>
    <x v="24"/>
    <n v="1570"/>
    <m/>
    <x v="1590"/>
    <x v="2"/>
    <s v="Camión"/>
    <s v="PALLETS"/>
    <s v="25 kg"/>
    <m/>
    <s v="ACF"/>
    <s v="2H MAYO '22"/>
    <x v="1"/>
    <d v="2022-07-05T00:00:00"/>
    <d v="2022-06-29T00:00:00"/>
    <d v="2022-07-06T00:00:00"/>
    <x v="865"/>
    <d v="2022-07-08T00:00:00"/>
    <m/>
    <x v="915"/>
    <n v="7"/>
    <n v="2022"/>
    <x v="2"/>
    <x v="18"/>
    <s v="IQUIQUE"/>
    <x v="4"/>
    <s v="N/A"/>
    <x v="2"/>
    <x v="29"/>
    <m/>
    <s v="CAMION"/>
    <x v="344"/>
    <x v="44"/>
    <s v="N/A"/>
    <s v="PENDIENTE"/>
    <s v="ORIGEN"/>
    <m/>
    <m/>
    <m/>
    <x v="9"/>
    <s v="N/A"/>
    <s v="N/A"/>
    <x v="0"/>
    <x v="0"/>
    <m/>
    <m/>
    <x v="0"/>
    <e v="#REF!"/>
    <s v="N° 03117-2021-SUCAMEC/GEPP"/>
    <m/>
    <m/>
    <m/>
    <m/>
    <x v="0"/>
    <m/>
    <m/>
    <m/>
    <m/>
    <m/>
    <m/>
    <m/>
    <m/>
  </r>
  <r>
    <n v="2022"/>
    <s v="S-C"/>
    <x v="1"/>
    <x v="3"/>
    <s v="URGENTE"/>
    <m/>
    <x v="1948"/>
    <s v="2022-71"/>
    <x v="34"/>
    <m/>
    <m/>
    <m/>
    <s v="PENDIENTE"/>
    <n v="207580"/>
    <x v="32"/>
    <x v="61"/>
    <x v="884"/>
    <d v="2022-03-31T00:00:00"/>
    <n v="30"/>
    <s v="días BL"/>
    <m/>
    <m/>
    <m/>
    <s v="PENDIENTE"/>
    <s v="CPT"/>
    <s v="N/A"/>
    <x v="24"/>
    <n v="1570"/>
    <m/>
    <x v="1590"/>
    <x v="2"/>
    <s v="Camión"/>
    <s v="PALLETS"/>
    <s v="25 kg"/>
    <m/>
    <s v="ACF"/>
    <s v="2H MAYO '22"/>
    <x v="1"/>
    <d v="2022-07-07T00:00:00"/>
    <d v="2022-07-04T00:00:00"/>
    <d v="2022-07-08T00:00:00"/>
    <x v="846"/>
    <d v="2022-07-13T00:00:00"/>
    <m/>
    <x v="917"/>
    <n v="7"/>
    <n v="2022"/>
    <x v="2"/>
    <x v="18"/>
    <s v="IQUIQUE"/>
    <x v="4"/>
    <s v="N/A"/>
    <x v="2"/>
    <x v="29"/>
    <m/>
    <s v="CAMION"/>
    <x v="344"/>
    <x v="44"/>
    <s v="N/A"/>
    <s v="PENDIENTE"/>
    <s v="ORIGEN"/>
    <m/>
    <m/>
    <m/>
    <x v="9"/>
    <s v="N/A"/>
    <s v="N/A"/>
    <x v="0"/>
    <x v="0"/>
    <m/>
    <m/>
    <x v="0"/>
    <e v="#REF!"/>
    <s v="N° 03117-2021-SUCAMEC/GEPP"/>
    <m/>
    <m/>
    <m/>
    <m/>
    <x v="0"/>
    <m/>
    <m/>
    <m/>
    <m/>
    <m/>
    <m/>
    <m/>
    <m/>
  </r>
  <r>
    <n v="2022"/>
    <s v="S-C"/>
    <x v="1"/>
    <x v="3"/>
    <s v="URGENTE"/>
    <m/>
    <x v="1949"/>
    <s v="2022-71"/>
    <x v="34"/>
    <m/>
    <m/>
    <m/>
    <s v="PENDIENTE"/>
    <n v="207580"/>
    <x v="32"/>
    <x v="61"/>
    <x v="884"/>
    <d v="2022-03-31T00:00:00"/>
    <n v="30"/>
    <s v="días BL"/>
    <m/>
    <m/>
    <m/>
    <s v="PENDIENTE"/>
    <s v="CPT"/>
    <s v="N/A"/>
    <x v="185"/>
    <n v="1570"/>
    <m/>
    <x v="1592"/>
    <x v="1"/>
    <s v="Camión"/>
    <s v="PALLETS"/>
    <s v="25 kg"/>
    <m/>
    <s v="ACF"/>
    <s v="2H MAYO '22"/>
    <x v="1"/>
    <d v="2022-07-12T00:00:00"/>
    <d v="2022-07-06T00:00:00"/>
    <d v="2022-07-13T00:00:00"/>
    <x v="866"/>
    <d v="2022-07-15T00:00:00"/>
    <m/>
    <x v="936"/>
    <n v="7"/>
    <n v="2022"/>
    <x v="2"/>
    <x v="18"/>
    <s v="IQUIQUE"/>
    <x v="4"/>
    <s v="N/A"/>
    <x v="2"/>
    <x v="29"/>
    <m/>
    <s v="CAMION"/>
    <x v="344"/>
    <x v="44"/>
    <s v="N/A"/>
    <s v="PENDIENTE"/>
    <s v="ORIGEN"/>
    <m/>
    <m/>
    <m/>
    <x v="9"/>
    <s v="N/A"/>
    <s v="N/A"/>
    <x v="0"/>
    <x v="0"/>
    <m/>
    <m/>
    <x v="0"/>
    <e v="#REF!"/>
    <s v="N° 03117-2021-SUCAMEC/GEPP"/>
    <m/>
    <m/>
    <m/>
    <m/>
    <x v="0"/>
    <m/>
    <m/>
    <m/>
    <m/>
    <m/>
    <m/>
    <m/>
    <m/>
  </r>
  <r>
    <n v="2022"/>
    <s v="E-S"/>
    <x v="1"/>
    <x v="3"/>
    <s v="NORMAL"/>
    <m/>
    <x v="1950"/>
    <s v="2022-81"/>
    <x v="1658"/>
    <d v="2022-04-01T00:00:00"/>
    <m/>
    <m/>
    <s v="PENDIENTE"/>
    <n v="203820"/>
    <x v="117"/>
    <x v="51"/>
    <x v="885"/>
    <d v="2022-04-01T00:00:00"/>
    <n v="90"/>
    <s v="días BL"/>
    <m/>
    <m/>
    <m/>
    <s v="PENDIENTE"/>
    <s v="CFR"/>
    <s v="FILO"/>
    <x v="1"/>
    <n v="2385"/>
    <m/>
    <x v="1595"/>
    <x v="57"/>
    <s v="Granel - BB"/>
    <m/>
    <s v="25 kg"/>
    <n v="1.25"/>
    <s v="ROMERO FERTILIZANTES"/>
    <s v="MAY - 2H JUN '22"/>
    <x v="1"/>
    <d v="2022-06-15T00:00:00"/>
    <d v="2022-06-16T00:00:00"/>
    <d v="2022-07-31T00:00:00"/>
    <x v="867"/>
    <d v="2022-08-11T00:00:00"/>
    <m/>
    <x v="937"/>
    <n v="8"/>
    <n v="2022"/>
    <x v="2"/>
    <x v="1"/>
    <m/>
    <x v="2"/>
    <m/>
    <x v="3"/>
    <x v="29"/>
    <m/>
    <m/>
    <x v="15"/>
    <x v="0"/>
    <m/>
    <s v="PENDIENTE"/>
    <m/>
    <m/>
    <m/>
    <m/>
    <x v="0"/>
    <m/>
    <m/>
    <x v="0"/>
    <x v="0"/>
    <m/>
    <m/>
    <x v="0"/>
    <e v="#REF!"/>
    <m/>
    <m/>
    <m/>
    <m/>
    <m/>
    <x v="0"/>
    <m/>
    <m/>
    <m/>
    <m/>
    <m/>
    <m/>
    <m/>
    <m/>
  </r>
  <r>
    <n v="2022"/>
    <s v="E-S"/>
    <x v="1"/>
    <x v="3"/>
    <s v="NORMAL"/>
    <m/>
    <x v="1951"/>
    <s v="2022-79"/>
    <x v="1659"/>
    <d v="2022-04-01T00:00:00"/>
    <m/>
    <m/>
    <s v="PENDIENTE"/>
    <n v="203575"/>
    <x v="48"/>
    <x v="51"/>
    <x v="886"/>
    <d v="2022-04-01T00:00:00"/>
    <n v="90"/>
    <s v="días BL"/>
    <m/>
    <m/>
    <m/>
    <s v="PENDIENTE"/>
    <s v="CFR"/>
    <s v="FILO"/>
    <x v="17"/>
    <n v="1012"/>
    <m/>
    <x v="1596"/>
    <x v="57"/>
    <s v="Granel - BB"/>
    <m/>
    <s v="BB - Granel"/>
    <n v="1"/>
    <s v="-"/>
    <s v="JUNIO '22"/>
    <x v="1"/>
    <d v="2022-06-20T00:00:00"/>
    <d v="2022-06-20T00:00:00"/>
    <d v="2022-08-05T00:00:00"/>
    <x v="661"/>
    <d v="2022-08-15T00:00:00"/>
    <m/>
    <x v="938"/>
    <n v="8"/>
    <n v="2022"/>
    <x v="2"/>
    <x v="1"/>
    <m/>
    <x v="2"/>
    <m/>
    <x v="3"/>
    <x v="29"/>
    <m/>
    <m/>
    <x v="15"/>
    <x v="0"/>
    <m/>
    <s v="PENDIENTE"/>
    <m/>
    <m/>
    <m/>
    <m/>
    <x v="0"/>
    <m/>
    <m/>
    <x v="0"/>
    <x v="0"/>
    <m/>
    <m/>
    <x v="0"/>
    <e v="#REF!"/>
    <m/>
    <m/>
    <m/>
    <m/>
    <m/>
    <x v="0"/>
    <m/>
    <m/>
    <m/>
    <m/>
    <m/>
    <m/>
    <m/>
    <m/>
  </r>
  <r>
    <n v="2022"/>
    <s v="S-S"/>
    <x v="1"/>
    <x v="3"/>
    <s v="URGENTE"/>
    <m/>
    <x v="1952"/>
    <s v="2022-100"/>
    <x v="1660"/>
    <d v="2022-04-01T00:00:00"/>
    <m/>
    <m/>
    <s v="PENDIENTE"/>
    <n v="206914"/>
    <x v="12"/>
    <x v="19"/>
    <x v="887"/>
    <d v="2022-04-01T00:00:00"/>
    <n v="90"/>
    <s v="días BL"/>
    <m/>
    <m/>
    <m/>
    <s v="PENDIENTE"/>
    <s v="CFR"/>
    <s v="FILO"/>
    <x v="128"/>
    <n v="225"/>
    <m/>
    <x v="1597"/>
    <x v="3"/>
    <s v="Granel - BB"/>
    <m/>
    <s v="25 kg"/>
    <n v="1.25"/>
    <s v="ROMERO FERTILIZANTES"/>
    <s v="MAYO '22"/>
    <x v="1"/>
    <d v="2022-05-31T00:00:00"/>
    <d v="2022-06-20T00:00:00"/>
    <d v="2022-08-05T00:00:00"/>
    <x v="661"/>
    <d v="2022-08-15T00:00:00"/>
    <m/>
    <x v="938"/>
    <n v="8"/>
    <n v="2022"/>
    <x v="1"/>
    <x v="1"/>
    <s v="BAYUQUAN"/>
    <x v="2"/>
    <m/>
    <x v="3"/>
    <x v="29"/>
    <m/>
    <m/>
    <x v="15"/>
    <x v="0"/>
    <m/>
    <s v="PENDIENTE"/>
    <m/>
    <m/>
    <m/>
    <m/>
    <x v="0"/>
    <m/>
    <m/>
    <x v="0"/>
    <x v="0"/>
    <m/>
    <m/>
    <x v="0"/>
    <e v="#REF!"/>
    <m/>
    <m/>
    <m/>
    <m/>
    <m/>
    <x v="0"/>
    <m/>
    <s v="COVID"/>
    <m/>
    <m/>
    <m/>
    <m/>
    <m/>
    <m/>
  </r>
  <r>
    <n v="2022"/>
    <s v="S-S"/>
    <x v="1"/>
    <x v="3"/>
    <s v="NORMAL"/>
    <m/>
    <x v="1953"/>
    <s v="2022-114"/>
    <x v="1661"/>
    <d v="2022-04-04T00:00:00"/>
    <m/>
    <m/>
    <s v="PENDIENTE"/>
    <n v="207578"/>
    <x v="8"/>
    <x v="51"/>
    <x v="888"/>
    <d v="2022-04-01T00:00:00"/>
    <s v="CAD"/>
    <m/>
    <m/>
    <m/>
    <m/>
    <s v="PENDIENTE"/>
    <s v="CFR"/>
    <s v="FILO"/>
    <x v="1"/>
    <n v="645"/>
    <m/>
    <x v="1598"/>
    <x v="57"/>
    <s v="Granel - BB"/>
    <m/>
    <s v="25 kg"/>
    <m/>
    <s v="ROMERO FERTILIZANTES"/>
    <s v="MAYO -JUNIO '22"/>
    <x v="1"/>
    <d v="2022-06-27T00:00:00"/>
    <d v="2022-07-29T00:00:00"/>
    <d v="2022-08-12T00:00:00"/>
    <x v="838"/>
    <d v="2022-09-23T00:00:00"/>
    <m/>
    <x v="910"/>
    <n v="9"/>
    <n v="2022"/>
    <x v="2"/>
    <x v="1"/>
    <s v="XINGANG"/>
    <x v="2"/>
    <m/>
    <x v="3"/>
    <x v="29"/>
    <m/>
    <m/>
    <x v="15"/>
    <x v="0"/>
    <m/>
    <s v="PENDIENTE"/>
    <m/>
    <m/>
    <m/>
    <m/>
    <x v="0"/>
    <m/>
    <m/>
    <x v="0"/>
    <x v="0"/>
    <m/>
    <m/>
    <x v="0"/>
    <e v="#REF!"/>
    <m/>
    <m/>
    <m/>
    <m/>
    <m/>
    <x v="0"/>
    <m/>
    <m/>
    <m/>
    <m/>
    <m/>
    <m/>
    <m/>
    <m/>
  </r>
  <r>
    <n v="2022"/>
    <s v="S-P"/>
    <x v="1"/>
    <x v="5"/>
    <s v="URGENTE"/>
    <m/>
    <x v="1954"/>
    <s v="2022-73"/>
    <x v="1662"/>
    <d v="2022-04-27T00:00:00"/>
    <m/>
    <m/>
    <s v="PENDIENTE"/>
    <n v="207499"/>
    <x v="2"/>
    <x v="19"/>
    <x v="889"/>
    <d v="2022-04-02T00:00:00"/>
    <s v="CAD"/>
    <m/>
    <s v="SG-ZSL-12329-47"/>
    <d v="2022-04-25T00:00:00"/>
    <m/>
    <s v="CANCELADO"/>
    <s v="CFR"/>
    <s v="FILO"/>
    <x v="17"/>
    <n v="850"/>
    <m/>
    <x v="1599"/>
    <x v="57"/>
    <s v="Granel - BB"/>
    <s v="-"/>
    <s v="25 kg"/>
    <n v="1"/>
    <s v="ROMERO FERTILIZANTES"/>
    <s v="2H ABRIL '22"/>
    <x v="1"/>
    <d v="2022-05-01T00:00:00"/>
    <d v="2022-05-01T00:00:00"/>
    <d v="2022-06-10T00:00:00"/>
    <x v="818"/>
    <d v="2022-06-20T00:00:00"/>
    <m/>
    <x v="886"/>
    <n v="6"/>
    <n v="2022"/>
    <x v="3"/>
    <x v="1"/>
    <s v="TIANJIN"/>
    <x v="2"/>
    <m/>
    <x v="3"/>
    <x v="1428"/>
    <d v="2022-05-01T00:00:00"/>
    <s v="GLOBAL ANDES"/>
    <x v="387"/>
    <x v="0"/>
    <s v="TRANSMERIDIAN"/>
    <s v="PENDIENTE"/>
    <s v="ORIGEN"/>
    <m/>
    <m/>
    <m/>
    <x v="0"/>
    <m/>
    <m/>
    <x v="0"/>
    <x v="0"/>
    <m/>
    <m/>
    <x v="0"/>
    <s v="OK"/>
    <s v="N/A"/>
    <s v="N/A"/>
    <s v="N/A"/>
    <s v="N/A"/>
    <s v="N/A"/>
    <x v="1"/>
    <s v="BL ENVIADO VÍA AÉREA "/>
    <m/>
    <m/>
    <m/>
    <m/>
    <m/>
    <m/>
    <m/>
  </r>
  <r>
    <n v="2022"/>
    <s v="S-S"/>
    <x v="1"/>
    <x v="3"/>
    <s v="URGENTE"/>
    <m/>
    <x v="1955"/>
    <s v="2022-75"/>
    <x v="1663"/>
    <d v="2022-04-04T00:00:00"/>
    <m/>
    <m/>
    <s v="PENDIENTE"/>
    <n v="206966"/>
    <x v="16"/>
    <x v="51"/>
    <x v="890"/>
    <d v="2022-04-07T00:00:00"/>
    <s v="CAD"/>
    <m/>
    <m/>
    <m/>
    <m/>
    <s v="PENDIENTE"/>
    <s v="CFR"/>
    <s v="FILO"/>
    <x v="17"/>
    <n v="1740"/>
    <m/>
    <x v="1600"/>
    <x v="57"/>
    <s v="Granel - BB"/>
    <m/>
    <s v="25 kg"/>
    <n v="1.25"/>
    <s v="NEUTRAL"/>
    <s v="MAYO - JUNIO '22"/>
    <x v="1"/>
    <d v="2022-06-20T00:00:00"/>
    <d v="2022-06-20T00:00:00"/>
    <d v="2022-08-05T00:00:00"/>
    <x v="661"/>
    <d v="2022-08-15T00:00:00"/>
    <m/>
    <x v="689"/>
    <n v="8"/>
    <n v="2022"/>
    <x v="2"/>
    <x v="1"/>
    <m/>
    <x v="2"/>
    <m/>
    <x v="3"/>
    <x v="29"/>
    <m/>
    <m/>
    <x v="15"/>
    <x v="0"/>
    <m/>
    <s v="PENDIENTE"/>
    <m/>
    <m/>
    <m/>
    <m/>
    <x v="0"/>
    <m/>
    <m/>
    <x v="0"/>
    <x v="0"/>
    <m/>
    <m/>
    <x v="0"/>
    <e v="#REF!"/>
    <m/>
    <m/>
    <m/>
    <m/>
    <m/>
    <x v="0"/>
    <m/>
    <m/>
    <m/>
    <m/>
    <m/>
    <m/>
    <m/>
    <m/>
  </r>
  <r>
    <n v="2022"/>
    <s v="S-S"/>
    <x v="1"/>
    <x v="3"/>
    <s v="URGENTE"/>
    <m/>
    <x v="1956"/>
    <s v="2022-120"/>
    <x v="1664"/>
    <m/>
    <m/>
    <m/>
    <s v="PENDIENTE"/>
    <n v="206713"/>
    <x v="3"/>
    <x v="51"/>
    <x v="891"/>
    <d v="2022-04-06T00:00:00"/>
    <s v="CAD"/>
    <m/>
    <m/>
    <m/>
    <m/>
    <s v="PENDIENTE"/>
    <s v="FOB"/>
    <m/>
    <x v="677"/>
    <n v="1023"/>
    <m/>
    <x v="1601"/>
    <x v="57"/>
    <s v="Granel - BB"/>
    <m/>
    <s v="BB - Granel"/>
    <n v="1.2"/>
    <s v="-"/>
    <s v="JUNIO - JULIO '22"/>
    <x v="1"/>
    <d v="2022-07-10T00:00:00"/>
    <d v="2022-07-10T00:00:00"/>
    <d v="2022-08-25T00:00:00"/>
    <x v="868"/>
    <d v="2022-08-27T00:00:00"/>
    <m/>
    <x v="939"/>
    <n v="8"/>
    <n v="2022"/>
    <x v="2"/>
    <x v="6"/>
    <m/>
    <x v="1"/>
    <s v="STI"/>
    <x v="0"/>
    <x v="29"/>
    <m/>
    <m/>
    <x v="15"/>
    <x v="0"/>
    <m/>
    <s v="PENDIENTE"/>
    <m/>
    <m/>
    <m/>
    <m/>
    <x v="0"/>
    <m/>
    <m/>
    <x v="0"/>
    <x v="0"/>
    <m/>
    <m/>
    <x v="0"/>
    <e v="#REF!"/>
    <m/>
    <m/>
    <m/>
    <m/>
    <m/>
    <x v="0"/>
    <m/>
    <m/>
    <m/>
    <m/>
    <m/>
    <m/>
    <m/>
    <m/>
  </r>
  <r>
    <n v="2022"/>
    <s v="S-S"/>
    <x v="1"/>
    <x v="3"/>
    <s v="URGENTE"/>
    <m/>
    <x v="1957"/>
    <s v="2022-120"/>
    <x v="34"/>
    <m/>
    <m/>
    <m/>
    <s v="PENDIENTE"/>
    <n v="206713"/>
    <x v="3"/>
    <x v="51"/>
    <x v="891"/>
    <d v="2022-04-06T00:00:00"/>
    <s v="CAD"/>
    <m/>
    <m/>
    <m/>
    <m/>
    <s v="PENDIENTE"/>
    <s v="FOB"/>
    <m/>
    <x v="17"/>
    <n v="1023"/>
    <m/>
    <x v="1602"/>
    <x v="57"/>
    <s v="Granel - BB"/>
    <m/>
    <s v="BB - Granel"/>
    <n v="1.2"/>
    <s v="-"/>
    <s v="JUNIO - JULIO '22"/>
    <x v="1"/>
    <d v="2022-07-10T00:00:00"/>
    <d v="2022-07-10T00:00:00"/>
    <d v="2022-08-25T00:00:00"/>
    <x v="868"/>
    <d v="2022-09-04T00:00:00"/>
    <m/>
    <x v="939"/>
    <n v="8"/>
    <n v="2022"/>
    <x v="2"/>
    <x v="6"/>
    <m/>
    <x v="2"/>
    <s v="STI"/>
    <x v="0"/>
    <x v="29"/>
    <m/>
    <m/>
    <x v="15"/>
    <x v="0"/>
    <m/>
    <s v="PENDIENTE"/>
    <m/>
    <m/>
    <m/>
    <m/>
    <x v="0"/>
    <m/>
    <m/>
    <x v="0"/>
    <x v="0"/>
    <m/>
    <m/>
    <x v="0"/>
    <e v="#REF!"/>
    <m/>
    <m/>
    <m/>
    <m/>
    <m/>
    <x v="0"/>
    <m/>
    <m/>
    <m/>
    <m/>
    <m/>
    <m/>
    <m/>
    <m/>
  </r>
  <r>
    <n v="2022"/>
    <s v="S-S"/>
    <x v="1"/>
    <x v="3"/>
    <s v="URGENTE"/>
    <m/>
    <x v="1958"/>
    <s v="2022-120"/>
    <x v="1665"/>
    <m/>
    <m/>
    <m/>
    <s v="PENDIENTE"/>
    <n v="206971"/>
    <x v="3"/>
    <x v="51"/>
    <x v="891"/>
    <d v="2022-04-06T00:00:00"/>
    <s v="CAD"/>
    <m/>
    <m/>
    <m/>
    <m/>
    <s v="PENDIENTE"/>
    <s v="FOB"/>
    <m/>
    <x v="189"/>
    <n v="1048"/>
    <m/>
    <x v="1603"/>
    <x v="57"/>
    <s v="Granel - BB"/>
    <m/>
    <s v="25 kg"/>
    <n v="1.2"/>
    <s v="ROMERO FERTILIZANTES"/>
    <s v="JUNIO - JULIO '22"/>
    <x v="1"/>
    <d v="2022-07-10T00:00:00"/>
    <d v="2022-07-10T00:00:00"/>
    <d v="2022-08-25T00:00:00"/>
    <x v="868"/>
    <d v="2022-09-04T00:00:00"/>
    <m/>
    <x v="939"/>
    <n v="8"/>
    <n v="2022"/>
    <x v="2"/>
    <x v="6"/>
    <m/>
    <x v="2"/>
    <m/>
    <x v="0"/>
    <x v="29"/>
    <m/>
    <m/>
    <x v="15"/>
    <x v="0"/>
    <m/>
    <s v="PENDIENTE"/>
    <m/>
    <m/>
    <m/>
    <m/>
    <x v="0"/>
    <m/>
    <m/>
    <x v="0"/>
    <x v="0"/>
    <m/>
    <m/>
    <x v="0"/>
    <e v="#REF!"/>
    <m/>
    <m/>
    <m/>
    <m/>
    <m/>
    <x v="0"/>
    <m/>
    <m/>
    <m/>
    <m/>
    <m/>
    <m/>
    <m/>
    <m/>
  </r>
  <r>
    <n v="2022"/>
    <s v="S-S"/>
    <x v="1"/>
    <x v="5"/>
    <s v="URGENTE"/>
    <m/>
    <x v="1959"/>
    <s v="2022-116"/>
    <x v="1666"/>
    <d v="2022-04-26T00:00:00"/>
    <m/>
    <m/>
    <s v="PENDIENTE"/>
    <n v="206597"/>
    <x v="0"/>
    <x v="37"/>
    <x v="892"/>
    <d v="2022-04-04T00:00:00"/>
    <s v="CAD"/>
    <m/>
    <s v="I-40098"/>
    <d v="2022-04-18T00:00:00"/>
    <s v="CAD"/>
    <s v="CANCELADO"/>
    <s v="CFR"/>
    <m/>
    <x v="1"/>
    <n v="1193"/>
    <n v="120"/>
    <x v="1604"/>
    <x v="57"/>
    <s v="Granel"/>
    <s v="-"/>
    <s v="Granel Sólido"/>
    <s v="-"/>
    <s v="-"/>
    <s v="2H ABRIL '22"/>
    <x v="1"/>
    <d v="2022-04-18T00:00:00"/>
    <d v="2022-04-18T00:00:00"/>
    <d v="2022-06-06T00:00:00"/>
    <x v="848"/>
    <d v="2022-06-08T00:00:00"/>
    <m/>
    <x v="929"/>
    <n v="6"/>
    <n v="2022"/>
    <x v="3"/>
    <x v="19"/>
    <s v="THIENG LIENG"/>
    <x v="0"/>
    <s v="TPE"/>
    <x v="2"/>
    <x v="18"/>
    <d v="2022-04-18T00:00:00"/>
    <s v="CL DIYIN HE"/>
    <x v="399"/>
    <x v="0"/>
    <s v="TRANSMERIDIAN"/>
    <s v="REALIZADO"/>
    <s v="ORIGEN"/>
    <m/>
    <m/>
    <m/>
    <x v="0"/>
    <m/>
    <m/>
    <x v="0"/>
    <x v="0"/>
    <m/>
    <m/>
    <x v="0"/>
    <s v="OK"/>
    <s v="N/A"/>
    <s v="N/A"/>
    <s v="N/A"/>
    <s v="N/A"/>
    <s v="N/A"/>
    <x v="1"/>
    <m/>
    <m/>
    <m/>
    <m/>
    <m/>
    <m/>
    <m/>
    <m/>
  </r>
  <r>
    <n v="2022"/>
    <s v="S-S"/>
    <x v="1"/>
    <x v="5"/>
    <s v="URGENTE"/>
    <m/>
    <x v="1960"/>
    <s v="2022-116"/>
    <x v="1667"/>
    <d v="2022-04-26T00:00:00"/>
    <m/>
    <m/>
    <s v="PENDIENTE"/>
    <n v="206597"/>
    <x v="0"/>
    <x v="37"/>
    <x v="892"/>
    <d v="2022-04-04T00:00:00"/>
    <s v="CAD"/>
    <m/>
    <s v="I-40099"/>
    <d v="2022-04-18T00:00:00"/>
    <s v="CAD"/>
    <s v="CANCELADO"/>
    <s v="CFR"/>
    <m/>
    <x v="100"/>
    <n v="1193"/>
    <n v="120"/>
    <x v="1605"/>
    <x v="57"/>
    <s v="Granel"/>
    <s v="-"/>
    <s v="Granel Sólido"/>
    <s v="-"/>
    <s v="-"/>
    <s v="2H ABRIL '22"/>
    <x v="1"/>
    <d v="2022-04-18T00:00:00"/>
    <d v="2022-04-18T00:00:00"/>
    <d v="2022-06-11T00:00:00"/>
    <x v="849"/>
    <d v="2022-06-13T00:00:00"/>
    <m/>
    <x v="940"/>
    <n v="6"/>
    <n v="2022"/>
    <x v="3"/>
    <x v="19"/>
    <s v="THIENG LIENG"/>
    <x v="1"/>
    <s v="TISUR"/>
    <x v="2"/>
    <x v="52"/>
    <d v="2022-04-18T00:00:00"/>
    <s v="CL DIYIN HE"/>
    <x v="399"/>
    <x v="0"/>
    <s v="TRANSMERIDIAN"/>
    <s v="PENDIENTE"/>
    <s v="ORIGEN"/>
    <m/>
    <m/>
    <m/>
    <x v="0"/>
    <m/>
    <m/>
    <x v="0"/>
    <x v="0"/>
    <m/>
    <m/>
    <x v="0"/>
    <s v="OK"/>
    <s v="N/A"/>
    <s v="N/A"/>
    <s v="N/A"/>
    <s v="N/A"/>
    <s v="N/A"/>
    <x v="1"/>
    <m/>
    <m/>
    <m/>
    <m/>
    <m/>
    <m/>
    <m/>
    <m/>
  </r>
  <r>
    <n v="2022"/>
    <s v="S-S"/>
    <x v="1"/>
    <x v="5"/>
    <s v="URGENTE"/>
    <m/>
    <x v="1961"/>
    <s v="2022-116"/>
    <x v="1668"/>
    <d v="2022-04-26T00:00:00"/>
    <m/>
    <m/>
    <s v="PENDIENTE"/>
    <n v="206597"/>
    <x v="0"/>
    <x v="37"/>
    <x v="892"/>
    <d v="2022-04-04T00:00:00"/>
    <s v="CAD"/>
    <m/>
    <s v="I-40100"/>
    <d v="2022-04-18T00:00:00"/>
    <s v="CAD"/>
    <s v="CANCELADO"/>
    <s v="CFR"/>
    <m/>
    <x v="152"/>
    <n v="1193"/>
    <n v="120"/>
    <x v="1606"/>
    <x v="57"/>
    <s v="Granel"/>
    <s v="-"/>
    <s v="Granel Sólido"/>
    <s v="-"/>
    <s v="-"/>
    <s v="2H ABRIL '22"/>
    <x v="1"/>
    <d v="2022-04-18T00:00:00"/>
    <d v="2022-04-18T00:00:00"/>
    <d v="2022-06-15T00:00:00"/>
    <x v="850"/>
    <d v="2022-06-18T00:00:00"/>
    <m/>
    <x v="920"/>
    <n v="6"/>
    <n v="2022"/>
    <x v="3"/>
    <x v="19"/>
    <s v="THIENG LIENG"/>
    <x v="2"/>
    <m/>
    <x v="3"/>
    <x v="19"/>
    <d v="2022-04-18T00:00:00"/>
    <s v="CL DIYIN HE"/>
    <x v="399"/>
    <x v="0"/>
    <s v="TRANSMERIDIAN"/>
    <s v="PENDIENTE"/>
    <s v="ORIGEN"/>
    <m/>
    <m/>
    <m/>
    <x v="0"/>
    <m/>
    <m/>
    <x v="0"/>
    <x v="0"/>
    <m/>
    <m/>
    <x v="0"/>
    <s v="OK"/>
    <s v="N/A"/>
    <s v="N/A"/>
    <s v="N/A"/>
    <s v="N/A"/>
    <s v="N/A"/>
    <x v="1"/>
    <m/>
    <m/>
    <m/>
    <m/>
    <m/>
    <m/>
    <m/>
    <m/>
  </r>
  <r>
    <n v="2022"/>
    <s v="S-S"/>
    <x v="1"/>
    <x v="5"/>
    <s v="URGENTE"/>
    <m/>
    <x v="1962"/>
    <s v="2022-116"/>
    <x v="1669"/>
    <d v="2022-04-26T00:00:00"/>
    <m/>
    <m/>
    <s v="PENDIENTE"/>
    <n v="206597"/>
    <x v="0"/>
    <x v="37"/>
    <x v="892"/>
    <d v="2022-04-04T00:00:00"/>
    <s v="CAD"/>
    <m/>
    <s v="I-40101"/>
    <d v="2022-04-18T00:00:00"/>
    <s v="CAD"/>
    <s v="CANCELADO"/>
    <s v="CFR"/>
    <m/>
    <x v="70"/>
    <n v="1193"/>
    <n v="120"/>
    <x v="1607"/>
    <x v="57"/>
    <s v="Granel"/>
    <s v="-"/>
    <s v="Granel Sólido"/>
    <s v="-"/>
    <s v="-"/>
    <s v="2H ABRIL '22"/>
    <x v="1"/>
    <d v="2022-04-18T00:00:00"/>
    <d v="2022-04-18T00:00:00"/>
    <d v="2022-06-19T00:00:00"/>
    <x v="834"/>
    <d v="2022-06-20T00:00:00"/>
    <m/>
    <x v="941"/>
    <n v="6"/>
    <n v="2022"/>
    <x v="3"/>
    <x v="19"/>
    <s v="THIENG LIENG"/>
    <x v="4"/>
    <s v="TISUR"/>
    <x v="2"/>
    <x v="44"/>
    <d v="2022-04-18T00:00:00"/>
    <s v="CL DIYIN HE"/>
    <x v="399"/>
    <x v="0"/>
    <s v="TRANSMERIDIAN"/>
    <s v="PENDIENTE"/>
    <s v="ORIGEN"/>
    <m/>
    <m/>
    <m/>
    <x v="0"/>
    <m/>
    <m/>
    <x v="0"/>
    <x v="0"/>
    <m/>
    <m/>
    <x v="0"/>
    <s v="OK"/>
    <s v="N/A"/>
    <s v="N/A"/>
    <s v="N/A"/>
    <s v="N/A"/>
    <s v="N/A"/>
    <x v="1"/>
    <m/>
    <m/>
    <m/>
    <m/>
    <m/>
    <m/>
    <m/>
    <m/>
  </r>
  <r>
    <n v="2022"/>
    <s v="E-S"/>
    <x v="1"/>
    <x v="5"/>
    <s v="URGENTE"/>
    <m/>
    <x v="1963"/>
    <s v="2022-78"/>
    <x v="1670"/>
    <d v="2022-04-06T00:00:00"/>
    <m/>
    <m/>
    <s v="PENDIENTE"/>
    <n v="204207"/>
    <x v="33"/>
    <x v="71"/>
    <x v="72"/>
    <d v="2022-04-04T00:00:00"/>
    <n v="150"/>
    <s v="días BL"/>
    <s v="202251114"/>
    <d v="2022-05-20T00:00:00"/>
    <d v="2022-08-18T00:00:00"/>
    <s v="PENDIENTE"/>
    <s v="CIF"/>
    <m/>
    <x v="105"/>
    <n v="2885"/>
    <m/>
    <x v="1608"/>
    <x v="1"/>
    <s v="Contenedor 20'"/>
    <s v="PALLETS"/>
    <s v="25 kg"/>
    <m/>
    <m/>
    <s v="ABRIL - MAYO '22"/>
    <x v="1"/>
    <d v="2022-05-04T00:00:00"/>
    <d v="2022-05-20T00:00:00"/>
    <d v="2022-06-28T00:00:00"/>
    <x v="869"/>
    <d v="2022-07-09T00:00:00"/>
    <m/>
    <x v="942"/>
    <n v="7"/>
    <n v="2022"/>
    <x v="3"/>
    <x v="20"/>
    <s v="ASHDOD PORT"/>
    <x v="2"/>
    <s v="APM"/>
    <x v="3"/>
    <x v="1429"/>
    <d v="2022-05-20T00:00:00"/>
    <s v="PAN GG"/>
    <x v="74"/>
    <x v="46"/>
    <m/>
    <s v="PENDIENTE"/>
    <s v="SWB"/>
    <m/>
    <m/>
    <m/>
    <x v="0"/>
    <d v="2022-07-15T00:00:00"/>
    <m/>
    <x v="0"/>
    <x v="0"/>
    <m/>
    <m/>
    <x v="0"/>
    <e v="#REF!"/>
    <m/>
    <m/>
    <m/>
    <m/>
    <m/>
    <x v="0"/>
    <m/>
    <m/>
    <m/>
    <m/>
    <m/>
    <m/>
    <m/>
    <m/>
  </r>
  <r>
    <n v="2022"/>
    <s v="E-S"/>
    <x v="1"/>
    <x v="3"/>
    <s v="URGENTE"/>
    <m/>
    <x v="1964"/>
    <s v="2022-78"/>
    <x v="34"/>
    <m/>
    <m/>
    <m/>
    <s v="PENDIENTE"/>
    <n v="204207"/>
    <x v="33"/>
    <x v="71"/>
    <x v="72"/>
    <d v="2022-04-04T00:00:00"/>
    <n v="150"/>
    <s v="días BL"/>
    <m/>
    <m/>
    <m/>
    <s v="PENDIENTE"/>
    <s v="CIF"/>
    <m/>
    <x v="218"/>
    <n v="2885"/>
    <m/>
    <x v="1609"/>
    <x v="5"/>
    <s v="Contenedor 20'"/>
    <s v="PALLETS"/>
    <s v="25 kg"/>
    <m/>
    <m/>
    <s v="ABRIL - MAYO '22"/>
    <x v="1"/>
    <d v="2022-05-04T00:00:00"/>
    <d v="2022-06-15T00:00:00"/>
    <d v="2022-06-28T00:00:00"/>
    <x v="870"/>
    <d v="2022-08-04T00:00:00"/>
    <m/>
    <x v="937"/>
    <n v="8"/>
    <n v="2022"/>
    <x v="2"/>
    <x v="20"/>
    <s v="ASHDOD PORT"/>
    <x v="2"/>
    <m/>
    <x v="3"/>
    <x v="29"/>
    <m/>
    <m/>
    <x v="15"/>
    <x v="46"/>
    <m/>
    <s v="PENDIENTE"/>
    <m/>
    <m/>
    <m/>
    <m/>
    <x v="0"/>
    <m/>
    <m/>
    <x v="0"/>
    <x v="0"/>
    <m/>
    <m/>
    <x v="0"/>
    <e v="#REF!"/>
    <m/>
    <m/>
    <m/>
    <m/>
    <m/>
    <x v="0"/>
    <m/>
    <m/>
    <m/>
    <m/>
    <m/>
    <m/>
    <m/>
    <m/>
  </r>
  <r>
    <n v="2022"/>
    <s v="E-S"/>
    <x v="1"/>
    <x v="5"/>
    <s v="URGENTE"/>
    <m/>
    <x v="1965"/>
    <s v="2022-82"/>
    <x v="1671"/>
    <d v="2022-04-07T00:00:00"/>
    <m/>
    <m/>
    <s v="PENDIENTE"/>
    <n v="206720"/>
    <x v="46"/>
    <x v="72"/>
    <x v="72"/>
    <d v="2022-04-07T00:00:00"/>
    <n v="120"/>
    <s v="días BL"/>
    <m/>
    <m/>
    <m/>
    <s v="PENDIENTE"/>
    <s v="CPT"/>
    <m/>
    <x v="678"/>
    <n v="550"/>
    <m/>
    <x v="1610"/>
    <x v="1"/>
    <s v="Contenedor 20'"/>
    <m/>
    <s v="25 kg"/>
    <m/>
    <m/>
    <s v="MAYO - JUNIO '22"/>
    <x v="1"/>
    <d v="2022-06-15T00:00:00"/>
    <d v="2022-05-21T00:00:00"/>
    <d v="2022-07-15T00:00:00"/>
    <x v="871"/>
    <d v="2022-06-24T00:00:00"/>
    <m/>
    <x v="934"/>
    <n v="6"/>
    <n v="2022"/>
    <x v="1"/>
    <x v="21"/>
    <s v="HAMBURGO"/>
    <x v="0"/>
    <s v="TPE"/>
    <x v="2"/>
    <x v="29"/>
    <m/>
    <s v="CMA CGM CARL ANTOINE"/>
    <x v="15"/>
    <x v="5"/>
    <m/>
    <s v="PENDIENTE"/>
    <m/>
    <m/>
    <m/>
    <m/>
    <x v="0"/>
    <m/>
    <m/>
    <x v="0"/>
    <x v="0"/>
    <m/>
    <m/>
    <x v="0"/>
    <e v="#REF!"/>
    <s v="N/A"/>
    <s v="N/A"/>
    <s v="N/A"/>
    <s v="N/A"/>
    <s v="N/A"/>
    <x v="1"/>
    <m/>
    <m/>
    <m/>
    <m/>
    <m/>
    <m/>
    <m/>
    <m/>
  </r>
  <r>
    <n v="2022"/>
    <e v="#N/A"/>
    <x v="1"/>
    <x v="5"/>
    <s v="NORMAL"/>
    <m/>
    <x v="1966"/>
    <m/>
    <x v="1672"/>
    <d v="2022-04-11T00:00:00"/>
    <m/>
    <m/>
    <s v="PENDIENTE"/>
    <n v="203695"/>
    <x v="162"/>
    <x v="67"/>
    <x v="8"/>
    <d v="2022-04-08T00:00:00"/>
    <n v="90"/>
    <s v="días BL"/>
    <s v="INV220073"/>
    <d v="2022-04-21T00:00:00"/>
    <d v="2022-07-20T00:00:00"/>
    <s v="PENDIENTE"/>
    <s v="CIF"/>
    <s v="N/A"/>
    <x v="679"/>
    <n v="2156.1003900000001"/>
    <m/>
    <x v="1611"/>
    <x v="11"/>
    <s v="Contenedor 20'"/>
    <s v="PALLETS"/>
    <s v="IBC"/>
    <n v="1"/>
    <s v="ALGARIUM"/>
    <s v="ABRIL '22"/>
    <x v="1"/>
    <d v="2022-04-24T00:00:00"/>
    <d v="2022-04-27T00:00:00"/>
    <d v="2022-06-12T00:00:00"/>
    <x v="860"/>
    <d v="2022-06-07T00:00:00"/>
    <m/>
    <x v="929"/>
    <n v="6"/>
    <n v="2022"/>
    <x v="3"/>
    <x v="7"/>
    <s v="DUBLIN"/>
    <x v="2"/>
    <s v="DPWC"/>
    <x v="3"/>
    <x v="1430"/>
    <d v="2022-05-05T00:00:00"/>
    <s v="BG SAPPHIRE"/>
    <x v="39"/>
    <x v="2"/>
    <s v="TRAMARSA"/>
    <s v="REALIZADO"/>
    <s v="ORIGEN"/>
    <m/>
    <m/>
    <m/>
    <x v="0"/>
    <m/>
    <m/>
    <x v="0"/>
    <x v="0"/>
    <m/>
    <m/>
    <x v="0"/>
    <s v="OK"/>
    <s v="N/A"/>
    <s v="N/A"/>
    <s v="N/A"/>
    <s v="N/A"/>
    <s v="N/A"/>
    <x v="1"/>
    <m/>
    <m/>
    <m/>
    <m/>
    <m/>
    <m/>
    <m/>
    <m/>
  </r>
  <r>
    <n v="2022"/>
    <e v="#N/A"/>
    <x v="1"/>
    <x v="5"/>
    <s v="NORMAL"/>
    <m/>
    <x v="1967"/>
    <m/>
    <x v="1672"/>
    <d v="2022-04-11T00:00:00"/>
    <m/>
    <m/>
    <s v="PENDIENTE"/>
    <n v="203583"/>
    <x v="149"/>
    <x v="67"/>
    <x v="8"/>
    <d v="2022-04-08T00:00:00"/>
    <n v="90"/>
    <s v="días BL"/>
    <s v="INV220073"/>
    <d v="2022-04-21T00:00:00"/>
    <d v="2022-07-20T00:00:00"/>
    <s v="PENDIENTE"/>
    <s v="CIF"/>
    <s v="N/A"/>
    <x v="680"/>
    <n v="2156.1003900000001"/>
    <m/>
    <x v="1612"/>
    <x v="17"/>
    <s v="Contenedor 20'"/>
    <s v="PALLETS"/>
    <s v="10 LT"/>
    <s v="-"/>
    <s v="ALGARIUM"/>
    <s v="ABRIL '22"/>
    <x v="1"/>
    <d v="2022-04-24T00:00:00"/>
    <d v="2022-04-27T00:00:00"/>
    <d v="2022-06-12T00:00:00"/>
    <x v="860"/>
    <d v="2022-06-07T00:00:00"/>
    <m/>
    <x v="943"/>
    <n v="6"/>
    <n v="2022"/>
    <x v="3"/>
    <x v="7"/>
    <s v="DUBLIN"/>
    <x v="2"/>
    <s v="DPWC"/>
    <x v="3"/>
    <x v="1430"/>
    <d v="2022-05-05T00:00:00"/>
    <s v="BG SAPPHIRE"/>
    <x v="39"/>
    <x v="2"/>
    <s v="TRAMARSA"/>
    <s v="REALIZADO"/>
    <s v="ORIGEN"/>
    <m/>
    <m/>
    <m/>
    <x v="0"/>
    <m/>
    <m/>
    <x v="0"/>
    <x v="0"/>
    <m/>
    <m/>
    <x v="0"/>
    <s v="OK"/>
    <s v="N/A"/>
    <s v="N/A"/>
    <s v="N/A"/>
    <s v="N/A"/>
    <s v="N/A"/>
    <x v="1"/>
    <m/>
    <m/>
    <m/>
    <m/>
    <m/>
    <m/>
    <m/>
    <m/>
  </r>
  <r>
    <n v="2022"/>
    <e v="#N/A"/>
    <x v="1"/>
    <x v="5"/>
    <s v="NORMAL"/>
    <m/>
    <x v="1968"/>
    <m/>
    <x v="1672"/>
    <d v="2022-04-11T00:00:00"/>
    <m/>
    <m/>
    <s v="PENDIENTE"/>
    <n v="203696"/>
    <x v="163"/>
    <x v="67"/>
    <x v="8"/>
    <d v="2022-04-08T00:00:00"/>
    <n v="90"/>
    <s v="días BL"/>
    <s v="INV220073"/>
    <d v="2022-04-21T00:00:00"/>
    <d v="2022-07-20T00:00:00"/>
    <s v="PENDIENTE"/>
    <s v="CIF"/>
    <s v="N/A"/>
    <x v="681"/>
    <n v="2156.1003900000001"/>
    <m/>
    <x v="1613"/>
    <x v="17"/>
    <s v="Contenedor 20'"/>
    <s v="PALLETS"/>
    <s v="20 LT"/>
    <s v="-"/>
    <s v="ALGARIUM"/>
    <s v="ABRIL '22"/>
    <x v="1"/>
    <d v="2022-04-24T00:00:00"/>
    <d v="2022-04-27T00:00:00"/>
    <d v="2022-06-12T00:00:00"/>
    <x v="860"/>
    <d v="2022-06-07T00:00:00"/>
    <m/>
    <x v="918"/>
    <n v="6"/>
    <n v="2022"/>
    <x v="3"/>
    <x v="7"/>
    <s v="DUBLIN"/>
    <x v="2"/>
    <s v="DPWC"/>
    <x v="3"/>
    <x v="1430"/>
    <d v="2022-05-05T00:00:00"/>
    <s v="BG SAPPHIRE"/>
    <x v="39"/>
    <x v="2"/>
    <s v="TRAMARSA"/>
    <s v="REALIZADO"/>
    <s v="ORIGEN"/>
    <m/>
    <m/>
    <m/>
    <x v="0"/>
    <m/>
    <m/>
    <x v="0"/>
    <x v="0"/>
    <m/>
    <m/>
    <x v="0"/>
    <s v="OK"/>
    <s v="N/A"/>
    <s v="N/A"/>
    <s v="N/A"/>
    <s v="N/A"/>
    <s v="N/A"/>
    <x v="1"/>
    <m/>
    <m/>
    <m/>
    <m/>
    <m/>
    <m/>
    <m/>
    <m/>
  </r>
  <r>
    <n v="2022"/>
    <s v="T-S"/>
    <x v="0"/>
    <x v="1"/>
    <s v="N/A"/>
    <m/>
    <x v="1969"/>
    <m/>
    <x v="34"/>
    <m/>
    <m/>
    <m/>
    <m/>
    <m/>
    <x v="121"/>
    <x v="53"/>
    <x v="16"/>
    <m/>
    <m/>
    <m/>
    <m/>
    <m/>
    <m/>
    <m/>
    <m/>
    <m/>
    <x v="29"/>
    <m/>
    <m/>
    <x v="1482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2"/>
    <s v="T-S"/>
    <x v="0"/>
    <x v="0"/>
    <s v="URGENTE"/>
    <s v="A"/>
    <x v="1970"/>
    <s v="2022-131"/>
    <x v="1673"/>
    <d v="2022-05-12T00:00:00"/>
    <d v="2022-05-24T00:00:00"/>
    <d v="2022-05-25T00:00:00"/>
    <s v="CERRADO"/>
    <n v="208067"/>
    <x v="115"/>
    <x v="53"/>
    <x v="893"/>
    <d v="2022-04-06T00:00:00"/>
    <n v="30"/>
    <s v="días FACT."/>
    <s v="F200-43303"/>
    <d v="2022-05-16T00:00:00"/>
    <d v="2022-06-15T00:00:00"/>
    <s v="PENDIENTE"/>
    <s v="CFR"/>
    <s v="N/A"/>
    <x v="229"/>
    <n v="1050"/>
    <n v="47.18"/>
    <x v="1614"/>
    <x v="10"/>
    <s v="Contenedor 20'"/>
    <m/>
    <s v="25 kg"/>
    <s v="-"/>
    <s v="YARATERA CALCINIT"/>
    <s v="MAYO '22"/>
    <x v="1"/>
    <d v="2022-05-23T00:00:00"/>
    <d v="2022-05-08T00:00:00"/>
    <d v="2022-05-27T00:00:00"/>
    <x v="858"/>
    <d v="2022-05-21T00:00:00"/>
    <d v="2022-05-23T00:00:00"/>
    <x v="876"/>
    <n v="5"/>
    <n v="2022"/>
    <x v="3"/>
    <x v="9"/>
    <s v="CARTAGENA"/>
    <x v="0"/>
    <s v="TPE"/>
    <x v="2"/>
    <x v="1431"/>
    <d v="2022-05-09T00:00:00"/>
    <s v="EMMA A"/>
    <x v="401"/>
    <x v="2"/>
    <s v="TRAMARSA"/>
    <s v="REALIZADO"/>
    <s v="DESTINO"/>
    <m/>
    <m/>
    <m/>
    <x v="7"/>
    <d v="2022-05-31T00:00:00"/>
    <m/>
    <x v="135"/>
    <x v="64"/>
    <s v="SADA DD"/>
    <s v="VERDE"/>
    <x v="0"/>
    <s v="OK"/>
    <s v="N/A"/>
    <s v="N/A"/>
    <s v="N/A"/>
    <s v="N/A"/>
    <s v="N/A"/>
    <x v="1"/>
    <s v="BL YA CUENTA CON EMISIÓN EN DESTINO"/>
    <m/>
    <m/>
    <m/>
    <m/>
    <m/>
    <m/>
    <m/>
  </r>
  <r>
    <n v="2022"/>
    <s v="T-S"/>
    <x v="1"/>
    <x v="5"/>
    <s v="URGENTE"/>
    <s v="A"/>
    <x v="1971"/>
    <s v="2022-131"/>
    <x v="1674"/>
    <d v="2022-05-17T00:00:00"/>
    <m/>
    <m/>
    <s v="PENDIENTE"/>
    <n v="208067"/>
    <x v="115"/>
    <x v="53"/>
    <x v="893"/>
    <d v="2022-04-06T00:00:00"/>
    <n v="30"/>
    <s v="días FACT."/>
    <s v="F200-43311"/>
    <d v="2022-05-27T00:00:00"/>
    <d v="2022-06-26T00:00:00"/>
    <s v="PENDIENTE"/>
    <s v="CFR"/>
    <s v="N/A"/>
    <x v="6"/>
    <n v="1050"/>
    <n v="30.11"/>
    <x v="518"/>
    <x v="1"/>
    <s v="Contenedor 20'"/>
    <m/>
    <s v="25 kg"/>
    <s v="-"/>
    <s v="YARATERA CALCINIT"/>
    <s v="MAYO '22"/>
    <x v="1"/>
    <d v="2022-05-23T00:00:00"/>
    <d v="2022-05-27T00:00:00"/>
    <d v="2022-05-27T00:00:00"/>
    <x v="872"/>
    <d v="2022-06-05T00:00:00"/>
    <m/>
    <x v="929"/>
    <n v="6"/>
    <n v="2022"/>
    <x v="3"/>
    <x v="9"/>
    <s v="CARTAGENA"/>
    <x v="0"/>
    <s v="TPE"/>
    <x v="2"/>
    <x v="1432"/>
    <d v="2022-05-27T00:00:00"/>
    <s v="HAMMONIA BALTICA"/>
    <x v="402"/>
    <x v="9"/>
    <s v="IAN TAYLOR"/>
    <s v="REALIZADO"/>
    <s v="DESTINO"/>
    <m/>
    <m/>
    <m/>
    <x v="0"/>
    <d v="2022-06-16T00:00:00"/>
    <m/>
    <x v="136"/>
    <x v="65"/>
    <s v="SADA DD"/>
    <s v="VERDE"/>
    <x v="0"/>
    <s v="OK"/>
    <s v="N/A"/>
    <s v="N/A"/>
    <s v="N/A"/>
    <s v="N/A"/>
    <s v="N/A"/>
    <x v="1"/>
    <s v="BL CUENTA CON EMSIÓN EN DESTINO"/>
    <m/>
    <m/>
    <m/>
    <m/>
    <m/>
    <m/>
    <m/>
  </r>
  <r>
    <n v="2022"/>
    <s v="T-S"/>
    <x v="0"/>
    <x v="0"/>
    <s v="URGENTE"/>
    <m/>
    <x v="1972"/>
    <s v="2022-131"/>
    <x v="1675"/>
    <d v="2022-05-17T00:00:00"/>
    <d v="2022-05-27T00:00:00"/>
    <d v="2022-05-30T00:00:00"/>
    <s v="CERRADO"/>
    <n v="208067"/>
    <x v="115"/>
    <x v="53"/>
    <x v="893"/>
    <d v="2022-04-06T00:00:00"/>
    <n v="30"/>
    <s v="días FACT."/>
    <s v="F200-43307"/>
    <d v="2022-05-20T00:00:00"/>
    <d v="2022-06-19T00:00:00"/>
    <s v="PENDIENTE"/>
    <s v="CFR"/>
    <s v="N/A"/>
    <x v="398"/>
    <n v="1050"/>
    <n v="47.18"/>
    <x v="1615"/>
    <x v="33"/>
    <s v="Contenedor 20'"/>
    <m/>
    <s v="25 kg"/>
    <s v="-"/>
    <s v="YARATERA CALCINIT"/>
    <s v="MAYO '22"/>
    <x v="1"/>
    <d v="2022-05-23T00:00:00"/>
    <d v="2022-05-20T00:00:00"/>
    <d v="2022-05-27T00:00:00"/>
    <x v="873"/>
    <d v="2022-05-28T00:00:00"/>
    <d v="2022-05-26T00:00:00"/>
    <x v="931"/>
    <n v="5"/>
    <n v="2022"/>
    <x v="3"/>
    <x v="9"/>
    <s v="CARTAGENA"/>
    <x v="0"/>
    <s v="TPE"/>
    <x v="2"/>
    <x v="1433"/>
    <d v="2022-05-20T00:00:00"/>
    <s v="DIMITRIS C"/>
    <x v="326"/>
    <x v="2"/>
    <s v="TRAMARSA"/>
    <s v="REALIZADO"/>
    <s v="DESTINO"/>
    <m/>
    <m/>
    <m/>
    <x v="10"/>
    <d v="2022-06-07T00:00:00"/>
    <m/>
    <x v="137"/>
    <x v="67"/>
    <s v="SADA DD"/>
    <s v="VERDE"/>
    <x v="0"/>
    <s v="OK"/>
    <s v="N/A"/>
    <s v="N/A"/>
    <s v="N/A"/>
    <s v="N/A"/>
    <s v="N/A"/>
    <x v="1"/>
    <m/>
    <m/>
    <m/>
    <m/>
    <m/>
    <m/>
    <m/>
    <m/>
  </r>
  <r>
    <n v="2022"/>
    <s v="T-S"/>
    <x v="1"/>
    <x v="5"/>
    <s v="URGENTE"/>
    <m/>
    <x v="1973"/>
    <s v="2022-131"/>
    <x v="1676"/>
    <d v="2022-05-17T00:00:00"/>
    <m/>
    <m/>
    <s v="PENDIENTE"/>
    <n v="208067"/>
    <x v="115"/>
    <x v="53"/>
    <x v="894"/>
    <d v="2022-04-06T00:00:00"/>
    <n v="30"/>
    <s v="días FACT."/>
    <s v="F200-43309"/>
    <d v="2022-05-27T00:00:00"/>
    <d v="2022-06-26T00:00:00"/>
    <s v="PENDIENTE"/>
    <s v="CFR"/>
    <s v="N/A"/>
    <x v="136"/>
    <n v="1050"/>
    <n v="44.41"/>
    <x v="1616"/>
    <x v="14"/>
    <s v="Contenedor 20'"/>
    <m/>
    <s v="25 kg"/>
    <s v="-"/>
    <s v="YARATERA CALCINIT"/>
    <s v="MAYO '22"/>
    <x v="1"/>
    <d v="2022-05-23T00:00:00"/>
    <d v="2022-05-29T00:00:00"/>
    <d v="2022-05-27T00:00:00"/>
    <x v="860"/>
    <d v="2022-06-07T00:00:00"/>
    <m/>
    <x v="943"/>
    <n v="6"/>
    <n v="2022"/>
    <x v="3"/>
    <x v="9"/>
    <s v="CARTAGENA"/>
    <x v="2"/>
    <s v="DPWC"/>
    <x v="2"/>
    <x v="1434"/>
    <d v="2022-05-23T00:00:00"/>
    <s v="CARTAGENA EXPRESS"/>
    <x v="39"/>
    <x v="9"/>
    <s v="IAN TAYLOR"/>
    <s v="REALIZADO"/>
    <s v="DESTINO"/>
    <m/>
    <m/>
    <m/>
    <x v="0"/>
    <d v="2022-06-18T00:00:00"/>
    <m/>
    <x v="0"/>
    <x v="0"/>
    <m/>
    <m/>
    <x v="0"/>
    <s v="OK"/>
    <s v="N/A"/>
    <s v="N/A"/>
    <s v="N/A"/>
    <s v="N/A"/>
    <s v="N/A"/>
    <x v="1"/>
    <m/>
    <m/>
    <m/>
    <m/>
    <m/>
    <m/>
    <m/>
    <m/>
  </r>
  <r>
    <n v="2022"/>
    <s v="T-S"/>
    <x v="1"/>
    <x v="5"/>
    <s v="URGENTE"/>
    <m/>
    <x v="1974"/>
    <s v="2022-131"/>
    <x v="1677"/>
    <d v="2022-05-17T00:00:00"/>
    <m/>
    <m/>
    <s v="PENDIENTE"/>
    <n v="208067"/>
    <x v="115"/>
    <x v="53"/>
    <x v="894"/>
    <d v="2022-04-06T00:00:00"/>
    <n v="30"/>
    <s v="días FACT."/>
    <s v="F200-43310"/>
    <d v="2022-05-27T00:00:00"/>
    <d v="2022-06-26T00:00:00"/>
    <s v="PENDIENTE"/>
    <s v="CFR"/>
    <s v="N/A"/>
    <x v="6"/>
    <n v="1050"/>
    <n v="44.41"/>
    <x v="518"/>
    <x v="1"/>
    <s v="Contenedor 20'"/>
    <m/>
    <s v="25 kg"/>
    <s v="-"/>
    <s v="YARATERA CALCINIT"/>
    <s v="MAYO '22"/>
    <x v="1"/>
    <d v="2022-05-23T00:00:00"/>
    <d v="2022-05-29T00:00:00"/>
    <d v="2022-05-27T00:00:00"/>
    <x v="860"/>
    <d v="2022-06-07T00:00:00"/>
    <m/>
    <x v="918"/>
    <n v="6"/>
    <n v="2022"/>
    <x v="3"/>
    <x v="9"/>
    <s v="CARTAGENA"/>
    <x v="2"/>
    <s v="DPWC"/>
    <x v="2"/>
    <x v="1435"/>
    <d v="2022-05-23T00:00:00"/>
    <s v="CARTAGENA EXPRESS"/>
    <x v="39"/>
    <x v="9"/>
    <s v="IAN TAYLOR"/>
    <s v="REALIZADO"/>
    <s v="DESTINO"/>
    <m/>
    <m/>
    <m/>
    <x v="0"/>
    <d v="2022-06-18T00:00:00"/>
    <m/>
    <x v="0"/>
    <x v="0"/>
    <m/>
    <m/>
    <x v="0"/>
    <s v="OK"/>
    <s v="N/A"/>
    <s v="N/A"/>
    <s v="N/A"/>
    <s v="N/A"/>
    <s v="N/A"/>
    <x v="1"/>
    <m/>
    <m/>
    <m/>
    <m/>
    <m/>
    <m/>
    <m/>
    <m/>
  </r>
  <r>
    <n v="2022"/>
    <s v="O-S"/>
    <x v="1"/>
    <x v="3"/>
    <s v="URGENTE"/>
    <m/>
    <x v="1975"/>
    <s v="2022-133"/>
    <x v="1678"/>
    <d v="2022-04-25T00:00:00"/>
    <m/>
    <m/>
    <s v="PENDIENTE"/>
    <n v="203553"/>
    <x v="123"/>
    <x v="53"/>
    <x v="895"/>
    <d v="2022-04-06T00:00:00"/>
    <s v="CAD"/>
    <m/>
    <m/>
    <m/>
    <m/>
    <s v="PENDIENTE"/>
    <s v="CFR"/>
    <s v="N/A"/>
    <x v="206"/>
    <n v="956.1"/>
    <m/>
    <x v="1617"/>
    <x v="7"/>
    <s v="Contenedor 20'"/>
    <m/>
    <s v="Granel Sólido"/>
    <s v="-"/>
    <s v="S/M"/>
    <s v="MAYO '22"/>
    <x v="1"/>
    <d v="2022-05-23T00:00:00"/>
    <d v="2022-06-09T00:00:00"/>
    <d v="2022-06-09T00:00:00"/>
    <x v="864"/>
    <d v="2022-07-03T00:00:00"/>
    <m/>
    <x v="944"/>
    <n v="6"/>
    <n v="2022"/>
    <x v="2"/>
    <x v="13"/>
    <m/>
    <x v="0"/>
    <s v="TPE"/>
    <x v="2"/>
    <x v="29"/>
    <m/>
    <m/>
    <x v="15"/>
    <x v="5"/>
    <m/>
    <s v="PENDIENTE"/>
    <m/>
    <m/>
    <m/>
    <m/>
    <x v="0"/>
    <m/>
    <m/>
    <x v="0"/>
    <x v="0"/>
    <m/>
    <m/>
    <x v="0"/>
    <e v="#REF!"/>
    <s v="N/A"/>
    <s v="N/A"/>
    <s v="N/A"/>
    <s v="N/A"/>
    <s v="N/A"/>
    <x v="1"/>
    <m/>
    <m/>
    <m/>
    <m/>
    <m/>
    <m/>
    <m/>
    <m/>
  </r>
  <r>
    <n v="2022"/>
    <s v="T-S"/>
    <x v="0"/>
    <x v="0"/>
    <s v="URGENTE"/>
    <m/>
    <x v="1976"/>
    <s v="2022-132"/>
    <x v="1679"/>
    <d v="2022-05-11T00:00:00"/>
    <d v="2022-05-26T00:00:00"/>
    <d v="2022-05-26T00:00:00"/>
    <s v="CERRADO"/>
    <n v="208067"/>
    <x v="115"/>
    <x v="53"/>
    <x v="894"/>
    <d v="2022-04-06T00:00:00"/>
    <n v="30"/>
    <s v="días FACT."/>
    <s v="F200-43305"/>
    <d v="2022-05-17T00:00:00"/>
    <d v="2022-06-16T00:00:00"/>
    <s v="PENDIENTE"/>
    <s v="CFR"/>
    <s v="N/A"/>
    <x v="136"/>
    <n v="1050"/>
    <n v="1050"/>
    <x v="1616"/>
    <x v="14"/>
    <s v="Contenedor 20'"/>
    <m/>
    <s v="25 kg"/>
    <s v="-"/>
    <s v="YARATERA CALCINIT"/>
    <s v="MAYO '22"/>
    <x v="1"/>
    <d v="2022-05-23T00:00:00"/>
    <d v="2022-05-13T00:00:00"/>
    <d v="2022-06-03T00:00:00"/>
    <x v="809"/>
    <d v="2022-05-24T00:00:00"/>
    <d v="2022-05-25T00:00:00"/>
    <x v="926"/>
    <n v="5"/>
    <n v="2022"/>
    <x v="3"/>
    <x v="9"/>
    <s v="CARTAGENA"/>
    <x v="2"/>
    <s v="DPWC"/>
    <x v="3"/>
    <x v="1436"/>
    <d v="2022-05-13T00:00:00"/>
    <s v="_x0009_CMA CGM ARKANSAS"/>
    <x v="335"/>
    <x v="9"/>
    <s v="IAN TAYLOR"/>
    <s v="REALIZADO"/>
    <s v="DESTINO"/>
    <m/>
    <m/>
    <m/>
    <x v="3"/>
    <d v="2022-06-04T00:00:00"/>
    <m/>
    <x v="138"/>
    <x v="34"/>
    <s v="SADA PL"/>
    <s v="VERDE"/>
    <x v="0"/>
    <s v="OK"/>
    <s v="N/A"/>
    <s v="N/A"/>
    <s v="N/A"/>
    <s v="N/A"/>
    <s v="N/A"/>
    <x v="1"/>
    <m/>
    <m/>
    <m/>
    <m/>
    <m/>
    <m/>
    <m/>
    <m/>
  </r>
  <r>
    <n v="2022"/>
    <s v="O-S"/>
    <x v="1"/>
    <x v="3"/>
    <s v="URGENTE"/>
    <m/>
    <x v="1977"/>
    <s v="2022-134"/>
    <x v="1680"/>
    <d v="2022-04-25T00:00:00"/>
    <m/>
    <m/>
    <s v="PENDIENTE"/>
    <n v="203553"/>
    <x v="123"/>
    <x v="53"/>
    <x v="896"/>
    <d v="2022-04-06T00:00:00"/>
    <s v="CAD"/>
    <m/>
    <m/>
    <m/>
    <m/>
    <s v="PENDIENTE"/>
    <s v="CFR"/>
    <s v="N/A"/>
    <x v="538"/>
    <n v="956.1"/>
    <m/>
    <x v="1618"/>
    <x v="2"/>
    <s v="Contenedor 20'"/>
    <m/>
    <s v="Granel Sólido"/>
    <s v="-"/>
    <s v="S/M"/>
    <s v="MAYO '22"/>
    <x v="1"/>
    <d v="2022-05-23T00:00:00"/>
    <d v="2022-06-09T00:00:00"/>
    <d v="2022-06-21T00:00:00"/>
    <x v="866"/>
    <d v="2022-07-12T00:00:00"/>
    <m/>
    <x v="878"/>
    <n v="7"/>
    <n v="2022"/>
    <x v="2"/>
    <x v="13"/>
    <m/>
    <x v="2"/>
    <m/>
    <x v="3"/>
    <x v="29"/>
    <m/>
    <m/>
    <x v="15"/>
    <x v="5"/>
    <m/>
    <s v="PENDIENTE"/>
    <m/>
    <m/>
    <m/>
    <m/>
    <x v="0"/>
    <m/>
    <m/>
    <x v="0"/>
    <x v="0"/>
    <m/>
    <m/>
    <x v="0"/>
    <e v="#REF!"/>
    <s v="N/A"/>
    <s v="N/A"/>
    <s v="N/A"/>
    <s v="N/A"/>
    <s v="N/A"/>
    <x v="1"/>
    <m/>
    <m/>
    <m/>
    <m/>
    <m/>
    <m/>
    <m/>
    <m/>
  </r>
  <r>
    <n v="2022"/>
    <s v="T-S"/>
    <x v="0"/>
    <x v="1"/>
    <s v="N/A"/>
    <m/>
    <x v="1978"/>
    <m/>
    <x v="34"/>
    <m/>
    <m/>
    <m/>
    <m/>
    <m/>
    <x v="121"/>
    <x v="53"/>
    <x v="16"/>
    <m/>
    <m/>
    <m/>
    <m/>
    <m/>
    <m/>
    <m/>
    <m/>
    <m/>
    <x v="29"/>
    <m/>
    <m/>
    <x v="1482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m/>
    <m/>
    <m/>
    <m/>
    <m/>
    <m/>
    <m/>
    <m/>
  </r>
  <r>
    <n v="2022"/>
    <s v="S-S"/>
    <x v="1"/>
    <x v="3"/>
    <s v="URGENTE"/>
    <m/>
    <x v="1979"/>
    <s v="2022-126"/>
    <x v="1681"/>
    <d v="2022-04-27T00:00:00"/>
    <m/>
    <m/>
    <s v="PENDIENTE"/>
    <n v="207579"/>
    <x v="9"/>
    <x v="19"/>
    <x v="897"/>
    <d v="2022-04-12T00:00:00"/>
    <n v="90"/>
    <s v="días BL"/>
    <m/>
    <m/>
    <m/>
    <s v="PENDIENTE"/>
    <s v="CFR"/>
    <s v="FILO"/>
    <x v="94"/>
    <n v="464"/>
    <m/>
    <x v="1619"/>
    <x v="3"/>
    <s v="Granel - BB"/>
    <m/>
    <s v="25 kg"/>
    <n v="1.25"/>
    <s v="ROMERO FERTILIZANTES"/>
    <s v="MAYO '22"/>
    <x v="1"/>
    <d v="2022-06-06T00:00:00"/>
    <d v="2022-07-29T00:00:00"/>
    <d v="2022-09-13T00:00:00"/>
    <x v="838"/>
    <d v="2022-09-23T00:00:00"/>
    <m/>
    <x v="945"/>
    <n v="9"/>
    <n v="2022"/>
    <x v="2"/>
    <x v="1"/>
    <s v="TIANJIN"/>
    <x v="2"/>
    <m/>
    <x v="3"/>
    <x v="29"/>
    <m/>
    <m/>
    <x v="15"/>
    <x v="0"/>
    <m/>
    <s v="PENDIENTE"/>
    <m/>
    <m/>
    <m/>
    <m/>
    <x v="0"/>
    <m/>
    <m/>
    <x v="0"/>
    <x v="0"/>
    <m/>
    <m/>
    <x v="0"/>
    <e v="#REF!"/>
    <m/>
    <m/>
    <m/>
    <m/>
    <m/>
    <x v="0"/>
    <s v="EXPLOSIÓN EN FÁBRICA"/>
    <s v="FACTORES DE FUERZA MAYOR"/>
    <m/>
    <m/>
    <m/>
    <m/>
    <m/>
    <m/>
  </r>
  <r>
    <n v="2022"/>
    <s v="G-S"/>
    <x v="1"/>
    <x v="3"/>
    <s v="NORMAL"/>
    <m/>
    <x v="1980"/>
    <s v=" 2021-128"/>
    <x v="1682"/>
    <d v="2022-04-27T00:00:00"/>
    <m/>
    <m/>
    <s v="PENDIENTE"/>
    <n v="203747"/>
    <x v="1"/>
    <x v="51"/>
    <x v="898"/>
    <d v="2022-04-11T00:00:00"/>
    <s v="CAD"/>
    <m/>
    <m/>
    <m/>
    <m/>
    <s v="PENDIENTE"/>
    <s v="FOB"/>
    <m/>
    <x v="70"/>
    <n v="1069"/>
    <m/>
    <x v="1620"/>
    <x v="57"/>
    <s v="Granel - BB"/>
    <m/>
    <s v="BB - Granel"/>
    <n v="1.25"/>
    <s v="-"/>
    <s v="JUNIO - 2H JULIO '22"/>
    <x v="1"/>
    <d v="2022-06-20T00:00:00"/>
    <d v="2022-07-10T00:00:00"/>
    <d v="2022-08-05T00:00:00"/>
    <x v="868"/>
    <d v="2022-08-27T00:00:00"/>
    <m/>
    <x v="939"/>
    <n v="8"/>
    <n v="2022"/>
    <x v="2"/>
    <x v="6"/>
    <m/>
    <x v="1"/>
    <s v="STI"/>
    <x v="2"/>
    <x v="29"/>
    <m/>
    <m/>
    <x v="15"/>
    <x v="5"/>
    <m/>
    <s v="PENDIENTE"/>
    <m/>
    <m/>
    <m/>
    <m/>
    <x v="0"/>
    <m/>
    <m/>
    <x v="0"/>
    <x v="0"/>
    <m/>
    <m/>
    <x v="0"/>
    <e v="#REF!"/>
    <m/>
    <m/>
    <m/>
    <m/>
    <m/>
    <x v="0"/>
    <m/>
    <m/>
    <m/>
    <m/>
    <m/>
    <m/>
    <m/>
    <m/>
  </r>
  <r>
    <n v="2022"/>
    <s v="E-S"/>
    <x v="1"/>
    <x v="3"/>
    <s v="NORMAL"/>
    <m/>
    <x v="1981"/>
    <s v="2022-130"/>
    <x v="1683"/>
    <d v="2022-04-26T00:00:00"/>
    <m/>
    <m/>
    <s v="PENDIENTE"/>
    <n v="203575"/>
    <x v="48"/>
    <x v="25"/>
    <x v="899"/>
    <d v="2022-04-11T00:00:00"/>
    <s v="CAD"/>
    <m/>
    <m/>
    <m/>
    <m/>
    <s v="PENDIENTE"/>
    <s v="CFR"/>
    <s v="FILO"/>
    <x v="42"/>
    <n v="948"/>
    <m/>
    <x v="1621"/>
    <x v="3"/>
    <s v="Granel"/>
    <m/>
    <s v="BB - Granel"/>
    <n v="1"/>
    <m/>
    <s v="2 H MAYO - 1H JUNIO '22"/>
    <x v="1"/>
    <d v="2022-06-03T00:00:00"/>
    <d v="2022-06-03T00:00:00"/>
    <d v="2022-07-22T00:00:00"/>
    <x v="845"/>
    <d v="2022-07-22T00:00:00"/>
    <m/>
    <x v="946"/>
    <n v="7"/>
    <n v="2022"/>
    <x v="2"/>
    <x v="1"/>
    <m/>
    <x v="2"/>
    <m/>
    <x v="3"/>
    <x v="29"/>
    <m/>
    <s v="TAI SUMMIT"/>
    <x v="15"/>
    <x v="5"/>
    <m/>
    <s v="PENDIENTE"/>
    <m/>
    <m/>
    <m/>
    <m/>
    <x v="0"/>
    <m/>
    <m/>
    <x v="0"/>
    <x v="0"/>
    <m/>
    <m/>
    <x v="0"/>
    <e v="#REF!"/>
    <m/>
    <m/>
    <m/>
    <m/>
    <m/>
    <x v="0"/>
    <m/>
    <m/>
    <m/>
    <m/>
    <m/>
    <m/>
    <m/>
    <m/>
  </r>
  <r>
    <n v="2022"/>
    <s v="S-S"/>
    <x v="1"/>
    <x v="3"/>
    <s v="URGENTE"/>
    <m/>
    <x v="1982"/>
    <s v="2022-87"/>
    <x v="1684"/>
    <d v="2022-04-26T00:00:00"/>
    <m/>
    <m/>
    <s v="PENDIENTE"/>
    <n v="209371"/>
    <x v="164"/>
    <x v="25"/>
    <x v="899"/>
    <d v="2022-04-11T00:00:00"/>
    <s v="CAD"/>
    <m/>
    <m/>
    <m/>
    <m/>
    <s v="PENDIENTE"/>
    <s v="CFR"/>
    <s v="FIO"/>
    <x v="682"/>
    <n v="1166"/>
    <m/>
    <x v="1622"/>
    <x v="3"/>
    <s v="Granel"/>
    <m/>
    <s v="Granel Sólido"/>
    <m/>
    <m/>
    <s v="2 H MAYO - 1H JUNIO '22"/>
    <x v="1"/>
    <d v="2022-06-03T00:00:00"/>
    <d v="2022-06-03T00:00:00"/>
    <d v="2022-07-22T00:00:00"/>
    <x v="874"/>
    <d v="2022-07-24T00:00:00"/>
    <m/>
    <x v="947"/>
    <n v="7"/>
    <n v="2022"/>
    <x v="2"/>
    <x v="1"/>
    <m/>
    <x v="4"/>
    <s v="TISUR"/>
    <x v="2"/>
    <x v="29"/>
    <m/>
    <s v="TAI SUMMIT"/>
    <x v="15"/>
    <x v="5"/>
    <m/>
    <s v="PENDIENTE"/>
    <m/>
    <m/>
    <m/>
    <m/>
    <x v="0"/>
    <m/>
    <m/>
    <x v="0"/>
    <x v="0"/>
    <m/>
    <m/>
    <x v="0"/>
    <e v="#REF!"/>
    <m/>
    <m/>
    <m/>
    <m/>
    <m/>
    <x v="0"/>
    <m/>
    <m/>
    <m/>
    <m/>
    <m/>
    <m/>
    <m/>
    <m/>
  </r>
  <r>
    <n v="2022"/>
    <s v="T-S"/>
    <x v="1"/>
    <x v="3"/>
    <s v="URGENTE"/>
    <m/>
    <x v="1983"/>
    <m/>
    <x v="1685"/>
    <d v="2022-04-26T00:00:00"/>
    <m/>
    <m/>
    <s v="PENDIENTE"/>
    <n v="203616"/>
    <x v="165"/>
    <x v="25"/>
    <x v="899"/>
    <d v="2022-04-12T00:00:00"/>
    <s v="CAD"/>
    <m/>
    <m/>
    <m/>
    <m/>
    <s v="PENDIENTE"/>
    <s v="CFR"/>
    <s v="FIO"/>
    <x v="51"/>
    <n v="451"/>
    <m/>
    <x v="1623"/>
    <x v="3"/>
    <s v="Granel"/>
    <m/>
    <s v="Granel Sólido"/>
    <m/>
    <m/>
    <s v="2 H MAYO - 1H JUNIO '22"/>
    <x v="1"/>
    <d v="2022-06-03T00:00:00"/>
    <d v="2022-06-03T00:00:00"/>
    <d v="2022-07-12T00:00:00"/>
    <x v="875"/>
    <d v="2022-07-15T00:00:00"/>
    <m/>
    <x v="909"/>
    <n v="7"/>
    <n v="2022"/>
    <x v="2"/>
    <x v="1"/>
    <m/>
    <x v="0"/>
    <s v="TPE"/>
    <x v="2"/>
    <x v="29"/>
    <m/>
    <s v="TAI SUMMIT"/>
    <x v="15"/>
    <x v="5"/>
    <m/>
    <s v="PENDIENTE"/>
    <m/>
    <m/>
    <m/>
    <m/>
    <x v="0"/>
    <m/>
    <m/>
    <x v="0"/>
    <x v="0"/>
    <m/>
    <m/>
    <x v="0"/>
    <e v="#REF!"/>
    <m/>
    <m/>
    <m/>
    <m/>
    <m/>
    <x v="0"/>
    <m/>
    <m/>
    <m/>
    <m/>
    <m/>
    <m/>
    <m/>
    <m/>
  </r>
  <r>
    <n v="2022"/>
    <s v="T-S"/>
    <x v="1"/>
    <x v="3"/>
    <s v="URGENTE"/>
    <m/>
    <x v="1984"/>
    <m/>
    <x v="34"/>
    <m/>
    <m/>
    <m/>
    <s v="PENDIENTE"/>
    <n v="203616"/>
    <x v="166"/>
    <x v="25"/>
    <x v="899"/>
    <d v="2022-04-12T00:00:00"/>
    <n v="150"/>
    <s v="dias BL"/>
    <m/>
    <m/>
    <m/>
    <s v="PENDIENTE"/>
    <s v="CFR"/>
    <s v="FIO"/>
    <x v="527"/>
    <n v="458.23"/>
    <m/>
    <x v="1624"/>
    <x v="3"/>
    <s v="Granel"/>
    <m/>
    <s v="Granel Sólido"/>
    <m/>
    <m/>
    <s v="2 H MAYO - 1H JUNIO '22"/>
    <x v="1"/>
    <d v="2022-06-03T00:00:00"/>
    <d v="2022-06-03T00:00:00"/>
    <d v="2022-07-12T00:00:00"/>
    <x v="876"/>
    <d v="2022-07-18T00:00:00"/>
    <m/>
    <x v="948"/>
    <n v="7"/>
    <n v="2022"/>
    <x v="2"/>
    <x v="1"/>
    <m/>
    <x v="1"/>
    <s v="STI"/>
    <x v="2"/>
    <x v="29"/>
    <m/>
    <s v="TAI SUMMIT"/>
    <x v="15"/>
    <x v="5"/>
    <m/>
    <s v="PENDIENTE"/>
    <m/>
    <m/>
    <m/>
    <m/>
    <x v="0"/>
    <m/>
    <m/>
    <x v="0"/>
    <x v="0"/>
    <m/>
    <m/>
    <x v="0"/>
    <e v="#REF!"/>
    <m/>
    <m/>
    <m/>
    <m/>
    <m/>
    <x v="0"/>
    <m/>
    <m/>
    <m/>
    <m/>
    <m/>
    <m/>
    <m/>
    <m/>
  </r>
  <r>
    <n v="2022"/>
    <s v="T-S"/>
    <x v="1"/>
    <x v="3"/>
    <s v="URGENTE"/>
    <m/>
    <x v="1985"/>
    <m/>
    <x v="34"/>
    <m/>
    <m/>
    <m/>
    <s v="PENDIENTE"/>
    <n v="203616"/>
    <x v="165"/>
    <x v="25"/>
    <x v="899"/>
    <d v="2022-04-12T00:00:00"/>
    <s v="CAD"/>
    <m/>
    <m/>
    <m/>
    <m/>
    <s v="PENDIENTE"/>
    <s v="CFR"/>
    <s v="FIO"/>
    <x v="138"/>
    <n v="451"/>
    <m/>
    <x v="1625"/>
    <x v="3"/>
    <s v="Granel"/>
    <m/>
    <s v="Granel Sólido"/>
    <m/>
    <m/>
    <s v="2 H MAYO - 1H JUNIO '22"/>
    <x v="1"/>
    <d v="2022-06-03T00:00:00"/>
    <d v="2022-06-03T00:00:00"/>
    <d v="2022-07-12T00:00:00"/>
    <x v="845"/>
    <d v="2022-07-22T00:00:00"/>
    <m/>
    <x v="887"/>
    <n v="7"/>
    <n v="2022"/>
    <x v="2"/>
    <x v="1"/>
    <m/>
    <x v="2"/>
    <m/>
    <x v="3"/>
    <x v="29"/>
    <m/>
    <s v="TAI SUMMIT"/>
    <x v="15"/>
    <x v="5"/>
    <m/>
    <s v="PENDIENTE"/>
    <m/>
    <m/>
    <m/>
    <m/>
    <x v="0"/>
    <m/>
    <m/>
    <x v="0"/>
    <x v="0"/>
    <m/>
    <m/>
    <x v="0"/>
    <e v="#REF!"/>
    <m/>
    <m/>
    <m/>
    <m/>
    <m/>
    <x v="0"/>
    <m/>
    <m/>
    <m/>
    <m/>
    <m/>
    <m/>
    <m/>
    <m/>
  </r>
  <r>
    <n v="2022"/>
    <s v="T-S"/>
    <x v="1"/>
    <x v="3"/>
    <s v="URGENTE"/>
    <m/>
    <x v="1986"/>
    <m/>
    <x v="34"/>
    <m/>
    <m/>
    <m/>
    <s v="PENDIENTE"/>
    <n v="203616"/>
    <x v="165"/>
    <x v="25"/>
    <x v="899"/>
    <d v="2022-04-12T00:00:00"/>
    <s v="CAD"/>
    <m/>
    <m/>
    <m/>
    <m/>
    <s v="PENDIENTE"/>
    <s v="CFR"/>
    <s v="FIO"/>
    <x v="7"/>
    <n v="451"/>
    <m/>
    <x v="356"/>
    <x v="3"/>
    <s v="Granel"/>
    <m/>
    <s v="Granel Sólido"/>
    <m/>
    <m/>
    <s v="2 H MAYO - 1H JUNIO '22"/>
    <x v="1"/>
    <d v="2022-06-03T00:00:00"/>
    <d v="2022-06-03T00:00:00"/>
    <d v="2022-07-12T00:00:00"/>
    <x v="874"/>
    <d v="2022-07-24T00:00:00"/>
    <m/>
    <x v="949"/>
    <n v="7"/>
    <n v="2022"/>
    <x v="2"/>
    <x v="1"/>
    <m/>
    <x v="4"/>
    <s v="TISUR"/>
    <x v="2"/>
    <x v="29"/>
    <m/>
    <s v="TAI SUMMIT"/>
    <x v="15"/>
    <x v="5"/>
    <m/>
    <s v="PENDIENTE"/>
    <m/>
    <m/>
    <m/>
    <m/>
    <x v="0"/>
    <m/>
    <m/>
    <x v="0"/>
    <x v="0"/>
    <m/>
    <m/>
    <x v="0"/>
    <e v="#REF!"/>
    <m/>
    <m/>
    <m/>
    <m/>
    <m/>
    <x v="0"/>
    <m/>
    <m/>
    <m/>
    <m/>
    <m/>
    <m/>
    <m/>
    <m/>
  </r>
  <r>
    <n v="2022"/>
    <s v="T-S"/>
    <x v="1"/>
    <x v="1"/>
    <s v="URGENTE"/>
    <m/>
    <x v="1987"/>
    <m/>
    <x v="1686"/>
    <m/>
    <m/>
    <m/>
    <m/>
    <m/>
    <x v="47"/>
    <x v="25"/>
    <x v="899"/>
    <d v="2022-04-12T00:00:00"/>
    <s v="CAD"/>
    <m/>
    <m/>
    <m/>
    <m/>
    <s v="PENDIENTE"/>
    <s v="CFR"/>
    <s v="FIO"/>
    <x v="12"/>
    <n v="509"/>
    <m/>
    <x v="1626"/>
    <x v="3"/>
    <s v="Granel"/>
    <m/>
    <s v="Granel Sólido"/>
    <m/>
    <m/>
    <s v="2 H MAYO - 1H JUNIO '22"/>
    <x v="1"/>
    <d v="2022-05-27T00:00:00"/>
    <d v="2022-06-06T00:00:00"/>
    <d v="2022-07-12T00:00:00"/>
    <x v="876"/>
    <d v="2022-07-18T00:00:00"/>
    <m/>
    <x v="950"/>
    <n v="7"/>
    <n v="2022"/>
    <x v="2"/>
    <x v="1"/>
    <m/>
    <x v="0"/>
    <s v="TPE"/>
    <x v="2"/>
    <x v="29"/>
    <m/>
    <m/>
    <x v="15"/>
    <x v="5"/>
    <m/>
    <s v="PENDIENTE"/>
    <m/>
    <m/>
    <m/>
    <m/>
    <x v="0"/>
    <m/>
    <m/>
    <x v="0"/>
    <x v="0"/>
    <m/>
    <m/>
    <x v="0"/>
    <e v="#REF!"/>
    <m/>
    <m/>
    <m/>
    <m/>
    <m/>
    <x v="0"/>
    <m/>
    <m/>
    <m/>
    <m/>
    <m/>
    <m/>
    <m/>
    <m/>
  </r>
  <r>
    <n v="2022"/>
    <s v="T-S"/>
    <x v="1"/>
    <x v="1"/>
    <s v="URGENTE"/>
    <m/>
    <x v="1988"/>
    <m/>
    <x v="34"/>
    <m/>
    <m/>
    <m/>
    <m/>
    <m/>
    <x v="47"/>
    <x v="25"/>
    <x v="899"/>
    <d v="2022-04-12T00:00:00"/>
    <s v="CAD"/>
    <m/>
    <m/>
    <m/>
    <m/>
    <s v="PENDIENTE"/>
    <s v="CFR"/>
    <s v="FIO"/>
    <x v="8"/>
    <n v="509"/>
    <m/>
    <x v="1627"/>
    <x v="3"/>
    <s v="Granel"/>
    <m/>
    <s v="Granel Sólido"/>
    <m/>
    <m/>
    <s v="2 H MAYO - 1H JUNIO '22"/>
    <x v="1"/>
    <d v="2022-05-27T00:00:00"/>
    <d v="2022-06-06T00:00:00"/>
    <d v="2022-07-12T00:00:00"/>
    <x v="845"/>
    <d v="2022-07-21T00:00:00"/>
    <m/>
    <x v="853"/>
    <n v="7"/>
    <n v="2022"/>
    <x v="2"/>
    <x v="1"/>
    <m/>
    <x v="1"/>
    <s v="STI"/>
    <x v="2"/>
    <x v="29"/>
    <m/>
    <m/>
    <x v="15"/>
    <x v="5"/>
    <m/>
    <s v="PENDIENTE"/>
    <m/>
    <m/>
    <m/>
    <m/>
    <x v="0"/>
    <m/>
    <m/>
    <x v="0"/>
    <x v="0"/>
    <m/>
    <m/>
    <x v="0"/>
    <e v="#REF!"/>
    <m/>
    <m/>
    <m/>
    <m/>
    <m/>
    <x v="0"/>
    <m/>
    <m/>
    <m/>
    <m/>
    <m/>
    <m/>
    <m/>
    <m/>
  </r>
  <r>
    <n v="2022"/>
    <s v="T-S"/>
    <x v="1"/>
    <x v="1"/>
    <s v="URGENTE"/>
    <m/>
    <x v="1989"/>
    <m/>
    <x v="34"/>
    <m/>
    <m/>
    <m/>
    <m/>
    <m/>
    <x v="47"/>
    <x v="25"/>
    <x v="899"/>
    <d v="2022-04-12T00:00:00"/>
    <s v="CAD"/>
    <m/>
    <m/>
    <m/>
    <m/>
    <s v="PENDIENTE"/>
    <s v="CFR"/>
    <s v="FIO"/>
    <x v="10"/>
    <n v="509"/>
    <m/>
    <x v="1628"/>
    <x v="3"/>
    <s v="Granel"/>
    <m/>
    <s v="Granel Sólido"/>
    <m/>
    <m/>
    <s v="2 H MAYO - 1H JUNIO '22"/>
    <x v="1"/>
    <d v="2022-05-27T00:00:00"/>
    <d v="2022-06-06T00:00:00"/>
    <d v="2022-07-12T00:00:00"/>
    <x v="877"/>
    <d v="2022-07-23T00:00:00"/>
    <m/>
    <x v="949"/>
    <n v="7"/>
    <n v="2022"/>
    <x v="2"/>
    <x v="1"/>
    <m/>
    <x v="2"/>
    <m/>
    <x v="3"/>
    <x v="29"/>
    <m/>
    <m/>
    <x v="15"/>
    <x v="5"/>
    <m/>
    <s v="PENDIENTE"/>
    <m/>
    <m/>
    <m/>
    <m/>
    <x v="0"/>
    <m/>
    <m/>
    <x v="0"/>
    <x v="0"/>
    <m/>
    <m/>
    <x v="0"/>
    <e v="#REF!"/>
    <m/>
    <m/>
    <m/>
    <m/>
    <m/>
    <x v="0"/>
    <m/>
    <m/>
    <m/>
    <m/>
    <m/>
    <m/>
    <m/>
    <m/>
  </r>
  <r>
    <n v="2022"/>
    <s v="T-S"/>
    <x v="1"/>
    <x v="1"/>
    <s v="URGENTE"/>
    <m/>
    <x v="1990"/>
    <m/>
    <x v="34"/>
    <m/>
    <m/>
    <m/>
    <m/>
    <m/>
    <x v="47"/>
    <x v="25"/>
    <x v="899"/>
    <d v="2022-04-12T00:00:00"/>
    <s v="CAD"/>
    <m/>
    <m/>
    <m/>
    <m/>
    <s v="PENDIENTE"/>
    <s v="CFR"/>
    <s v="FIO"/>
    <x v="70"/>
    <n v="509"/>
    <m/>
    <x v="1629"/>
    <x v="3"/>
    <s v="Granel"/>
    <m/>
    <s v="Granel Sólido"/>
    <m/>
    <m/>
    <s v="2 H MAYO - 1H JUNIO '22"/>
    <x v="1"/>
    <d v="2022-05-27T00:00:00"/>
    <d v="2022-06-06T00:00:00"/>
    <d v="2022-07-12T00:00:00"/>
    <x v="878"/>
    <d v="2022-07-25T00:00:00"/>
    <m/>
    <x v="872"/>
    <n v="8"/>
    <n v="2022"/>
    <x v="2"/>
    <x v="1"/>
    <m/>
    <x v="4"/>
    <s v="TISUR"/>
    <x v="2"/>
    <x v="29"/>
    <m/>
    <m/>
    <x v="15"/>
    <x v="5"/>
    <m/>
    <s v="PENDIENTE"/>
    <m/>
    <m/>
    <m/>
    <m/>
    <x v="0"/>
    <m/>
    <m/>
    <x v="0"/>
    <x v="0"/>
    <m/>
    <m/>
    <x v="0"/>
    <e v="#REF!"/>
    <m/>
    <m/>
    <m/>
    <m/>
    <m/>
    <x v="0"/>
    <m/>
    <m/>
    <m/>
    <m/>
    <m/>
    <m/>
    <m/>
    <m/>
  </r>
  <r>
    <n v="2022"/>
    <s v="G-S"/>
    <x v="1"/>
    <x v="3"/>
    <s v="NORMAL"/>
    <m/>
    <x v="1991"/>
    <s v="2022-87"/>
    <x v="34"/>
    <m/>
    <m/>
    <m/>
    <s v="PENDIENTE"/>
    <n v="206569"/>
    <x v="167"/>
    <x v="25"/>
    <x v="899"/>
    <d v="2022-04-12T00:00:00"/>
    <n v="150"/>
    <s v="dias BL"/>
    <m/>
    <m/>
    <m/>
    <s v="PENDIENTE"/>
    <s v="CFR"/>
    <s v="FIO"/>
    <x v="1"/>
    <n v="1197.9100000000001"/>
    <m/>
    <x v="1630"/>
    <x v="3"/>
    <s v="Granel"/>
    <m/>
    <s v="Granel Sólido"/>
    <m/>
    <m/>
    <s v="2 H MAYO - 1H JUNIO '22"/>
    <x v="1"/>
    <d v="2022-06-03T00:00:00"/>
    <d v="2022-06-03T00:00:00"/>
    <d v="2022-07-12T00:00:00"/>
    <x v="875"/>
    <d v="2022-07-15T00:00:00"/>
    <m/>
    <x v="909"/>
    <n v="7"/>
    <n v="2022"/>
    <x v="2"/>
    <x v="1"/>
    <m/>
    <x v="0"/>
    <s v="TPE"/>
    <x v="2"/>
    <x v="29"/>
    <m/>
    <s v="TAI SUMMIT"/>
    <x v="15"/>
    <x v="5"/>
    <m/>
    <s v="PENDIENTE"/>
    <m/>
    <m/>
    <m/>
    <m/>
    <x v="0"/>
    <m/>
    <m/>
    <x v="0"/>
    <x v="0"/>
    <m/>
    <m/>
    <x v="0"/>
    <e v="#REF!"/>
    <m/>
    <m/>
    <m/>
    <m/>
    <m/>
    <x v="0"/>
    <m/>
    <m/>
    <m/>
    <m/>
    <m/>
    <m/>
    <m/>
    <m/>
  </r>
  <r>
    <n v="2022"/>
    <s v="G-S"/>
    <x v="1"/>
    <x v="3"/>
    <s v="NORMAL"/>
    <m/>
    <x v="1992"/>
    <s v="2022-87"/>
    <x v="34"/>
    <m/>
    <m/>
    <m/>
    <s v="PENDIENTE"/>
    <n v="206569"/>
    <x v="167"/>
    <x v="25"/>
    <x v="899"/>
    <d v="2022-04-12T00:00:00"/>
    <n v="150"/>
    <s v="dias BL"/>
    <m/>
    <m/>
    <m/>
    <s v="PENDIENTE"/>
    <s v="CFR"/>
    <s v="FIO"/>
    <x v="100"/>
    <n v="1197.9100000000001"/>
    <m/>
    <x v="1631"/>
    <x v="3"/>
    <s v="Granel"/>
    <m/>
    <s v="Granel Sólido"/>
    <m/>
    <m/>
    <s v="2 H MAYO - 1H JUNIO '22"/>
    <x v="1"/>
    <d v="2022-06-03T00:00:00"/>
    <d v="2022-06-03T00:00:00"/>
    <d v="2022-07-12T00:00:00"/>
    <x v="876"/>
    <d v="2022-07-18T00:00:00"/>
    <m/>
    <x v="948"/>
    <n v="7"/>
    <n v="2022"/>
    <x v="2"/>
    <x v="1"/>
    <m/>
    <x v="1"/>
    <s v="STI"/>
    <x v="2"/>
    <x v="29"/>
    <m/>
    <s v="TAI SUMMIT"/>
    <x v="15"/>
    <x v="5"/>
    <m/>
    <s v="PENDIENTE"/>
    <m/>
    <m/>
    <m/>
    <m/>
    <x v="0"/>
    <m/>
    <m/>
    <x v="0"/>
    <x v="0"/>
    <m/>
    <m/>
    <x v="0"/>
    <e v="#REF!"/>
    <m/>
    <m/>
    <m/>
    <m/>
    <m/>
    <x v="0"/>
    <m/>
    <m/>
    <m/>
    <m/>
    <m/>
    <m/>
    <m/>
    <m/>
  </r>
  <r>
    <n v="2022"/>
    <s v="G-S"/>
    <x v="1"/>
    <x v="3"/>
    <s v="NORMAL"/>
    <m/>
    <x v="1993"/>
    <s v="2022-87"/>
    <x v="34"/>
    <m/>
    <m/>
    <m/>
    <s v="PENDIENTE"/>
    <n v="206569"/>
    <x v="167"/>
    <x v="25"/>
    <x v="899"/>
    <d v="2022-04-12T00:00:00"/>
    <n v="150"/>
    <s v="dias BL"/>
    <m/>
    <m/>
    <m/>
    <s v="PENDIENTE"/>
    <s v="CFR"/>
    <s v="FIO"/>
    <x v="212"/>
    <n v="1197.9100000000001"/>
    <m/>
    <x v="1632"/>
    <x v="3"/>
    <s v="Granel"/>
    <m/>
    <s v="Granel Sólido"/>
    <m/>
    <m/>
    <s v="2 H MAYO - 1H JUNIO '22"/>
    <x v="1"/>
    <d v="2022-06-03T00:00:00"/>
    <d v="2022-06-03T00:00:00"/>
    <d v="2022-07-12T00:00:00"/>
    <x v="845"/>
    <d v="2022-07-22T00:00:00"/>
    <m/>
    <x v="885"/>
    <n v="7"/>
    <n v="2022"/>
    <x v="2"/>
    <x v="1"/>
    <m/>
    <x v="2"/>
    <m/>
    <x v="3"/>
    <x v="29"/>
    <m/>
    <s v="TAI SUMMIT"/>
    <x v="15"/>
    <x v="5"/>
    <m/>
    <s v="PENDIENTE"/>
    <m/>
    <m/>
    <m/>
    <m/>
    <x v="0"/>
    <m/>
    <m/>
    <x v="0"/>
    <x v="0"/>
    <m/>
    <m/>
    <x v="0"/>
    <e v="#REF!"/>
    <m/>
    <m/>
    <m/>
    <m/>
    <m/>
    <x v="0"/>
    <m/>
    <m/>
    <m/>
    <m/>
    <m/>
    <m/>
    <m/>
    <m/>
  </r>
  <r>
    <n v="2022"/>
    <s v="G-S"/>
    <x v="1"/>
    <x v="3"/>
    <s v="NORMAL"/>
    <m/>
    <x v="1994"/>
    <s v="2022-87"/>
    <x v="1687"/>
    <d v="2022-04-26T00:00:00"/>
    <m/>
    <m/>
    <s v="PENDIENTE"/>
    <n v="206569"/>
    <x v="167"/>
    <x v="25"/>
    <x v="899"/>
    <d v="2022-04-12T00:00:00"/>
    <n v="150"/>
    <s v="dias BL"/>
    <m/>
    <m/>
    <m/>
    <s v="PENDIENTE"/>
    <s v="CFR"/>
    <s v="FIO"/>
    <x v="683"/>
    <n v="1197.9100000000001"/>
    <m/>
    <x v="1633"/>
    <x v="3"/>
    <s v="Granel"/>
    <m/>
    <s v="Granel Sólido"/>
    <m/>
    <m/>
    <s v="2 H MAYO - 1H JUNIO '22"/>
    <x v="1"/>
    <d v="2022-06-03T00:00:00"/>
    <d v="2022-06-03T00:00:00"/>
    <d v="2022-07-12T00:00:00"/>
    <x v="874"/>
    <d v="2022-07-24T00:00:00"/>
    <m/>
    <x v="949"/>
    <n v="7"/>
    <n v="2022"/>
    <x v="2"/>
    <x v="1"/>
    <m/>
    <x v="4"/>
    <s v="TISUR"/>
    <x v="2"/>
    <x v="29"/>
    <m/>
    <s v="TAI SUMMIT"/>
    <x v="15"/>
    <x v="5"/>
    <m/>
    <s v="PENDIENTE"/>
    <m/>
    <m/>
    <m/>
    <m/>
    <x v="0"/>
    <m/>
    <m/>
    <x v="0"/>
    <x v="0"/>
    <m/>
    <m/>
    <x v="0"/>
    <e v="#REF!"/>
    <m/>
    <m/>
    <m/>
    <m/>
    <m/>
    <x v="0"/>
    <m/>
    <m/>
    <m/>
    <m/>
    <m/>
    <m/>
    <m/>
    <m/>
  </r>
  <r>
    <n v="2022"/>
    <s v="S-P"/>
    <x v="1"/>
    <x v="1"/>
    <s v="URGENTE"/>
    <m/>
    <x v="1995"/>
    <m/>
    <x v="34"/>
    <m/>
    <m/>
    <m/>
    <m/>
    <m/>
    <x v="10"/>
    <x v="68"/>
    <x v="16"/>
    <m/>
    <m/>
    <m/>
    <m/>
    <m/>
    <m/>
    <m/>
    <m/>
    <m/>
    <x v="29"/>
    <m/>
    <m/>
    <x v="1482"/>
    <x v="3"/>
    <m/>
    <m/>
    <m/>
    <m/>
    <m/>
    <m/>
    <x v="0"/>
    <m/>
    <m/>
    <m/>
    <x v="22"/>
    <m/>
    <m/>
    <x v="23"/>
    <m/>
    <m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s v="ANULAR OC: 8000001922, 8000001924"/>
    <m/>
    <m/>
    <m/>
    <m/>
    <m/>
    <m/>
    <m/>
  </r>
  <r>
    <n v="2022"/>
    <s v="S-P"/>
    <x v="1"/>
    <x v="1"/>
    <s v="URGENTE"/>
    <m/>
    <x v="1996"/>
    <m/>
    <x v="34"/>
    <m/>
    <m/>
    <m/>
    <m/>
    <m/>
    <x v="10"/>
    <x v="68"/>
    <x v="16"/>
    <m/>
    <m/>
    <m/>
    <m/>
    <m/>
    <m/>
    <m/>
    <m/>
    <m/>
    <x v="29"/>
    <m/>
    <m/>
    <x v="1482"/>
    <x v="3"/>
    <m/>
    <m/>
    <m/>
    <m/>
    <m/>
    <m/>
    <x v="0"/>
    <m/>
    <m/>
    <m/>
    <x v="22"/>
    <m/>
    <m/>
    <x v="23"/>
    <m/>
    <m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s v="ANULACION OC:8000001923"/>
    <m/>
    <m/>
    <m/>
    <m/>
    <m/>
    <m/>
    <m/>
  </r>
  <r>
    <n v="2022"/>
    <s v="S-P"/>
    <x v="1"/>
    <x v="1"/>
    <s v="URGENTE"/>
    <m/>
    <x v="1997"/>
    <m/>
    <x v="34"/>
    <m/>
    <m/>
    <m/>
    <m/>
    <m/>
    <x v="10"/>
    <x v="68"/>
    <x v="16"/>
    <m/>
    <m/>
    <m/>
    <m/>
    <m/>
    <m/>
    <m/>
    <m/>
    <m/>
    <x v="29"/>
    <m/>
    <m/>
    <x v="1482"/>
    <x v="3"/>
    <m/>
    <m/>
    <m/>
    <m/>
    <m/>
    <m/>
    <x v="0"/>
    <m/>
    <m/>
    <m/>
    <x v="22"/>
    <m/>
    <m/>
    <x v="23"/>
    <m/>
    <m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m/>
    <m/>
    <m/>
    <m/>
    <m/>
    <m/>
    <x v="0"/>
    <s v="ANULACION OC: 8000001979"/>
    <m/>
    <m/>
    <m/>
    <m/>
    <m/>
    <m/>
    <m/>
  </r>
  <r>
    <n v="2022"/>
    <s v="S-P"/>
    <x v="1"/>
    <x v="3"/>
    <s v="URGENTE"/>
    <m/>
    <x v="1998"/>
    <m/>
    <x v="34"/>
    <m/>
    <m/>
    <m/>
    <s v="PENDIENTE"/>
    <n v="208067"/>
    <x v="115"/>
    <x v="53"/>
    <x v="900"/>
    <d v="2022-05-06T00:00:00"/>
    <n v="30"/>
    <s v="días FACT."/>
    <m/>
    <m/>
    <m/>
    <s v="PENDIENTE"/>
    <s v="CFR"/>
    <s v="N/A"/>
    <x v="589"/>
    <n v="1050"/>
    <m/>
    <x v="1634"/>
    <x v="36"/>
    <s v="Contenedor 20'"/>
    <m/>
    <s v="25 kg"/>
    <s v="-"/>
    <s v="YARATERA CALCINIT"/>
    <s v="JUNIO '22"/>
    <x v="1"/>
    <d v="2022-06-20T00:00:00"/>
    <d v="2022-06-10T00:00:00"/>
    <d v="2022-06-24T00:00:00"/>
    <x v="850"/>
    <d v="2022-06-19T00:00:00"/>
    <m/>
    <x v="877"/>
    <n v="6"/>
    <n v="2022"/>
    <x v="1"/>
    <x v="9"/>
    <s v="CARTAGENA"/>
    <x v="0"/>
    <s v="TPE"/>
    <x v="0"/>
    <x v="1437"/>
    <m/>
    <m/>
    <x v="15"/>
    <x v="9"/>
    <s v="IAN TAYLOR"/>
    <s v="PENDIENTE"/>
    <s v="DESTINO"/>
    <m/>
    <m/>
    <m/>
    <x v="0"/>
    <m/>
    <m/>
    <x v="0"/>
    <x v="0"/>
    <m/>
    <m/>
    <x v="0"/>
    <e v="#REF!"/>
    <s v="N/A"/>
    <s v="N/A"/>
    <s v="N/A"/>
    <s v="N/A"/>
    <s v="N/A"/>
    <x v="1"/>
    <m/>
    <m/>
    <m/>
    <m/>
    <m/>
    <m/>
    <m/>
    <m/>
  </r>
  <r>
    <n v="2022"/>
    <s v="S-P"/>
    <x v="1"/>
    <x v="3"/>
    <s v="URGENTE"/>
    <m/>
    <x v="1999"/>
    <m/>
    <x v="34"/>
    <m/>
    <m/>
    <m/>
    <s v="PENDIENTE"/>
    <n v="208067"/>
    <x v="115"/>
    <x v="53"/>
    <x v="900"/>
    <d v="2022-05-06T00:00:00"/>
    <n v="30"/>
    <s v="días FACT."/>
    <m/>
    <m/>
    <m/>
    <s v="PENDIENTE"/>
    <s v="CFR"/>
    <s v="N/A"/>
    <x v="589"/>
    <n v="1050"/>
    <m/>
    <x v="1634"/>
    <x v="36"/>
    <s v="Contenedor 20'"/>
    <m/>
    <s v="25 kg"/>
    <s v="-"/>
    <s v="YARATERA CALCINIT"/>
    <s v="JUNIO '22"/>
    <x v="1"/>
    <d v="2022-06-20T00:00:00"/>
    <d v="2022-06-10T00:00:00"/>
    <d v="2022-06-24T00:00:00"/>
    <x v="850"/>
    <d v="2022-06-19T00:00:00"/>
    <m/>
    <x v="907"/>
    <n v="6"/>
    <n v="2022"/>
    <x v="1"/>
    <x v="9"/>
    <s v="CARTAGENA"/>
    <x v="0"/>
    <s v="TPE"/>
    <x v="0"/>
    <x v="29"/>
    <m/>
    <s v="IRENES REMEDY"/>
    <x v="15"/>
    <x v="2"/>
    <s v="TRAMARSA"/>
    <s v="PENDIENTE"/>
    <s v="DESTINO"/>
    <m/>
    <m/>
    <m/>
    <x v="0"/>
    <m/>
    <m/>
    <x v="0"/>
    <x v="0"/>
    <m/>
    <m/>
    <x v="0"/>
    <e v="#REF!"/>
    <s v="N/A"/>
    <s v="N/A"/>
    <s v="N/A"/>
    <s v="N/A"/>
    <s v="N/A"/>
    <x v="1"/>
    <m/>
    <m/>
    <m/>
    <m/>
    <m/>
    <m/>
    <m/>
    <m/>
  </r>
  <r>
    <n v="2022"/>
    <s v="G-S"/>
    <x v="1"/>
    <x v="3"/>
    <s v="NORMAL"/>
    <m/>
    <x v="2000"/>
    <m/>
    <x v="1688"/>
    <d v="2022-04-18T00:00:00"/>
    <m/>
    <m/>
    <s v="PENDIENTE"/>
    <n v="209979"/>
    <x v="1"/>
    <x v="72"/>
    <x v="72"/>
    <d v="2022-04-13T00:00:00"/>
    <n v="120"/>
    <s v="días BL"/>
    <m/>
    <m/>
    <m/>
    <s v="PENDIENTE"/>
    <s v="CPT"/>
    <m/>
    <x v="3"/>
    <n v="1220"/>
    <m/>
    <x v="1635"/>
    <x v="24"/>
    <s v="Contenedor 20'"/>
    <m/>
    <s v="Granel Sólido"/>
    <m/>
    <m/>
    <s v="2 H MAYO - JUNIO '22"/>
    <x v="1"/>
    <d v="2022-05-09T00:00:00"/>
    <d v="2022-06-19T00:00:00"/>
    <d v="2022-06-02T00:00:00"/>
    <x v="812"/>
    <d v="2022-07-19T00:00:00"/>
    <m/>
    <x v="950"/>
    <n v="7"/>
    <n v="2022"/>
    <x v="1"/>
    <x v="21"/>
    <s v="HAMBURGO"/>
    <x v="2"/>
    <m/>
    <x v="3"/>
    <x v="29"/>
    <m/>
    <s v="COSCO SHIPPING VOLGA"/>
    <x v="15"/>
    <x v="5"/>
    <m/>
    <s v="PENDIENTE"/>
    <s v="SWB"/>
    <m/>
    <m/>
    <m/>
    <x v="0"/>
    <m/>
    <m/>
    <x v="0"/>
    <x v="0"/>
    <m/>
    <m/>
    <x v="0"/>
    <e v="#REF!"/>
    <m/>
    <m/>
    <m/>
    <m/>
    <m/>
    <x v="0"/>
    <m/>
    <m/>
    <m/>
    <m/>
    <m/>
    <m/>
    <m/>
    <m/>
  </r>
  <r>
    <n v="2022"/>
    <e v="#N/A"/>
    <x v="1"/>
    <x v="3"/>
    <s v="URGENTE"/>
    <m/>
    <x v="2001"/>
    <s v="2022-88"/>
    <x v="1689"/>
    <d v="2022-04-26T00:00:00"/>
    <m/>
    <m/>
    <s v="PENDIENTE"/>
    <n v="204181"/>
    <x v="168"/>
    <x v="37"/>
    <x v="901"/>
    <d v="2022-04-18T00:00:00"/>
    <n v="150"/>
    <s v="días BL"/>
    <m/>
    <m/>
    <m/>
    <s v="PENDIENTE"/>
    <s v="CFR"/>
    <m/>
    <x v="138"/>
    <n v="1031.28"/>
    <m/>
    <x v="1636"/>
    <x v="3"/>
    <s v="Granel - BB"/>
    <m/>
    <s v="Granel - BB"/>
    <n v="1.5"/>
    <s v="-"/>
    <s v="JUNIO '22"/>
    <x v="1"/>
    <d v="2022-06-16T00:00:00"/>
    <d v="2022-06-16T00:00:00"/>
    <d v="2022-07-27T00:00:00"/>
    <x v="879"/>
    <d v="2022-08-03T00:00:00"/>
    <m/>
    <x v="928"/>
    <n v="8"/>
    <n v="2022"/>
    <x v="2"/>
    <x v="1"/>
    <m/>
    <x v="0"/>
    <s v="TPE"/>
    <x v="0"/>
    <x v="29"/>
    <m/>
    <m/>
    <x v="15"/>
    <x v="0"/>
    <m/>
    <s v="PENDIENTE"/>
    <m/>
    <m/>
    <m/>
    <m/>
    <x v="0"/>
    <m/>
    <m/>
    <x v="0"/>
    <x v="0"/>
    <m/>
    <m/>
    <x v="0"/>
    <e v="#REF!"/>
    <m/>
    <m/>
    <m/>
    <m/>
    <m/>
    <x v="0"/>
    <m/>
    <m/>
    <m/>
    <m/>
    <m/>
    <m/>
    <m/>
    <m/>
  </r>
  <r>
    <n v="2022"/>
    <e v="#N/A"/>
    <x v="1"/>
    <x v="3"/>
    <s v="URGENTE"/>
    <m/>
    <x v="2002"/>
    <s v="2022-88"/>
    <x v="34"/>
    <m/>
    <m/>
    <m/>
    <s v="PENDIENTE"/>
    <n v="204181"/>
    <x v="168"/>
    <x v="37"/>
    <x v="901"/>
    <d v="2022-04-18T00:00:00"/>
    <n v="150"/>
    <s v="días BL"/>
    <m/>
    <m/>
    <m/>
    <s v="PENDIENTE"/>
    <s v="CFR"/>
    <m/>
    <x v="152"/>
    <n v="1031.28"/>
    <m/>
    <x v="1637"/>
    <x v="3"/>
    <s v="Granel - BB"/>
    <m/>
    <s v="Granel - BB"/>
    <n v="1.5"/>
    <m/>
    <s v="JUNIO '22"/>
    <x v="1"/>
    <d v="2022-06-16T00:00:00"/>
    <d v="2022-06-16T00:00:00"/>
    <d v="2022-07-30T00:00:00"/>
    <x v="857"/>
    <d v="2022-08-01T00:00:00"/>
    <m/>
    <x v="951"/>
    <n v="8"/>
    <n v="2022"/>
    <x v="2"/>
    <x v="1"/>
    <m/>
    <x v="1"/>
    <s v="TISUR"/>
    <x v="0"/>
    <x v="29"/>
    <m/>
    <m/>
    <x v="15"/>
    <x v="0"/>
    <m/>
    <s v="PENDIENTE"/>
    <m/>
    <m/>
    <m/>
    <m/>
    <x v="0"/>
    <m/>
    <m/>
    <x v="0"/>
    <x v="0"/>
    <m/>
    <m/>
    <x v="0"/>
    <e v="#REF!"/>
    <m/>
    <m/>
    <m/>
    <m/>
    <m/>
    <x v="0"/>
    <m/>
    <m/>
    <m/>
    <m/>
    <m/>
    <m/>
    <m/>
    <m/>
  </r>
  <r>
    <n v="2022"/>
    <e v="#N/A"/>
    <x v="1"/>
    <x v="3"/>
    <s v="URGENTE"/>
    <m/>
    <x v="2003"/>
    <s v="2022-88"/>
    <x v="34"/>
    <m/>
    <m/>
    <m/>
    <s v="PENDIENTE"/>
    <n v="204181"/>
    <x v="168"/>
    <x v="37"/>
    <x v="901"/>
    <d v="2022-04-18T00:00:00"/>
    <n v="150"/>
    <s v="días BL"/>
    <m/>
    <m/>
    <m/>
    <s v="PENDIENTE"/>
    <s v="CFR"/>
    <m/>
    <x v="189"/>
    <n v="1031.28"/>
    <m/>
    <x v="1638"/>
    <x v="3"/>
    <s v="Granel - BB"/>
    <m/>
    <s v="Granel - BB"/>
    <n v="1.5"/>
    <s v="-"/>
    <s v="JUNIO '22"/>
    <x v="1"/>
    <d v="2022-06-16T00:00:00"/>
    <d v="2022-06-16T00:00:00"/>
    <d v="2022-08-02T00:00:00"/>
    <x v="880"/>
    <d v="2022-08-16T00:00:00"/>
    <m/>
    <x v="938"/>
    <n v="8"/>
    <n v="2022"/>
    <x v="2"/>
    <x v="1"/>
    <m/>
    <x v="2"/>
    <m/>
    <x v="0"/>
    <x v="29"/>
    <m/>
    <m/>
    <x v="15"/>
    <x v="0"/>
    <m/>
    <s v="PENDIENTE"/>
    <m/>
    <m/>
    <m/>
    <m/>
    <x v="0"/>
    <m/>
    <m/>
    <x v="0"/>
    <x v="0"/>
    <m/>
    <m/>
    <x v="0"/>
    <e v="#REF!"/>
    <m/>
    <m/>
    <m/>
    <m/>
    <m/>
    <x v="0"/>
    <m/>
    <m/>
    <m/>
    <m/>
    <m/>
    <m/>
    <m/>
    <m/>
  </r>
  <r>
    <n v="2022"/>
    <s v="G-S"/>
    <x v="1"/>
    <x v="3"/>
    <s v="URGENTE"/>
    <m/>
    <x v="2004"/>
    <s v="2022-61"/>
    <x v="1690"/>
    <d v="2022-04-27T00:00:00"/>
    <m/>
    <m/>
    <s v="PENDIENTE"/>
    <n v="209852"/>
    <x v="43"/>
    <x v="19"/>
    <x v="902"/>
    <d v="2022-04-20T00:00:00"/>
    <n v="90"/>
    <s v="días BL"/>
    <m/>
    <m/>
    <m/>
    <s v="PENDIENTE"/>
    <s v="CFR"/>
    <s v="FILO"/>
    <x v="684"/>
    <n v="340"/>
    <m/>
    <x v="1639"/>
    <x v="3"/>
    <s v="Granel - BB"/>
    <m/>
    <s v="BB - Granel"/>
    <n v="1.35"/>
    <s v="S/M"/>
    <s v="MAYO '22"/>
    <x v="1"/>
    <d v="2022-06-13T00:00:00"/>
    <d v="2022-06-20T00:00:00"/>
    <d v="2022-08-05T00:00:00"/>
    <x v="661"/>
    <d v="2022-08-15T00:00:00"/>
    <m/>
    <x v="952"/>
    <n v="8"/>
    <n v="2022"/>
    <x v="1"/>
    <x v="1"/>
    <s v="BAYUQUAN"/>
    <x v="2"/>
    <m/>
    <x v="3"/>
    <x v="29"/>
    <m/>
    <m/>
    <x v="15"/>
    <x v="0"/>
    <m/>
    <s v="PENDIENTE"/>
    <m/>
    <m/>
    <m/>
    <m/>
    <x v="0"/>
    <m/>
    <m/>
    <x v="0"/>
    <x v="0"/>
    <m/>
    <m/>
    <x v="0"/>
    <e v="#REF!"/>
    <m/>
    <m/>
    <m/>
    <m/>
    <m/>
    <x v="0"/>
    <m/>
    <s v="COVID"/>
    <m/>
    <m/>
    <m/>
    <m/>
    <m/>
    <m/>
  </r>
  <r>
    <n v="2022"/>
    <s v="O-S"/>
    <x v="1"/>
    <x v="3"/>
    <s v="NORMAL"/>
    <m/>
    <x v="2005"/>
    <s v="2022-139"/>
    <x v="1691"/>
    <d v="2022-05-04T00:00:00"/>
    <m/>
    <m/>
    <s v="PENDIENTE"/>
    <n v="204750"/>
    <x v="120"/>
    <x v="53"/>
    <x v="903"/>
    <d v="2022-04-22T00:00:00"/>
    <s v="CAD"/>
    <m/>
    <m/>
    <m/>
    <m/>
    <s v="PENDIENTE"/>
    <s v="CPT"/>
    <s v="N/A"/>
    <x v="417"/>
    <n v="1197"/>
    <m/>
    <x v="1640"/>
    <x v="3"/>
    <s v="Contenedor 20'"/>
    <m/>
    <s v="50 kg"/>
    <s v="-"/>
    <s v="10-30-10"/>
    <s v="JUNIO '22"/>
    <x v="1"/>
    <d v="2022-05-23T00:00:00"/>
    <d v="2022-06-17T00:00:00"/>
    <d v="2022-07-14T00:00:00"/>
    <x v="837"/>
    <d v="2022-07-17T00:00:00"/>
    <m/>
    <x v="950"/>
    <n v="7"/>
    <n v="2022"/>
    <x v="1"/>
    <x v="9"/>
    <s v="CARTAGENA"/>
    <x v="4"/>
    <s v="TISUR"/>
    <x v="2"/>
    <x v="29"/>
    <m/>
    <s v="DIMITRIS C"/>
    <x v="15"/>
    <x v="2"/>
    <s v="TRAMARSA"/>
    <s v="PENDIENTE"/>
    <s v="DESTINO"/>
    <m/>
    <m/>
    <m/>
    <x v="0"/>
    <m/>
    <m/>
    <x v="0"/>
    <x v="0"/>
    <m/>
    <m/>
    <x v="0"/>
    <e v="#REF!"/>
    <s v="N/A"/>
    <s v="N/A"/>
    <s v="N/A"/>
    <s v="N/A"/>
    <s v="N/A"/>
    <x v="1"/>
    <m/>
    <m/>
    <m/>
    <m/>
    <m/>
    <m/>
    <m/>
    <m/>
  </r>
  <r>
    <n v="2022"/>
    <s v="O-S"/>
    <x v="1"/>
    <x v="3"/>
    <s v="NORMAL"/>
    <m/>
    <x v="2006"/>
    <s v="2022-139"/>
    <x v="34"/>
    <m/>
    <m/>
    <m/>
    <s v="PENDIENTE"/>
    <n v="204750"/>
    <x v="120"/>
    <x v="53"/>
    <x v="903"/>
    <d v="2022-04-22T00:00:00"/>
    <s v="CAD"/>
    <m/>
    <m/>
    <m/>
    <m/>
    <s v="PENDIENTE"/>
    <s v="CPT"/>
    <s v="N/A"/>
    <x v="417"/>
    <n v="1197"/>
    <m/>
    <x v="1640"/>
    <x v="3"/>
    <s v="Contenedor 20'"/>
    <m/>
    <s v="50 kg"/>
    <s v="-"/>
    <s v="10-30-10"/>
    <s v="JUNIO '22"/>
    <x v="1"/>
    <d v="2022-05-23T00:00:00"/>
    <d v="2022-06-30T00:00:00"/>
    <d v="2022-07-27T00:00:00"/>
    <x v="879"/>
    <d v="2022-07-30T00:00:00"/>
    <m/>
    <x v="928"/>
    <n v="8"/>
    <n v="2022"/>
    <x v="1"/>
    <x v="9"/>
    <s v="CARTAGENA"/>
    <x v="4"/>
    <s v="TISUR"/>
    <x v="2"/>
    <x v="29"/>
    <m/>
    <s v="CMA CGM OHIO"/>
    <x v="15"/>
    <x v="2"/>
    <s v="TRAMARSA"/>
    <s v="PENDIENTE"/>
    <s v="DESTINO"/>
    <m/>
    <m/>
    <m/>
    <x v="0"/>
    <m/>
    <m/>
    <x v="0"/>
    <x v="0"/>
    <m/>
    <m/>
    <x v="0"/>
    <e v="#REF!"/>
    <s v="N/A"/>
    <s v="N/A"/>
    <s v="N/A"/>
    <s v="N/A"/>
    <s v="N/A"/>
    <x v="1"/>
    <m/>
    <m/>
    <m/>
    <m/>
    <m/>
    <m/>
    <m/>
    <m/>
  </r>
  <r>
    <n v="2022"/>
    <s v="O-S"/>
    <x v="0"/>
    <x v="1"/>
    <s v="N/A"/>
    <m/>
    <x v="2007"/>
    <m/>
    <x v="1692"/>
    <m/>
    <m/>
    <m/>
    <m/>
    <m/>
    <x v="122"/>
    <x v="53"/>
    <x v="16"/>
    <m/>
    <m/>
    <m/>
    <m/>
    <m/>
    <m/>
    <m/>
    <m/>
    <m/>
    <x v="29"/>
    <m/>
    <m/>
    <x v="1482"/>
    <x v="3"/>
    <m/>
    <m/>
    <m/>
    <m/>
    <m/>
    <m/>
    <x v="0"/>
    <m/>
    <m/>
    <m/>
    <x v="22"/>
    <m/>
    <m/>
    <x v="23"/>
    <n v="1"/>
    <n v="1900"/>
    <x v="0"/>
    <x v="0"/>
    <m/>
    <x v="5"/>
    <m/>
    <x v="0"/>
    <x v="29"/>
    <m/>
    <m/>
    <x v="15"/>
    <x v="5"/>
    <m/>
    <m/>
    <m/>
    <m/>
    <m/>
    <m/>
    <x v="0"/>
    <m/>
    <m/>
    <x v="0"/>
    <x v="0"/>
    <m/>
    <m/>
    <x v="0"/>
    <e v="#REF!"/>
    <m/>
    <m/>
    <m/>
    <m/>
    <m/>
    <x v="0"/>
    <s v="Anular oc: 8000001948"/>
    <m/>
    <m/>
    <m/>
    <m/>
    <m/>
    <m/>
    <m/>
  </r>
  <r>
    <n v="2022"/>
    <s v="T-S"/>
    <x v="1"/>
    <x v="3"/>
    <s v="URGENTE"/>
    <m/>
    <x v="2008"/>
    <m/>
    <x v="34"/>
    <m/>
    <m/>
    <m/>
    <s v="PENDIENTE"/>
    <n v="208067"/>
    <x v="115"/>
    <x v="53"/>
    <x v="904"/>
    <d v="2022-05-06T00:00:00"/>
    <n v="30"/>
    <s v="días FACT."/>
    <m/>
    <m/>
    <m/>
    <s v="PENDIENTE"/>
    <s v="CFR"/>
    <s v="N/A"/>
    <x v="229"/>
    <n v="1050"/>
    <m/>
    <x v="1614"/>
    <x v="10"/>
    <s v="Contenedor 20'"/>
    <m/>
    <s v="25 kg"/>
    <s v="-"/>
    <s v="YARATERA CALCINIT"/>
    <s v="JUNIO '22"/>
    <x v="1"/>
    <d v="2022-06-20T00:00:00"/>
    <d v="2022-06-16T00:00:00"/>
    <d v="2022-06-24T00:00:00"/>
    <x v="862"/>
    <d v="2022-06-26T00:00:00"/>
    <m/>
    <x v="953"/>
    <n v="6"/>
    <n v="2022"/>
    <x v="1"/>
    <x v="9"/>
    <s v="CARTAGENA"/>
    <x v="2"/>
    <m/>
    <x v="0"/>
    <x v="29"/>
    <m/>
    <s v="CALLAO EXPRESS"/>
    <x v="32"/>
    <x v="9"/>
    <s v="IAN TAYLOR"/>
    <s v="PENDIENTE"/>
    <s v="DESTINO"/>
    <m/>
    <m/>
    <m/>
    <x v="0"/>
    <m/>
    <m/>
    <x v="0"/>
    <x v="0"/>
    <m/>
    <m/>
    <x v="0"/>
    <e v="#REF!"/>
    <s v="N/A"/>
    <s v="N/A"/>
    <s v="N/A"/>
    <s v="N/A"/>
    <s v="N/A"/>
    <x v="1"/>
    <m/>
    <m/>
    <m/>
    <m/>
    <m/>
    <m/>
    <m/>
    <m/>
  </r>
  <r>
    <n v="2022"/>
    <s v="S-P"/>
    <x v="1"/>
    <x v="3"/>
    <s v="URGENTE"/>
    <m/>
    <x v="2009"/>
    <s v="2022-153"/>
    <x v="1693"/>
    <m/>
    <m/>
    <m/>
    <s v="PENDIENTE"/>
    <n v="204772"/>
    <x v="3"/>
    <x v="51"/>
    <x v="905"/>
    <d v="2022-04-28T00:00:00"/>
    <s v="CAD"/>
    <m/>
    <m/>
    <m/>
    <m/>
    <s v="PENDIENTE"/>
    <s v="CFR"/>
    <s v="FILO"/>
    <x v="189"/>
    <n v="1230"/>
    <m/>
    <x v="1641"/>
    <x v="57"/>
    <s v="Contenedor 20'"/>
    <m/>
    <s v="BB - Granel"/>
    <n v="1"/>
    <s v="-"/>
    <s v="2 H MAYO - 1H JUNIO '22"/>
    <x v="1"/>
    <d v="2022-06-16T00:00:00"/>
    <d v="2022-06-16T00:00:00"/>
    <d v="2022-08-07T00:00:00"/>
    <x v="867"/>
    <d v="2022-08-05T00:00:00"/>
    <m/>
    <x v="954"/>
    <n v="8"/>
    <n v="2022"/>
    <x v="2"/>
    <x v="1"/>
    <m/>
    <x v="2"/>
    <m/>
    <x v="0"/>
    <x v="29"/>
    <m/>
    <m/>
    <x v="15"/>
    <x v="0"/>
    <m/>
    <s v="PENDIENTE"/>
    <m/>
    <m/>
    <m/>
    <m/>
    <x v="0"/>
    <m/>
    <m/>
    <x v="0"/>
    <x v="0"/>
    <m/>
    <m/>
    <x v="0"/>
    <e v="#REF!"/>
    <m/>
    <m/>
    <m/>
    <m/>
    <m/>
    <x v="0"/>
    <m/>
    <m/>
    <m/>
    <m/>
    <m/>
    <m/>
    <m/>
    <m/>
  </r>
  <r>
    <n v="2022"/>
    <s v="S-P"/>
    <x v="1"/>
    <x v="3"/>
    <s v="URGENTE"/>
    <m/>
    <x v="2010"/>
    <m/>
    <x v="34"/>
    <m/>
    <m/>
    <m/>
    <s v="PENDIENTE"/>
    <n v="208067"/>
    <x v="115"/>
    <x v="53"/>
    <x v="906"/>
    <d v="2022-05-06T00:00:00"/>
    <n v="30"/>
    <s v="días FACT."/>
    <m/>
    <m/>
    <m/>
    <s v="PENDIENTE"/>
    <s v="CFR"/>
    <s v="N/A"/>
    <x v="6"/>
    <n v="1050"/>
    <m/>
    <x v="518"/>
    <x v="1"/>
    <s v="Contenedor 20'"/>
    <m/>
    <s v="25 kg"/>
    <s v="-"/>
    <s v="YARATERA CALCINIT"/>
    <s v="JUNIO '22"/>
    <x v="1"/>
    <d v="2022-06-20T00:00:00"/>
    <d v="2022-06-10T00:00:00"/>
    <d v="2022-06-24T00:00:00"/>
    <x v="865"/>
    <d v="2022-07-04T00:00:00"/>
    <m/>
    <x v="917"/>
    <n v="7"/>
    <n v="2022"/>
    <x v="1"/>
    <x v="9"/>
    <s v="CARTAGENA"/>
    <x v="4"/>
    <s v="TISUR"/>
    <x v="0"/>
    <x v="29"/>
    <m/>
    <s v="AS PATRIA"/>
    <x v="15"/>
    <x v="2"/>
    <s v="TRAMARSA"/>
    <s v="PENDIENTE"/>
    <m/>
    <m/>
    <m/>
    <m/>
    <x v="0"/>
    <m/>
    <m/>
    <x v="0"/>
    <x v="0"/>
    <m/>
    <m/>
    <x v="0"/>
    <e v="#REF!"/>
    <s v="N/A"/>
    <s v="N/A"/>
    <s v="N/A"/>
    <s v="N/A"/>
    <s v="N/A"/>
    <x v="1"/>
    <m/>
    <m/>
    <m/>
    <m/>
    <m/>
    <m/>
    <m/>
    <m/>
  </r>
  <r>
    <n v="2022"/>
    <s v="S-P"/>
    <x v="1"/>
    <x v="3"/>
    <s v="URGENTE"/>
    <m/>
    <x v="2011"/>
    <m/>
    <x v="34"/>
    <m/>
    <m/>
    <m/>
    <s v="PENDIENTE"/>
    <n v="203553"/>
    <x v="123"/>
    <x v="53"/>
    <x v="907"/>
    <d v="2022-05-06T00:00:00"/>
    <s v="CAD"/>
    <m/>
    <m/>
    <m/>
    <m/>
    <s v="PENDIENTE"/>
    <s v="CFR"/>
    <s v="N/A"/>
    <x v="309"/>
    <n v="1171.82"/>
    <m/>
    <x v="1642"/>
    <x v="5"/>
    <s v="Contenedor 20'"/>
    <m/>
    <s v="Granel Sólido"/>
    <s v="-"/>
    <s v="S/M"/>
    <s v="JUNIO '22"/>
    <x v="1"/>
    <d v="2022-06-20T00:00:00"/>
    <d v="2022-06-01T00:00:00"/>
    <d v="2022-07-10T00:00:00"/>
    <x v="881"/>
    <d v="2022-06-25T00:00:00"/>
    <m/>
    <x v="934"/>
    <n v="6"/>
    <n v="2022"/>
    <x v="1"/>
    <x v="2"/>
    <s v="AMBERES"/>
    <x v="0"/>
    <s v="TPE"/>
    <x v="0"/>
    <x v="29"/>
    <m/>
    <s v="CALLAO EXPRESS"/>
    <x v="32"/>
    <x v="2"/>
    <s v="TRAMARSA"/>
    <s v="PENDIENTE"/>
    <m/>
    <m/>
    <m/>
    <m/>
    <x v="0"/>
    <m/>
    <m/>
    <x v="0"/>
    <x v="0"/>
    <m/>
    <m/>
    <x v="0"/>
    <e v="#REF!"/>
    <s v="N/A"/>
    <s v="N/A"/>
    <s v="N/A"/>
    <s v="N/A"/>
    <s v="N/A"/>
    <x v="1"/>
    <m/>
    <m/>
    <m/>
    <m/>
    <m/>
    <m/>
    <m/>
    <m/>
  </r>
  <r>
    <n v="2022"/>
    <s v="S-P"/>
    <x v="1"/>
    <x v="5"/>
    <s v="URGENTE"/>
    <m/>
    <x v="2012"/>
    <m/>
    <x v="34"/>
    <m/>
    <m/>
    <m/>
    <s v="PENDIENTE"/>
    <n v="203553"/>
    <x v="123"/>
    <x v="53"/>
    <x v="908"/>
    <d v="2022-05-06T00:00:00"/>
    <s v="CAD"/>
    <m/>
    <m/>
    <m/>
    <m/>
    <s v="PENDIENTE"/>
    <s v="CFR"/>
    <s v="N/A"/>
    <x v="685"/>
    <n v="1171.82"/>
    <m/>
    <x v="1643"/>
    <x v="5"/>
    <s v="Contenedor 20'"/>
    <m/>
    <s v="Granel Sólido"/>
    <s v="-"/>
    <s v="S/M"/>
    <s v="JUNIO '22"/>
    <x v="1"/>
    <d v="2022-06-20T00:00:00"/>
    <d v="2022-06-05T00:00:00"/>
    <d v="2022-07-17T00:00:00"/>
    <x v="882"/>
    <d v="2022-06-30T00:00:00"/>
    <m/>
    <x v="955"/>
    <n v="6"/>
    <n v="2022"/>
    <x v="3"/>
    <x v="2"/>
    <s v="AMBERES"/>
    <x v="2"/>
    <m/>
    <x v="0"/>
    <x v="1438"/>
    <d v="2022-06-02T00:00:00"/>
    <s v="CALLAO EXPRESS"/>
    <x v="32"/>
    <x v="2"/>
    <s v="TRAMARSA"/>
    <s v="PENDIENTE"/>
    <m/>
    <m/>
    <m/>
    <m/>
    <x v="0"/>
    <d v="2022-07-08T00:00:00"/>
    <m/>
    <x v="0"/>
    <x v="0"/>
    <m/>
    <m/>
    <x v="0"/>
    <e v="#REF!"/>
    <s v="N/A"/>
    <s v="N/A"/>
    <s v="N/A"/>
    <s v="N/A"/>
    <s v="N/A"/>
    <x v="1"/>
    <m/>
    <m/>
    <m/>
    <m/>
    <m/>
    <m/>
    <m/>
    <m/>
  </r>
  <r>
    <n v="2022"/>
    <s v="S-P"/>
    <x v="1"/>
    <x v="3"/>
    <s v="URGENTE"/>
    <s v="A"/>
    <x v="2013"/>
    <s v="2022-207"/>
    <x v="1694"/>
    <d v="2022-05-20T00:00:00"/>
    <m/>
    <m/>
    <s v="PENDIENTE"/>
    <n v="207791"/>
    <x v="7"/>
    <x v="72"/>
    <x v="16"/>
    <d v="2022-05-12T00:00:00"/>
    <s v="CAD"/>
    <m/>
    <m/>
    <m/>
    <m/>
    <s v="PENDIENTE"/>
    <s v="CPT"/>
    <m/>
    <x v="249"/>
    <n v="1070"/>
    <m/>
    <x v="1644"/>
    <x v="3"/>
    <s v="Contenedor 20'"/>
    <m/>
    <s v="25 Kg"/>
    <m/>
    <m/>
    <s v="JULIO - 2H AGOSTO"/>
    <x v="1"/>
    <d v="2022-07-01T00:00:00"/>
    <d v="2022-07-25T00:00:00"/>
    <d v="2022-08-01T00:00:00"/>
    <x v="883"/>
    <d v="2022-08-28T00:00:00"/>
    <m/>
    <x v="956"/>
    <n v="8"/>
    <n v="2022"/>
    <x v="2"/>
    <x v="0"/>
    <m/>
    <x v="2"/>
    <m/>
    <x v="3"/>
    <x v="29"/>
    <m/>
    <m/>
    <x v="15"/>
    <x v="5"/>
    <m/>
    <s v="PENDIENTE"/>
    <m/>
    <m/>
    <m/>
    <m/>
    <x v="0"/>
    <m/>
    <m/>
    <x v="0"/>
    <x v="0"/>
    <m/>
    <m/>
    <x v="0"/>
    <e v="#REF!"/>
    <m/>
    <m/>
    <m/>
    <m/>
    <m/>
    <x v="0"/>
    <s v="OC ANULADA 8000001994, 8000001998"/>
    <m/>
    <m/>
    <m/>
    <m/>
    <m/>
    <m/>
    <m/>
  </r>
  <r>
    <n v="2022"/>
    <s v="S-P"/>
    <x v="1"/>
    <x v="3"/>
    <s v="URGENTE"/>
    <s v="A"/>
    <x v="2014"/>
    <s v="2022-206"/>
    <x v="1695"/>
    <d v="2022-05-20T00:00:00"/>
    <m/>
    <m/>
    <s v="PENDIENTE"/>
    <n v="207791"/>
    <x v="7"/>
    <x v="72"/>
    <x v="16"/>
    <d v="2022-05-12T00:00:00"/>
    <s v="CAD"/>
    <m/>
    <m/>
    <m/>
    <m/>
    <s v="PENDIENTE"/>
    <s v="CPT"/>
    <m/>
    <x v="141"/>
    <n v="1070"/>
    <m/>
    <x v="1645"/>
    <x v="3"/>
    <s v="Contenedor 20'"/>
    <m/>
    <s v="25 Kg"/>
    <m/>
    <m/>
    <s v="JULIO - 2H AGOSTO"/>
    <x v="1"/>
    <d v="2022-07-01T00:00:00"/>
    <d v="2022-08-01T00:00:00"/>
    <d v="2022-08-01T00:00:00"/>
    <x v="884"/>
    <d v="2022-09-04T00:00:00"/>
    <m/>
    <x v="957"/>
    <n v="9"/>
    <n v="2022"/>
    <x v="2"/>
    <x v="0"/>
    <m/>
    <x v="0"/>
    <m/>
    <x v="2"/>
    <x v="29"/>
    <m/>
    <m/>
    <x v="15"/>
    <x v="5"/>
    <m/>
    <s v="PENDIENTE"/>
    <m/>
    <m/>
    <m/>
    <m/>
    <x v="0"/>
    <m/>
    <m/>
    <x v="0"/>
    <x v="0"/>
    <m/>
    <m/>
    <x v="0"/>
    <e v="#REF!"/>
    <m/>
    <m/>
    <m/>
    <m/>
    <m/>
    <x v="0"/>
    <s v="OC ANULADA 8000001995, 8000001999"/>
    <m/>
    <m/>
    <m/>
    <m/>
    <m/>
    <m/>
    <m/>
  </r>
  <r>
    <n v="2022"/>
    <s v="S-P"/>
    <x v="1"/>
    <x v="3"/>
    <s v="URGENTE"/>
    <s v="A"/>
    <x v="2015"/>
    <s v="2022-179"/>
    <x v="1696"/>
    <d v="2022-05-16T00:00:00"/>
    <m/>
    <m/>
    <s v="PENDIENTE"/>
    <n v="206720"/>
    <x v="46"/>
    <x v="72"/>
    <x v="16"/>
    <d v="2022-05-12T00:00:00"/>
    <s v="CAD"/>
    <m/>
    <m/>
    <m/>
    <m/>
    <s v="PENDIENTE"/>
    <s v="CPT"/>
    <m/>
    <x v="678"/>
    <n v="590"/>
    <m/>
    <x v="1646"/>
    <x v="3"/>
    <s v="Contenedor 20'"/>
    <m/>
    <s v="25 kg"/>
    <m/>
    <m/>
    <s v="JULIO - 2H AGOSTO"/>
    <x v="1"/>
    <d v="2022-07-01T00:00:00"/>
    <d v="2022-08-08T00:00:00"/>
    <d v="2022-08-01T00:00:00"/>
    <x v="885"/>
    <d v="2022-09-11T00:00:00"/>
    <m/>
    <x v="958"/>
    <n v="9"/>
    <n v="2022"/>
    <x v="2"/>
    <x v="0"/>
    <m/>
    <x v="0"/>
    <s v="TPE"/>
    <x v="2"/>
    <x v="29"/>
    <m/>
    <m/>
    <x v="15"/>
    <x v="5"/>
    <m/>
    <s v="PENDIENTE"/>
    <m/>
    <m/>
    <m/>
    <m/>
    <x v="0"/>
    <m/>
    <m/>
    <x v="0"/>
    <x v="0"/>
    <m/>
    <m/>
    <x v="0"/>
    <e v="#REF!"/>
    <m/>
    <m/>
    <m/>
    <m/>
    <m/>
    <x v="0"/>
    <s v="OC ANULADA 8000001992"/>
    <m/>
    <m/>
    <m/>
    <m/>
    <m/>
    <m/>
    <m/>
  </r>
  <r>
    <n v="2022"/>
    <s v="S-P"/>
    <x v="1"/>
    <x v="3"/>
    <s v="ALTA"/>
    <s v="A"/>
    <x v="2016"/>
    <s v="2022-176"/>
    <x v="1697"/>
    <d v="2022-05-16T00:00:00"/>
    <m/>
    <m/>
    <s v="PENDIENTE"/>
    <n v="206914"/>
    <x v="12"/>
    <x v="19"/>
    <x v="909"/>
    <d v="2022-05-13T00:00:00"/>
    <n v="90"/>
    <s v="días BL"/>
    <s v="SG-MSL-12329-50"/>
    <d v="2022-05-16T00:00:00"/>
    <m/>
    <s v="PENDIENTE"/>
    <s v="CFR"/>
    <s v="FILO"/>
    <x v="128"/>
    <n v="276"/>
    <m/>
    <x v="1647"/>
    <x v="3"/>
    <s v="Granel - BB"/>
    <m/>
    <s v="25 kg"/>
    <n v="1.25"/>
    <s v="ROMERO FERTILIZANTES"/>
    <s v="1W JUNIO '22"/>
    <x v="1"/>
    <d v="2022-06-17T00:00:00"/>
    <d v="2022-07-13T00:00:00"/>
    <d v="2022-08-02T00:00:00"/>
    <x v="886"/>
    <d v="2022-09-04T00:00:00"/>
    <m/>
    <x v="856"/>
    <n v="9"/>
    <n v="2022"/>
    <x v="2"/>
    <x v="1"/>
    <s v="TIANJIN"/>
    <x v="0"/>
    <s v="TPE"/>
    <x v="2"/>
    <x v="29"/>
    <m/>
    <m/>
    <x v="15"/>
    <x v="5"/>
    <m/>
    <s v="PENDIENTE"/>
    <m/>
    <m/>
    <m/>
    <m/>
    <x v="0"/>
    <m/>
    <m/>
    <x v="0"/>
    <x v="0"/>
    <m/>
    <m/>
    <x v="0"/>
    <e v="#REF!"/>
    <m/>
    <m/>
    <m/>
    <m/>
    <m/>
    <x v="0"/>
    <s v="OC ANULADA 8000001993"/>
    <m/>
    <m/>
    <m/>
    <m/>
    <m/>
    <m/>
    <m/>
  </r>
  <r>
    <n v="2022"/>
    <s v="S-P"/>
    <x v="1"/>
    <x v="3"/>
    <s v="URGENTE"/>
    <s v="C"/>
    <x v="2017"/>
    <s v="2022-185"/>
    <x v="1698"/>
    <d v="2022-05-16T00:00:00"/>
    <m/>
    <m/>
    <s v="PENDIENTE"/>
    <n v="209992"/>
    <x v="169"/>
    <x v="49"/>
    <x v="16"/>
    <d v="2022-05-12T00:00:00"/>
    <n v="90"/>
    <s v="días BL"/>
    <m/>
    <m/>
    <m/>
    <s v="PENDIENTE"/>
    <s v="CIF"/>
    <m/>
    <x v="686"/>
    <n v="6140"/>
    <m/>
    <x v="1648"/>
    <x v="11"/>
    <s v="Contenedor 20'"/>
    <m/>
    <s v="25 kg"/>
    <m/>
    <m/>
    <s v="JULIO - AGOSTO '22"/>
    <x v="1"/>
    <d v="2022-08-05T00:00:00"/>
    <d v="2022-08-05T00:00:00"/>
    <d v="2022-09-14T00:00:00"/>
    <x v="887"/>
    <d v="2022-09-18T00:00:00"/>
    <m/>
    <x v="959"/>
    <n v="9"/>
    <n v="2022"/>
    <x v="2"/>
    <x v="0"/>
    <m/>
    <x v="2"/>
    <m/>
    <x v="3"/>
    <x v="29"/>
    <m/>
    <m/>
    <x v="15"/>
    <x v="5"/>
    <m/>
    <s v="PENDIENTE"/>
    <m/>
    <m/>
    <m/>
    <m/>
    <x v="0"/>
    <m/>
    <m/>
    <x v="0"/>
    <x v="0"/>
    <m/>
    <m/>
    <x v="0"/>
    <e v="#REF!"/>
    <m/>
    <m/>
    <m/>
    <m/>
    <m/>
    <x v="0"/>
    <m/>
    <m/>
    <m/>
    <m/>
    <m/>
    <m/>
    <m/>
    <m/>
  </r>
  <r>
    <n v="2022"/>
    <s v="G-S"/>
    <x v="1"/>
    <x v="3"/>
    <m/>
    <m/>
    <x v="2018"/>
    <s v="2022-208"/>
    <x v="1699"/>
    <d v="2022-05-17T00:00:00"/>
    <m/>
    <m/>
    <s v="PENDIENTE"/>
    <n v="208300"/>
    <x v="47"/>
    <x v="37"/>
    <x v="910"/>
    <d v="2022-05-23T00:00:00"/>
    <s v="CAD"/>
    <m/>
    <m/>
    <m/>
    <m/>
    <s v="PENDIENTE"/>
    <s v="CFR"/>
    <m/>
    <x v="70"/>
    <n v="440"/>
    <m/>
    <x v="1649"/>
    <x v="3"/>
    <s v="Granel"/>
    <m/>
    <s v="Granel Sólido"/>
    <m/>
    <m/>
    <s v="JUNIO '22"/>
    <x v="1"/>
    <d v="2022-06-16T00:00:00"/>
    <d v="2022-06-16T00:00:00"/>
    <d v="2022-07-27T00:00:00"/>
    <x v="879"/>
    <d v="2022-07-29T00:00:00"/>
    <m/>
    <x v="937"/>
    <n v="8"/>
    <n v="2022"/>
    <x v="2"/>
    <x v="1"/>
    <m/>
    <x v="0"/>
    <s v="TPE"/>
    <x v="0"/>
    <x v="29"/>
    <m/>
    <m/>
    <x v="15"/>
    <x v="0"/>
    <m/>
    <s v="PENDIENTE"/>
    <m/>
    <m/>
    <m/>
    <m/>
    <x v="0"/>
    <m/>
    <m/>
    <x v="0"/>
    <x v="0"/>
    <m/>
    <m/>
    <x v="0"/>
    <e v="#REF!"/>
    <m/>
    <m/>
    <m/>
    <m/>
    <m/>
    <x v="0"/>
    <m/>
    <m/>
    <m/>
    <m/>
    <m/>
    <m/>
    <m/>
    <m/>
  </r>
  <r>
    <n v="2022"/>
    <s v="G-S"/>
    <x v="1"/>
    <x v="3"/>
    <m/>
    <m/>
    <x v="2019"/>
    <s v="2022-210"/>
    <x v="1700"/>
    <d v="2022-05-17T00:00:00"/>
    <m/>
    <m/>
    <s v="PENDIENTE"/>
    <n v="208300"/>
    <x v="47"/>
    <x v="37"/>
    <x v="910"/>
    <d v="2022-05-23T00:00:00"/>
    <s v="CAD"/>
    <m/>
    <m/>
    <m/>
    <m/>
    <s v="PENDIENTE"/>
    <s v="CFR"/>
    <m/>
    <x v="70"/>
    <n v="440"/>
    <m/>
    <x v="1649"/>
    <x v="3"/>
    <s v="Granel"/>
    <m/>
    <s v="Granel Sólido"/>
    <m/>
    <m/>
    <s v="JUNIO '22"/>
    <x v="1"/>
    <d v="2022-06-16T00:00:00"/>
    <d v="2022-06-16T00:00:00"/>
    <d v="2022-08-02T00:00:00"/>
    <x v="880"/>
    <d v="2022-08-05T00:00:00"/>
    <m/>
    <x v="954"/>
    <n v="8"/>
    <n v="2022"/>
    <x v="2"/>
    <x v="1"/>
    <m/>
    <x v="2"/>
    <m/>
    <x v="0"/>
    <x v="29"/>
    <m/>
    <m/>
    <x v="15"/>
    <x v="0"/>
    <m/>
    <s v="PENDIENTE"/>
    <m/>
    <m/>
    <m/>
    <m/>
    <x v="0"/>
    <m/>
    <m/>
    <x v="0"/>
    <x v="0"/>
    <m/>
    <m/>
    <x v="0"/>
    <e v="#REF!"/>
    <m/>
    <m/>
    <m/>
    <m/>
    <m/>
    <x v="0"/>
    <m/>
    <m/>
    <m/>
    <m/>
    <m/>
    <m/>
    <m/>
    <m/>
  </r>
  <r>
    <n v="2022"/>
    <e v="#REF!"/>
    <x v="1"/>
    <x v="3"/>
    <m/>
    <m/>
    <x v="2020"/>
    <s v="2022-173"/>
    <x v="1701"/>
    <d v="2022-05-17T00:00:00"/>
    <m/>
    <m/>
    <s v="PENDIENTE"/>
    <n v="205258"/>
    <x v="160"/>
    <x v="59"/>
    <x v="8"/>
    <d v="2022-05-17T00:00:00"/>
    <s v="CAD"/>
    <m/>
    <m/>
    <m/>
    <m/>
    <s v="PENDIENTE"/>
    <s v="CFR"/>
    <m/>
    <x v="12"/>
    <n v="866"/>
    <m/>
    <x v="1650"/>
    <x v="3"/>
    <s v="Granel - BB"/>
    <m/>
    <s v="25 kg"/>
    <m/>
    <m/>
    <s v="JUNIO '22"/>
    <x v="0"/>
    <d v="2022-06-23T00:00:00"/>
    <d v="2022-06-23T00:00:00"/>
    <d v="2022-08-07T00:00:00"/>
    <x v="888"/>
    <d v="2022-08-14T00:00:00"/>
    <m/>
    <x v="952"/>
    <n v="8"/>
    <n v="2022"/>
    <x v="2"/>
    <x v="1"/>
    <m/>
    <x v="0"/>
    <m/>
    <x v="0"/>
    <x v="29"/>
    <m/>
    <m/>
    <x v="15"/>
    <x v="0"/>
    <m/>
    <s v="REALIZADO"/>
    <m/>
    <m/>
    <m/>
    <m/>
    <x v="0"/>
    <m/>
    <m/>
    <x v="0"/>
    <x v="0"/>
    <m/>
    <m/>
    <x v="0"/>
    <s v="PENDIENTE"/>
    <m/>
    <m/>
    <m/>
    <m/>
    <m/>
    <x v="0"/>
    <m/>
    <m/>
    <m/>
    <m/>
    <m/>
    <m/>
    <m/>
    <m/>
  </r>
  <r>
    <n v="2022"/>
    <s v="S-S"/>
    <x v="1"/>
    <x v="3"/>
    <m/>
    <m/>
    <x v="2021"/>
    <s v="2022-174"/>
    <x v="1702"/>
    <d v="2022-05-17T00:00:00"/>
    <m/>
    <m/>
    <s v="PENDIENTE"/>
    <n v="205257"/>
    <x v="125"/>
    <x v="59"/>
    <x v="8"/>
    <d v="2022-05-17T00:00:00"/>
    <s v="CAD"/>
    <m/>
    <m/>
    <m/>
    <m/>
    <s v="PENDIENTE"/>
    <s v="CFR"/>
    <m/>
    <x v="279"/>
    <n v="290"/>
    <m/>
    <x v="1651"/>
    <x v="3"/>
    <s v="Granel - BB"/>
    <m/>
    <s v="25 kg"/>
    <m/>
    <m/>
    <s v="JUNIO '22"/>
    <x v="0"/>
    <d v="2022-06-23T00:00:00"/>
    <d v="2022-06-23T00:00:00"/>
    <d v="2022-08-07T00:00:00"/>
    <x v="888"/>
    <d v="2022-08-14T00:00:00"/>
    <m/>
    <x v="960"/>
    <n v="8"/>
    <n v="2022"/>
    <x v="2"/>
    <x v="1"/>
    <m/>
    <x v="0"/>
    <m/>
    <x v="0"/>
    <x v="29"/>
    <m/>
    <m/>
    <x v="15"/>
    <x v="0"/>
    <m/>
    <s v="REALIZADO"/>
    <m/>
    <m/>
    <m/>
    <m/>
    <x v="0"/>
    <m/>
    <m/>
    <x v="0"/>
    <x v="0"/>
    <m/>
    <m/>
    <x v="0"/>
    <s v="PENDIENTE"/>
    <m/>
    <m/>
    <m/>
    <m/>
    <m/>
    <x v="0"/>
    <m/>
    <m/>
    <m/>
    <m/>
    <m/>
    <m/>
    <m/>
    <m/>
  </r>
  <r>
    <n v="2022"/>
    <s v="S-S"/>
    <x v="1"/>
    <x v="3"/>
    <m/>
    <m/>
    <x v="2022"/>
    <s v="2022-175"/>
    <x v="1703"/>
    <d v="2022-05-17T00:00:00"/>
    <m/>
    <m/>
    <s v="PENDIENTE"/>
    <n v="205257"/>
    <x v="125"/>
    <x v="59"/>
    <x v="8"/>
    <d v="2022-05-17T00:00:00"/>
    <s v="CAD"/>
    <m/>
    <m/>
    <m/>
    <m/>
    <s v="PENDIENTE"/>
    <s v="CFR"/>
    <m/>
    <x v="279"/>
    <n v="272"/>
    <m/>
    <x v="1652"/>
    <x v="3"/>
    <s v="Granel - BB"/>
    <m/>
    <s v="25 kg"/>
    <m/>
    <m/>
    <s v="JUNIO '22"/>
    <x v="0"/>
    <d v="2022-06-23T00:00:00"/>
    <d v="2022-06-23T00:00:00"/>
    <d v="2022-08-07T00:00:00"/>
    <x v="888"/>
    <d v="2022-08-17T00:00:00"/>
    <m/>
    <x v="714"/>
    <n v="8"/>
    <n v="2022"/>
    <x v="2"/>
    <x v="1"/>
    <m/>
    <x v="2"/>
    <m/>
    <x v="0"/>
    <x v="29"/>
    <m/>
    <m/>
    <x v="15"/>
    <x v="0"/>
    <m/>
    <s v="REALIZADO"/>
    <m/>
    <m/>
    <m/>
    <m/>
    <x v="0"/>
    <m/>
    <m/>
    <x v="0"/>
    <x v="0"/>
    <m/>
    <m/>
    <x v="0"/>
    <s v="PENDIENTE"/>
    <m/>
    <m/>
    <m/>
    <m/>
    <m/>
    <x v="0"/>
    <m/>
    <m/>
    <m/>
    <m/>
    <m/>
    <m/>
    <m/>
    <m/>
  </r>
  <r>
    <n v="2022"/>
    <s v="S-S"/>
    <x v="1"/>
    <x v="3"/>
    <m/>
    <m/>
    <x v="2023"/>
    <s v="2022-183"/>
    <x v="1704"/>
    <d v="2022-05-17T00:00:00"/>
    <m/>
    <m/>
    <s v="PENDIENTE"/>
    <n v="207578"/>
    <x v="8"/>
    <x v="59"/>
    <x v="8"/>
    <d v="2022-05-17T00:00:00"/>
    <s v="CAD"/>
    <m/>
    <m/>
    <m/>
    <m/>
    <s v="PENDIENTE"/>
    <s v="CFR"/>
    <m/>
    <x v="189"/>
    <n v="525"/>
    <m/>
    <x v="1653"/>
    <x v="3"/>
    <s v="Granel - BB"/>
    <m/>
    <s v="25 kg"/>
    <m/>
    <s v="ROMERO FERTILIZANTES"/>
    <s v="MAYO -JUNIO '22"/>
    <x v="1"/>
    <d v="2022-06-27T00:00:00"/>
    <d v="2022-07-29T00:00:00"/>
    <d v="2022-08-12T00:00:00"/>
    <x v="838"/>
    <d v="2022-09-23T00:00:00"/>
    <m/>
    <x v="961"/>
    <n v="9"/>
    <n v="2022"/>
    <x v="2"/>
    <x v="1"/>
    <s v="TIANJIN"/>
    <x v="2"/>
    <m/>
    <x v="3"/>
    <x v="29"/>
    <m/>
    <m/>
    <x v="15"/>
    <x v="0"/>
    <m/>
    <s v="PENDIENTE"/>
    <m/>
    <m/>
    <m/>
    <m/>
    <x v="0"/>
    <m/>
    <m/>
    <x v="0"/>
    <x v="0"/>
    <m/>
    <m/>
    <x v="0"/>
    <e v="#REF!"/>
    <m/>
    <m/>
    <m/>
    <m/>
    <m/>
    <x v="0"/>
    <m/>
    <m/>
    <m/>
    <m/>
    <m/>
    <m/>
    <m/>
    <m/>
  </r>
  <r>
    <n v="2022"/>
    <s v="E-S"/>
    <x v="1"/>
    <x v="3"/>
    <m/>
    <m/>
    <x v="2024"/>
    <s v="2022-177"/>
    <x v="1705"/>
    <d v="2022-05-23T00:00:00"/>
    <m/>
    <m/>
    <s v="PENDIENTE"/>
    <n v="206613"/>
    <x v="81"/>
    <x v="10"/>
    <x v="911"/>
    <d v="2022-05-17T00:00:00"/>
    <s v="CAD"/>
    <m/>
    <m/>
    <m/>
    <m/>
    <s v="PENDIENTE"/>
    <s v="CFR"/>
    <m/>
    <x v="623"/>
    <n v="970"/>
    <m/>
    <x v="1654"/>
    <x v="5"/>
    <s v="Contenedor 20'"/>
    <m/>
    <s v="Granel Sólido"/>
    <m/>
    <m/>
    <s v="JUNIO '22"/>
    <x v="1"/>
    <d v="2022-06-27T00:00:00"/>
    <d v="2022-06-27T00:00:00"/>
    <d v="2022-08-12T00:00:00"/>
    <x v="889"/>
    <d v="2022-08-16T00:00:00"/>
    <m/>
    <x v="962"/>
    <n v="8"/>
    <n v="2022"/>
    <x v="2"/>
    <x v="8"/>
    <s v="TEESPORT / UK"/>
    <x v="2"/>
    <m/>
    <x v="0"/>
    <x v="29"/>
    <m/>
    <m/>
    <x v="15"/>
    <x v="5"/>
    <m/>
    <s v="PENDIENTE"/>
    <m/>
    <m/>
    <m/>
    <m/>
    <x v="0"/>
    <m/>
    <m/>
    <x v="0"/>
    <x v="0"/>
    <m/>
    <m/>
    <x v="0"/>
    <e v="#REF!"/>
    <m/>
    <m/>
    <m/>
    <m/>
    <m/>
    <x v="0"/>
    <m/>
    <m/>
    <m/>
    <m/>
    <m/>
    <m/>
    <m/>
    <m/>
  </r>
  <r>
    <n v="2022"/>
    <s v="G-S"/>
    <x v="1"/>
    <x v="3"/>
    <m/>
    <m/>
    <x v="2025"/>
    <s v="2022-163"/>
    <x v="1706"/>
    <d v="2022-05-23T00:00:00"/>
    <m/>
    <m/>
    <s v="PENDIENTE"/>
    <n v="203616"/>
    <x v="15"/>
    <x v="37"/>
    <x v="912"/>
    <d v="2022-05-23T00:00:00"/>
    <s v="CAD"/>
    <m/>
    <m/>
    <m/>
    <m/>
    <s v="PENDIENTE"/>
    <s v="CFR"/>
    <m/>
    <x v="17"/>
    <n v="415"/>
    <m/>
    <x v="1655"/>
    <x v="3"/>
    <s v="Granel"/>
    <m/>
    <s v="Granel Sólido"/>
    <m/>
    <m/>
    <s v="JUNIO '22"/>
    <x v="1"/>
    <d v="2022-06-16T00:00:00"/>
    <d v="2022-06-16T00:00:00"/>
    <d v="2022-07-27T00:00:00"/>
    <x v="879"/>
    <d v="2022-07-29T00:00:00"/>
    <m/>
    <x v="928"/>
    <n v="8"/>
    <n v="2022"/>
    <x v="2"/>
    <x v="1"/>
    <m/>
    <x v="0"/>
    <s v="TPE"/>
    <x v="0"/>
    <x v="29"/>
    <m/>
    <m/>
    <x v="15"/>
    <x v="0"/>
    <m/>
    <s v="PENDIENTE"/>
    <m/>
    <m/>
    <m/>
    <m/>
    <x v="0"/>
    <m/>
    <m/>
    <x v="0"/>
    <x v="0"/>
    <m/>
    <m/>
    <x v="0"/>
    <e v="#REF!"/>
    <m/>
    <m/>
    <m/>
    <m/>
    <m/>
    <x v="0"/>
    <m/>
    <m/>
    <m/>
    <m/>
    <m/>
    <m/>
    <m/>
    <m/>
  </r>
  <r>
    <n v="2022"/>
    <s v="G-S"/>
    <x v="1"/>
    <x v="3"/>
    <m/>
    <m/>
    <x v="2026"/>
    <s v="2022-163"/>
    <x v="1707"/>
    <d v="2022-05-23T00:00:00"/>
    <m/>
    <m/>
    <s v="PENDIENTE"/>
    <n v="203616"/>
    <x v="15"/>
    <x v="37"/>
    <x v="912"/>
    <d v="2022-05-23T00:00:00"/>
    <s v="CAD"/>
    <m/>
    <m/>
    <m/>
    <m/>
    <s v="PENDIENTE"/>
    <s v="CFR"/>
    <m/>
    <x v="70"/>
    <n v="415"/>
    <m/>
    <x v="1656"/>
    <x v="3"/>
    <s v="Granel"/>
    <m/>
    <s v="Granel Sólido"/>
    <m/>
    <m/>
    <s v="JUNIO '22"/>
    <x v="1"/>
    <d v="2022-06-16T00:00:00"/>
    <d v="2022-06-16T00:00:00"/>
    <d v="2022-07-30T00:00:00"/>
    <x v="857"/>
    <d v="2022-08-01T00:00:00"/>
    <m/>
    <x v="954"/>
    <n v="8"/>
    <n v="2022"/>
    <x v="2"/>
    <x v="1"/>
    <m/>
    <x v="1"/>
    <s v="TISUR"/>
    <x v="0"/>
    <x v="29"/>
    <m/>
    <m/>
    <x v="15"/>
    <x v="0"/>
    <m/>
    <s v="PENDIENTE"/>
    <m/>
    <m/>
    <m/>
    <m/>
    <x v="0"/>
    <m/>
    <m/>
    <x v="0"/>
    <x v="0"/>
    <m/>
    <m/>
    <x v="0"/>
    <e v="#REF!"/>
    <m/>
    <m/>
    <m/>
    <m/>
    <m/>
    <x v="0"/>
    <m/>
    <m/>
    <m/>
    <m/>
    <m/>
    <m/>
    <m/>
    <m/>
  </r>
  <r>
    <n v="2022"/>
    <s v="G-S"/>
    <x v="1"/>
    <x v="3"/>
    <m/>
    <m/>
    <x v="2027"/>
    <s v="2022-163"/>
    <x v="1708"/>
    <d v="2022-05-23T00:00:00"/>
    <m/>
    <m/>
    <s v="PENDIENTE"/>
    <n v="203616"/>
    <x v="15"/>
    <x v="37"/>
    <x v="912"/>
    <d v="2022-05-23T00:00:00"/>
    <s v="CAD"/>
    <m/>
    <m/>
    <m/>
    <m/>
    <s v="PENDIENTE"/>
    <s v="CFR"/>
    <m/>
    <x v="70"/>
    <n v="415"/>
    <m/>
    <x v="1656"/>
    <x v="3"/>
    <s v="Granel"/>
    <m/>
    <s v="Granel Sólido"/>
    <m/>
    <m/>
    <s v="JUNIO '22"/>
    <x v="1"/>
    <d v="2022-06-16T00:00:00"/>
    <d v="2022-06-16T00:00:00"/>
    <d v="2022-08-02T00:00:00"/>
    <x v="880"/>
    <d v="2022-08-05T00:00:00"/>
    <m/>
    <x v="938"/>
    <n v="8"/>
    <n v="2022"/>
    <x v="2"/>
    <x v="1"/>
    <m/>
    <x v="2"/>
    <m/>
    <x v="0"/>
    <x v="29"/>
    <m/>
    <m/>
    <x v="15"/>
    <x v="0"/>
    <m/>
    <s v="PENDIENTE"/>
    <m/>
    <m/>
    <m/>
    <m/>
    <x v="0"/>
    <m/>
    <m/>
    <x v="0"/>
    <x v="0"/>
    <m/>
    <m/>
    <x v="0"/>
    <e v="#REF!"/>
    <m/>
    <m/>
    <m/>
    <m/>
    <m/>
    <x v="0"/>
    <m/>
    <m/>
    <m/>
    <m/>
    <m/>
    <m/>
    <m/>
    <m/>
  </r>
  <r>
    <n v="2022"/>
    <s v="E-E"/>
    <x v="1"/>
    <x v="3"/>
    <m/>
    <m/>
    <x v="2028"/>
    <s v="2022-181"/>
    <x v="1709"/>
    <d v="2022-05-26T00:00:00"/>
    <m/>
    <m/>
    <s v="PENDIENTE"/>
    <n v="205996"/>
    <x v="126"/>
    <x v="59"/>
    <x v="8"/>
    <d v="2022-05-25T00:00:00"/>
    <s v="CAD"/>
    <m/>
    <m/>
    <m/>
    <m/>
    <s v="PENDIENTE"/>
    <s v="CFR"/>
    <m/>
    <x v="687"/>
    <n v="2885"/>
    <m/>
    <x v="1657"/>
    <x v="3"/>
    <s v="Granel - BB"/>
    <m/>
    <s v="25 kg"/>
    <n v="1.05"/>
    <s v="VALUCID PK 0-60-20"/>
    <s v="JUNIO '22"/>
    <x v="0"/>
    <d v="2022-06-30T00:00:00"/>
    <d v="2022-06-30T00:00:00"/>
    <d v="2022-08-15T00:00:00"/>
    <x v="890"/>
    <d v="2022-08-25T00:00:00"/>
    <m/>
    <x v="963"/>
    <n v="8"/>
    <n v="2022"/>
    <x v="2"/>
    <x v="1"/>
    <m/>
    <x v="2"/>
    <m/>
    <x v="0"/>
    <x v="29"/>
    <m/>
    <m/>
    <x v="15"/>
    <x v="0"/>
    <m/>
    <s v="REALIZADO"/>
    <m/>
    <m/>
    <m/>
    <m/>
    <x v="0"/>
    <m/>
    <m/>
    <x v="0"/>
    <x v="0"/>
    <m/>
    <m/>
    <x v="0"/>
    <e v="#REF!"/>
    <m/>
    <m/>
    <m/>
    <m/>
    <m/>
    <x v="0"/>
    <s v="3 HORAS EXTRAS PARA LA RECEPCION POR DEMORA EN APM. TOTAL PEN 255.00"/>
    <m/>
    <m/>
    <m/>
    <s v="NACIONALIZADO"/>
    <m/>
    <m/>
    <m/>
  </r>
  <r>
    <n v="2022"/>
    <s v="S-S"/>
    <x v="1"/>
    <x v="3"/>
    <s v="URGENTE"/>
    <m/>
    <x v="2029"/>
    <s v="2022-215"/>
    <x v="1710"/>
    <d v="2022-05-26T00:00:00"/>
    <m/>
    <m/>
    <s v="PENDIENTE"/>
    <n v="206713"/>
    <x v="3"/>
    <x v="51"/>
    <x v="16"/>
    <d v="2022-06-01T00:00:00"/>
    <s v="CAD"/>
    <m/>
    <m/>
    <m/>
    <m/>
    <s v="PENDIENTE"/>
    <s v="CFR"/>
    <m/>
    <x v="128"/>
    <n v="1450"/>
    <m/>
    <x v="1636"/>
    <x v="57"/>
    <s v="Granel - BB"/>
    <m/>
    <s v="BB - Granel"/>
    <n v="1.2"/>
    <s v="-"/>
    <s v="JUNIO - JULIO '22"/>
    <x v="1"/>
    <d v="2022-07-10T00:00:00"/>
    <d v="2022-07-10T00:00:00"/>
    <d v="2022-08-25T00:00:00"/>
    <x v="868"/>
    <d v="2022-09-01T00:00:00"/>
    <m/>
    <x v="964"/>
    <n v="9"/>
    <n v="2022"/>
    <x v="2"/>
    <x v="11"/>
    <m/>
    <x v="0"/>
    <s v="TPE"/>
    <x v="0"/>
    <x v="29"/>
    <m/>
    <m/>
    <x v="15"/>
    <x v="0"/>
    <m/>
    <s v="PENDIENTE"/>
    <m/>
    <m/>
    <m/>
    <m/>
    <x v="0"/>
    <m/>
    <m/>
    <x v="0"/>
    <x v="0"/>
    <m/>
    <m/>
    <x v="0"/>
    <e v="#REF!"/>
    <m/>
    <m/>
    <m/>
    <m/>
    <m/>
    <x v="0"/>
    <m/>
    <m/>
    <m/>
    <m/>
    <m/>
    <m/>
    <m/>
    <m/>
  </r>
  <r>
    <n v="2022"/>
    <s v="S-S"/>
    <x v="1"/>
    <x v="3"/>
    <s v="URGENTE"/>
    <m/>
    <x v="2030"/>
    <s v="2022-216"/>
    <x v="1711"/>
    <d v="2022-05-26T00:00:00"/>
    <m/>
    <m/>
    <s v="PENDIENTE"/>
    <n v="206713"/>
    <x v="3"/>
    <x v="51"/>
    <x v="16"/>
    <d v="2022-06-01T00:00:00"/>
    <s v="CAD"/>
    <m/>
    <m/>
    <m/>
    <m/>
    <s v="PENDIENTE"/>
    <s v="CFR"/>
    <m/>
    <x v="94"/>
    <n v="1450"/>
    <m/>
    <x v="1658"/>
    <x v="57"/>
    <s v="Granel - BB"/>
    <m/>
    <s v="BB - Granel"/>
    <n v="1.2"/>
    <s v="-"/>
    <s v="JUNIO - JULIO '22"/>
    <x v="1"/>
    <d v="2022-07-10T00:00:00"/>
    <d v="2022-07-10T00:00:00"/>
    <d v="2022-08-25T00:00:00"/>
    <x v="868"/>
    <d v="2022-09-04T00:00:00"/>
    <m/>
    <x v="856"/>
    <n v="9"/>
    <n v="2022"/>
    <x v="2"/>
    <x v="11"/>
    <m/>
    <x v="2"/>
    <m/>
    <x v="0"/>
    <x v="29"/>
    <m/>
    <m/>
    <x v="15"/>
    <x v="0"/>
    <m/>
    <s v="PENDIENTE"/>
    <m/>
    <m/>
    <m/>
    <m/>
    <x v="0"/>
    <m/>
    <m/>
    <x v="0"/>
    <x v="0"/>
    <m/>
    <m/>
    <x v="0"/>
    <e v="#REF!"/>
    <m/>
    <m/>
    <m/>
    <m/>
    <m/>
    <x v="0"/>
    <m/>
    <m/>
    <m/>
    <m/>
    <m/>
    <m/>
    <m/>
    <m/>
  </r>
  <r>
    <n v="2022"/>
    <m/>
    <x v="1"/>
    <x v="3"/>
    <s v="URGENTE"/>
    <m/>
    <x v="2031"/>
    <m/>
    <x v="34"/>
    <m/>
    <m/>
    <m/>
    <s v="PENDIENTE"/>
    <n v="208067"/>
    <x v="115"/>
    <x v="53"/>
    <x v="913"/>
    <d v="2022-05-28T00:00:00"/>
    <n v="30"/>
    <s v="días FACT."/>
    <m/>
    <m/>
    <m/>
    <s v="PENDIENTE"/>
    <m/>
    <m/>
    <x v="250"/>
    <m/>
    <m/>
    <x v="1482"/>
    <x v="20"/>
    <s v="Contenedor 20'"/>
    <m/>
    <s v="25 KG"/>
    <s v="-"/>
    <s v="YARATERA CALCINIT"/>
    <s v="JUNIO '22"/>
    <x v="1"/>
    <d v="2022-06-17T00:00:00"/>
    <d v="2022-06-17T00:00:00"/>
    <d v="2022-06-21T00:00:00"/>
    <x v="881"/>
    <d v="2022-06-25T00:00:00"/>
    <m/>
    <x v="965"/>
    <n v="6"/>
    <n v="2022"/>
    <x v="1"/>
    <x v="9"/>
    <s v="CARTAGENA"/>
    <x v="0"/>
    <s v="TPE"/>
    <x v="0"/>
    <x v="1439"/>
    <m/>
    <m/>
    <x v="15"/>
    <x v="9"/>
    <s v="IAN TAYLOR"/>
    <s v="PENDIENTE"/>
    <m/>
    <m/>
    <m/>
    <m/>
    <x v="0"/>
    <d v="2022-07-06T00:00:00"/>
    <m/>
    <x v="0"/>
    <x v="0"/>
    <m/>
    <m/>
    <x v="0"/>
    <s v="PENDIENTE"/>
    <s v="N/A"/>
    <s v="N/A"/>
    <s v="N/A"/>
    <s v="N/A"/>
    <s v="N/A"/>
    <x v="1"/>
    <m/>
    <m/>
    <m/>
    <m/>
    <m/>
    <m/>
    <m/>
    <m/>
  </r>
  <r>
    <n v="2022"/>
    <m/>
    <x v="1"/>
    <x v="3"/>
    <s v="URGENTE"/>
    <m/>
    <x v="2032"/>
    <m/>
    <x v="34"/>
    <m/>
    <m/>
    <m/>
    <s v="PENDIENTE"/>
    <n v="208067"/>
    <x v="115"/>
    <x v="53"/>
    <x v="914"/>
    <d v="2022-05-28T00:00:00"/>
    <n v="30"/>
    <s v="días FACT."/>
    <m/>
    <m/>
    <m/>
    <s v="PENDIENTE"/>
    <m/>
    <m/>
    <x v="538"/>
    <m/>
    <m/>
    <x v="1482"/>
    <x v="2"/>
    <s v="Contenedor 20'"/>
    <m/>
    <s v="25 KG"/>
    <s v="-"/>
    <s v="YARATERA CALCINIT"/>
    <s v="JUNIO '22"/>
    <x v="1"/>
    <d v="2022-06-23T00:00:00"/>
    <d v="2022-06-23T00:00:00"/>
    <d v="2022-06-29T00:00:00"/>
    <x v="864"/>
    <d v="2022-07-03T00:00:00"/>
    <m/>
    <x v="927"/>
    <n v="7"/>
    <n v="2022"/>
    <x v="1"/>
    <x v="9"/>
    <s v="CARTAGENA"/>
    <x v="2"/>
    <m/>
    <x v="0"/>
    <x v="29"/>
    <m/>
    <s v="SANTOS EXPRESS"/>
    <x v="15"/>
    <x v="9"/>
    <s v="IAN TAYLOR"/>
    <s v="PENDIENTE"/>
    <m/>
    <m/>
    <m/>
    <m/>
    <x v="0"/>
    <d v="2022-07-14T00:00:00"/>
    <m/>
    <x v="0"/>
    <x v="0"/>
    <m/>
    <m/>
    <x v="0"/>
    <s v="PENDIENTE"/>
    <s v="N/A"/>
    <s v="N/A"/>
    <s v="N/A"/>
    <s v="N/A"/>
    <s v="N/A"/>
    <x v="1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E1139D-6839-49F8-A6F8-44D5C8BE43AD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gridDropZones="1" multipleFieldFilters="0">
  <location ref="A5:Y45" firstHeaderRow="2" firstDataRow="2" firstDataCol="19" rowPageCount="2" colPageCount="1"/>
  <pivotFields count="89">
    <pivotField compact="0" numFmtId="1" outline="0" showAll="0"/>
    <pivotField compact="0" outline="0" showAll="0"/>
    <pivotField axis="axisPage" compact="0" outline="0" showAll="0">
      <items count="3">
        <item x="0"/>
        <item x="1"/>
        <item t="default"/>
      </items>
    </pivotField>
    <pivotField axis="axisRow" compact="0" outline="0" showAll="0" includeNewItemsInFilter="1" defaultSubtotal="0">
      <items count="8">
        <item h="1" x="1"/>
        <item x="4"/>
        <item x="5"/>
        <item x="6"/>
        <item h="1" x="3"/>
        <item h="1" x="2"/>
        <item x="7"/>
        <item x="0"/>
      </items>
    </pivotField>
    <pivotField compact="0" outline="0" showAll="0"/>
    <pivotField compact="0" outline="0" showAll="0"/>
    <pivotField axis="axisRow" compact="0" outline="0" showAll="0" defaultSubtotal="0">
      <items count="20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1546"/>
        <item x="29"/>
        <item x="232"/>
        <item x="804"/>
        <item x="1313"/>
        <item x="471"/>
        <item x="1878"/>
        <item x="472"/>
        <item x="1879"/>
        <item x="1880"/>
        <item x="1881"/>
        <item x="1882"/>
        <item x="473"/>
        <item x="474"/>
        <item x="1883"/>
        <item x="30"/>
        <item x="233"/>
        <item x="805"/>
        <item x="1314"/>
        <item x="1884"/>
        <item x="475"/>
        <item x="476"/>
        <item x="477"/>
        <item x="478"/>
        <item x="31"/>
        <item x="234"/>
        <item x="1315"/>
        <item x="479"/>
        <item x="806"/>
        <item x="1887"/>
        <item x="480"/>
        <item x="1888"/>
        <item x="807"/>
        <item x="808"/>
        <item x="481"/>
        <item x="1889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1317"/>
        <item x="32"/>
        <item x="809"/>
        <item x="1316"/>
        <item x="235"/>
        <item x="499"/>
        <item x="1890"/>
        <item x="236"/>
        <item x="500"/>
        <item x="1891"/>
        <item x="501"/>
        <item x="810"/>
        <item x="811"/>
        <item x="33"/>
        <item x="1318"/>
        <item x="1892"/>
        <item x="237"/>
        <item x="502"/>
        <item x="238"/>
        <item x="503"/>
        <item x="504"/>
        <item x="505"/>
        <item x="506"/>
        <item x="34"/>
        <item x="507"/>
        <item x="812"/>
        <item x="1319"/>
        <item x="1893"/>
        <item x="239"/>
        <item x="240"/>
        <item x="35"/>
        <item x="508"/>
        <item x="813"/>
        <item x="241"/>
        <item x="1894"/>
        <item x="1320"/>
        <item x="1321"/>
        <item x="1322"/>
        <item x="1323"/>
        <item x="242"/>
        <item x="1324"/>
        <item x="1895"/>
        <item x="1896"/>
        <item x="1897"/>
        <item x="36"/>
        <item x="509"/>
        <item x="814"/>
        <item x="1898"/>
        <item x="243"/>
        <item x="1325"/>
        <item x="1326"/>
        <item x="1327"/>
        <item x="244"/>
        <item x="1328"/>
        <item x="1329"/>
        <item x="1330"/>
        <item x="1331"/>
        <item x="1332"/>
        <item x="1333"/>
        <item x="1334"/>
        <item x="37"/>
        <item x="1899"/>
        <item x="245"/>
        <item x="510"/>
        <item x="815"/>
        <item x="246"/>
        <item x="511"/>
        <item x="816"/>
        <item x="1335"/>
        <item x="1336"/>
        <item x="1337"/>
        <item x="1338"/>
        <item x="1339"/>
        <item x="1340"/>
        <item x="38"/>
        <item x="247"/>
        <item x="1900"/>
        <item x="512"/>
        <item x="817"/>
        <item x="513"/>
        <item x="818"/>
        <item x="39"/>
        <item x="819"/>
        <item x="1341"/>
        <item x="1901"/>
        <item x="248"/>
        <item x="514"/>
        <item x="249"/>
        <item x="515"/>
        <item x="250"/>
        <item x="40"/>
        <item x="251"/>
        <item x="1342"/>
        <item x="820"/>
        <item x="1902"/>
        <item x="516"/>
        <item x="517"/>
        <item x="518"/>
        <item x="821"/>
        <item x="1903"/>
        <item x="822"/>
        <item x="1904"/>
        <item x="823"/>
        <item x="1905"/>
        <item x="824"/>
        <item x="1906"/>
        <item x="1907"/>
        <item x="41"/>
        <item x="519"/>
        <item x="1343"/>
        <item x="1908"/>
        <item x="252"/>
        <item x="825"/>
        <item x="253"/>
        <item x="254"/>
        <item x="255"/>
        <item x="256"/>
        <item x="826"/>
        <item x="827"/>
        <item x="828"/>
        <item x="42"/>
        <item x="520"/>
        <item x="1344"/>
        <item x="1909"/>
        <item x="257"/>
        <item x="829"/>
        <item x="258"/>
        <item x="830"/>
        <item x="831"/>
        <item x="832"/>
        <item x="43"/>
        <item x="259"/>
        <item x="521"/>
        <item x="1910"/>
        <item x="833"/>
        <item x="1345"/>
        <item x="834"/>
        <item x="1346"/>
        <item x="835"/>
        <item x="1347"/>
        <item x="1348"/>
        <item x="836"/>
        <item x="837"/>
        <item x="44"/>
        <item x="1911"/>
        <item x="260"/>
        <item x="838"/>
        <item x="1349"/>
        <item x="522"/>
        <item x="523"/>
        <item x="261"/>
        <item x="839"/>
        <item x="1350"/>
        <item x="840"/>
        <item x="1351"/>
        <item x="841"/>
        <item x="1352"/>
        <item x="1353"/>
        <item x="524"/>
        <item x="1912"/>
        <item x="45"/>
        <item x="262"/>
        <item x="842"/>
        <item x="1354"/>
        <item x="46"/>
        <item x="263"/>
        <item x="843"/>
        <item x="1355"/>
        <item x="844"/>
        <item x="845"/>
        <item x="264"/>
        <item x="525"/>
        <item x="1356"/>
        <item x="1913"/>
        <item x="47"/>
        <item x="846"/>
        <item x="48"/>
        <item x="847"/>
        <item x="848"/>
        <item x="849"/>
        <item x="49"/>
        <item x="265"/>
        <item x="526"/>
        <item x="850"/>
        <item x="1357"/>
        <item x="1914"/>
        <item x="1915"/>
        <item x="50"/>
        <item x="266"/>
        <item x="851"/>
        <item x="1358"/>
        <item x="1916"/>
        <item x="527"/>
        <item x="528"/>
        <item x="1917"/>
        <item x="1918"/>
        <item x="1919"/>
        <item x="51"/>
        <item x="529"/>
        <item x="852"/>
        <item x="1359"/>
        <item x="267"/>
        <item x="1920"/>
        <item x="268"/>
        <item x="1921"/>
        <item x="269"/>
        <item x="270"/>
        <item x="530"/>
        <item x="1922"/>
        <item x="52"/>
        <item x="853"/>
        <item x="1360"/>
        <item x="53"/>
        <item x="854"/>
        <item x="1361"/>
        <item x="54"/>
        <item x="855"/>
        <item x="1362"/>
        <item x="55"/>
        <item x="1363"/>
        <item x="56"/>
        <item x="1364"/>
        <item x="856"/>
        <item x="1365"/>
        <item x="57"/>
        <item x="271"/>
        <item x="1923"/>
        <item x="531"/>
        <item x="533"/>
        <item x="535"/>
        <item x="58"/>
        <item x="272"/>
        <item x="1924"/>
        <item x="532"/>
        <item x="534"/>
        <item x="536"/>
        <item x="59"/>
        <item x="273"/>
        <item x="1925"/>
        <item x="60"/>
        <item x="274"/>
        <item x="1926"/>
        <item x="1366"/>
        <item x="1367"/>
        <item x="857"/>
        <item x="1927"/>
        <item x="61"/>
        <item x="275"/>
        <item x="537"/>
        <item x="62"/>
        <item x="276"/>
        <item x="538"/>
        <item x="63"/>
        <item x="277"/>
        <item x="64"/>
        <item x="278"/>
        <item x="65"/>
        <item x="279"/>
        <item x="280"/>
        <item x="539"/>
        <item x="858"/>
        <item x="1928"/>
        <item x="66"/>
        <item x="1368"/>
        <item x="67"/>
        <item x="1369"/>
        <item x="68"/>
        <item x="1370"/>
        <item x="69"/>
        <item x="1371"/>
        <item x="70"/>
        <item x="1372"/>
        <item x="71"/>
        <item x="859"/>
        <item x="1929"/>
        <item x="281"/>
        <item x="540"/>
        <item x="1373"/>
        <item x="282"/>
        <item x="541"/>
        <item x="1374"/>
        <item x="542"/>
        <item x="1375"/>
        <item x="72"/>
        <item x="860"/>
        <item x="1930"/>
        <item x="283"/>
        <item x="1376"/>
        <item x="285"/>
        <item x="1377"/>
        <item x="543"/>
        <item x="284"/>
        <item x="286"/>
        <item x="544"/>
        <item x="1378"/>
        <item x="545"/>
        <item x="73"/>
        <item x="1931"/>
        <item x="287"/>
        <item x="546"/>
        <item x="861"/>
        <item x="1379"/>
        <item x="1380"/>
        <item x="288"/>
        <item x="547"/>
        <item x="862"/>
        <item x="1381"/>
        <item x="1382"/>
        <item x="1383"/>
        <item x="548"/>
        <item x="863"/>
        <item x="1384"/>
        <item x="74"/>
        <item x="289"/>
        <item x="549"/>
        <item x="864"/>
        <item x="1385"/>
        <item x="1932"/>
        <item x="290"/>
        <item x="550"/>
        <item x="865"/>
        <item x="1386"/>
        <item x="1933"/>
        <item x="1934"/>
        <item x="1935"/>
        <item x="551"/>
        <item x="866"/>
        <item x="552"/>
        <item x="1936"/>
        <item x="1937"/>
        <item x="1938"/>
        <item x="553"/>
        <item x="1941"/>
        <item x="1942"/>
        <item x="1943"/>
        <item x="1944"/>
        <item x="1945"/>
        <item x="1946"/>
        <item x="1947"/>
        <item x="1948"/>
        <item x="1949"/>
        <item x="291"/>
        <item x="1950"/>
        <item x="75"/>
        <item x="554"/>
        <item x="867"/>
        <item x="1387"/>
        <item x="76"/>
        <item x="555"/>
        <item x="868"/>
        <item x="1388"/>
        <item x="556"/>
        <item x="869"/>
        <item x="1389"/>
        <item x="557"/>
        <item x="558"/>
        <item x="870"/>
        <item x="871"/>
        <item x="872"/>
        <item x="292"/>
        <item x="873"/>
        <item x="1951"/>
        <item x="77"/>
        <item x="559"/>
        <item x="1390"/>
        <item x="78"/>
        <item x="560"/>
        <item x="1391"/>
        <item x="293"/>
        <item x="874"/>
        <item x="1952"/>
        <item x="79"/>
        <item x="561"/>
        <item x="1392"/>
        <item x="80"/>
        <item x="1393"/>
        <item x="562"/>
        <item x="563"/>
        <item x="564"/>
        <item x="565"/>
        <item x="294"/>
        <item x="875"/>
        <item x="1953"/>
        <item x="81"/>
        <item x="566"/>
        <item x="1394"/>
        <item x="82"/>
        <item x="567"/>
        <item x="1395"/>
        <item x="1396"/>
        <item x="1397"/>
        <item x="83"/>
        <item x="568"/>
        <item x="876"/>
        <item x="1398"/>
        <item x="1954"/>
        <item x="295"/>
        <item x="296"/>
        <item x="297"/>
        <item x="1399"/>
        <item x="1400"/>
        <item x="84"/>
        <item x="1955"/>
        <item x="298"/>
        <item x="569"/>
        <item x="877"/>
        <item x="299"/>
        <item x="570"/>
        <item x="878"/>
        <item x="300"/>
        <item x="879"/>
        <item x="301"/>
        <item x="1401"/>
        <item x="1402"/>
        <item x="85"/>
        <item x="880"/>
        <item x="1957"/>
        <item x="302"/>
        <item x="571"/>
        <item x="1956"/>
        <item x="303"/>
        <item x="572"/>
        <item x="1958"/>
        <item x="573"/>
        <item x="574"/>
        <item x="575"/>
        <item x="576"/>
        <item x="577"/>
        <item x="578"/>
        <item x="579"/>
        <item x="86"/>
        <item x="580"/>
        <item x="881"/>
        <item x="1403"/>
        <item x="1959"/>
        <item x="304"/>
        <item x="305"/>
        <item x="306"/>
        <item x="1960"/>
        <item x="307"/>
        <item x="308"/>
        <item x="309"/>
        <item x="1961"/>
        <item x="1962"/>
        <item x="581"/>
        <item x="882"/>
        <item x="1404"/>
        <item x="87"/>
        <item x="310"/>
        <item x="1963"/>
        <item x="88"/>
        <item x="1964"/>
        <item x="311"/>
        <item x="312"/>
        <item x="582"/>
        <item x="1965"/>
        <item x="89"/>
        <item x="313"/>
        <item x="1405"/>
        <item x="883"/>
        <item x="884"/>
        <item x="885"/>
        <item x="90"/>
        <item x="314"/>
        <item x="1406"/>
        <item x="886"/>
        <item x="1407"/>
        <item x="583"/>
        <item x="887"/>
        <item x="91"/>
        <item x="315"/>
        <item x="1408"/>
        <item x="1966"/>
        <item x="92"/>
        <item x="316"/>
        <item x="1409"/>
        <item x="1967"/>
        <item x="93"/>
        <item x="317"/>
        <item x="1410"/>
        <item x="1968"/>
        <item x="94"/>
        <item x="1411"/>
        <item x="1412"/>
        <item x="1413"/>
        <item x="1969"/>
        <item x="95"/>
        <item x="318"/>
        <item x="888"/>
        <item x="584"/>
        <item x="585"/>
        <item x="96"/>
        <item x="319"/>
        <item x="586"/>
        <item x="889"/>
        <item x="320"/>
        <item x="890"/>
        <item x="587"/>
        <item x="588"/>
        <item x="321"/>
        <item x="589"/>
        <item x="891"/>
        <item x="892"/>
        <item x="1414"/>
        <item x="1971"/>
        <item x="97"/>
        <item x="322"/>
        <item x="590"/>
        <item x="893"/>
        <item x="1970"/>
        <item x="98"/>
        <item x="323"/>
        <item x="591"/>
        <item x="894"/>
        <item x="1972"/>
        <item x="324"/>
        <item x="592"/>
        <item x="895"/>
        <item x="1973"/>
        <item x="325"/>
        <item x="896"/>
        <item x="1974"/>
        <item x="897"/>
        <item x="1415"/>
        <item x="1975"/>
        <item x="99"/>
        <item x="326"/>
        <item x="593"/>
        <item x="100"/>
        <item x="327"/>
        <item x="594"/>
        <item x="328"/>
        <item x="595"/>
        <item x="329"/>
        <item x="596"/>
        <item x="101"/>
        <item x="898"/>
        <item x="1416"/>
        <item x="1976"/>
        <item x="330"/>
        <item x="597"/>
        <item x="331"/>
        <item x="598"/>
        <item x="332"/>
        <item x="599"/>
        <item x="899"/>
        <item x="1417"/>
        <item x="1977"/>
        <item x="102"/>
        <item x="103"/>
        <item x="333"/>
        <item x="900"/>
        <item x="1418"/>
        <item x="1978"/>
        <item x="104"/>
        <item x="600"/>
        <item x="105"/>
        <item x="601"/>
        <item x="602"/>
        <item x="106"/>
        <item x="334"/>
        <item x="901"/>
        <item x="1419"/>
        <item x="1979"/>
        <item x="603"/>
        <item x="605"/>
        <item x="604"/>
        <item x="606"/>
        <item x="335"/>
        <item x="607"/>
        <item x="902"/>
        <item x="1420"/>
        <item x="1980"/>
        <item x="107"/>
        <item x="108"/>
        <item x="109"/>
        <item x="110"/>
        <item x="608"/>
        <item x="903"/>
        <item x="1421"/>
        <item x="1981"/>
        <item x="111"/>
        <item x="336"/>
        <item x="112"/>
        <item x="337"/>
        <item x="338"/>
        <item x="339"/>
        <item x="113"/>
        <item x="609"/>
        <item x="904"/>
        <item x="1422"/>
        <item x="1982"/>
        <item x="340"/>
        <item x="341"/>
        <item x="342"/>
        <item x="905"/>
        <item x="1423"/>
        <item x="114"/>
        <item x="343"/>
        <item x="610"/>
        <item x="1983"/>
        <item x="115"/>
        <item x="344"/>
        <item x="611"/>
        <item x="1984"/>
        <item x="345"/>
        <item x="612"/>
        <item x="1985"/>
        <item x="346"/>
        <item x="613"/>
        <item x="1986"/>
        <item x="347"/>
        <item x="1424"/>
        <item x="116"/>
        <item x="348"/>
        <item x="614"/>
        <item x="906"/>
        <item x="1987"/>
        <item x="117"/>
        <item x="615"/>
        <item x="907"/>
        <item x="1988"/>
        <item x="349"/>
        <item x="350"/>
        <item x="616"/>
        <item x="1989"/>
        <item x="617"/>
        <item x="1990"/>
        <item x="1425"/>
        <item x="118"/>
        <item x="351"/>
        <item x="618"/>
        <item x="908"/>
        <item x="1991"/>
        <item x="620"/>
        <item x="119"/>
        <item x="352"/>
        <item x="619"/>
        <item x="1992"/>
        <item x="909"/>
        <item x="910"/>
        <item x="353"/>
        <item x="621"/>
        <item x="1993"/>
        <item x="622"/>
        <item x="1994"/>
        <item x="120"/>
        <item x="354"/>
        <item x="623"/>
        <item x="1426"/>
        <item x="911"/>
        <item x="1995"/>
        <item x="912"/>
        <item x="1996"/>
        <item x="913"/>
        <item x="1997"/>
        <item x="914"/>
        <item x="915"/>
        <item x="916"/>
        <item x="917"/>
        <item x="918"/>
        <item x="919"/>
        <item x="920"/>
        <item x="121"/>
        <item x="355"/>
        <item x="624"/>
        <item x="1427"/>
        <item x="1998"/>
        <item x="1999"/>
        <item x="1428"/>
        <item x="1429"/>
        <item x="356"/>
        <item x="625"/>
        <item x="921"/>
        <item x="2000"/>
        <item x="122"/>
        <item x="123"/>
        <item x="922"/>
        <item x="923"/>
        <item x="924"/>
        <item x="1430"/>
        <item x="124"/>
        <item x="357"/>
        <item x="626"/>
        <item x="2001"/>
        <item x="125"/>
        <item x="358"/>
        <item x="627"/>
        <item x="2002"/>
        <item x="359"/>
        <item x="628"/>
        <item x="2003"/>
        <item x="360"/>
        <item x="629"/>
        <item x="630"/>
        <item x="126"/>
        <item x="631"/>
        <item x="925"/>
        <item x="1431"/>
        <item x="2004"/>
        <item x="361"/>
        <item x="362"/>
        <item x="363"/>
        <item x="364"/>
        <item x="365"/>
        <item x="127"/>
        <item x="632"/>
        <item x="926"/>
        <item x="1432"/>
        <item x="366"/>
        <item x="2005"/>
        <item x="367"/>
        <item x="2006"/>
        <item x="1433"/>
        <item x="1434"/>
        <item x="128"/>
        <item x="633"/>
        <item x="927"/>
        <item x="2007"/>
        <item x="368"/>
        <item x="369"/>
        <item x="928"/>
        <item x="2008"/>
        <item x="129"/>
        <item x="370"/>
        <item x="1435"/>
        <item x="634"/>
        <item x="635"/>
        <item x="636"/>
        <item x="130"/>
        <item x="371"/>
        <item x="1436"/>
        <item x="131"/>
        <item x="1437"/>
        <item x="1438"/>
        <item x="132"/>
        <item x="637"/>
        <item x="929"/>
        <item x="1439"/>
        <item x="2009"/>
        <item x="372"/>
        <item x="374"/>
        <item x="373"/>
        <item x="375"/>
        <item x="1440"/>
        <item x="1441"/>
        <item x="638"/>
        <item x="930"/>
        <item x="2010"/>
        <item x="133"/>
        <item x="376"/>
        <item x="134"/>
        <item x="377"/>
        <item x="378"/>
        <item x="379"/>
        <item x="135"/>
        <item x="380"/>
        <item x="639"/>
        <item x="931"/>
        <item x="1442"/>
        <item x="2011"/>
        <item x="640"/>
        <item x="932"/>
        <item x="1443"/>
        <item x="2012"/>
        <item x="136"/>
        <item x="381"/>
        <item x="137"/>
        <item x="382"/>
        <item x="138"/>
        <item x="139"/>
        <item x="140"/>
        <item x="2014"/>
        <item x="383"/>
        <item x="933"/>
        <item x="1444"/>
        <item x="2013"/>
        <item x="141"/>
        <item x="641"/>
        <item x="643"/>
        <item x="142"/>
        <item x="642"/>
        <item x="644"/>
        <item x="143"/>
        <item x="144"/>
        <item x="145"/>
        <item x="146"/>
        <item x="384"/>
        <item x="645"/>
        <item x="934"/>
        <item x="2015"/>
        <item x="1445"/>
        <item x="1446"/>
        <item x="1447"/>
        <item x="1448"/>
        <item x="1449"/>
        <item x="385"/>
        <item x="646"/>
        <item x="935"/>
        <item x="1450"/>
        <item x="2016"/>
        <item x="147"/>
        <item x="148"/>
        <item x="386"/>
        <item x="936"/>
        <item x="1451"/>
        <item x="2017"/>
        <item x="149"/>
        <item x="647"/>
        <item x="150"/>
        <item x="648"/>
        <item x="387"/>
        <item x="937"/>
        <item x="1452"/>
        <item x="151"/>
        <item x="649"/>
        <item x="2018"/>
        <item x="152"/>
        <item x="650"/>
        <item x="2019"/>
        <item x="153"/>
        <item x="154"/>
        <item x="155"/>
        <item x="388"/>
        <item x="651"/>
        <item x="938"/>
        <item x="1453"/>
        <item x="2020"/>
        <item x="652"/>
        <item x="939"/>
        <item x="156"/>
        <item x="1454"/>
        <item x="2021"/>
        <item x="389"/>
        <item x="390"/>
        <item x="157"/>
        <item x="1455"/>
        <item x="2022"/>
        <item x="158"/>
        <item x="1456"/>
        <item x="1457"/>
        <item x="653"/>
        <item x="940"/>
        <item x="2023"/>
        <item x="159"/>
        <item x="1458"/>
        <item x="391"/>
        <item x="392"/>
        <item x="160"/>
        <item x="1459"/>
        <item x="1460"/>
        <item x="1461"/>
        <item x="1462"/>
        <item x="393"/>
        <item x="941"/>
        <item x="1463"/>
        <item x="2024"/>
        <item x="161"/>
        <item x="654"/>
        <item x="162"/>
        <item x="655"/>
        <item x="394"/>
        <item x="656"/>
        <item x="942"/>
        <item x="1464"/>
        <item x="163"/>
        <item x="2025"/>
        <item x="164"/>
        <item x="2026"/>
        <item x="2027"/>
        <item x="165"/>
        <item x="395"/>
        <item x="657"/>
        <item x="943"/>
        <item x="2028"/>
        <item x="1465"/>
        <item x="1466"/>
        <item x="1467"/>
        <item x="1468"/>
        <item x="396"/>
        <item x="944"/>
        <item x="166"/>
        <item x="658"/>
        <item x="1469"/>
        <item x="2029"/>
        <item x="167"/>
        <item x="1470"/>
        <item x="2030"/>
        <item x="659"/>
        <item x="660"/>
        <item x="168"/>
        <item x="1471"/>
        <item x="169"/>
        <item x="170"/>
        <item x="397"/>
        <item x="945"/>
        <item x="2031"/>
        <item x="171"/>
        <item x="661"/>
        <item x="1472"/>
        <item x="172"/>
        <item x="662"/>
        <item x="173"/>
        <item x="663"/>
        <item x="174"/>
        <item x="664"/>
        <item x="665"/>
        <item x="946"/>
        <item x="2032"/>
        <item x="175"/>
        <item x="398"/>
        <item x="666"/>
        <item x="1473"/>
        <item x="176"/>
        <item x="399"/>
        <item x="667"/>
        <item x="1474"/>
        <item x="177"/>
        <item x="400"/>
        <item x="668"/>
        <item x="1475"/>
        <item x="178"/>
        <item x="401"/>
        <item x="669"/>
        <item x="1476"/>
        <item x="670"/>
        <item x="671"/>
        <item x="947"/>
        <item x="179"/>
        <item x="402"/>
        <item x="1477"/>
        <item x="180"/>
        <item x="403"/>
        <item x="1478"/>
        <item x="181"/>
        <item x="404"/>
        <item x="1479"/>
        <item x="182"/>
        <item x="948"/>
        <item x="949"/>
        <item x="183"/>
        <item x="1480"/>
        <item x="672"/>
        <item x="405"/>
        <item x="406"/>
        <item x="673"/>
        <item x="674"/>
        <item x="675"/>
        <item x="676"/>
        <item x="950"/>
        <item x="1481"/>
        <item x="677"/>
        <item x="184"/>
        <item x="407"/>
        <item x="185"/>
        <item x="408"/>
        <item x="186"/>
        <item x="678"/>
        <item x="679"/>
        <item x="680"/>
        <item x="681"/>
        <item x="409"/>
        <item x="682"/>
        <item x="951"/>
        <item x="1482"/>
        <item x="187"/>
        <item x="188"/>
        <item x="189"/>
        <item x="190"/>
        <item x="952"/>
        <item x="1483"/>
        <item x="410"/>
        <item x="683"/>
        <item x="411"/>
        <item x="684"/>
        <item x="685"/>
        <item x="686"/>
        <item x="687"/>
        <item x="191"/>
        <item x="953"/>
        <item x="1484"/>
        <item x="412"/>
        <item x="688"/>
        <item x="413"/>
        <item x="689"/>
        <item x="690"/>
        <item x="691"/>
        <item x="692"/>
        <item x="414"/>
        <item x="954"/>
        <item x="1485"/>
        <item x="192"/>
        <item x="693"/>
        <item x="193"/>
        <item x="694"/>
        <item x="695"/>
        <item x="696"/>
        <item x="697"/>
        <item x="415"/>
        <item x="955"/>
        <item x="1486"/>
        <item x="194"/>
        <item x="698"/>
        <item x="195"/>
        <item x="699"/>
        <item x="196"/>
        <item x="197"/>
        <item x="198"/>
        <item x="700"/>
        <item x="956"/>
        <item x="1487"/>
        <item x="199"/>
        <item x="416"/>
        <item x="200"/>
        <item x="417"/>
        <item x="201"/>
        <item x="418"/>
        <item x="701"/>
        <item x="957"/>
        <item x="1488"/>
        <item x="202"/>
        <item x="419"/>
        <item x="203"/>
        <item x="420"/>
        <item x="204"/>
        <item x="205"/>
        <item x="702"/>
        <item x="958"/>
        <item x="1489"/>
        <item x="206"/>
        <item x="421"/>
        <item x="207"/>
        <item x="422"/>
        <item x="208"/>
        <item x="209"/>
        <item x="210"/>
        <item x="423"/>
        <item x="703"/>
        <item x="959"/>
        <item x="1490"/>
        <item x="1491"/>
        <item x="1492"/>
        <item x="1493"/>
        <item x="704"/>
        <item x="960"/>
        <item x="424"/>
        <item x="425"/>
        <item x="426"/>
        <item x="211"/>
        <item x="212"/>
        <item x="427"/>
        <item x="705"/>
        <item x="961"/>
        <item x="1494"/>
        <item x="213"/>
        <item x="428"/>
        <item x="214"/>
        <item x="429"/>
        <item x="706"/>
        <item x="962"/>
        <item x="1495"/>
        <item x="215"/>
        <item x="430"/>
        <item x="216"/>
        <item x="431"/>
        <item x="432"/>
        <item x="963"/>
        <item x="1496"/>
        <item x="433"/>
        <item x="217"/>
        <item x="707"/>
        <item x="218"/>
        <item x="708"/>
        <item x="434"/>
        <item x="219"/>
        <item x="709"/>
        <item x="220"/>
        <item x="710"/>
        <item x="435"/>
        <item x="436"/>
        <item x="437"/>
        <item x="438"/>
        <item x="221"/>
        <item x="964"/>
        <item x="1497"/>
        <item x="439"/>
        <item x="711"/>
        <item x="440"/>
        <item x="712"/>
        <item x="441"/>
        <item x="965"/>
        <item x="1498"/>
        <item x="222"/>
        <item x="713"/>
        <item x="223"/>
        <item x="714"/>
        <item x="1499"/>
        <item x="1500"/>
        <item x="442"/>
        <item x="966"/>
        <item x="224"/>
        <item x="715"/>
        <item x="716"/>
        <item x="717"/>
        <item x="718"/>
        <item x="225"/>
        <item x="226"/>
        <item x="443"/>
        <item x="967"/>
        <item x="1501"/>
        <item x="719"/>
        <item x="720"/>
        <item x="721"/>
        <item x="722"/>
        <item x="723"/>
        <item x="227"/>
        <item x="968"/>
        <item x="1502"/>
        <item x="444"/>
        <item x="445"/>
        <item x="446"/>
        <item x="447"/>
        <item x="1504"/>
        <item x="1503"/>
        <item x="1506"/>
        <item x="1505"/>
        <item x="228"/>
        <item x="448"/>
        <item x="969"/>
        <item x="724"/>
        <item x="725"/>
        <item x="229"/>
        <item x="449"/>
        <item x="726"/>
        <item x="970"/>
        <item x="230"/>
        <item x="231"/>
        <item x="727"/>
        <item x="971"/>
        <item x="1507"/>
        <item x="450"/>
        <item x="451"/>
        <item x="452"/>
        <item x="1508"/>
        <item x="972"/>
        <item x="453"/>
        <item x="728"/>
        <item x="454"/>
        <item x="729"/>
        <item x="455"/>
        <item x="973"/>
        <item x="974"/>
        <item x="975"/>
        <item x="456"/>
        <item x="1509"/>
        <item x="976"/>
        <item x="730"/>
        <item x="731"/>
        <item x="977"/>
        <item x="732"/>
        <item x="733"/>
        <item x="978"/>
        <item x="979"/>
        <item x="1510"/>
        <item x="457"/>
        <item x="734"/>
        <item x="980"/>
        <item x="458"/>
        <item x="735"/>
        <item x="981"/>
        <item x="459"/>
        <item x="982"/>
        <item x="460"/>
        <item x="983"/>
        <item x="736"/>
        <item x="1511"/>
        <item x="737"/>
        <item x="1512"/>
        <item x="1513"/>
        <item x="738"/>
        <item x="1514"/>
        <item x="461"/>
        <item x="984"/>
        <item x="462"/>
        <item x="985"/>
        <item x="986"/>
        <item x="463"/>
        <item x="1515"/>
        <item x="739"/>
        <item x="740"/>
        <item x="464"/>
        <item x="741"/>
        <item x="1516"/>
        <item x="742"/>
        <item x="1517"/>
        <item x="743"/>
        <item x="744"/>
        <item x="465"/>
        <item x="1518"/>
        <item x="745"/>
        <item x="987"/>
        <item x="746"/>
        <item x="988"/>
        <item x="989"/>
        <item x="747"/>
        <item x="748"/>
        <item x="749"/>
        <item x="1519"/>
        <item x="1520"/>
        <item x="990"/>
        <item x="466"/>
        <item x="750"/>
        <item x="467"/>
        <item x="751"/>
        <item x="468"/>
        <item x="752"/>
        <item x="753"/>
        <item x="754"/>
        <item x="991"/>
        <item x="1521"/>
        <item x="469"/>
        <item x="470"/>
        <item x="755"/>
        <item x="756"/>
        <item x="992"/>
        <item x="1522"/>
        <item x="1523"/>
        <item x="993"/>
        <item x="757"/>
        <item x="758"/>
        <item x="994"/>
        <item x="995"/>
        <item x="1524"/>
        <item x="759"/>
        <item x="760"/>
        <item x="996"/>
        <item x="1525"/>
        <item x="997"/>
        <item x="1526"/>
        <item x="761"/>
        <item x="762"/>
        <item x="763"/>
        <item x="764"/>
        <item x="998"/>
        <item x="1527"/>
        <item x="765"/>
        <item x="766"/>
        <item x="767"/>
        <item x="768"/>
        <item x="769"/>
        <item x="999"/>
        <item x="1528"/>
        <item x="770"/>
        <item x="1000"/>
        <item x="1529"/>
        <item x="771"/>
        <item x="1530"/>
        <item x="1531"/>
        <item x="1532"/>
        <item x="1001"/>
        <item x="772"/>
        <item x="1533"/>
        <item x="773"/>
        <item x="1534"/>
        <item x="774"/>
        <item x="1535"/>
        <item x="775"/>
        <item x="1536"/>
        <item x="1537"/>
        <item x="776"/>
        <item x="777"/>
        <item x="1538"/>
        <item x="778"/>
        <item x="779"/>
        <item x="780"/>
        <item x="1539"/>
        <item x="1540"/>
        <item x="781"/>
        <item x="782"/>
        <item x="783"/>
        <item x="1541"/>
        <item x="784"/>
        <item x="785"/>
        <item x="1542"/>
        <item x="1543"/>
        <item x="786"/>
        <item x="787"/>
        <item x="1544"/>
        <item x="788"/>
        <item x="789"/>
        <item x="1545"/>
        <item x="790"/>
        <item x="791"/>
        <item x="792"/>
        <item x="1547"/>
        <item x="793"/>
        <item x="794"/>
        <item x="795"/>
        <item x="796"/>
        <item x="1548"/>
        <item x="797"/>
        <item x="798"/>
        <item x="799"/>
        <item x="1549"/>
        <item x="800"/>
        <item x="1550"/>
        <item x="801"/>
        <item x="1551"/>
        <item x="802"/>
        <item x="1552"/>
        <item x="803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002"/>
        <item x="1734"/>
        <item x="1735"/>
        <item x="1003"/>
        <item x="1736"/>
        <item x="1004"/>
        <item x="1737"/>
        <item x="1005"/>
        <item x="1738"/>
        <item x="1006"/>
        <item x="1739"/>
        <item x="1007"/>
        <item x="1740"/>
        <item x="1008"/>
        <item x="1009"/>
        <item x="1010"/>
        <item x="1742"/>
        <item x="1011"/>
        <item x="1743"/>
        <item x="1012"/>
        <item x="1744"/>
        <item x="1013"/>
        <item x="1745"/>
        <item x="1014"/>
        <item x="1746"/>
        <item x="1015"/>
        <item x="1747"/>
        <item x="1016"/>
        <item x="1748"/>
        <item x="1017"/>
        <item x="1749"/>
        <item x="1750"/>
        <item x="1751"/>
        <item x="1018"/>
        <item x="1019"/>
        <item x="1752"/>
        <item x="1020"/>
        <item x="1753"/>
        <item x="1021"/>
        <item x="1754"/>
        <item x="1022"/>
        <item x="1023"/>
        <item x="1755"/>
        <item x="1024"/>
        <item x="1025"/>
        <item x="1756"/>
        <item x="1026"/>
        <item x="1757"/>
        <item x="1758"/>
        <item x="1759"/>
        <item x="1760"/>
        <item x="1761"/>
        <item x="1762"/>
        <item x="1027"/>
        <item x="1763"/>
        <item x="1028"/>
        <item x="1764"/>
        <item x="1029"/>
        <item x="1765"/>
        <item x="1766"/>
        <item x="1767"/>
        <item x="1768"/>
        <item x="1769"/>
        <item x="1030"/>
        <item x="1770"/>
        <item x="1771"/>
        <item x="1772"/>
        <item x="1773"/>
        <item x="1031"/>
        <item x="1774"/>
        <item x="1775"/>
        <item x="1776"/>
        <item x="1032"/>
        <item x="1033"/>
        <item x="1777"/>
        <item x="1778"/>
        <item x="1034"/>
        <item x="1035"/>
        <item x="1779"/>
        <item x="1780"/>
        <item x="1781"/>
        <item x="1782"/>
        <item x="1036"/>
        <item x="1037"/>
        <item x="1038"/>
        <item x="1783"/>
        <item x="1784"/>
        <item x="1785"/>
        <item x="1786"/>
        <item x="1039"/>
        <item x="1040"/>
        <item x="1041"/>
        <item x="1042"/>
        <item x="1787"/>
        <item x="1043"/>
        <item x="1044"/>
        <item x="1045"/>
        <item x="1046"/>
        <item x="1047"/>
        <item x="1788"/>
        <item x="1048"/>
        <item x="1049"/>
        <item x="1050"/>
        <item x="1051"/>
        <item x="1789"/>
        <item x="1790"/>
        <item x="1052"/>
        <item x="1053"/>
        <item x="1054"/>
        <item x="1055"/>
        <item x="1056"/>
        <item x="1791"/>
        <item x="1792"/>
        <item x="1793"/>
        <item x="1794"/>
        <item x="1795"/>
        <item x="1057"/>
        <item x="1058"/>
        <item x="1796"/>
        <item x="1797"/>
        <item x="1798"/>
        <item x="1799"/>
        <item x="1059"/>
        <item x="1060"/>
        <item x="1800"/>
        <item x="1801"/>
        <item x="1802"/>
        <item x="1061"/>
        <item x="1803"/>
        <item x="1804"/>
        <item x="1805"/>
        <item x="1062"/>
        <item x="1063"/>
        <item x="1806"/>
        <item x="1807"/>
        <item x="1064"/>
        <item x="1808"/>
        <item x="1065"/>
        <item x="1809"/>
        <item x="1066"/>
        <item x="1810"/>
        <item x="1811"/>
        <item x="1067"/>
        <item x="1812"/>
        <item x="1068"/>
        <item x="1813"/>
        <item x="1069"/>
        <item x="1070"/>
        <item x="1814"/>
        <item x="1815"/>
        <item x="1071"/>
        <item x="1074"/>
        <item x="1072"/>
        <item x="1073"/>
        <item x="1075"/>
        <item x="1076"/>
        <item x="1077"/>
        <item x="1816"/>
        <item x="1078"/>
        <item x="1079"/>
        <item x="1817"/>
        <item x="1080"/>
        <item x="1818"/>
        <item x="1081"/>
        <item x="1082"/>
        <item x="1820"/>
        <item x="1821"/>
        <item x="1822"/>
        <item x="1083"/>
        <item x="1823"/>
        <item x="1084"/>
        <item x="1824"/>
        <item x="1085"/>
        <item x="1086"/>
        <item x="1087"/>
        <item x="1088"/>
        <item x="1089"/>
        <item x="1090"/>
        <item x="1091"/>
        <item x="1825"/>
        <item x="1826"/>
        <item x="1827"/>
        <item x="1828"/>
        <item x="1829"/>
        <item x="1092"/>
        <item x="1093"/>
        <item x="1094"/>
        <item x="1830"/>
        <item x="1831"/>
        <item x="1832"/>
        <item x="1833"/>
        <item x="1835"/>
        <item x="1095"/>
        <item x="1834"/>
        <item x="1096"/>
        <item x="1097"/>
        <item x="1836"/>
        <item x="1098"/>
        <item x="1837"/>
        <item x="1099"/>
        <item x="1838"/>
        <item x="1100"/>
        <item x="1839"/>
        <item x="1101"/>
        <item x="1840"/>
        <item x="1842"/>
        <item x="1102"/>
        <item x="1841"/>
        <item x="1103"/>
        <item x="1104"/>
        <item x="1843"/>
        <item x="1844"/>
        <item x="1105"/>
        <item x="1845"/>
        <item x="1106"/>
        <item x="1846"/>
        <item x="1107"/>
        <item x="1108"/>
        <item x="1847"/>
        <item x="1109"/>
        <item x="1110"/>
        <item x="1848"/>
        <item x="1111"/>
        <item x="1849"/>
        <item x="1850"/>
        <item x="1112"/>
        <item x="1851"/>
        <item x="1852"/>
        <item x="1113"/>
        <item x="1853"/>
        <item x="1114"/>
        <item x="1854"/>
        <item x="1115"/>
        <item x="1855"/>
        <item x="1116"/>
        <item x="1856"/>
        <item x="1117"/>
        <item x="1857"/>
        <item x="1118"/>
        <item x="1858"/>
        <item x="1119"/>
        <item x="1859"/>
        <item x="1120"/>
        <item x="1860"/>
        <item x="1861"/>
        <item x="1121"/>
        <item x="1862"/>
        <item x="1863"/>
        <item x="1864"/>
        <item x="1122"/>
        <item x="1123"/>
        <item x="1124"/>
        <item x="1125"/>
        <item x="1126"/>
        <item x="1865"/>
        <item x="1127"/>
        <item x="1128"/>
        <item x="1129"/>
        <item x="1130"/>
        <item x="1131"/>
        <item x="1132"/>
        <item x="1866"/>
        <item x="1133"/>
        <item x="1867"/>
        <item x="1134"/>
        <item x="1135"/>
        <item x="1136"/>
        <item x="1868"/>
        <item x="1137"/>
        <item x="1869"/>
        <item x="1870"/>
        <item x="1871"/>
        <item x="1872"/>
        <item x="1138"/>
        <item x="1874"/>
        <item x="1873"/>
        <item x="1875"/>
        <item x="1139"/>
        <item x="1876"/>
        <item x="187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573"/>
        <item x="1885"/>
        <item x="1604"/>
        <item x="1886"/>
        <item x="1741"/>
        <item x="1819"/>
        <item x="1939"/>
        <item x="1940"/>
      </items>
    </pivotField>
    <pivotField compact="0" outline="0" showAll="0"/>
    <pivotField axis="axisRow" compact="0" outline="0" showAll="0" defaultSubtotal="0">
      <items count="1712">
        <item x="29"/>
        <item x="30"/>
        <item x="31"/>
        <item x="77"/>
        <item x="78"/>
        <item x="74"/>
        <item x="20"/>
        <item x="21"/>
        <item x="79"/>
        <item x="80"/>
        <item x="81"/>
        <item x="82"/>
        <item x="75"/>
        <item x="76"/>
        <item x="49"/>
        <item x="11"/>
        <item x="12"/>
        <item x="13"/>
        <item x="14"/>
        <item x="15"/>
        <item x="16"/>
        <item x="17"/>
        <item x="18"/>
        <item x="19"/>
        <item x="22"/>
        <item x="23"/>
        <item x="24"/>
        <item x="0"/>
        <item x="1"/>
        <item x="2"/>
        <item x="3"/>
        <item x="4"/>
        <item x="26"/>
        <item x="27"/>
        <item x="28"/>
        <item x="5"/>
        <item x="6"/>
        <item x="7"/>
        <item x="8"/>
        <item x="9"/>
        <item x="25"/>
        <item x="10"/>
        <item x="84"/>
        <item x="85"/>
        <item x="86"/>
        <item x="87"/>
        <item x="88"/>
        <item x="91"/>
        <item x="92"/>
        <item x="93"/>
        <item x="94"/>
        <item x="90"/>
        <item x="89"/>
        <item x="104"/>
        <item x="105"/>
        <item x="107"/>
        <item x="108"/>
        <item x="109"/>
        <item x="110"/>
        <item x="111"/>
        <item x="112"/>
        <item x="120"/>
        <item x="124"/>
        <item x="125"/>
        <item x="126"/>
        <item x="123"/>
        <item x="127"/>
        <item x="138"/>
        <item x="139"/>
        <item x="140"/>
        <item x="141"/>
        <item x="142"/>
        <item x="147"/>
        <item x="148"/>
        <item x="32"/>
        <item x="33"/>
        <item x="35"/>
        <item x="36"/>
        <item x="37"/>
        <item x="38"/>
        <item x="39"/>
        <item x="40"/>
        <item x="41"/>
        <item x="42"/>
        <item x="43"/>
        <item x="44"/>
        <item x="45"/>
        <item x="47"/>
        <item x="46"/>
        <item x="48"/>
        <item x="50"/>
        <item x="51"/>
        <item x="52"/>
        <item x="53"/>
        <item x="54"/>
        <item x="55"/>
        <item x="56"/>
        <item x="57"/>
        <item x="58"/>
        <item x="59"/>
        <item x="60"/>
        <item x="62"/>
        <item x="61"/>
        <item x="63"/>
        <item x="64"/>
        <item x="65"/>
        <item x="66"/>
        <item x="67"/>
        <item x="68"/>
        <item x="69"/>
        <item x="70"/>
        <item x="71"/>
        <item x="72"/>
        <item x="73"/>
        <item x="83"/>
        <item x="95"/>
        <item x="96"/>
        <item x="98"/>
        <item x="97"/>
        <item x="99"/>
        <item x="100"/>
        <item x="101"/>
        <item x="102"/>
        <item x="103"/>
        <item x="106"/>
        <item x="113"/>
        <item x="114"/>
        <item x="115"/>
        <item x="116"/>
        <item x="117"/>
        <item x="118"/>
        <item x="119"/>
        <item x="121"/>
        <item x="122"/>
        <item x="128"/>
        <item x="129"/>
        <item x="130"/>
        <item x="131"/>
        <item x="132"/>
        <item x="133"/>
        <item x="134"/>
        <item x="135"/>
        <item x="136"/>
        <item x="137"/>
        <item x="143"/>
        <item x="144"/>
        <item x="145"/>
        <item x="146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70"/>
        <item x="168"/>
        <item x="162"/>
        <item x="163"/>
        <item x="164"/>
        <item x="165"/>
        <item x="166"/>
        <item x="167"/>
        <item x="182"/>
        <item x="169"/>
        <item x="184"/>
        <item x="201"/>
        <item x="200"/>
        <item x="181"/>
        <item x="199"/>
        <item x="217"/>
        <item x="219"/>
        <item x="229"/>
        <item x="230"/>
        <item x="231"/>
        <item x="232"/>
        <item x="233"/>
        <item x="234"/>
        <item x="235"/>
        <item x="236"/>
        <item x="237"/>
        <item x="178"/>
        <item x="242"/>
        <item x="243"/>
        <item x="244"/>
        <item x="245"/>
        <item x="171"/>
        <item x="183"/>
        <item x="248"/>
        <item x="249"/>
        <item x="255"/>
        <item x="256"/>
        <item x="257"/>
        <item x="202"/>
        <item x="185"/>
        <item x="189"/>
        <item x="193"/>
        <item x="197"/>
        <item x="186"/>
        <item x="190"/>
        <item x="194"/>
        <item x="198"/>
        <item x="206"/>
        <item x="214"/>
        <item x="187"/>
        <item x="191"/>
        <item x="195"/>
        <item x="188"/>
        <item x="192"/>
        <item x="196"/>
        <item x="180"/>
        <item x="207"/>
        <item x="211"/>
        <item x="215"/>
        <item x="220"/>
        <item x="224"/>
        <item x="203"/>
        <item x="208"/>
        <item x="212"/>
        <item x="216"/>
        <item x="204"/>
        <item x="209"/>
        <item x="221"/>
        <item x="225"/>
        <item x="179"/>
        <item x="210"/>
        <item x="213"/>
        <item x="205"/>
        <item x="222"/>
        <item x="226"/>
        <item x="227"/>
        <item x="172"/>
        <item x="176"/>
        <item x="177"/>
        <item x="259"/>
        <item x="223"/>
        <item x="228"/>
        <item x="173"/>
        <item x="267"/>
        <item x="271"/>
        <item x="174"/>
        <item x="238"/>
        <item x="218"/>
        <item x="175"/>
        <item x="239"/>
        <item x="300"/>
        <item x="301"/>
        <item x="302"/>
        <item x="240"/>
        <item x="264"/>
        <item x="265"/>
        <item x="260"/>
        <item x="261"/>
        <item x="262"/>
        <item x="263"/>
        <item x="241"/>
        <item x="266"/>
        <item x="303"/>
        <item x="258"/>
        <item x="247"/>
        <item x="250"/>
        <item x="316"/>
        <item x="320"/>
        <item x="278"/>
        <item x="272"/>
        <item x="281"/>
        <item x="296"/>
        <item x="279"/>
        <item x="253"/>
        <item x="273"/>
        <item x="280"/>
        <item x="282"/>
        <item x="293"/>
        <item x="297"/>
        <item x="298"/>
        <item x="304"/>
        <item x="274"/>
        <item x="295"/>
        <item x="305"/>
        <item x="306"/>
        <item x="307"/>
        <item x="251"/>
        <item x="252"/>
        <item x="294"/>
        <item x="338"/>
        <item x="299"/>
        <item x="275"/>
        <item x="284"/>
        <item x="283"/>
        <item x="246"/>
        <item x="285"/>
        <item x="347"/>
        <item x="348"/>
        <item x="349"/>
        <item x="351"/>
        <item x="350"/>
        <item x="352"/>
        <item x="354"/>
        <item x="360"/>
        <item x="361"/>
        <item x="254"/>
        <item x="277"/>
        <item x="268"/>
        <item x="290"/>
        <item x="327"/>
        <item x="310"/>
        <item x="311"/>
        <item x="312"/>
        <item x="308"/>
        <item x="309"/>
        <item x="276"/>
        <item x="269"/>
        <item x="342"/>
        <item x="270"/>
        <item x="339"/>
        <item x="328"/>
        <item x="326"/>
        <item x="330"/>
        <item x="334"/>
        <item x="331"/>
        <item x="333"/>
        <item x="335"/>
        <item x="336"/>
        <item x="337"/>
        <item x="343"/>
        <item x="344"/>
        <item x="345"/>
        <item x="346"/>
        <item x="340"/>
        <item x="341"/>
        <item x="287"/>
        <item x="329"/>
        <item x="353"/>
        <item x="291"/>
        <item x="286"/>
        <item x="288"/>
        <item x="289"/>
        <item x="317"/>
        <item x="318"/>
        <item x="319"/>
        <item x="405"/>
        <item x="322"/>
        <item x="321"/>
        <item x="406"/>
        <item x="407"/>
        <item x="313"/>
        <item x="315"/>
        <item x="314"/>
        <item x="323"/>
        <item x="324"/>
        <item x="325"/>
        <item x="356"/>
        <item x="408"/>
        <item x="377"/>
        <item x="355"/>
        <item x="364"/>
        <item x="359"/>
        <item x="357"/>
        <item x="358"/>
        <item x="367"/>
        <item x="368"/>
        <item x="365"/>
        <item x="371"/>
        <item x="372"/>
        <item x="430"/>
        <item x="431"/>
        <item x="432"/>
        <item x="433"/>
        <item x="378"/>
        <item x="379"/>
        <item x="380"/>
        <item x="381"/>
        <item x="382"/>
        <item x="383"/>
        <item x="384"/>
        <item x="385"/>
        <item x="386"/>
        <item x="362"/>
        <item x="373"/>
        <item x="403"/>
        <item x="363"/>
        <item x="374"/>
        <item x="375"/>
        <item x="376"/>
        <item x="404"/>
        <item x="396"/>
        <item x="397"/>
        <item x="366"/>
        <item x="370"/>
        <item x="398"/>
        <item x="399"/>
        <item x="400"/>
        <item x="401"/>
        <item x="402"/>
        <item x="445"/>
        <item x="417"/>
        <item x="420"/>
        <item x="392"/>
        <item x="393"/>
        <item x="413"/>
        <item x="369"/>
        <item x="415"/>
        <item x="414"/>
        <item x="416"/>
        <item x="418"/>
        <item x="419"/>
        <item x="421"/>
        <item x="422"/>
        <item x="423"/>
        <item x="390"/>
        <item x="388"/>
        <item x="389"/>
        <item x="394"/>
        <item x="395"/>
        <item x="409"/>
        <item x="410"/>
        <item x="411"/>
        <item x="463"/>
        <item x="464"/>
        <item x="465"/>
        <item x="466"/>
        <item x="467"/>
        <item x="424"/>
        <item x="425"/>
        <item x="476"/>
        <item x="412"/>
        <item x="426"/>
        <item x="434"/>
        <item x="436"/>
        <item x="435"/>
        <item x="505"/>
        <item x="387"/>
        <item x="449"/>
        <item x="450"/>
        <item x="451"/>
        <item x="452"/>
        <item x="453"/>
        <item x="437"/>
        <item x="438"/>
        <item x="439"/>
        <item x="440"/>
        <item x="441"/>
        <item x="442"/>
        <item x="443"/>
        <item x="444"/>
        <item x="521"/>
        <item x="528"/>
        <item x="427"/>
        <item x="457"/>
        <item x="480"/>
        <item x="481"/>
        <item x="448"/>
        <item x="428"/>
        <item x="429"/>
        <item x="454"/>
        <item x="455"/>
        <item x="456"/>
        <item x="460"/>
        <item x="470"/>
        <item x="458"/>
        <item x="447"/>
        <item x="459"/>
        <item x="472"/>
        <item x="446"/>
        <item x="550"/>
        <item x="468"/>
        <item x="469"/>
        <item x="461"/>
        <item x="495"/>
        <item x="496"/>
        <item x="484"/>
        <item x="485"/>
        <item x="486"/>
        <item x="497"/>
        <item x="498"/>
        <item x="499"/>
        <item x="487"/>
        <item x="488"/>
        <item x="489"/>
        <item x="490"/>
        <item x="491"/>
        <item x="492"/>
        <item x="493"/>
        <item x="500"/>
        <item x="501"/>
        <item x="502"/>
        <item x="503"/>
        <item x="504"/>
        <item x="471"/>
        <item x="474"/>
        <item x="494"/>
        <item x="462"/>
        <item x="479"/>
        <item x="554"/>
        <item x="556"/>
        <item x="477"/>
        <item x="478"/>
        <item x="524"/>
        <item x="473"/>
        <item x="572"/>
        <item x="573"/>
        <item x="553"/>
        <item x="555"/>
        <item x="516"/>
        <item x="475"/>
        <item x="508"/>
        <item x="518"/>
        <item x="506"/>
        <item x="511"/>
        <item x="507"/>
        <item x="512"/>
        <item x="517"/>
        <item x="509"/>
        <item x="514"/>
        <item x="519"/>
        <item x="534"/>
        <item x="535"/>
        <item x="582"/>
        <item x="513"/>
        <item x="598"/>
        <item x="599"/>
        <item x="510"/>
        <item x="515"/>
        <item x="520"/>
        <item x="482"/>
        <item x="483"/>
        <item x="538"/>
        <item x="547"/>
        <item x="523"/>
        <item x="527"/>
        <item x="530"/>
        <item x="531"/>
        <item x="532"/>
        <item x="529"/>
        <item x="539"/>
        <item x="526"/>
        <item x="525"/>
        <item x="522"/>
        <item x="551"/>
        <item x="548"/>
        <item x="549"/>
        <item x="540"/>
        <item x="619"/>
        <item x="620"/>
        <item x="559"/>
        <item x="560"/>
        <item x="533"/>
        <item x="561"/>
        <item x="552"/>
        <item x="537"/>
        <item x="621"/>
        <item x="583"/>
        <item x="587"/>
        <item x="594"/>
        <item x="584"/>
        <item x="588"/>
        <item x="591"/>
        <item x="595"/>
        <item x="585"/>
        <item x="589"/>
        <item x="592"/>
        <item x="596"/>
        <item x="586"/>
        <item x="590"/>
        <item x="593"/>
        <item x="597"/>
        <item x="545"/>
        <item x="557"/>
        <item x="558"/>
        <item x="575"/>
        <item x="562"/>
        <item x="563"/>
        <item x="564"/>
        <item x="565"/>
        <item x="566"/>
        <item x="567"/>
        <item x="568"/>
        <item x="569"/>
        <item x="570"/>
        <item x="571"/>
        <item x="536"/>
        <item x="544"/>
        <item x="600"/>
        <item x="542"/>
        <item x="574"/>
        <item x="622"/>
        <item x="580"/>
        <item x="606"/>
        <item x="576"/>
        <item x="623"/>
        <item x="579"/>
        <item x="601"/>
        <item x="608"/>
        <item x="581"/>
        <item x="609"/>
        <item x="605"/>
        <item x="607"/>
        <item x="546"/>
        <item x="612"/>
        <item x="613"/>
        <item x="614"/>
        <item x="611"/>
        <item x="615"/>
        <item x="616"/>
        <item x="617"/>
        <item x="618"/>
        <item x="541"/>
        <item x="629"/>
        <item x="631"/>
        <item x="632"/>
        <item x="633"/>
        <item x="634"/>
        <item x="635"/>
        <item x="636"/>
        <item x="637"/>
        <item x="577"/>
        <item x="603"/>
        <item x="604"/>
        <item x="602"/>
        <item x="610"/>
        <item x="543"/>
        <item x="578"/>
        <item x="667"/>
        <item x="670"/>
        <item x="671"/>
        <item x="668"/>
        <item x="669"/>
        <item x="681"/>
        <item x="652"/>
        <item x="653"/>
        <item x="654"/>
        <item x="655"/>
        <item x="660"/>
        <item x="661"/>
        <item x="663"/>
        <item x="682"/>
        <item x="657"/>
        <item x="658"/>
        <item x="659"/>
        <item x="656"/>
        <item x="684"/>
        <item x="690"/>
        <item x="683"/>
        <item x="719"/>
        <item x="722"/>
        <item x="630"/>
        <item x="638"/>
        <item x="643"/>
        <item x="644"/>
        <item x="639"/>
        <item x="664"/>
        <item x="665"/>
        <item x="666"/>
        <item x="738"/>
        <item x="640"/>
        <item x="641"/>
        <item x="645"/>
        <item x="642"/>
        <item x="646"/>
        <item x="685"/>
        <item x="686"/>
        <item x="726"/>
        <item x="672"/>
        <item x="675"/>
        <item x="723"/>
        <item x="727"/>
        <item x="730"/>
        <item x="673"/>
        <item x="676"/>
        <item x="674"/>
        <item x="729"/>
        <item x="687"/>
        <item x="678"/>
        <item x="647"/>
        <item x="625"/>
        <item x="626"/>
        <item x="627"/>
        <item x="648"/>
        <item x="677"/>
        <item x="679"/>
        <item x="649"/>
        <item x="680"/>
        <item x="650"/>
        <item x="651"/>
        <item x="728"/>
        <item x="763"/>
        <item x="761"/>
        <item x="628"/>
        <item x="720"/>
        <item x="760"/>
        <item x="759"/>
        <item x="695"/>
        <item x="764"/>
        <item x="724"/>
        <item x="725"/>
        <item x="662"/>
        <item x="691"/>
        <item x="762"/>
        <item x="790"/>
        <item x="624"/>
        <item x="706"/>
        <item x="789"/>
        <item x="788"/>
        <item x="696"/>
        <item x="701"/>
        <item x="800"/>
        <item x="688"/>
        <item x="689"/>
        <item x="769"/>
        <item x="692"/>
        <item x="806"/>
        <item x="721"/>
        <item x="697"/>
        <item x="702"/>
        <item x="707"/>
        <item x="805"/>
        <item x="818"/>
        <item x="751"/>
        <item x="828"/>
        <item x="766"/>
        <item x="698"/>
        <item x="699"/>
        <item x="703"/>
        <item x="700"/>
        <item x="704"/>
        <item x="757"/>
        <item x="781"/>
        <item x="693"/>
        <item x="735"/>
        <item x="737"/>
        <item x="739"/>
        <item x="808"/>
        <item x="770"/>
        <item x="774"/>
        <item x="775"/>
        <item x="772"/>
        <item x="776"/>
        <item x="773"/>
        <item x="777"/>
        <item x="771"/>
        <item x="782"/>
        <item x="783"/>
        <item x="709"/>
        <item x="705"/>
        <item x="710"/>
        <item x="734"/>
        <item x="716"/>
        <item x="715"/>
        <item x="801"/>
        <item x="731"/>
        <item x="708"/>
        <item x="747"/>
        <item x="754"/>
        <item x="792"/>
        <item x="795"/>
        <item x="815"/>
        <item x="768"/>
        <item x="758"/>
        <item x="743"/>
        <item x="765"/>
        <item x="740"/>
        <item x="778"/>
        <item x="832"/>
        <item x="835"/>
        <item x="779"/>
        <item x="767"/>
        <item x="814"/>
        <item x="745"/>
        <item x="712"/>
        <item x="694"/>
        <item x="711"/>
        <item x="714"/>
        <item x="732"/>
        <item x="809"/>
        <item x="833"/>
        <item x="836"/>
        <item x="858"/>
        <item x="859"/>
        <item x="860"/>
        <item x="807"/>
        <item x="791"/>
        <item x="838"/>
        <item x="780"/>
        <item x="748"/>
        <item x="834"/>
        <item x="837"/>
        <item x="856"/>
        <item x="857"/>
        <item x="810"/>
        <item x="717"/>
        <item x="718"/>
        <item x="752"/>
        <item x="813"/>
        <item x="746"/>
        <item x="750"/>
        <item x="756"/>
        <item x="793"/>
        <item x="799"/>
        <item x="744"/>
        <item x="803"/>
        <item x="804"/>
        <item x="816"/>
        <item x="741"/>
        <item x="713"/>
        <item x="733"/>
        <item x="742"/>
        <item x="825"/>
        <item x="826"/>
        <item x="817"/>
        <item x="785"/>
        <item x="786"/>
        <item x="852"/>
        <item x="853"/>
        <item x="861"/>
        <item x="736"/>
        <item x="830"/>
        <item x="794"/>
        <item x="802"/>
        <item x="787"/>
        <item x="829"/>
        <item x="891"/>
        <item x="892"/>
        <item x="902"/>
        <item x="910"/>
        <item x="896"/>
        <item x="898"/>
        <item x="900"/>
        <item x="753"/>
        <item x="939"/>
        <item x="827"/>
        <item x="906"/>
        <item x="903"/>
        <item x="908"/>
        <item x="905"/>
        <item x="831"/>
        <item x="812"/>
        <item x="901"/>
        <item x="907"/>
        <item x="819"/>
        <item x="749"/>
        <item x="797"/>
        <item x="755"/>
        <item x="824"/>
        <item x="839"/>
        <item x="840"/>
        <item x="844"/>
        <item x="848"/>
        <item x="964"/>
        <item x="784"/>
        <item x="796"/>
        <item x="841"/>
        <item x="842"/>
        <item x="845"/>
        <item x="846"/>
        <item x="849"/>
        <item x="850"/>
        <item x="895"/>
        <item x="1001"/>
        <item x="847"/>
        <item x="843"/>
        <item x="851"/>
        <item x="1010"/>
        <item x="945"/>
        <item x="862"/>
        <item x="821"/>
        <item x="893"/>
        <item x="897"/>
        <item x="909"/>
        <item x="1011"/>
        <item x="866"/>
        <item x="869"/>
        <item x="863"/>
        <item x="1019"/>
        <item x="904"/>
        <item x="946"/>
        <item x="890"/>
        <item x="811"/>
        <item x="820"/>
        <item x="854"/>
        <item x="798"/>
        <item x="867"/>
        <item x="1020"/>
        <item x="947"/>
        <item x="870"/>
        <item x="926"/>
        <item x="977"/>
        <item x="978"/>
        <item x="979"/>
        <item x="980"/>
        <item x="981"/>
        <item x="982"/>
        <item x="983"/>
        <item x="1029"/>
        <item x="894"/>
        <item x="868"/>
        <item x="864"/>
        <item x="855"/>
        <item x="925"/>
        <item x="877"/>
        <item x="948"/>
        <item x="899"/>
        <item x="823"/>
        <item x="984"/>
        <item x="985"/>
        <item x="986"/>
        <item x="987"/>
        <item x="1018"/>
        <item x="873"/>
        <item x="822"/>
        <item x="1035"/>
        <item x="1036"/>
        <item x="1030"/>
        <item x="967"/>
        <item x="972"/>
        <item x="968"/>
        <item x="973"/>
        <item x="865"/>
        <item x="871"/>
        <item x="949"/>
        <item x="969"/>
        <item x="1048"/>
        <item x="1049"/>
        <item x="1050"/>
        <item x="1065"/>
        <item x="885"/>
        <item x="887"/>
        <item x="878"/>
        <item x="970"/>
        <item x="975"/>
        <item x="971"/>
        <item x="976"/>
        <item x="1056"/>
        <item x="874"/>
        <item x="950"/>
        <item x="963"/>
        <item x="974"/>
        <item x="1047"/>
        <item x="943"/>
        <item x="944"/>
        <item x="913"/>
        <item x="872"/>
        <item x="886"/>
        <item x="911"/>
        <item x="916"/>
        <item x="921"/>
        <item x="929"/>
        <item x="933"/>
        <item x="935"/>
        <item x="917"/>
        <item x="1055"/>
        <item x="1057"/>
        <item x="1053"/>
        <item x="1054"/>
        <item x="1069"/>
        <item x="912"/>
        <item x="922"/>
        <item x="930"/>
        <item x="936"/>
        <item x="940"/>
        <item x="884"/>
        <item x="1052"/>
        <item x="918"/>
        <item x="923"/>
        <item x="928"/>
        <item x="934"/>
        <item x="937"/>
        <item x="941"/>
        <item x="988"/>
        <item x="1005"/>
        <item x="876"/>
        <item x="879"/>
        <item x="914"/>
        <item x="919"/>
        <item x="924"/>
        <item x="931"/>
        <item x="938"/>
        <item x="1058"/>
        <item x="1078"/>
        <item x="915"/>
        <item x="932"/>
        <item x="942"/>
        <item x="888"/>
        <item x="927"/>
        <item x="991"/>
        <item x="1006"/>
        <item x="920"/>
        <item x="1085"/>
        <item x="1059"/>
        <item x="1027"/>
        <item x="954"/>
        <item x="959"/>
        <item x="1009"/>
        <item x="952"/>
        <item x="955"/>
        <item x="960"/>
        <item x="1021"/>
        <item x="1025"/>
        <item x="1062"/>
        <item x="1061"/>
        <item x="965"/>
        <item x="1064"/>
        <item x="953"/>
        <item x="956"/>
        <item x="961"/>
        <item x="962"/>
        <item x="951"/>
        <item x="957"/>
        <item x="958"/>
        <item x="1008"/>
        <item x="1022"/>
        <item x="1023"/>
        <item x="1026"/>
        <item x="966"/>
        <item x="1063"/>
        <item x="1060"/>
        <item x="1012"/>
        <item x="1024"/>
        <item x="1028"/>
        <item x="875"/>
        <item x="880"/>
        <item x="1007"/>
        <item x="889"/>
        <item x="1013"/>
        <item x="1015"/>
        <item x="1003"/>
        <item x="1040"/>
        <item x="1041"/>
        <item x="882"/>
        <item x="1091"/>
        <item x="881"/>
        <item x="1002"/>
        <item x="1031"/>
        <item x="996"/>
        <item x="989"/>
        <item x="1004"/>
        <item x="1038"/>
        <item x="997"/>
        <item x="1042"/>
        <item x="1096"/>
        <item x="1109"/>
        <item x="1122"/>
        <item x="1124"/>
        <item x="1125"/>
        <item x="993"/>
        <item x="1037"/>
        <item x="1070"/>
        <item x="1144"/>
        <item x="1071"/>
        <item x="1075"/>
        <item x="1016"/>
        <item x="998"/>
        <item x="1076"/>
        <item x="1167"/>
        <item x="1173"/>
        <item x="1174"/>
        <item x="1077"/>
        <item x="1073"/>
        <item x="1074"/>
        <item x="1034"/>
        <item x="1072"/>
        <item x="1051"/>
        <item x="1039"/>
        <item x="1046"/>
        <item x="1079"/>
        <item x="992"/>
        <item x="1043"/>
        <item x="1183"/>
        <item x="1182"/>
        <item x="990"/>
        <item x="1066"/>
        <item x="883"/>
        <item x="1177"/>
        <item x="1178"/>
        <item x="1179"/>
        <item x="994"/>
        <item x="1045"/>
        <item x="1067"/>
        <item x="1068"/>
        <item x="1080"/>
        <item x="1160"/>
        <item x="1113"/>
        <item x="1159"/>
        <item x="1112"/>
        <item x="1158"/>
        <item x="1162"/>
        <item x="1000"/>
        <item x="999"/>
        <item x="995"/>
        <item x="1017"/>
        <item x="1044"/>
        <item x="1191"/>
        <item x="1114"/>
        <item x="1092"/>
        <item x="1115"/>
        <item x="1161"/>
        <item x="1097"/>
        <item x="1032"/>
        <item x="1100"/>
        <item x="1126"/>
        <item x="1127"/>
        <item x="1083"/>
        <item x="1201"/>
        <item x="1202"/>
        <item x="1099"/>
        <item x="1101"/>
        <item x="1128"/>
        <item x="1123"/>
        <item x="1094"/>
        <item x="1129"/>
        <item x="1130"/>
        <item x="1132"/>
        <item x="1098"/>
        <item x="1104"/>
        <item x="1154"/>
        <item x="1190"/>
        <item x="1157"/>
        <item x="1033"/>
        <item x="1189"/>
        <item x="1245"/>
        <item x="1014"/>
        <item x="1102"/>
        <item x="1153"/>
        <item x="1253"/>
        <item x="1212"/>
        <item x="1214"/>
        <item x="1215"/>
        <item x="1216"/>
        <item x="1218"/>
        <item x="1219"/>
        <item x="1237"/>
        <item x="1238"/>
        <item x="1116"/>
        <item x="1168"/>
        <item x="1193"/>
        <item x="1142"/>
        <item x="1155"/>
        <item x="1200"/>
        <item x="1256"/>
        <item x="1117"/>
        <item x="1139"/>
        <item x="1169"/>
        <item x="1194"/>
        <item x="1134"/>
        <item x="1203"/>
        <item x="1135"/>
        <item x="1204"/>
        <item x="1137"/>
        <item x="1206"/>
        <item x="1138"/>
        <item x="1207"/>
        <item x="1120"/>
        <item x="1172"/>
        <item x="1196"/>
        <item x="1121"/>
        <item x="1141"/>
        <item x="1118"/>
        <item x="1140"/>
        <item x="1170"/>
        <item x="1195"/>
        <item x="1119"/>
        <item x="1171"/>
        <item x="1105"/>
        <item x="1143"/>
        <item x="1147"/>
        <item x="1156"/>
        <item x="1269"/>
        <item x="1136"/>
        <item x="1205"/>
        <item x="1217"/>
        <item x="1255"/>
        <item x="1291"/>
        <item x="1270"/>
        <item x="1148"/>
        <item x="1271"/>
        <item x="1133"/>
        <item x="1163"/>
        <item x="1187"/>
        <item x="1213"/>
        <item x="1258"/>
        <item x="1260"/>
        <item x="1261"/>
        <item x="1257"/>
        <item x="1259"/>
        <item x="1294"/>
        <item x="1242"/>
        <item x="1241"/>
        <item x="1243"/>
        <item x="1131"/>
        <item x="1095"/>
        <item x="1093"/>
        <item x="1151"/>
        <item x="1296"/>
        <item x="1306"/>
        <item x="1110"/>
        <item x="1288"/>
        <item x="1289"/>
        <item x="1290"/>
        <item x="1275"/>
        <item x="1277"/>
        <item x="1081"/>
        <item x="1090"/>
        <item x="1307"/>
        <item x="1310"/>
        <item x="1318"/>
        <item x="1312"/>
        <item x="1166"/>
        <item x="1320"/>
        <item x="1103"/>
        <item x="1324"/>
        <item x="1197"/>
        <item x="1273"/>
        <item x="1295"/>
        <item x="1272"/>
        <item x="1208"/>
        <item x="1327"/>
        <item x="1328"/>
        <item x="1329"/>
        <item x="1301"/>
        <item x="1330"/>
        <item x="1333"/>
        <item x="1192"/>
        <item x="1198"/>
        <item x="1280"/>
        <item x="1274"/>
        <item x="1297"/>
        <item x="1299"/>
        <item x="1281"/>
        <item x="1285"/>
        <item x="1106"/>
        <item x="1298"/>
        <item x="1302"/>
        <item x="1303"/>
        <item x="1082"/>
        <item x="1282"/>
        <item x="1254"/>
        <item x="1262"/>
        <item x="1334"/>
        <item x="1335"/>
        <item x="1340"/>
        <item x="1342"/>
        <item x="1343"/>
        <item x="1341"/>
        <item x="1283"/>
        <item x="1286"/>
        <item x="1287"/>
        <item x="1146"/>
        <item x="1239"/>
        <item x="1284"/>
        <item x="1145"/>
        <item x="1246"/>
        <item x="1276"/>
        <item x="1304"/>
        <item x="1184"/>
        <item x="1199"/>
        <item x="1278"/>
        <item x="1349"/>
        <item x="1350"/>
        <item x="1351"/>
        <item x="1361"/>
        <item x="1149"/>
        <item x="1353"/>
        <item x="1355"/>
        <item x="1240"/>
        <item x="1363"/>
        <item x="1375"/>
        <item x="1376"/>
        <item x="1377"/>
        <item x="1347"/>
        <item x="1150"/>
        <item x="1352"/>
        <item x="1346"/>
        <item x="1345"/>
        <item x="1247"/>
        <item x="1364"/>
        <item x="1380"/>
        <item x="1250"/>
        <item x="1381"/>
        <item x="1382"/>
        <item x="1383"/>
        <item x="1251"/>
        <item x="1394"/>
        <item x="1362"/>
        <item x="1386"/>
        <item x="1390"/>
        <item x="1084"/>
        <item x="1111"/>
        <item x="1152"/>
        <item x="1210"/>
        <item x="1244"/>
        <item x="1209"/>
        <item x="1186"/>
        <item x="1365"/>
        <item x="1185"/>
        <item x="1344"/>
        <item x="1321"/>
        <item x="1222"/>
        <item x="1292"/>
        <item x="1408"/>
        <item x="1360"/>
        <item x="1369"/>
        <item x="1367"/>
        <item x="1181"/>
        <item x="1188"/>
        <item x="1108"/>
        <item x="1223"/>
        <item x="1226"/>
        <item x="1279"/>
        <item x="1180"/>
        <item x="1224"/>
        <item x="1227"/>
        <item x="1165"/>
        <item x="1211"/>
        <item x="1264"/>
        <item x="1436"/>
        <item x="1438"/>
        <item x="1441"/>
        <item x="1366"/>
        <item x="1265"/>
        <item x="1234"/>
        <item x="1454"/>
        <item x="1455"/>
        <item x="1371"/>
        <item x="1370"/>
        <item x="1373"/>
        <item x="1308"/>
        <item x="1309"/>
        <item x="1086"/>
        <item x="1336"/>
        <item x="1337"/>
        <item x="1232"/>
        <item x="1235"/>
        <item x="1266"/>
        <item x="1248"/>
        <item x="1249"/>
        <item x="1252"/>
        <item x="1311"/>
        <item x="1225"/>
        <item x="1228"/>
        <item x="1229"/>
        <item x="1233"/>
        <item x="1236"/>
        <item x="1267"/>
        <item x="1323"/>
        <item x="1230"/>
        <item x="1231"/>
        <item x="1322"/>
        <item x="1456"/>
        <item x="1458"/>
        <item x="1300"/>
        <item x="1374"/>
        <item x="1434"/>
        <item x="1305"/>
        <item x="1263"/>
        <item x="1293"/>
        <item x="1356"/>
        <item x="1357"/>
        <item x="1379"/>
        <item x="1461"/>
        <item x="1462"/>
        <item x="1463"/>
        <item x="1465"/>
        <item x="1368"/>
        <item x="1459"/>
        <item x="1467"/>
        <item x="1469"/>
        <item x="1409"/>
        <item x="1410"/>
        <item x="1413"/>
        <item x="1414"/>
        <item x="1415"/>
        <item x="1416"/>
        <item x="1417"/>
        <item x="1418"/>
        <item x="1419"/>
        <item x="1420"/>
        <item x="1421"/>
        <item x="1422"/>
        <item x="1220"/>
        <item x="1221"/>
        <item x="1399"/>
        <item x="1164"/>
        <item x="1384"/>
        <item x="1385"/>
        <item x="1387"/>
        <item x="1388"/>
        <item x="1451"/>
        <item x="1442"/>
        <item x="1443"/>
        <item x="1444"/>
        <item x="1448"/>
        <item x="1450"/>
        <item x="1445"/>
        <item x="1446"/>
        <item x="1319"/>
        <item x="1339"/>
        <item x="1404"/>
        <item x="1372"/>
        <item x="1473"/>
        <item x="1358"/>
        <item x="1359"/>
        <item x="1395"/>
        <item x="1440"/>
        <item x="1460"/>
        <item x="1435"/>
        <item x="1470"/>
        <item x="1471"/>
        <item x="1268"/>
        <item x="1484"/>
        <item x="1402"/>
        <item x="1400"/>
        <item x="1411"/>
        <item x="1412"/>
        <item x="1452"/>
        <item x="1389"/>
        <item x="1392"/>
        <item x="1472"/>
        <item x="1477"/>
        <item x="1485"/>
        <item x="1486"/>
        <item x="1175"/>
        <item x="1176"/>
        <item x="1487"/>
        <item x="1493"/>
        <item x="1494"/>
        <item x="1504"/>
        <item x="1505"/>
        <item x="1519"/>
        <item x="1521"/>
        <item x="1439"/>
        <item x="1437"/>
        <item x="1348"/>
        <item x="1331"/>
        <item x="1403"/>
        <item x="1401"/>
        <item x="1354"/>
        <item x="1378"/>
        <item x="1326"/>
        <item x="1536"/>
        <item x="1087"/>
        <item x="1479"/>
        <item x="1476"/>
        <item x="1523"/>
        <item x="1529"/>
        <item x="1530"/>
        <item x="1532"/>
        <item x="1533"/>
        <item x="1535"/>
        <item x="1538"/>
        <item x="1540"/>
        <item x="1537"/>
        <item x="1539"/>
        <item x="1542"/>
        <item x="1468"/>
        <item x="1481"/>
        <item x="1482"/>
        <item x="1516"/>
        <item x="1495"/>
        <item x="1496"/>
        <item x="1497"/>
        <item x="1498"/>
        <item x="1499"/>
        <item x="1500"/>
        <item x="1501"/>
        <item x="1502"/>
        <item x="1503"/>
        <item x="1332"/>
        <item x="1543"/>
        <item x="1544"/>
        <item x="1545"/>
        <item x="1457"/>
        <item x="1474"/>
        <item x="1475"/>
        <item x="1391"/>
        <item x="1393"/>
        <item x="1488"/>
        <item x="1489"/>
        <item x="1490"/>
        <item x="1491"/>
        <item x="1492"/>
        <item x="1541"/>
        <item x="1447"/>
        <item x="1449"/>
        <item x="1325"/>
        <item x="1547"/>
        <item x="1549"/>
        <item x="1550"/>
        <item x="1556"/>
        <item x="1560"/>
        <item x="1561"/>
        <item x="1511"/>
        <item x="1512"/>
        <item x="1513"/>
        <item x="1514"/>
        <item x="1567"/>
        <item x="1518"/>
        <item x="1564"/>
        <item x="1480"/>
        <item x="1515"/>
        <item x="1517"/>
        <item x="1423"/>
        <item x="1507"/>
        <item x="1562"/>
        <item x="1568"/>
        <item x="1424"/>
        <item x="1425"/>
        <item x="1088"/>
        <item x="1107"/>
        <item x="1405"/>
        <item x="1338"/>
        <item x="1464"/>
        <item x="1520"/>
        <item x="1531"/>
        <item x="1426"/>
        <item x="1427"/>
        <item x="1428"/>
        <item x="1433"/>
        <item x="1466"/>
        <item x="1598"/>
        <item x="1508"/>
        <item x="1509"/>
        <item x="1569"/>
        <item x="1570"/>
        <item x="1571"/>
        <item x="1506"/>
        <item x="1524"/>
        <item x="1525"/>
        <item x="1526"/>
        <item x="1527"/>
        <item x="1528"/>
        <item x="1572"/>
        <item x="1573"/>
        <item x="1574"/>
        <item x="1575"/>
        <item x="1453"/>
        <item x="1429"/>
        <item x="1548"/>
        <item x="1585"/>
        <item x="1584"/>
        <item x="1510"/>
        <item x="1582"/>
        <item x="1583"/>
        <item x="1586"/>
        <item x="1430"/>
        <item x="1431"/>
        <item x="1089"/>
        <item x="1406"/>
        <item x="1432"/>
        <item x="1607"/>
        <item x="1608"/>
        <item x="1609"/>
        <item x="1614"/>
        <item x="1618"/>
        <item x="1600"/>
        <item x="1601"/>
        <item x="1619"/>
        <item x="1613"/>
        <item x="1612"/>
        <item x="1610"/>
        <item x="1313"/>
        <item x="1314"/>
        <item x="1587"/>
        <item x="1315"/>
        <item x="1316"/>
        <item x="1589"/>
        <item x="1621"/>
        <item x="1588"/>
        <item x="1590"/>
        <item x="1317"/>
        <item x="1407"/>
        <item x="1628"/>
        <item x="1478"/>
        <item x="1597"/>
        <item x="1630"/>
        <item x="1631"/>
        <item x="1632"/>
        <item x="1633"/>
        <item x="1634"/>
        <item x="1635"/>
        <item x="1636"/>
        <item x="1591"/>
        <item x="1397"/>
        <item x="1398"/>
        <item x="1592"/>
        <item x="1644"/>
        <item x="1615"/>
        <item x="1616"/>
        <item x="1617"/>
        <item x="1576"/>
        <item x="1577"/>
        <item x="1578"/>
        <item x="1599"/>
        <item x="1557"/>
        <item x="1558"/>
        <item x="1559"/>
        <item x="1605"/>
        <item x="1522"/>
        <item x="1647"/>
        <item x="1648"/>
        <item x="1649"/>
        <item x="1658"/>
        <item x="1660"/>
        <item x="1659"/>
        <item x="1661"/>
        <item x="1645"/>
        <item x="1646"/>
        <item x="1663"/>
        <item x="1580"/>
        <item x="1594"/>
        <item x="1603"/>
        <item x="1604"/>
        <item x="1670"/>
        <item x="1671"/>
        <item x="1593"/>
        <item x="1596"/>
        <item x="1672"/>
        <item x="1595"/>
        <item x="1565"/>
        <item x="1566"/>
        <item x="1688"/>
        <item x="1637"/>
        <item x="1638"/>
        <item x="1579"/>
        <item x="1546"/>
        <item x="1606"/>
        <item x="1623"/>
        <item x="1624"/>
        <item x="1622"/>
        <item x="1691"/>
        <item x="1639"/>
        <item x="1678"/>
        <item x="1680"/>
        <item x="1673"/>
        <item x="1679"/>
        <item x="1563"/>
        <item x="1666"/>
        <item x="1667"/>
        <item x="1668"/>
        <item x="1669"/>
        <item x="1662"/>
        <item x="1681"/>
        <item x="1690"/>
        <item x="1683"/>
        <item x="1684"/>
        <item x="1687"/>
        <item x="1685"/>
        <item x="1686"/>
        <item x="1689"/>
        <item x="1664"/>
        <item x="1665"/>
        <item x="1682"/>
        <item x="1692"/>
        <item x="1581"/>
        <item x="1625"/>
        <item x="1626"/>
        <item x="1627"/>
        <item x="1693"/>
        <item x="1611"/>
        <item x="1620"/>
        <item x="1650"/>
        <item x="1651"/>
        <item x="1653"/>
        <item x="1640"/>
        <item x="1641"/>
        <item x="1642"/>
        <item x="1643"/>
        <item x="1534"/>
        <item x="1629"/>
        <item x="1698"/>
        <item x="1696"/>
        <item x="1697"/>
        <item x="1704"/>
        <item x="1702"/>
        <item x="1703"/>
        <item x="1701"/>
        <item x="1699"/>
        <item x="1700"/>
        <item x="1676"/>
        <item x="1674"/>
        <item x="1675"/>
        <item x="1677"/>
        <item x="1602"/>
        <item x="1694"/>
        <item x="1695"/>
        <item x="1705"/>
        <item x="1706"/>
        <item x="1707"/>
        <item x="1708"/>
        <item x="1652"/>
        <item x="1654"/>
        <item x="1655"/>
        <item x="1709"/>
        <item x="1396"/>
        <item x="1710"/>
        <item x="1711"/>
        <item x="1483"/>
        <item x="332"/>
        <item x="292"/>
        <item x="391"/>
        <item x="34"/>
        <item x="1551"/>
        <item x="1552"/>
        <item x="1553"/>
        <item x="1554"/>
        <item x="1555"/>
        <item x="1656"/>
        <item x="1657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70">
        <item x="10"/>
        <item x="154"/>
        <item x="131"/>
        <item x="71"/>
        <item x="4"/>
        <item x="158"/>
        <item x="157"/>
        <item x="162"/>
        <item x="149"/>
        <item x="163"/>
        <item x="78"/>
        <item x="79"/>
        <item x="72"/>
        <item x="73"/>
        <item x="87"/>
        <item x="109"/>
        <item x="130"/>
        <item x="129"/>
        <item x="128"/>
        <item x="82"/>
        <item x="153"/>
        <item x="156"/>
        <item x="7"/>
        <item x="0"/>
        <item x="53"/>
        <item x="28"/>
        <item x="95"/>
        <item x="96"/>
        <item x="97"/>
        <item x="107"/>
        <item x="74"/>
        <item x="75"/>
        <item x="14"/>
        <item x="167"/>
        <item x="16"/>
        <item x="94"/>
        <item x="19"/>
        <item x="164"/>
        <item x="117"/>
        <item x="56"/>
        <item x="111"/>
        <item x="112"/>
        <item x="127"/>
        <item x="76"/>
        <item x="70"/>
        <item x="105"/>
        <item x="98"/>
        <item x="138"/>
        <item x="52"/>
        <item x="54"/>
        <item x="42"/>
        <item x="55"/>
        <item x="44"/>
        <item x="40"/>
        <item x="41"/>
        <item x="29"/>
        <item x="31"/>
        <item x="30"/>
        <item x="132"/>
        <item x="85"/>
        <item x="86"/>
        <item x="114"/>
        <item x="168"/>
        <item x="155"/>
        <item x="5"/>
        <item x="51"/>
        <item x="17"/>
        <item x="9"/>
        <item x="32"/>
        <item x="27"/>
        <item x="108"/>
        <item x="161"/>
        <item x="21"/>
        <item x="20"/>
        <item x="25"/>
        <item x="26"/>
        <item x="23"/>
        <item x="24"/>
        <item x="49"/>
        <item x="83"/>
        <item x="37"/>
        <item x="84"/>
        <item x="35"/>
        <item x="36"/>
        <item x="33"/>
        <item x="18"/>
        <item x="11"/>
        <item x="81"/>
        <item x="77"/>
        <item x="169"/>
        <item x="145"/>
        <item x="135"/>
        <item x="8"/>
        <item x="63"/>
        <item x="65"/>
        <item x="64"/>
        <item x="67"/>
        <item x="62"/>
        <item x="66"/>
        <item x="68"/>
        <item x="60"/>
        <item x="61"/>
        <item x="99"/>
        <item x="39"/>
        <item x="34"/>
        <item x="47"/>
        <item x="15"/>
        <item x="165"/>
        <item x="166"/>
        <item x="38"/>
        <item x="12"/>
        <item x="46"/>
        <item x="43"/>
        <item x="160"/>
        <item x="1"/>
        <item x="124"/>
        <item x="3"/>
        <item x="133"/>
        <item x="45"/>
        <item x="2"/>
        <item x="125"/>
        <item x="147"/>
        <item x="22"/>
        <item x="50"/>
        <item x="58"/>
        <item x="59"/>
        <item x="57"/>
        <item x="146"/>
        <item x="48"/>
        <item x="80"/>
        <item x="13"/>
        <item x="6"/>
        <item x="159"/>
        <item x="126"/>
        <item x="90"/>
        <item x="101"/>
        <item x="88"/>
        <item x="89"/>
        <item x="91"/>
        <item x="110"/>
        <item x="92"/>
        <item x="113"/>
        <item x="93"/>
        <item x="69"/>
        <item x="100"/>
        <item x="134"/>
        <item x="106"/>
        <item x="116"/>
        <item x="123"/>
        <item x="139"/>
        <item x="104"/>
        <item x="102"/>
        <item x="103"/>
        <item x="148"/>
        <item x="122"/>
        <item x="120"/>
        <item x="121"/>
        <item x="140"/>
        <item x="115"/>
        <item x="141"/>
        <item x="142"/>
        <item x="143"/>
        <item x="119"/>
        <item x="136"/>
        <item x="152"/>
        <item x="150"/>
        <item x="151"/>
        <item x="144"/>
        <item x="137"/>
        <item x="118"/>
      </items>
    </pivotField>
    <pivotField axis="axisRow" compact="0" outline="0" showAll="0" defaultSubtotal="0">
      <items count="73">
        <item x="61"/>
        <item x="50"/>
        <item x="45"/>
        <item x="56"/>
        <item x="68"/>
        <item x="70"/>
        <item x="2"/>
        <item x="9"/>
        <item x="20"/>
        <item x="40"/>
        <item x="21"/>
        <item x="67"/>
        <item x="31"/>
        <item x="30"/>
        <item x="54"/>
        <item x="55"/>
        <item x="34"/>
        <item x="39"/>
        <item x="62"/>
        <item x="47"/>
        <item x="4"/>
        <item x="32"/>
        <item x="35"/>
        <item x="6"/>
        <item x="12"/>
        <item x="52"/>
        <item x="14"/>
        <item x="46"/>
        <item x="10"/>
        <item x="22"/>
        <item x="43"/>
        <item x="38"/>
        <item x="33"/>
        <item x="8"/>
        <item x="7"/>
        <item x="72"/>
        <item x="57"/>
        <item x="3"/>
        <item x="69"/>
        <item x="42"/>
        <item x="28"/>
        <item x="13"/>
        <item x="63"/>
        <item x="27"/>
        <item x="11"/>
        <item x="0"/>
        <item x="37"/>
        <item x="48"/>
        <item x="65"/>
        <item x="26"/>
        <item x="18"/>
        <item x="66"/>
        <item x="44"/>
        <item x="49"/>
        <item x="71"/>
        <item x="23"/>
        <item x="16"/>
        <item x="64"/>
        <item x="60"/>
        <item x="19"/>
        <item x="17"/>
        <item x="25"/>
        <item x="36"/>
        <item x="29"/>
        <item x="15"/>
        <item x="41"/>
        <item x="24"/>
        <item x="59"/>
        <item x="51"/>
        <item x="1"/>
        <item x="5"/>
        <item x="53"/>
        <item x="58"/>
      </items>
    </pivotField>
    <pivotField compact="0" outline="0" showAll="0" defaultSubtotal="0">
      <items count="915">
        <item x="130"/>
        <item x="2"/>
        <item x="38"/>
        <item x="40"/>
        <item x="74"/>
        <item x="107"/>
        <item x="108"/>
        <item x="111"/>
        <item x="143"/>
        <item x="1"/>
        <item x="32"/>
        <item x="73"/>
        <item x="30"/>
        <item x="31"/>
        <item x="50"/>
        <item x="122"/>
        <item x="123"/>
        <item x="78"/>
        <item x="79"/>
        <item x="80"/>
        <item x="63"/>
        <item x="12"/>
        <item x="13"/>
        <item x="11"/>
        <item x="49"/>
        <item x="62"/>
        <item x="104"/>
        <item x="124"/>
        <item x="125"/>
        <item x="139"/>
        <item x="140"/>
        <item x="141"/>
        <item x="536"/>
        <item x="686"/>
        <item x="781"/>
        <item x="816"/>
        <item x="856"/>
        <item x="904"/>
        <item x="906"/>
        <item x="907"/>
        <item x="908"/>
        <item x="913"/>
        <item x="914"/>
        <item x="72"/>
        <item x="640"/>
        <item x="755"/>
        <item x="528"/>
        <item x="529"/>
        <item x="860"/>
        <item x="218"/>
        <item x="239"/>
        <item x="869"/>
        <item x="807"/>
        <item x="880"/>
        <item x="43"/>
        <item x="45"/>
        <item x="44"/>
        <item x="67"/>
        <item x="69"/>
        <item x="68"/>
        <item x="85"/>
        <item x="89"/>
        <item x="90"/>
        <item x="109"/>
        <item x="110"/>
        <item x="112"/>
        <item x="113"/>
        <item x="117"/>
        <item x="114"/>
        <item x="115"/>
        <item x="173"/>
        <item x="174"/>
        <item x="175"/>
        <item x="176"/>
        <item x="198"/>
        <item x="199"/>
        <item x="458"/>
        <item x="343"/>
        <item x="344"/>
        <item x="39"/>
        <item x="105"/>
        <item x="185"/>
        <item x="153"/>
        <item x="159"/>
        <item x="219"/>
        <item x="254"/>
        <item x="398"/>
        <item x="610"/>
        <item x="196"/>
        <item x="324"/>
        <item x="485"/>
        <item x="171"/>
        <item x="55"/>
        <item x="56"/>
        <item x="337"/>
        <item x="525"/>
        <item x="526"/>
        <item x="549"/>
        <item x="599"/>
        <item x="211"/>
        <item x="277"/>
        <item x="303"/>
        <item x="312"/>
        <item x="325"/>
        <item x="240"/>
        <item x="789"/>
        <item x="148"/>
        <item x="707"/>
        <item x="802"/>
        <item x="814"/>
        <item x="839"/>
        <item x="836"/>
        <item x="710"/>
        <item x="709"/>
        <item x="725"/>
        <item x="726"/>
        <item x="723"/>
        <item x="724"/>
        <item x="456"/>
        <item x="652"/>
        <item x="690"/>
        <item x="806"/>
        <item x="583"/>
        <item x="777"/>
        <item x="331"/>
        <item x="197"/>
        <item x="341"/>
        <item x="342"/>
        <item x="340"/>
        <item x="339"/>
        <item x="181"/>
        <item x="182"/>
        <item x="183"/>
        <item x="184"/>
        <item x="202"/>
        <item x="285"/>
        <item x="353"/>
        <item x="329"/>
        <item x="189"/>
        <item x="188"/>
        <item x="195"/>
        <item x="194"/>
        <item x="206"/>
        <item x="210"/>
        <item x="286"/>
        <item x="304"/>
        <item x="387"/>
        <item x="388"/>
        <item x="384"/>
        <item x="385"/>
        <item x="386"/>
        <item x="406"/>
        <item x="407"/>
        <item x="408"/>
        <item x="421"/>
        <item x="411"/>
        <item x="409"/>
        <item x="410"/>
        <item x="422"/>
        <item x="423"/>
        <item x="432"/>
        <item x="431"/>
        <item x="436"/>
        <item x="439"/>
        <item x="437"/>
        <item x="433"/>
        <item x="451"/>
        <item x="450"/>
        <item x="438"/>
        <item x="452"/>
        <item x="435"/>
        <item x="434"/>
        <item x="446"/>
        <item x="444"/>
        <item x="441"/>
        <item x="443"/>
        <item x="445"/>
        <item x="442"/>
        <item x="440"/>
        <item x="465"/>
        <item x="466"/>
        <item x="467"/>
        <item x="468"/>
        <item x="469"/>
        <item x="464"/>
        <item x="460"/>
        <item x="461"/>
        <item x="495"/>
        <item x="494"/>
        <item x="487"/>
        <item x="488"/>
        <item x="489"/>
        <item x="493"/>
        <item x="490"/>
        <item x="491"/>
        <item x="492"/>
        <item x="496"/>
        <item x="497"/>
        <item x="503"/>
        <item x="498"/>
        <item x="499"/>
        <item x="500"/>
        <item x="501"/>
        <item x="517"/>
        <item x="518"/>
        <item x="515"/>
        <item x="519"/>
        <item x="520"/>
        <item x="516"/>
        <item x="547"/>
        <item x="562"/>
        <item x="502"/>
        <item x="550"/>
        <item x="545"/>
        <item x="551"/>
        <item x="524"/>
        <item x="567"/>
        <item x="570"/>
        <item x="572"/>
        <item x="568"/>
        <item x="571"/>
        <item x="569"/>
        <item x="573"/>
        <item x="574"/>
        <item x="575"/>
        <item x="576"/>
        <item x="577"/>
        <item x="578"/>
        <item x="579"/>
        <item x="563"/>
        <item x="564"/>
        <item x="565"/>
        <item x="600"/>
        <item x="605"/>
        <item x="633"/>
        <item x="632"/>
        <item x="636"/>
        <item x="662"/>
        <item x="663"/>
        <item x="664"/>
        <item x="675"/>
        <item x="678"/>
        <item x="667"/>
        <item x="668"/>
        <item x="666"/>
        <item x="676"/>
        <item x="681"/>
        <item x="682"/>
        <item x="665"/>
        <item x="679"/>
        <item x="657"/>
        <item x="658"/>
        <item x="677"/>
        <item x="680"/>
        <item x="708"/>
        <item x="688"/>
        <item x="687"/>
        <item x="689"/>
        <item x="685"/>
        <item x="699"/>
        <item x="702"/>
        <item x="700"/>
        <item x="703"/>
        <item x="704"/>
        <item x="705"/>
        <item x="698"/>
        <item x="701"/>
        <item x="706"/>
        <item x="736"/>
        <item x="737"/>
        <item x="763"/>
        <item x="733"/>
        <item x="727"/>
        <item x="744"/>
        <item x="742"/>
        <item x="732"/>
        <item x="749"/>
        <item x="743"/>
        <item x="740"/>
        <item x="741"/>
        <item x="728"/>
        <item x="697"/>
        <item x="756"/>
        <item x="748"/>
        <item x="746"/>
        <item x="747"/>
        <item x="745"/>
        <item x="750"/>
        <item x="751"/>
        <item x="752"/>
        <item x="753"/>
        <item x="754"/>
        <item x="770"/>
        <item x="739"/>
        <item x="738"/>
        <item x="730"/>
        <item x="731"/>
        <item x="734"/>
        <item x="735"/>
        <item x="775"/>
        <item x="797"/>
        <item x="790"/>
        <item x="791"/>
        <item x="788"/>
        <item x="786"/>
        <item x="774"/>
        <item x="772"/>
        <item x="773"/>
        <item x="771"/>
        <item x="798"/>
        <item x="782"/>
        <item x="799"/>
        <item x="801"/>
        <item x="800"/>
        <item x="796"/>
        <item x="787"/>
        <item x="795"/>
        <item x="794"/>
        <item x="837"/>
        <item x="864"/>
        <item x="808"/>
        <item x="809"/>
        <item x="819"/>
        <item x="820"/>
        <item x="818"/>
        <item x="817"/>
        <item x="815"/>
        <item x="830"/>
        <item x="831"/>
        <item x="840"/>
        <item x="841"/>
        <item x="842"/>
        <item x="833"/>
        <item x="832"/>
        <item x="829"/>
        <item x="849"/>
        <item x="852"/>
        <item x="855"/>
        <item x="850"/>
        <item x="853"/>
        <item x="857"/>
        <item x="851"/>
        <item x="854"/>
        <item x="858"/>
        <item x="843"/>
        <item x="844"/>
        <item x="845"/>
        <item x="846"/>
        <item x="847"/>
        <item x="848"/>
        <item x="878"/>
        <item x="879"/>
        <item x="868"/>
        <item x="893"/>
        <item x="894"/>
        <item x="895"/>
        <item x="896"/>
        <item x="883"/>
        <item x="882"/>
        <item x="903"/>
        <item x="900"/>
        <item x="179"/>
        <item x="212"/>
        <item x="232"/>
        <item x="9"/>
        <item x="326"/>
        <item x="537"/>
        <item x="598"/>
        <item x="604"/>
        <item x="471"/>
        <item x="472"/>
        <item x="473"/>
        <item x="474"/>
        <item x="507"/>
        <item x="508"/>
        <item x="544"/>
        <item x="548"/>
        <item x="556"/>
        <item x="557"/>
        <item x="582"/>
        <item x="585"/>
        <item x="597"/>
        <item x="606"/>
        <item x="617"/>
        <item x="618"/>
        <item x="631"/>
        <item x="635"/>
        <item x="634"/>
        <item x="653"/>
        <item x="715"/>
        <item x="278"/>
        <item x="429"/>
        <item x="430"/>
        <item x="306"/>
        <item x="305"/>
        <item x="168"/>
        <item x="169"/>
        <item x="204"/>
        <item x="205"/>
        <item x="230"/>
        <item x="308"/>
        <item x="338"/>
        <item x="371"/>
        <item x="402"/>
        <item x="412"/>
        <item x="415"/>
        <item x="447"/>
        <item x="509"/>
        <item x="561"/>
        <item x="607"/>
        <item x="644"/>
        <item x="135"/>
        <item x="136"/>
        <item x="137"/>
        <item x="138"/>
        <item x="154"/>
        <item x="165"/>
        <item x="166"/>
        <item x="163"/>
        <item x="164"/>
        <item x="186"/>
        <item x="187"/>
        <item x="207"/>
        <item x="208"/>
        <item x="209"/>
        <item x="221"/>
        <item x="222"/>
        <item x="223"/>
        <item x="236"/>
        <item x="258"/>
        <item x="266"/>
        <item x="267"/>
        <item x="311"/>
        <item x="318"/>
        <item x="345"/>
        <item x="346"/>
        <item x="358"/>
        <item x="359"/>
        <item x="360"/>
        <item x="383"/>
        <item x="417"/>
        <item x="416"/>
        <item x="118"/>
        <item x="200"/>
        <item x="201"/>
        <item x="256"/>
        <item x="255"/>
        <item x="884"/>
        <item x="157"/>
        <item x="875"/>
        <item x="876"/>
        <item x="654"/>
        <item x="718"/>
        <item x="717"/>
        <item x="865"/>
        <item x="313"/>
        <item x="298"/>
        <item x="296"/>
        <item x="321"/>
        <item x="322"/>
        <item x="323"/>
        <item x="126"/>
        <item x="127"/>
        <item x="144"/>
        <item x="145"/>
        <item x="216"/>
        <item x="217"/>
        <item x="215"/>
        <item x="213"/>
        <item x="214"/>
        <item x="220"/>
        <item x="248"/>
        <item x="249"/>
        <item x="250"/>
        <item x="251"/>
        <item x="252"/>
        <item x="253"/>
        <item x="243"/>
        <item x="244"/>
        <item x="245"/>
        <item x="246"/>
        <item x="247"/>
        <item x="263"/>
        <item x="264"/>
        <item x="272"/>
        <item x="273"/>
        <item x="276"/>
        <item x="275"/>
        <item x="279"/>
        <item x="167"/>
        <item x="4"/>
        <item x="5"/>
        <item x="3"/>
        <item x="14"/>
        <item x="15"/>
        <item x="21"/>
        <item x="22"/>
        <item x="23"/>
        <item x="24"/>
        <item x="41"/>
        <item x="42"/>
        <item x="46"/>
        <item x="47"/>
        <item x="61"/>
        <item x="17"/>
        <item x="18"/>
        <item x="19"/>
        <item x="20"/>
        <item x="64"/>
        <item x="70"/>
        <item x="75"/>
        <item x="76"/>
        <item x="77"/>
        <item x="96"/>
        <item x="97"/>
        <item x="98"/>
        <item x="101"/>
        <item x="26"/>
        <item x="27"/>
        <item x="121"/>
        <item x="120"/>
        <item x="133"/>
        <item x="134"/>
        <item x="146"/>
        <item x="147"/>
        <item x="155"/>
        <item x="178"/>
        <item x="177"/>
        <item x="259"/>
        <item x="260"/>
        <item x="261"/>
        <item x="510"/>
        <item x="534"/>
        <item x="533"/>
        <item x="535"/>
        <item x="554"/>
        <item x="553"/>
        <item x="558"/>
        <item x="588"/>
        <item x="589"/>
        <item x="593"/>
        <item x="594"/>
        <item x="596"/>
        <item x="595"/>
        <item x="603"/>
        <item x="637"/>
        <item x="638"/>
        <item x="810"/>
        <item x="812"/>
        <item x="811"/>
        <item x="762"/>
        <item x="590"/>
        <item x="591"/>
        <item x="158"/>
        <item x="7"/>
        <item x="527"/>
        <item x="58"/>
        <item x="65"/>
        <item x="66"/>
        <item x="86"/>
        <item x="116"/>
        <item x="37"/>
        <item x="0"/>
        <item x="10"/>
        <item x="34"/>
        <item x="35"/>
        <item x="36"/>
        <item x="302"/>
        <item x="328"/>
        <item x="327"/>
        <item x="301"/>
        <item x="366"/>
        <item x="257"/>
        <item x="162"/>
        <item x="274"/>
        <item x="713"/>
        <item x="825"/>
        <item x="861"/>
        <item x="354"/>
        <item x="523"/>
        <item x="102"/>
        <item x="103"/>
        <item x="238"/>
        <item x="316"/>
        <item x="649"/>
        <item x="650"/>
        <item x="454"/>
        <item x="911"/>
        <item x="780"/>
        <item x="779"/>
        <item x="784"/>
        <item x="785"/>
        <item x="838"/>
        <item x="611"/>
        <item x="612"/>
        <item x="237"/>
        <item x="613"/>
        <item x="29"/>
        <item x="28"/>
        <item x="374"/>
        <item x="51"/>
        <item x="53"/>
        <item x="52"/>
        <item x="54"/>
        <item x="651"/>
        <item x="59"/>
        <item x="60"/>
        <item x="83"/>
        <item x="287"/>
        <item x="696"/>
        <item x="695"/>
        <item x="546"/>
        <item x="100"/>
        <item x="228"/>
        <item x="229"/>
        <item x="235"/>
        <item x="268"/>
        <item x="269"/>
        <item x="270"/>
        <item x="271"/>
        <item x="333"/>
        <item x="332"/>
        <item x="462"/>
        <item x="463"/>
        <item x="477"/>
        <item x="478"/>
        <item x="475"/>
        <item x="476"/>
        <item x="484"/>
        <item x="481"/>
        <item x="482"/>
        <item x="483"/>
        <item x="8"/>
        <item x="93"/>
        <item x="99"/>
        <item x="94"/>
        <item x="142"/>
        <item x="151"/>
        <item x="149"/>
        <item x="150"/>
        <item x="152"/>
        <item x="192"/>
        <item x="203"/>
        <item x="224"/>
        <item x="225"/>
        <item x="231"/>
        <item x="362"/>
        <item x="459"/>
        <item x="552"/>
        <item x="601"/>
        <item x="602"/>
        <item x="608"/>
        <item x="615"/>
        <item x="626"/>
        <item x="627"/>
        <item x="641"/>
        <item x="643"/>
        <item x="642"/>
        <item x="659"/>
        <item x="660"/>
        <item x="692"/>
        <item x="694"/>
        <item x="693"/>
        <item x="729"/>
        <item x="759"/>
        <item x="758"/>
        <item x="766"/>
        <item x="767"/>
        <item x="765"/>
        <item x="764"/>
        <item x="793"/>
        <item x="804"/>
        <item x="805"/>
        <item x="827"/>
        <item x="828"/>
        <item x="834"/>
        <item x="871"/>
        <item x="877"/>
        <item x="892"/>
        <item x="901"/>
        <item x="912"/>
        <item x="910"/>
        <item x="282"/>
        <item x="283"/>
        <item x="281"/>
        <item x="280"/>
        <item x="290"/>
        <item x="291"/>
        <item x="299"/>
        <item x="292"/>
        <item x="293"/>
        <item x="309"/>
        <item x="310"/>
        <item x="314"/>
        <item x="315"/>
        <item x="330"/>
        <item x="334"/>
        <item x="335"/>
        <item x="390"/>
        <item x="389"/>
        <item x="161"/>
        <item x="226"/>
        <item x="227"/>
        <item x="284"/>
        <item x="294"/>
        <item x="295"/>
        <item x="297"/>
        <item x="317"/>
        <item x="397"/>
        <item x="6"/>
        <item x="82"/>
        <item x="95"/>
        <item x="180"/>
        <item x="242"/>
        <item x="241"/>
        <item x="361"/>
        <item x="370"/>
        <item x="368"/>
        <item x="369"/>
        <item x="376"/>
        <item x="375"/>
        <item x="377"/>
        <item x="378"/>
        <item x="379"/>
        <item x="380"/>
        <item x="381"/>
        <item x="382"/>
        <item x="391"/>
        <item x="392"/>
        <item x="393"/>
        <item x="394"/>
        <item x="395"/>
        <item x="418"/>
        <item x="419"/>
        <item x="420"/>
        <item x="453"/>
        <item x="448"/>
        <item x="486"/>
        <item x="521"/>
        <item x="538"/>
        <item x="541"/>
        <item x="542"/>
        <item x="539"/>
        <item x="540"/>
        <item x="559"/>
        <item x="560"/>
        <item x="566"/>
        <item x="586"/>
        <item x="587"/>
        <item x="592"/>
        <item x="619"/>
        <item x="620"/>
        <item x="621"/>
        <item x="625"/>
        <item x="624"/>
        <item x="639"/>
        <item x="645"/>
        <item x="646"/>
        <item x="647"/>
        <item x="674"/>
        <item x="670"/>
        <item x="671"/>
        <item x="672"/>
        <item x="673"/>
        <item x="711"/>
        <item x="712"/>
        <item x="719"/>
        <item x="720"/>
        <item x="716"/>
        <item x="721"/>
        <item x="722"/>
        <item x="768"/>
        <item x="769"/>
        <item x="757"/>
        <item x="760"/>
        <item x="783"/>
        <item x="792"/>
        <item x="813"/>
        <item x="826"/>
        <item x="824"/>
        <item x="859"/>
        <item x="867"/>
        <item x="870"/>
        <item x="872"/>
        <item x="874"/>
        <item x="873"/>
        <item x="881"/>
        <item x="885"/>
        <item x="886"/>
        <item x="888"/>
        <item x="890"/>
        <item x="891"/>
        <item x="898"/>
        <item x="905"/>
        <item x="355"/>
        <item x="373"/>
        <item x="396"/>
        <item x="413"/>
        <item x="543"/>
        <item x="555"/>
        <item x="129"/>
        <item x="479"/>
        <item x="504"/>
        <item x="505"/>
        <item x="506"/>
        <item x="514"/>
        <item x="511"/>
        <item x="512"/>
        <item x="513"/>
        <item x="172"/>
        <item x="684"/>
        <item x="262"/>
        <item x="350"/>
        <item x="363"/>
        <item x="364"/>
        <item x="367"/>
        <item x="365"/>
        <item x="424"/>
        <item x="425"/>
        <item x="426"/>
        <item x="449"/>
        <item x="669"/>
        <item x="33"/>
        <item x="81"/>
        <item x="480"/>
        <item x="656"/>
        <item x="655"/>
        <item x="822"/>
        <item x="835"/>
        <item x="866"/>
        <item x="897"/>
        <item x="902"/>
        <item x="57"/>
        <item x="88"/>
        <item x="87"/>
        <item x="106"/>
        <item x="128"/>
        <item x="160"/>
        <item x="336"/>
        <item x="348"/>
        <item x="347"/>
        <item x="349"/>
        <item x="357"/>
        <item x="356"/>
        <item x="399"/>
        <item x="400"/>
        <item x="190"/>
        <item x="401"/>
        <item x="403"/>
        <item x="404"/>
        <item x="405"/>
        <item x="470"/>
        <item x="530"/>
        <item x="531"/>
        <item x="191"/>
        <item x="532"/>
        <item x="580"/>
        <item x="581"/>
        <item x="629"/>
        <item x="628"/>
        <item x="630"/>
        <item x="714"/>
        <item x="776"/>
        <item x="803"/>
        <item x="823"/>
        <item x="887"/>
        <item x="233"/>
        <item x="234"/>
        <item x="265"/>
        <item x="909"/>
        <item x="288"/>
        <item x="289"/>
        <item x="307"/>
        <item x="319"/>
        <item x="320"/>
        <item x="352"/>
        <item x="351"/>
        <item x="427"/>
        <item x="428"/>
        <item x="683"/>
        <item x="889"/>
        <item x="622"/>
        <item x="623"/>
        <item x="48"/>
        <item x="71"/>
        <item x="92"/>
        <item x="91"/>
        <item x="170"/>
        <item x="414"/>
        <item x="455"/>
        <item x="522"/>
        <item x="609"/>
        <item x="648"/>
        <item x="661"/>
        <item x="761"/>
        <item x="821"/>
        <item x="899"/>
        <item x="84"/>
        <item x="156"/>
        <item x="193"/>
        <item x="372"/>
        <item x="457"/>
        <item x="584"/>
        <item x="614"/>
        <item x="616"/>
        <item x="691"/>
        <item x="778"/>
        <item x="862"/>
        <item x="863"/>
        <item x="119"/>
        <item x="132"/>
        <item x="131"/>
        <item x="300"/>
        <item x="25"/>
        <item x="16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688">
        <item x="355"/>
        <item x="657"/>
        <item x="245"/>
        <item x="165"/>
        <item x="244"/>
        <item x="166"/>
        <item x="239"/>
        <item x="167"/>
        <item x="263"/>
        <item x="242"/>
        <item x="391"/>
        <item x="276"/>
        <item x="297"/>
        <item x="388"/>
        <item x="389"/>
        <item x="299"/>
        <item x="298"/>
        <item x="392"/>
        <item x="142"/>
        <item x="390"/>
        <item x="482"/>
        <item x="277"/>
        <item x="240"/>
        <item x="278"/>
        <item x="386"/>
        <item x="265"/>
        <item x="178"/>
        <item x="357"/>
        <item x="243"/>
        <item x="91"/>
        <item x="387"/>
        <item x="680"/>
        <item x="356"/>
        <item x="241"/>
        <item x="296"/>
        <item x="614"/>
        <item x="374"/>
        <item x="597"/>
        <item x="613"/>
        <item x="679"/>
        <item x="295"/>
        <item x="615"/>
        <item x="266"/>
        <item x="177"/>
        <item x="656"/>
        <item x="655"/>
        <item x="90"/>
        <item x="420"/>
        <item x="107"/>
        <item x="375"/>
        <item x="483"/>
        <item x="681"/>
        <item x="605"/>
        <item x="312"/>
        <item x="654"/>
        <item x="376"/>
        <item x="81"/>
        <item x="607"/>
        <item x="108"/>
        <item x="333"/>
        <item x="360"/>
        <item x="521"/>
        <item x="608"/>
        <item x="652"/>
        <item x="186"/>
        <item x="550"/>
        <item x="379"/>
        <item x="491"/>
        <item x="267"/>
        <item x="489"/>
        <item x="332"/>
        <item x="686"/>
        <item x="264"/>
        <item x="552"/>
        <item x="133"/>
        <item x="587"/>
        <item x="551"/>
        <item x="579"/>
        <item x="358"/>
        <item x="268"/>
        <item x="616"/>
        <item x="464"/>
        <item x="540"/>
        <item x="235"/>
        <item x="672"/>
        <item x="26"/>
        <item x="556"/>
        <item x="102"/>
        <item x="234"/>
        <item x="236"/>
        <item x="595"/>
        <item x="394"/>
        <item x="121"/>
        <item x="223"/>
        <item x="452"/>
        <item x="450"/>
        <item x="664"/>
        <item x="612"/>
        <item x="636"/>
        <item x="575"/>
        <item x="668"/>
        <item x="205"/>
        <item x="68"/>
        <item x="662"/>
        <item x="69"/>
        <item x="209"/>
        <item x="471"/>
        <item x="646"/>
        <item x="519"/>
        <item x="629"/>
        <item x="9"/>
        <item x="678"/>
        <item x="576"/>
        <item x="210"/>
        <item x="490"/>
        <item x="143"/>
        <item x="469"/>
        <item x="105"/>
        <item x="104"/>
        <item x="101"/>
        <item x="406"/>
        <item x="119"/>
        <item x="145"/>
        <item x="407"/>
        <item x="480"/>
        <item x="442"/>
        <item x="545"/>
        <item x="567"/>
        <item x="578"/>
        <item x="546"/>
        <item x="568"/>
        <item x="477"/>
        <item x="6"/>
        <item x="261"/>
        <item x="262"/>
        <item x="34"/>
        <item x="632"/>
        <item x="185"/>
        <item x="535"/>
        <item x="436"/>
        <item x="472"/>
        <item x="164"/>
        <item x="279"/>
        <item x="475"/>
        <item x="465"/>
        <item x="603"/>
        <item x="582"/>
        <item x="487"/>
        <item x="470"/>
        <item x="63"/>
        <item x="103"/>
        <item x="596"/>
        <item x="93"/>
        <item x="202"/>
        <item x="56"/>
        <item x="451"/>
        <item x="501"/>
        <item x="604"/>
        <item x="446"/>
        <item x="207"/>
        <item x="206"/>
        <item x="634"/>
        <item x="292"/>
        <item x="437"/>
        <item x="251"/>
        <item x="441"/>
        <item x="524"/>
        <item x="163"/>
        <item x="461"/>
        <item x="574"/>
        <item x="87"/>
        <item x="554"/>
        <item x="58"/>
        <item x="316"/>
        <item x="468"/>
        <item x="218"/>
        <item x="463"/>
        <item x="79"/>
        <item x="112"/>
        <item x="8"/>
        <item x="518"/>
        <item x="462"/>
        <item x="630"/>
        <item x="255"/>
        <item x="502"/>
        <item x="248"/>
        <item x="424"/>
        <item x="174"/>
        <item x="476"/>
        <item x="566"/>
        <item x="565"/>
        <item x="685"/>
        <item x="637"/>
        <item x="666"/>
        <item x="590"/>
        <item x="611"/>
        <item x="309"/>
        <item x="497"/>
        <item x="549"/>
        <item x="78"/>
        <item x="55"/>
        <item x="33"/>
        <item x="633"/>
        <item x="67"/>
        <item x="256"/>
        <item x="623"/>
        <item x="25"/>
        <item x="537"/>
        <item x="509"/>
        <item x="76"/>
        <item x="193"/>
        <item x="273"/>
        <item x="674"/>
        <item x="301"/>
        <item x="21"/>
        <item x="594"/>
        <item x="92"/>
        <item x="645"/>
        <item x="57"/>
        <item x="591"/>
        <item x="201"/>
        <item x="593"/>
        <item x="445"/>
        <item x="479"/>
        <item x="481"/>
        <item x="617"/>
        <item x="665"/>
        <item x="538"/>
        <item x="306"/>
        <item x="259"/>
        <item x="260"/>
        <item x="305"/>
        <item x="530"/>
        <item x="258"/>
        <item x="24"/>
        <item x="439"/>
        <item x="473"/>
        <item x="343"/>
        <item x="434"/>
        <item x="5"/>
        <item x="74"/>
        <item x="496"/>
        <item x="303"/>
        <item x="499"/>
        <item x="10"/>
        <item x="160"/>
        <item x="32"/>
        <item x="418"/>
        <item x="400"/>
        <item x="531"/>
        <item x="288"/>
        <item x="510"/>
        <item x="135"/>
        <item x="231"/>
        <item x="444"/>
        <item x="492"/>
        <item x="610"/>
        <item x="147"/>
        <item x="644"/>
        <item x="397"/>
        <item x="75"/>
        <item x="257"/>
        <item x="307"/>
        <item x="249"/>
        <item x="324"/>
        <item x="353"/>
        <item x="350"/>
        <item x="200"/>
        <item x="511"/>
        <item x="659"/>
        <item x="61"/>
        <item x="585"/>
        <item x="30"/>
        <item x="520"/>
        <item x="448"/>
        <item x="443"/>
        <item x="570"/>
        <item x="663"/>
        <item x="669"/>
        <item x="337"/>
        <item x="59"/>
        <item x="336"/>
        <item x="329"/>
        <item x="467"/>
        <item x="500"/>
        <item x="111"/>
        <item x="109"/>
        <item x="110"/>
        <item x="66"/>
        <item x="230"/>
        <item x="217"/>
        <item x="515"/>
        <item x="624"/>
        <item x="77"/>
        <item x="0"/>
        <item x="367"/>
        <item x="557"/>
        <item x="118"/>
        <item x="330"/>
        <item x="31"/>
        <item x="290"/>
        <item x="601"/>
        <item x="280"/>
        <item x="440"/>
        <item x="447"/>
        <item x="609"/>
        <item x="577"/>
        <item x="573"/>
        <item x="517"/>
        <item x="592"/>
        <item x="136"/>
        <item x="586"/>
        <item x="628"/>
        <item x="53"/>
        <item x="638"/>
        <item x="543"/>
        <item x="311"/>
        <item x="542"/>
        <item x="408"/>
        <item x="168"/>
        <item x="85"/>
        <item x="314"/>
        <item x="525"/>
        <item x="124"/>
        <item x="86"/>
        <item x="422"/>
        <item x="544"/>
        <item x="626"/>
        <item x="159"/>
        <item x="621"/>
        <item x="539"/>
        <item x="12"/>
        <item x="414"/>
        <item x="425"/>
        <item x="383"/>
        <item x="382"/>
        <item x="384"/>
        <item x="385"/>
        <item x="536"/>
        <item x="438"/>
        <item x="435"/>
        <item x="120"/>
        <item x="88"/>
        <item x="222"/>
        <item x="157"/>
        <item x="449"/>
        <item x="478"/>
        <item x="569"/>
        <item x="250"/>
        <item x="395"/>
        <item x="170"/>
        <item x="627"/>
        <item x="19"/>
        <item x="213"/>
        <item x="122"/>
        <item x="334"/>
        <item x="36"/>
        <item x="158"/>
        <item x="421"/>
        <item x="215"/>
        <item x="191"/>
        <item x="229"/>
        <item x="474"/>
        <item x="1"/>
        <item x="405"/>
        <item x="687"/>
        <item x="498"/>
        <item x="65"/>
        <item x="84"/>
        <item x="529"/>
        <item x="64"/>
        <item x="396"/>
        <item x="558"/>
        <item x="508"/>
        <item x="675"/>
        <item x="291"/>
        <item x="60"/>
        <item x="335"/>
        <item x="351"/>
        <item x="183"/>
        <item x="404"/>
        <item x="302"/>
        <item x="344"/>
        <item x="304"/>
        <item x="116"/>
        <item x="171"/>
        <item x="300"/>
        <item x="54"/>
        <item x="62"/>
        <item x="631"/>
        <item x="141"/>
        <item x="432"/>
        <item x="22"/>
        <item x="184"/>
        <item x="572"/>
        <item x="7"/>
        <item x="368"/>
        <item x="148"/>
        <item x="73"/>
        <item x="289"/>
        <item x="661"/>
        <item x="310"/>
        <item x="322"/>
        <item x="252"/>
        <item x="342"/>
        <item x="660"/>
        <item x="555"/>
        <item x="326"/>
        <item x="27"/>
        <item x="667"/>
        <item x="589"/>
        <item x="97"/>
        <item x="393"/>
        <item x="313"/>
        <item x="339"/>
        <item x="82"/>
        <item x="83"/>
        <item x="602"/>
        <item x="526"/>
        <item x="419"/>
        <item x="123"/>
        <item x="370"/>
        <item x="35"/>
        <item x="323"/>
        <item x="199"/>
        <item x="89"/>
        <item x="453"/>
        <item x="455"/>
        <item x="398"/>
        <item x="140"/>
        <item x="563"/>
        <item x="173"/>
        <item x="512"/>
        <item x="423"/>
        <item x="161"/>
        <item x="359"/>
        <item x="225"/>
        <item x="415"/>
        <item x="43"/>
        <item x="175"/>
        <item x="325"/>
        <item x="99"/>
        <item x="486"/>
        <item x="412"/>
        <item x="673"/>
        <item x="198"/>
        <item x="658"/>
        <item x="553"/>
        <item x="28"/>
        <item x="493"/>
        <item x="331"/>
        <item x="588"/>
        <item x="271"/>
        <item x="643"/>
        <item x="126"/>
        <item x="254"/>
        <item x="70"/>
        <item x="308"/>
        <item x="571"/>
        <item x="139"/>
        <item x="137"/>
        <item x="522"/>
        <item x="196"/>
        <item x="642"/>
        <item x="197"/>
        <item x="651"/>
        <item x="270"/>
        <item x="113"/>
        <item x="232"/>
        <item x="378"/>
        <item x="20"/>
        <item x="599"/>
        <item x="317"/>
        <item x="233"/>
        <item x="80"/>
        <item x="349"/>
        <item x="670"/>
        <item x="11"/>
        <item x="411"/>
        <item x="172"/>
        <item x="214"/>
        <item x="253"/>
        <item x="456"/>
        <item x="361"/>
        <item x="618"/>
        <item x="162"/>
        <item x="457"/>
        <item x="150"/>
        <item x="4"/>
        <item x="640"/>
        <item x="247"/>
        <item x="52"/>
        <item x="72"/>
        <item x="216"/>
        <item x="503"/>
        <item x="625"/>
        <item x="606"/>
        <item x="369"/>
        <item x="433"/>
        <item x="153"/>
        <item x="484"/>
        <item x="514"/>
        <item x="399"/>
        <item x="541"/>
        <item x="146"/>
        <item x="238"/>
        <item x="507"/>
        <item x="149"/>
        <item x="653"/>
        <item x="403"/>
        <item x="3"/>
        <item x="583"/>
        <item x="466"/>
        <item x="676"/>
        <item x="340"/>
        <item x="48"/>
        <item x="156"/>
        <item x="416"/>
        <item x="13"/>
        <item x="275"/>
        <item x="430"/>
        <item x="208"/>
        <item x="506"/>
        <item x="417"/>
        <item x="516"/>
        <item x="100"/>
        <item x="211"/>
        <item x="622"/>
        <item x="454"/>
        <item x="194"/>
        <item x="584"/>
        <item x="246"/>
        <item x="187"/>
        <item x="413"/>
        <item x="180"/>
        <item x="272"/>
        <item x="319"/>
        <item x="45"/>
        <item x="195"/>
        <item x="365"/>
        <item x="562"/>
        <item x="523"/>
        <item x="328"/>
        <item x="15"/>
        <item x="341"/>
        <item x="338"/>
        <item x="327"/>
        <item x="114"/>
        <item x="318"/>
        <item x="428"/>
        <item x="23"/>
        <item x="71"/>
        <item x="17"/>
        <item x="641"/>
        <item x="559"/>
        <item x="281"/>
        <item x="96"/>
        <item x="294"/>
        <item x="320"/>
        <item x="315"/>
        <item x="505"/>
        <item x="513"/>
        <item x="364"/>
        <item x="190"/>
        <item x="204"/>
        <item x="282"/>
        <item x="176"/>
        <item x="42"/>
        <item x="95"/>
        <item x="401"/>
        <item x="227"/>
        <item x="46"/>
        <item x="155"/>
        <item x="274"/>
        <item x="16"/>
        <item x="132"/>
        <item x="182"/>
        <item x="362"/>
        <item x="347"/>
        <item x="181"/>
        <item x="192"/>
        <item x="138"/>
        <item x="44"/>
        <item x="647"/>
        <item x="14"/>
        <item x="169"/>
        <item x="380"/>
        <item x="131"/>
        <item x="684"/>
        <item x="125"/>
        <item x="671"/>
        <item x="293"/>
        <item x="348"/>
        <item x="431"/>
        <item x="94"/>
        <item x="224"/>
        <item x="488"/>
        <item x="41"/>
        <item x="144"/>
        <item x="345"/>
        <item x="18"/>
        <item x="221"/>
        <item x="533"/>
        <item x="40"/>
        <item x="117"/>
        <item x="648"/>
        <item x="152"/>
        <item x="371"/>
        <item x="528"/>
        <item x="560"/>
        <item x="269"/>
        <item x="363"/>
        <item x="98"/>
        <item x="212"/>
        <item x="285"/>
        <item x="47"/>
        <item x="287"/>
        <item x="429"/>
        <item x="151"/>
        <item x="600"/>
        <item x="49"/>
        <item x="189"/>
        <item x="650"/>
        <item x="352"/>
        <item x="237"/>
        <item x="485"/>
        <item x="219"/>
        <item x="532"/>
        <item x="115"/>
        <item x="154"/>
        <item x="130"/>
        <item x="561"/>
        <item x="459"/>
        <item x="427"/>
        <item x="228"/>
        <item x="220"/>
        <item x="402"/>
        <item x="534"/>
        <item x="381"/>
        <item x="134"/>
        <item x="619"/>
        <item x="377"/>
        <item x="179"/>
        <item x="504"/>
        <item x="284"/>
        <item x="366"/>
        <item x="460"/>
        <item x="527"/>
        <item x="226"/>
        <item x="127"/>
        <item x="346"/>
        <item x="426"/>
        <item x="286"/>
        <item x="283"/>
        <item x="203"/>
        <item x="580"/>
        <item x="410"/>
        <item x="39"/>
        <item x="649"/>
        <item x="37"/>
        <item x="106"/>
        <item x="188"/>
        <item x="51"/>
        <item x="129"/>
        <item x="128"/>
        <item x="409"/>
        <item x="2"/>
        <item x="458"/>
        <item x="50"/>
        <item x="373"/>
        <item x="620"/>
        <item x="683"/>
        <item x="321"/>
        <item x="354"/>
        <item x="38"/>
        <item x="677"/>
        <item x="598"/>
        <item x="372"/>
        <item x="564"/>
        <item x="495"/>
        <item x="581"/>
        <item x="682"/>
        <item x="494"/>
        <item x="548"/>
        <item x="635"/>
        <item x="547"/>
        <item x="29"/>
        <item x="639"/>
      </items>
    </pivotField>
    <pivotField compact="0" outline="0" showAll="0"/>
    <pivotField compact="0" outline="0" showAll="0"/>
    <pivotField axis="axisRow" compact="0" outline="0" showAll="0" defaultSubtotal="0">
      <items count="1659">
        <item x="31"/>
        <item x="1442"/>
        <item x="1556"/>
        <item x="1504"/>
        <item x="1059"/>
        <item x="215"/>
        <item x="216"/>
        <item x="1426"/>
        <item x="259"/>
        <item x="443"/>
        <item x="260"/>
        <item x="1058"/>
        <item x="427"/>
        <item x="482"/>
        <item x="1057"/>
        <item x="258"/>
        <item x="1217"/>
        <item x="434"/>
        <item x="992"/>
        <item x="442"/>
        <item x="430"/>
        <item x="491"/>
        <item x="439"/>
        <item x="1216"/>
        <item x="990"/>
        <item x="799"/>
        <item x="512"/>
        <item x="513"/>
        <item x="794"/>
        <item x="511"/>
        <item x="804"/>
        <item x="438"/>
        <item x="1051"/>
        <item x="748"/>
        <item x="426"/>
        <item x="1169"/>
        <item x="982"/>
        <item x="441"/>
        <item x="1286"/>
        <item x="1231"/>
        <item x="637"/>
        <item x="802"/>
        <item x="956"/>
        <item x="391"/>
        <item x="78"/>
        <item x="79"/>
        <item x="991"/>
        <item x="996"/>
        <item x="798"/>
        <item x="1016"/>
        <item x="435"/>
        <item x="958"/>
        <item x="431"/>
        <item x="797"/>
        <item x="1160"/>
        <item x="492"/>
        <item x="390"/>
        <item x="1365"/>
        <item x="222"/>
        <item x="1561"/>
        <item x="1444"/>
        <item x="98"/>
        <item x="1359"/>
        <item x="361"/>
        <item x="800"/>
        <item x="704"/>
        <item x="1044"/>
        <item x="277"/>
        <item x="415"/>
        <item x="141"/>
        <item x="463"/>
        <item x="1503"/>
        <item x="1287"/>
        <item x="96"/>
        <item x="95"/>
        <item x="749"/>
        <item x="278"/>
        <item x="1525"/>
        <item x="97"/>
        <item x="116"/>
        <item x="960"/>
        <item x="28"/>
        <item x="966"/>
        <item x="1500"/>
        <item x="1551"/>
        <item x="1549"/>
        <item x="795"/>
        <item x="1345"/>
        <item x="636"/>
        <item x="62"/>
        <item x="1001"/>
        <item x="237"/>
        <item x="1371"/>
        <item x="834"/>
        <item x="509"/>
        <item x="646"/>
        <item x="508"/>
        <item x="1212"/>
        <item x="139"/>
        <item x="1477"/>
        <item x="1213"/>
        <item x="1190"/>
        <item x="930"/>
        <item x="480"/>
        <item x="481"/>
        <item x="143"/>
        <item x="1346"/>
        <item x="693"/>
        <item x="38"/>
        <item x="142"/>
        <item x="998"/>
        <item x="1652"/>
        <item x="1111"/>
        <item x="971"/>
        <item x="217"/>
        <item x="1201"/>
        <item x="874"/>
        <item x="1536"/>
        <item x="1267"/>
        <item x="515"/>
        <item x="1269"/>
        <item x="257"/>
        <item x="981"/>
        <item x="1240"/>
        <item x="980"/>
        <item x="750"/>
        <item x="1651"/>
        <item x="510"/>
        <item x="1369"/>
        <item x="994"/>
        <item x="517"/>
        <item x="838"/>
        <item x="796"/>
        <item x="499"/>
        <item x="414"/>
        <item x="284"/>
        <item x="444"/>
        <item x="1434"/>
        <item x="416"/>
        <item x="1395"/>
        <item x="1289"/>
        <item x="1334"/>
        <item x="983"/>
        <item x="437"/>
        <item x="432"/>
        <item x="941"/>
        <item x="445"/>
        <item x="1376"/>
        <item x="1273"/>
        <item x="516"/>
        <item x="671"/>
        <item x="707"/>
        <item x="1502"/>
        <item x="1050"/>
        <item x="467"/>
        <item x="294"/>
        <item x="641"/>
        <item x="713"/>
        <item x="1042"/>
        <item x="843"/>
        <item x="640"/>
        <item x="952"/>
        <item x="339"/>
        <item x="1065"/>
        <item x="927"/>
        <item x="1409"/>
        <item x="167"/>
        <item x="1125"/>
        <item x="428"/>
        <item x="1285"/>
        <item x="1127"/>
        <item x="147"/>
        <item x="148"/>
        <item x="1610"/>
        <item x="833"/>
        <item x="932"/>
        <item x="433"/>
        <item x="1129"/>
        <item x="1061"/>
        <item x="1223"/>
        <item x="340"/>
        <item x="1157"/>
        <item x="957"/>
        <item x="1501"/>
        <item x="1174"/>
        <item x="1126"/>
        <item x="902"/>
        <item x="1646"/>
        <item x="472"/>
        <item x="475"/>
        <item x="1036"/>
        <item x="1187"/>
        <item x="1123"/>
        <item x="1177"/>
        <item x="1380"/>
        <item x="61"/>
        <item x="1229"/>
        <item x="854"/>
        <item x="1375"/>
        <item x="924"/>
        <item x="785"/>
        <item x="93"/>
        <item x="1166"/>
        <item x="787"/>
        <item x="1378"/>
        <item x="440"/>
        <item x="58"/>
        <item x="1436"/>
        <item x="6"/>
        <item x="603"/>
        <item x="1543"/>
        <item x="66"/>
        <item x="1077"/>
        <item x="364"/>
        <item x="365"/>
        <item x="896"/>
        <item x="109"/>
        <item x="1017"/>
        <item x="132"/>
        <item x="631"/>
        <item x="803"/>
        <item x="37"/>
        <item x="1205"/>
        <item x="77"/>
        <item x="1266"/>
        <item x="1534"/>
        <item x="567"/>
        <item x="478"/>
        <item x="479"/>
        <item x="566"/>
        <item x="477"/>
        <item x="1265"/>
        <item x="1135"/>
        <item x="351"/>
        <item x="341"/>
        <item x="1374"/>
        <item x="997"/>
        <item x="706"/>
        <item x="976"/>
        <item x="1225"/>
        <item x="1224"/>
        <item x="1060"/>
        <item x="90"/>
        <item x="1063"/>
        <item x="1066"/>
        <item x="940"/>
        <item x="519"/>
        <item x="815"/>
        <item x="702"/>
        <item x="929"/>
        <item x="468"/>
        <item x="454"/>
        <item x="26"/>
        <item x="315"/>
        <item x="814"/>
        <item x="1322"/>
        <item x="73"/>
        <item x="766"/>
        <item x="429"/>
        <item x="1146"/>
        <item x="1326"/>
        <item x="1110"/>
        <item x="691"/>
        <item x="767"/>
        <item x="638"/>
        <item x="933"/>
        <item x="89"/>
        <item x="654"/>
        <item x="1162"/>
        <item x="1133"/>
        <item x="655"/>
        <item x="951"/>
        <item x="1000"/>
        <item x="1002"/>
        <item x="1099"/>
        <item x="1324"/>
        <item x="870"/>
        <item x="1445"/>
        <item x="338"/>
        <item x="820"/>
        <item x="984"/>
        <item x="608"/>
        <item x="87"/>
        <item x="995"/>
        <item x="1298"/>
        <item x="553"/>
        <item x="138"/>
        <item x="1565"/>
        <item x="493"/>
        <item x="476"/>
        <item x="568"/>
        <item x="131"/>
        <item x="606"/>
        <item x="711"/>
        <item x="1569"/>
        <item x="353"/>
        <item x="490"/>
        <item x="639"/>
        <item x="188"/>
        <item x="1435"/>
        <item x="10"/>
        <item x="9"/>
        <item x="595"/>
        <item x="218"/>
        <item x="898"/>
        <item x="883"/>
        <item x="1163"/>
        <item x="1437"/>
        <item x="1149"/>
        <item x="1542"/>
        <item x="162"/>
        <item x="1545"/>
        <item x="618"/>
        <item x="436"/>
        <item x="91"/>
        <item x="1094"/>
        <item x="494"/>
        <item x="1131"/>
        <item x="1101"/>
        <item x="331"/>
        <item x="1313"/>
        <item x="928"/>
        <item x="1440"/>
        <item x="1007"/>
        <item x="943"/>
        <item x="564"/>
        <item x="33"/>
        <item x="1320"/>
        <item x="950"/>
        <item x="59"/>
        <item x="1092"/>
        <item x="1593"/>
        <item x="1361"/>
        <item x="865"/>
        <item x="1408"/>
        <item x="1200"/>
        <item x="673"/>
        <item x="164"/>
        <item x="146"/>
        <item x="72"/>
        <item x="144"/>
        <item x="145"/>
        <item x="1014"/>
        <item x="972"/>
        <item x="701"/>
        <item x="1279"/>
        <item x="299"/>
        <item x="709"/>
        <item x="32"/>
        <item x="620"/>
        <item x="111"/>
        <item x="82"/>
        <item x="464"/>
        <item x="114"/>
        <item x="578"/>
        <item x="214"/>
        <item x="744"/>
        <item x="1064"/>
        <item x="1082"/>
        <item x="1185"/>
        <item x="1158"/>
        <item x="1473"/>
        <item x="1170"/>
        <item x="1242"/>
        <item x="0"/>
        <item x="285"/>
        <item x="861"/>
        <item x="1171"/>
        <item x="900"/>
        <item x="276"/>
        <item x="619"/>
        <item x="1299"/>
        <item x="8"/>
        <item x="1314"/>
        <item x="179"/>
        <item x="63"/>
        <item x="267"/>
        <item x="1627"/>
        <item x="954"/>
        <item x="1377"/>
        <item x="810"/>
        <item x="1523"/>
        <item x="460"/>
        <item x="1367"/>
        <item x="979"/>
        <item x="710"/>
        <item x="914"/>
        <item x="88"/>
        <item x="1204"/>
        <item x="1342"/>
        <item x="836"/>
        <item x="1107"/>
        <item x="1156"/>
        <item x="1232"/>
        <item x="885"/>
        <item x="807"/>
        <item x="466"/>
        <item x="630"/>
        <item x="1431"/>
        <item x="1283"/>
        <item x="39"/>
        <item x="163"/>
        <item x="782"/>
        <item x="781"/>
        <item x="783"/>
        <item x="784"/>
        <item x="335"/>
        <item x="115"/>
        <item x="1271"/>
        <item x="837"/>
        <item x="615"/>
        <item x="1179"/>
        <item x="76"/>
        <item x="792"/>
        <item x="473"/>
        <item x="202"/>
        <item x="378"/>
        <item x="1206"/>
        <item x="666"/>
        <item x="1508"/>
        <item x="1368"/>
        <item x="313"/>
        <item x="392"/>
        <item x="518"/>
        <item x="617"/>
        <item x="27"/>
        <item x="520"/>
        <item x="1379"/>
        <item x="1168"/>
        <item x="786"/>
        <item x="367"/>
        <item x="569"/>
        <item x="23"/>
        <item x="866"/>
        <item x="1104"/>
        <item x="409"/>
        <item x="1041"/>
        <item x="935"/>
        <item x="746"/>
        <item x="323"/>
        <item x="899"/>
        <item x="1335"/>
        <item x="573"/>
        <item x="101"/>
        <item x="1552"/>
        <item x="314"/>
        <item x="1474"/>
        <item x="1027"/>
        <item x="68"/>
        <item x="876"/>
        <item x="862"/>
        <item x="256"/>
        <item x="1005"/>
        <item x="581"/>
        <item x="1186"/>
        <item x="811"/>
        <item x="135"/>
        <item x="586"/>
        <item x="1428"/>
        <item x="808"/>
        <item x="196"/>
        <item x="337"/>
        <item x="119"/>
        <item x="1278"/>
        <item x="469"/>
        <item x="134"/>
        <item x="201"/>
        <item x="692"/>
        <item x="897"/>
        <item x="601"/>
        <item x="360"/>
        <item x="570"/>
        <item x="912"/>
        <item x="953"/>
        <item x="422"/>
        <item x="670"/>
        <item x="352"/>
        <item x="255"/>
        <item x="12"/>
        <item x="1233"/>
        <item x="350"/>
        <item x="1183"/>
        <item x="349"/>
        <item x="64"/>
        <item x="558"/>
        <item x="1327"/>
        <item x="1475"/>
        <item x="1405"/>
        <item x="474"/>
        <item x="1429"/>
        <item x="1284"/>
        <item x="170"/>
        <item x="1547"/>
        <item x="283"/>
        <item x="1062"/>
        <item x="1112"/>
        <item x="827"/>
        <item x="1366"/>
        <item x="226"/>
        <item x="1288"/>
        <item x="1357"/>
        <item x="894"/>
        <item x="681"/>
        <item x="1282"/>
        <item x="5"/>
        <item x="1108"/>
        <item x="747"/>
        <item x="488"/>
        <item x="465"/>
        <item x="1167"/>
        <item x="589"/>
        <item x="1439"/>
        <item x="368"/>
        <item x="1"/>
        <item x="1054"/>
        <item x="343"/>
        <item x="21"/>
        <item x="1098"/>
        <item x="1362"/>
        <item x="955"/>
        <item x="839"/>
        <item x="999"/>
        <item x="793"/>
        <item x="677"/>
        <item x="535"/>
        <item x="1318"/>
        <item x="344"/>
        <item x="13"/>
        <item x="1427"/>
        <item x="1276"/>
        <item x="1564"/>
        <item x="178"/>
        <item x="1487"/>
        <item x="171"/>
        <item x="108"/>
        <item x="1291"/>
        <item x="107"/>
        <item x="705"/>
        <item x="455"/>
        <item x="993"/>
        <item x="918"/>
        <item x="1628"/>
        <item x="514"/>
        <item x="1227"/>
        <item x="172"/>
        <item x="1010"/>
        <item x="269"/>
        <item x="560"/>
        <item x="282"/>
        <item x="622"/>
        <item x="1617"/>
        <item x="1507"/>
        <item x="497"/>
        <item x="1411"/>
        <item x="1270"/>
        <item x="401"/>
        <item x="1161"/>
        <item x="1476"/>
        <item x="1412"/>
        <item x="206"/>
        <item x="1356"/>
        <item x="1333"/>
        <item x="920"/>
        <item x="1180"/>
        <item x="1193"/>
        <item x="1325"/>
        <item x="1370"/>
        <item x="761"/>
        <item x="57"/>
        <item x="948"/>
        <item x="1472"/>
        <item x="1047"/>
        <item x="625"/>
        <item x="1103"/>
        <item x="1109"/>
        <item x="1184"/>
        <item x="745"/>
        <item x="496"/>
        <item x="24"/>
        <item x="893"/>
        <item x="110"/>
        <item x="1128"/>
        <item x="985"/>
        <item x="92"/>
        <item x="1093"/>
        <item x="1096"/>
        <item x="189"/>
        <item x="327"/>
        <item x="1588"/>
        <item x="1121"/>
        <item x="813"/>
        <item x="703"/>
        <item x="1100"/>
        <item x="190"/>
        <item x="1315"/>
        <item x="191"/>
        <item x="812"/>
        <item x="841"/>
        <item x="942"/>
        <item x="978"/>
        <item x="231"/>
        <item x="224"/>
        <item x="653"/>
        <item x="1045"/>
        <item x="805"/>
        <item x="1070"/>
        <item x="1300"/>
        <item x="221"/>
        <item x="698"/>
        <item x="1592"/>
        <item x="1373"/>
        <item x="1268"/>
        <item x="530"/>
        <item x="871"/>
        <item x="919"/>
        <item x="1407"/>
        <item x="734"/>
        <item x="232"/>
        <item x="1083"/>
        <item x="388"/>
        <item x="1481"/>
        <item x="298"/>
        <item x="1254"/>
        <item x="831"/>
        <item x="1400"/>
        <item x="180"/>
        <item x="1293"/>
        <item x="1358"/>
        <item x="309"/>
        <item x="159"/>
        <item x="67"/>
        <item x="133"/>
        <item x="83"/>
        <item x="86"/>
        <item x="809"/>
        <item x="825"/>
        <item x="1122"/>
        <item x="657"/>
        <item x="656"/>
        <item x="301"/>
        <item x="273"/>
        <item x="964"/>
        <item x="1317"/>
        <item x="1550"/>
        <item x="602"/>
        <item x="1038"/>
        <item x="821"/>
        <item x="875"/>
        <item x="1181"/>
        <item x="208"/>
        <item x="690"/>
        <item x="623"/>
        <item x="616"/>
        <item x="1438"/>
        <item x="1364"/>
        <item x="753"/>
        <item x="684"/>
        <item x="754"/>
        <item x="823"/>
        <item x="210"/>
        <item x="672"/>
        <item x="946"/>
        <item x="1332"/>
        <item x="1106"/>
        <item x="873"/>
        <item x="1648"/>
        <item x="69"/>
        <item x="395"/>
        <item x="1471"/>
        <item x="903"/>
        <item x="261"/>
        <item x="1091"/>
        <item x="989"/>
        <item x="633"/>
        <item x="389"/>
        <item x="1383"/>
        <item x="869"/>
        <item x="642"/>
        <item x="1226"/>
        <item x="1538"/>
        <item x="121"/>
        <item x="675"/>
        <item x="118"/>
        <item x="723"/>
        <item x="1540"/>
        <item x="1372"/>
        <item x="554"/>
        <item x="1203"/>
        <item x="377"/>
        <item x="579"/>
        <item x="1241"/>
        <item x="1230"/>
        <item x="1105"/>
        <item x="1228"/>
        <item x="934"/>
        <item x="584"/>
        <item x="48"/>
        <item x="931"/>
        <item x="211"/>
        <item x="772"/>
        <item x="1145"/>
        <item x="1432"/>
        <item x="328"/>
        <item x="385"/>
        <item x="1277"/>
        <item x="233"/>
        <item x="405"/>
        <item x="790"/>
        <item x="366"/>
        <item x="853"/>
        <item x="336"/>
        <item x="1210"/>
        <item x="1654"/>
        <item x="945"/>
        <item x="1319"/>
        <item x="884"/>
        <item x="223"/>
        <item x="400"/>
        <item x="877"/>
        <item x="599"/>
        <item x="1541"/>
        <item x="614"/>
        <item x="65"/>
        <item x="762"/>
        <item x="1209"/>
        <item x="872"/>
        <item x="1406"/>
        <item x="1116"/>
        <item x="1584"/>
        <item x="1562"/>
        <item x="867"/>
        <item x="501"/>
        <item x="113"/>
        <item x="140"/>
        <item x="1387"/>
        <item x="1328"/>
        <item x="245"/>
        <item x="1009"/>
        <item x="80"/>
        <item x="246"/>
        <item x="1433"/>
        <item x="1178"/>
        <item x="295"/>
        <item x="986"/>
        <item x="1396"/>
        <item x="1535"/>
        <item x="818"/>
        <item x="1222"/>
        <item x="1237"/>
        <item x="676"/>
        <item x="1207"/>
        <item x="905"/>
        <item x="892"/>
        <item x="921"/>
        <item x="648"/>
        <item x="274"/>
        <item x="1218"/>
        <item x="459"/>
        <item x="647"/>
        <item x="580"/>
        <item x="588"/>
        <item x="1024"/>
        <item x="1316"/>
        <item x="124"/>
        <item x="835"/>
        <item x="292"/>
        <item x="895"/>
        <item x="680"/>
        <item x="788"/>
        <item x="901"/>
        <item x="824"/>
        <item x="251"/>
        <item x="305"/>
        <item x="778"/>
        <item x="453"/>
        <item x="1643"/>
        <item x="34"/>
        <item x="1642"/>
        <item x="1130"/>
        <item x="205"/>
        <item x="1626"/>
        <item x="624"/>
        <item x="1272"/>
        <item x="521"/>
        <item x="1281"/>
        <item x="265"/>
        <item x="1132"/>
        <item x="1618"/>
        <item x="760"/>
        <item x="471"/>
        <item x="598"/>
        <item x="1568"/>
        <item x="1081"/>
        <item x="557"/>
        <item x="106"/>
        <item x="868"/>
        <item x="485"/>
        <item x="348"/>
        <item x="197"/>
        <item x="1198"/>
        <item x="169"/>
        <item x="1090"/>
        <item x="715"/>
        <item x="280"/>
        <item x="1591"/>
        <item x="198"/>
        <item x="926"/>
        <item x="1039"/>
        <item x="386"/>
        <item x="1494"/>
        <item x="212"/>
        <item x="160"/>
        <item x="832"/>
        <item x="1353"/>
        <item x="60"/>
        <item x="965"/>
        <item x="213"/>
        <item x="1003"/>
        <item x="773"/>
        <item x="565"/>
        <item x="904"/>
        <item x="1211"/>
        <item x="1447"/>
        <item x="539"/>
        <item x="763"/>
        <item x="22"/>
        <item x="806"/>
        <item x="347"/>
        <item x="970"/>
        <item x="498"/>
        <item x="1530"/>
        <item x="925"/>
        <item x="204"/>
        <item x="587"/>
        <item x="1040"/>
        <item x="312"/>
        <item x="266"/>
        <item x="949"/>
        <item x="371"/>
        <item x="1410"/>
        <item x="35"/>
        <item x="1421"/>
        <item x="694"/>
        <item x="816"/>
        <item x="36"/>
        <item x="40"/>
        <item x="1608"/>
        <item x="830"/>
        <item x="1303"/>
        <item x="886"/>
        <item x="11"/>
        <item x="355"/>
        <item x="369"/>
        <item x="457"/>
        <item x="695"/>
        <item x="4"/>
        <item x="973"/>
        <item x="963"/>
        <item x="334"/>
        <item x="1297"/>
        <item x="1321"/>
        <item x="687"/>
        <item x="104"/>
        <item x="1302"/>
        <item x="448"/>
        <item x="1528"/>
        <item x="126"/>
        <item x="627"/>
        <item x="408"/>
        <item x="1182"/>
        <item x="1524"/>
        <item x="156"/>
        <item x="1208"/>
        <item x="1086"/>
        <item x="373"/>
        <item x="70"/>
        <item x="961"/>
        <item x="1049"/>
        <item x="632"/>
        <item x="1085"/>
        <item x="263"/>
        <item x="1048"/>
        <item x="593"/>
        <item x="819"/>
        <item x="1573"/>
        <item x="667"/>
        <item x="1567"/>
        <item x="906"/>
        <item x="1221"/>
        <item x="318"/>
        <item x="878"/>
        <item x="571"/>
        <item x="470"/>
        <item x="1008"/>
        <item x="94"/>
        <item x="45"/>
        <item x="697"/>
        <item x="240"/>
        <item x="75"/>
        <item x="724"/>
        <item x="308"/>
        <item x="944"/>
        <item x="452"/>
        <item x="735"/>
        <item x="1506"/>
        <item x="375"/>
        <item x="1235"/>
        <item x="74"/>
        <item x="1239"/>
        <item x="356"/>
        <item x="1537"/>
        <item x="583"/>
        <item x="1137"/>
        <item x="154"/>
        <item x="1430"/>
        <item x="1275"/>
        <item x="1548"/>
        <item x="1147"/>
        <item x="1546"/>
        <item x="1120"/>
        <item x="1582"/>
        <item x="563"/>
        <item x="552"/>
        <item x="791"/>
        <item x="1052"/>
        <item x="1363"/>
        <item x="270"/>
        <item x="403"/>
        <item x="605"/>
        <item x="575"/>
        <item x="1141"/>
        <item x="3"/>
        <item x="149"/>
        <item x="1381"/>
        <item x="947"/>
        <item x="629"/>
        <item x="559"/>
        <item x="1006"/>
        <item x="199"/>
        <item x="937"/>
        <item x="1046"/>
        <item x="756"/>
        <item x="129"/>
        <item x="16"/>
        <item x="936"/>
        <item x="887"/>
        <item x="1323"/>
        <item x="1124"/>
        <item x="1414"/>
        <item x="987"/>
        <item x="1594"/>
        <item x="7"/>
        <item x="243"/>
        <item x="413"/>
        <item x="577"/>
        <item x="737"/>
        <item x="915"/>
        <item x="822"/>
        <item x="1519"/>
        <item x="1148"/>
        <item x="1644"/>
        <item x="1354"/>
        <item x="574"/>
        <item x="1102"/>
        <item x="381"/>
        <item x="541"/>
        <item x="1004"/>
        <item x="1097"/>
        <item x="1056"/>
        <item x="1579"/>
        <item x="842"/>
        <item x="1290"/>
        <item x="780"/>
        <item x="447"/>
        <item x="14"/>
        <item x="387"/>
        <item x="769"/>
        <item x="1563"/>
        <item x="225"/>
        <item x="1076"/>
        <item x="717"/>
        <item x="412"/>
        <item x="105"/>
        <item x="29"/>
        <item x="153"/>
        <item x="1583"/>
        <item x="674"/>
        <item x="1415"/>
        <item x="1572"/>
        <item x="576"/>
        <item x="1498"/>
        <item x="1598"/>
        <item x="1089"/>
        <item x="1253"/>
        <item x="596"/>
        <item x="1397"/>
        <item x="1084"/>
        <item x="227"/>
        <item x="394"/>
        <item x="1457"/>
        <item x="1402"/>
        <item x="250"/>
        <item x="99"/>
        <item x="1067"/>
        <item x="228"/>
        <item x="281"/>
        <item x="643"/>
        <item x="664"/>
        <item x="410"/>
        <item x="100"/>
        <item x="446"/>
        <item x="1139"/>
        <item x="1331"/>
        <item x="1195"/>
        <item x="1531"/>
        <item x="1329"/>
        <item x="290"/>
        <item x="1509"/>
        <item x="1585"/>
        <item x="1529"/>
        <item x="486"/>
        <item x="988"/>
        <item x="1055"/>
        <item x="1019"/>
        <item x="268"/>
        <item x="1043"/>
        <item x="230"/>
        <item x="209"/>
        <item x="1656"/>
        <item x="1511"/>
        <item x="247"/>
        <item x="556"/>
        <item x="411"/>
        <item x="1087"/>
        <item x="1018"/>
        <item x="502"/>
        <item x="248"/>
        <item x="910"/>
        <item x="685"/>
        <item x="700"/>
        <item x="1053"/>
        <item x="534"/>
        <item x="537"/>
        <item x="938"/>
        <item x="959"/>
        <item x="316"/>
        <item x="425"/>
        <item x="1080"/>
        <item x="585"/>
        <item x="370"/>
        <item x="291"/>
        <item x="1650"/>
        <item x="1526"/>
        <item x="1389"/>
        <item x="1071"/>
        <item x="220"/>
        <item x="628"/>
        <item x="1590"/>
        <item x="1649"/>
        <item x="194"/>
        <item x="729"/>
        <item x="461"/>
        <item x="859"/>
        <item x="604"/>
        <item x="1150"/>
        <item x="17"/>
        <item x="85"/>
        <item x="1399"/>
        <item x="550"/>
        <item x="236"/>
        <item x="165"/>
        <item x="1352"/>
        <item x="137"/>
        <item x="1202"/>
        <item x="1616"/>
        <item x="626"/>
        <item x="176"/>
        <item x="249"/>
        <item x="725"/>
        <item x="402"/>
        <item x="151"/>
        <item x="127"/>
        <item x="590"/>
        <item x="1589"/>
        <item x="1341"/>
        <item x="1234"/>
        <item x="538"/>
        <item x="25"/>
        <item x="1033"/>
        <item x="1310"/>
        <item x="504"/>
        <item x="864"/>
        <item x="155"/>
        <item x="1194"/>
        <item x="1175"/>
        <item x="30"/>
        <item x="776"/>
        <item x="1026"/>
        <item x="1330"/>
        <item x="1512"/>
        <item x="1544"/>
        <item x="219"/>
        <item x="826"/>
        <item x="888"/>
        <item x="462"/>
        <item x="319"/>
        <item x="495"/>
        <item x="907"/>
        <item x="168"/>
        <item x="890"/>
        <item x="526"/>
        <item x="1280"/>
        <item x="847"/>
        <item x="307"/>
        <item x="102"/>
        <item x="1586"/>
        <item x="531"/>
        <item x="103"/>
        <item x="293"/>
        <item x="1580"/>
        <item x="207"/>
        <item x="1554"/>
        <item x="358"/>
        <item x="379"/>
        <item x="974"/>
        <item x="81"/>
        <item x="849"/>
        <item x="1629"/>
        <item x="117"/>
        <item x="296"/>
        <item x="789"/>
        <item x="543"/>
        <item x="1015"/>
        <item x="200"/>
        <item x="1486"/>
        <item x="19"/>
        <item x="731"/>
        <item x="1032"/>
        <item x="324"/>
        <item x="708"/>
        <item x="1068"/>
        <item x="1516"/>
        <item x="863"/>
        <item x="582"/>
        <item x="47"/>
        <item x="503"/>
        <item x="1140"/>
        <item x="382"/>
        <item x="889"/>
        <item x="157"/>
        <item x="879"/>
        <item x="1344"/>
        <item x="1274"/>
        <item x="1425"/>
        <item x="53"/>
        <item x="1118"/>
        <item x="891"/>
        <item x="852"/>
        <item x="1012"/>
        <item x="1386"/>
        <item x="166"/>
        <item x="186"/>
        <item x="536"/>
        <item x="1189"/>
        <item x="1155"/>
        <item x="1343"/>
        <item x="317"/>
        <item x="542"/>
        <item x="880"/>
        <item x="1347"/>
        <item x="1446"/>
        <item x="829"/>
        <item x="150"/>
        <item x="1023"/>
        <item x="1348"/>
        <item x="922"/>
        <item x="421"/>
        <item x="881"/>
        <item x="736"/>
        <item x="522"/>
        <item x="1196"/>
        <item x="916"/>
        <item x="345"/>
        <item x="71"/>
        <item x="768"/>
        <item x="1304"/>
        <item x="722"/>
        <item x="1609"/>
        <item x="1485"/>
        <item x="882"/>
        <item x="660"/>
        <item x="1165"/>
        <item x="152"/>
        <item x="242"/>
        <item x="548"/>
        <item x="716"/>
        <item x="696"/>
        <item x="594"/>
        <item x="1192"/>
        <item x="1079"/>
        <item x="500"/>
        <item x="1388"/>
        <item x="562"/>
        <item x="238"/>
        <item x="962"/>
        <item x="649"/>
        <item x="1349"/>
        <item x="1138"/>
        <item x="275"/>
        <item x="733"/>
        <item x="967"/>
        <item x="306"/>
        <item x="1088"/>
        <item x="923"/>
        <item x="547"/>
        <item x="523"/>
        <item x="607"/>
        <item x="621"/>
        <item x="1025"/>
        <item x="374"/>
        <item x="668"/>
        <item x="1075"/>
        <item x="18"/>
        <item x="1143"/>
        <item x="483"/>
        <item x="130"/>
        <item x="311"/>
        <item x="254"/>
        <item x="969"/>
        <item x="1243"/>
        <item x="1614"/>
        <item x="125"/>
        <item x="458"/>
        <item x="1142"/>
        <item x="419"/>
        <item x="451"/>
        <item x="1488"/>
        <item x="1350"/>
        <item x="751"/>
        <item x="718"/>
        <item x="49"/>
        <item x="561"/>
        <item x="1154"/>
        <item x="424"/>
        <item x="540"/>
        <item x="1260"/>
        <item x="609"/>
        <item x="1117"/>
        <item x="727"/>
        <item x="1134"/>
        <item x="376"/>
        <item x="770"/>
        <item x="662"/>
        <item x="187"/>
        <item x="669"/>
        <item x="719"/>
        <item x="1220"/>
        <item x="1013"/>
        <item x="489"/>
        <item x="50"/>
        <item x="302"/>
        <item x="1199"/>
        <item x="122"/>
        <item x="15"/>
        <item x="1219"/>
        <item x="743"/>
        <item x="679"/>
        <item x="123"/>
        <item x="1250"/>
        <item x="758"/>
        <item x="229"/>
        <item x="855"/>
        <item x="817"/>
        <item x="1069"/>
        <item x="801"/>
        <item x="1308"/>
        <item x="1188"/>
        <item x="456"/>
        <item x="357"/>
        <item x="739"/>
        <item x="688"/>
        <item x="1197"/>
        <item x="844"/>
        <item x="1469"/>
        <item x="1604"/>
        <item x="939"/>
        <item x="44"/>
        <item x="203"/>
        <item x="689"/>
        <item x="1630"/>
        <item x="1645"/>
        <item x="650"/>
        <item x="333"/>
        <item x="777"/>
        <item x="399"/>
        <item x="858"/>
        <item x="84"/>
        <item x="174"/>
        <item x="644"/>
        <item x="195"/>
        <item x="1480"/>
        <item x="1191"/>
        <item x="46"/>
        <item x="1571"/>
        <item x="272"/>
        <item x="193"/>
        <item x="774"/>
        <item x="1020"/>
        <item x="917"/>
        <item x="665"/>
        <item x="1261"/>
        <item x="771"/>
        <item x="185"/>
        <item x="398"/>
        <item x="549"/>
        <item x="252"/>
        <item x="354"/>
        <item x="253"/>
        <item x="1115"/>
        <item x="726"/>
        <item x="775"/>
        <item x="611"/>
        <item x="1416"/>
        <item x="1521"/>
        <item x="663"/>
        <item x="1634"/>
        <item x="262"/>
        <item x="286"/>
        <item x="857"/>
        <item x="1337"/>
        <item x="1144"/>
        <item x="310"/>
        <item x="1078"/>
        <item x="20"/>
        <item x="728"/>
        <item x="404"/>
        <item x="1292"/>
        <item x="1301"/>
        <item x="300"/>
        <item x="449"/>
        <item x="764"/>
        <item x="1532"/>
        <item x="332"/>
        <item x="279"/>
        <item x="346"/>
        <item x="533"/>
        <item x="506"/>
        <item x="546"/>
        <item x="1655"/>
        <item x="1510"/>
        <item x="1338"/>
        <item x="1489"/>
        <item x="555"/>
        <item x="1113"/>
        <item x="417"/>
        <item x="1030"/>
        <item x="329"/>
        <item x="1392"/>
        <item x="755"/>
        <item x="720"/>
        <item x="911"/>
        <item x="1553"/>
        <item x="418"/>
        <item x="752"/>
        <item x="635"/>
        <item x="330"/>
        <item x="528"/>
        <item x="1615"/>
        <item x="1259"/>
        <item x="612"/>
        <item x="529"/>
        <item x="384"/>
        <item x="610"/>
        <item x="678"/>
        <item x="850"/>
        <item x="1072"/>
        <item x="325"/>
        <item x="686"/>
        <item x="1505"/>
        <item x="51"/>
        <item x="56"/>
        <item x="326"/>
        <item x="1172"/>
        <item x="1581"/>
        <item x="1515"/>
        <item x="406"/>
        <item x="1539"/>
        <item x="572"/>
        <item x="661"/>
        <item x="407"/>
        <item x="161"/>
        <item x="658"/>
        <item x="634"/>
        <item x="1413"/>
        <item x="505"/>
        <item x="239"/>
        <item x="1459"/>
        <item x="860"/>
        <item x="738"/>
        <item x="1306"/>
        <item x="173"/>
        <item x="320"/>
        <item x="1424"/>
        <item x="721"/>
        <item x="1479"/>
        <item x="1311"/>
        <item x="645"/>
        <item x="592"/>
        <item x="1355"/>
        <item x="1029"/>
        <item x="1236"/>
        <item x="136"/>
        <item x="1114"/>
        <item x="1398"/>
        <item x="1095"/>
        <item x="1639"/>
        <item x="856"/>
        <item x="1245"/>
        <item x="1264"/>
        <item x="1478"/>
        <item x="851"/>
        <item x="1252"/>
        <item x="545"/>
        <item x="420"/>
        <item x="271"/>
        <item x="1307"/>
        <item x="1555"/>
        <item x="1463"/>
        <item x="1035"/>
        <item x="909"/>
        <item x="1011"/>
        <item x="1384"/>
        <item x="484"/>
        <item x="112"/>
        <item x="359"/>
        <item x="848"/>
        <item x="527"/>
        <item x="712"/>
        <item x="1422"/>
        <item x="1490"/>
        <item x="244"/>
        <item x="397"/>
        <item x="597"/>
        <item x="192"/>
        <item x="1312"/>
        <item x="362"/>
        <item x="1493"/>
        <item x="1021"/>
        <item x="241"/>
        <item x="1448"/>
        <item x="1533"/>
        <item x="363"/>
        <item x="1620"/>
        <item x="1465"/>
        <item x="714"/>
        <item x="304"/>
        <item x="765"/>
        <item x="235"/>
        <item x="591"/>
        <item x="287"/>
        <item x="968"/>
        <item x="1238"/>
        <item x="1513"/>
        <item x="683"/>
        <item x="303"/>
        <item x="1151"/>
        <item x="1470"/>
        <item x="1164"/>
        <item x="544"/>
        <item x="450"/>
        <item x="1251"/>
        <item x="1443"/>
        <item x="1558"/>
        <item x="1423"/>
        <item x="1255"/>
        <item x="1031"/>
        <item x="55"/>
        <item x="977"/>
        <item x="184"/>
        <item x="1404"/>
        <item x="1037"/>
        <item x="507"/>
        <item x="1625"/>
        <item x="1119"/>
        <item x="322"/>
        <item x="175"/>
        <item x="828"/>
        <item x="1607"/>
        <item x="264"/>
        <item x="234"/>
        <item x="913"/>
        <item x="158"/>
        <item x="779"/>
        <item x="1587"/>
        <item x="383"/>
        <item x="1247"/>
        <item x="372"/>
        <item x="487"/>
        <item x="908"/>
        <item x="1382"/>
        <item x="1340"/>
        <item x="1028"/>
        <item x="1360"/>
        <item x="1136"/>
        <item x="1073"/>
        <item x="177"/>
        <item x="321"/>
        <item x="1173"/>
        <item x="1249"/>
        <item x="1385"/>
        <item x="1419"/>
        <item x="1305"/>
        <item x="732"/>
        <item x="43"/>
        <item x="1497"/>
        <item x="1517"/>
        <item x="423"/>
        <item x="128"/>
        <item x="41"/>
        <item x="1557"/>
        <item x="613"/>
        <item x="1619"/>
        <item x="393"/>
        <item x="289"/>
        <item x="52"/>
        <item x="682"/>
        <item x="1309"/>
        <item x="1351"/>
        <item x="1595"/>
        <item x="652"/>
        <item x="1522"/>
        <item x="600"/>
        <item x="699"/>
        <item x="1391"/>
        <item x="181"/>
        <item x="525"/>
        <item x="54"/>
        <item x="1246"/>
        <item x="120"/>
        <item x="1263"/>
        <item x="1034"/>
        <item x="380"/>
        <item x="846"/>
        <item x="1499"/>
        <item x="1074"/>
        <item x="1403"/>
        <item x="840"/>
        <item x="1022"/>
        <item x="1244"/>
        <item x="1394"/>
        <item x="1597"/>
        <item x="1153"/>
        <item x="532"/>
        <item x="524"/>
        <item x="651"/>
        <item x="1518"/>
        <item x="659"/>
        <item x="1467"/>
        <item x="757"/>
        <item x="288"/>
        <item x="1455"/>
        <item x="1599"/>
        <item x="1520"/>
        <item x="1635"/>
        <item x="1460"/>
        <item x="740"/>
        <item x="845"/>
        <item x="1657"/>
        <item x="1514"/>
        <item x="2"/>
        <item x="183"/>
        <item x="1462"/>
        <item x="1574"/>
        <item x="759"/>
        <item x="1262"/>
        <item x="342"/>
        <item x="182"/>
        <item x="1451"/>
        <item x="1640"/>
        <item x="1605"/>
        <item x="1176"/>
        <item x="1631"/>
        <item x="1647"/>
        <item x="297"/>
        <item x="1418"/>
        <item x="975"/>
        <item x="1461"/>
        <item x="1454"/>
        <item x="730"/>
        <item x="1596"/>
        <item x="1152"/>
        <item x="1602"/>
        <item x="1621"/>
        <item x="1653"/>
        <item x="1339"/>
        <item x="1527"/>
        <item x="1294"/>
        <item x="1248"/>
        <item x="42"/>
        <item x="1559"/>
        <item x="1468"/>
        <item x="742"/>
        <item x="1257"/>
        <item x="1578"/>
        <item x="1575"/>
        <item x="1417"/>
        <item x="1214"/>
        <item x="1449"/>
        <item x="1450"/>
        <item x="1420"/>
        <item x="1624"/>
        <item x="396"/>
        <item x="1159"/>
        <item x="1495"/>
        <item x="1256"/>
        <item x="1295"/>
        <item x="741"/>
        <item x="1484"/>
        <item x="1623"/>
        <item x="1566"/>
        <item x="1466"/>
        <item x="1464"/>
        <item x="1215"/>
        <item x="1483"/>
        <item x="1600"/>
        <item x="1390"/>
        <item x="1637"/>
        <item x="1393"/>
        <item x="1456"/>
        <item x="1496"/>
        <item x="1560"/>
        <item x="1606"/>
        <item x="1492"/>
        <item x="1638"/>
        <item x="1453"/>
        <item x="1603"/>
        <item x="1632"/>
        <item x="1658"/>
        <item x="1641"/>
        <item x="1452"/>
        <item x="1576"/>
        <item x="1296"/>
        <item x="1258"/>
        <item x="1491"/>
        <item x="1570"/>
        <item x="1577"/>
        <item x="1441"/>
        <item x="1336"/>
        <item x="1401"/>
        <item x="1636"/>
        <item x="1601"/>
        <item x="1633"/>
        <item x="1622"/>
        <item x="551"/>
        <item x="1482"/>
        <item x="1458"/>
        <item x="1611"/>
        <item x="1612"/>
        <item x="1613"/>
      </items>
    </pivotField>
    <pivotField axis="axisRow" compact="0" outline="0" showAll="0" defaultSubtotal="0">
      <items count="58">
        <item x="11"/>
        <item x="56"/>
        <item x="55"/>
        <item x="1"/>
        <item x="7"/>
        <item x="54"/>
        <item x="30"/>
        <item x="5"/>
        <item x="53"/>
        <item x="2"/>
        <item x="4"/>
        <item x="9"/>
        <item x="14"/>
        <item x="43"/>
        <item x="42"/>
        <item x="44"/>
        <item x="45"/>
        <item x="16"/>
        <item x="20"/>
        <item x="10"/>
        <item x="47"/>
        <item x="6"/>
        <item x="52"/>
        <item x="8"/>
        <item x="15"/>
        <item x="33"/>
        <item x="26"/>
        <item x="22"/>
        <item x="21"/>
        <item x="31"/>
        <item x="19"/>
        <item x="13"/>
        <item x="27"/>
        <item x="48"/>
        <item x="38"/>
        <item x="24"/>
        <item x="46"/>
        <item x="25"/>
        <item x="36"/>
        <item x="39"/>
        <item x="32"/>
        <item x="50"/>
        <item x="37"/>
        <item x="12"/>
        <item x="35"/>
        <item x="49"/>
        <item x="40"/>
        <item x="29"/>
        <item x="28"/>
        <item x="34"/>
        <item x="23"/>
        <item x="51"/>
        <item x="18"/>
        <item x="17"/>
        <item x="0"/>
        <item x="41"/>
        <item x="57"/>
        <item x="3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 sortType="ascending" defaultSubtotal="0">
      <items count="891">
        <item x="721"/>
        <item x="10"/>
        <item x="6"/>
        <item x="11"/>
        <item x="12"/>
        <item x="8"/>
        <item x="7"/>
        <item x="13"/>
        <item x="14"/>
        <item x="0"/>
        <item x="1"/>
        <item x="15"/>
        <item x="2"/>
        <item x="9"/>
        <item x="3"/>
        <item x="17"/>
        <item x="16"/>
        <item x="29"/>
        <item x="4"/>
        <item x="30"/>
        <item x="5"/>
        <item x="20"/>
        <item x="34"/>
        <item x="33"/>
        <item x="35"/>
        <item x="36"/>
        <item x="37"/>
        <item x="18"/>
        <item x="43"/>
        <item x="19"/>
        <item x="31"/>
        <item x="24"/>
        <item x="21"/>
        <item x="47"/>
        <item x="44"/>
        <item x="48"/>
        <item x="38"/>
        <item x="39"/>
        <item x="50"/>
        <item x="40"/>
        <item x="42"/>
        <item x="41"/>
        <item x="57"/>
        <item x="32"/>
        <item x="58"/>
        <item x="53"/>
        <item x="73"/>
        <item x="54"/>
        <item x="55"/>
        <item x="62"/>
        <item x="25"/>
        <item x="56"/>
        <item x="87"/>
        <item x="45"/>
        <item x="51"/>
        <item x="67"/>
        <item x="93"/>
        <item x="26"/>
        <item x="49"/>
        <item x="52"/>
        <item x="59"/>
        <item x="68"/>
        <item x="79"/>
        <item x="46"/>
        <item x="65"/>
        <item x="70"/>
        <item x="60"/>
        <item x="69"/>
        <item x="66"/>
        <item x="27"/>
        <item x="74"/>
        <item x="84"/>
        <item x="92"/>
        <item x="61"/>
        <item x="85"/>
        <item x="86"/>
        <item x="23"/>
        <item x="88"/>
        <item x="28"/>
        <item x="64"/>
        <item x="63"/>
        <item x="94"/>
        <item x="89"/>
        <item x="95"/>
        <item x="110"/>
        <item x="72"/>
        <item x="71"/>
        <item x="109"/>
        <item x="91"/>
        <item x="81"/>
        <item x="82"/>
        <item x="96"/>
        <item x="99"/>
        <item x="83"/>
        <item x="100"/>
        <item x="101"/>
        <item x="102"/>
        <item x="78"/>
        <item x="103"/>
        <item x="90"/>
        <item x="97"/>
        <item x="76"/>
        <item x="75"/>
        <item x="105"/>
        <item x="106"/>
        <item x="104"/>
        <item x="126"/>
        <item x="127"/>
        <item x="98"/>
        <item x="128"/>
        <item x="77"/>
        <item x="80"/>
        <item x="146"/>
        <item x="111"/>
        <item x="112"/>
        <item x="114"/>
        <item x="113"/>
        <item x="115"/>
        <item x="138"/>
        <item x="116"/>
        <item x="121"/>
        <item x="118"/>
        <item x="117"/>
        <item x="122"/>
        <item x="143"/>
        <item x="119"/>
        <item x="140"/>
        <item x="120"/>
        <item x="139"/>
        <item x="108"/>
        <item x="107"/>
        <item x="125"/>
        <item x="132"/>
        <item x="124"/>
        <item x="123"/>
        <item x="136"/>
        <item x="133"/>
        <item x="148"/>
        <item x="149"/>
        <item x="141"/>
        <item x="150"/>
        <item x="142"/>
        <item x="129"/>
        <item x="156"/>
        <item x="130"/>
        <item x="147"/>
        <item x="131"/>
        <item x="151"/>
        <item x="145"/>
        <item x="153"/>
        <item x="152"/>
        <item x="165"/>
        <item x="154"/>
        <item x="144"/>
        <item x="164"/>
        <item x="155"/>
        <item x="166"/>
        <item x="137"/>
        <item x="167"/>
        <item x="169"/>
        <item x="170"/>
        <item x="157"/>
        <item x="163"/>
        <item x="171"/>
        <item x="172"/>
        <item x="162"/>
        <item x="134"/>
        <item x="135"/>
        <item x="159"/>
        <item x="158"/>
        <item x="160"/>
        <item x="161"/>
        <item x="182"/>
        <item x="185"/>
        <item x="192"/>
        <item x="173"/>
        <item x="183"/>
        <item x="186"/>
        <item x="191"/>
        <item x="180"/>
        <item x="187"/>
        <item x="195"/>
        <item x="200"/>
        <item x="193"/>
        <item x="179"/>
        <item x="196"/>
        <item x="194"/>
        <item x="168"/>
        <item x="201"/>
        <item x="202"/>
        <item x="174"/>
        <item x="175"/>
        <item x="189"/>
        <item x="188"/>
        <item x="181"/>
        <item x="198"/>
        <item x="176"/>
        <item x="210"/>
        <item x="177"/>
        <item x="203"/>
        <item x="190"/>
        <item x="206"/>
        <item x="211"/>
        <item x="205"/>
        <item x="178"/>
        <item x="209"/>
        <item x="226"/>
        <item x="204"/>
        <item x="225"/>
        <item x="184"/>
        <item x="227"/>
        <item x="197"/>
        <item x="199"/>
        <item x="228"/>
        <item x="224"/>
        <item x="216"/>
        <item x="229"/>
        <item x="251"/>
        <item x="218"/>
        <item x="214"/>
        <item x="212"/>
        <item x="213"/>
        <item x="219"/>
        <item x="217"/>
        <item x="235"/>
        <item x="207"/>
        <item x="239"/>
        <item x="237"/>
        <item x="248"/>
        <item x="236"/>
        <item x="223"/>
        <item x="221"/>
        <item x="215"/>
        <item x="220"/>
        <item x="240"/>
        <item x="252"/>
        <item x="247"/>
        <item x="253"/>
        <item x="208"/>
        <item x="230"/>
        <item x="234"/>
        <item x="241"/>
        <item x="222"/>
        <item x="231"/>
        <item x="238"/>
        <item x="249"/>
        <item x="245"/>
        <item x="250"/>
        <item x="256"/>
        <item x="232"/>
        <item x="254"/>
        <item x="263"/>
        <item x="255"/>
        <item x="260"/>
        <item x="269"/>
        <item x="233"/>
        <item x="274"/>
        <item x="267"/>
        <item x="270"/>
        <item x="243"/>
        <item x="268"/>
        <item x="275"/>
        <item x="246"/>
        <item x="272"/>
        <item x="242"/>
        <item x="261"/>
        <item x="273"/>
        <item x="264"/>
        <item x="257"/>
        <item x="262"/>
        <item x="259"/>
        <item x="258"/>
        <item x="294"/>
        <item x="276"/>
        <item x="279"/>
        <item x="308"/>
        <item x="280"/>
        <item x="278"/>
        <item x="244"/>
        <item x="277"/>
        <item x="265"/>
        <item x="291"/>
        <item x="283"/>
        <item x="281"/>
        <item x="288"/>
        <item x="295"/>
        <item x="285"/>
        <item x="282"/>
        <item x="296"/>
        <item x="286"/>
        <item x="303"/>
        <item x="266"/>
        <item x="287"/>
        <item x="289"/>
        <item x="297"/>
        <item x="290"/>
        <item x="284"/>
        <item x="301"/>
        <item x="304"/>
        <item x="313"/>
        <item x="310"/>
        <item x="305"/>
        <item x="271"/>
        <item x="314"/>
        <item x="299"/>
        <item x="300"/>
        <item x="316"/>
        <item x="311"/>
        <item x="315"/>
        <item x="306"/>
        <item x="312"/>
        <item x="302"/>
        <item x="317"/>
        <item x="292"/>
        <item x="293"/>
        <item x="307"/>
        <item x="309"/>
        <item x="318"/>
        <item x="322"/>
        <item x="325"/>
        <item x="298"/>
        <item x="334"/>
        <item x="335"/>
        <item x="336"/>
        <item x="327"/>
        <item x="337"/>
        <item x="319"/>
        <item x="347"/>
        <item x="323"/>
        <item x="328"/>
        <item x="331"/>
        <item x="333"/>
        <item x="329"/>
        <item x="341"/>
        <item x="340"/>
        <item x="320"/>
        <item x="326"/>
        <item x="343"/>
        <item x="332"/>
        <item x="321"/>
        <item x="344"/>
        <item x="342"/>
        <item x="350"/>
        <item x="351"/>
        <item x="338"/>
        <item x="354"/>
        <item x="339"/>
        <item x="352"/>
        <item x="345"/>
        <item x="353"/>
        <item x="355"/>
        <item x="330"/>
        <item x="365"/>
        <item x="324"/>
        <item x="382"/>
        <item x="356"/>
        <item x="383"/>
        <item x="357"/>
        <item x="361"/>
        <item x="346"/>
        <item x="415"/>
        <item x="358"/>
        <item x="348"/>
        <item x="359"/>
        <item x="360"/>
        <item x="368"/>
        <item x="349"/>
        <item x="378"/>
        <item x="367"/>
        <item x="372"/>
        <item x="369"/>
        <item x="364"/>
        <item x="362"/>
        <item x="363"/>
        <item x="379"/>
        <item x="373"/>
        <item x="380"/>
        <item x="386"/>
        <item x="370"/>
        <item x="381"/>
        <item x="388"/>
        <item x="366"/>
        <item x="389"/>
        <item x="384"/>
        <item x="387"/>
        <item x="385"/>
        <item x="390"/>
        <item x="399"/>
        <item x="391"/>
        <item x="400"/>
        <item x="371"/>
        <item x="401"/>
        <item x="402"/>
        <item x="375"/>
        <item x="394"/>
        <item x="397"/>
        <item x="406"/>
        <item x="396"/>
        <item x="393"/>
        <item x="392"/>
        <item x="403"/>
        <item x="407"/>
        <item x="398"/>
        <item x="404"/>
        <item x="408"/>
        <item x="377"/>
        <item x="414"/>
        <item x="410"/>
        <item x="411"/>
        <item x="395"/>
        <item x="412"/>
        <item x="416"/>
        <item x="413"/>
        <item x="405"/>
        <item x="409"/>
        <item x="417"/>
        <item x="438"/>
        <item x="439"/>
        <item x="376"/>
        <item x="425"/>
        <item x="448"/>
        <item x="446"/>
        <item x="424"/>
        <item x="374"/>
        <item x="447"/>
        <item x="422"/>
        <item x="423"/>
        <item x="426"/>
        <item x="429"/>
        <item x="445"/>
        <item x="430"/>
        <item x="432"/>
        <item x="431"/>
        <item x="436"/>
        <item x="428"/>
        <item x="437"/>
        <item x="449"/>
        <item x="441"/>
        <item x="427"/>
        <item x="442"/>
        <item x="420"/>
        <item x="433"/>
        <item x="443"/>
        <item x="472"/>
        <item x="434"/>
        <item x="421"/>
        <item x="444"/>
        <item x="435"/>
        <item x="419"/>
        <item x="469"/>
        <item x="440"/>
        <item x="486"/>
        <item x="470"/>
        <item x="450"/>
        <item x="418"/>
        <item x="485"/>
        <item x="471"/>
        <item x="460"/>
        <item x="455"/>
        <item x="452"/>
        <item x="496"/>
        <item x="451"/>
        <item x="500"/>
        <item x="461"/>
        <item x="487"/>
        <item x="476"/>
        <item x="456"/>
        <item x="481"/>
        <item x="459"/>
        <item x="503"/>
        <item x="468"/>
        <item x="457"/>
        <item x="453"/>
        <item x="458"/>
        <item x="488"/>
        <item x="475"/>
        <item x="479"/>
        <item x="491"/>
        <item x="473"/>
        <item x="492"/>
        <item x="462"/>
        <item x="463"/>
        <item x="493"/>
        <item x="466"/>
        <item x="490"/>
        <item x="494"/>
        <item x="477"/>
        <item x="454"/>
        <item x="484"/>
        <item x="478"/>
        <item x="489"/>
        <item x="464"/>
        <item x="482"/>
        <item x="474"/>
        <item x="467"/>
        <item x="495"/>
        <item x="514"/>
        <item x="465"/>
        <item x="498"/>
        <item x="510"/>
        <item x="523"/>
        <item x="519"/>
        <item x="499"/>
        <item x="483"/>
        <item x="501"/>
        <item x="520"/>
        <item x="512"/>
        <item x="513"/>
        <item x="511"/>
        <item x="480"/>
        <item x="509"/>
        <item x="505"/>
        <item x="549"/>
        <item x="515"/>
        <item x="497"/>
        <item x="516"/>
        <item x="517"/>
        <item x="547"/>
        <item x="504"/>
        <item x="508"/>
        <item x="518"/>
        <item x="506"/>
        <item x="548"/>
        <item x="524"/>
        <item x="545"/>
        <item x="521"/>
        <item x="527"/>
        <item x="526"/>
        <item x="554"/>
        <item x="502"/>
        <item x="528"/>
        <item x="546"/>
        <item x="522"/>
        <item x="531"/>
        <item x="507"/>
        <item x="581"/>
        <item x="529"/>
        <item x="561"/>
        <item x="525"/>
        <item x="555"/>
        <item x="530"/>
        <item x="560"/>
        <item x="562"/>
        <item x="540"/>
        <item x="542"/>
        <item x="532"/>
        <item x="539"/>
        <item x="541"/>
        <item x="534"/>
        <item x="582"/>
        <item x="550"/>
        <item x="573"/>
        <item x="543"/>
        <item x="552"/>
        <item x="535"/>
        <item x="551"/>
        <item x="575"/>
        <item x="565"/>
        <item x="533"/>
        <item x="597"/>
        <item x="576"/>
        <item x="556"/>
        <item x="557"/>
        <item x="558"/>
        <item x="598"/>
        <item x="559"/>
        <item x="544"/>
        <item x="536"/>
        <item x="553"/>
        <item x="594"/>
        <item x="595"/>
        <item x="577"/>
        <item x="591"/>
        <item x="563"/>
        <item x="574"/>
        <item x="537"/>
        <item x="588"/>
        <item x="587"/>
        <item x="583"/>
        <item x="570"/>
        <item x="596"/>
        <item x="599"/>
        <item x="589"/>
        <item x="567"/>
        <item x="601"/>
        <item x="621"/>
        <item x="580"/>
        <item x="579"/>
        <item x="602"/>
        <item x="603"/>
        <item x="571"/>
        <item x="586"/>
        <item x="600"/>
        <item x="590"/>
        <item x="605"/>
        <item x="592"/>
        <item x="566"/>
        <item x="664"/>
        <item x="564"/>
        <item x="604"/>
        <item x="568"/>
        <item x="538"/>
        <item x="617"/>
        <item x="593"/>
        <item x="569"/>
        <item x="572"/>
        <item x="633"/>
        <item x="634"/>
        <item x="667"/>
        <item x="616"/>
        <item x="635"/>
        <item x="584"/>
        <item x="624"/>
        <item x="610"/>
        <item x="642"/>
        <item x="608"/>
        <item x="623"/>
        <item x="643"/>
        <item x="646"/>
        <item x="640"/>
        <item x="644"/>
        <item x="619"/>
        <item x="627"/>
        <item x="622"/>
        <item x="641"/>
        <item x="585"/>
        <item x="657"/>
        <item x="660"/>
        <item x="673"/>
        <item x="625"/>
        <item x="656"/>
        <item x="636"/>
        <item x="651"/>
        <item x="578"/>
        <item x="658"/>
        <item x="628"/>
        <item x="678"/>
        <item x="652"/>
        <item x="637"/>
        <item x="659"/>
        <item x="606"/>
        <item x="645"/>
        <item x="648"/>
        <item x="669"/>
        <item x="638"/>
        <item x="639"/>
        <item x="694"/>
        <item x="618"/>
        <item x="649"/>
        <item x="615"/>
        <item x="695"/>
        <item x="650"/>
        <item x="686"/>
        <item x="647"/>
        <item x="620"/>
        <item x="632"/>
        <item x="663"/>
        <item x="703"/>
        <item x="696"/>
        <item x="626"/>
        <item x="697"/>
        <item x="675"/>
        <item x="688"/>
        <item x="676"/>
        <item x="699"/>
        <item x="674"/>
        <item x="629"/>
        <item x="706"/>
        <item x="704"/>
        <item x="654"/>
        <item x="700"/>
        <item x="687"/>
        <item x="607"/>
        <item x="701"/>
        <item x="689"/>
        <item x="653"/>
        <item x="707"/>
        <item x="698"/>
        <item x="677"/>
        <item x="670"/>
        <item x="609"/>
        <item x="708"/>
        <item x="690"/>
        <item x="734"/>
        <item x="655"/>
        <item x="742"/>
        <item x="680"/>
        <item x="743"/>
        <item x="671"/>
        <item x="741"/>
        <item x="692"/>
        <item x="672"/>
        <item x="724"/>
        <item x="682"/>
        <item x="631"/>
        <item x="744"/>
        <item x="683"/>
        <item x="713"/>
        <item x="740"/>
        <item x="702"/>
        <item x="668"/>
        <item x="725"/>
        <item x="662"/>
        <item x="684"/>
        <item x="745"/>
        <item x="726"/>
        <item x="705"/>
        <item x="685"/>
        <item x="714"/>
        <item x="709"/>
        <item x="665"/>
        <item x="666"/>
        <item x="711"/>
        <item x="781"/>
        <item x="737"/>
        <item x="691"/>
        <item x="712"/>
        <item x="732"/>
        <item x="759"/>
        <item x="611"/>
        <item x="789"/>
        <item x="679"/>
        <item x="748"/>
        <item x="760"/>
        <item x="735"/>
        <item x="728"/>
        <item x="612"/>
        <item x="761"/>
        <item x="727"/>
        <item x="777"/>
        <item x="729"/>
        <item x="778"/>
        <item x="762"/>
        <item x="730"/>
        <item x="731"/>
        <item x="763"/>
        <item x="710"/>
        <item x="764"/>
        <item x="747"/>
        <item x="693"/>
        <item x="765"/>
        <item x="746"/>
        <item x="736"/>
        <item x="790"/>
        <item x="767"/>
        <item x="791"/>
        <item x="723"/>
        <item x="766"/>
        <item x="768"/>
        <item x="769"/>
        <item x="750"/>
        <item x="788"/>
        <item x="779"/>
        <item x="783"/>
        <item x="792"/>
        <item x="751"/>
        <item x="786"/>
        <item x="752"/>
        <item x="784"/>
        <item x="753"/>
        <item x="630"/>
        <item x="805"/>
        <item x="796"/>
        <item x="770"/>
        <item x="613"/>
        <item x="771"/>
        <item x="797"/>
        <item x="772"/>
        <item x="773"/>
        <item x="782"/>
        <item x="614"/>
        <item x="774"/>
        <item x="776"/>
        <item x="798"/>
        <item x="758"/>
        <item x="822"/>
        <item x="775"/>
        <item x="722"/>
        <item x="799"/>
        <item x="828"/>
        <item x="715"/>
        <item x="800"/>
        <item x="823"/>
        <item x="801"/>
        <item x="716"/>
        <item x="717"/>
        <item x="718"/>
        <item x="719"/>
        <item x="780"/>
        <item x="738"/>
        <item x="720"/>
        <item x="802"/>
        <item x="733"/>
        <item x="806"/>
        <item x="829"/>
        <item x="835"/>
        <item x="754"/>
        <item x="756"/>
        <item x="836"/>
        <item x="813"/>
        <item x="793"/>
        <item x="785"/>
        <item x="808"/>
        <item x="739"/>
        <item x="749"/>
        <item x="757"/>
        <item x="832"/>
        <item x="814"/>
        <item x="821"/>
        <item x="831"/>
        <item x="815"/>
        <item x="844"/>
        <item x="787"/>
        <item x="803"/>
        <item x="840"/>
        <item x="841"/>
        <item x="825"/>
        <item x="842"/>
        <item x="833"/>
        <item x="827"/>
        <item x="804"/>
        <item x="826"/>
        <item x="824"/>
        <item x="843"/>
        <item x="830"/>
        <item x="816"/>
        <item x="858"/>
        <item x="852"/>
        <item x="809"/>
        <item x="853"/>
        <item x="854"/>
        <item x="873"/>
        <item x="855"/>
        <item x="755"/>
        <item x="872"/>
        <item x="859"/>
        <item x="860"/>
        <item x="848"/>
        <item x="851"/>
        <item x="861"/>
        <item x="818"/>
        <item x="849"/>
        <item x="850"/>
        <item x="810"/>
        <item x="834"/>
        <item x="871"/>
        <item x="881"/>
        <item x="862"/>
        <item x="863"/>
        <item x="882"/>
        <item x="864"/>
        <item x="856"/>
        <item x="865"/>
        <item x="847"/>
        <item x="869"/>
        <item x="846"/>
        <item x="811"/>
        <item x="866"/>
        <item x="839"/>
        <item x="875"/>
        <item x="837"/>
        <item x="812"/>
        <item x="876"/>
        <item x="794"/>
        <item x="845"/>
        <item x="877"/>
        <item x="819"/>
        <item x="817"/>
        <item x="874"/>
        <item x="878"/>
        <item x="879"/>
        <item x="807"/>
        <item x="857"/>
        <item x="870"/>
        <item x="867"/>
        <item x="880"/>
        <item x="661"/>
        <item x="888"/>
        <item x="681"/>
        <item x="889"/>
        <item x="890"/>
        <item x="820"/>
        <item x="883"/>
        <item x="868"/>
        <item x="886"/>
        <item x="795"/>
        <item x="884"/>
        <item x="885"/>
        <item x="838"/>
        <item x="887"/>
        <item x="22"/>
      </items>
    </pivotField>
    <pivotField compact="0" outline="0" showAll="0"/>
    <pivotField compact="0" outline="0" showAll="0"/>
    <pivotField axis="axisRow" compact="0" outline="0" showAll="0" defaultSubtotal="0">
      <items count="966">
        <item x="10"/>
        <item x="6"/>
        <item x="11"/>
        <item x="12"/>
        <item x="8"/>
        <item x="14"/>
        <item x="13"/>
        <item x="7"/>
        <item x="0"/>
        <item x="15"/>
        <item x="1"/>
        <item x="2"/>
        <item x="16"/>
        <item x="3"/>
        <item x="17"/>
        <item x="4"/>
        <item x="9"/>
        <item x="31"/>
        <item x="5"/>
        <item x="18"/>
        <item x="35"/>
        <item x="21"/>
        <item x="36"/>
        <item x="34"/>
        <item x="37"/>
        <item x="38"/>
        <item x="39"/>
        <item x="45"/>
        <item x="19"/>
        <item x="20"/>
        <item x="25"/>
        <item x="22"/>
        <item x="32"/>
        <item x="46"/>
        <item x="49"/>
        <item x="40"/>
        <item x="50"/>
        <item x="41"/>
        <item x="42"/>
        <item x="44"/>
        <item x="43"/>
        <item x="59"/>
        <item x="53"/>
        <item x="60"/>
        <item x="61"/>
        <item x="62"/>
        <item x="33"/>
        <item x="55"/>
        <item x="57"/>
        <item x="26"/>
        <item x="58"/>
        <item x="90"/>
        <item x="47"/>
        <item x="54"/>
        <item x="56"/>
        <item x="72"/>
        <item x="96"/>
        <item x="27"/>
        <item x="51"/>
        <item x="52"/>
        <item x="65"/>
        <item x="73"/>
        <item x="48"/>
        <item x="66"/>
        <item x="69"/>
        <item x="63"/>
        <item x="75"/>
        <item x="74"/>
        <item x="70"/>
        <item x="28"/>
        <item x="94"/>
        <item x="78"/>
        <item x="95"/>
        <item x="88"/>
        <item x="71"/>
        <item x="64"/>
        <item x="89"/>
        <item x="91"/>
        <item x="29"/>
        <item x="24"/>
        <item x="30"/>
        <item x="110"/>
        <item x="67"/>
        <item x="68"/>
        <item x="92"/>
        <item x="77"/>
        <item x="111"/>
        <item x="112"/>
        <item x="76"/>
        <item x="113"/>
        <item x="85"/>
        <item x="86"/>
        <item x="83"/>
        <item x="97"/>
        <item x="87"/>
        <item x="101"/>
        <item x="100"/>
        <item x="102"/>
        <item x="103"/>
        <item x="104"/>
        <item x="93"/>
        <item x="82"/>
        <item x="98"/>
        <item x="80"/>
        <item x="79"/>
        <item x="107"/>
        <item x="108"/>
        <item x="106"/>
        <item x="105"/>
        <item x="130"/>
        <item x="131"/>
        <item x="99"/>
        <item x="81"/>
        <item x="132"/>
        <item x="84"/>
        <item x="114"/>
        <item x="115"/>
        <item x="116"/>
        <item x="118"/>
        <item x="119"/>
        <item x="117"/>
        <item x="120"/>
        <item x="145"/>
        <item x="121"/>
        <item x="123"/>
        <item x="134"/>
        <item x="122"/>
        <item x="126"/>
        <item x="152"/>
        <item x="150"/>
        <item x="124"/>
        <item x="125"/>
        <item x="146"/>
        <item x="109"/>
        <item x="148"/>
        <item x="160"/>
        <item x="137"/>
        <item x="129"/>
        <item x="149"/>
        <item x="127"/>
        <item x="147"/>
        <item x="143"/>
        <item x="142"/>
        <item x="157"/>
        <item x="138"/>
        <item x="153"/>
        <item x="128"/>
        <item x="156"/>
        <item x="158"/>
        <item x="159"/>
        <item x="151"/>
        <item x="133"/>
        <item x="172"/>
        <item x="135"/>
        <item x="136"/>
        <item x="139"/>
        <item x="162"/>
        <item x="155"/>
        <item x="161"/>
        <item x="163"/>
        <item x="164"/>
        <item x="171"/>
        <item x="154"/>
        <item x="173"/>
        <item x="144"/>
        <item x="175"/>
        <item x="165"/>
        <item x="176"/>
        <item x="177"/>
        <item x="170"/>
        <item x="178"/>
        <item x="169"/>
        <item x="140"/>
        <item x="141"/>
        <item x="166"/>
        <item x="167"/>
        <item x="168"/>
        <item x="187"/>
        <item x="190"/>
        <item x="191"/>
        <item x="188"/>
        <item x="179"/>
        <item x="192"/>
        <item x="193"/>
        <item x="185"/>
        <item x="197"/>
        <item x="204"/>
        <item x="199"/>
        <item x="198"/>
        <item x="200"/>
        <item x="205"/>
        <item x="184"/>
        <item x="206"/>
        <item x="207"/>
        <item x="180"/>
        <item x="174"/>
        <item x="195"/>
        <item x="186"/>
        <item x="202"/>
        <item x="216"/>
        <item x="181"/>
        <item x="182"/>
        <item x="196"/>
        <item x="217"/>
        <item x="208"/>
        <item x="210"/>
        <item x="183"/>
        <item x="194"/>
        <item x="213"/>
        <item x="209"/>
        <item x="218"/>
        <item x="230"/>
        <item x="189"/>
        <item x="214"/>
        <item x="203"/>
        <item x="215"/>
        <item x="231"/>
        <item x="222"/>
        <item x="232"/>
        <item x="224"/>
        <item x="201"/>
        <item x="219"/>
        <item x="220"/>
        <item x="229"/>
        <item x="223"/>
        <item x="211"/>
        <item x="225"/>
        <item x="240"/>
        <item x="236"/>
        <item x="238"/>
        <item x="226"/>
        <item x="237"/>
        <item x="239"/>
        <item x="249"/>
        <item x="221"/>
        <item x="212"/>
        <item x="228"/>
        <item x="241"/>
        <item x="227"/>
        <item x="233"/>
        <item x="247"/>
        <item x="245"/>
        <item x="252"/>
        <item x="248"/>
        <item x="253"/>
        <item x="234"/>
        <item x="250"/>
        <item x="251"/>
        <item x="270"/>
        <item x="264"/>
        <item x="235"/>
        <item x="259"/>
        <item x="263"/>
        <item x="243"/>
        <item x="265"/>
        <item x="266"/>
        <item x="246"/>
        <item x="242"/>
        <item x="268"/>
        <item x="257"/>
        <item x="260"/>
        <item x="267"/>
        <item x="254"/>
        <item x="258"/>
        <item x="256"/>
        <item x="255"/>
        <item x="289"/>
        <item x="271"/>
        <item x="275"/>
        <item x="274"/>
        <item x="244"/>
        <item x="272"/>
        <item x="303"/>
        <item x="273"/>
        <item x="261"/>
        <item x="285"/>
        <item x="276"/>
        <item x="290"/>
        <item x="291"/>
        <item x="280"/>
        <item x="277"/>
        <item x="278"/>
        <item x="286"/>
        <item x="301"/>
        <item x="262"/>
        <item x="281"/>
        <item x="282"/>
        <item x="284"/>
        <item x="279"/>
        <item x="295"/>
        <item x="297"/>
        <item x="298"/>
        <item x="283"/>
        <item x="306"/>
        <item x="293"/>
        <item x="307"/>
        <item x="310"/>
        <item x="294"/>
        <item x="302"/>
        <item x="299"/>
        <item x="309"/>
        <item x="308"/>
        <item x="304"/>
        <item x="296"/>
        <item x="269"/>
        <item x="287"/>
        <item x="288"/>
        <item x="300"/>
        <item x="305"/>
        <item x="311"/>
        <item x="316"/>
        <item x="292"/>
        <item x="328"/>
        <item x="320"/>
        <item x="312"/>
        <item x="321"/>
        <item x="313"/>
        <item x="322"/>
        <item x="324"/>
        <item x="317"/>
        <item x="331"/>
        <item x="338"/>
        <item x="327"/>
        <item x="337"/>
        <item x="329"/>
        <item x="326"/>
        <item x="323"/>
        <item x="336"/>
        <item x="330"/>
        <item x="314"/>
        <item x="319"/>
        <item x="333"/>
        <item x="341"/>
        <item x="315"/>
        <item x="334"/>
        <item x="342"/>
        <item x="340"/>
        <item x="348"/>
        <item x="332"/>
        <item x="349"/>
        <item x="335"/>
        <item x="344"/>
        <item x="339"/>
        <item x="325"/>
        <item x="318"/>
        <item x="377"/>
        <item x="343"/>
        <item x="379"/>
        <item x="351"/>
        <item x="352"/>
        <item x="345"/>
        <item x="364"/>
        <item x="353"/>
        <item x="354"/>
        <item x="365"/>
        <item x="346"/>
        <item x="350"/>
        <item x="360"/>
        <item x="347"/>
        <item x="374"/>
        <item x="359"/>
        <item x="357"/>
        <item x="362"/>
        <item x="361"/>
        <item x="355"/>
        <item x="356"/>
        <item x="378"/>
        <item x="375"/>
        <item x="376"/>
        <item x="368"/>
        <item x="367"/>
        <item x="363"/>
        <item x="409"/>
        <item x="382"/>
        <item x="358"/>
        <item x="383"/>
        <item x="384"/>
        <item x="380"/>
        <item x="385"/>
        <item x="381"/>
        <item x="372"/>
        <item x="386"/>
        <item x="394"/>
        <item x="395"/>
        <item x="366"/>
        <item x="370"/>
        <item x="389"/>
        <item x="390"/>
        <item x="392"/>
        <item x="398"/>
        <item x="388"/>
        <item x="401"/>
        <item x="396"/>
        <item x="387"/>
        <item x="393"/>
        <item x="397"/>
        <item x="402"/>
        <item x="404"/>
        <item x="373"/>
        <item x="405"/>
        <item x="406"/>
        <item x="400"/>
        <item x="391"/>
        <item x="407"/>
        <item x="410"/>
        <item x="403"/>
        <item x="408"/>
        <item x="399"/>
        <item x="436"/>
        <item x="434"/>
        <item x="435"/>
        <item x="371"/>
        <item x="419"/>
        <item x="443"/>
        <item x="420"/>
        <item x="418"/>
        <item x="415"/>
        <item x="444"/>
        <item x="369"/>
        <item x="416"/>
        <item x="417"/>
        <item x="421"/>
        <item x="424"/>
        <item x="442"/>
        <item x="425"/>
        <item x="431"/>
        <item x="426"/>
        <item x="432"/>
        <item x="427"/>
        <item x="433"/>
        <item x="423"/>
        <item x="438"/>
        <item x="422"/>
        <item x="439"/>
        <item x="413"/>
        <item x="428"/>
        <item x="440"/>
        <item x="473"/>
        <item x="429"/>
        <item x="441"/>
        <item x="447"/>
        <item x="414"/>
        <item x="472"/>
        <item x="430"/>
        <item x="469"/>
        <item x="437"/>
        <item x="470"/>
        <item x="412"/>
        <item x="491"/>
        <item x="448"/>
        <item x="411"/>
        <item x="445"/>
        <item x="471"/>
        <item x="490"/>
        <item x="452"/>
        <item x="449"/>
        <item x="488"/>
        <item x="453"/>
        <item x="446"/>
        <item x="489"/>
        <item x="467"/>
        <item x="458"/>
        <item x="492"/>
        <item x="479"/>
        <item x="454"/>
        <item x="455"/>
        <item x="456"/>
        <item x="468"/>
        <item x="493"/>
        <item x="476"/>
        <item x="450"/>
        <item x="478"/>
        <item x="495"/>
        <item x="500"/>
        <item x="457"/>
        <item x="496"/>
        <item x="497"/>
        <item x="460"/>
        <item x="466"/>
        <item x="459"/>
        <item x="483"/>
        <item x="461"/>
        <item x="509"/>
        <item x="494"/>
        <item x="487"/>
        <item x="498"/>
        <item x="481"/>
        <item x="451"/>
        <item x="462"/>
        <item x="465"/>
        <item x="474"/>
        <item x="463"/>
        <item x="499"/>
        <item x="484"/>
        <item x="521"/>
        <item x="464"/>
        <item x="507"/>
        <item x="477"/>
        <item x="482"/>
        <item x="512"/>
        <item x="480"/>
        <item x="527"/>
        <item x="531"/>
        <item x="532"/>
        <item x="506"/>
        <item x="475"/>
        <item x="502"/>
        <item x="508"/>
        <item x="518"/>
        <item x="519"/>
        <item x="486"/>
        <item x="503"/>
        <item x="528"/>
        <item x="511"/>
        <item x="520"/>
        <item x="485"/>
        <item x="564"/>
        <item x="513"/>
        <item x="522"/>
        <item x="523"/>
        <item x="517"/>
        <item x="504"/>
        <item x="501"/>
        <item x="524"/>
        <item x="525"/>
        <item x="561"/>
        <item x="559"/>
        <item x="526"/>
        <item x="566"/>
        <item x="533"/>
        <item x="514"/>
        <item x="560"/>
        <item x="516"/>
        <item x="558"/>
        <item x="534"/>
        <item x="565"/>
        <item x="510"/>
        <item x="563"/>
        <item x="557"/>
        <item x="536"/>
        <item x="529"/>
        <item x="505"/>
        <item x="537"/>
        <item x="539"/>
        <item x="538"/>
        <item x="530"/>
        <item x="545"/>
        <item x="596"/>
        <item x="562"/>
        <item x="515"/>
        <item x="580"/>
        <item x="581"/>
        <item x="582"/>
        <item x="540"/>
        <item x="535"/>
        <item x="578"/>
        <item x="546"/>
        <item x="583"/>
        <item x="553"/>
        <item x="542"/>
        <item x="541"/>
        <item x="554"/>
        <item x="567"/>
        <item x="544"/>
        <item x="552"/>
        <item x="570"/>
        <item x="606"/>
        <item x="568"/>
        <item x="547"/>
        <item x="569"/>
        <item x="571"/>
        <item x="555"/>
        <item x="572"/>
        <item x="576"/>
        <item x="620"/>
        <item x="574"/>
        <item x="603"/>
        <item x="575"/>
        <item x="543"/>
        <item x="597"/>
        <item x="595"/>
        <item x="577"/>
        <item x="573"/>
        <item x="579"/>
        <item x="604"/>
        <item x="548"/>
        <item x="605"/>
        <item x="621"/>
        <item x="556"/>
        <item x="616"/>
        <item x="599"/>
        <item x="617"/>
        <item x="550"/>
        <item x="610"/>
        <item x="549"/>
        <item x="622"/>
        <item x="594"/>
        <item x="589"/>
        <item x="584"/>
        <item x="623"/>
        <item x="590"/>
        <item x="613"/>
        <item x="624"/>
        <item x="587"/>
        <item x="618"/>
        <item x="611"/>
        <item x="628"/>
        <item x="600"/>
        <item x="655"/>
        <item x="591"/>
        <item x="629"/>
        <item x="602"/>
        <item x="619"/>
        <item x="609"/>
        <item x="612"/>
        <item x="631"/>
        <item x="615"/>
        <item x="586"/>
        <item x="692"/>
        <item x="585"/>
        <item x="551"/>
        <item x="630"/>
        <item x="625"/>
        <item x="626"/>
        <item x="627"/>
        <item x="614"/>
        <item x="658"/>
        <item x="659"/>
        <item x="593"/>
        <item x="588"/>
        <item x="601"/>
        <item x="660"/>
        <item x="642"/>
        <item x="592"/>
        <item x="648"/>
        <item x="669"/>
        <item x="607"/>
        <item x="636"/>
        <item x="649"/>
        <item x="670"/>
        <item x="647"/>
        <item x="666"/>
        <item x="673"/>
        <item x="671"/>
        <item x="634"/>
        <item x="644"/>
        <item x="691"/>
        <item x="646"/>
        <item x="708"/>
        <item x="667"/>
        <item x="703"/>
        <item x="684"/>
        <item x="687"/>
        <item x="702"/>
        <item x="608"/>
        <item x="683"/>
        <item x="650"/>
        <item x="598"/>
        <item x="676"/>
        <item x="668"/>
        <item x="685"/>
        <item x="705"/>
        <item x="661"/>
        <item x="662"/>
        <item x="652"/>
        <item x="686"/>
        <item x="678"/>
        <item x="664"/>
        <item x="712"/>
        <item x="665"/>
        <item x="674"/>
        <item x="697"/>
        <item x="740"/>
        <item x="733"/>
        <item x="663"/>
        <item x="741"/>
        <item x="679"/>
        <item x="632"/>
        <item x="713"/>
        <item x="675"/>
        <item x="643"/>
        <item x="725"/>
        <item x="645"/>
        <item x="672"/>
        <item x="682"/>
        <item x="709"/>
        <item x="656"/>
        <item x="732"/>
        <item x="752"/>
        <item x="753"/>
        <item x="641"/>
        <item x="745"/>
        <item x="743"/>
        <item x="651"/>
        <item x="734"/>
        <item x="706"/>
        <item x="688"/>
        <item x="744"/>
        <item x="747"/>
        <item x="724"/>
        <item x="704"/>
        <item x="653"/>
        <item x="749"/>
        <item x="680"/>
        <item x="750"/>
        <item x="722"/>
        <item x="751"/>
        <item x="633"/>
        <item x="756"/>
        <item x="746"/>
        <item x="677"/>
        <item x="742"/>
        <item x="757"/>
        <item x="698"/>
        <item x="707"/>
        <item x="748"/>
        <item x="758"/>
        <item x="723"/>
        <item x="759"/>
        <item x="784"/>
        <item x="681"/>
        <item x="726"/>
        <item x="729"/>
        <item x="783"/>
        <item x="731"/>
        <item x="699"/>
        <item x="782"/>
        <item x="700"/>
        <item x="755"/>
        <item x="735"/>
        <item x="716"/>
        <item x="701"/>
        <item x="696"/>
        <item x="720"/>
        <item x="717"/>
        <item x="657"/>
        <item x="635"/>
        <item x="754"/>
        <item x="711"/>
        <item x="718"/>
        <item x="690"/>
        <item x="737"/>
        <item x="794"/>
        <item x="792"/>
        <item x="771"/>
        <item x="738"/>
        <item x="719"/>
        <item x="721"/>
        <item x="695"/>
        <item x="760"/>
        <item x="795"/>
        <item x="693"/>
        <item x="789"/>
        <item x="838"/>
        <item x="793"/>
        <item x="788"/>
        <item x="739"/>
        <item x="694"/>
        <item x="836"/>
        <item x="811"/>
        <item x="762"/>
        <item x="844"/>
        <item x="727"/>
        <item x="637"/>
        <item x="779"/>
        <item x="815"/>
        <item x="830"/>
        <item x="730"/>
        <item x="728"/>
        <item x="798"/>
        <item x="710"/>
        <item x="816"/>
        <item x="772"/>
        <item x="786"/>
        <item x="775"/>
        <item x="638"/>
        <item x="817"/>
        <item x="785"/>
        <item x="776"/>
        <item x="832"/>
        <item x="777"/>
        <item x="773"/>
        <item x="833"/>
        <item x="778"/>
        <item x="774"/>
        <item x="818"/>
        <item x="797"/>
        <item x="851"/>
        <item x="850"/>
        <item x="796"/>
        <item x="736"/>
        <item x="761"/>
        <item x="820"/>
        <item x="848"/>
        <item x="787"/>
        <item x="819"/>
        <item x="821"/>
        <item x="822"/>
        <item x="841"/>
        <item x="854"/>
        <item x="823"/>
        <item x="847"/>
        <item x="800"/>
        <item x="770"/>
        <item x="804"/>
        <item x="801"/>
        <item x="834"/>
        <item x="858"/>
        <item x="802"/>
        <item x="839"/>
        <item x="803"/>
        <item x="805"/>
        <item x="840"/>
        <item x="859"/>
        <item x="843"/>
        <item x="870"/>
        <item x="860"/>
        <item x="654"/>
        <item x="824"/>
        <item x="825"/>
        <item x="639"/>
        <item x="810"/>
        <item x="826"/>
        <item x="857"/>
        <item x="827"/>
        <item x="828"/>
        <item x="889"/>
        <item x="640"/>
        <item x="874"/>
        <item x="837"/>
        <item x="813"/>
        <item x="812"/>
        <item x="829"/>
        <item x="831"/>
        <item x="892"/>
        <item x="865"/>
        <item x="763"/>
        <item x="867"/>
        <item x="866"/>
        <item x="869"/>
        <item x="764"/>
        <item x="765"/>
        <item x="875"/>
        <item x="766"/>
        <item x="767"/>
        <item x="861"/>
        <item x="768"/>
        <item x="893"/>
        <item x="790"/>
        <item x="894"/>
        <item x="814"/>
        <item x="769"/>
        <item x="781"/>
        <item x="780"/>
        <item x="871"/>
        <item x="899"/>
        <item x="806"/>
        <item x="808"/>
        <item x="908"/>
        <item x="895"/>
        <item x="880"/>
        <item x="898"/>
        <item x="852"/>
        <item x="896"/>
        <item x="835"/>
        <item x="862"/>
        <item x="842"/>
        <item x="791"/>
        <item x="846"/>
        <item x="881"/>
        <item x="855"/>
        <item x="882"/>
        <item x="905"/>
        <item x="809"/>
        <item x="897"/>
        <item x="890"/>
        <item x="912"/>
        <item x="883"/>
        <item x="913"/>
        <item x="864"/>
        <item x="914"/>
        <item x="845"/>
        <item x="906"/>
        <item x="868"/>
        <item x="799"/>
        <item x="849"/>
        <item x="930"/>
        <item x="921"/>
        <item x="863"/>
        <item x="900"/>
        <item x="922"/>
        <item x="891"/>
        <item x="903"/>
        <item x="904"/>
        <item x="902"/>
        <item x="884"/>
        <item x="924"/>
        <item x="925"/>
        <item x="876"/>
        <item x="926"/>
        <item x="931"/>
        <item x="901"/>
        <item x="807"/>
        <item x="932"/>
        <item x="944"/>
        <item x="929"/>
        <item x="943"/>
        <item x="918"/>
        <item x="940"/>
        <item x="923"/>
        <item x="919"/>
        <item x="886"/>
        <item x="933"/>
        <item x="920"/>
        <item x="941"/>
        <item x="877"/>
        <item x="907"/>
        <item x="934"/>
        <item x="953"/>
        <item x="965"/>
        <item x="935"/>
        <item x="955"/>
        <item x="915"/>
        <item x="927"/>
        <item x="917"/>
        <item x="916"/>
        <item x="942"/>
        <item x="878"/>
        <item x="911"/>
        <item x="909"/>
        <item x="879"/>
        <item x="950"/>
        <item x="948"/>
        <item x="853"/>
        <item x="946"/>
        <item x="887"/>
        <item x="885"/>
        <item x="947"/>
        <item x="949"/>
        <item x="872"/>
        <item x="873"/>
        <item x="928"/>
        <item x="937"/>
        <item x="951"/>
        <item x="954"/>
        <item x="938"/>
        <item x="689"/>
        <item x="952"/>
        <item x="960"/>
        <item x="714"/>
        <item x="715"/>
        <item x="962"/>
        <item x="963"/>
        <item x="888"/>
        <item x="956"/>
        <item x="939"/>
        <item x="964"/>
        <item x="856"/>
        <item x="957"/>
        <item x="958"/>
        <item x="910"/>
        <item x="945"/>
        <item x="961"/>
        <item x="959"/>
        <item x="23"/>
        <item x="936"/>
      </items>
    </pivotField>
    <pivotField compact="0" outline="0" showAll="0"/>
    <pivotField compact="0" outline="0" showAll="0"/>
    <pivotField compact="0" outline="0" showAll="0"/>
    <pivotField axis="axisRow" compact="0" outline="0" showAll="0" defaultSubtotal="0">
      <items count="22">
        <item x="3"/>
        <item x="21"/>
        <item x="16"/>
        <item x="2"/>
        <item x="14"/>
        <item x="18"/>
        <item x="1"/>
        <item x="9"/>
        <item x="11"/>
        <item x="13"/>
        <item x="17"/>
        <item x="7"/>
        <item x="20"/>
        <item x="15"/>
        <item x="10"/>
        <item x="4"/>
        <item x="5"/>
        <item x="8"/>
        <item x="12"/>
        <item x="6"/>
        <item x="19"/>
        <item x="0"/>
      </items>
    </pivotField>
    <pivotField compact="0" outline="0" showAll="0"/>
    <pivotField axis="axisRow" compact="0" outline="0" showAll="0" defaultSubtotal="0">
      <items count="6">
        <item x="2"/>
        <item x="4"/>
        <item x="0"/>
        <item x="3"/>
        <item x="1"/>
        <item x="5"/>
      </items>
    </pivotField>
    <pivotField compact="0" outline="0" showAll="0"/>
    <pivotField axis="axisRow" compact="0" outline="0" showAll="0" defaultSubtotal="0">
      <items count="15">
        <item x="12"/>
        <item x="14"/>
        <item x="5"/>
        <item x="2"/>
        <item x="9"/>
        <item x="11"/>
        <item x="1"/>
        <item x="8"/>
        <item x="13"/>
        <item x="3"/>
        <item x="10"/>
        <item x="6"/>
        <item x="4"/>
        <item x="7"/>
        <item x="0"/>
      </items>
    </pivotField>
    <pivotField axis="axisRow" compact="0" outline="0" showAll="0" defaultSubtotal="0">
      <items count="1440">
        <item x="5"/>
        <item x="50"/>
        <item x="17"/>
        <item x="51"/>
        <item x="18"/>
        <item x="52"/>
        <item x="19"/>
        <item x="44"/>
        <item x="20"/>
        <item x="45"/>
        <item x="1"/>
        <item x="2"/>
        <item x="11"/>
        <item x="12"/>
        <item x="13"/>
        <item x="14"/>
        <item x="131"/>
        <item x="132"/>
        <item x="15"/>
        <item x="266"/>
        <item x="390"/>
        <item x="16"/>
        <item x="22"/>
        <item x="23"/>
        <item x="3"/>
        <item x="261"/>
        <item x="387"/>
        <item x="388"/>
        <item x="389"/>
        <item x="352"/>
        <item x="353"/>
        <item x="354"/>
        <item x="355"/>
        <item x="356"/>
        <item x="806"/>
        <item x="807"/>
        <item x="808"/>
        <item x="809"/>
        <item x="810"/>
        <item x="611"/>
        <item x="609"/>
        <item x="610"/>
        <item x="811"/>
        <item x="812"/>
        <item x="813"/>
        <item x="814"/>
        <item x="815"/>
        <item x="816"/>
        <item x="817"/>
        <item x="818"/>
        <item x="819"/>
        <item x="835"/>
        <item x="836"/>
        <item x="837"/>
        <item x="824"/>
        <item x="825"/>
        <item x="826"/>
        <item x="827"/>
        <item x="828"/>
        <item x="829"/>
        <item x="830"/>
        <item x="831"/>
        <item x="832"/>
        <item x="833"/>
        <item x="1235"/>
        <item x="1238"/>
        <item x="1241"/>
        <item x="1243"/>
        <item x="1244"/>
        <item x="1245"/>
        <item x="1246"/>
        <item x="1247"/>
        <item x="1248"/>
        <item x="1249"/>
        <item x="1250"/>
        <item x="1251"/>
        <item x="1252"/>
        <item x="1147"/>
        <item x="1148"/>
        <item x="1253"/>
        <item x="1254"/>
        <item x="1255"/>
        <item x="1256"/>
        <item x="1354"/>
        <item x="1149"/>
        <item x="1150"/>
        <item x="1151"/>
        <item x="1152"/>
        <item x="1393"/>
        <item x="1421"/>
        <item x="1422"/>
        <item x="1425"/>
        <item x="1426"/>
        <item x="1333"/>
        <item x="1385"/>
        <item x="1386"/>
        <item x="1387"/>
        <item x="1388"/>
        <item x="1429"/>
        <item x="1347"/>
        <item x="1389"/>
        <item x="527"/>
        <item x="1288"/>
        <item x="1390"/>
        <item x="170"/>
        <item x="171"/>
        <item x="1145"/>
        <item x="931"/>
        <item x="938"/>
        <item x="1284"/>
        <item x="1153"/>
        <item x="1205"/>
        <item x="1267"/>
        <item x="512"/>
        <item x="1202"/>
        <item x="1204"/>
        <item x="876"/>
        <item x="535"/>
        <item x="0"/>
        <item x="675"/>
        <item x="697"/>
        <item x="712"/>
        <item x="711"/>
        <item x="803"/>
        <item x="802"/>
        <item x="787"/>
        <item x="788"/>
        <item x="805"/>
        <item x="843"/>
        <item x="900"/>
        <item x="921"/>
        <item x="401"/>
        <item x="427"/>
        <item x="547"/>
        <item x="549"/>
        <item x="553"/>
        <item x="616"/>
        <item x="693"/>
        <item x="1019"/>
        <item x="226"/>
        <item x="563"/>
        <item x="562"/>
        <item x="1407"/>
        <item x="1408"/>
        <item x="1409"/>
        <item x="1410"/>
        <item x="416"/>
        <item x="260"/>
        <item x="274"/>
        <item x="273"/>
        <item x="296"/>
        <item x="275"/>
        <item x="334"/>
        <item x="332"/>
        <item x="333"/>
        <item x="689"/>
        <item x="621"/>
        <item x="622"/>
        <item x="4"/>
        <item x="227"/>
        <item x="228"/>
        <item x="229"/>
        <item x="230"/>
        <item x="623"/>
        <item x="321"/>
        <item x="322"/>
        <item x="262"/>
        <item x="314"/>
        <item x="319"/>
        <item x="258"/>
        <item x="165"/>
        <item x="166"/>
        <item x="320"/>
        <item x="316"/>
        <item x="517"/>
        <item x="315"/>
        <item x="317"/>
        <item x="318"/>
        <item x="518"/>
        <item x="519"/>
        <item x="386"/>
        <item x="439"/>
        <item x="538"/>
        <item x="990"/>
        <item x="417"/>
        <item x="726"/>
        <item x="1009"/>
        <item x="995"/>
        <item x="1043"/>
        <item x="1045"/>
        <item x="986"/>
        <item x="1185"/>
        <item x="107"/>
        <item x="1021"/>
        <item x="1109"/>
        <item x="1062"/>
        <item x="1160"/>
        <item x="1173"/>
        <item x="598"/>
        <item x="977"/>
        <item x="978"/>
        <item x="979"/>
        <item x="991"/>
        <item x="1048"/>
        <item x="1047"/>
        <item x="1334"/>
        <item x="1016"/>
        <item x="1017"/>
        <item x="1018"/>
        <item x="992"/>
        <item x="418"/>
        <item x="544"/>
        <item x="493"/>
        <item x="533"/>
        <item x="545"/>
        <item x="513"/>
        <item x="534"/>
        <item x="552"/>
        <item x="993"/>
        <item x="419"/>
        <item x="470"/>
        <item x="994"/>
        <item x="349"/>
        <item x="350"/>
        <item x="1156"/>
        <item x="1141"/>
        <item x="1174"/>
        <item x="1220"/>
        <item x="1171"/>
        <item x="1172"/>
        <item x="1125"/>
        <item x="1428"/>
        <item x="1328"/>
        <item x="1351"/>
        <item x="620"/>
        <item x="310"/>
        <item x="231"/>
        <item x="232"/>
        <item x="236"/>
        <item x="237"/>
        <item x="238"/>
        <item x="233"/>
        <item x="234"/>
        <item x="343"/>
        <item x="344"/>
        <item x="1403"/>
        <item x="201"/>
        <item x="200"/>
        <item x="199"/>
        <item x="281"/>
        <item x="1060"/>
        <item x="53"/>
        <item x="54"/>
        <item x="55"/>
        <item x="56"/>
        <item x="57"/>
        <item x="566"/>
        <item x="1178"/>
        <item x="1228"/>
        <item x="1229"/>
        <item x="641"/>
        <item x="1020"/>
        <item x="608"/>
        <item x="646"/>
        <item x="678"/>
        <item x="679"/>
        <item x="708"/>
        <item x="709"/>
        <item x="713"/>
        <item x="722"/>
        <item x="725"/>
        <item x="721"/>
        <item x="724"/>
        <item x="753"/>
        <item x="751"/>
        <item x="747"/>
        <item x="748"/>
        <item x="800"/>
        <item x="903"/>
        <item x="926"/>
        <item x="932"/>
        <item x="933"/>
        <item x="934"/>
        <item x="923"/>
        <item x="922"/>
        <item x="961"/>
        <item x="1038"/>
        <item x="1104"/>
        <item x="1131"/>
        <item x="1120"/>
        <item x="1105"/>
        <item x="1118"/>
        <item x="1122"/>
        <item x="1136"/>
        <item x="1134"/>
        <item x="1119"/>
        <item x="1137"/>
        <item x="1139"/>
        <item x="1175"/>
        <item x="1182"/>
        <item x="1181"/>
        <item x="1193"/>
        <item x="1194"/>
        <item x="1190"/>
        <item x="1176"/>
        <item x="1177"/>
        <item x="1199"/>
        <item x="1203"/>
        <item x="1200"/>
        <item x="1195"/>
        <item x="1198"/>
        <item x="1197"/>
        <item x="1273"/>
        <item x="1286"/>
        <item x="1283"/>
        <item x="1275"/>
        <item x="1285"/>
        <item x="1258"/>
        <item x="1259"/>
        <item x="1314"/>
        <item x="1309"/>
        <item x="1310"/>
        <item x="1311"/>
        <item x="1312"/>
        <item x="1369"/>
        <item x="1356"/>
        <item x="1336"/>
        <item x="1373"/>
        <item x="1372"/>
        <item x="1380"/>
        <item x="1436"/>
        <item x="1434"/>
        <item x="1435"/>
        <item x="1432"/>
        <item x="1439"/>
        <item x="1437"/>
        <item x="1226"/>
        <item x="1227"/>
        <item x="1115"/>
        <item x="1068"/>
        <item x="1064"/>
        <item x="581"/>
        <item x="589"/>
        <item x="585"/>
        <item x="869"/>
        <item x="864"/>
        <item x="1340"/>
        <item x="1341"/>
        <item x="1342"/>
        <item x="1343"/>
        <item x="1344"/>
        <item x="1392"/>
        <item x="1394"/>
        <item x="1395"/>
        <item x="1233"/>
        <item x="1234"/>
        <item x="1236"/>
        <item x="1237"/>
        <item x="1423"/>
        <item x="1424"/>
        <item x="1239"/>
        <item x="1240"/>
        <item x="1242"/>
        <item x="420"/>
        <item x="421"/>
        <item x="422"/>
        <item x="362"/>
        <item x="363"/>
        <item x="358"/>
        <item x="667"/>
        <item x="651"/>
        <item x="650"/>
        <item x="668"/>
        <item x="727"/>
        <item x="305"/>
        <item x="605"/>
        <item x="614"/>
        <item x="736"/>
        <item x="957"/>
        <item x="202"/>
        <item x="183"/>
        <item x="325"/>
        <item x="409"/>
        <item x="255"/>
        <item x="617"/>
        <item x="61"/>
        <item x="371"/>
        <item x="660"/>
        <item x="378"/>
        <item x="377"/>
        <item x="376"/>
        <item x="192"/>
        <item x="180"/>
        <item x="683"/>
        <item x="652"/>
        <item x="728"/>
        <item x="1146"/>
        <item x="1169"/>
        <item x="1170"/>
        <item x="680"/>
        <item x="710"/>
        <item x="796"/>
        <item x="904"/>
        <item x="1165"/>
        <item x="908"/>
        <item x="920"/>
        <item x="858"/>
        <item x="1332"/>
        <item x="528"/>
        <item x="1414"/>
        <item x="1415"/>
        <item x="1416"/>
        <item x="1417"/>
        <item x="1398"/>
        <item x="1397"/>
        <item x="1399"/>
        <item x="1401"/>
        <item x="558"/>
        <item x="559"/>
        <item x="556"/>
        <item x="557"/>
        <item x="1061"/>
        <item x="976"/>
        <item x="950"/>
        <item x="1010"/>
        <item x="1093"/>
        <item x="1319"/>
        <item x="1320"/>
        <item x="1321"/>
        <item x="1322"/>
        <item x="1360"/>
        <item x="1359"/>
        <item x="1358"/>
        <item x="1357"/>
        <item x="1323"/>
        <item x="1324"/>
        <item x="1325"/>
        <item x="364"/>
        <item x="365"/>
        <item x="373"/>
        <item x="851"/>
        <item x="853"/>
        <item x="849"/>
        <item x="852"/>
        <item x="850"/>
        <item x="462"/>
        <item x="635"/>
        <item x="41"/>
        <item x="42"/>
        <item x="71"/>
        <item x="106"/>
        <item x="105"/>
        <item x="139"/>
        <item x="168"/>
        <item x="256"/>
        <item x="263"/>
        <item x="288"/>
        <item x="158"/>
        <item x="160"/>
        <item x="159"/>
        <item x="161"/>
        <item x="368"/>
        <item x="357"/>
        <item x="408"/>
        <item x="394"/>
        <item x="413"/>
        <item x="414"/>
        <item x="429"/>
        <item x="441"/>
        <item x="446"/>
        <item x="444"/>
        <item x="445"/>
        <item x="467"/>
        <item x="458"/>
        <item x="465"/>
        <item x="469"/>
        <item x="499"/>
        <item x="496"/>
        <item x="501"/>
        <item x="500"/>
        <item x="516"/>
        <item x="624"/>
        <item x="630"/>
        <item x="632"/>
        <item x="634"/>
        <item x="629"/>
        <item x="633"/>
        <item x="657"/>
        <item x="648"/>
        <item x="631"/>
        <item x="670"/>
        <item x="703"/>
        <item x="659"/>
        <item x="681"/>
        <item x="647"/>
        <item x="649"/>
        <item x="658"/>
        <item x="672"/>
        <item x="666"/>
        <item x="662"/>
        <item x="701"/>
        <item x="700"/>
        <item x="661"/>
        <item x="699"/>
        <item x="707"/>
        <item x="731"/>
        <item x="692"/>
        <item x="704"/>
        <item x="888"/>
        <item x="823"/>
        <item x="872"/>
        <item x="875"/>
        <item x="892"/>
        <item x="887"/>
        <item x="873"/>
        <item x="885"/>
        <item x="911"/>
        <item x="941"/>
        <item x="919"/>
        <item x="942"/>
        <item x="946"/>
        <item x="951"/>
        <item x="1022"/>
        <item x="973"/>
        <item x="1099"/>
        <item x="1096"/>
        <item x="1100"/>
        <item x="1101"/>
        <item x="1097"/>
        <item x="1098"/>
        <item x="1158"/>
        <item x="1159"/>
        <item x="1276"/>
        <item x="1405"/>
        <item x="312"/>
        <item x="308"/>
        <item x="335"/>
        <item x="453"/>
        <item x="475"/>
        <item x="561"/>
        <item x="654"/>
        <item x="762"/>
        <item x="763"/>
        <item x="764"/>
        <item x="765"/>
        <item x="761"/>
        <item x="820"/>
        <item x="821"/>
        <item x="901"/>
        <item x="893"/>
        <item x="909"/>
        <item x="910"/>
        <item x="943"/>
        <item x="944"/>
        <item x="958"/>
        <item x="1023"/>
        <item x="975"/>
        <item x="1031"/>
        <item x="1157"/>
        <item x="1059"/>
        <item x="122"/>
        <item x="123"/>
        <item x="151"/>
        <item x="295"/>
        <item x="351"/>
        <item x="1044"/>
        <item x="1036"/>
        <item x="1037"/>
        <item x="1406"/>
        <item x="883"/>
        <item x="906"/>
        <item x="87"/>
        <item x="88"/>
        <item x="124"/>
        <item x="125"/>
        <item x="126"/>
        <item x="127"/>
        <item x="129"/>
        <item x="128"/>
        <item x="381"/>
        <item x="380"/>
        <item x="382"/>
        <item x="383"/>
        <item x="385"/>
        <item x="384"/>
        <item x="455"/>
        <item x="454"/>
        <item x="457"/>
        <item x="456"/>
        <item x="899"/>
        <item x="1140"/>
        <item x="1135"/>
        <item x="1291"/>
        <item x="1290"/>
        <item x="1279"/>
        <item x="1277"/>
        <item x="1352"/>
        <item x="1278"/>
        <item x="1188"/>
        <item x="1189"/>
        <item x="1361"/>
        <item x="1362"/>
        <item x="1353"/>
        <item x="1280"/>
        <item x="1364"/>
        <item x="1363"/>
        <item x="1366"/>
        <item x="1365"/>
        <item x="1391"/>
        <item x="1413"/>
        <item x="1438"/>
        <item x="597"/>
        <item x="595"/>
        <item x="594"/>
        <item x="596"/>
        <item x="643"/>
        <item x="645"/>
        <item x="644"/>
        <item x="677"/>
        <item x="676"/>
        <item x="696"/>
        <item x="714"/>
        <item x="720"/>
        <item x="804"/>
        <item x="719"/>
        <item x="755"/>
        <item x="754"/>
        <item x="752"/>
        <item x="756"/>
        <item x="797"/>
        <item x="801"/>
        <item x="894"/>
        <item x="929"/>
        <item x="930"/>
        <item x="927"/>
        <item x="928"/>
        <item x="935"/>
        <item x="936"/>
        <item x="937"/>
        <item x="924"/>
        <item x="974"/>
        <item x="1030"/>
        <item x="1029"/>
        <item x="1058"/>
        <item x="1094"/>
        <item x="1039"/>
        <item x="1103"/>
        <item x="1129"/>
        <item x="1142"/>
        <item x="1121"/>
        <item x="1117"/>
        <item x="1130"/>
        <item x="1132"/>
        <item x="1133"/>
        <item x="1191"/>
        <item x="1196"/>
        <item x="1261"/>
        <item x="1293"/>
        <item x="1262"/>
        <item x="1281"/>
        <item x="1263"/>
        <item x="1298"/>
        <item x="1295"/>
        <item x="1296"/>
        <item x="1297"/>
        <item x="1282"/>
        <item x="1313"/>
        <item x="1315"/>
        <item x="1305"/>
        <item x="1306"/>
        <item x="1307"/>
        <item x="1308"/>
        <item x="1337"/>
        <item x="1367"/>
        <item x="1370"/>
        <item x="1339"/>
        <item x="1368"/>
        <item x="1355"/>
        <item x="1338"/>
        <item x="1371"/>
        <item x="1379"/>
        <item x="1374"/>
        <item x="1376"/>
        <item x="1375"/>
        <item x="1335"/>
        <item x="1381"/>
        <item x="1316"/>
        <item x="1378"/>
        <item x="1377"/>
        <item x="1412"/>
        <item x="1411"/>
        <item x="1420"/>
        <item x="1419"/>
        <item x="1431"/>
        <item x="1433"/>
        <item x="564"/>
        <item x="619"/>
        <item x="86"/>
        <item x="239"/>
        <item x="267"/>
        <item x="268"/>
        <item x="337"/>
        <item x="338"/>
        <item x="336"/>
        <item x="436"/>
        <item x="669"/>
        <item x="779"/>
        <item x="768"/>
        <item x="769"/>
        <item x="774"/>
        <item x="775"/>
        <item x="776"/>
        <item x="777"/>
        <item x="778"/>
        <item x="450"/>
        <item x="1430"/>
        <item x="24"/>
        <item x="72"/>
        <item x="167"/>
        <item x="1005"/>
        <item x="1006"/>
        <item x="1002"/>
        <item x="1001"/>
        <item x="1032"/>
        <item x="108"/>
        <item x="1113"/>
        <item x="92"/>
        <item x="526"/>
        <item x="525"/>
        <item x="846"/>
        <item x="918"/>
        <item x="1124"/>
        <item x="1162"/>
        <item x="1161"/>
        <item x="1164"/>
        <item x="1163"/>
        <item x="1155"/>
        <item x="1128"/>
        <item x="58"/>
        <item x="94"/>
        <item x="135"/>
        <item x="137"/>
        <item x="134"/>
        <item x="412"/>
        <item x="497"/>
        <item x="508"/>
        <item x="541"/>
        <item x="573"/>
        <item x="570"/>
        <item x="571"/>
        <item x="965"/>
        <item x="962"/>
        <item x="996"/>
        <item x="966"/>
        <item x="964"/>
        <item x="969"/>
        <item x="963"/>
        <item x="967"/>
        <item x="970"/>
        <item x="997"/>
        <item x="968"/>
        <item x="971"/>
        <item x="1207"/>
        <item x="1223"/>
        <item x="1224"/>
        <item x="1289"/>
        <item x="735"/>
        <item x="789"/>
        <item x="795"/>
        <item x="793"/>
        <item x="838"/>
        <item x="839"/>
        <item x="794"/>
        <item x="1088"/>
        <item x="1090"/>
        <item x="1108"/>
        <item x="1221"/>
        <item x="66"/>
        <item x="67"/>
        <item x="101"/>
        <item x="133"/>
        <item x="102"/>
        <item x="103"/>
        <item x="104"/>
        <item x="141"/>
        <item x="142"/>
        <item x="173"/>
        <item x="182"/>
        <item x="172"/>
        <item x="176"/>
        <item x="177"/>
        <item x="178"/>
        <item x="179"/>
        <item x="1089"/>
        <item x="1179"/>
        <item x="1180"/>
        <item x="1183"/>
        <item x="1184"/>
        <item x="193"/>
        <item x="194"/>
        <item x="212"/>
        <item x="213"/>
        <item x="339"/>
        <item x="575"/>
        <item x="577"/>
        <item x="576"/>
        <item x="613"/>
        <item x="612"/>
        <item x="718"/>
        <item x="717"/>
        <item x="939"/>
        <item x="685"/>
        <item x="463"/>
        <item x="729"/>
        <item x="348"/>
        <item x="347"/>
        <item x="367"/>
        <item x="406"/>
        <item x="407"/>
        <item x="415"/>
        <item x="578"/>
        <item x="656"/>
        <item x="655"/>
        <item x="1345"/>
        <item x="1346"/>
        <item x="1348"/>
        <item x="9"/>
        <item x="32"/>
        <item x="35"/>
        <item x="36"/>
        <item x="112"/>
        <item x="448"/>
        <item x="449"/>
        <item x="531"/>
        <item x="532"/>
        <item x="6"/>
        <item x="162"/>
        <item x="400"/>
        <item x="375"/>
        <item x="370"/>
        <item x="369"/>
        <item x="438"/>
        <item x="684"/>
        <item x="379"/>
        <item x="297"/>
        <item x="638"/>
        <item x="520"/>
        <item x="673"/>
        <item x="674"/>
        <item x="410"/>
        <item x="1110"/>
        <item x="1111"/>
        <item x="1112"/>
        <item x="1076"/>
        <item x="1075"/>
        <item x="1077"/>
        <item x="847"/>
        <item x="848"/>
        <item x="856"/>
        <item x="857"/>
        <item x="854"/>
        <item x="855"/>
        <item x="1078"/>
        <item x="1071"/>
        <item x="1072"/>
        <item x="1073"/>
        <item x="1074"/>
        <item x="686"/>
        <item x="687"/>
        <item x="688"/>
        <item x="740"/>
        <item x="741"/>
        <item x="742"/>
        <item x="546"/>
        <item x="548"/>
        <item x="21"/>
        <item x="737"/>
        <item x="785"/>
        <item x="959"/>
        <item x="734"/>
        <item x="733"/>
        <item x="786"/>
        <item x="799"/>
        <item x="798"/>
        <item x="790"/>
        <item x="791"/>
        <item x="792"/>
        <item x="840"/>
        <item x="842"/>
        <item x="841"/>
        <item x="1033"/>
        <item x="1034"/>
        <item x="1035"/>
        <item x="1087"/>
        <item x="1086"/>
        <item x="1091"/>
        <item x="1092"/>
        <item x="1102"/>
        <item x="1107"/>
        <item x="1187"/>
        <item x="1186"/>
        <item x="1274"/>
        <item x="1301"/>
        <item x="1294"/>
        <item x="987"/>
        <item x="988"/>
        <item x="1013"/>
        <item x="896"/>
        <item x="989"/>
        <item x="1056"/>
        <item x="1007"/>
        <item x="1003"/>
        <item x="1053"/>
        <item x="1054"/>
        <item x="1055"/>
        <item x="1126"/>
        <item x="1127"/>
        <item x="1269"/>
        <item x="1268"/>
        <item x="70"/>
        <item x="60"/>
        <item x="189"/>
        <item x="197"/>
        <item x="257"/>
        <item x="271"/>
        <item x="272"/>
        <item x="214"/>
        <item x="215"/>
        <item x="216"/>
        <item x="217"/>
        <item x="163"/>
        <item x="164"/>
        <item x="241"/>
        <item x="304"/>
        <item x="326"/>
        <item x="960"/>
        <item x="1012"/>
        <item x="1011"/>
        <item x="1095"/>
        <item x="1123"/>
        <item x="1143"/>
        <item x="1167"/>
        <item x="1166"/>
        <item x="1168"/>
        <item x="1331"/>
        <item x="8"/>
        <item x="7"/>
        <item x="27"/>
        <item x="28"/>
        <item x="31"/>
        <item x="59"/>
        <item x="33"/>
        <item x="84"/>
        <item x="34"/>
        <item x="111"/>
        <item x="99"/>
        <item x="110"/>
        <item x="140"/>
        <item x="154"/>
        <item x="153"/>
        <item x="152"/>
        <item x="155"/>
        <item x="157"/>
        <item x="156"/>
        <item x="187"/>
        <item x="186"/>
        <item x="188"/>
        <item x="196"/>
        <item x="211"/>
        <item x="223"/>
        <item x="195"/>
        <item x="221"/>
        <item x="240"/>
        <item x="290"/>
        <item x="289"/>
        <item x="346"/>
        <item x="1116"/>
        <item x="1070"/>
        <item x="1065"/>
        <item x="582"/>
        <item x="590"/>
        <item x="586"/>
        <item x="871"/>
        <item x="866"/>
        <item x="1382"/>
        <item x="782"/>
        <item x="780"/>
        <item x="781"/>
        <item x="783"/>
        <item x="784"/>
        <item x="880"/>
        <item x="881"/>
        <item x="218"/>
        <item x="560"/>
        <item x="606"/>
        <item x="607"/>
        <item x="642"/>
        <item x="698"/>
        <item x="716"/>
        <item x="723"/>
        <item x="1138"/>
        <item x="473"/>
        <item x="574"/>
        <item x="244"/>
        <item x="345"/>
        <item x="442"/>
        <item x="437"/>
        <item x="1206"/>
        <item x="440"/>
        <item x="1402"/>
        <item x="1222"/>
        <item x="235"/>
        <item x="844"/>
        <item x="845"/>
        <item x="889"/>
        <item x="890"/>
        <item x="891"/>
        <item x="914"/>
        <item x="912"/>
        <item x="915"/>
        <item x="916"/>
        <item x="913"/>
        <item x="917"/>
        <item x="653"/>
        <item x="859"/>
        <item x="515"/>
        <item x="1384"/>
        <item x="1383"/>
        <item x="471"/>
        <item x="219"/>
        <item x="1015"/>
        <item x="1014"/>
        <item x="1144"/>
        <item x="745"/>
        <item x="746"/>
        <item x="743"/>
        <item x="744"/>
        <item x="83"/>
        <item x="79"/>
        <item x="81"/>
        <item x="280"/>
        <item x="498"/>
        <item x="474"/>
        <item x="536"/>
        <item x="860"/>
        <item x="861"/>
        <item x="25"/>
        <item x="26"/>
        <item x="73"/>
        <item x="190"/>
        <item x="91"/>
        <item x="175"/>
        <item x="174"/>
        <item x="198"/>
        <item x="65"/>
        <item x="64"/>
        <item x="43"/>
        <item x="109"/>
        <item x="130"/>
        <item x="283"/>
        <item x="284"/>
        <item x="10"/>
        <item x="1272"/>
        <item x="1304"/>
        <item x="1400"/>
        <item x="392"/>
        <item x="393"/>
        <item x="391"/>
        <item x="85"/>
        <item x="220"/>
        <item x="169"/>
        <item x="395"/>
        <item x="396"/>
        <item x="264"/>
        <item x="311"/>
        <item x="466"/>
        <item x="428"/>
        <item x="460"/>
        <item x="461"/>
        <item x="550"/>
        <item x="554"/>
        <item x="555"/>
        <item x="702"/>
        <item x="366"/>
        <item x="494"/>
        <item x="468"/>
        <item x="760"/>
        <item x="618"/>
        <item x="771"/>
        <item x="770"/>
        <item x="402"/>
        <item x="403"/>
        <item x="405"/>
        <item x="404"/>
        <item x="447"/>
        <item x="530"/>
        <item x="291"/>
        <item x="282"/>
        <item x="292"/>
        <item x="374"/>
        <item x="399"/>
        <item x="502"/>
        <item x="503"/>
        <item x="265"/>
        <item x="242"/>
        <item x="243"/>
        <item x="565"/>
        <item x="464"/>
        <item x="507"/>
        <item x="529"/>
        <item x="569"/>
        <item x="665"/>
        <item x="411"/>
        <item x="1114"/>
        <item x="1066"/>
        <item x="1063"/>
        <item x="579"/>
        <item x="587"/>
        <item x="583"/>
        <item x="867"/>
        <item x="862"/>
        <item x="671"/>
        <item x="705"/>
        <item x="682"/>
        <item x="1069"/>
        <item x="870"/>
        <item x="865"/>
        <item x="1219"/>
        <item x="1218"/>
        <item x="285"/>
        <item x="259"/>
        <item x="1299"/>
        <item x="1209"/>
        <item x="1317"/>
        <item x="1318"/>
        <item x="93"/>
        <item x="30"/>
        <item x="89"/>
        <item x="537"/>
        <item x="1418"/>
        <item x="276"/>
        <item x="277"/>
        <item x="278"/>
        <item x="279"/>
        <item x="208"/>
        <item x="205"/>
        <item x="210"/>
        <item x="206"/>
        <item x="203"/>
        <item x="209"/>
        <item x="207"/>
        <item x="204"/>
        <item x="715"/>
        <item x="884"/>
        <item x="1067"/>
        <item x="1303"/>
        <item x="580"/>
        <item x="588"/>
        <item x="584"/>
        <item x="868"/>
        <item x="863"/>
        <item x="1106"/>
        <item x="100"/>
        <item x="113"/>
        <item x="185"/>
        <item x="506"/>
        <item x="514"/>
        <item x="543"/>
        <item x="551"/>
        <item x="287"/>
        <item x="286"/>
        <item x="323"/>
        <item x="324"/>
        <item x="491"/>
        <item x="492"/>
        <item x="524"/>
        <item x="523"/>
        <item x="539"/>
        <item x="540"/>
        <item x="902"/>
        <item x="184"/>
        <item x="249"/>
        <item x="251"/>
        <item x="252"/>
        <item x="250"/>
        <item x="253"/>
        <item x="254"/>
        <item x="245"/>
        <item x="246"/>
        <item x="247"/>
        <item x="248"/>
        <item x="294"/>
        <item x="293"/>
        <item x="1330"/>
        <item x="691"/>
        <item x="572"/>
        <item x="639"/>
        <item x="640"/>
        <item x="690"/>
        <item x="905"/>
        <item x="1057"/>
        <item x="1192"/>
        <item x="1201"/>
        <item x="1257"/>
        <item x="1260"/>
        <item x="1292"/>
        <item x="1042"/>
        <item x="1041"/>
        <item x="1040"/>
        <item x="1208"/>
        <item x="1225"/>
        <item x="1349"/>
        <item x="62"/>
        <item x="63"/>
        <item x="69"/>
        <item x="68"/>
        <item x="95"/>
        <item x="97"/>
        <item x="96"/>
        <item x="136"/>
        <item x="37"/>
        <item x="38"/>
        <item x="138"/>
        <item x="269"/>
        <item x="270"/>
        <item x="306"/>
        <item x="307"/>
        <item x="360"/>
        <item x="359"/>
        <item x="361"/>
        <item x="430"/>
        <item x="510"/>
        <item x="509"/>
        <item x="511"/>
        <item x="431"/>
        <item x="432"/>
        <item x="542"/>
        <item x="877"/>
        <item x="907"/>
        <item x="948"/>
        <item x="954"/>
        <item x="955"/>
        <item x="878"/>
        <item x="882"/>
        <item x="947"/>
        <item x="956"/>
        <item x="952"/>
        <item x="953"/>
        <item x="972"/>
        <item x="879"/>
        <item x="1270"/>
        <item x="1271"/>
        <item x="115"/>
        <item x="117"/>
        <item x="114"/>
        <item x="116"/>
        <item x="90"/>
        <item x="301"/>
        <item x="302"/>
        <item x="303"/>
        <item x="452"/>
        <item x="82"/>
        <item x="78"/>
        <item x="80"/>
        <item x="340"/>
        <item x="341"/>
        <item x="443"/>
        <item x="521"/>
        <item x="522"/>
        <item x="222"/>
        <item x="224"/>
        <item x="225"/>
        <item x="313"/>
        <item x="309"/>
        <item x="472"/>
        <item x="625"/>
        <item x="626"/>
        <item x="628"/>
        <item x="627"/>
        <item x="738"/>
        <item x="739"/>
        <item x="895"/>
        <item x="897"/>
        <item x="898"/>
        <item x="39"/>
        <item x="40"/>
        <item x="77"/>
        <item x="74"/>
        <item x="76"/>
        <item x="75"/>
        <item x="191"/>
        <item x="504"/>
        <item x="505"/>
        <item x="886"/>
        <item x="925"/>
        <item x="1004"/>
        <item x="1008"/>
        <item x="636"/>
        <item x="568"/>
        <item x="664"/>
        <item x="757"/>
        <item x="758"/>
        <item x="759"/>
        <item x="772"/>
        <item x="773"/>
        <item x="732"/>
        <item x="637"/>
        <item x="730"/>
        <item x="749"/>
        <item x="750"/>
        <item x="766"/>
        <item x="767"/>
        <item x="1350"/>
        <item x="433"/>
        <item x="435"/>
        <item x="372"/>
        <item x="459"/>
        <item x="567"/>
        <item x="663"/>
        <item x="397"/>
        <item x="398"/>
        <item x="495"/>
        <item x="434"/>
        <item x="1329"/>
        <item x="1404"/>
        <item x="46"/>
        <item x="47"/>
        <item x="48"/>
        <item x="49"/>
        <item x="949"/>
        <item x="1287"/>
        <item x="1230"/>
        <item x="1231"/>
        <item x="1154"/>
        <item x="1232"/>
        <item x="822"/>
        <item x="834"/>
        <item x="1082"/>
        <item x="1081"/>
        <item x="1080"/>
        <item x="1079"/>
        <item x="1085"/>
        <item x="1084"/>
        <item x="1083"/>
        <item x="615"/>
        <item x="694"/>
        <item x="695"/>
        <item x="451"/>
        <item x="327"/>
        <item x="328"/>
        <item x="591"/>
        <item x="592"/>
        <item x="593"/>
        <item x="985"/>
        <item x="980"/>
        <item x="1025"/>
        <item x="984"/>
        <item x="1028"/>
        <item x="1026"/>
        <item x="1027"/>
        <item x="1024"/>
        <item x="981"/>
        <item x="982"/>
        <item x="983"/>
        <item x="1049"/>
        <item x="1050"/>
        <item x="1051"/>
        <item x="1052"/>
        <item x="998"/>
        <item x="999"/>
        <item x="1000"/>
        <item x="98"/>
        <item x="1396"/>
        <item x="874"/>
        <item x="940"/>
        <item x="945"/>
        <item x="1264"/>
        <item x="1300"/>
        <item x="1326"/>
        <item x="1327"/>
        <item x="181"/>
        <item x="1046"/>
        <item x="342"/>
        <item x="706"/>
        <item x="148"/>
        <item x="149"/>
        <item x="150"/>
        <item x="143"/>
        <item x="144"/>
        <item x="145"/>
        <item x="146"/>
        <item x="147"/>
        <item x="298"/>
        <item x="299"/>
        <item x="300"/>
        <item x="1214"/>
        <item x="1215"/>
        <item x="1216"/>
        <item x="1217"/>
        <item x="1210"/>
        <item x="1211"/>
        <item x="1213"/>
        <item x="1212"/>
        <item x="1266"/>
        <item x="1265"/>
        <item x="481"/>
        <item x="482"/>
        <item x="483"/>
        <item x="484"/>
        <item x="485"/>
        <item x="486"/>
        <item x="487"/>
        <item x="488"/>
        <item x="489"/>
        <item x="490"/>
        <item x="476"/>
        <item x="477"/>
        <item x="478"/>
        <item x="479"/>
        <item x="480"/>
        <item x="423"/>
        <item x="424"/>
        <item x="425"/>
        <item x="426"/>
        <item x="599"/>
        <item x="600"/>
        <item x="602"/>
        <item x="603"/>
        <item x="604"/>
        <item x="601"/>
        <item x="329"/>
        <item x="330"/>
        <item x="331"/>
        <item x="120"/>
        <item x="121"/>
        <item x="118"/>
        <item x="119"/>
        <item x="29"/>
        <item x="1302"/>
        <item x="1427"/>
      </items>
    </pivotField>
    <pivotField compact="0" outline="0" showAll="0"/>
    <pivotField compact="0" outline="0" showAll="0"/>
    <pivotField axis="axisRow" compact="0" outline="0" showAll="0" defaultSubtotal="0">
      <items count="403">
        <item x="95"/>
        <item x="220"/>
        <item x="394"/>
        <item x="353"/>
        <item x="354"/>
        <item x="298"/>
        <item x="360"/>
        <item x="355"/>
        <item x="390"/>
        <item x="389"/>
        <item x="356"/>
        <item x="57"/>
        <item x="361"/>
        <item x="280"/>
        <item x="373"/>
        <item x="372"/>
        <item x="374"/>
        <item x="253"/>
        <item x="246"/>
        <item x="76"/>
        <item x="369"/>
        <item x="386"/>
        <item x="319"/>
        <item x="143"/>
        <item x="214"/>
        <item x="286"/>
        <item x="38"/>
        <item x="149"/>
        <item x="108"/>
        <item x="114"/>
        <item x="159"/>
        <item x="63"/>
        <item x="243"/>
        <item x="5"/>
        <item x="126"/>
        <item x="29"/>
        <item x="99"/>
        <item x="339"/>
        <item x="282"/>
        <item x="393"/>
        <item x="256"/>
        <item x="35"/>
        <item x="22"/>
        <item x="32"/>
        <item x="21"/>
        <item x="344"/>
        <item x="51"/>
        <item x="20"/>
        <item x="252"/>
        <item x="270"/>
        <item x="74"/>
        <item x="110"/>
        <item x="48"/>
        <item x="59"/>
        <item x="39"/>
        <item x="388"/>
        <item x="136"/>
        <item x="93"/>
        <item x="162"/>
        <item x="129"/>
        <item x="366"/>
        <item x="103"/>
        <item x="399"/>
        <item x="124"/>
        <item x="335"/>
        <item x="113"/>
        <item x="381"/>
        <item x="237"/>
        <item x="191"/>
        <item x="183"/>
        <item x="155"/>
        <item x="294"/>
        <item x="11"/>
        <item x="235"/>
        <item x="251"/>
        <item x="50"/>
        <item x="325"/>
        <item x="310"/>
        <item x="312"/>
        <item x="255"/>
        <item x="41"/>
        <item x="181"/>
        <item x="27"/>
        <item x="385"/>
        <item x="141"/>
        <item x="194"/>
        <item x="140"/>
        <item x="384"/>
        <item x="43"/>
        <item x="138"/>
        <item x="211"/>
        <item x="349"/>
        <item x="173"/>
        <item x="215"/>
        <item x="101"/>
        <item x="331"/>
        <item x="18"/>
        <item x="150"/>
        <item x="368"/>
        <item x="153"/>
        <item x="326"/>
        <item x="119"/>
        <item x="120"/>
        <item x="257"/>
        <item x="231"/>
        <item x="80"/>
        <item x="171"/>
        <item x="218"/>
        <item x="401"/>
        <item x="158"/>
        <item x="343"/>
        <item x="350"/>
        <item x="329"/>
        <item x="70"/>
        <item x="223"/>
        <item x="73"/>
        <item x="367"/>
        <item x="102"/>
        <item x="264"/>
        <item x="92"/>
        <item x="387"/>
        <item x="376"/>
        <item x="192"/>
        <item x="42"/>
        <item x="375"/>
        <item x="402"/>
        <item x="327"/>
        <item x="10"/>
        <item x="190"/>
        <item x="203"/>
        <item x="163"/>
        <item x="359"/>
        <item x="33"/>
        <item x="45"/>
        <item x="296"/>
        <item x="342"/>
        <item x="19"/>
        <item x="131"/>
        <item x="166"/>
        <item x="236"/>
        <item x="216"/>
        <item x="25"/>
        <item x="383"/>
        <item x="196"/>
        <item x="85"/>
        <item x="168"/>
        <item x="152"/>
        <item x="198"/>
        <item x="204"/>
        <item x="217"/>
        <item x="122"/>
        <item x="151"/>
        <item x="234"/>
        <item x="135"/>
        <item x="78"/>
        <item x="121"/>
        <item x="178"/>
        <item x="28"/>
        <item x="308"/>
        <item x="302"/>
        <item x="391"/>
        <item x="318"/>
        <item x="249"/>
        <item x="364"/>
        <item x="365"/>
        <item x="182"/>
        <item x="2"/>
        <item x="160"/>
        <item x="195"/>
        <item x="61"/>
        <item x="64"/>
        <item x="268"/>
        <item x="1"/>
        <item x="180"/>
        <item x="139"/>
        <item x="225"/>
        <item x="134"/>
        <item x="193"/>
        <item x="222"/>
        <item x="69"/>
        <item x="118"/>
        <item x="87"/>
        <item x="275"/>
        <item x="157"/>
        <item x="186"/>
        <item x="9"/>
        <item x="202"/>
        <item x="36"/>
        <item x="279"/>
        <item x="263"/>
        <item x="115"/>
        <item x="24"/>
        <item x="267"/>
        <item x="77"/>
        <item x="177"/>
        <item x="292"/>
        <item x="172"/>
        <item x="6"/>
        <item x="188"/>
        <item x="247"/>
        <item x="219"/>
        <item x="232"/>
        <item x="321"/>
        <item x="98"/>
        <item x="81"/>
        <item x="301"/>
        <item x="340"/>
        <item x="273"/>
        <item x="289"/>
        <item x="175"/>
        <item x="137"/>
        <item x="245"/>
        <item x="290"/>
        <item x="276"/>
        <item x="104"/>
        <item x="330"/>
        <item x="207"/>
        <item x="94"/>
        <item x="224"/>
        <item x="278"/>
        <item x="96"/>
        <item x="53"/>
        <item x="71"/>
        <item x="130"/>
        <item x="266"/>
        <item x="65"/>
        <item x="58"/>
        <item x="189"/>
        <item x="67"/>
        <item x="347"/>
        <item x="123"/>
        <item x="142"/>
        <item x="221"/>
        <item x="392"/>
        <item x="352"/>
        <item x="303"/>
        <item x="54"/>
        <item x="56"/>
        <item x="336"/>
        <item x="179"/>
        <item x="174"/>
        <item x="363"/>
        <item x="287"/>
        <item x="322"/>
        <item x="338"/>
        <item x="132"/>
        <item x="127"/>
        <item x="358"/>
        <item x="259"/>
        <item x="295"/>
        <item x="210"/>
        <item x="90"/>
        <item x="299"/>
        <item x="239"/>
        <item x="370"/>
        <item x="379"/>
        <item x="346"/>
        <item x="226"/>
        <item x="8"/>
        <item x="238"/>
        <item x="397"/>
        <item x="144"/>
        <item x="341"/>
        <item x="206"/>
        <item x="128"/>
        <item x="398"/>
        <item x="333"/>
        <item x="109"/>
        <item x="228"/>
        <item x="395"/>
        <item x="313"/>
        <item x="285"/>
        <item x="84"/>
        <item x="316"/>
        <item x="337"/>
        <item x="309"/>
        <item x="167"/>
        <item x="371"/>
        <item x="348"/>
        <item x="66"/>
        <item x="306"/>
        <item x="233"/>
        <item x="82"/>
        <item x="49"/>
        <item x="377"/>
        <item x="68"/>
        <item x="315"/>
        <item x="165"/>
        <item x="250"/>
        <item x="185"/>
        <item x="307"/>
        <item x="261"/>
        <item x="269"/>
        <item x="271"/>
        <item x="116"/>
        <item x="281"/>
        <item x="357"/>
        <item x="248"/>
        <item x="400"/>
        <item x="209"/>
        <item x="16"/>
        <item x="75"/>
        <item x="230"/>
        <item x="254"/>
        <item x="100"/>
        <item x="272"/>
        <item x="334"/>
        <item x="283"/>
        <item x="62"/>
        <item x="117"/>
        <item x="154"/>
        <item x="105"/>
        <item x="52"/>
        <item x="26"/>
        <item x="148"/>
        <item x="242"/>
        <item x="164"/>
        <item x="46"/>
        <item x="176"/>
        <item x="133"/>
        <item x="0"/>
        <item x="314"/>
        <item x="7"/>
        <item x="258"/>
        <item x="227"/>
        <item x="288"/>
        <item x="304"/>
        <item x="265"/>
        <item x="323"/>
        <item x="332"/>
        <item x="23"/>
        <item x="55"/>
        <item x="324"/>
        <item x="351"/>
        <item x="317"/>
        <item x="72"/>
        <item x="107"/>
        <item x="244"/>
        <item x="200"/>
        <item x="241"/>
        <item x="291"/>
        <item x="297"/>
        <item x="328"/>
        <item x="240"/>
        <item x="260"/>
        <item x="229"/>
        <item x="293"/>
        <item x="111"/>
        <item x="112"/>
        <item x="212"/>
        <item x="83"/>
        <item x="362"/>
        <item x="170"/>
        <item x="199"/>
        <item x="201"/>
        <item x="197"/>
        <item x="213"/>
        <item x="320"/>
        <item x="37"/>
        <item x="156"/>
        <item x="205"/>
        <item x="184"/>
        <item x="79"/>
        <item x="44"/>
        <item x="97"/>
        <item x="34"/>
        <item x="13"/>
        <item x="31"/>
        <item x="3"/>
        <item x="88"/>
        <item x="14"/>
        <item x="40"/>
        <item x="12"/>
        <item x="277"/>
        <item x="274"/>
        <item x="382"/>
        <item x="187"/>
        <item x="396"/>
        <item x="300"/>
        <item x="17"/>
        <item x="60"/>
        <item x="169"/>
        <item x="91"/>
        <item x="147"/>
        <item x="86"/>
        <item x="4"/>
        <item x="47"/>
        <item x="345"/>
        <item x="145"/>
        <item x="284"/>
        <item x="305"/>
        <item x="106"/>
        <item x="380"/>
        <item x="30"/>
        <item x="378"/>
        <item x="146"/>
        <item x="89"/>
        <item x="161"/>
        <item x="208"/>
        <item x="125"/>
        <item x="311"/>
        <item x="262"/>
        <item x="15"/>
      </items>
    </pivotField>
    <pivotField axis="axisRow" compact="0" outline="0" showAll="0" defaultSubtotal="0">
      <items count="47">
        <item x="39"/>
        <item x="0"/>
        <item x="26"/>
        <item x="33"/>
        <item x="15"/>
        <item x="18"/>
        <item x="30"/>
        <item x="12"/>
        <item x="44"/>
        <item x="37"/>
        <item x="9"/>
        <item x="29"/>
        <item x="14"/>
        <item x="43"/>
        <item x="17"/>
        <item x="8"/>
        <item x="7"/>
        <item x="6"/>
        <item x="23"/>
        <item x="2"/>
        <item x="28"/>
        <item x="13"/>
        <item x="20"/>
        <item x="1"/>
        <item x="31"/>
        <item x="46"/>
        <item x="3"/>
        <item x="4"/>
        <item x="34"/>
        <item x="27"/>
        <item x="35"/>
        <item x="45"/>
        <item x="16"/>
        <item x="25"/>
        <item x="32"/>
        <item x="10"/>
        <item x="21"/>
        <item x="24"/>
        <item x="11"/>
        <item x="40"/>
        <item x="42"/>
        <item x="38"/>
        <item x="41"/>
        <item x="22"/>
        <item x="19"/>
        <item x="36"/>
        <item x="5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1">
        <item x="9"/>
        <item x="1"/>
        <item x="6"/>
        <item x="4"/>
        <item x="7"/>
        <item x="3"/>
        <item x="2"/>
        <item x="5"/>
        <item x="10"/>
        <item x="8"/>
        <item x="0"/>
      </items>
    </pivotField>
    <pivotField compact="0" outline="0" showAll="0"/>
    <pivotField compact="0" outline="0" showAll="0"/>
    <pivotField axis="axisRow" compact="0" outline="0" showAll="0" defaultSubtotal="0">
      <items count="139">
        <item x="45"/>
        <item x="35"/>
        <item x="82"/>
        <item x="43"/>
        <item x="56"/>
        <item x="69"/>
        <item x="36"/>
        <item x="95"/>
        <item x="90"/>
        <item x="18"/>
        <item x="40"/>
        <item x="73"/>
        <item x="25"/>
        <item x="20"/>
        <item x="26"/>
        <item x="70"/>
        <item x="41"/>
        <item x="44"/>
        <item x="11"/>
        <item x="9"/>
        <item x="33"/>
        <item x="47"/>
        <item x="68"/>
        <item x="84"/>
        <item x="3"/>
        <item x="4"/>
        <item x="5"/>
        <item x="6"/>
        <item x="7"/>
        <item x="14"/>
        <item x="83"/>
        <item x="72"/>
        <item x="39"/>
        <item x="74"/>
        <item x="85"/>
        <item x="88"/>
        <item x="16"/>
        <item x="89"/>
        <item x="76"/>
        <item x="27"/>
        <item x="30"/>
        <item x="104"/>
        <item x="119"/>
        <item x="91"/>
        <item x="92"/>
        <item x="29"/>
        <item x="120"/>
        <item x="121"/>
        <item x="97"/>
        <item x="78"/>
        <item x="80"/>
        <item x="63"/>
        <item x="102"/>
        <item x="101"/>
        <item x="99"/>
        <item x="100"/>
        <item x="126"/>
        <item x="135"/>
        <item x="96"/>
        <item x="137"/>
        <item x="15"/>
        <item x="98"/>
        <item x="136"/>
        <item x="19"/>
        <item x="28"/>
        <item x="75"/>
        <item x="105"/>
        <item x="107"/>
        <item x="49"/>
        <item x="54"/>
        <item x="55"/>
        <item x="8"/>
        <item x="51"/>
        <item x="87"/>
        <item x="24"/>
        <item x="34"/>
        <item x="10"/>
        <item x="86"/>
        <item x="52"/>
        <item x="59"/>
        <item x="94"/>
        <item x="77"/>
        <item x="60"/>
        <item x="66"/>
        <item x="13"/>
        <item x="31"/>
        <item x="37"/>
        <item x="38"/>
        <item x="17"/>
        <item x="61"/>
        <item x="67"/>
        <item x="93"/>
        <item x="103"/>
        <item x="62"/>
        <item x="79"/>
        <item x="106"/>
        <item x="108"/>
        <item x="81"/>
        <item x="118"/>
        <item x="58"/>
        <item x="138"/>
        <item x="23"/>
        <item x="32"/>
        <item x="46"/>
        <item x="64"/>
        <item x="48"/>
        <item x="50"/>
        <item x="65"/>
        <item x="21"/>
        <item x="22"/>
        <item x="2"/>
        <item x="57"/>
        <item x="71"/>
        <item x="42"/>
        <item x="1"/>
        <item x="110"/>
        <item x="111"/>
        <item x="109"/>
        <item x="12"/>
        <item x="53"/>
        <item x="112"/>
        <item x="113"/>
        <item x="114"/>
        <item x="115"/>
        <item x="116"/>
        <item x="117"/>
        <item x="128"/>
        <item x="129"/>
        <item x="122"/>
        <item x="130"/>
        <item x="123"/>
        <item x="132"/>
        <item x="124"/>
        <item x="131"/>
        <item x="125"/>
        <item x="133"/>
        <item x="127"/>
        <item x="0"/>
        <item x="134"/>
      </items>
    </pivotField>
    <pivotField compact="0" outline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compact="0" outline="0" showAll="0"/>
    <pivotField compact="0" outline="0" showAll="0"/>
    <pivotField axis="axisRow" compact="0" outline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compact="0" outline="0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9">
    <field x="41"/>
    <field x="3"/>
    <field x="6"/>
    <field x="44"/>
    <field x="8"/>
    <field x="29"/>
    <field x="15"/>
    <field x="14"/>
    <field x="26"/>
    <field x="30"/>
    <field x="67"/>
    <field x="71"/>
    <field x="64"/>
    <field x="48"/>
    <field x="56"/>
    <field x="53"/>
    <field x="57"/>
    <field x="50"/>
    <field x="52"/>
  </rowFields>
  <rowItems count="39">
    <i>
      <x v="828"/>
      <x v="6"/>
      <x v="410"/>
      <x v="895"/>
      <x v="1666"/>
      <x v="1057"/>
      <x/>
      <x v="68"/>
      <x v="234"/>
      <x v="9"/>
      <x v="131"/>
      <x/>
      <x/>
      <x v="5"/>
      <x v="45"/>
      <x v="91"/>
      <x v="8"/>
      <x v="1"/>
      <x v="3"/>
    </i>
    <i>
      <x v="829"/>
      <x v="6"/>
      <x v="406"/>
      <x v="896"/>
      <x v="1693"/>
      <x v="609"/>
      <x/>
      <x v="68"/>
      <x v="137"/>
      <x v="3"/>
      <x v="133"/>
      <x/>
      <x/>
      <x v="5"/>
      <x v="45"/>
      <x v="359"/>
      <x v="8"/>
      <x v="1"/>
      <x v="3"/>
    </i>
    <i>
      <x v="833"/>
      <x v="1"/>
      <x v="1498"/>
      <x v="902"/>
      <x v="1697"/>
      <x v="744"/>
      <x v="46"/>
      <x/>
      <x v="149"/>
      <x v="4"/>
      <x v="60"/>
      <x/>
      <x v="1"/>
      <x/>
      <x v="131"/>
      <x v="1010"/>
      <x v="27"/>
      <x v="2"/>
      <x v="3"/>
    </i>
    <i r="1">
      <x v="3"/>
      <x v="37"/>
      <x v="901"/>
      <x v="1559"/>
      <x v="1361"/>
      <x v="68"/>
      <x v="68"/>
      <x v="350"/>
      <x v="18"/>
      <x v="61"/>
      <x/>
      <x v="7"/>
      <x v="6"/>
      <x v="8"/>
      <x v="1026"/>
      <x v="27"/>
      <x v="2"/>
      <x v="3"/>
    </i>
    <i r="1">
      <x v="6"/>
      <x v="411"/>
      <x v="900"/>
      <x v="1694"/>
      <x v="331"/>
      <x/>
      <x v="68"/>
      <x v="104"/>
      <x/>
      <x v="135"/>
      <x/>
      <x/>
      <x v="5"/>
      <x v="45"/>
      <x v="92"/>
      <x v="8"/>
      <x v="1"/>
      <x v="3"/>
    </i>
    <i>
      <x v="834"/>
      <x v="2"/>
      <x v="586"/>
      <x v="905"/>
      <x v="1683"/>
      <x v="423"/>
      <x v="71"/>
      <x v="158"/>
      <x v="132"/>
      <x v="3"/>
      <x v="62"/>
      <x/>
      <x v="10"/>
      <x v="7"/>
      <x v="125"/>
      <x v="333"/>
      <x v="10"/>
      <x v="2"/>
      <x v="3"/>
    </i>
    <i>
      <x v="835"/>
      <x v="2"/>
      <x v="379"/>
      <x v="905"/>
      <x v="1603"/>
      <x v="1083"/>
      <x v="71"/>
      <x v="156"/>
      <x v="327"/>
      <x v="19"/>
      <x v="136"/>
      <x/>
      <x v="9"/>
      <x v="7"/>
      <x v="59"/>
      <x v="691"/>
      <x v="19"/>
      <x v="1"/>
      <x v="3"/>
    </i>
    <i r="2">
      <x v="412"/>
      <x v="902"/>
      <x v="1695"/>
      <x v="950"/>
      <x/>
      <x v="68"/>
      <x v="205"/>
      <x v="7"/>
      <x v="138"/>
      <x/>
      <x/>
      <x v="5"/>
      <x v="45"/>
      <x v="1439"/>
      <x v="8"/>
      <x v="1"/>
      <x v="3"/>
    </i>
    <i>
      <x v="836"/>
      <x v="2"/>
      <x v="554"/>
      <x v="905"/>
      <x v="1620"/>
      <x v="1656"/>
      <x v="11"/>
      <x v="7"/>
      <x v="39"/>
      <x/>
      <x v="137"/>
      <x/>
      <x v="10"/>
      <x v="11"/>
      <x v="54"/>
      <x v="715"/>
      <x v="19"/>
      <x/>
      <x v="9"/>
    </i>
    <i r="2">
      <x v="558"/>
      <x v="906"/>
      <x v="1620"/>
      <x v="1657"/>
      <x v="11"/>
      <x v="8"/>
      <x v="31"/>
      <x v="53"/>
      <x v="137"/>
      <x/>
      <x v="10"/>
      <x v="11"/>
      <x v="54"/>
      <x v="715"/>
      <x v="19"/>
      <x/>
      <x v="9"/>
    </i>
    <i r="2">
      <x v="562"/>
      <x v="907"/>
      <x v="1620"/>
      <x v="1658"/>
      <x v="11"/>
      <x v="9"/>
      <x v="51"/>
      <x v="53"/>
      <x v="137"/>
      <x/>
      <x v="10"/>
      <x v="11"/>
      <x v="54"/>
      <x v="715"/>
      <x v="19"/>
      <x/>
      <x v="9"/>
    </i>
    <i r="2">
      <x v="600"/>
      <x v="906"/>
      <x v="1682"/>
      <x v="1074"/>
      <x v="71"/>
      <x v="158"/>
      <x v="310"/>
      <x v="12"/>
      <x v="137"/>
      <x/>
      <x v="10"/>
      <x v="7"/>
      <x v="54"/>
      <x v="331"/>
      <x v="10"/>
      <x/>
      <x v="3"/>
    </i>
    <i r="2">
      <x v="603"/>
      <x v="907"/>
      <x v="1685"/>
      <x v="423"/>
      <x v="71"/>
      <x v="158"/>
      <x v="132"/>
      <x v="3"/>
      <x v="137"/>
      <x/>
      <x v="10"/>
      <x v="7"/>
      <x v="54"/>
      <x v="332"/>
      <x v="10"/>
      <x/>
      <x v="3"/>
    </i>
    <i>
      <x v="837"/>
      <x v="2"/>
      <x v="273"/>
      <x v="907"/>
      <x v="1584"/>
      <x v="1640"/>
      <x v="46"/>
      <x v="132"/>
      <x v="636"/>
      <x v="56"/>
      <x v="137"/>
      <x/>
      <x v="10"/>
      <x v="10"/>
      <x v="62"/>
      <x v="142"/>
      <x v="1"/>
      <x v="2"/>
      <x v="3"/>
    </i>
    <i r="2">
      <x v="516"/>
      <x v="905"/>
      <x v="1640"/>
      <x v="1284"/>
      <x v="46"/>
      <x v="23"/>
      <x v="363"/>
      <x v="56"/>
      <x v="137"/>
      <x/>
      <x v="10"/>
      <x v="20"/>
      <x v="62"/>
      <x v="4"/>
      <x v="1"/>
      <x v="2"/>
      <x v="3"/>
    </i>
    <i>
      <x v="838"/>
      <x v="2"/>
      <x v="290"/>
      <x v="909"/>
      <x v="1634"/>
      <x v="1383"/>
      <x v="71"/>
      <x v="148"/>
      <x v="444"/>
      <x v="27"/>
      <x v="137"/>
      <x/>
      <x v="10"/>
      <x v="3"/>
      <x v="100"/>
      <x v="609"/>
      <x v="19"/>
      <x v="2"/>
      <x v="3"/>
    </i>
    <i>
      <x v="840"/>
      <x v="2"/>
      <x v="477"/>
      <x v="911"/>
      <x v="1644"/>
      <x v="1561"/>
      <x v="59"/>
      <x v="119"/>
      <x v="552"/>
      <x v="56"/>
      <x v="137"/>
      <x/>
      <x v="10"/>
      <x v="6"/>
      <x v="120"/>
      <x v="231"/>
      <x v="1"/>
      <x/>
      <x v="9"/>
    </i>
    <i r="2">
      <x v="1770"/>
      <x v="911"/>
      <x v="1507"/>
      <x v="1562"/>
      <x v="14"/>
      <x v="34"/>
      <x v="503"/>
      <x v="56"/>
      <x v="137"/>
      <x/>
      <x v="10"/>
      <x v="6"/>
      <x v="120"/>
      <x v="1437"/>
      <x v="1"/>
      <x/>
      <x v="9"/>
    </i>
    <i>
      <x v="841"/>
      <x v="2"/>
      <x v="276"/>
      <x v="910"/>
      <x v="1704"/>
      <x v="1640"/>
      <x v="46"/>
      <x v="132"/>
      <x v="636"/>
      <x v="56"/>
      <x v="137"/>
      <x/>
      <x v="10"/>
      <x v="10"/>
      <x v="62"/>
      <x v="143"/>
      <x v="1"/>
      <x v="4"/>
      <x v="3"/>
    </i>
    <i r="2">
      <x v="520"/>
      <x v="908"/>
      <x v="1641"/>
      <x v="1579"/>
      <x v="46"/>
      <x v="23"/>
      <x v="525"/>
      <x v="56"/>
      <x v="137"/>
      <x/>
      <x v="10"/>
      <x v="20"/>
      <x v="62"/>
      <x v="5"/>
      <x v="1"/>
      <x v="4"/>
      <x v="3"/>
    </i>
    <i>
      <x v="842"/>
      <x v="2"/>
      <x v="277"/>
      <x v="913"/>
      <x v="1704"/>
      <x v="1645"/>
      <x v="46"/>
      <x v="132"/>
      <x v="655"/>
      <x v="56"/>
      <x v="137"/>
      <x/>
      <x v="10"/>
      <x v="10"/>
      <x v="62"/>
      <x v="144"/>
      <x v="1"/>
      <x/>
      <x v="9"/>
    </i>
    <i r="2">
      <x v="524"/>
      <x v="913"/>
      <x v="1642"/>
      <x v="1631"/>
      <x v="46"/>
      <x v="23"/>
      <x v="606"/>
      <x v="56"/>
      <x v="137"/>
      <x/>
      <x v="10"/>
      <x v="20"/>
      <x v="62"/>
      <x v="6"/>
      <x v="1"/>
      <x/>
      <x v="9"/>
    </i>
    <i>
      <x v="843"/>
      <x v="2"/>
      <x v="1752"/>
      <x v="915"/>
      <x v="1706"/>
      <x v="1029"/>
      <x v="4"/>
      <x v="1"/>
      <x v="244"/>
      <x v="10"/>
      <x v="137"/>
      <x/>
      <x v="10"/>
      <x v="14"/>
      <x v="66"/>
      <x v="347"/>
      <x v="10"/>
      <x/>
      <x v="9"/>
    </i>
    <i>
      <x v="844"/>
      <x v="2"/>
      <x v="97"/>
      <x v="916"/>
      <x v="1562"/>
      <x v="59"/>
      <x v="71"/>
      <x v="148"/>
      <x v="84"/>
      <x/>
      <x v="137"/>
      <x/>
      <x v="10"/>
      <x v="3"/>
      <x v="100"/>
      <x v="608"/>
      <x v="19"/>
      <x v="1"/>
      <x v="3"/>
    </i>
    <i r="2">
      <x v="278"/>
      <x v="915"/>
      <x v="1704"/>
      <x v="1603"/>
      <x v="46"/>
      <x v="132"/>
      <x v="552"/>
      <x v="56"/>
      <x v="137"/>
      <x/>
      <x v="10"/>
      <x v="10"/>
      <x v="62"/>
      <x v="145"/>
      <x v="1"/>
      <x v="1"/>
      <x v="3"/>
    </i>
    <i r="2">
      <x v="525"/>
      <x v="914"/>
      <x v="1643"/>
      <x v="1487"/>
      <x v="46"/>
      <x v="23"/>
      <x v="456"/>
      <x v="56"/>
      <x v="137"/>
      <x/>
      <x v="10"/>
      <x v="20"/>
      <x v="62"/>
      <x v="7"/>
      <x v="1"/>
      <x v="1"/>
      <x v="3"/>
    </i>
    <i>
      <x v="845"/>
      <x v="2"/>
      <x v="537"/>
      <x v="917"/>
      <x v="1617"/>
      <x v="173"/>
      <x v="35"/>
      <x v="111"/>
      <x v="111"/>
      <x v="3"/>
      <x v="137"/>
      <x/>
      <x v="10"/>
      <x v="1"/>
      <x v="402"/>
      <x v="1437"/>
      <x v="46"/>
      <x v="2"/>
      <x v="3"/>
    </i>
    <i>
      <x v="849"/>
      <x v="2"/>
      <x v="846"/>
      <x v="921"/>
      <x v="1704"/>
      <x v="775"/>
      <x v="71"/>
      <x v="148"/>
      <x v="191"/>
      <x v="7"/>
      <x v="137"/>
      <x/>
      <x v="10"/>
      <x v="3"/>
      <x v="43"/>
      <x v="610"/>
      <x v="19"/>
      <x/>
      <x v="14"/>
    </i>
    <i>
      <x v="853"/>
      <x v="2"/>
      <x v="255"/>
      <x v="924"/>
      <x v="1581"/>
      <x v="884"/>
      <x v="68"/>
      <x v="112"/>
      <x v="450"/>
      <x v="56"/>
      <x v="137"/>
      <x/>
      <x v="10"/>
      <x v="6"/>
      <x v="265"/>
      <x v="568"/>
      <x v="1"/>
      <x/>
      <x v="9"/>
    </i>
    <i>
      <x v="854"/>
      <x v="2"/>
      <x v="531"/>
      <x v="926"/>
      <x v="1616"/>
      <x v="846"/>
      <x v="54"/>
      <x v="84"/>
      <x v="117"/>
      <x v="3"/>
      <x v="137"/>
      <x/>
      <x v="10"/>
      <x v="12"/>
      <x v="50"/>
      <x v="98"/>
      <x v="25"/>
      <x/>
      <x v="9"/>
    </i>
    <i>
      <x v="855"/>
      <x v="2"/>
      <x v="241"/>
      <x v="925"/>
      <x v="1580"/>
      <x v="988"/>
      <x v="68"/>
      <x v="129"/>
      <x v="227"/>
      <x v="56"/>
      <x v="137"/>
      <x/>
      <x v="10"/>
      <x v="6"/>
      <x v="260"/>
      <x v="533"/>
      <x v="1"/>
      <x/>
      <x v="9"/>
    </i>
    <i>
      <x v="856"/>
      <x v="2"/>
      <x v="1753"/>
      <x v="927"/>
      <x v="1707"/>
      <x v="1099"/>
      <x v="4"/>
      <x v="1"/>
      <x v="268"/>
      <x v="11"/>
      <x v="137"/>
      <x/>
      <x v="10"/>
      <x v="14"/>
      <x v="76"/>
      <x v="348"/>
      <x v="10"/>
      <x/>
      <x v="9"/>
    </i>
    <i r="2">
      <x v="1754"/>
      <x v="927"/>
      <x v="1708"/>
      <x v="1099"/>
      <x v="4"/>
      <x v="1"/>
      <x v="268"/>
      <x v="11"/>
      <x v="137"/>
      <x/>
      <x v="10"/>
      <x v="14"/>
      <x v="76"/>
      <x v="349"/>
      <x v="10"/>
      <x/>
      <x v="9"/>
    </i>
    <i>
      <x v="860"/>
      <x v="2"/>
      <x v="129"/>
      <x v="929"/>
      <x v="1557"/>
      <x v="1048"/>
      <x v="17"/>
      <x v="67"/>
      <x v="456"/>
      <x v="56"/>
      <x v="137"/>
      <x/>
      <x v="10"/>
      <x v="6"/>
      <x v="39"/>
      <x v="1372"/>
      <x v="1"/>
      <x/>
      <x v="9"/>
    </i>
    <i>
      <x v="861"/>
      <x v="2"/>
      <x v="1755"/>
      <x v="930"/>
      <x v="1709"/>
      <x v="1462"/>
      <x v="4"/>
      <x v="1"/>
      <x v="422"/>
      <x v="26"/>
      <x v="137"/>
      <x/>
      <x v="10"/>
      <x v="14"/>
      <x v="91"/>
      <x v="350"/>
      <x v="10"/>
      <x/>
      <x v="9"/>
    </i>
    <i>
      <x v="863"/>
      <x v="2"/>
      <x v="1628"/>
      <x v="933"/>
      <x v="1429"/>
      <x v="1655"/>
      <x v="71"/>
      <x v="152"/>
      <x v="687"/>
      <x v="12"/>
      <x v="137"/>
      <x/>
      <x v="10"/>
      <x v="16"/>
      <x v="76"/>
      <x v="1438"/>
      <x v="19"/>
      <x v="1"/>
      <x v="3"/>
    </i>
    <i>
      <x v="864"/>
      <x v="2"/>
      <x v="226"/>
      <x v="922"/>
      <x v="1579"/>
      <x v="1303"/>
      <x v="68"/>
      <x v="119"/>
      <x v="436"/>
      <x v="56"/>
      <x v="137"/>
      <x/>
      <x v="10"/>
      <x v="6"/>
      <x v="377"/>
      <x v="1324"/>
      <x v="1"/>
      <x/>
      <x v="9"/>
    </i>
    <i>
      <x v="867"/>
      <x v="2"/>
      <x v="1763"/>
      <x v="936"/>
      <x v="1704"/>
      <x v="1555"/>
      <x v="46"/>
      <x/>
      <x v="405"/>
      <x v="24"/>
      <x v="137"/>
      <x/>
      <x v="10"/>
      <x v="6"/>
      <x v="21"/>
      <x v="1312"/>
      <x v="17"/>
      <x v="2"/>
      <x v="8"/>
    </i>
    <i t="grand">
      <x/>
    </i>
  </rowItems>
  <colItems count="1">
    <i/>
  </colItems>
  <pageFields count="2">
    <pageField fld="37" item="0" hier="-1"/>
    <pageField fld="2" item="1" hier="-1"/>
  </pageFields>
  <formats count="632">
    <format dxfId="1266">
      <pivotArea type="all" dataOnly="0" outline="0" fieldPosition="0"/>
    </format>
    <format dxfId="1265">
      <pivotArea outline="0" collapsedLevelsAreSubtotals="1" fieldPosition="0"/>
    </format>
    <format dxfId="1264">
      <pivotArea type="origin" dataOnly="0" labelOnly="1" outline="0" fieldPosition="0"/>
    </format>
    <format dxfId="1263">
      <pivotArea field="41" type="button" dataOnly="0" labelOnly="1" outline="0" axis="axisRow" fieldPosition="0"/>
    </format>
    <format dxfId="1262">
      <pivotArea field="3" type="button" dataOnly="0" labelOnly="1" outline="0" axis="axisRow" fieldPosition="1"/>
    </format>
    <format dxfId="1261">
      <pivotArea field="6" type="button" dataOnly="0" labelOnly="1" outline="0" axis="axisRow" fieldPosition="2"/>
    </format>
    <format dxfId="1260">
      <pivotArea field="8" type="button" dataOnly="0" labelOnly="1" outline="0" axis="axisRow" fieldPosition="4"/>
    </format>
    <format dxfId="1259">
      <pivotArea field="15" type="button" dataOnly="0" labelOnly="1" outline="0" axis="axisRow" fieldPosition="6"/>
    </format>
    <format dxfId="1258">
      <pivotArea field="14" type="button" dataOnly="0" labelOnly="1" outline="0" axis="axisRow" fieldPosition="7"/>
    </format>
    <format dxfId="1257">
      <pivotArea field="26" type="button" dataOnly="0" labelOnly="1" outline="0" axis="axisRow" fieldPosition="8"/>
    </format>
    <format dxfId="1256">
      <pivotArea dataOnly="0" labelOnly="1" outline="0" fieldPosition="0">
        <references count="1">
          <reference field="41" count="46">
            <x v="828"/>
            <x v="829"/>
            <x v="833"/>
            <x v="834"/>
            <x v="835"/>
            <x v="836"/>
            <x v="838"/>
            <x v="839"/>
            <x v="840"/>
            <x v="842"/>
            <x v="843"/>
            <x v="844"/>
            <x v="845"/>
            <x v="846"/>
            <x v="847"/>
            <x v="848"/>
            <x v="849"/>
            <x v="850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6"/>
            <x v="867"/>
            <x v="868"/>
            <x v="870"/>
            <x v="871"/>
            <x v="872"/>
            <x v="873"/>
            <x v="874"/>
            <x v="875"/>
            <x v="876"/>
            <x v="879"/>
            <x v="881"/>
            <x v="882"/>
            <x v="883"/>
            <x v="884"/>
          </reference>
        </references>
      </pivotArea>
    </format>
    <format dxfId="1255">
      <pivotArea dataOnly="0" labelOnly="1" outline="0" fieldPosition="0">
        <references count="1">
          <reference field="41" count="5">
            <x v="885"/>
            <x v="886"/>
            <x v="887"/>
            <x v="888"/>
            <x v="889"/>
          </reference>
        </references>
      </pivotArea>
    </format>
    <format dxfId="1254">
      <pivotArea dataOnly="0" labelOnly="1" grandRow="1" outline="0" fieldPosition="0"/>
    </format>
    <format dxfId="1253">
      <pivotArea dataOnly="0" labelOnly="1" outline="0" fieldPosition="0">
        <references count="2">
          <reference field="3" count="1">
            <x v="6"/>
          </reference>
          <reference field="41" count="1" selected="0">
            <x v="828"/>
          </reference>
        </references>
      </pivotArea>
    </format>
    <format dxfId="1252">
      <pivotArea dataOnly="0" labelOnly="1" outline="0" fieldPosition="0">
        <references count="2">
          <reference field="3" count="3">
            <x v="1"/>
            <x v="3"/>
            <x v="6"/>
          </reference>
          <reference field="41" count="1" selected="0">
            <x v="833"/>
          </reference>
        </references>
      </pivotArea>
    </format>
    <format dxfId="1251">
      <pivotArea dataOnly="0" labelOnly="1" outline="0" fieldPosition="0">
        <references count="2">
          <reference field="3" count="1">
            <x v="2"/>
          </reference>
          <reference field="41" count="1" selected="0">
            <x v="834"/>
          </reference>
        </references>
      </pivotArea>
    </format>
    <format dxfId="1250">
      <pivotArea dataOnly="0" labelOnly="1" outline="0" fieldPosition="0">
        <references count="2">
          <reference field="3" count="1">
            <x v="4"/>
          </reference>
          <reference field="41" count="1" selected="0">
            <x v="836"/>
          </reference>
        </references>
      </pivotArea>
    </format>
    <format dxfId="1249">
      <pivotArea dataOnly="0" labelOnly="1" outline="0" fieldPosition="0">
        <references count="2">
          <reference field="3" count="1">
            <x v="4"/>
          </reference>
          <reference field="41" count="1" selected="0">
            <x v="839"/>
          </reference>
        </references>
      </pivotArea>
    </format>
    <format dxfId="1248">
      <pivotArea dataOnly="0" labelOnly="1" outline="0" fieldPosition="0">
        <references count="2">
          <reference field="3" count="2">
            <x v="2"/>
            <x v="4"/>
          </reference>
          <reference field="41" count="1" selected="0">
            <x v="840"/>
          </reference>
        </references>
      </pivotArea>
    </format>
    <format dxfId="1247">
      <pivotArea dataOnly="0" labelOnly="1" outline="0" fieldPosition="0">
        <references count="2">
          <reference field="3" count="1">
            <x v="4"/>
          </reference>
          <reference field="41" count="1" selected="0">
            <x v="842"/>
          </reference>
        </references>
      </pivotArea>
    </format>
    <format dxfId="1246">
      <pivotArea dataOnly="0" labelOnly="1" outline="0" fieldPosition="0">
        <references count="2">
          <reference field="3" count="2">
            <x v="2"/>
            <x v="4"/>
          </reference>
          <reference field="41" count="1" selected="0">
            <x v="843"/>
          </reference>
        </references>
      </pivotArea>
    </format>
    <format dxfId="1245">
      <pivotArea dataOnly="0" labelOnly="1" outline="0" fieldPosition="0">
        <references count="2">
          <reference field="3" count="1">
            <x v="4"/>
          </reference>
          <reference field="41" count="1" selected="0">
            <x v="846"/>
          </reference>
        </references>
      </pivotArea>
    </format>
    <format dxfId="1244">
      <pivotArea dataOnly="0" labelOnly="1" outline="0" fieldPosition="0">
        <references count="2">
          <reference field="3" count="1">
            <x v="2"/>
          </reference>
          <reference field="41" count="1" selected="0">
            <x v="849"/>
          </reference>
        </references>
      </pivotArea>
    </format>
    <format dxfId="1243">
      <pivotArea dataOnly="0" labelOnly="1" outline="0" fieldPosition="0">
        <references count="2">
          <reference field="3" count="1">
            <x v="4"/>
          </reference>
          <reference field="41" count="1" selected="0">
            <x v="850"/>
          </reference>
        </references>
      </pivotArea>
    </format>
    <format dxfId="1242">
      <pivotArea dataOnly="0" labelOnly="1" outline="0" fieldPosition="0">
        <references count="2">
          <reference field="3" count="1">
            <x v="2"/>
          </reference>
          <reference field="41" count="1" selected="0">
            <x v="853"/>
          </reference>
        </references>
      </pivotArea>
    </format>
    <format dxfId="1241">
      <pivotArea dataOnly="0" labelOnly="1" outline="0" fieldPosition="0">
        <references count="2">
          <reference field="3" count="1">
            <x v="4"/>
          </reference>
          <reference field="41" count="1" selected="0">
            <x v="855"/>
          </reference>
        </references>
      </pivotArea>
    </format>
    <format dxfId="1240">
      <pivotArea dataOnly="0" labelOnly="1" outline="0" fieldPosition="0">
        <references count="2">
          <reference field="3" count="1">
            <x v="2"/>
          </reference>
          <reference field="41" count="1" selected="0">
            <x v="856"/>
          </reference>
        </references>
      </pivotArea>
    </format>
    <format dxfId="1239">
      <pivotArea dataOnly="0" labelOnly="1" outline="0" fieldPosition="0">
        <references count="2">
          <reference field="3" count="1">
            <x v="4"/>
          </reference>
          <reference field="41" count="1" selected="0">
            <x v="857"/>
          </reference>
        </references>
      </pivotArea>
    </format>
    <format dxfId="1238">
      <pivotArea dataOnly="0" labelOnly="1" outline="0" fieldPosition="0">
        <references count="2">
          <reference field="3" count="2">
            <x v="2"/>
            <x v="4"/>
          </reference>
          <reference field="41" count="1" selected="0">
            <x v="860"/>
          </reference>
        </references>
      </pivotArea>
    </format>
    <format dxfId="1237">
      <pivotArea dataOnly="0" labelOnly="1" outline="0" fieldPosition="0">
        <references count="2">
          <reference field="3" count="2">
            <x v="2"/>
            <x v="4"/>
          </reference>
          <reference field="41" count="1" selected="0">
            <x v="861"/>
          </reference>
        </references>
      </pivotArea>
    </format>
    <format dxfId="1236">
      <pivotArea dataOnly="0" labelOnly="1" outline="0" fieldPosition="0">
        <references count="2">
          <reference field="3" count="1">
            <x v="2"/>
          </reference>
          <reference field="41" count="1" selected="0">
            <x v="863"/>
          </reference>
        </references>
      </pivotArea>
    </format>
    <format dxfId="1235">
      <pivotArea dataOnly="0" labelOnly="1" outline="0" fieldPosition="0">
        <references count="2">
          <reference field="3" count="1">
            <x v="4"/>
          </reference>
          <reference field="41" count="1" selected="0">
            <x v="864"/>
          </reference>
        </references>
      </pivotArea>
    </format>
    <format dxfId="1234">
      <pivotArea dataOnly="0" labelOnly="1" outline="0" fieldPosition="0">
        <references count="2">
          <reference field="3" count="1">
            <x v="2"/>
          </reference>
          <reference field="41" count="1" selected="0">
            <x v="867"/>
          </reference>
        </references>
      </pivotArea>
    </format>
    <format dxfId="1233">
      <pivotArea dataOnly="0" labelOnly="1" outline="0" fieldPosition="0">
        <references count="2">
          <reference field="3" count="1">
            <x v="4"/>
          </reference>
          <reference field="41" count="1" selected="0">
            <x v="868"/>
          </reference>
        </references>
      </pivotArea>
    </format>
    <format dxfId="1232">
      <pivotArea dataOnly="0" labelOnly="1" outline="0" fieldPosition="0">
        <references count="3">
          <reference field="3" count="1" selected="0">
            <x v="6"/>
          </reference>
          <reference field="6" count="1">
            <x v="410"/>
          </reference>
          <reference field="41" count="1" selected="0">
            <x v="828"/>
          </reference>
        </references>
      </pivotArea>
    </format>
    <format dxfId="1231">
      <pivotArea dataOnly="0" labelOnly="1" outline="0" fieldPosition="0">
        <references count="3">
          <reference field="3" count="1" selected="0">
            <x v="6"/>
          </reference>
          <reference field="6" count="1">
            <x v="406"/>
          </reference>
          <reference field="41" count="1" selected="0">
            <x v="829"/>
          </reference>
        </references>
      </pivotArea>
    </format>
    <format dxfId="1230">
      <pivotArea dataOnly="0" labelOnly="1" outline="0" fieldPosition="0">
        <references count="3">
          <reference field="3" count="1" selected="0">
            <x v="1"/>
          </reference>
          <reference field="6" count="1">
            <x v="1498"/>
          </reference>
          <reference field="41" count="1" selected="0">
            <x v="833"/>
          </reference>
        </references>
      </pivotArea>
    </format>
    <format dxfId="1229">
      <pivotArea dataOnly="0" labelOnly="1" outline="0" fieldPosition="0">
        <references count="3">
          <reference field="3" count="1" selected="0">
            <x v="3"/>
          </reference>
          <reference field="6" count="1">
            <x v="37"/>
          </reference>
          <reference field="41" count="1" selected="0">
            <x v="833"/>
          </reference>
        </references>
      </pivotArea>
    </format>
    <format dxfId="1228">
      <pivotArea dataOnly="0" labelOnly="1" outline="0" fieldPosition="0">
        <references count="3">
          <reference field="3" count="1" selected="0">
            <x v="6"/>
          </reference>
          <reference field="6" count="1">
            <x v="411"/>
          </reference>
          <reference field="41" count="1" selected="0">
            <x v="833"/>
          </reference>
        </references>
      </pivotArea>
    </format>
    <format dxfId="1227">
      <pivotArea dataOnly="0" labelOnly="1" outline="0" fieldPosition="0">
        <references count="3">
          <reference field="3" count="1" selected="0">
            <x v="2"/>
          </reference>
          <reference field="6" count="3">
            <x v="379"/>
            <x v="412"/>
            <x v="586"/>
          </reference>
          <reference field="41" count="1" selected="0">
            <x v="834"/>
          </reference>
        </references>
      </pivotArea>
    </format>
    <format dxfId="1226">
      <pivotArea dataOnly="0" labelOnly="1" outline="0" fieldPosition="0">
        <references count="3">
          <reference field="3" count="1" selected="0">
            <x v="2"/>
          </reference>
          <reference field="6" count="3">
            <x v="554"/>
            <x v="558"/>
            <x v="562"/>
          </reference>
          <reference field="41" count="1" selected="0">
            <x v="835"/>
          </reference>
        </references>
      </pivotArea>
    </format>
    <format dxfId="1225">
      <pivotArea dataOnly="0" labelOnly="1" outline="0" fieldPosition="0">
        <references count="3">
          <reference field="3" count="1" selected="0">
            <x v="2"/>
          </reference>
          <reference field="6" count="2">
            <x v="600"/>
            <x v="603"/>
          </reference>
          <reference field="41" count="1" selected="0">
            <x v="836"/>
          </reference>
        </references>
      </pivotArea>
    </format>
    <format dxfId="1224">
      <pivotArea dataOnly="0" labelOnly="1" outline="0" fieldPosition="0">
        <references count="3">
          <reference field="3" count="1" selected="0">
            <x v="2"/>
          </reference>
          <reference field="6" count="1">
            <x v="290"/>
          </reference>
          <reference field="41" count="1" selected="0">
            <x v="838"/>
          </reference>
        </references>
      </pivotArea>
    </format>
    <format dxfId="1223">
      <pivotArea dataOnly="0" labelOnly="1" outline="0" fieldPosition="0">
        <references count="3">
          <reference field="3" count="1" selected="0">
            <x v="4"/>
          </reference>
          <reference field="6" count="1">
            <x v="414"/>
          </reference>
          <reference field="41" count="1" selected="0">
            <x v="839"/>
          </reference>
        </references>
      </pivotArea>
    </format>
    <format dxfId="1222">
      <pivotArea dataOnly="0" labelOnly="1" outline="0" fieldPosition="0">
        <references count="3">
          <reference field="3" count="1" selected="0">
            <x v="2"/>
          </reference>
          <reference field="6" count="4">
            <x v="276"/>
            <x v="477"/>
            <x v="520"/>
            <x v="1770"/>
          </reference>
          <reference field="41" count="1" selected="0">
            <x v="840"/>
          </reference>
        </references>
      </pivotArea>
    </format>
    <format dxfId="1221">
      <pivotArea dataOnly="0" labelOnly="1" outline="0" fieldPosition="0">
        <references count="3">
          <reference field="3" count="1" selected="0">
            <x v="4"/>
          </reference>
          <reference field="6" count="1">
            <x v="415"/>
          </reference>
          <reference field="41" count="1" selected="0">
            <x v="840"/>
          </reference>
        </references>
      </pivotArea>
    </format>
    <format dxfId="1220">
      <pivotArea dataOnly="0" labelOnly="1" outline="0" fieldPosition="0">
        <references count="3">
          <reference field="3" count="1" selected="0">
            <x v="4"/>
          </reference>
          <reference field="6" count="3">
            <x v="416"/>
            <x v="749"/>
            <x v="750"/>
          </reference>
          <reference field="41" count="1" selected="0">
            <x v="842"/>
          </reference>
        </references>
      </pivotArea>
    </format>
    <format dxfId="1219">
      <pivotArea dataOnly="0" labelOnly="1" outline="0" fieldPosition="0">
        <references count="3">
          <reference field="3" count="1" selected="0">
            <x v="2"/>
          </reference>
          <reference field="6" count="1">
            <x v="1752"/>
          </reference>
          <reference field="41" count="1" selected="0">
            <x v="843"/>
          </reference>
        </references>
      </pivotArea>
    </format>
    <format dxfId="1218">
      <pivotArea dataOnly="0" labelOnly="1" outline="0" fieldPosition="0">
        <references count="3">
          <reference field="3" count="1" selected="0">
            <x v="4"/>
          </reference>
          <reference field="6" count="1">
            <x v="417"/>
          </reference>
          <reference field="41" count="1" selected="0">
            <x v="843"/>
          </reference>
        </references>
      </pivotArea>
    </format>
    <format dxfId="1217">
      <pivotArea dataOnly="0" labelOnly="1" outline="0" fieldPosition="0">
        <references count="3">
          <reference field="3" count="1" selected="0">
            <x v="2"/>
          </reference>
          <reference field="6" count="1">
            <x v="97"/>
          </reference>
          <reference field="41" count="1" selected="0">
            <x v="844"/>
          </reference>
        </references>
      </pivotArea>
    </format>
    <format dxfId="1216">
      <pivotArea dataOnly="0" labelOnly="1" outline="0" fieldPosition="0">
        <references count="3">
          <reference field="3" count="1" selected="0">
            <x v="2"/>
          </reference>
          <reference field="6" count="1">
            <x v="537"/>
          </reference>
          <reference field="41" count="1" selected="0">
            <x v="845"/>
          </reference>
        </references>
      </pivotArea>
    </format>
    <format dxfId="1215">
      <pivotArea dataOnly="0" labelOnly="1" outline="0" fieldPosition="0">
        <references count="3">
          <reference field="3" count="1" selected="0">
            <x v="4"/>
          </reference>
          <reference field="6" count="2">
            <x v="842"/>
            <x v="978"/>
          </reference>
          <reference field="41" count="1" selected="0">
            <x v="846"/>
          </reference>
        </references>
      </pivotArea>
    </format>
    <format dxfId="1214">
      <pivotArea dataOnly="0" labelOnly="1" outline="0" fieldPosition="0">
        <references count="3">
          <reference field="3" count="1" selected="0">
            <x v="4"/>
          </reference>
          <reference field="6" count="2">
            <x v="418"/>
            <x v="804"/>
          </reference>
          <reference field="41" count="1" selected="0">
            <x v="847"/>
          </reference>
        </references>
      </pivotArea>
    </format>
    <format dxfId="1213">
      <pivotArea dataOnly="0" labelOnly="1" outline="0" fieldPosition="0">
        <references count="3">
          <reference field="3" count="1" selected="0">
            <x v="4"/>
          </reference>
          <reference field="6" count="1">
            <x v="419"/>
          </reference>
          <reference field="41" count="1" selected="0">
            <x v="848"/>
          </reference>
        </references>
      </pivotArea>
    </format>
    <format dxfId="1212">
      <pivotArea dataOnly="0" labelOnly="1" outline="0" fieldPosition="0">
        <references count="3">
          <reference field="3" count="1" selected="0">
            <x v="2"/>
          </reference>
          <reference field="6" count="1">
            <x v="846"/>
          </reference>
          <reference field="41" count="1" selected="0">
            <x v="849"/>
          </reference>
        </references>
      </pivotArea>
    </format>
    <format dxfId="1211">
      <pivotArea dataOnly="0" labelOnly="1" outline="0" fieldPosition="0">
        <references count="3">
          <reference field="3" count="1" selected="0">
            <x v="4"/>
          </reference>
          <reference field="6" count="3">
            <x v="420"/>
            <x v="606"/>
            <x v="990"/>
          </reference>
          <reference field="41" count="1" selected="0">
            <x v="850"/>
          </reference>
        </references>
      </pivotArea>
    </format>
    <format dxfId="1210">
      <pivotArea dataOnly="0" labelOnly="1" outline="0" fieldPosition="0">
        <references count="3">
          <reference field="3" count="1" selected="0">
            <x v="4"/>
          </reference>
          <reference field="6" count="2">
            <x v="421"/>
            <x v="830"/>
          </reference>
          <reference field="41" count="1" selected="0">
            <x v="852"/>
          </reference>
        </references>
      </pivotArea>
    </format>
    <format dxfId="1209">
      <pivotArea dataOnly="0" labelOnly="1" outline="0" fieldPosition="0">
        <references count="3">
          <reference field="3" count="1" selected="0">
            <x v="2"/>
          </reference>
          <reference field="6" count="1">
            <x v="255"/>
          </reference>
          <reference field="41" count="1" selected="0">
            <x v="853"/>
          </reference>
        </references>
      </pivotArea>
    </format>
    <format dxfId="1208">
      <pivotArea dataOnly="0" labelOnly="1" outline="0" fieldPosition="0">
        <references count="3">
          <reference field="3" count="1" selected="0">
            <x v="2"/>
          </reference>
          <reference field="6" count="1">
            <x v="531"/>
          </reference>
          <reference field="41" count="1" selected="0">
            <x v="854"/>
          </reference>
        </references>
      </pivotArea>
    </format>
    <format dxfId="1207">
      <pivotArea dataOnly="0" labelOnly="1" outline="0" fieldPosition="0">
        <references count="3">
          <reference field="3" count="1" selected="0">
            <x v="2"/>
          </reference>
          <reference field="6" count="1">
            <x v="241"/>
          </reference>
          <reference field="41" count="1" selected="0">
            <x v="855"/>
          </reference>
        </references>
      </pivotArea>
    </format>
    <format dxfId="1206">
      <pivotArea dataOnly="0" labelOnly="1" outline="0" fieldPosition="0">
        <references count="3">
          <reference field="3" count="1" selected="0">
            <x v="4"/>
          </reference>
          <reference field="6" count="1">
            <x v="422"/>
          </reference>
          <reference field="41" count="1" selected="0">
            <x v="855"/>
          </reference>
        </references>
      </pivotArea>
    </format>
    <format dxfId="1205">
      <pivotArea dataOnly="0" labelOnly="1" outline="0" fieldPosition="0">
        <references count="3">
          <reference field="3" count="1" selected="0">
            <x v="2"/>
          </reference>
          <reference field="6" count="2">
            <x v="1753"/>
            <x v="1754"/>
          </reference>
          <reference field="41" count="1" selected="0">
            <x v="856"/>
          </reference>
        </references>
      </pivotArea>
    </format>
    <format dxfId="1204">
      <pivotArea dataOnly="0" labelOnly="1" outline="0" fieldPosition="0">
        <references count="3">
          <reference field="3" count="1" selected="0">
            <x v="4"/>
          </reference>
          <reference field="6" count="1">
            <x v="629"/>
          </reference>
          <reference field="41" count="1" selected="0">
            <x v="857"/>
          </reference>
        </references>
      </pivotArea>
    </format>
    <format dxfId="1203">
      <pivotArea dataOnly="0" labelOnly="1" outline="0" fieldPosition="0">
        <references count="3">
          <reference field="3" count="1" selected="0">
            <x v="4"/>
          </reference>
          <reference field="6" count="1">
            <x v="166"/>
          </reference>
          <reference field="41" count="1" selected="0">
            <x v="858"/>
          </reference>
        </references>
      </pivotArea>
    </format>
    <format dxfId="1202">
      <pivotArea dataOnly="0" labelOnly="1" outline="0" fieldPosition="0">
        <references count="3">
          <reference field="3" count="1" selected="0">
            <x v="4"/>
          </reference>
          <reference field="6" count="2">
            <x v="682"/>
            <x v="715"/>
          </reference>
          <reference field="41" count="1" selected="0">
            <x v="859"/>
          </reference>
        </references>
      </pivotArea>
    </format>
    <format dxfId="1201">
      <pivotArea dataOnly="0" labelOnly="1" outline="0" fieldPosition="0">
        <references count="3">
          <reference field="3" count="1" selected="0">
            <x v="2"/>
          </reference>
          <reference field="6" count="1">
            <x v="129"/>
          </reference>
          <reference field="41" count="1" selected="0">
            <x v="860"/>
          </reference>
        </references>
      </pivotArea>
    </format>
    <format dxfId="1200">
      <pivotArea dataOnly="0" labelOnly="1" outline="0" fieldPosition="0">
        <references count="3">
          <reference field="3" count="1" selected="0">
            <x v="4"/>
          </reference>
          <reference field="6" count="1">
            <x v="792"/>
          </reference>
          <reference field="41" count="1" selected="0">
            <x v="860"/>
          </reference>
        </references>
      </pivotArea>
    </format>
    <format dxfId="1199">
      <pivotArea dataOnly="0" labelOnly="1" outline="0" fieldPosition="0">
        <references count="3">
          <reference field="3" count="1" selected="0">
            <x v="2"/>
          </reference>
          <reference field="6" count="1">
            <x v="1755"/>
          </reference>
          <reference field="41" count="1" selected="0">
            <x v="861"/>
          </reference>
        </references>
      </pivotArea>
    </format>
    <format dxfId="1198">
      <pivotArea dataOnly="0" labelOnly="1" outline="0" fieldPosition="0">
        <references count="3">
          <reference field="3" count="1" selected="0">
            <x v="4"/>
          </reference>
          <reference field="6" count="1">
            <x v="756"/>
          </reference>
          <reference field="41" count="1" selected="0">
            <x v="861"/>
          </reference>
        </references>
      </pivotArea>
    </format>
    <format dxfId="1197">
      <pivotArea dataOnly="0" labelOnly="1" outline="0" fieldPosition="0">
        <references count="3">
          <reference field="3" count="1" selected="0">
            <x v="4"/>
          </reference>
          <reference field="6" count="2">
            <x v="686"/>
            <x v="720"/>
          </reference>
          <reference field="41" count="1" selected="0">
            <x v="862"/>
          </reference>
        </references>
      </pivotArea>
    </format>
    <format dxfId="1196">
      <pivotArea dataOnly="0" labelOnly="1" outline="0" fieldPosition="0">
        <references count="3">
          <reference field="3" count="1" selected="0">
            <x v="2"/>
          </reference>
          <reference field="6" count="1">
            <x v="1628"/>
          </reference>
          <reference field="41" count="1" selected="0">
            <x v="863"/>
          </reference>
        </references>
      </pivotArea>
    </format>
    <format dxfId="1195">
      <pivotArea dataOnly="0" labelOnly="1" outline="0" fieldPosition="0">
        <references count="3">
          <reference field="3" count="1" selected="0">
            <x v="4"/>
          </reference>
          <reference field="6" count="3">
            <x v="662"/>
            <x v="689"/>
            <x v="725"/>
          </reference>
          <reference field="41" count="1" selected="0">
            <x v="864"/>
          </reference>
        </references>
      </pivotArea>
    </format>
    <format dxfId="1194">
      <pivotArea dataOnly="0" labelOnly="1" outline="0" fieldPosition="0">
        <references count="3">
          <reference field="3" count="1" selected="0">
            <x v="4"/>
          </reference>
          <reference field="6" count="1">
            <x v="1772"/>
          </reference>
          <reference field="41" count="1" selected="0">
            <x v="866"/>
          </reference>
        </references>
      </pivotArea>
    </format>
    <format dxfId="1193">
      <pivotArea dataOnly="0" labelOnly="1" outline="0" fieldPosition="0">
        <references count="3">
          <reference field="3" count="1" selected="0">
            <x v="2"/>
          </reference>
          <reference field="6" count="1">
            <x v="1763"/>
          </reference>
          <reference field="41" count="1" selected="0">
            <x v="867"/>
          </reference>
        </references>
      </pivotArea>
    </format>
    <format dxfId="1192">
      <pivotArea dataOnly="0" labelOnly="1" outline="0" fieldPosition="0">
        <references count="3">
          <reference field="3" count="1" selected="0">
            <x v="4"/>
          </reference>
          <reference field="6" count="3">
            <x v="673"/>
            <x v="692"/>
            <x v="727"/>
          </reference>
          <reference field="41" count="1" selected="0">
            <x v="868"/>
          </reference>
        </references>
      </pivotArea>
    </format>
    <format dxfId="1191">
      <pivotArea dataOnly="0" labelOnly="1" outline="0" fieldPosition="0">
        <references count="3">
          <reference field="3" count="1" selected="0">
            <x v="4"/>
          </reference>
          <reference field="6" count="4">
            <x v="766"/>
            <x v="794"/>
            <x v="898"/>
            <x v="948"/>
          </reference>
          <reference field="41" count="1" selected="0">
            <x v="870"/>
          </reference>
        </references>
      </pivotArea>
    </format>
    <format dxfId="1190">
      <pivotArea dataOnly="0" labelOnly="1" outline="0" fieldPosition="0">
        <references count="3">
          <reference field="3" count="1" selected="0">
            <x v="4"/>
          </reference>
          <reference field="6" count="3">
            <x v="1729"/>
            <x v="1732"/>
            <x v="1734"/>
          </reference>
          <reference field="41" count="1" selected="0">
            <x v="871"/>
          </reference>
        </references>
      </pivotArea>
    </format>
    <format dxfId="1189">
      <pivotArea dataOnly="0" labelOnly="1" outline="0" fieldPosition="0">
        <references count="3">
          <reference field="3" count="1" selected="0">
            <x v="4"/>
          </reference>
          <reference field="6" count="4">
            <x v="343"/>
            <x v="356"/>
            <x v="770"/>
            <x v="950"/>
          </reference>
          <reference field="41" count="1" selected="0">
            <x v="872"/>
          </reference>
        </references>
      </pivotArea>
    </format>
    <format dxfId="1188">
      <pivotArea dataOnly="0" labelOnly="1" outline="0" fieldPosition="0">
        <references count="3">
          <reference field="3" count="1" selected="0">
            <x v="4"/>
          </reference>
          <reference field="6" count="1">
            <x v="533"/>
          </reference>
          <reference field="41" count="1" selected="0">
            <x v="873"/>
          </reference>
        </references>
      </pivotArea>
    </format>
    <format dxfId="1187">
      <pivotArea dataOnly="0" labelOnly="1" outline="0" fieldPosition="0">
        <references count="3">
          <reference field="3" count="1" selected="0">
            <x v="4"/>
          </reference>
          <reference field="6" count="2">
            <x v="424"/>
            <x v="821"/>
          </reference>
          <reference field="41" count="1" selected="0">
            <x v="874"/>
          </reference>
        </references>
      </pivotArea>
    </format>
    <format dxfId="1186">
      <pivotArea dataOnly="0" labelOnly="1" outline="0" fieldPosition="0">
        <references count="3">
          <reference field="3" count="1" selected="0">
            <x v="4"/>
          </reference>
          <reference field="6" count="3">
            <x v="773"/>
            <x v="901"/>
            <x v="951"/>
          </reference>
          <reference field="41" count="1" selected="0">
            <x v="875"/>
          </reference>
        </references>
      </pivotArea>
    </format>
    <format dxfId="1185">
      <pivotArea dataOnly="0" labelOnly="1" outline="0" fieldPosition="0">
        <references count="3">
          <reference field="3" count="1" selected="0">
            <x v="4"/>
          </reference>
          <reference field="6" count="5">
            <x v="443"/>
            <x v="452"/>
            <x v="482"/>
            <x v="484"/>
            <x v="781"/>
          </reference>
          <reference field="41" count="1" selected="0">
            <x v="876"/>
          </reference>
        </references>
      </pivotArea>
    </format>
    <format dxfId="1184">
      <pivotArea dataOnly="0" labelOnly="1" outline="0" fieldPosition="0">
        <references count="3">
          <reference field="3" count="1" selected="0">
            <x v="4"/>
          </reference>
          <reference field="6" count="1">
            <x v="938"/>
          </reference>
          <reference field="41" count="1" selected="0">
            <x v="879"/>
          </reference>
        </references>
      </pivotArea>
    </format>
    <format dxfId="1183">
      <pivotArea dataOnly="0" labelOnly="1" outline="0" fieldPosition="0">
        <references count="3">
          <reference field="3" count="1" selected="0">
            <x v="4"/>
          </reference>
          <reference field="6" count="2">
            <x v="1774"/>
            <x v="1782"/>
          </reference>
          <reference field="41" count="1" selected="0">
            <x v="881"/>
          </reference>
        </references>
      </pivotArea>
    </format>
    <format dxfId="1182">
      <pivotArea dataOnly="0" labelOnly="1" outline="0" fieldPosition="0">
        <references count="3">
          <reference field="3" count="1" selected="0">
            <x v="4"/>
          </reference>
          <reference field="6" count="1">
            <x v="858"/>
          </reference>
          <reference field="41" count="1" selected="0">
            <x v="882"/>
          </reference>
        </references>
      </pivotArea>
    </format>
    <format dxfId="1181">
      <pivotArea dataOnly="0" labelOnly="1" outline="0" fieldPosition="0">
        <references count="3">
          <reference field="3" count="1" selected="0">
            <x v="4"/>
          </reference>
          <reference field="6" count="6">
            <x v="498"/>
            <x v="501"/>
            <x v="504"/>
            <x v="654"/>
            <x v="966"/>
            <x v="969"/>
          </reference>
          <reference field="41" count="1" selected="0">
            <x v="883"/>
          </reference>
        </references>
      </pivotArea>
    </format>
    <format dxfId="1180">
      <pivotArea dataOnly="0" labelOnly="1" outline="0" fieldPosition="0">
        <references count="3">
          <reference field="3" count="1" selected="0">
            <x v="4"/>
          </reference>
          <reference field="6" count="1">
            <x v="882"/>
          </reference>
          <reference field="41" count="1" selected="0">
            <x v="884"/>
          </reference>
        </references>
      </pivotArea>
    </format>
    <format dxfId="1179">
      <pivotArea dataOnly="0" labelOnly="1" outline="0" fieldPosition="0">
        <references count="3">
          <reference field="3" count="1" selected="0">
            <x v="4"/>
          </reference>
          <reference field="6" count="3">
            <x v="1642"/>
            <x v="1643"/>
            <x v="1783"/>
          </reference>
          <reference field="41" count="1" selected="0">
            <x v="885"/>
          </reference>
        </references>
      </pivotArea>
    </format>
    <format dxfId="1178">
      <pivotArea dataOnly="0" labelOnly="1" outline="0" fieldPosition="0">
        <references count="3">
          <reference field="3" count="1" selected="0">
            <x v="4"/>
          </reference>
          <reference field="6" count="1">
            <x v="854"/>
          </reference>
          <reference field="41" count="1" selected="0">
            <x v="886"/>
          </reference>
        </references>
      </pivotArea>
    </format>
    <format dxfId="1177">
      <pivotArea dataOnly="0" labelOnly="1" outline="0" fieldPosition="0">
        <references count="3">
          <reference field="3" count="1" selected="0">
            <x v="4"/>
          </reference>
          <reference field="6" count="1">
            <x v="872"/>
          </reference>
          <reference field="41" count="1" selected="0">
            <x v="887"/>
          </reference>
        </references>
      </pivotArea>
    </format>
    <format dxfId="1176">
      <pivotArea dataOnly="0" labelOnly="1" outline="0" fieldPosition="0">
        <references count="3">
          <reference field="3" count="1" selected="0">
            <x v="4"/>
          </reference>
          <reference field="6" count="6">
            <x v="143"/>
            <x v="267"/>
            <x v="268"/>
            <x v="464"/>
            <x v="645"/>
            <x v="925"/>
          </reference>
          <reference field="41" count="1" selected="0">
            <x v="888"/>
          </reference>
        </references>
      </pivotArea>
    </format>
    <format dxfId="1175">
      <pivotArea dataOnly="0" labelOnly="1" outline="0" fieldPosition="0">
        <references count="3">
          <reference field="3" count="1" selected="0">
            <x v="4"/>
          </reference>
          <reference field="6" count="1">
            <x v="888"/>
          </reference>
          <reference field="41" count="1" selected="0">
            <x v="889"/>
          </reference>
        </references>
      </pivotArea>
    </format>
    <format dxfId="1174">
      <pivotArea dataOnly="0" labelOnly="1" outline="0" fieldPosition="0">
        <references count="4">
          <reference field="3" count="1" selected="0">
            <x v="6"/>
          </reference>
          <reference field="6" count="1" selected="0">
            <x v="410"/>
          </reference>
          <reference field="8" count="1">
            <x v="1666"/>
          </reference>
          <reference field="41" count="1" selected="0">
            <x v="828"/>
          </reference>
        </references>
      </pivotArea>
    </format>
    <format dxfId="1173">
      <pivotArea dataOnly="0" labelOnly="1" outline="0" fieldPosition="0">
        <references count="4">
          <reference field="3" count="1" selected="0">
            <x v="6"/>
          </reference>
          <reference field="6" count="1" selected="0">
            <x v="406"/>
          </reference>
          <reference field="8" count="1">
            <x v="1693"/>
          </reference>
          <reference field="41" count="1" selected="0">
            <x v="829"/>
          </reference>
        </references>
      </pivotArea>
    </format>
    <format dxfId="1172">
      <pivotArea dataOnly="0" labelOnly="1" outline="0" fieldPosition="0">
        <references count="4">
          <reference field="3" count="1" selected="0">
            <x v="1"/>
          </reference>
          <reference field="6" count="1" selected="0">
            <x v="1498"/>
          </reference>
          <reference field="8" count="1">
            <x v="1697"/>
          </reference>
          <reference field="41" count="1" selected="0">
            <x v="833"/>
          </reference>
        </references>
      </pivotArea>
    </format>
    <format dxfId="1171">
      <pivotArea dataOnly="0" labelOnly="1" outline="0" fieldPosition="0">
        <references count="4">
          <reference field="3" count="1" selected="0">
            <x v="3"/>
          </reference>
          <reference field="6" count="1" selected="0">
            <x v="37"/>
          </reference>
          <reference field="8" count="1">
            <x v="1559"/>
          </reference>
          <reference field="41" count="1" selected="0">
            <x v="833"/>
          </reference>
        </references>
      </pivotArea>
    </format>
    <format dxfId="1170">
      <pivotArea dataOnly="0" labelOnly="1" outline="0" fieldPosition="0">
        <references count="4">
          <reference field="3" count="1" selected="0">
            <x v="6"/>
          </reference>
          <reference field="6" count="1" selected="0">
            <x v="411"/>
          </reference>
          <reference field="8" count="1">
            <x v="1694"/>
          </reference>
          <reference field="41" count="1" selected="0">
            <x v="833"/>
          </reference>
        </references>
      </pivotArea>
    </format>
    <format dxfId="1169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379"/>
          </reference>
          <reference field="8" count="1">
            <x v="1603"/>
          </reference>
          <reference field="41" count="1" selected="0">
            <x v="834"/>
          </reference>
        </references>
      </pivotArea>
    </format>
    <format dxfId="1168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412"/>
          </reference>
          <reference field="8" count="1">
            <x v="1695"/>
          </reference>
          <reference field="41" count="1" selected="0">
            <x v="834"/>
          </reference>
        </references>
      </pivotArea>
    </format>
    <format dxfId="1167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586"/>
          </reference>
          <reference field="8" count="1">
            <x v="1683"/>
          </reference>
          <reference field="41" count="1" selected="0">
            <x v="834"/>
          </reference>
        </references>
      </pivotArea>
    </format>
    <format dxfId="1166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554"/>
          </reference>
          <reference field="8" count="1">
            <x v="1620"/>
          </reference>
          <reference field="41" count="1" selected="0">
            <x v="835"/>
          </reference>
        </references>
      </pivotArea>
    </format>
    <format dxfId="1165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600"/>
          </reference>
          <reference field="8" count="1">
            <x v="1682"/>
          </reference>
          <reference field="41" count="1" selected="0">
            <x v="836"/>
          </reference>
        </references>
      </pivotArea>
    </format>
    <format dxfId="1164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603"/>
          </reference>
          <reference field="8" count="1">
            <x v="1685"/>
          </reference>
          <reference field="41" count="1" selected="0">
            <x v="836"/>
          </reference>
        </references>
      </pivotArea>
    </format>
    <format dxfId="1163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290"/>
          </reference>
          <reference field="8" count="1">
            <x v="1634"/>
          </reference>
          <reference field="41" count="1" selected="0">
            <x v="838"/>
          </reference>
        </references>
      </pivotArea>
    </format>
    <format dxfId="1162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414"/>
          </reference>
          <reference field="8" count="1">
            <x v="1704"/>
          </reference>
          <reference field="41" count="1" selected="0">
            <x v="839"/>
          </reference>
        </references>
      </pivotArea>
    </format>
    <format dxfId="1161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477"/>
          </reference>
          <reference field="8" count="1">
            <x v="1644"/>
          </reference>
          <reference field="41" count="1" selected="0">
            <x v="840"/>
          </reference>
        </references>
      </pivotArea>
    </format>
    <format dxfId="1160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520"/>
          </reference>
          <reference field="8" count="1">
            <x v="1641"/>
          </reference>
          <reference field="41" count="1" selected="0">
            <x v="840"/>
          </reference>
        </references>
      </pivotArea>
    </format>
    <format dxfId="1159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1770"/>
          </reference>
          <reference field="8" count="1">
            <x v="1507"/>
          </reference>
          <reference field="41" count="1" selected="0">
            <x v="840"/>
          </reference>
        </references>
      </pivotArea>
    </format>
    <format dxfId="1158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415"/>
          </reference>
          <reference field="8" count="1">
            <x v="1704"/>
          </reference>
          <reference field="41" count="1" selected="0">
            <x v="840"/>
          </reference>
        </references>
      </pivotArea>
    </format>
    <format dxfId="1157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416"/>
          </reference>
          <reference field="8" count="1">
            <x v="1704"/>
          </reference>
          <reference field="41" count="1" selected="0">
            <x v="842"/>
          </reference>
        </references>
      </pivotArea>
    </format>
    <format dxfId="1156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417"/>
          </reference>
          <reference field="8" count="1">
            <x v="1704"/>
          </reference>
          <reference field="41" count="1" selected="0">
            <x v="843"/>
          </reference>
        </references>
      </pivotArea>
    </format>
    <format dxfId="1155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97"/>
          </reference>
          <reference field="8" count="1">
            <x v="1562"/>
          </reference>
          <reference field="41" count="1" selected="0">
            <x v="844"/>
          </reference>
        </references>
      </pivotArea>
    </format>
    <format dxfId="1154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537"/>
          </reference>
          <reference field="8" count="1">
            <x v="1617"/>
          </reference>
          <reference field="41" count="1" selected="0">
            <x v="845"/>
          </reference>
        </references>
      </pivotArea>
    </format>
    <format dxfId="1153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842"/>
          </reference>
          <reference field="8" count="1">
            <x v="1704"/>
          </reference>
          <reference field="41" count="1" selected="0">
            <x v="846"/>
          </reference>
        </references>
      </pivotArea>
    </format>
    <format dxfId="1152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420"/>
          </reference>
          <reference field="8" count="1">
            <x v="1704"/>
          </reference>
          <reference field="41" count="1" selected="0">
            <x v="850"/>
          </reference>
        </references>
      </pivotArea>
    </format>
    <format dxfId="1151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606"/>
          </reference>
          <reference field="8" count="1">
            <x v="1635"/>
          </reference>
          <reference field="41" count="1" selected="0">
            <x v="850"/>
          </reference>
        </references>
      </pivotArea>
    </format>
    <format dxfId="1150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990"/>
          </reference>
          <reference field="8" count="1">
            <x v="1704"/>
          </reference>
          <reference field="41" count="1" selected="0">
            <x v="850"/>
          </reference>
        </references>
      </pivotArea>
    </format>
    <format dxfId="1149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255"/>
          </reference>
          <reference field="8" count="1">
            <x v="1581"/>
          </reference>
          <reference field="41" count="1" selected="0">
            <x v="853"/>
          </reference>
        </references>
      </pivotArea>
    </format>
    <format dxfId="1148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531"/>
          </reference>
          <reference field="8" count="1">
            <x v="1616"/>
          </reference>
          <reference field="41" count="1" selected="0">
            <x v="854"/>
          </reference>
        </references>
      </pivotArea>
    </format>
    <format dxfId="1147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241"/>
          </reference>
          <reference field="8" count="1">
            <x v="1580"/>
          </reference>
          <reference field="41" count="1" selected="0">
            <x v="855"/>
          </reference>
        </references>
      </pivotArea>
    </format>
    <format dxfId="1146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422"/>
          </reference>
          <reference field="8" count="1">
            <x v="1704"/>
          </reference>
          <reference field="41" count="1" selected="0">
            <x v="855"/>
          </reference>
        </references>
      </pivotArea>
    </format>
    <format dxfId="1145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629"/>
          </reference>
          <reference field="8" count="1">
            <x v="1636"/>
          </reference>
          <reference field="41" count="1" selected="0">
            <x v="857"/>
          </reference>
        </references>
      </pivotArea>
    </format>
    <format dxfId="1144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166"/>
          </reference>
          <reference field="8" count="1">
            <x v="1570"/>
          </reference>
          <reference field="41" count="1" selected="0">
            <x v="858"/>
          </reference>
        </references>
      </pivotArea>
    </format>
    <format dxfId="1143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682"/>
          </reference>
          <reference field="8" count="1">
            <x v="1650"/>
          </reference>
          <reference field="41" count="1" selected="0">
            <x v="859"/>
          </reference>
        </references>
      </pivotArea>
    </format>
    <format dxfId="1142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715"/>
          </reference>
          <reference field="8" count="1">
            <x v="1704"/>
          </reference>
          <reference field="41" count="1" selected="0">
            <x v="859"/>
          </reference>
        </references>
      </pivotArea>
    </format>
    <format dxfId="1141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129"/>
          </reference>
          <reference field="8" count="1">
            <x v="1557"/>
          </reference>
          <reference field="41" count="1" selected="0">
            <x v="860"/>
          </reference>
        </references>
      </pivotArea>
    </format>
    <format dxfId="1140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792"/>
          </reference>
          <reference field="8" count="1">
            <x v="1633"/>
          </reference>
          <reference field="41" count="1" selected="0">
            <x v="860"/>
          </reference>
        </references>
      </pivotArea>
    </format>
    <format dxfId="1139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1755"/>
          </reference>
          <reference field="8" count="1">
            <x v="1704"/>
          </reference>
          <reference field="41" count="1" selected="0">
            <x v="861"/>
          </reference>
        </references>
      </pivotArea>
    </format>
    <format dxfId="1138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756"/>
          </reference>
          <reference field="8" count="1">
            <x v="1624"/>
          </reference>
          <reference field="41" count="1" selected="0">
            <x v="861"/>
          </reference>
        </references>
      </pivotArea>
    </format>
    <format dxfId="1137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686"/>
          </reference>
          <reference field="8" count="1">
            <x v="1704"/>
          </reference>
          <reference field="41" count="1" selected="0">
            <x v="862"/>
          </reference>
        </references>
      </pivotArea>
    </format>
    <format dxfId="1136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1628"/>
          </reference>
          <reference field="8" count="1">
            <x v="1429"/>
          </reference>
          <reference field="41" count="1" selected="0">
            <x v="863"/>
          </reference>
        </references>
      </pivotArea>
    </format>
    <format dxfId="1135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662"/>
          </reference>
          <reference field="8" count="1">
            <x v="1647"/>
          </reference>
          <reference field="41" count="1" selected="0">
            <x v="864"/>
          </reference>
        </references>
      </pivotArea>
    </format>
    <format dxfId="1134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689"/>
          </reference>
          <reference field="8" count="1">
            <x v="1704"/>
          </reference>
          <reference field="41" count="1" selected="0">
            <x v="864"/>
          </reference>
        </references>
      </pivotArea>
    </format>
    <format dxfId="1133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1772"/>
          </reference>
          <reference field="8" count="1">
            <x v="1639"/>
          </reference>
          <reference field="41" count="1" selected="0">
            <x v="866"/>
          </reference>
        </references>
      </pivotArea>
    </format>
    <format dxfId="1132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1763"/>
          </reference>
          <reference field="8" count="1">
            <x v="1704"/>
          </reference>
          <reference field="41" count="1" selected="0">
            <x v="867"/>
          </reference>
        </references>
      </pivotArea>
    </format>
    <format dxfId="1131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673"/>
          </reference>
          <reference field="8" count="1">
            <x v="1648"/>
          </reference>
          <reference field="41" count="1" selected="0">
            <x v="868"/>
          </reference>
        </references>
      </pivotArea>
    </format>
    <format dxfId="1130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692"/>
          </reference>
          <reference field="8" count="1">
            <x v="1704"/>
          </reference>
          <reference field="41" count="1" selected="0">
            <x v="868"/>
          </reference>
        </references>
      </pivotArea>
    </format>
    <format dxfId="1129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727"/>
          </reference>
          <reference field="8" count="1">
            <x v="1649"/>
          </reference>
          <reference field="41" count="1" selected="0">
            <x v="868"/>
          </reference>
        </references>
      </pivotArea>
    </format>
    <format dxfId="1128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766"/>
          </reference>
          <reference field="8" count="1">
            <x v="1652"/>
          </reference>
          <reference field="41" count="1" selected="0">
            <x v="870"/>
          </reference>
        </references>
      </pivotArea>
    </format>
    <format dxfId="1127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794"/>
          </reference>
          <reference field="8" count="1">
            <x v="1704"/>
          </reference>
          <reference field="41" count="1" selected="0">
            <x v="870"/>
          </reference>
        </references>
      </pivotArea>
    </format>
    <format dxfId="1126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898"/>
          </reference>
          <reference field="8" count="1">
            <x v="1680"/>
          </reference>
          <reference field="41" count="1" selected="0">
            <x v="870"/>
          </reference>
        </references>
      </pivotArea>
    </format>
    <format dxfId="1125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948"/>
          </reference>
          <reference field="8" count="1">
            <x v="1690"/>
          </reference>
          <reference field="41" count="1" selected="0">
            <x v="870"/>
          </reference>
        </references>
      </pivotArea>
    </format>
    <format dxfId="1124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1729"/>
          </reference>
          <reference field="8" count="1">
            <x v="1472"/>
          </reference>
          <reference field="41" count="1" selected="0">
            <x v="871"/>
          </reference>
        </references>
      </pivotArea>
    </format>
    <format dxfId="1123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1732"/>
          </reference>
          <reference field="8" count="1">
            <x v="1473"/>
          </reference>
          <reference field="41" count="1" selected="0">
            <x v="871"/>
          </reference>
        </references>
      </pivotArea>
    </format>
    <format dxfId="1122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1734"/>
          </reference>
          <reference field="8" count="1">
            <x v="1474"/>
          </reference>
          <reference field="41" count="1" selected="0">
            <x v="871"/>
          </reference>
        </references>
      </pivotArea>
    </format>
    <format dxfId="1121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343"/>
          </reference>
          <reference field="8" count="1">
            <x v="1609"/>
          </reference>
          <reference field="41" count="1" selected="0">
            <x v="872"/>
          </reference>
        </references>
      </pivotArea>
    </format>
    <format dxfId="1120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356"/>
          </reference>
          <reference field="8" count="1">
            <x v="1610"/>
          </reference>
          <reference field="41" count="1" selected="0">
            <x v="872"/>
          </reference>
        </references>
      </pivotArea>
    </format>
    <format dxfId="1119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770"/>
          </reference>
          <reference field="8" count="1">
            <x v="1704"/>
          </reference>
          <reference field="41" count="1" selected="0">
            <x v="872"/>
          </reference>
        </references>
      </pivotArea>
    </format>
    <format dxfId="1118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950"/>
          </reference>
          <reference field="8" count="1">
            <x v="1691"/>
          </reference>
          <reference field="41" count="1" selected="0">
            <x v="872"/>
          </reference>
        </references>
      </pivotArea>
    </format>
    <format dxfId="1117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533"/>
          </reference>
          <reference field="8" count="1">
            <x v="1704"/>
          </reference>
          <reference field="41" count="1" selected="0">
            <x v="873"/>
          </reference>
        </references>
      </pivotArea>
    </format>
    <format dxfId="1116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424"/>
          </reference>
          <reference field="8" count="1">
            <x v="1605"/>
          </reference>
          <reference field="41" count="1" selected="0">
            <x v="874"/>
          </reference>
        </references>
      </pivotArea>
    </format>
    <format dxfId="1115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821"/>
          </reference>
          <reference field="8" count="1">
            <x v="1661"/>
          </reference>
          <reference field="41" count="1" selected="0">
            <x v="874"/>
          </reference>
        </references>
      </pivotArea>
    </format>
    <format dxfId="1114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773"/>
          </reference>
          <reference field="8" count="1">
            <x v="1704"/>
          </reference>
          <reference field="41" count="1" selected="0">
            <x v="875"/>
          </reference>
        </references>
      </pivotArea>
    </format>
    <format dxfId="1113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901"/>
          </reference>
          <reference field="8" count="1">
            <x v="1681"/>
          </reference>
          <reference field="41" count="1" selected="0">
            <x v="875"/>
          </reference>
        </references>
      </pivotArea>
    </format>
    <format dxfId="1112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951"/>
          </reference>
          <reference field="8" count="1">
            <x v="1692"/>
          </reference>
          <reference field="41" count="1" selected="0">
            <x v="875"/>
          </reference>
        </references>
      </pivotArea>
    </format>
    <format dxfId="1111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443"/>
          </reference>
          <reference field="8" count="1">
            <x v="1607"/>
          </reference>
          <reference field="41" count="1" selected="0">
            <x v="876"/>
          </reference>
        </references>
      </pivotArea>
    </format>
    <format dxfId="1110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452"/>
          </reference>
          <reference field="8" count="1">
            <x v="1606"/>
          </reference>
          <reference field="41" count="1" selected="0">
            <x v="876"/>
          </reference>
        </references>
      </pivotArea>
    </format>
    <format dxfId="1109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482"/>
          </reference>
          <reference field="8" count="1">
            <x v="1386"/>
          </reference>
          <reference field="41" count="1" selected="0">
            <x v="876"/>
          </reference>
        </references>
      </pivotArea>
    </format>
    <format dxfId="1108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484"/>
          </reference>
          <reference field="8" count="1">
            <x v="1611"/>
          </reference>
          <reference field="41" count="1" selected="0">
            <x v="876"/>
          </reference>
        </references>
      </pivotArea>
    </format>
    <format dxfId="1107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781"/>
          </reference>
          <reference field="8" count="1">
            <x v="1646"/>
          </reference>
          <reference field="41" count="1" selected="0">
            <x v="876"/>
          </reference>
        </references>
      </pivotArea>
    </format>
    <format dxfId="1106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938"/>
          </reference>
          <reference field="8" count="1">
            <x v="1689"/>
          </reference>
          <reference field="41" count="1" selected="0">
            <x v="879"/>
          </reference>
        </references>
      </pivotArea>
    </format>
    <format dxfId="1105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1774"/>
          </reference>
          <reference field="8" count="1">
            <x v="1704"/>
          </reference>
          <reference field="41" count="1" selected="0">
            <x v="881"/>
          </reference>
        </references>
      </pivotArea>
    </format>
    <format dxfId="1104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1782"/>
          </reference>
          <reference field="8" count="1">
            <x v="1499"/>
          </reference>
          <reference field="41" count="1" selected="0">
            <x v="881"/>
          </reference>
        </references>
      </pivotArea>
    </format>
    <format dxfId="1103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858"/>
          </reference>
          <reference field="8" count="1">
            <x v="1687"/>
          </reference>
          <reference field="41" count="1" selected="0">
            <x v="882"/>
          </reference>
        </references>
      </pivotArea>
    </format>
    <format dxfId="1102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498"/>
          </reference>
          <reference field="8" count="1">
            <x v="1704"/>
          </reference>
          <reference field="41" count="1" selected="0">
            <x v="883"/>
          </reference>
        </references>
      </pivotArea>
    </format>
    <format dxfId="1101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501"/>
          </reference>
          <reference field="8" count="1">
            <x v="1653"/>
          </reference>
          <reference field="41" count="1" selected="0">
            <x v="883"/>
          </reference>
        </references>
      </pivotArea>
    </format>
    <format dxfId="1100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504"/>
          </reference>
          <reference field="8" count="1">
            <x v="1654"/>
          </reference>
          <reference field="41" count="1" selected="0">
            <x v="883"/>
          </reference>
        </references>
      </pivotArea>
    </format>
    <format dxfId="1099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654"/>
          </reference>
          <reference field="8" count="1">
            <x v="1655"/>
          </reference>
          <reference field="41" count="1" selected="0">
            <x v="883"/>
          </reference>
        </references>
      </pivotArea>
    </format>
    <format dxfId="1098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966"/>
          </reference>
          <reference field="8" count="1">
            <x v="1698"/>
          </reference>
          <reference field="41" count="1" selected="0">
            <x v="883"/>
          </reference>
        </references>
      </pivotArea>
    </format>
    <format dxfId="1097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969"/>
          </reference>
          <reference field="8" count="1">
            <x v="1699"/>
          </reference>
          <reference field="41" count="1" selected="0">
            <x v="883"/>
          </reference>
        </references>
      </pivotArea>
    </format>
    <format dxfId="1096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882"/>
          </reference>
          <reference field="8" count="1">
            <x v="1675"/>
          </reference>
          <reference field="41" count="1" selected="0">
            <x v="884"/>
          </reference>
        </references>
      </pivotArea>
    </format>
    <format dxfId="1095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1642"/>
          </reference>
          <reference field="8" count="1">
            <x v="1431"/>
          </reference>
          <reference field="41" count="1" selected="0">
            <x v="885"/>
          </reference>
        </references>
      </pivotArea>
    </format>
    <format dxfId="1094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1643"/>
          </reference>
          <reference field="8" count="1">
            <x v="1529"/>
          </reference>
          <reference field="41" count="1" selected="0">
            <x v="885"/>
          </reference>
        </references>
      </pivotArea>
    </format>
    <format dxfId="1093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1783"/>
          </reference>
          <reference field="8" count="1">
            <x v="1499"/>
          </reference>
          <reference field="41" count="1" selected="0">
            <x v="885"/>
          </reference>
        </references>
      </pivotArea>
    </format>
    <format dxfId="1092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854"/>
          </reference>
          <reference field="8" count="1">
            <x v="1688"/>
          </reference>
          <reference field="41" count="1" selected="0">
            <x v="886"/>
          </reference>
        </references>
      </pivotArea>
    </format>
    <format dxfId="1091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872"/>
          </reference>
          <reference field="8" count="1">
            <x v="1674"/>
          </reference>
          <reference field="41" count="1" selected="0">
            <x v="887"/>
          </reference>
        </references>
      </pivotArea>
    </format>
    <format dxfId="1090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143"/>
          </reference>
          <reference field="8" count="1">
            <x v="1560"/>
          </reference>
          <reference field="41" count="1" selected="0">
            <x v="888"/>
          </reference>
        </references>
      </pivotArea>
    </format>
    <format dxfId="1089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267"/>
          </reference>
          <reference field="8" count="1">
            <x v="1582"/>
          </reference>
          <reference field="41" count="1" selected="0">
            <x v="888"/>
          </reference>
        </references>
      </pivotArea>
    </format>
    <format dxfId="1088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268"/>
          </reference>
          <reference field="8" count="1">
            <x v="1583"/>
          </reference>
          <reference field="41" count="1" selected="0">
            <x v="888"/>
          </reference>
        </references>
      </pivotArea>
    </format>
    <format dxfId="1087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464"/>
          </reference>
          <reference field="8" count="1">
            <x v="1608"/>
          </reference>
          <reference field="41" count="1" selected="0">
            <x v="888"/>
          </reference>
        </references>
      </pivotArea>
    </format>
    <format dxfId="1086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645"/>
          </reference>
          <reference field="8" count="1">
            <x v="1645"/>
          </reference>
          <reference field="41" count="1" selected="0">
            <x v="888"/>
          </reference>
        </references>
      </pivotArea>
    </format>
    <format dxfId="1085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925"/>
          </reference>
          <reference field="8" count="1">
            <x v="1676"/>
          </reference>
          <reference field="41" count="1" selected="0">
            <x v="888"/>
          </reference>
        </references>
      </pivotArea>
    </format>
    <format dxfId="1084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888"/>
          </reference>
          <reference field="8" count="1">
            <x v="1673"/>
          </reference>
          <reference field="41" count="1" selected="0">
            <x v="889"/>
          </reference>
        </references>
      </pivotArea>
    </format>
    <format dxfId="1083">
      <pivotArea dataOnly="0" labelOnly="1" outline="0" fieldPosition="0">
        <references count="5">
          <reference field="3" count="1" selected="0">
            <x v="6"/>
          </reference>
          <reference field="6" count="1" selected="0">
            <x v="410"/>
          </reference>
          <reference field="8" count="1" selected="0">
            <x v="1666"/>
          </reference>
          <reference field="15" count="1">
            <x v="0"/>
          </reference>
          <reference field="41" count="1" selected="0">
            <x v="828"/>
          </reference>
        </references>
      </pivotArea>
    </format>
    <format dxfId="1082">
      <pivotArea dataOnly="0" labelOnly="1" outline="0" fieldPosition="0">
        <references count="5">
          <reference field="3" count="1" selected="0">
            <x v="1"/>
          </reference>
          <reference field="6" count="1" selected="0">
            <x v="1498"/>
          </reference>
          <reference field="8" count="1" selected="0">
            <x v="1697"/>
          </reference>
          <reference field="15" count="1">
            <x v="46"/>
          </reference>
          <reference field="41" count="1" selected="0">
            <x v="833"/>
          </reference>
        </references>
      </pivotArea>
    </format>
    <format dxfId="1081">
      <pivotArea dataOnly="0" labelOnly="1" outline="0" fieldPosition="0">
        <references count="5">
          <reference field="3" count="1" selected="0">
            <x v="3"/>
          </reference>
          <reference field="6" count="1" selected="0">
            <x v="37"/>
          </reference>
          <reference field="8" count="1" selected="0">
            <x v="1559"/>
          </reference>
          <reference field="15" count="1">
            <x v="68"/>
          </reference>
          <reference field="41" count="1" selected="0">
            <x v="833"/>
          </reference>
        </references>
      </pivotArea>
    </format>
    <format dxfId="1080">
      <pivotArea dataOnly="0" labelOnly="1" outline="0" fieldPosition="0">
        <references count="5">
          <reference field="3" count="1" selected="0">
            <x v="6"/>
          </reference>
          <reference field="6" count="1" selected="0">
            <x v="411"/>
          </reference>
          <reference field="8" count="1" selected="0">
            <x v="1694"/>
          </reference>
          <reference field="15" count="1">
            <x v="0"/>
          </reference>
          <reference field="41" count="1" selected="0">
            <x v="833"/>
          </reference>
        </references>
      </pivotArea>
    </format>
    <format dxfId="1079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379"/>
          </reference>
          <reference field="8" count="1" selected="0">
            <x v="1603"/>
          </reference>
          <reference field="15" count="1">
            <x v="71"/>
          </reference>
          <reference field="41" count="1" selected="0">
            <x v="834"/>
          </reference>
        </references>
      </pivotArea>
    </format>
    <format dxfId="1078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412"/>
          </reference>
          <reference field="8" count="1" selected="0">
            <x v="1695"/>
          </reference>
          <reference field="15" count="1">
            <x v="0"/>
          </reference>
          <reference field="41" count="1" selected="0">
            <x v="834"/>
          </reference>
        </references>
      </pivotArea>
    </format>
    <format dxfId="1077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586"/>
          </reference>
          <reference field="8" count="1" selected="0">
            <x v="1683"/>
          </reference>
          <reference field="15" count="1">
            <x v="71"/>
          </reference>
          <reference field="41" count="1" selected="0">
            <x v="834"/>
          </reference>
        </references>
      </pivotArea>
    </format>
    <format dxfId="1076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554"/>
          </reference>
          <reference field="8" count="1" selected="0">
            <x v="1620"/>
          </reference>
          <reference field="15" count="1">
            <x v="11"/>
          </reference>
          <reference field="41" count="1" selected="0">
            <x v="835"/>
          </reference>
        </references>
      </pivotArea>
    </format>
    <format dxfId="1075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600"/>
          </reference>
          <reference field="8" count="1" selected="0">
            <x v="1682"/>
          </reference>
          <reference field="15" count="1">
            <x v="71"/>
          </reference>
          <reference field="41" count="1" selected="0">
            <x v="836"/>
          </reference>
        </references>
      </pivotArea>
    </format>
    <format dxfId="1074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290"/>
          </reference>
          <reference field="8" count="1" selected="0">
            <x v="1634"/>
          </reference>
          <reference field="15" count="1">
            <x v="71"/>
          </reference>
          <reference field="41" count="1" selected="0">
            <x v="838"/>
          </reference>
        </references>
      </pivotArea>
    </format>
    <format dxfId="1073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414"/>
          </reference>
          <reference field="8" count="1" selected="0">
            <x v="1704"/>
          </reference>
          <reference field="15" count="1">
            <x v="0"/>
          </reference>
          <reference field="41" count="1" selected="0">
            <x v="839"/>
          </reference>
        </references>
      </pivotArea>
    </format>
    <format dxfId="1072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276"/>
          </reference>
          <reference field="8" count="1" selected="0">
            <x v="1704"/>
          </reference>
          <reference field="15" count="1">
            <x v="46"/>
          </reference>
          <reference field="41" count="1" selected="0">
            <x v="840"/>
          </reference>
        </references>
      </pivotArea>
    </format>
    <format dxfId="1071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477"/>
          </reference>
          <reference field="8" count="1" selected="0">
            <x v="1644"/>
          </reference>
          <reference field="15" count="1">
            <x v="59"/>
          </reference>
          <reference field="41" count="1" selected="0">
            <x v="840"/>
          </reference>
        </references>
      </pivotArea>
    </format>
    <format dxfId="1070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520"/>
          </reference>
          <reference field="8" count="1" selected="0">
            <x v="1641"/>
          </reference>
          <reference field="15" count="1">
            <x v="46"/>
          </reference>
          <reference field="41" count="1" selected="0">
            <x v="840"/>
          </reference>
        </references>
      </pivotArea>
    </format>
    <format dxfId="1069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1770"/>
          </reference>
          <reference field="8" count="1" selected="0">
            <x v="1507"/>
          </reference>
          <reference field="15" count="1">
            <x v="14"/>
          </reference>
          <reference field="41" count="1" selected="0">
            <x v="840"/>
          </reference>
        </references>
      </pivotArea>
    </format>
    <format dxfId="1068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415"/>
          </reference>
          <reference field="8" count="1" selected="0">
            <x v="1704"/>
          </reference>
          <reference field="15" count="1">
            <x v="0"/>
          </reference>
          <reference field="41" count="1" selected="0">
            <x v="840"/>
          </reference>
        </references>
      </pivotArea>
    </format>
    <format dxfId="1067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416"/>
          </reference>
          <reference field="8" count="1" selected="0">
            <x v="1704"/>
          </reference>
          <reference field="15" count="1">
            <x v="0"/>
          </reference>
          <reference field="41" count="1" selected="0">
            <x v="842"/>
          </reference>
        </references>
      </pivotArea>
    </format>
    <format dxfId="1066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749"/>
          </reference>
          <reference field="8" count="1" selected="0">
            <x v="1704"/>
          </reference>
          <reference field="15" count="1">
            <x v="71"/>
          </reference>
          <reference field="41" count="1" selected="0">
            <x v="842"/>
          </reference>
        </references>
      </pivotArea>
    </format>
    <format dxfId="1065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417"/>
          </reference>
          <reference field="8" count="1" selected="0">
            <x v="1704"/>
          </reference>
          <reference field="15" count="1">
            <x v="0"/>
          </reference>
          <reference field="41" count="1" selected="0">
            <x v="843"/>
          </reference>
        </references>
      </pivotArea>
    </format>
    <format dxfId="1064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97"/>
          </reference>
          <reference field="8" count="1" selected="0">
            <x v="1562"/>
          </reference>
          <reference field="15" count="1">
            <x v="71"/>
          </reference>
          <reference field="41" count="1" selected="0">
            <x v="844"/>
          </reference>
        </references>
      </pivotArea>
    </format>
    <format dxfId="1063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537"/>
          </reference>
          <reference field="8" count="1" selected="0">
            <x v="1617"/>
          </reference>
          <reference field="15" count="1">
            <x v="35"/>
          </reference>
          <reference field="41" count="1" selected="0">
            <x v="845"/>
          </reference>
        </references>
      </pivotArea>
    </format>
    <format dxfId="1062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842"/>
          </reference>
          <reference field="8" count="1" selected="0">
            <x v="1704"/>
          </reference>
          <reference field="15" count="1">
            <x v="71"/>
          </reference>
          <reference field="41" count="1" selected="0">
            <x v="846"/>
          </reference>
        </references>
      </pivotArea>
    </format>
    <format dxfId="1061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418"/>
          </reference>
          <reference field="8" count="1" selected="0">
            <x v="1704"/>
          </reference>
          <reference field="15" count="1">
            <x v="0"/>
          </reference>
          <reference field="41" count="1" selected="0">
            <x v="847"/>
          </reference>
        </references>
      </pivotArea>
    </format>
    <format dxfId="1060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804"/>
          </reference>
          <reference field="8" count="1" selected="0">
            <x v="1704"/>
          </reference>
          <reference field="15" count="1">
            <x v="71"/>
          </reference>
          <reference field="41" count="1" selected="0">
            <x v="847"/>
          </reference>
        </references>
      </pivotArea>
    </format>
    <format dxfId="1059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419"/>
          </reference>
          <reference field="8" count="1" selected="0">
            <x v="1704"/>
          </reference>
          <reference field="15" count="1">
            <x v="0"/>
          </reference>
          <reference field="41" count="1" selected="0">
            <x v="848"/>
          </reference>
        </references>
      </pivotArea>
    </format>
    <format dxfId="1058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846"/>
          </reference>
          <reference field="8" count="1" selected="0">
            <x v="1704"/>
          </reference>
          <reference field="15" count="1">
            <x v="71"/>
          </reference>
          <reference field="41" count="1" selected="0">
            <x v="849"/>
          </reference>
        </references>
      </pivotArea>
    </format>
    <format dxfId="1057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420"/>
          </reference>
          <reference field="8" count="1" selected="0">
            <x v="1704"/>
          </reference>
          <reference field="15" count="1">
            <x v="0"/>
          </reference>
          <reference field="41" count="1" selected="0">
            <x v="850"/>
          </reference>
        </references>
      </pivotArea>
    </format>
    <format dxfId="1056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606"/>
          </reference>
          <reference field="8" count="1" selected="0">
            <x v="1635"/>
          </reference>
          <reference field="15" count="1">
            <x v="71"/>
          </reference>
          <reference field="41" count="1" selected="0">
            <x v="850"/>
          </reference>
        </references>
      </pivotArea>
    </format>
    <format dxfId="1055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421"/>
          </reference>
          <reference field="8" count="1" selected="0">
            <x v="1704"/>
          </reference>
          <reference field="15" count="1">
            <x v="0"/>
          </reference>
          <reference field="41" count="1" selected="0">
            <x v="852"/>
          </reference>
        </references>
      </pivotArea>
    </format>
    <format dxfId="1054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830"/>
          </reference>
          <reference field="8" count="1" selected="0">
            <x v="1704"/>
          </reference>
          <reference field="15" count="1">
            <x v="71"/>
          </reference>
          <reference field="41" count="1" selected="0">
            <x v="852"/>
          </reference>
        </references>
      </pivotArea>
    </format>
    <format dxfId="1053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255"/>
          </reference>
          <reference field="8" count="1" selected="0">
            <x v="1581"/>
          </reference>
          <reference field="15" count="1">
            <x v="68"/>
          </reference>
          <reference field="41" count="1" selected="0">
            <x v="853"/>
          </reference>
        </references>
      </pivotArea>
    </format>
    <format dxfId="1052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531"/>
          </reference>
          <reference field="8" count="1" selected="0">
            <x v="1616"/>
          </reference>
          <reference field="15" count="1">
            <x v="54"/>
          </reference>
          <reference field="41" count="1" selected="0">
            <x v="854"/>
          </reference>
        </references>
      </pivotArea>
    </format>
    <format dxfId="1051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241"/>
          </reference>
          <reference field="8" count="1" selected="0">
            <x v="1580"/>
          </reference>
          <reference field="15" count="1">
            <x v="68"/>
          </reference>
          <reference field="41" count="1" selected="0">
            <x v="855"/>
          </reference>
        </references>
      </pivotArea>
    </format>
    <format dxfId="1050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422"/>
          </reference>
          <reference field="8" count="1" selected="0">
            <x v="1704"/>
          </reference>
          <reference field="15" count="1">
            <x v="0"/>
          </reference>
          <reference field="41" count="1" selected="0">
            <x v="855"/>
          </reference>
        </references>
      </pivotArea>
    </format>
    <format dxfId="1049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629"/>
          </reference>
          <reference field="8" count="1" selected="0">
            <x v="1636"/>
          </reference>
          <reference field="15" count="1">
            <x v="71"/>
          </reference>
          <reference field="41" count="1" selected="0">
            <x v="857"/>
          </reference>
        </references>
      </pivotArea>
    </format>
    <format dxfId="1048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682"/>
          </reference>
          <reference field="8" count="1" selected="0">
            <x v="1650"/>
          </reference>
          <reference field="15" count="1">
            <x v="61"/>
          </reference>
          <reference field="41" count="1" selected="0">
            <x v="859"/>
          </reference>
        </references>
      </pivotArea>
    </format>
    <format dxfId="1047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129"/>
          </reference>
          <reference field="8" count="1" selected="0">
            <x v="1557"/>
          </reference>
          <reference field="15" count="1">
            <x v="17"/>
          </reference>
          <reference field="41" count="1" selected="0">
            <x v="860"/>
          </reference>
        </references>
      </pivotArea>
    </format>
    <format dxfId="1046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792"/>
          </reference>
          <reference field="8" count="1" selected="0">
            <x v="1633"/>
          </reference>
          <reference field="15" count="1">
            <x v="71"/>
          </reference>
          <reference field="41" count="1" selected="0">
            <x v="860"/>
          </reference>
        </references>
      </pivotArea>
    </format>
    <format dxfId="1045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1755"/>
          </reference>
          <reference field="8" count="1" selected="0">
            <x v="1704"/>
          </reference>
          <reference field="15" count="1">
            <x v="4"/>
          </reference>
          <reference field="41" count="1" selected="0">
            <x v="861"/>
          </reference>
        </references>
      </pivotArea>
    </format>
    <format dxfId="1044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756"/>
          </reference>
          <reference field="8" count="1" selected="0">
            <x v="1624"/>
          </reference>
          <reference field="15" count="1">
            <x v="35"/>
          </reference>
          <reference field="41" count="1" selected="0">
            <x v="861"/>
          </reference>
        </references>
      </pivotArea>
    </format>
    <format dxfId="1043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686"/>
          </reference>
          <reference field="8" count="1" selected="0">
            <x v="1704"/>
          </reference>
          <reference field="15" count="1">
            <x v="61"/>
          </reference>
          <reference field="41" count="1" selected="0">
            <x v="862"/>
          </reference>
        </references>
      </pivotArea>
    </format>
    <format dxfId="1042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1628"/>
          </reference>
          <reference field="8" count="1" selected="0">
            <x v="1429"/>
          </reference>
          <reference field="15" count="1">
            <x v="71"/>
          </reference>
          <reference field="41" count="1" selected="0">
            <x v="863"/>
          </reference>
        </references>
      </pivotArea>
    </format>
    <format dxfId="1041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662"/>
          </reference>
          <reference field="8" count="1" selected="0">
            <x v="1647"/>
          </reference>
          <reference field="15" count="1">
            <x v="61"/>
          </reference>
          <reference field="41" count="1" selected="0">
            <x v="864"/>
          </reference>
        </references>
      </pivotArea>
    </format>
    <format dxfId="1040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1772"/>
          </reference>
          <reference field="8" count="1" selected="0">
            <x v="1639"/>
          </reference>
          <reference field="15" count="1">
            <x v="14"/>
          </reference>
          <reference field="41" count="1" selected="0">
            <x v="866"/>
          </reference>
        </references>
      </pivotArea>
    </format>
    <format dxfId="1039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1763"/>
          </reference>
          <reference field="8" count="1" selected="0">
            <x v="1704"/>
          </reference>
          <reference field="15" count="1">
            <x v="46"/>
          </reference>
          <reference field="41" count="1" selected="0">
            <x v="867"/>
          </reference>
        </references>
      </pivotArea>
    </format>
    <format dxfId="1038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673"/>
          </reference>
          <reference field="8" count="1" selected="0">
            <x v="1648"/>
          </reference>
          <reference field="15" count="1">
            <x v="61"/>
          </reference>
          <reference field="41" count="1" selected="0">
            <x v="868"/>
          </reference>
        </references>
      </pivotArea>
    </format>
    <format dxfId="1037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766"/>
          </reference>
          <reference field="8" count="1" selected="0">
            <x v="1652"/>
          </reference>
          <reference field="15" count="1">
            <x v="46"/>
          </reference>
          <reference field="41" count="1" selected="0">
            <x v="870"/>
          </reference>
        </references>
      </pivotArea>
    </format>
    <format dxfId="1036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794"/>
          </reference>
          <reference field="8" count="1" selected="0">
            <x v="1704"/>
          </reference>
          <reference field="15" count="1">
            <x v="71"/>
          </reference>
          <reference field="41" count="1" selected="0">
            <x v="870"/>
          </reference>
        </references>
      </pivotArea>
    </format>
    <format dxfId="1035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898"/>
          </reference>
          <reference field="8" count="1" selected="0">
            <x v="1680"/>
          </reference>
          <reference field="15" count="1">
            <x v="46"/>
          </reference>
          <reference field="41" count="1" selected="0">
            <x v="870"/>
          </reference>
        </references>
      </pivotArea>
    </format>
    <format dxfId="1034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1729"/>
          </reference>
          <reference field="8" count="1" selected="0">
            <x v="1472"/>
          </reference>
          <reference field="15" count="1">
            <x v="71"/>
          </reference>
          <reference field="41" count="1" selected="0">
            <x v="871"/>
          </reference>
        </references>
      </pivotArea>
    </format>
    <format dxfId="1033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343"/>
          </reference>
          <reference field="8" count="1" selected="0">
            <x v="1609"/>
          </reference>
          <reference field="15" count="1">
            <x v="68"/>
          </reference>
          <reference field="41" count="1" selected="0">
            <x v="872"/>
          </reference>
        </references>
      </pivotArea>
    </format>
    <format dxfId="1032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770"/>
          </reference>
          <reference field="8" count="1" selected="0">
            <x v="1704"/>
          </reference>
          <reference field="15" count="1">
            <x v="46"/>
          </reference>
          <reference field="41" count="1" selected="0">
            <x v="872"/>
          </reference>
        </references>
      </pivotArea>
    </format>
    <format dxfId="1031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533"/>
          </reference>
          <reference field="8" count="1" selected="0">
            <x v="1704"/>
          </reference>
          <reference field="15" count="1">
            <x v="54"/>
          </reference>
          <reference field="41" count="1" selected="0">
            <x v="873"/>
          </reference>
        </references>
      </pivotArea>
    </format>
    <format dxfId="1030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424"/>
          </reference>
          <reference field="8" count="1" selected="0">
            <x v="1605"/>
          </reference>
          <reference field="15" count="1">
            <x v="68"/>
          </reference>
          <reference field="41" count="1" selected="0">
            <x v="874"/>
          </reference>
        </references>
      </pivotArea>
    </format>
    <format dxfId="1029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773"/>
          </reference>
          <reference field="8" count="1" selected="0">
            <x v="1704"/>
          </reference>
          <reference field="15" count="1">
            <x v="46"/>
          </reference>
          <reference field="41" count="1" selected="0">
            <x v="875"/>
          </reference>
        </references>
      </pivotArea>
    </format>
    <format dxfId="1028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443"/>
          </reference>
          <reference field="8" count="1" selected="0">
            <x v="1607"/>
          </reference>
          <reference field="15" count="1">
            <x v="68"/>
          </reference>
          <reference field="41" count="1" selected="0">
            <x v="876"/>
          </reference>
        </references>
      </pivotArea>
    </format>
    <format dxfId="1027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452"/>
          </reference>
          <reference field="8" count="1" selected="0">
            <x v="1606"/>
          </reference>
          <reference field="15" count="1">
            <x v="59"/>
          </reference>
          <reference field="41" count="1" selected="0">
            <x v="876"/>
          </reference>
        </references>
      </pivotArea>
    </format>
    <format dxfId="1026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484"/>
          </reference>
          <reference field="8" count="1" selected="0">
            <x v="1611"/>
          </reference>
          <reference field="15" count="1">
            <x v="68"/>
          </reference>
          <reference field="41" count="1" selected="0">
            <x v="876"/>
          </reference>
        </references>
      </pivotArea>
    </format>
    <format dxfId="1025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781"/>
          </reference>
          <reference field="8" count="1" selected="0">
            <x v="1646"/>
          </reference>
          <reference field="15" count="1">
            <x v="59"/>
          </reference>
          <reference field="41" count="1" selected="0">
            <x v="876"/>
          </reference>
        </references>
      </pivotArea>
    </format>
    <format dxfId="1024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938"/>
          </reference>
          <reference field="8" count="1" selected="0">
            <x v="1689"/>
          </reference>
          <reference field="15" count="1">
            <x v="28"/>
          </reference>
          <reference field="41" count="1" selected="0">
            <x v="879"/>
          </reference>
        </references>
      </pivotArea>
    </format>
    <format dxfId="1023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1774"/>
          </reference>
          <reference field="8" count="1" selected="0">
            <x v="1704"/>
          </reference>
          <reference field="15" count="1">
            <x v="14"/>
          </reference>
          <reference field="41" count="1" selected="0">
            <x v="881"/>
          </reference>
        </references>
      </pivotArea>
    </format>
    <format dxfId="1022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858"/>
          </reference>
          <reference field="8" count="1" selected="0">
            <x v="1687"/>
          </reference>
          <reference field="15" count="1">
            <x v="35"/>
          </reference>
          <reference field="41" count="1" selected="0">
            <x v="882"/>
          </reference>
        </references>
      </pivotArea>
    </format>
    <format dxfId="1021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498"/>
          </reference>
          <reference field="8" count="1" selected="0">
            <x v="1704"/>
          </reference>
          <reference field="15" count="1">
            <x v="68"/>
          </reference>
          <reference field="41" count="1" selected="0">
            <x v="883"/>
          </reference>
        </references>
      </pivotArea>
    </format>
    <format dxfId="1020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882"/>
          </reference>
          <reference field="8" count="1" selected="0">
            <x v="1675"/>
          </reference>
          <reference field="15" count="1">
            <x v="59"/>
          </reference>
          <reference field="41" count="1" selected="0">
            <x v="884"/>
          </reference>
        </references>
      </pivotArea>
    </format>
    <format dxfId="1019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1642"/>
          </reference>
          <reference field="8" count="1" selected="0">
            <x v="1431"/>
          </reference>
          <reference field="15" count="1">
            <x v="14"/>
          </reference>
          <reference field="41" count="1" selected="0">
            <x v="885"/>
          </reference>
        </references>
      </pivotArea>
    </format>
    <format dxfId="1018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854"/>
          </reference>
          <reference field="8" count="1" selected="0">
            <x v="1688"/>
          </reference>
          <reference field="15" count="1">
            <x v="35"/>
          </reference>
          <reference field="41" count="1" selected="0">
            <x v="886"/>
          </reference>
        </references>
      </pivotArea>
    </format>
    <format dxfId="1017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143"/>
          </reference>
          <reference field="8" count="1" selected="0">
            <x v="1560"/>
          </reference>
          <reference field="15" count="1">
            <x v="59"/>
          </reference>
          <reference field="41" count="1" selected="0">
            <x v="888"/>
          </reference>
        </references>
      </pivotArea>
    </format>
    <format dxfId="1016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267"/>
          </reference>
          <reference field="8" count="1" selected="0">
            <x v="1582"/>
          </reference>
          <reference field="15" count="1">
            <x v="17"/>
          </reference>
          <reference field="41" count="1" selected="0">
            <x v="888"/>
          </reference>
        </references>
      </pivotArea>
    </format>
    <format dxfId="1015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464"/>
          </reference>
          <reference field="8" count="1" selected="0">
            <x v="1608"/>
          </reference>
          <reference field="15" count="1">
            <x v="68"/>
          </reference>
          <reference field="41" count="1" selected="0">
            <x v="888"/>
          </reference>
        </references>
      </pivotArea>
    </format>
    <format dxfId="1014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645"/>
          </reference>
          <reference field="8" count="1" selected="0">
            <x v="1645"/>
          </reference>
          <reference field="15" count="1">
            <x v="59"/>
          </reference>
          <reference field="41" count="1" selected="0">
            <x v="888"/>
          </reference>
        </references>
      </pivotArea>
    </format>
    <format dxfId="1013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925"/>
          </reference>
          <reference field="8" count="1" selected="0">
            <x v="1676"/>
          </reference>
          <reference field="15" count="1">
            <x v="67"/>
          </reference>
          <reference field="41" count="1" selected="0">
            <x v="888"/>
          </reference>
        </references>
      </pivotArea>
    </format>
    <format dxfId="1012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888"/>
          </reference>
          <reference field="8" count="1" selected="0">
            <x v="1673"/>
          </reference>
          <reference field="15" count="1">
            <x v="53"/>
          </reference>
          <reference field="41" count="1" selected="0">
            <x v="889"/>
          </reference>
        </references>
      </pivotArea>
    </format>
    <format dxfId="1011">
      <pivotArea dataOnly="0" labelOnly="1" outline="0" fieldPosition="0">
        <references count="6">
          <reference field="3" count="1" selected="0">
            <x v="6"/>
          </reference>
          <reference field="6" count="1" selected="0">
            <x v="410"/>
          </reference>
          <reference field="8" count="1" selected="0">
            <x v="1666"/>
          </reference>
          <reference field="14" count="1">
            <x v="68"/>
          </reference>
          <reference field="15" count="1" selected="0">
            <x v="0"/>
          </reference>
          <reference field="41" count="1" selected="0">
            <x v="828"/>
          </reference>
        </references>
      </pivotArea>
    </format>
    <format dxfId="1010">
      <pivotArea dataOnly="0" labelOnly="1" outline="0" fieldPosition="0">
        <references count="6">
          <reference field="3" count="1" selected="0">
            <x v="1"/>
          </reference>
          <reference field="6" count="1" selected="0">
            <x v="1498"/>
          </reference>
          <reference field="8" count="1" selected="0">
            <x v="1697"/>
          </reference>
          <reference field="14" count="1">
            <x v="0"/>
          </reference>
          <reference field="15" count="1" selected="0">
            <x v="46"/>
          </reference>
          <reference field="41" count="1" selected="0">
            <x v="833"/>
          </reference>
        </references>
      </pivotArea>
    </format>
    <format dxfId="1009">
      <pivotArea dataOnly="0" labelOnly="1" outline="0" fieldPosition="0">
        <references count="6">
          <reference field="3" count="1" selected="0">
            <x v="3"/>
          </reference>
          <reference field="6" count="1" selected="0">
            <x v="37"/>
          </reference>
          <reference field="8" count="1" selected="0">
            <x v="1559"/>
          </reference>
          <reference field="14" count="1">
            <x v="68"/>
          </reference>
          <reference field="15" count="1" selected="0">
            <x v="68"/>
          </reference>
          <reference field="41" count="1" selected="0">
            <x v="833"/>
          </reference>
        </references>
      </pivotArea>
    </format>
    <format dxfId="1008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379"/>
          </reference>
          <reference field="8" count="1" selected="0">
            <x v="1603"/>
          </reference>
          <reference field="14" count="1">
            <x v="156"/>
          </reference>
          <reference field="15" count="1" selected="0">
            <x v="71"/>
          </reference>
          <reference field="41" count="1" selected="0">
            <x v="834"/>
          </reference>
        </references>
      </pivotArea>
    </format>
    <format dxfId="1007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412"/>
          </reference>
          <reference field="8" count="1" selected="0">
            <x v="1695"/>
          </reference>
          <reference field="14" count="1">
            <x v="68"/>
          </reference>
          <reference field="15" count="1" selected="0">
            <x v="0"/>
          </reference>
          <reference field="41" count="1" selected="0">
            <x v="834"/>
          </reference>
        </references>
      </pivotArea>
    </format>
    <format dxfId="1006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586"/>
          </reference>
          <reference field="8" count="1" selected="0">
            <x v="1683"/>
          </reference>
          <reference field="14" count="1">
            <x v="158"/>
          </reference>
          <reference field="15" count="1" selected="0">
            <x v="71"/>
          </reference>
          <reference field="41" count="1" selected="0">
            <x v="834"/>
          </reference>
        </references>
      </pivotArea>
    </format>
    <format dxfId="1005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554"/>
          </reference>
          <reference field="8" count="1" selected="0">
            <x v="1620"/>
          </reference>
          <reference field="14" count="1">
            <x v="7"/>
          </reference>
          <reference field="15" count="1" selected="0">
            <x v="11"/>
          </reference>
          <reference field="41" count="1" selected="0">
            <x v="835"/>
          </reference>
        </references>
      </pivotArea>
    </format>
    <format dxfId="1004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558"/>
          </reference>
          <reference field="8" count="1" selected="0">
            <x v="1620"/>
          </reference>
          <reference field="14" count="1">
            <x v="8"/>
          </reference>
          <reference field="15" count="1" selected="0">
            <x v="11"/>
          </reference>
          <reference field="41" count="1" selected="0">
            <x v="835"/>
          </reference>
        </references>
      </pivotArea>
    </format>
    <format dxfId="1003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562"/>
          </reference>
          <reference field="8" count="1" selected="0">
            <x v="1620"/>
          </reference>
          <reference field="14" count="1">
            <x v="9"/>
          </reference>
          <reference field="15" count="1" selected="0">
            <x v="11"/>
          </reference>
          <reference field="41" count="1" selected="0">
            <x v="835"/>
          </reference>
        </references>
      </pivotArea>
    </format>
    <format dxfId="1002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600"/>
          </reference>
          <reference field="8" count="1" selected="0">
            <x v="1682"/>
          </reference>
          <reference field="14" count="1">
            <x v="158"/>
          </reference>
          <reference field="15" count="1" selected="0">
            <x v="71"/>
          </reference>
          <reference field="41" count="1" selected="0">
            <x v="836"/>
          </reference>
        </references>
      </pivotArea>
    </format>
    <format dxfId="1001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290"/>
          </reference>
          <reference field="8" count="1" selected="0">
            <x v="1634"/>
          </reference>
          <reference field="14" count="1">
            <x v="148"/>
          </reference>
          <reference field="15" count="1" selected="0">
            <x v="71"/>
          </reference>
          <reference field="41" count="1" selected="0">
            <x v="838"/>
          </reference>
        </references>
      </pivotArea>
    </format>
    <format dxfId="1000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414"/>
          </reference>
          <reference field="8" count="1" selected="0">
            <x v="1704"/>
          </reference>
          <reference field="14" count="1">
            <x v="68"/>
          </reference>
          <reference field="15" count="1" selected="0">
            <x v="0"/>
          </reference>
          <reference field="41" count="1" selected="0">
            <x v="839"/>
          </reference>
        </references>
      </pivotArea>
    </format>
    <format dxfId="999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276"/>
          </reference>
          <reference field="8" count="1" selected="0">
            <x v="1704"/>
          </reference>
          <reference field="14" count="1">
            <x v="132"/>
          </reference>
          <reference field="15" count="1" selected="0">
            <x v="46"/>
          </reference>
          <reference field="41" count="1" selected="0">
            <x v="840"/>
          </reference>
        </references>
      </pivotArea>
    </format>
    <format dxfId="998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477"/>
          </reference>
          <reference field="8" count="1" selected="0">
            <x v="1644"/>
          </reference>
          <reference field="14" count="1">
            <x v="119"/>
          </reference>
          <reference field="15" count="1" selected="0">
            <x v="59"/>
          </reference>
          <reference field="41" count="1" selected="0">
            <x v="840"/>
          </reference>
        </references>
      </pivotArea>
    </format>
    <format dxfId="997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520"/>
          </reference>
          <reference field="8" count="1" selected="0">
            <x v="1641"/>
          </reference>
          <reference field="14" count="1">
            <x v="23"/>
          </reference>
          <reference field="15" count="1" selected="0">
            <x v="46"/>
          </reference>
          <reference field="41" count="1" selected="0">
            <x v="840"/>
          </reference>
        </references>
      </pivotArea>
    </format>
    <format dxfId="996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1770"/>
          </reference>
          <reference field="8" count="1" selected="0">
            <x v="1507"/>
          </reference>
          <reference field="14" count="1">
            <x v="34"/>
          </reference>
          <reference field="15" count="1" selected="0">
            <x v="14"/>
          </reference>
          <reference field="41" count="1" selected="0">
            <x v="840"/>
          </reference>
        </references>
      </pivotArea>
    </format>
    <format dxfId="995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415"/>
          </reference>
          <reference field="8" count="1" selected="0">
            <x v="1704"/>
          </reference>
          <reference field="14" count="1">
            <x v="68"/>
          </reference>
          <reference field="15" count="1" selected="0">
            <x v="0"/>
          </reference>
          <reference field="41" count="1" selected="0">
            <x v="840"/>
          </reference>
        </references>
      </pivotArea>
    </format>
    <format dxfId="994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416"/>
          </reference>
          <reference field="8" count="1" selected="0">
            <x v="1704"/>
          </reference>
          <reference field="14" count="1">
            <x v="68"/>
          </reference>
          <reference field="15" count="1" selected="0">
            <x v="0"/>
          </reference>
          <reference field="41" count="1" selected="0">
            <x v="842"/>
          </reference>
        </references>
      </pivotArea>
    </format>
    <format dxfId="993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749"/>
          </reference>
          <reference field="8" count="1" selected="0">
            <x v="1704"/>
          </reference>
          <reference field="14" count="1">
            <x v="158"/>
          </reference>
          <reference field="15" count="1" selected="0">
            <x v="71"/>
          </reference>
          <reference field="41" count="1" selected="0">
            <x v="842"/>
          </reference>
        </references>
      </pivotArea>
    </format>
    <format dxfId="992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417"/>
          </reference>
          <reference field="8" count="1" selected="0">
            <x v="1704"/>
          </reference>
          <reference field="14" count="1">
            <x v="68"/>
          </reference>
          <reference field="15" count="1" selected="0">
            <x v="0"/>
          </reference>
          <reference field="41" count="1" selected="0">
            <x v="843"/>
          </reference>
        </references>
      </pivotArea>
    </format>
    <format dxfId="991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97"/>
          </reference>
          <reference field="8" count="1" selected="0">
            <x v="1562"/>
          </reference>
          <reference field="14" count="1">
            <x v="148"/>
          </reference>
          <reference field="15" count="1" selected="0">
            <x v="71"/>
          </reference>
          <reference field="41" count="1" selected="0">
            <x v="844"/>
          </reference>
        </references>
      </pivotArea>
    </format>
    <format dxfId="990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537"/>
          </reference>
          <reference field="8" count="1" selected="0">
            <x v="1617"/>
          </reference>
          <reference field="14" count="1">
            <x v="111"/>
          </reference>
          <reference field="15" count="1" selected="0">
            <x v="35"/>
          </reference>
          <reference field="41" count="1" selected="0">
            <x v="845"/>
          </reference>
        </references>
      </pivotArea>
    </format>
    <format dxfId="989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842"/>
          </reference>
          <reference field="8" count="1" selected="0">
            <x v="1704"/>
          </reference>
          <reference field="14" count="1">
            <x v="148"/>
          </reference>
          <reference field="15" count="1" selected="0">
            <x v="71"/>
          </reference>
          <reference field="41" count="1" selected="0">
            <x v="846"/>
          </reference>
        </references>
      </pivotArea>
    </format>
    <format dxfId="988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978"/>
          </reference>
          <reference field="8" count="1" selected="0">
            <x v="1704"/>
          </reference>
          <reference field="14" count="1">
            <x v="158"/>
          </reference>
          <reference field="15" count="1" selected="0">
            <x v="71"/>
          </reference>
          <reference field="41" count="1" selected="0">
            <x v="846"/>
          </reference>
        </references>
      </pivotArea>
    </format>
    <format dxfId="987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418"/>
          </reference>
          <reference field="8" count="1" selected="0">
            <x v="1704"/>
          </reference>
          <reference field="14" count="1">
            <x v="68"/>
          </reference>
          <reference field="15" count="1" selected="0">
            <x v="0"/>
          </reference>
          <reference field="41" count="1" selected="0">
            <x v="847"/>
          </reference>
        </references>
      </pivotArea>
    </format>
    <format dxfId="986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804"/>
          </reference>
          <reference field="8" count="1" selected="0">
            <x v="1704"/>
          </reference>
          <reference field="14" count="1">
            <x v="158"/>
          </reference>
          <reference field="15" count="1" selected="0">
            <x v="71"/>
          </reference>
          <reference field="41" count="1" selected="0">
            <x v="847"/>
          </reference>
        </references>
      </pivotArea>
    </format>
    <format dxfId="985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419"/>
          </reference>
          <reference field="8" count="1" selected="0">
            <x v="1704"/>
          </reference>
          <reference field="14" count="1">
            <x v="68"/>
          </reference>
          <reference field="15" count="1" selected="0">
            <x v="0"/>
          </reference>
          <reference field="41" count="1" selected="0">
            <x v="848"/>
          </reference>
        </references>
      </pivotArea>
    </format>
    <format dxfId="984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846"/>
          </reference>
          <reference field="8" count="1" selected="0">
            <x v="1704"/>
          </reference>
          <reference field="14" count="1">
            <x v="148"/>
          </reference>
          <reference field="15" count="1" selected="0">
            <x v="71"/>
          </reference>
          <reference field="41" count="1" selected="0">
            <x v="849"/>
          </reference>
        </references>
      </pivotArea>
    </format>
    <format dxfId="983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420"/>
          </reference>
          <reference field="8" count="1" selected="0">
            <x v="1704"/>
          </reference>
          <reference field="14" count="1">
            <x v="68"/>
          </reference>
          <reference field="15" count="1" selected="0">
            <x v="0"/>
          </reference>
          <reference field="41" count="1" selected="0">
            <x v="850"/>
          </reference>
        </references>
      </pivotArea>
    </format>
    <format dxfId="982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606"/>
          </reference>
          <reference field="8" count="1" selected="0">
            <x v="1635"/>
          </reference>
          <reference field="14" count="1">
            <x v="148"/>
          </reference>
          <reference field="15" count="1" selected="0">
            <x v="71"/>
          </reference>
          <reference field="41" count="1" selected="0">
            <x v="850"/>
          </reference>
        </references>
      </pivotArea>
    </format>
    <format dxfId="981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990"/>
          </reference>
          <reference field="8" count="1" selected="0">
            <x v="1704"/>
          </reference>
          <reference field="14" count="1">
            <x v="158"/>
          </reference>
          <reference field="15" count="1" selected="0">
            <x v="71"/>
          </reference>
          <reference field="41" count="1" selected="0">
            <x v="850"/>
          </reference>
        </references>
      </pivotArea>
    </format>
    <format dxfId="980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421"/>
          </reference>
          <reference field="8" count="1" selected="0">
            <x v="1704"/>
          </reference>
          <reference field="14" count="1">
            <x v="68"/>
          </reference>
          <reference field="15" count="1" selected="0">
            <x v="0"/>
          </reference>
          <reference field="41" count="1" selected="0">
            <x v="852"/>
          </reference>
        </references>
      </pivotArea>
    </format>
    <format dxfId="979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830"/>
          </reference>
          <reference field="8" count="1" selected="0">
            <x v="1704"/>
          </reference>
          <reference field="14" count="1">
            <x v="158"/>
          </reference>
          <reference field="15" count="1" selected="0">
            <x v="71"/>
          </reference>
          <reference field="41" count="1" selected="0">
            <x v="852"/>
          </reference>
        </references>
      </pivotArea>
    </format>
    <format dxfId="978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255"/>
          </reference>
          <reference field="8" count="1" selected="0">
            <x v="1581"/>
          </reference>
          <reference field="14" count="1">
            <x v="112"/>
          </reference>
          <reference field="15" count="1" selected="0">
            <x v="68"/>
          </reference>
          <reference field="41" count="1" selected="0">
            <x v="853"/>
          </reference>
        </references>
      </pivotArea>
    </format>
    <format dxfId="977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531"/>
          </reference>
          <reference field="8" count="1" selected="0">
            <x v="1616"/>
          </reference>
          <reference field="14" count="1">
            <x v="84"/>
          </reference>
          <reference field="15" count="1" selected="0">
            <x v="54"/>
          </reference>
          <reference field="41" count="1" selected="0">
            <x v="854"/>
          </reference>
        </references>
      </pivotArea>
    </format>
    <format dxfId="976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241"/>
          </reference>
          <reference field="8" count="1" selected="0">
            <x v="1580"/>
          </reference>
          <reference field="14" count="1">
            <x v="129"/>
          </reference>
          <reference field="15" count="1" selected="0">
            <x v="68"/>
          </reference>
          <reference field="41" count="1" selected="0">
            <x v="855"/>
          </reference>
        </references>
      </pivotArea>
    </format>
    <format dxfId="975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422"/>
          </reference>
          <reference field="8" count="1" selected="0">
            <x v="1704"/>
          </reference>
          <reference field="14" count="1">
            <x v="68"/>
          </reference>
          <reference field="15" count="1" selected="0">
            <x v="0"/>
          </reference>
          <reference field="41" count="1" selected="0">
            <x v="855"/>
          </reference>
        </references>
      </pivotArea>
    </format>
    <format dxfId="974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629"/>
          </reference>
          <reference field="8" count="1" selected="0">
            <x v="1636"/>
          </reference>
          <reference field="14" count="1">
            <x v="148"/>
          </reference>
          <reference field="15" count="1" selected="0">
            <x v="71"/>
          </reference>
          <reference field="41" count="1" selected="0">
            <x v="857"/>
          </reference>
        </references>
      </pivotArea>
    </format>
    <format dxfId="973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166"/>
          </reference>
          <reference field="8" count="1" selected="0">
            <x v="1570"/>
          </reference>
          <reference field="14" count="1">
            <x v="161"/>
          </reference>
          <reference field="15" count="1" selected="0">
            <x v="71"/>
          </reference>
          <reference field="41" count="1" selected="0">
            <x v="858"/>
          </reference>
        </references>
      </pivotArea>
    </format>
    <format dxfId="972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682"/>
          </reference>
          <reference field="8" count="1" selected="0">
            <x v="1650"/>
          </reference>
          <reference field="14" count="1">
            <x v="107"/>
          </reference>
          <reference field="15" count="1" selected="0">
            <x v="61"/>
          </reference>
          <reference field="41" count="1" selected="0">
            <x v="859"/>
          </reference>
        </references>
      </pivotArea>
    </format>
    <format dxfId="971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715"/>
          </reference>
          <reference field="8" count="1" selected="0">
            <x v="1704"/>
          </reference>
          <reference field="14" count="1">
            <x v="33"/>
          </reference>
          <reference field="15" count="1" selected="0">
            <x v="61"/>
          </reference>
          <reference field="41" count="1" selected="0">
            <x v="859"/>
          </reference>
        </references>
      </pivotArea>
    </format>
    <format dxfId="970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129"/>
          </reference>
          <reference field="8" count="1" selected="0">
            <x v="1557"/>
          </reference>
          <reference field="14" count="1">
            <x v="67"/>
          </reference>
          <reference field="15" count="1" selected="0">
            <x v="17"/>
          </reference>
          <reference field="41" count="1" selected="0">
            <x v="860"/>
          </reference>
        </references>
      </pivotArea>
    </format>
    <format dxfId="969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792"/>
          </reference>
          <reference field="8" count="1" selected="0">
            <x v="1633"/>
          </reference>
          <reference field="14" count="1">
            <x v="155"/>
          </reference>
          <reference field="15" count="1" selected="0">
            <x v="71"/>
          </reference>
          <reference field="41" count="1" selected="0">
            <x v="860"/>
          </reference>
        </references>
      </pivotArea>
    </format>
    <format dxfId="968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1755"/>
          </reference>
          <reference field="8" count="1" selected="0">
            <x v="1704"/>
          </reference>
          <reference field="14" count="1">
            <x v="1"/>
          </reference>
          <reference field="15" count="1" selected="0">
            <x v="4"/>
          </reference>
          <reference field="41" count="1" selected="0">
            <x v="861"/>
          </reference>
        </references>
      </pivotArea>
    </format>
    <format dxfId="967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756"/>
          </reference>
          <reference field="8" count="1" selected="0">
            <x v="1624"/>
          </reference>
          <reference field="14" count="1">
            <x v="114"/>
          </reference>
          <reference field="15" count="1" selected="0">
            <x v="35"/>
          </reference>
          <reference field="41" count="1" selected="0">
            <x v="861"/>
          </reference>
        </references>
      </pivotArea>
    </format>
    <format dxfId="966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686"/>
          </reference>
          <reference field="8" count="1" selected="0">
            <x v="1704"/>
          </reference>
          <reference field="14" count="1">
            <x v="108"/>
          </reference>
          <reference field="15" count="1" selected="0">
            <x v="61"/>
          </reference>
          <reference field="41" count="1" selected="0">
            <x v="862"/>
          </reference>
        </references>
      </pivotArea>
    </format>
    <format dxfId="965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720"/>
          </reference>
          <reference field="8" count="1" selected="0">
            <x v="1704"/>
          </reference>
          <reference field="14" count="1">
            <x v="33"/>
          </reference>
          <reference field="15" count="1" selected="0">
            <x v="61"/>
          </reference>
          <reference field="41" count="1" selected="0">
            <x v="862"/>
          </reference>
        </references>
      </pivotArea>
    </format>
    <format dxfId="964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1628"/>
          </reference>
          <reference field="8" count="1" selected="0">
            <x v="1429"/>
          </reference>
          <reference field="14" count="1">
            <x v="152"/>
          </reference>
          <reference field="15" count="1" selected="0">
            <x v="71"/>
          </reference>
          <reference field="41" count="1" selected="0">
            <x v="863"/>
          </reference>
        </references>
      </pivotArea>
    </format>
    <format dxfId="963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662"/>
          </reference>
          <reference field="8" count="1" selected="0">
            <x v="1647"/>
          </reference>
          <reference field="14" count="1">
            <x v="128"/>
          </reference>
          <reference field="15" count="1" selected="0">
            <x v="61"/>
          </reference>
          <reference field="41" count="1" selected="0">
            <x v="864"/>
          </reference>
        </references>
      </pivotArea>
    </format>
    <format dxfId="962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689"/>
          </reference>
          <reference field="8" count="1" selected="0">
            <x v="1704"/>
          </reference>
          <reference field="14" count="1">
            <x v="107"/>
          </reference>
          <reference field="15" count="1" selected="0">
            <x v="61"/>
          </reference>
          <reference field="41" count="1" selected="0">
            <x v="864"/>
          </reference>
        </references>
      </pivotArea>
    </format>
    <format dxfId="961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725"/>
          </reference>
          <reference field="8" count="1" selected="0">
            <x v="1704"/>
          </reference>
          <reference field="14" count="1">
            <x v="33"/>
          </reference>
          <reference field="15" count="1" selected="0">
            <x v="61"/>
          </reference>
          <reference field="41" count="1" selected="0">
            <x v="864"/>
          </reference>
        </references>
      </pivotArea>
    </format>
    <format dxfId="960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1772"/>
          </reference>
          <reference field="8" count="1" selected="0">
            <x v="1639"/>
          </reference>
          <reference field="14" count="1">
            <x v="34"/>
          </reference>
          <reference field="15" count="1" selected="0">
            <x v="14"/>
          </reference>
          <reference field="41" count="1" selected="0">
            <x v="866"/>
          </reference>
        </references>
      </pivotArea>
    </format>
    <format dxfId="959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1763"/>
          </reference>
          <reference field="8" count="1" selected="0">
            <x v="1704"/>
          </reference>
          <reference field="14" count="1">
            <x v="0"/>
          </reference>
          <reference field="15" count="1" selected="0">
            <x v="46"/>
          </reference>
          <reference field="41" count="1" selected="0">
            <x v="867"/>
          </reference>
        </references>
      </pivotArea>
    </format>
    <format dxfId="958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673"/>
          </reference>
          <reference field="8" count="1" selected="0">
            <x v="1648"/>
          </reference>
          <reference field="14" count="1">
            <x v="37"/>
          </reference>
          <reference field="15" count="1" selected="0">
            <x v="61"/>
          </reference>
          <reference field="41" count="1" selected="0">
            <x v="868"/>
          </reference>
        </references>
      </pivotArea>
    </format>
    <format dxfId="957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692"/>
          </reference>
          <reference field="8" count="1" selected="0">
            <x v="1704"/>
          </reference>
          <reference field="14" count="1">
            <x v="107"/>
          </reference>
          <reference field="15" count="1" selected="0">
            <x v="61"/>
          </reference>
          <reference field="41" count="1" selected="0">
            <x v="868"/>
          </reference>
        </references>
      </pivotArea>
    </format>
    <format dxfId="956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727"/>
          </reference>
          <reference field="8" count="1" selected="0">
            <x v="1649"/>
          </reference>
          <reference field="14" count="1">
            <x v="33"/>
          </reference>
          <reference field="15" count="1" selected="0">
            <x v="61"/>
          </reference>
          <reference field="41" count="1" selected="0">
            <x v="868"/>
          </reference>
        </references>
      </pivotArea>
    </format>
    <format dxfId="955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766"/>
          </reference>
          <reference field="8" count="1" selected="0">
            <x v="1652"/>
          </reference>
          <reference field="14" count="1">
            <x v="62"/>
          </reference>
          <reference field="15" count="1" selected="0">
            <x v="46"/>
          </reference>
          <reference field="41" count="1" selected="0">
            <x v="870"/>
          </reference>
        </references>
      </pivotArea>
    </format>
    <format dxfId="954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794"/>
          </reference>
          <reference field="8" count="1" selected="0">
            <x v="1704"/>
          </reference>
          <reference field="14" count="1">
            <x v="155"/>
          </reference>
          <reference field="15" count="1" selected="0">
            <x v="71"/>
          </reference>
          <reference field="41" count="1" selected="0">
            <x v="870"/>
          </reference>
        </references>
      </pivotArea>
    </format>
    <format dxfId="953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898"/>
          </reference>
          <reference field="8" count="1" selected="0">
            <x v="1680"/>
          </reference>
          <reference field="14" count="1">
            <x v="105"/>
          </reference>
          <reference field="15" count="1" selected="0">
            <x v="46"/>
          </reference>
          <reference field="41" count="1" selected="0">
            <x v="870"/>
          </reference>
        </references>
      </pivotArea>
    </format>
    <format dxfId="952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948"/>
          </reference>
          <reference field="8" count="1" selected="0">
            <x v="1690"/>
          </reference>
          <reference field="14" count="1">
            <x v="106"/>
          </reference>
          <reference field="15" count="1" selected="0">
            <x v="46"/>
          </reference>
          <reference field="41" count="1" selected="0">
            <x v="870"/>
          </reference>
        </references>
      </pivotArea>
    </format>
    <format dxfId="951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1729"/>
          </reference>
          <reference field="8" count="1" selected="0">
            <x v="1472"/>
          </reference>
          <reference field="14" count="1">
            <x v="165"/>
          </reference>
          <reference field="15" count="1" selected="0">
            <x v="71"/>
          </reference>
          <reference field="41" count="1" selected="0">
            <x v="871"/>
          </reference>
        </references>
      </pivotArea>
    </format>
    <format dxfId="950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1732"/>
          </reference>
          <reference field="8" count="1" selected="0">
            <x v="1473"/>
          </reference>
          <reference field="14" count="1">
            <x v="166"/>
          </reference>
          <reference field="15" count="1" selected="0">
            <x v="71"/>
          </reference>
          <reference field="41" count="1" selected="0">
            <x v="871"/>
          </reference>
        </references>
      </pivotArea>
    </format>
    <format dxfId="949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1734"/>
          </reference>
          <reference field="8" count="1" selected="0">
            <x v="1474"/>
          </reference>
          <reference field="14" count="1">
            <x v="164"/>
          </reference>
          <reference field="15" count="1" selected="0">
            <x v="71"/>
          </reference>
          <reference field="41" count="1" selected="0">
            <x v="871"/>
          </reference>
        </references>
      </pivotArea>
    </format>
    <format dxfId="948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343"/>
          </reference>
          <reference field="8" count="1" selected="0">
            <x v="1609"/>
          </reference>
          <reference field="14" count="1">
            <x v="71"/>
          </reference>
          <reference field="15" count="1" selected="0">
            <x v="68"/>
          </reference>
          <reference field="41" count="1" selected="0">
            <x v="872"/>
          </reference>
        </references>
      </pivotArea>
    </format>
    <format dxfId="947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770"/>
          </reference>
          <reference field="8" count="1" selected="0">
            <x v="1704"/>
          </reference>
          <reference field="14" count="1">
            <x v="62"/>
          </reference>
          <reference field="15" count="1" selected="0">
            <x v="46"/>
          </reference>
          <reference field="41" count="1" selected="0">
            <x v="872"/>
          </reference>
        </references>
      </pivotArea>
    </format>
    <format dxfId="946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950"/>
          </reference>
          <reference field="8" count="1" selected="0">
            <x v="1691"/>
          </reference>
          <reference field="14" count="1">
            <x v="106"/>
          </reference>
          <reference field="15" count="1" selected="0">
            <x v="46"/>
          </reference>
          <reference field="41" count="1" selected="0">
            <x v="872"/>
          </reference>
        </references>
      </pivotArea>
    </format>
    <format dxfId="945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533"/>
          </reference>
          <reference field="8" count="1" selected="0">
            <x v="1704"/>
          </reference>
          <reference field="14" count="1">
            <x v="84"/>
          </reference>
          <reference field="15" count="1" selected="0">
            <x v="54"/>
          </reference>
          <reference field="41" count="1" selected="0">
            <x v="873"/>
          </reference>
        </references>
      </pivotArea>
    </format>
    <format dxfId="944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424"/>
          </reference>
          <reference field="8" count="1" selected="0">
            <x v="1605"/>
          </reference>
          <reference field="14" count="1">
            <x v="38"/>
          </reference>
          <reference field="15" count="1" selected="0">
            <x v="68"/>
          </reference>
          <reference field="41" count="1" selected="0">
            <x v="874"/>
          </reference>
        </references>
      </pivotArea>
    </format>
    <format dxfId="943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821"/>
          </reference>
          <reference field="8" count="1" selected="0">
            <x v="1661"/>
          </reference>
          <reference field="14" count="1">
            <x v="116"/>
          </reference>
          <reference field="15" count="1" selected="0">
            <x v="68"/>
          </reference>
          <reference field="41" count="1" selected="0">
            <x v="874"/>
          </reference>
        </references>
      </pivotArea>
    </format>
    <format dxfId="942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773"/>
          </reference>
          <reference field="8" count="1" selected="0">
            <x v="1704"/>
          </reference>
          <reference field="14" count="1">
            <x v="62"/>
          </reference>
          <reference field="15" count="1" selected="0">
            <x v="46"/>
          </reference>
          <reference field="41" count="1" selected="0">
            <x v="875"/>
          </reference>
        </references>
      </pivotArea>
    </format>
    <format dxfId="941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901"/>
          </reference>
          <reference field="8" count="1" selected="0">
            <x v="1681"/>
          </reference>
          <reference field="14" count="1">
            <x v="105"/>
          </reference>
          <reference field="15" count="1" selected="0">
            <x v="46"/>
          </reference>
          <reference field="41" count="1" selected="0">
            <x v="875"/>
          </reference>
        </references>
      </pivotArea>
    </format>
    <format dxfId="940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951"/>
          </reference>
          <reference field="8" count="1" selected="0">
            <x v="1692"/>
          </reference>
          <reference field="14" count="1">
            <x v="106"/>
          </reference>
          <reference field="15" count="1" selected="0">
            <x v="46"/>
          </reference>
          <reference field="41" count="1" selected="0">
            <x v="875"/>
          </reference>
        </references>
      </pivotArea>
    </format>
    <format dxfId="939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443"/>
          </reference>
          <reference field="8" count="1" selected="0">
            <x v="1607"/>
          </reference>
          <reference field="14" count="1">
            <x v="128"/>
          </reference>
          <reference field="15" count="1" selected="0">
            <x v="68"/>
          </reference>
          <reference field="41" count="1" selected="0">
            <x v="876"/>
          </reference>
        </references>
      </pivotArea>
    </format>
    <format dxfId="938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452"/>
          </reference>
          <reference field="8" count="1" selected="0">
            <x v="1606"/>
          </reference>
          <reference field="14" count="1">
            <x v="110"/>
          </reference>
          <reference field="15" count="1" selected="0">
            <x v="59"/>
          </reference>
          <reference field="41" count="1" selected="0">
            <x v="876"/>
          </reference>
        </references>
      </pivotArea>
    </format>
    <format dxfId="937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484"/>
          </reference>
          <reference field="8" count="1" selected="0">
            <x v="1611"/>
          </reference>
          <reference field="14" count="1">
            <x v="34"/>
          </reference>
          <reference field="15" count="1" selected="0">
            <x v="68"/>
          </reference>
          <reference field="41" count="1" selected="0">
            <x v="876"/>
          </reference>
        </references>
      </pivotArea>
    </format>
    <format dxfId="936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781"/>
          </reference>
          <reference field="8" count="1" selected="0">
            <x v="1646"/>
          </reference>
          <reference field="14" count="1">
            <x v="112"/>
          </reference>
          <reference field="15" count="1" selected="0">
            <x v="59"/>
          </reference>
          <reference field="41" count="1" selected="0">
            <x v="876"/>
          </reference>
        </references>
      </pivotArea>
    </format>
    <format dxfId="935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938"/>
          </reference>
          <reference field="8" count="1" selected="0">
            <x v="1689"/>
          </reference>
          <reference field="14" count="1">
            <x v="87"/>
          </reference>
          <reference field="15" count="1" selected="0">
            <x v="28"/>
          </reference>
          <reference field="41" count="1" selected="0">
            <x v="879"/>
          </reference>
        </references>
      </pivotArea>
    </format>
    <format dxfId="934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1774"/>
          </reference>
          <reference field="8" count="1" selected="0">
            <x v="1704"/>
          </reference>
          <reference field="14" count="1">
            <x v="34"/>
          </reference>
          <reference field="15" count="1" selected="0">
            <x v="14"/>
          </reference>
          <reference field="41" count="1" selected="0">
            <x v="881"/>
          </reference>
        </references>
      </pivotArea>
    </format>
    <format dxfId="933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1782"/>
          </reference>
          <reference field="8" count="1" selected="0">
            <x v="1499"/>
          </reference>
          <reference field="14" count="1">
            <x v="63"/>
          </reference>
          <reference field="15" count="1" selected="0">
            <x v="14"/>
          </reference>
          <reference field="41" count="1" selected="0">
            <x v="881"/>
          </reference>
        </references>
      </pivotArea>
    </format>
    <format dxfId="932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858"/>
          </reference>
          <reference field="8" count="1" selected="0">
            <x v="1687"/>
          </reference>
          <reference field="14" count="1">
            <x v="22"/>
          </reference>
          <reference field="15" count="1" selected="0">
            <x v="35"/>
          </reference>
          <reference field="41" count="1" selected="0">
            <x v="882"/>
          </reference>
        </references>
      </pivotArea>
    </format>
    <format dxfId="931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498"/>
          </reference>
          <reference field="8" count="1" selected="0">
            <x v="1704"/>
          </reference>
          <reference field="14" count="1">
            <x v="116"/>
          </reference>
          <reference field="15" count="1" selected="0">
            <x v="68"/>
          </reference>
          <reference field="41" count="1" selected="0">
            <x v="883"/>
          </reference>
        </references>
      </pivotArea>
    </format>
    <format dxfId="930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654"/>
          </reference>
          <reference field="8" count="1" selected="0">
            <x v="1655"/>
          </reference>
          <reference field="14" count="1">
            <x v="114"/>
          </reference>
          <reference field="15" count="1" selected="0">
            <x v="68"/>
          </reference>
          <reference field="41" count="1" selected="0">
            <x v="883"/>
          </reference>
        </references>
      </pivotArea>
    </format>
    <format dxfId="929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966"/>
          </reference>
          <reference field="8" count="1" selected="0">
            <x v="1698"/>
          </reference>
          <reference field="14" count="1">
            <x v="116"/>
          </reference>
          <reference field="15" count="1" selected="0">
            <x v="68"/>
          </reference>
          <reference field="41" count="1" selected="0">
            <x v="883"/>
          </reference>
        </references>
      </pivotArea>
    </format>
    <format dxfId="928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882"/>
          </reference>
          <reference field="8" count="1" selected="0">
            <x v="1675"/>
          </reference>
          <reference field="14" count="1">
            <x v="110"/>
          </reference>
          <reference field="15" count="1" selected="0">
            <x v="59"/>
          </reference>
          <reference field="41" count="1" selected="0">
            <x v="884"/>
          </reference>
        </references>
      </pivotArea>
    </format>
    <format dxfId="927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1642"/>
          </reference>
          <reference field="8" count="1" selected="0">
            <x v="1431"/>
          </reference>
          <reference field="14" count="1">
            <x v="34"/>
          </reference>
          <reference field="15" count="1" selected="0">
            <x v="14"/>
          </reference>
          <reference field="41" count="1" selected="0">
            <x v="885"/>
          </reference>
        </references>
      </pivotArea>
    </format>
    <format dxfId="926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1783"/>
          </reference>
          <reference field="8" count="1" selected="0">
            <x v="1499"/>
          </reference>
          <reference field="14" count="1">
            <x v="63"/>
          </reference>
          <reference field="15" count="1" selected="0">
            <x v="14"/>
          </reference>
          <reference field="41" count="1" selected="0">
            <x v="885"/>
          </reference>
        </references>
      </pivotArea>
    </format>
    <format dxfId="925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854"/>
          </reference>
          <reference field="8" count="1" selected="0">
            <x v="1688"/>
          </reference>
          <reference field="14" count="1">
            <x v="22"/>
          </reference>
          <reference field="15" count="1" selected="0">
            <x v="35"/>
          </reference>
          <reference field="41" count="1" selected="0">
            <x v="886"/>
          </reference>
        </references>
      </pivotArea>
    </format>
    <format dxfId="924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872"/>
          </reference>
          <reference field="8" count="1" selected="0">
            <x v="1674"/>
          </reference>
          <reference field="14" count="1">
            <x v="111"/>
          </reference>
          <reference field="15" count="1" selected="0">
            <x v="35"/>
          </reference>
          <reference field="41" count="1" selected="0">
            <x v="887"/>
          </reference>
        </references>
      </pivotArea>
    </format>
    <format dxfId="923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143"/>
          </reference>
          <reference field="8" count="1" selected="0">
            <x v="1560"/>
          </reference>
          <reference field="14" count="1">
            <x v="67"/>
          </reference>
          <reference field="15" count="1" selected="0">
            <x v="59"/>
          </reference>
          <reference field="41" count="1" selected="0">
            <x v="888"/>
          </reference>
        </references>
      </pivotArea>
    </format>
    <format dxfId="922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267"/>
          </reference>
          <reference field="8" count="1" selected="0">
            <x v="1582"/>
          </reference>
          <reference field="14" count="1">
            <x v="92"/>
          </reference>
          <reference field="15" count="1" selected="0">
            <x v="17"/>
          </reference>
          <reference field="41" count="1" selected="0">
            <x v="888"/>
          </reference>
        </references>
      </pivotArea>
    </format>
    <format dxfId="921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645"/>
          </reference>
          <reference field="8" count="1" selected="0">
            <x v="1645"/>
          </reference>
          <reference field="14" count="1">
            <x v="67"/>
          </reference>
          <reference field="15" count="1" selected="0">
            <x v="59"/>
          </reference>
          <reference field="41" count="1" selected="0">
            <x v="888"/>
          </reference>
        </references>
      </pivotArea>
    </format>
    <format dxfId="920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925"/>
          </reference>
          <reference field="8" count="1" selected="0">
            <x v="1676"/>
          </reference>
          <reference field="14" count="1">
            <x v="92"/>
          </reference>
          <reference field="15" count="1" selected="0">
            <x v="67"/>
          </reference>
          <reference field="41" count="1" selected="0">
            <x v="888"/>
          </reference>
        </references>
      </pivotArea>
    </format>
    <format dxfId="919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888"/>
          </reference>
          <reference field="8" count="1" selected="0">
            <x v="1673"/>
          </reference>
          <reference field="14" count="1">
            <x v="89"/>
          </reference>
          <reference field="15" count="1" selected="0">
            <x v="53"/>
          </reference>
          <reference field="41" count="1" selected="0">
            <x v="889"/>
          </reference>
        </references>
      </pivotArea>
    </format>
    <format dxfId="918">
      <pivotArea dataOnly="0" labelOnly="1" outline="0" fieldPosition="0">
        <references count="7">
          <reference field="3" count="1" selected="0">
            <x v="6"/>
          </reference>
          <reference field="6" count="1" selected="0">
            <x v="410"/>
          </reference>
          <reference field="8" count="1" selected="0">
            <x v="1666"/>
          </reference>
          <reference field="14" count="1" selected="0">
            <x v="68"/>
          </reference>
          <reference field="15" count="1" selected="0">
            <x v="0"/>
          </reference>
          <reference field="26" count="1">
            <x v="234"/>
          </reference>
          <reference field="41" count="1" selected="0">
            <x v="828"/>
          </reference>
        </references>
      </pivotArea>
    </format>
    <format dxfId="917">
      <pivotArea dataOnly="0" labelOnly="1" outline="0" fieldPosition="0">
        <references count="7">
          <reference field="3" count="1" selected="0">
            <x v="6"/>
          </reference>
          <reference field="6" count="1" selected="0">
            <x v="406"/>
          </reference>
          <reference field="8" count="1" selected="0">
            <x v="1693"/>
          </reference>
          <reference field="14" count="1" selected="0">
            <x v="68"/>
          </reference>
          <reference field="15" count="1" selected="0">
            <x v="0"/>
          </reference>
          <reference field="26" count="1">
            <x v="137"/>
          </reference>
          <reference field="41" count="1" selected="0">
            <x v="829"/>
          </reference>
        </references>
      </pivotArea>
    </format>
    <format dxfId="916">
      <pivotArea dataOnly="0" labelOnly="1" outline="0" fieldPosition="0">
        <references count="7">
          <reference field="3" count="1" selected="0">
            <x v="1"/>
          </reference>
          <reference field="6" count="1" selected="0">
            <x v="1498"/>
          </reference>
          <reference field="8" count="1" selected="0">
            <x v="1697"/>
          </reference>
          <reference field="14" count="1" selected="0">
            <x v="0"/>
          </reference>
          <reference field="15" count="1" selected="0">
            <x v="46"/>
          </reference>
          <reference field="26" count="1">
            <x v="149"/>
          </reference>
          <reference field="41" count="1" selected="0">
            <x v="833"/>
          </reference>
        </references>
      </pivotArea>
    </format>
    <format dxfId="915">
      <pivotArea dataOnly="0" labelOnly="1" outline="0" fieldPosition="0">
        <references count="7">
          <reference field="3" count="1" selected="0">
            <x v="3"/>
          </reference>
          <reference field="6" count="1" selected="0">
            <x v="37"/>
          </reference>
          <reference field="8" count="1" selected="0">
            <x v="1559"/>
          </reference>
          <reference field="14" count="1" selected="0">
            <x v="68"/>
          </reference>
          <reference field="15" count="1" selected="0">
            <x v="68"/>
          </reference>
          <reference field="26" count="1">
            <x v="350"/>
          </reference>
          <reference field="41" count="1" selected="0">
            <x v="833"/>
          </reference>
        </references>
      </pivotArea>
    </format>
    <format dxfId="914">
      <pivotArea dataOnly="0" labelOnly="1" outline="0" fieldPosition="0">
        <references count="7">
          <reference field="3" count="1" selected="0">
            <x v="6"/>
          </reference>
          <reference field="6" count="1" selected="0">
            <x v="411"/>
          </reference>
          <reference field="8" count="1" selected="0">
            <x v="1694"/>
          </reference>
          <reference field="14" count="1" selected="0">
            <x v="68"/>
          </reference>
          <reference field="15" count="1" selected="0">
            <x v="0"/>
          </reference>
          <reference field="26" count="1">
            <x v="104"/>
          </reference>
          <reference field="41" count="1" selected="0">
            <x v="833"/>
          </reference>
        </references>
      </pivotArea>
    </format>
    <format dxfId="913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379"/>
          </reference>
          <reference field="8" count="1" selected="0">
            <x v="1603"/>
          </reference>
          <reference field="14" count="1" selected="0">
            <x v="156"/>
          </reference>
          <reference field="15" count="1" selected="0">
            <x v="71"/>
          </reference>
          <reference field="26" count="1">
            <x v="327"/>
          </reference>
          <reference field="41" count="1" selected="0">
            <x v="834"/>
          </reference>
        </references>
      </pivotArea>
    </format>
    <format dxfId="912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412"/>
          </reference>
          <reference field="8" count="1" selected="0">
            <x v="1695"/>
          </reference>
          <reference field="14" count="1" selected="0">
            <x v="68"/>
          </reference>
          <reference field="15" count="1" selected="0">
            <x v="0"/>
          </reference>
          <reference field="26" count="1">
            <x v="205"/>
          </reference>
          <reference field="41" count="1" selected="0">
            <x v="834"/>
          </reference>
        </references>
      </pivotArea>
    </format>
    <format dxfId="911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586"/>
          </reference>
          <reference field="8" count="1" selected="0">
            <x v="1683"/>
          </reference>
          <reference field="14" count="1" selected="0">
            <x v="158"/>
          </reference>
          <reference field="15" count="1" selected="0">
            <x v="71"/>
          </reference>
          <reference field="26" count="1">
            <x v="132"/>
          </reference>
          <reference field="41" count="1" selected="0">
            <x v="834"/>
          </reference>
        </references>
      </pivotArea>
    </format>
    <format dxfId="910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554"/>
          </reference>
          <reference field="8" count="1" selected="0">
            <x v="1620"/>
          </reference>
          <reference field="14" count="1" selected="0">
            <x v="7"/>
          </reference>
          <reference field="15" count="1" selected="0">
            <x v="11"/>
          </reference>
          <reference field="26" count="1">
            <x v="39"/>
          </reference>
          <reference field="41" count="1" selected="0">
            <x v="835"/>
          </reference>
        </references>
      </pivotArea>
    </format>
    <format dxfId="909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558"/>
          </reference>
          <reference field="8" count="1" selected="0">
            <x v="1620"/>
          </reference>
          <reference field="14" count="1" selected="0">
            <x v="8"/>
          </reference>
          <reference field="15" count="1" selected="0">
            <x v="11"/>
          </reference>
          <reference field="26" count="1">
            <x v="31"/>
          </reference>
          <reference field="41" count="1" selected="0">
            <x v="835"/>
          </reference>
        </references>
      </pivotArea>
    </format>
    <format dxfId="908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562"/>
          </reference>
          <reference field="8" count="1" selected="0">
            <x v="1620"/>
          </reference>
          <reference field="14" count="1" selected="0">
            <x v="9"/>
          </reference>
          <reference field="15" count="1" selected="0">
            <x v="11"/>
          </reference>
          <reference field="26" count="1">
            <x v="51"/>
          </reference>
          <reference field="41" count="1" selected="0">
            <x v="835"/>
          </reference>
        </references>
      </pivotArea>
    </format>
    <format dxfId="907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600"/>
          </reference>
          <reference field="8" count="1" selected="0">
            <x v="1682"/>
          </reference>
          <reference field="14" count="1" selected="0">
            <x v="158"/>
          </reference>
          <reference field="15" count="1" selected="0">
            <x v="71"/>
          </reference>
          <reference field="26" count="1">
            <x v="310"/>
          </reference>
          <reference field="41" count="1" selected="0">
            <x v="836"/>
          </reference>
        </references>
      </pivotArea>
    </format>
    <format dxfId="906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603"/>
          </reference>
          <reference field="8" count="1" selected="0">
            <x v="1685"/>
          </reference>
          <reference field="14" count="1" selected="0">
            <x v="158"/>
          </reference>
          <reference field="15" count="1" selected="0">
            <x v="71"/>
          </reference>
          <reference field="26" count="1">
            <x v="132"/>
          </reference>
          <reference field="41" count="1" selected="0">
            <x v="836"/>
          </reference>
        </references>
      </pivotArea>
    </format>
    <format dxfId="905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290"/>
          </reference>
          <reference field="8" count="1" selected="0">
            <x v="1634"/>
          </reference>
          <reference field="14" count="1" selected="0">
            <x v="148"/>
          </reference>
          <reference field="15" count="1" selected="0">
            <x v="71"/>
          </reference>
          <reference field="26" count="1">
            <x v="444"/>
          </reference>
          <reference field="41" count="1" selected="0">
            <x v="838"/>
          </reference>
        </references>
      </pivotArea>
    </format>
    <format dxfId="904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14"/>
          </reference>
          <reference field="8" count="1" selected="0">
            <x v="1704"/>
          </reference>
          <reference field="14" count="1" selected="0">
            <x v="68"/>
          </reference>
          <reference field="15" count="1" selected="0">
            <x v="0"/>
          </reference>
          <reference field="26" count="1">
            <x v="234"/>
          </reference>
          <reference field="41" count="1" selected="0">
            <x v="839"/>
          </reference>
        </references>
      </pivotArea>
    </format>
    <format dxfId="903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276"/>
          </reference>
          <reference field="8" count="1" selected="0">
            <x v="1704"/>
          </reference>
          <reference field="14" count="1" selected="0">
            <x v="132"/>
          </reference>
          <reference field="15" count="1" selected="0">
            <x v="46"/>
          </reference>
          <reference field="26" count="1">
            <x v="636"/>
          </reference>
          <reference field="41" count="1" selected="0">
            <x v="840"/>
          </reference>
        </references>
      </pivotArea>
    </format>
    <format dxfId="902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477"/>
          </reference>
          <reference field="8" count="1" selected="0">
            <x v="1644"/>
          </reference>
          <reference field="14" count="1" selected="0">
            <x v="119"/>
          </reference>
          <reference field="15" count="1" selected="0">
            <x v="59"/>
          </reference>
          <reference field="26" count="1">
            <x v="552"/>
          </reference>
          <reference field="41" count="1" selected="0">
            <x v="840"/>
          </reference>
        </references>
      </pivotArea>
    </format>
    <format dxfId="901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520"/>
          </reference>
          <reference field="8" count="1" selected="0">
            <x v="1641"/>
          </reference>
          <reference field="14" count="1" selected="0">
            <x v="23"/>
          </reference>
          <reference field="15" count="1" selected="0">
            <x v="46"/>
          </reference>
          <reference field="26" count="1">
            <x v="525"/>
          </reference>
          <reference field="41" count="1" selected="0">
            <x v="840"/>
          </reference>
        </references>
      </pivotArea>
    </format>
    <format dxfId="900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1770"/>
          </reference>
          <reference field="8" count="1" selected="0">
            <x v="1507"/>
          </reference>
          <reference field="14" count="1" selected="0">
            <x v="34"/>
          </reference>
          <reference field="15" count="1" selected="0">
            <x v="14"/>
          </reference>
          <reference field="26" count="1">
            <x v="503"/>
          </reference>
          <reference field="41" count="1" selected="0">
            <x v="840"/>
          </reference>
        </references>
      </pivotArea>
    </format>
    <format dxfId="899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15"/>
          </reference>
          <reference field="8" count="1" selected="0">
            <x v="1704"/>
          </reference>
          <reference field="14" count="1" selected="0">
            <x v="68"/>
          </reference>
          <reference field="15" count="1" selected="0">
            <x v="0"/>
          </reference>
          <reference field="26" count="1">
            <x v="234"/>
          </reference>
          <reference field="41" count="1" selected="0">
            <x v="840"/>
          </reference>
        </references>
      </pivotArea>
    </format>
    <format dxfId="898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16"/>
          </reference>
          <reference field="8" count="1" selected="0">
            <x v="1704"/>
          </reference>
          <reference field="14" count="1" selected="0">
            <x v="68"/>
          </reference>
          <reference field="15" count="1" selected="0">
            <x v="0"/>
          </reference>
          <reference field="26" count="1">
            <x v="234"/>
          </reference>
          <reference field="41" count="1" selected="0">
            <x v="842"/>
          </reference>
        </references>
      </pivotArea>
    </format>
    <format dxfId="897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749"/>
          </reference>
          <reference field="8" count="1" selected="0">
            <x v="1704"/>
          </reference>
          <reference field="14" count="1" selected="0">
            <x v="158"/>
          </reference>
          <reference field="15" count="1" selected="0">
            <x v="71"/>
          </reference>
          <reference field="26" count="1">
            <x v="410"/>
          </reference>
          <reference field="41" count="1" selected="0">
            <x v="842"/>
          </reference>
        </references>
      </pivotArea>
    </format>
    <format dxfId="896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750"/>
          </reference>
          <reference field="8" count="1" selected="0">
            <x v="1704"/>
          </reference>
          <reference field="14" count="1" selected="0">
            <x v="158"/>
          </reference>
          <reference field="15" count="1" selected="0">
            <x v="71"/>
          </reference>
          <reference field="26" count="1">
            <x v="410"/>
          </reference>
          <reference field="41" count="1" selected="0">
            <x v="842"/>
          </reference>
        </references>
      </pivotArea>
    </format>
    <format dxfId="895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17"/>
          </reference>
          <reference field="8" count="1" selected="0">
            <x v="1704"/>
          </reference>
          <reference field="14" count="1" selected="0">
            <x v="68"/>
          </reference>
          <reference field="15" count="1" selected="0">
            <x v="0"/>
          </reference>
          <reference field="26" count="1">
            <x v="234"/>
          </reference>
          <reference field="41" count="1" selected="0">
            <x v="843"/>
          </reference>
        </references>
      </pivotArea>
    </format>
    <format dxfId="894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97"/>
          </reference>
          <reference field="8" count="1" selected="0">
            <x v="1562"/>
          </reference>
          <reference field="14" count="1" selected="0">
            <x v="148"/>
          </reference>
          <reference field="15" count="1" selected="0">
            <x v="71"/>
          </reference>
          <reference field="26" count="1">
            <x v="84"/>
          </reference>
          <reference field="41" count="1" selected="0">
            <x v="844"/>
          </reference>
        </references>
      </pivotArea>
    </format>
    <format dxfId="893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537"/>
          </reference>
          <reference field="8" count="1" selected="0">
            <x v="1617"/>
          </reference>
          <reference field="14" count="1" selected="0">
            <x v="111"/>
          </reference>
          <reference field="15" count="1" selected="0">
            <x v="35"/>
          </reference>
          <reference field="26" count="1">
            <x v="111"/>
          </reference>
          <reference field="41" count="1" selected="0">
            <x v="845"/>
          </reference>
        </references>
      </pivotArea>
    </format>
    <format dxfId="892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842"/>
          </reference>
          <reference field="8" count="1" selected="0">
            <x v="1704"/>
          </reference>
          <reference field="14" count="1" selected="0">
            <x v="148"/>
          </reference>
          <reference field="15" count="1" selected="0">
            <x v="71"/>
          </reference>
          <reference field="26" count="1">
            <x v="196"/>
          </reference>
          <reference field="41" count="1" selected="0">
            <x v="846"/>
          </reference>
        </references>
      </pivotArea>
    </format>
    <format dxfId="891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978"/>
          </reference>
          <reference field="8" count="1" selected="0">
            <x v="1704"/>
          </reference>
          <reference field="14" count="1" selected="0">
            <x v="158"/>
          </reference>
          <reference field="15" count="1" selected="0">
            <x v="71"/>
          </reference>
          <reference field="26" count="1">
            <x v="348"/>
          </reference>
          <reference field="41" count="1" selected="0">
            <x v="846"/>
          </reference>
        </references>
      </pivotArea>
    </format>
    <format dxfId="890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18"/>
          </reference>
          <reference field="8" count="1" selected="0">
            <x v="1704"/>
          </reference>
          <reference field="14" count="1" selected="0">
            <x v="68"/>
          </reference>
          <reference field="15" count="1" selected="0">
            <x v="0"/>
          </reference>
          <reference field="26" count="1">
            <x v="234"/>
          </reference>
          <reference field="41" count="1" selected="0">
            <x v="847"/>
          </reference>
        </references>
      </pivotArea>
    </format>
    <format dxfId="889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804"/>
          </reference>
          <reference field="8" count="1" selected="0">
            <x v="1704"/>
          </reference>
          <reference field="14" count="1" selected="0">
            <x v="158"/>
          </reference>
          <reference field="15" count="1" selected="0">
            <x v="71"/>
          </reference>
          <reference field="26" count="1">
            <x v="361"/>
          </reference>
          <reference field="41" count="1" selected="0">
            <x v="847"/>
          </reference>
        </references>
      </pivotArea>
    </format>
    <format dxfId="888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19"/>
          </reference>
          <reference field="8" count="1" selected="0">
            <x v="1704"/>
          </reference>
          <reference field="14" count="1" selected="0">
            <x v="68"/>
          </reference>
          <reference field="15" count="1" selected="0">
            <x v="0"/>
          </reference>
          <reference field="26" count="1">
            <x v="234"/>
          </reference>
          <reference field="41" count="1" selected="0">
            <x v="848"/>
          </reference>
        </references>
      </pivotArea>
    </format>
    <format dxfId="887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846"/>
          </reference>
          <reference field="8" count="1" selected="0">
            <x v="1704"/>
          </reference>
          <reference field="14" count="1" selected="0">
            <x v="148"/>
          </reference>
          <reference field="15" count="1" selected="0">
            <x v="71"/>
          </reference>
          <reference field="26" count="1">
            <x v="191"/>
          </reference>
          <reference field="41" count="1" selected="0">
            <x v="849"/>
          </reference>
        </references>
      </pivotArea>
    </format>
    <format dxfId="886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20"/>
          </reference>
          <reference field="8" count="1" selected="0">
            <x v="1704"/>
          </reference>
          <reference field="14" count="1" selected="0">
            <x v="68"/>
          </reference>
          <reference field="15" count="1" selected="0">
            <x v="0"/>
          </reference>
          <reference field="26" count="1">
            <x v="234"/>
          </reference>
          <reference field="41" count="1" selected="0">
            <x v="850"/>
          </reference>
        </references>
      </pivotArea>
    </format>
    <format dxfId="885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606"/>
          </reference>
          <reference field="8" count="1" selected="0">
            <x v="1635"/>
          </reference>
          <reference field="14" count="1" selected="0">
            <x v="148"/>
          </reference>
          <reference field="15" count="1" selected="0">
            <x v="71"/>
          </reference>
          <reference field="26" count="1">
            <x v="160"/>
          </reference>
          <reference field="41" count="1" selected="0">
            <x v="850"/>
          </reference>
        </references>
      </pivotArea>
    </format>
    <format dxfId="884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990"/>
          </reference>
          <reference field="8" count="1" selected="0">
            <x v="1704"/>
          </reference>
          <reference field="14" count="1" selected="0">
            <x v="158"/>
          </reference>
          <reference field="15" count="1" selected="0">
            <x v="71"/>
          </reference>
          <reference field="26" count="1">
            <x v="227"/>
          </reference>
          <reference field="41" count="1" selected="0">
            <x v="850"/>
          </reference>
        </references>
      </pivotArea>
    </format>
    <format dxfId="883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21"/>
          </reference>
          <reference field="8" count="1" selected="0">
            <x v="1704"/>
          </reference>
          <reference field="14" count="1" selected="0">
            <x v="68"/>
          </reference>
          <reference field="15" count="1" selected="0">
            <x v="0"/>
          </reference>
          <reference field="26" count="1">
            <x v="234"/>
          </reference>
          <reference field="41" count="1" selected="0">
            <x v="852"/>
          </reference>
        </references>
      </pivotArea>
    </format>
    <format dxfId="882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830"/>
          </reference>
          <reference field="8" count="1" selected="0">
            <x v="1704"/>
          </reference>
          <reference field="14" count="1" selected="0">
            <x v="158"/>
          </reference>
          <reference field="15" count="1" selected="0">
            <x v="71"/>
          </reference>
          <reference field="26" count="1">
            <x v="132"/>
          </reference>
          <reference field="41" count="1" selected="0">
            <x v="852"/>
          </reference>
        </references>
      </pivotArea>
    </format>
    <format dxfId="881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255"/>
          </reference>
          <reference field="8" count="1" selected="0">
            <x v="1581"/>
          </reference>
          <reference field="14" count="1" selected="0">
            <x v="112"/>
          </reference>
          <reference field="15" count="1" selected="0">
            <x v="68"/>
          </reference>
          <reference field="26" count="1">
            <x v="450"/>
          </reference>
          <reference field="41" count="1" selected="0">
            <x v="853"/>
          </reference>
        </references>
      </pivotArea>
    </format>
    <format dxfId="880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531"/>
          </reference>
          <reference field="8" count="1" selected="0">
            <x v="1616"/>
          </reference>
          <reference field="14" count="1" selected="0">
            <x v="84"/>
          </reference>
          <reference field="15" count="1" selected="0">
            <x v="54"/>
          </reference>
          <reference field="26" count="1">
            <x v="117"/>
          </reference>
          <reference field="41" count="1" selected="0">
            <x v="854"/>
          </reference>
        </references>
      </pivotArea>
    </format>
    <format dxfId="879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241"/>
          </reference>
          <reference field="8" count="1" selected="0">
            <x v="1580"/>
          </reference>
          <reference field="14" count="1" selected="0">
            <x v="129"/>
          </reference>
          <reference field="15" count="1" selected="0">
            <x v="68"/>
          </reference>
          <reference field="26" count="1">
            <x v="227"/>
          </reference>
          <reference field="41" count="1" selected="0">
            <x v="855"/>
          </reference>
        </references>
      </pivotArea>
    </format>
    <format dxfId="878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22"/>
          </reference>
          <reference field="8" count="1" selected="0">
            <x v="1704"/>
          </reference>
          <reference field="14" count="1" selected="0">
            <x v="68"/>
          </reference>
          <reference field="15" count="1" selected="0">
            <x v="0"/>
          </reference>
          <reference field="26" count="1">
            <x v="104"/>
          </reference>
          <reference field="41" count="1" selected="0">
            <x v="855"/>
          </reference>
        </references>
      </pivotArea>
    </format>
    <format dxfId="877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629"/>
          </reference>
          <reference field="8" count="1" selected="0">
            <x v="1636"/>
          </reference>
          <reference field="14" count="1" selected="0">
            <x v="148"/>
          </reference>
          <reference field="15" count="1" selected="0">
            <x v="71"/>
          </reference>
          <reference field="26" count="1">
            <x v="227"/>
          </reference>
          <reference field="41" count="1" selected="0">
            <x v="857"/>
          </reference>
        </references>
      </pivotArea>
    </format>
    <format dxfId="876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166"/>
          </reference>
          <reference field="8" count="1" selected="0">
            <x v="1570"/>
          </reference>
          <reference field="14" count="1" selected="0">
            <x v="161"/>
          </reference>
          <reference field="15" count="1" selected="0">
            <x v="71"/>
          </reference>
          <reference field="26" count="1">
            <x v="70"/>
          </reference>
          <reference field="41" count="1" selected="0">
            <x v="858"/>
          </reference>
        </references>
      </pivotArea>
    </format>
    <format dxfId="875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682"/>
          </reference>
          <reference field="8" count="1" selected="0">
            <x v="1650"/>
          </reference>
          <reference field="14" count="1" selected="0">
            <x v="107"/>
          </reference>
          <reference field="15" count="1" selected="0">
            <x v="61"/>
          </reference>
          <reference field="26" count="1">
            <x v="662"/>
          </reference>
          <reference field="41" count="1" selected="0">
            <x v="859"/>
          </reference>
        </references>
      </pivotArea>
    </format>
    <format dxfId="874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715"/>
          </reference>
          <reference field="8" count="1" selected="0">
            <x v="1704"/>
          </reference>
          <reference field="14" count="1" selected="0">
            <x v="33"/>
          </reference>
          <reference field="15" count="1" selected="0">
            <x v="61"/>
          </reference>
          <reference field="26" count="1">
            <x v="363"/>
          </reference>
          <reference field="41" count="1" selected="0">
            <x v="859"/>
          </reference>
        </references>
      </pivotArea>
    </format>
    <format dxfId="873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129"/>
          </reference>
          <reference field="8" count="1" selected="0">
            <x v="1557"/>
          </reference>
          <reference field="14" count="1" selected="0">
            <x v="67"/>
          </reference>
          <reference field="15" count="1" selected="0">
            <x v="17"/>
          </reference>
          <reference field="26" count="1">
            <x v="456"/>
          </reference>
          <reference field="41" count="1" selected="0">
            <x v="860"/>
          </reference>
        </references>
      </pivotArea>
    </format>
    <format dxfId="872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792"/>
          </reference>
          <reference field="8" count="1" selected="0">
            <x v="1633"/>
          </reference>
          <reference field="14" count="1" selected="0">
            <x v="155"/>
          </reference>
          <reference field="15" count="1" selected="0">
            <x v="71"/>
          </reference>
          <reference field="26" count="1">
            <x v="523"/>
          </reference>
          <reference field="41" count="1" selected="0">
            <x v="860"/>
          </reference>
        </references>
      </pivotArea>
    </format>
    <format dxfId="871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1755"/>
          </reference>
          <reference field="8" count="1" selected="0">
            <x v="1704"/>
          </reference>
          <reference field="14" count="1" selected="0">
            <x v="1"/>
          </reference>
          <reference field="15" count="1" selected="0">
            <x v="4"/>
          </reference>
          <reference field="26" count="1">
            <x v="422"/>
          </reference>
          <reference field="41" count="1" selected="0">
            <x v="861"/>
          </reference>
        </references>
      </pivotArea>
    </format>
    <format dxfId="870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756"/>
          </reference>
          <reference field="8" count="1" selected="0">
            <x v="1624"/>
          </reference>
          <reference field="14" count="1" selected="0">
            <x v="114"/>
          </reference>
          <reference field="15" count="1" selected="0">
            <x v="35"/>
          </reference>
          <reference field="26" count="1">
            <x v="510"/>
          </reference>
          <reference field="41" count="1" selected="0">
            <x v="861"/>
          </reference>
        </references>
      </pivotArea>
    </format>
    <format dxfId="869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686"/>
          </reference>
          <reference field="8" count="1" selected="0">
            <x v="1704"/>
          </reference>
          <reference field="14" count="1" selected="0">
            <x v="108"/>
          </reference>
          <reference field="15" count="1" selected="0">
            <x v="61"/>
          </reference>
          <reference field="26" count="1">
            <x v="647"/>
          </reference>
          <reference field="41" count="1" selected="0">
            <x v="862"/>
          </reference>
        </references>
      </pivotArea>
    </format>
    <format dxfId="868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720"/>
          </reference>
          <reference field="8" count="1" selected="0">
            <x v="1704"/>
          </reference>
          <reference field="14" count="1" selected="0">
            <x v="33"/>
          </reference>
          <reference field="15" count="1" selected="0">
            <x v="61"/>
          </reference>
          <reference field="26" count="1">
            <x v="525"/>
          </reference>
          <reference field="41" count="1" selected="0">
            <x v="862"/>
          </reference>
        </references>
      </pivotArea>
    </format>
    <format dxfId="867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1628"/>
          </reference>
          <reference field="8" count="1" selected="0">
            <x v="1429"/>
          </reference>
          <reference field="14" count="1" selected="0">
            <x v="152"/>
          </reference>
          <reference field="15" count="1" selected="0">
            <x v="71"/>
          </reference>
          <reference field="26" count="1">
            <x v="310"/>
          </reference>
          <reference field="41" count="1" selected="0">
            <x v="863"/>
          </reference>
        </references>
      </pivotArea>
    </format>
    <format dxfId="866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662"/>
          </reference>
          <reference field="8" count="1" selected="0">
            <x v="1647"/>
          </reference>
          <reference field="14" count="1" selected="0">
            <x v="128"/>
          </reference>
          <reference field="15" count="1" selected="0">
            <x v="61"/>
          </reference>
          <reference field="26" count="1">
            <x v="567"/>
          </reference>
          <reference field="41" count="1" selected="0">
            <x v="864"/>
          </reference>
        </references>
      </pivotArea>
    </format>
    <format dxfId="865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689"/>
          </reference>
          <reference field="8" count="1" selected="0">
            <x v="1704"/>
          </reference>
          <reference field="14" count="1" selected="0">
            <x v="107"/>
          </reference>
          <reference field="15" count="1" selected="0">
            <x v="61"/>
          </reference>
          <reference field="26" count="1">
            <x v="581"/>
          </reference>
          <reference field="41" count="1" selected="0">
            <x v="864"/>
          </reference>
        </references>
      </pivotArea>
    </format>
    <format dxfId="864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725"/>
          </reference>
          <reference field="8" count="1" selected="0">
            <x v="1704"/>
          </reference>
          <reference field="14" count="1" selected="0">
            <x v="33"/>
          </reference>
          <reference field="15" count="1" selected="0">
            <x v="61"/>
          </reference>
          <reference field="26" count="1">
            <x v="613"/>
          </reference>
          <reference field="41" count="1" selected="0">
            <x v="864"/>
          </reference>
        </references>
      </pivotArea>
    </format>
    <format dxfId="863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1772"/>
          </reference>
          <reference field="8" count="1" selected="0">
            <x v="1639"/>
          </reference>
          <reference field="14" count="1" selected="0">
            <x v="34"/>
          </reference>
          <reference field="15" count="1" selected="0">
            <x v="14"/>
          </reference>
          <reference field="26" count="1">
            <x v="363"/>
          </reference>
          <reference field="41" count="1" selected="0">
            <x v="866"/>
          </reference>
        </references>
      </pivotArea>
    </format>
    <format dxfId="862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1763"/>
          </reference>
          <reference field="8" count="1" selected="0">
            <x v="1704"/>
          </reference>
          <reference field="14" count="1" selected="0">
            <x v="0"/>
          </reference>
          <reference field="15" count="1" selected="0">
            <x v="46"/>
          </reference>
          <reference field="26" count="1">
            <x v="405"/>
          </reference>
          <reference field="41" count="1" selected="0">
            <x v="867"/>
          </reference>
        </references>
      </pivotArea>
    </format>
    <format dxfId="861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673"/>
          </reference>
          <reference field="8" count="1" selected="0">
            <x v="1648"/>
          </reference>
          <reference field="14" count="1" selected="0">
            <x v="37"/>
          </reference>
          <reference field="15" count="1" selected="0">
            <x v="61"/>
          </reference>
          <reference field="26" count="1">
            <x v="681"/>
          </reference>
          <reference field="41" count="1" selected="0">
            <x v="868"/>
          </reference>
        </references>
      </pivotArea>
    </format>
    <format dxfId="860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692"/>
          </reference>
          <reference field="8" count="1" selected="0">
            <x v="1704"/>
          </reference>
          <reference field="14" count="1" selected="0">
            <x v="107"/>
          </reference>
          <reference field="15" count="1" selected="0">
            <x v="61"/>
          </reference>
          <reference field="26" count="1">
            <x v="395"/>
          </reference>
          <reference field="41" count="1" selected="0">
            <x v="868"/>
          </reference>
        </references>
      </pivotArea>
    </format>
    <format dxfId="859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727"/>
          </reference>
          <reference field="8" count="1" selected="0">
            <x v="1649"/>
          </reference>
          <reference field="14" count="1" selected="0">
            <x v="33"/>
          </reference>
          <reference field="15" count="1" selected="0">
            <x v="61"/>
          </reference>
          <reference field="26" count="1">
            <x v="671"/>
          </reference>
          <reference field="41" count="1" selected="0">
            <x v="868"/>
          </reference>
        </references>
      </pivotArea>
    </format>
    <format dxfId="858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766"/>
          </reference>
          <reference field="8" count="1" selected="0">
            <x v="1652"/>
          </reference>
          <reference field="14" count="1" selected="0">
            <x v="62"/>
          </reference>
          <reference field="15" count="1" selected="0">
            <x v="46"/>
          </reference>
          <reference field="26" count="1">
            <x v="581"/>
          </reference>
          <reference field="41" count="1" selected="0">
            <x v="870"/>
          </reference>
        </references>
      </pivotArea>
    </format>
    <format dxfId="857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794"/>
          </reference>
          <reference field="8" count="1" selected="0">
            <x v="1704"/>
          </reference>
          <reference field="14" count="1" selected="0">
            <x v="155"/>
          </reference>
          <reference field="15" count="1" selected="0">
            <x v="71"/>
          </reference>
          <reference field="26" count="1">
            <x v="523"/>
          </reference>
          <reference field="41" count="1" selected="0">
            <x v="870"/>
          </reference>
        </references>
      </pivotArea>
    </format>
    <format dxfId="856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898"/>
          </reference>
          <reference field="8" count="1" selected="0">
            <x v="1680"/>
          </reference>
          <reference field="14" count="1" selected="0">
            <x v="105"/>
          </reference>
          <reference field="15" count="1" selected="0">
            <x v="46"/>
          </reference>
          <reference field="26" count="1">
            <x v="456"/>
          </reference>
          <reference field="41" count="1" selected="0">
            <x v="870"/>
          </reference>
        </references>
      </pivotArea>
    </format>
    <format dxfId="855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948"/>
          </reference>
          <reference field="8" count="1" selected="0">
            <x v="1690"/>
          </reference>
          <reference field="14" count="1" selected="0">
            <x v="106"/>
          </reference>
          <reference field="15" count="1" selected="0">
            <x v="46"/>
          </reference>
          <reference field="26" count="1">
            <x v="552"/>
          </reference>
          <reference field="41" count="1" selected="0">
            <x v="870"/>
          </reference>
        </references>
      </pivotArea>
    </format>
    <format dxfId="854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1729"/>
          </reference>
          <reference field="8" count="1" selected="0">
            <x v="1472"/>
          </reference>
          <reference field="14" count="1" selected="0">
            <x v="165"/>
          </reference>
          <reference field="15" count="1" selected="0">
            <x v="71"/>
          </reference>
          <reference field="26" count="1">
            <x v="45"/>
          </reference>
          <reference field="41" count="1" selected="0">
            <x v="871"/>
          </reference>
        </references>
      </pivotArea>
    </format>
    <format dxfId="853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1732"/>
          </reference>
          <reference field="8" count="1" selected="0">
            <x v="1473"/>
          </reference>
          <reference field="14" count="1" selected="0">
            <x v="166"/>
          </reference>
          <reference field="15" count="1" selected="0">
            <x v="71"/>
          </reference>
          <reference field="26" count="1">
            <x v="44"/>
          </reference>
          <reference field="41" count="1" selected="0">
            <x v="871"/>
          </reference>
        </references>
      </pivotArea>
    </format>
    <format dxfId="852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1734"/>
          </reference>
          <reference field="8" count="1" selected="0">
            <x v="1474"/>
          </reference>
          <reference field="14" count="1" selected="0">
            <x v="164"/>
          </reference>
          <reference field="15" count="1" selected="0">
            <x v="71"/>
          </reference>
          <reference field="26" count="1">
            <x v="27"/>
          </reference>
          <reference field="41" count="1" selected="0">
            <x v="871"/>
          </reference>
        </references>
      </pivotArea>
    </format>
    <format dxfId="851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343"/>
          </reference>
          <reference field="8" count="1" selected="0">
            <x v="1609"/>
          </reference>
          <reference field="14" count="1" selected="0">
            <x v="71"/>
          </reference>
          <reference field="15" count="1" selected="0">
            <x v="68"/>
          </reference>
          <reference field="26" count="1">
            <x v="374"/>
          </reference>
          <reference field="41" count="1" selected="0">
            <x v="872"/>
          </reference>
        </references>
      </pivotArea>
    </format>
    <format dxfId="850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356"/>
          </reference>
          <reference field="8" count="1" selected="0">
            <x v="1610"/>
          </reference>
          <reference field="14" count="1" selected="0">
            <x v="71"/>
          </reference>
          <reference field="15" count="1" selected="0">
            <x v="68"/>
          </reference>
          <reference field="26" count="1">
            <x v="513"/>
          </reference>
          <reference field="41" count="1" selected="0">
            <x v="872"/>
          </reference>
        </references>
      </pivotArea>
    </format>
    <format dxfId="849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770"/>
          </reference>
          <reference field="8" count="1" selected="0">
            <x v="1704"/>
          </reference>
          <reference field="14" count="1" selected="0">
            <x v="62"/>
          </reference>
          <reference field="15" count="1" selected="0">
            <x v="46"/>
          </reference>
          <reference field="26" count="1">
            <x v="606"/>
          </reference>
          <reference field="41" count="1" selected="0">
            <x v="872"/>
          </reference>
        </references>
      </pivotArea>
    </format>
    <format dxfId="848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950"/>
          </reference>
          <reference field="8" count="1" selected="0">
            <x v="1691"/>
          </reference>
          <reference field="14" count="1" selected="0">
            <x v="106"/>
          </reference>
          <reference field="15" count="1" selected="0">
            <x v="46"/>
          </reference>
          <reference field="26" count="1">
            <x v="456"/>
          </reference>
          <reference field="41" count="1" selected="0">
            <x v="872"/>
          </reference>
        </references>
      </pivotArea>
    </format>
    <format dxfId="847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533"/>
          </reference>
          <reference field="8" count="1" selected="0">
            <x v="1704"/>
          </reference>
          <reference field="14" count="1" selected="0">
            <x v="84"/>
          </reference>
          <reference field="15" count="1" selected="0">
            <x v="54"/>
          </reference>
          <reference field="26" count="1">
            <x v="175"/>
          </reference>
          <reference field="41" count="1" selected="0">
            <x v="873"/>
          </reference>
        </references>
      </pivotArea>
    </format>
    <format dxfId="846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24"/>
          </reference>
          <reference field="8" count="1" selected="0">
            <x v="1605"/>
          </reference>
          <reference field="14" count="1" selected="0">
            <x v="38"/>
          </reference>
          <reference field="15" count="1" selected="0">
            <x v="68"/>
          </reference>
          <reference field="26" count="1">
            <x v="363"/>
          </reference>
          <reference field="41" count="1" selected="0">
            <x v="874"/>
          </reference>
        </references>
      </pivotArea>
    </format>
    <format dxfId="845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821"/>
          </reference>
          <reference field="8" count="1" selected="0">
            <x v="1661"/>
          </reference>
          <reference field="14" count="1" selected="0">
            <x v="116"/>
          </reference>
          <reference field="15" count="1" selected="0">
            <x v="68"/>
          </reference>
          <reference field="26" count="1">
            <x v="621"/>
          </reference>
          <reference field="41" count="1" selected="0">
            <x v="874"/>
          </reference>
        </references>
      </pivotArea>
    </format>
    <format dxfId="844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773"/>
          </reference>
          <reference field="8" count="1" selected="0">
            <x v="1704"/>
          </reference>
          <reference field="14" count="1" selected="0">
            <x v="62"/>
          </reference>
          <reference field="15" count="1" selected="0">
            <x v="46"/>
          </reference>
          <reference field="26" count="1">
            <x v="621"/>
          </reference>
          <reference field="41" count="1" selected="0">
            <x v="875"/>
          </reference>
        </references>
      </pivotArea>
    </format>
    <format dxfId="843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901"/>
          </reference>
          <reference field="8" count="1" selected="0">
            <x v="1681"/>
          </reference>
          <reference field="14" count="1" selected="0">
            <x v="105"/>
          </reference>
          <reference field="15" count="1" selected="0">
            <x v="46"/>
          </reference>
          <reference field="26" count="1">
            <x v="456"/>
          </reference>
          <reference field="41" count="1" selected="0">
            <x v="875"/>
          </reference>
        </references>
      </pivotArea>
    </format>
    <format dxfId="842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951"/>
          </reference>
          <reference field="8" count="1" selected="0">
            <x v="1692"/>
          </reference>
          <reference field="14" count="1" selected="0">
            <x v="106"/>
          </reference>
          <reference field="15" count="1" selected="0">
            <x v="46"/>
          </reference>
          <reference field="26" count="1">
            <x v="456"/>
          </reference>
          <reference field="41" count="1" selected="0">
            <x v="875"/>
          </reference>
        </references>
      </pivotArea>
    </format>
    <format dxfId="841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43"/>
          </reference>
          <reference field="8" count="1" selected="0">
            <x v="1607"/>
          </reference>
          <reference field="14" count="1" selected="0">
            <x v="128"/>
          </reference>
          <reference field="15" count="1" selected="0">
            <x v="68"/>
          </reference>
          <reference field="26" count="1">
            <x v="552"/>
          </reference>
          <reference field="41" count="1" selected="0">
            <x v="876"/>
          </reference>
        </references>
      </pivotArea>
    </format>
    <format dxfId="840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52"/>
          </reference>
          <reference field="8" count="1" selected="0">
            <x v="1606"/>
          </reference>
          <reference field="14" count="1" selected="0">
            <x v="110"/>
          </reference>
          <reference field="15" count="1" selected="0">
            <x v="59"/>
          </reference>
          <reference field="26" count="1">
            <x v="664"/>
          </reference>
          <reference field="41" count="1" selected="0">
            <x v="876"/>
          </reference>
        </references>
      </pivotArea>
    </format>
    <format dxfId="839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82"/>
          </reference>
          <reference field="8" count="1" selected="0">
            <x v="1386"/>
          </reference>
          <reference field="14" count="1" selected="0">
            <x v="110"/>
          </reference>
          <reference field="15" count="1" selected="0">
            <x v="59"/>
          </reference>
          <reference field="26" count="1">
            <x v="456"/>
          </reference>
          <reference field="41" count="1" selected="0">
            <x v="876"/>
          </reference>
        </references>
      </pivotArea>
    </format>
    <format dxfId="838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84"/>
          </reference>
          <reference field="8" count="1" selected="0">
            <x v="1611"/>
          </reference>
          <reference field="14" count="1" selected="0">
            <x v="34"/>
          </reference>
          <reference field="15" count="1" selected="0">
            <x v="68"/>
          </reference>
          <reference field="26" count="1">
            <x v="552"/>
          </reference>
          <reference field="41" count="1" selected="0">
            <x v="876"/>
          </reference>
        </references>
      </pivotArea>
    </format>
    <format dxfId="837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781"/>
          </reference>
          <reference field="8" count="1" selected="0">
            <x v="1646"/>
          </reference>
          <reference field="14" count="1" selected="0">
            <x v="112"/>
          </reference>
          <reference field="15" count="1" selected="0">
            <x v="59"/>
          </reference>
          <reference field="26" count="1">
            <x v="588"/>
          </reference>
          <reference field="41" count="1" selected="0">
            <x v="876"/>
          </reference>
        </references>
      </pivotArea>
    </format>
    <format dxfId="836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938"/>
          </reference>
          <reference field="8" count="1" selected="0">
            <x v="1689"/>
          </reference>
          <reference field="14" count="1" selected="0">
            <x v="87"/>
          </reference>
          <reference field="15" count="1" selected="0">
            <x v="28"/>
          </reference>
          <reference field="26" count="1">
            <x v="205"/>
          </reference>
          <reference field="41" count="1" selected="0">
            <x v="879"/>
          </reference>
        </references>
      </pivotArea>
    </format>
    <format dxfId="835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1774"/>
          </reference>
          <reference field="8" count="1" selected="0">
            <x v="1704"/>
          </reference>
          <reference field="14" count="1" selected="0">
            <x v="34"/>
          </reference>
          <reference field="15" count="1" selected="0">
            <x v="14"/>
          </reference>
          <reference field="26" count="1">
            <x v="477"/>
          </reference>
          <reference field="41" count="1" selected="0">
            <x v="881"/>
          </reference>
        </references>
      </pivotArea>
    </format>
    <format dxfId="834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1782"/>
          </reference>
          <reference field="8" count="1" selected="0">
            <x v="1499"/>
          </reference>
          <reference field="14" count="1" selected="0">
            <x v="63"/>
          </reference>
          <reference field="15" count="1" selected="0">
            <x v="14"/>
          </reference>
          <reference field="26" count="1">
            <x v="456"/>
          </reference>
          <reference field="41" count="1" selected="0">
            <x v="881"/>
          </reference>
        </references>
      </pivotArea>
    </format>
    <format dxfId="833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858"/>
          </reference>
          <reference field="8" count="1" selected="0">
            <x v="1687"/>
          </reference>
          <reference field="14" count="1" selected="0">
            <x v="22"/>
          </reference>
          <reference field="15" count="1" selected="0">
            <x v="35"/>
          </reference>
          <reference field="26" count="1">
            <x v="263"/>
          </reference>
          <reference field="41" count="1" selected="0">
            <x v="882"/>
          </reference>
        </references>
      </pivotArea>
    </format>
    <format dxfId="832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98"/>
          </reference>
          <reference field="8" count="1" selected="0">
            <x v="1704"/>
          </reference>
          <reference field="14" count="1" selected="0">
            <x v="116"/>
          </reference>
          <reference field="15" count="1" selected="0">
            <x v="68"/>
          </reference>
          <reference field="26" count="1">
            <x v="552"/>
          </reference>
          <reference field="41" count="1" selected="0">
            <x v="883"/>
          </reference>
        </references>
      </pivotArea>
    </format>
    <format dxfId="831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501"/>
          </reference>
          <reference field="8" count="1" selected="0">
            <x v="1653"/>
          </reference>
          <reference field="14" count="1" selected="0">
            <x v="116"/>
          </reference>
          <reference field="15" count="1" selected="0">
            <x v="68"/>
          </reference>
          <reference field="26" count="1">
            <x v="675"/>
          </reference>
          <reference field="41" count="1" selected="0">
            <x v="883"/>
          </reference>
        </references>
      </pivotArea>
    </format>
    <format dxfId="830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504"/>
          </reference>
          <reference field="8" count="1" selected="0">
            <x v="1654"/>
          </reference>
          <reference field="14" count="1" selected="0">
            <x v="116"/>
          </reference>
          <reference field="15" count="1" selected="0">
            <x v="68"/>
          </reference>
          <reference field="26" count="1">
            <x v="621"/>
          </reference>
          <reference field="41" count="1" selected="0">
            <x v="883"/>
          </reference>
        </references>
      </pivotArea>
    </format>
    <format dxfId="829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654"/>
          </reference>
          <reference field="8" count="1" selected="0">
            <x v="1655"/>
          </reference>
          <reference field="14" count="1" selected="0">
            <x v="114"/>
          </reference>
          <reference field="15" count="1" selected="0">
            <x v="68"/>
          </reference>
          <reference field="26" count="1">
            <x v="456"/>
          </reference>
          <reference field="41" count="1" selected="0">
            <x v="883"/>
          </reference>
        </references>
      </pivotArea>
    </format>
    <format dxfId="828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966"/>
          </reference>
          <reference field="8" count="1" selected="0">
            <x v="1698"/>
          </reference>
          <reference field="14" count="1" selected="0">
            <x v="116"/>
          </reference>
          <reference field="15" count="1" selected="0">
            <x v="68"/>
          </reference>
          <reference field="26" count="1">
            <x v="664"/>
          </reference>
          <reference field="41" count="1" selected="0">
            <x v="883"/>
          </reference>
        </references>
      </pivotArea>
    </format>
    <format dxfId="827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969"/>
          </reference>
          <reference field="8" count="1" selected="0">
            <x v="1699"/>
          </reference>
          <reference field="14" count="1" selected="0">
            <x v="116"/>
          </reference>
          <reference field="15" count="1" selected="0">
            <x v="68"/>
          </reference>
          <reference field="26" count="1">
            <x v="594"/>
          </reference>
          <reference field="41" count="1" selected="0">
            <x v="883"/>
          </reference>
        </references>
      </pivotArea>
    </format>
    <format dxfId="826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882"/>
          </reference>
          <reference field="8" count="1" selected="0">
            <x v="1675"/>
          </reference>
          <reference field="14" count="1" selected="0">
            <x v="110"/>
          </reference>
          <reference field="15" count="1" selected="0">
            <x v="59"/>
          </reference>
          <reference field="26" count="1">
            <x v="664"/>
          </reference>
          <reference field="41" count="1" selected="0">
            <x v="884"/>
          </reference>
        </references>
      </pivotArea>
    </format>
    <format dxfId="825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1642"/>
          </reference>
          <reference field="8" count="1" selected="0">
            <x v="1431"/>
          </reference>
          <reference field="14" count="1" selected="0">
            <x v="34"/>
          </reference>
          <reference field="15" count="1" selected="0">
            <x v="14"/>
          </reference>
          <reference field="26" count="1">
            <x v="376"/>
          </reference>
          <reference field="41" count="1" selected="0">
            <x v="885"/>
          </reference>
        </references>
      </pivotArea>
    </format>
    <format dxfId="824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1643"/>
          </reference>
          <reference field="8" count="1" selected="0">
            <x v="1529"/>
          </reference>
          <reference field="14" count="1" selected="0">
            <x v="34"/>
          </reference>
          <reference field="15" count="1" selected="0">
            <x v="14"/>
          </reference>
          <reference field="26" count="1">
            <x v="453"/>
          </reference>
          <reference field="41" count="1" selected="0">
            <x v="885"/>
          </reference>
        </references>
      </pivotArea>
    </format>
    <format dxfId="823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1783"/>
          </reference>
          <reference field="8" count="1" selected="0">
            <x v="1499"/>
          </reference>
          <reference field="14" count="1" selected="0">
            <x v="63"/>
          </reference>
          <reference field="15" count="1" selected="0">
            <x v="14"/>
          </reference>
          <reference field="26" count="1">
            <x v="639"/>
          </reference>
          <reference field="41" count="1" selected="0">
            <x v="885"/>
          </reference>
        </references>
      </pivotArea>
    </format>
    <format dxfId="822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854"/>
          </reference>
          <reference field="8" count="1" selected="0">
            <x v="1688"/>
          </reference>
          <reference field="14" count="1" selected="0">
            <x v="22"/>
          </reference>
          <reference field="15" count="1" selected="0">
            <x v="35"/>
          </reference>
          <reference field="26" count="1">
            <x v="390"/>
          </reference>
          <reference field="41" count="1" selected="0">
            <x v="886"/>
          </reference>
        </references>
      </pivotArea>
    </format>
    <format dxfId="821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872"/>
          </reference>
          <reference field="8" count="1" selected="0">
            <x v="1674"/>
          </reference>
          <reference field="14" count="1" selected="0">
            <x v="111"/>
          </reference>
          <reference field="15" count="1" selected="0">
            <x v="35"/>
          </reference>
          <reference field="26" count="1">
            <x v="111"/>
          </reference>
          <reference field="41" count="1" selected="0">
            <x v="887"/>
          </reference>
        </references>
      </pivotArea>
    </format>
    <format dxfId="820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143"/>
          </reference>
          <reference field="8" count="1" selected="0">
            <x v="1560"/>
          </reference>
          <reference field="14" count="1" selected="0">
            <x v="67"/>
          </reference>
          <reference field="15" count="1" selected="0">
            <x v="59"/>
          </reference>
          <reference field="26" count="1">
            <x v="422"/>
          </reference>
          <reference field="41" count="1" selected="0">
            <x v="888"/>
          </reference>
        </references>
      </pivotArea>
    </format>
    <format dxfId="819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267"/>
          </reference>
          <reference field="8" count="1" selected="0">
            <x v="1582"/>
          </reference>
          <reference field="14" count="1" selected="0">
            <x v="92"/>
          </reference>
          <reference field="15" count="1" selected="0">
            <x v="17"/>
          </reference>
          <reference field="26" count="1">
            <x v="613"/>
          </reference>
          <reference field="41" count="1" selected="0">
            <x v="888"/>
          </reference>
        </references>
      </pivotArea>
    </format>
    <format dxfId="818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268"/>
          </reference>
          <reference field="8" count="1" selected="0">
            <x v="1583"/>
          </reference>
          <reference field="14" count="1" selected="0">
            <x v="92"/>
          </reference>
          <reference field="15" count="1" selected="0">
            <x v="17"/>
          </reference>
          <reference field="26" count="1">
            <x v="630"/>
          </reference>
          <reference field="41" count="1" selected="0">
            <x v="888"/>
          </reference>
        </references>
      </pivotArea>
    </format>
    <format dxfId="817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64"/>
          </reference>
          <reference field="8" count="1" selected="0">
            <x v="1608"/>
          </reference>
          <reference field="14" count="1" selected="0">
            <x v="92"/>
          </reference>
          <reference field="15" count="1" selected="0">
            <x v="68"/>
          </reference>
          <reference field="26" count="1">
            <x v="363"/>
          </reference>
          <reference field="41" count="1" selected="0">
            <x v="888"/>
          </reference>
        </references>
      </pivotArea>
    </format>
    <format dxfId="816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645"/>
          </reference>
          <reference field="8" count="1" selected="0">
            <x v="1645"/>
          </reference>
          <reference field="14" count="1" selected="0">
            <x v="67"/>
          </reference>
          <reference field="15" count="1" selected="0">
            <x v="59"/>
          </reference>
          <reference field="26" count="1">
            <x v="594"/>
          </reference>
          <reference field="41" count="1" selected="0">
            <x v="888"/>
          </reference>
        </references>
      </pivotArea>
    </format>
    <format dxfId="815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925"/>
          </reference>
          <reference field="8" count="1" selected="0">
            <x v="1676"/>
          </reference>
          <reference field="14" count="1" selected="0">
            <x v="92"/>
          </reference>
          <reference field="15" count="1" selected="0">
            <x v="67"/>
          </reference>
          <reference field="26" count="1">
            <x v="621"/>
          </reference>
          <reference field="41" count="1" selected="0">
            <x v="888"/>
          </reference>
        </references>
      </pivotArea>
    </format>
    <format dxfId="814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888"/>
          </reference>
          <reference field="8" count="1" selected="0">
            <x v="1673"/>
          </reference>
          <reference field="14" count="1" selected="0">
            <x v="89"/>
          </reference>
          <reference field="15" count="1" selected="0">
            <x v="53"/>
          </reference>
          <reference field="26" count="1">
            <x v="71"/>
          </reference>
          <reference field="41" count="1" selected="0">
            <x v="889"/>
          </reference>
        </references>
      </pivotArea>
    </format>
    <format dxfId="813">
      <pivotArea type="topRight" dataOnly="0" labelOnly="1" outline="0" fieldPosition="0"/>
    </format>
    <format dxfId="812">
      <pivotArea field="87" type="button" dataOnly="0" labelOnly="1" outline="0"/>
    </format>
    <format dxfId="811">
      <pivotArea field="88" type="button" dataOnly="0" labelOnly="1" outline="0"/>
    </format>
    <format dxfId="810">
      <pivotArea field="87" type="button" dataOnly="0" labelOnly="1" outline="0"/>
    </format>
    <format dxfId="809">
      <pivotArea field="88" type="button" dataOnly="0" labelOnly="1" outline="0"/>
    </format>
    <format dxfId="808">
      <pivotArea field="87" type="button" dataOnly="0" labelOnly="1" outline="0"/>
    </format>
    <format dxfId="807">
      <pivotArea field="88" type="button" dataOnly="0" labelOnly="1" outline="0"/>
    </format>
    <format dxfId="806">
      <pivotArea field="41" type="button" dataOnly="0" labelOnly="1" outline="0" axis="axisRow" fieldPosition="0"/>
    </format>
    <format dxfId="805">
      <pivotArea field="3" type="button" dataOnly="0" labelOnly="1" outline="0" axis="axisRow" fieldPosition="1"/>
    </format>
    <format dxfId="804">
      <pivotArea field="6" type="button" dataOnly="0" labelOnly="1" outline="0" axis="axisRow" fieldPosition="2"/>
    </format>
    <format dxfId="803">
      <pivotArea field="8" type="button" dataOnly="0" labelOnly="1" outline="0" axis="axisRow" fieldPosition="4"/>
    </format>
    <format dxfId="802">
      <pivotArea field="16" type="button" dataOnly="0" labelOnly="1" outline="0"/>
    </format>
    <format dxfId="801">
      <pivotArea field="15" type="button" dataOnly="0" labelOnly="1" outline="0" axis="axisRow" fieldPosition="6"/>
    </format>
    <format dxfId="800">
      <pivotArea field="14" type="button" dataOnly="0" labelOnly="1" outline="0" axis="axisRow" fieldPosition="7"/>
    </format>
    <format dxfId="799">
      <pivotArea field="26" type="button" dataOnly="0" labelOnly="1" outline="0" axis="axisRow" fieldPosition="8"/>
    </format>
    <format dxfId="798">
      <pivotArea field="67" type="button" dataOnly="0" labelOnly="1" outline="0" axis="axisRow" fieldPosition="10"/>
    </format>
    <format dxfId="797">
      <pivotArea field="71" type="button" dataOnly="0" labelOnly="1" outline="0" axis="axisRow" fieldPosition="11"/>
    </format>
    <format dxfId="796">
      <pivotArea field="48" type="button" dataOnly="0" labelOnly="1" outline="0" axis="axisRow" fieldPosition="13"/>
    </format>
    <format dxfId="795">
      <pivotArea field="50" type="button" dataOnly="0" labelOnly="1" outline="0" axis="axisRow" fieldPosition="17"/>
    </format>
    <format dxfId="794">
      <pivotArea field="52" type="button" dataOnly="0" labelOnly="1" outline="0" axis="axisRow" fieldPosition="18"/>
    </format>
    <format dxfId="793">
      <pivotArea type="origin" dataOnly="0" labelOnly="1" outline="0" fieldPosition="0"/>
    </format>
    <format dxfId="792">
      <pivotArea dataOnly="0" labelOnly="1" outline="0" fieldPosition="0">
        <references count="1">
          <reference field="41" count="20">
            <x v="828"/>
            <x v="829"/>
            <x v="833"/>
            <x v="834"/>
            <x v="835"/>
            <x v="836"/>
            <x v="838"/>
            <x v="840"/>
            <x v="843"/>
            <x v="844"/>
            <x v="845"/>
            <x v="849"/>
            <x v="853"/>
            <x v="854"/>
            <x v="855"/>
            <x v="856"/>
            <x v="860"/>
            <x v="861"/>
            <x v="863"/>
            <x v="867"/>
          </reference>
        </references>
      </pivotArea>
    </format>
    <format dxfId="791">
      <pivotArea dataOnly="0" labelOnly="1" grandRow="1" outline="0" fieldPosition="0"/>
    </format>
    <format dxfId="790">
      <pivotArea dataOnly="0" labelOnly="1" outline="0" fieldPosition="0">
        <references count="1">
          <reference field="41" count="20">
            <x v="828"/>
            <x v="829"/>
            <x v="833"/>
            <x v="834"/>
            <x v="835"/>
            <x v="836"/>
            <x v="838"/>
            <x v="840"/>
            <x v="843"/>
            <x v="844"/>
            <x v="845"/>
            <x v="849"/>
            <x v="853"/>
            <x v="854"/>
            <x v="855"/>
            <x v="856"/>
            <x v="860"/>
            <x v="861"/>
            <x v="863"/>
            <x v="867"/>
          </reference>
        </references>
      </pivotArea>
    </format>
    <format dxfId="789">
      <pivotArea dataOnly="0" labelOnly="1" grandRow="1" outline="0" fieldPosition="0"/>
    </format>
    <format dxfId="788">
      <pivotArea dataOnly="0" labelOnly="1" outline="0" fieldPosition="0">
        <references count="2">
          <reference field="3" count="1">
            <x v="6"/>
          </reference>
          <reference field="41" count="1" selected="0">
            <x v="828"/>
          </reference>
        </references>
      </pivotArea>
    </format>
    <format dxfId="787">
      <pivotArea dataOnly="0" labelOnly="1" outline="0" fieldPosition="0">
        <references count="2">
          <reference field="3" count="3">
            <x v="1"/>
            <x v="3"/>
            <x v="6"/>
          </reference>
          <reference field="41" count="1" selected="0">
            <x v="833"/>
          </reference>
        </references>
      </pivotArea>
    </format>
    <format dxfId="786">
      <pivotArea dataOnly="0" labelOnly="1" outline="0" fieldPosition="0">
        <references count="2">
          <reference field="3" count="1">
            <x v="2"/>
          </reference>
          <reference field="41" count="1" selected="0">
            <x v="834"/>
          </reference>
        </references>
      </pivotArea>
    </format>
    <format dxfId="785">
      <pivotArea dataOnly="0" labelOnly="1" outline="0" fieldPosition="0">
        <references count="3">
          <reference field="3" count="1" selected="0">
            <x v="6"/>
          </reference>
          <reference field="6" count="1">
            <x v="410"/>
          </reference>
          <reference field="41" count="1" selected="0">
            <x v="828"/>
          </reference>
        </references>
      </pivotArea>
    </format>
    <format dxfId="784">
      <pivotArea dataOnly="0" labelOnly="1" outline="0" fieldPosition="0">
        <references count="3">
          <reference field="3" count="1" selected="0">
            <x v="6"/>
          </reference>
          <reference field="6" count="1">
            <x v="406"/>
          </reference>
          <reference field="41" count="1" selected="0">
            <x v="829"/>
          </reference>
        </references>
      </pivotArea>
    </format>
    <format dxfId="783">
      <pivotArea dataOnly="0" labelOnly="1" outline="0" fieldPosition="0">
        <references count="3">
          <reference field="3" count="1" selected="0">
            <x v="1"/>
          </reference>
          <reference field="6" count="1">
            <x v="1498"/>
          </reference>
          <reference field="41" count="1" selected="0">
            <x v="833"/>
          </reference>
        </references>
      </pivotArea>
    </format>
    <format dxfId="782">
      <pivotArea dataOnly="0" labelOnly="1" outline="0" fieldPosition="0">
        <references count="3">
          <reference field="3" count="1" selected="0">
            <x v="3"/>
          </reference>
          <reference field="6" count="1">
            <x v="37"/>
          </reference>
          <reference field="41" count="1" selected="0">
            <x v="833"/>
          </reference>
        </references>
      </pivotArea>
    </format>
    <format dxfId="781">
      <pivotArea dataOnly="0" labelOnly="1" outline="0" fieldPosition="0">
        <references count="3">
          <reference field="3" count="1" selected="0">
            <x v="6"/>
          </reference>
          <reference field="6" count="1">
            <x v="411"/>
          </reference>
          <reference field="41" count="1" selected="0">
            <x v="833"/>
          </reference>
        </references>
      </pivotArea>
    </format>
    <format dxfId="780">
      <pivotArea dataOnly="0" labelOnly="1" outline="0" fieldPosition="0">
        <references count="3">
          <reference field="3" count="1" selected="0">
            <x v="2"/>
          </reference>
          <reference field="6" count="3">
            <x v="379"/>
            <x v="412"/>
            <x v="586"/>
          </reference>
          <reference field="41" count="1" selected="0">
            <x v="834"/>
          </reference>
        </references>
      </pivotArea>
    </format>
    <format dxfId="779">
      <pivotArea dataOnly="0" labelOnly="1" outline="0" fieldPosition="0">
        <references count="3">
          <reference field="3" count="1" selected="0">
            <x v="2"/>
          </reference>
          <reference field="6" count="3">
            <x v="554"/>
            <x v="558"/>
            <x v="562"/>
          </reference>
          <reference field="41" count="1" selected="0">
            <x v="835"/>
          </reference>
        </references>
      </pivotArea>
    </format>
    <format dxfId="778">
      <pivotArea dataOnly="0" labelOnly="1" outline="0" fieldPosition="0">
        <references count="3">
          <reference field="3" count="1" selected="0">
            <x v="2"/>
          </reference>
          <reference field="6" count="2">
            <x v="600"/>
            <x v="603"/>
          </reference>
          <reference field="41" count="1" selected="0">
            <x v="836"/>
          </reference>
        </references>
      </pivotArea>
    </format>
    <format dxfId="777">
      <pivotArea dataOnly="0" labelOnly="1" outline="0" fieldPosition="0">
        <references count="3">
          <reference field="3" count="1" selected="0">
            <x v="2"/>
          </reference>
          <reference field="6" count="1">
            <x v="290"/>
          </reference>
          <reference field="41" count="1" selected="0">
            <x v="838"/>
          </reference>
        </references>
      </pivotArea>
    </format>
    <format dxfId="776">
      <pivotArea dataOnly="0" labelOnly="1" outline="0" fieldPosition="0">
        <references count="3">
          <reference field="3" count="1" selected="0">
            <x v="2"/>
          </reference>
          <reference field="6" count="4">
            <x v="276"/>
            <x v="477"/>
            <x v="520"/>
            <x v="1770"/>
          </reference>
          <reference field="41" count="1" selected="0">
            <x v="840"/>
          </reference>
        </references>
      </pivotArea>
    </format>
    <format dxfId="775">
      <pivotArea dataOnly="0" labelOnly="1" outline="0" fieldPosition="0">
        <references count="3">
          <reference field="3" count="1" selected="0">
            <x v="2"/>
          </reference>
          <reference field="6" count="1">
            <x v="1752"/>
          </reference>
          <reference field="41" count="1" selected="0">
            <x v="843"/>
          </reference>
        </references>
      </pivotArea>
    </format>
    <format dxfId="774">
      <pivotArea dataOnly="0" labelOnly="1" outline="0" fieldPosition="0">
        <references count="3">
          <reference field="3" count="1" selected="0">
            <x v="2"/>
          </reference>
          <reference field="6" count="1">
            <x v="97"/>
          </reference>
          <reference field="41" count="1" selected="0">
            <x v="844"/>
          </reference>
        </references>
      </pivotArea>
    </format>
    <format dxfId="773">
      <pivotArea dataOnly="0" labelOnly="1" outline="0" fieldPosition="0">
        <references count="3">
          <reference field="3" count="1" selected="0">
            <x v="2"/>
          </reference>
          <reference field="6" count="1">
            <x v="537"/>
          </reference>
          <reference field="41" count="1" selected="0">
            <x v="845"/>
          </reference>
        </references>
      </pivotArea>
    </format>
    <format dxfId="772">
      <pivotArea dataOnly="0" labelOnly="1" outline="0" fieldPosition="0">
        <references count="3">
          <reference field="3" count="1" selected="0">
            <x v="2"/>
          </reference>
          <reference field="6" count="1">
            <x v="846"/>
          </reference>
          <reference field="41" count="1" selected="0">
            <x v="849"/>
          </reference>
        </references>
      </pivotArea>
    </format>
    <format dxfId="771">
      <pivotArea dataOnly="0" labelOnly="1" outline="0" fieldPosition="0">
        <references count="3">
          <reference field="3" count="1" selected="0">
            <x v="2"/>
          </reference>
          <reference field="6" count="1">
            <x v="255"/>
          </reference>
          <reference field="41" count="1" selected="0">
            <x v="853"/>
          </reference>
        </references>
      </pivotArea>
    </format>
    <format dxfId="770">
      <pivotArea dataOnly="0" labelOnly="1" outline="0" fieldPosition="0">
        <references count="3">
          <reference field="3" count="1" selected="0">
            <x v="2"/>
          </reference>
          <reference field="6" count="1">
            <x v="531"/>
          </reference>
          <reference field="41" count="1" selected="0">
            <x v="854"/>
          </reference>
        </references>
      </pivotArea>
    </format>
    <format dxfId="769">
      <pivotArea dataOnly="0" labelOnly="1" outline="0" fieldPosition="0">
        <references count="3">
          <reference field="3" count="1" selected="0">
            <x v="2"/>
          </reference>
          <reference field="6" count="1">
            <x v="241"/>
          </reference>
          <reference field="41" count="1" selected="0">
            <x v="855"/>
          </reference>
        </references>
      </pivotArea>
    </format>
    <format dxfId="768">
      <pivotArea dataOnly="0" labelOnly="1" outline="0" fieldPosition="0">
        <references count="3">
          <reference field="3" count="1" selected="0">
            <x v="2"/>
          </reference>
          <reference field="6" count="2">
            <x v="1753"/>
            <x v="1754"/>
          </reference>
          <reference field="41" count="1" selected="0">
            <x v="856"/>
          </reference>
        </references>
      </pivotArea>
    </format>
    <format dxfId="767">
      <pivotArea dataOnly="0" labelOnly="1" outline="0" fieldPosition="0">
        <references count="3">
          <reference field="3" count="1" selected="0">
            <x v="2"/>
          </reference>
          <reference field="6" count="1">
            <x v="129"/>
          </reference>
          <reference field="41" count="1" selected="0">
            <x v="860"/>
          </reference>
        </references>
      </pivotArea>
    </format>
    <format dxfId="766">
      <pivotArea dataOnly="0" labelOnly="1" outline="0" fieldPosition="0">
        <references count="3">
          <reference field="3" count="1" selected="0">
            <x v="2"/>
          </reference>
          <reference field="6" count="1">
            <x v="1755"/>
          </reference>
          <reference field="41" count="1" selected="0">
            <x v="861"/>
          </reference>
        </references>
      </pivotArea>
    </format>
    <format dxfId="765">
      <pivotArea dataOnly="0" labelOnly="1" outline="0" fieldPosition="0">
        <references count="3">
          <reference field="3" count="1" selected="0">
            <x v="2"/>
          </reference>
          <reference field="6" count="1">
            <x v="1628"/>
          </reference>
          <reference field="41" count="1" selected="0">
            <x v="863"/>
          </reference>
        </references>
      </pivotArea>
    </format>
    <format dxfId="764">
      <pivotArea dataOnly="0" labelOnly="1" outline="0" fieldPosition="0">
        <references count="3">
          <reference field="3" count="1" selected="0">
            <x v="2"/>
          </reference>
          <reference field="6" count="1">
            <x v="1763"/>
          </reference>
          <reference field="41" count="1" selected="0">
            <x v="867"/>
          </reference>
        </references>
      </pivotArea>
    </format>
    <format dxfId="763">
      <pivotArea dataOnly="0" labelOnly="1" outline="0" fieldPosition="0">
        <references count="4">
          <reference field="3" count="1" selected="0">
            <x v="6"/>
          </reference>
          <reference field="6" count="1" selected="0">
            <x v="410"/>
          </reference>
          <reference field="41" count="1" selected="0">
            <x v="828"/>
          </reference>
          <reference field="44" count="1">
            <x v="895"/>
          </reference>
        </references>
      </pivotArea>
    </format>
    <format dxfId="762">
      <pivotArea dataOnly="0" labelOnly="1" outline="0" fieldPosition="0">
        <references count="4">
          <reference field="3" count="1" selected="0">
            <x v="6"/>
          </reference>
          <reference field="6" count="1" selected="0">
            <x v="406"/>
          </reference>
          <reference field="41" count="1" selected="0">
            <x v="829"/>
          </reference>
          <reference field="44" count="1">
            <x v="896"/>
          </reference>
        </references>
      </pivotArea>
    </format>
    <format dxfId="761">
      <pivotArea dataOnly="0" labelOnly="1" outline="0" fieldPosition="0">
        <references count="4">
          <reference field="3" count="1" selected="0">
            <x v="1"/>
          </reference>
          <reference field="6" count="1" selected="0">
            <x v="1498"/>
          </reference>
          <reference field="41" count="1" selected="0">
            <x v="833"/>
          </reference>
          <reference field="44" count="1">
            <x v="902"/>
          </reference>
        </references>
      </pivotArea>
    </format>
    <format dxfId="760">
      <pivotArea dataOnly="0" labelOnly="1" outline="0" fieldPosition="0">
        <references count="4">
          <reference field="3" count="1" selected="0">
            <x v="3"/>
          </reference>
          <reference field="6" count="1" selected="0">
            <x v="37"/>
          </reference>
          <reference field="41" count="1" selected="0">
            <x v="833"/>
          </reference>
          <reference field="44" count="1">
            <x v="901"/>
          </reference>
        </references>
      </pivotArea>
    </format>
    <format dxfId="759">
      <pivotArea dataOnly="0" labelOnly="1" outline="0" fieldPosition="0">
        <references count="4">
          <reference field="3" count="1" selected="0">
            <x v="6"/>
          </reference>
          <reference field="6" count="1" selected="0">
            <x v="411"/>
          </reference>
          <reference field="41" count="1" selected="0">
            <x v="833"/>
          </reference>
          <reference field="44" count="1">
            <x v="900"/>
          </reference>
        </references>
      </pivotArea>
    </format>
    <format dxfId="758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379"/>
          </reference>
          <reference field="41" count="1" selected="0">
            <x v="834"/>
          </reference>
          <reference field="44" count="1">
            <x v="905"/>
          </reference>
        </references>
      </pivotArea>
    </format>
    <format dxfId="757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586"/>
          </reference>
          <reference field="41" count="1" selected="0">
            <x v="834"/>
          </reference>
          <reference field="44" count="1">
            <x v="905"/>
          </reference>
        </references>
      </pivotArea>
    </format>
    <format dxfId="756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558"/>
          </reference>
          <reference field="41" count="1" selected="0">
            <x v="835"/>
          </reference>
          <reference field="44" count="1">
            <x v="906"/>
          </reference>
        </references>
      </pivotArea>
    </format>
    <format dxfId="755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562"/>
          </reference>
          <reference field="41" count="1" selected="0">
            <x v="835"/>
          </reference>
          <reference field="44" count="1">
            <x v="907"/>
          </reference>
        </references>
      </pivotArea>
    </format>
    <format dxfId="754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600"/>
          </reference>
          <reference field="41" count="1" selected="0">
            <x v="836"/>
          </reference>
          <reference field="44" count="1">
            <x v="906"/>
          </reference>
        </references>
      </pivotArea>
    </format>
    <format dxfId="753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603"/>
          </reference>
          <reference field="41" count="1" selected="0">
            <x v="836"/>
          </reference>
          <reference field="44" count="1">
            <x v="907"/>
          </reference>
        </references>
      </pivotArea>
    </format>
    <format dxfId="752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290"/>
          </reference>
          <reference field="41" count="1" selected="0">
            <x v="838"/>
          </reference>
          <reference field="44" count="1">
            <x v="909"/>
          </reference>
        </references>
      </pivotArea>
    </format>
    <format dxfId="751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276"/>
          </reference>
          <reference field="41" count="1" selected="0">
            <x v="840"/>
          </reference>
          <reference field="44" count="1">
            <x v="910"/>
          </reference>
        </references>
      </pivotArea>
    </format>
    <format dxfId="750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477"/>
          </reference>
          <reference field="41" count="1" selected="0">
            <x v="840"/>
          </reference>
          <reference field="44" count="1">
            <x v="911"/>
          </reference>
        </references>
      </pivotArea>
    </format>
    <format dxfId="749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520"/>
          </reference>
          <reference field="41" count="1" selected="0">
            <x v="840"/>
          </reference>
          <reference field="44" count="1">
            <x v="908"/>
          </reference>
        </references>
      </pivotArea>
    </format>
    <format dxfId="748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1770"/>
          </reference>
          <reference field="41" count="1" selected="0">
            <x v="840"/>
          </reference>
          <reference field="44" count="1">
            <x v="911"/>
          </reference>
        </references>
      </pivotArea>
    </format>
    <format dxfId="747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1752"/>
          </reference>
          <reference field="41" count="1" selected="0">
            <x v="843"/>
          </reference>
          <reference field="44" count="1">
            <x v="915"/>
          </reference>
        </references>
      </pivotArea>
    </format>
    <format dxfId="746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97"/>
          </reference>
          <reference field="41" count="1" selected="0">
            <x v="844"/>
          </reference>
          <reference field="44" count="1">
            <x v="916"/>
          </reference>
        </references>
      </pivotArea>
    </format>
    <format dxfId="745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537"/>
          </reference>
          <reference field="41" count="1" selected="0">
            <x v="845"/>
          </reference>
          <reference field="44" count="1">
            <x v="917"/>
          </reference>
        </references>
      </pivotArea>
    </format>
    <format dxfId="744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846"/>
          </reference>
          <reference field="41" count="1" selected="0">
            <x v="849"/>
          </reference>
          <reference field="44" count="1">
            <x v="921"/>
          </reference>
        </references>
      </pivotArea>
    </format>
    <format dxfId="743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255"/>
          </reference>
          <reference field="41" count="1" selected="0">
            <x v="853"/>
          </reference>
          <reference field="44" count="1">
            <x v="924"/>
          </reference>
        </references>
      </pivotArea>
    </format>
    <format dxfId="742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531"/>
          </reference>
          <reference field="41" count="1" selected="0">
            <x v="854"/>
          </reference>
          <reference field="44" count="1">
            <x v="926"/>
          </reference>
        </references>
      </pivotArea>
    </format>
    <format dxfId="741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241"/>
          </reference>
          <reference field="41" count="1" selected="0">
            <x v="855"/>
          </reference>
          <reference field="44" count="1">
            <x v="925"/>
          </reference>
        </references>
      </pivotArea>
    </format>
    <format dxfId="740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1753"/>
          </reference>
          <reference field="41" count="1" selected="0">
            <x v="856"/>
          </reference>
          <reference field="44" count="1">
            <x v="927"/>
          </reference>
        </references>
      </pivotArea>
    </format>
    <format dxfId="739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129"/>
          </reference>
          <reference field="41" count="1" selected="0">
            <x v="860"/>
          </reference>
          <reference field="44" count="1">
            <x v="929"/>
          </reference>
        </references>
      </pivotArea>
    </format>
    <format dxfId="738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1755"/>
          </reference>
          <reference field="41" count="1" selected="0">
            <x v="861"/>
          </reference>
          <reference field="44" count="1">
            <x v="930"/>
          </reference>
        </references>
      </pivotArea>
    </format>
    <format dxfId="737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1628"/>
          </reference>
          <reference field="41" count="1" selected="0">
            <x v="863"/>
          </reference>
          <reference field="44" count="1">
            <x v="933"/>
          </reference>
        </references>
      </pivotArea>
    </format>
    <format dxfId="736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1763"/>
          </reference>
          <reference field="41" count="1" selected="0">
            <x v="867"/>
          </reference>
          <reference field="44" count="1">
            <x v="936"/>
          </reference>
        </references>
      </pivotArea>
    </format>
    <format dxfId="735">
      <pivotArea dataOnly="0" labelOnly="1" outline="0" fieldPosition="0">
        <references count="5">
          <reference field="3" count="1" selected="0">
            <x v="6"/>
          </reference>
          <reference field="6" count="1" selected="0">
            <x v="410"/>
          </reference>
          <reference field="8" count="1">
            <x v="1666"/>
          </reference>
          <reference field="41" count="1" selected="0">
            <x v="828"/>
          </reference>
          <reference field="44" count="1" selected="0">
            <x v="895"/>
          </reference>
        </references>
      </pivotArea>
    </format>
    <format dxfId="734">
      <pivotArea dataOnly="0" labelOnly="1" outline="0" fieldPosition="0">
        <references count="5">
          <reference field="3" count="1" selected="0">
            <x v="6"/>
          </reference>
          <reference field="6" count="1" selected="0">
            <x v="406"/>
          </reference>
          <reference field="8" count="1">
            <x v="1693"/>
          </reference>
          <reference field="41" count="1" selected="0">
            <x v="829"/>
          </reference>
          <reference field="44" count="1" selected="0">
            <x v="896"/>
          </reference>
        </references>
      </pivotArea>
    </format>
    <format dxfId="733">
      <pivotArea dataOnly="0" labelOnly="1" outline="0" fieldPosition="0">
        <references count="5">
          <reference field="3" count="1" selected="0">
            <x v="1"/>
          </reference>
          <reference field="6" count="1" selected="0">
            <x v="1498"/>
          </reference>
          <reference field="8" count="1">
            <x v="1697"/>
          </reference>
          <reference field="41" count="1" selected="0">
            <x v="833"/>
          </reference>
          <reference field="44" count="1" selected="0">
            <x v="902"/>
          </reference>
        </references>
      </pivotArea>
    </format>
    <format dxfId="732">
      <pivotArea dataOnly="0" labelOnly="1" outline="0" fieldPosition="0">
        <references count="5">
          <reference field="3" count="1" selected="0">
            <x v="3"/>
          </reference>
          <reference field="6" count="1" selected="0">
            <x v="37"/>
          </reference>
          <reference field="8" count="1">
            <x v="1559"/>
          </reference>
          <reference field="41" count="1" selected="0">
            <x v="833"/>
          </reference>
          <reference field="44" count="1" selected="0">
            <x v="901"/>
          </reference>
        </references>
      </pivotArea>
    </format>
    <format dxfId="731">
      <pivotArea dataOnly="0" labelOnly="1" outline="0" fieldPosition="0">
        <references count="5">
          <reference field="3" count="1" selected="0">
            <x v="6"/>
          </reference>
          <reference field="6" count="1" selected="0">
            <x v="411"/>
          </reference>
          <reference field="8" count="1">
            <x v="1694"/>
          </reference>
          <reference field="41" count="1" selected="0">
            <x v="833"/>
          </reference>
          <reference field="44" count="1" selected="0">
            <x v="900"/>
          </reference>
        </references>
      </pivotArea>
    </format>
    <format dxfId="730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379"/>
          </reference>
          <reference field="8" count="1">
            <x v="1603"/>
          </reference>
          <reference field="41" count="1" selected="0">
            <x v="834"/>
          </reference>
          <reference field="44" count="1" selected="0">
            <x v="905"/>
          </reference>
        </references>
      </pivotArea>
    </format>
    <format dxfId="729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586"/>
          </reference>
          <reference field="8" count="1">
            <x v="1683"/>
          </reference>
          <reference field="41" count="1" selected="0">
            <x v="834"/>
          </reference>
          <reference field="44" count="1" selected="0">
            <x v="905"/>
          </reference>
        </references>
      </pivotArea>
    </format>
    <format dxfId="728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554"/>
          </reference>
          <reference field="8" count="1">
            <x v="1620"/>
          </reference>
          <reference field="41" count="1" selected="0">
            <x v="835"/>
          </reference>
          <reference field="44" count="1" selected="0">
            <x v="905"/>
          </reference>
        </references>
      </pivotArea>
    </format>
    <format dxfId="727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600"/>
          </reference>
          <reference field="8" count="1">
            <x v="1682"/>
          </reference>
          <reference field="41" count="1" selected="0">
            <x v="836"/>
          </reference>
          <reference field="44" count="1" selected="0">
            <x v="906"/>
          </reference>
        </references>
      </pivotArea>
    </format>
    <format dxfId="726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603"/>
          </reference>
          <reference field="8" count="1">
            <x v="1685"/>
          </reference>
          <reference field="41" count="1" selected="0">
            <x v="836"/>
          </reference>
          <reference field="44" count="1" selected="0">
            <x v="907"/>
          </reference>
        </references>
      </pivotArea>
    </format>
    <format dxfId="725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290"/>
          </reference>
          <reference field="8" count="1">
            <x v="1634"/>
          </reference>
          <reference field="41" count="1" selected="0">
            <x v="838"/>
          </reference>
          <reference field="44" count="1" selected="0">
            <x v="909"/>
          </reference>
        </references>
      </pivotArea>
    </format>
    <format dxfId="724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276"/>
          </reference>
          <reference field="8" count="1">
            <x v="1704"/>
          </reference>
          <reference field="41" count="1" selected="0">
            <x v="840"/>
          </reference>
          <reference field="44" count="1" selected="0">
            <x v="910"/>
          </reference>
        </references>
      </pivotArea>
    </format>
    <format dxfId="723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477"/>
          </reference>
          <reference field="8" count="1">
            <x v="1644"/>
          </reference>
          <reference field="41" count="1" selected="0">
            <x v="840"/>
          </reference>
          <reference field="44" count="1" selected="0">
            <x v="911"/>
          </reference>
        </references>
      </pivotArea>
    </format>
    <format dxfId="722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520"/>
          </reference>
          <reference field="8" count="1">
            <x v="1641"/>
          </reference>
          <reference field="41" count="1" selected="0">
            <x v="840"/>
          </reference>
          <reference field="44" count="1" selected="0">
            <x v="908"/>
          </reference>
        </references>
      </pivotArea>
    </format>
    <format dxfId="721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1770"/>
          </reference>
          <reference field="8" count="1">
            <x v="1507"/>
          </reference>
          <reference field="41" count="1" selected="0">
            <x v="840"/>
          </reference>
          <reference field="44" count="1" selected="0">
            <x v="911"/>
          </reference>
        </references>
      </pivotArea>
    </format>
    <format dxfId="720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97"/>
          </reference>
          <reference field="8" count="1">
            <x v="1562"/>
          </reference>
          <reference field="41" count="1" selected="0">
            <x v="844"/>
          </reference>
          <reference field="44" count="1" selected="0">
            <x v="916"/>
          </reference>
        </references>
      </pivotArea>
    </format>
    <format dxfId="719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537"/>
          </reference>
          <reference field="8" count="1">
            <x v="1617"/>
          </reference>
          <reference field="41" count="1" selected="0">
            <x v="845"/>
          </reference>
          <reference field="44" count="1" selected="0">
            <x v="917"/>
          </reference>
        </references>
      </pivotArea>
    </format>
    <format dxfId="718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846"/>
          </reference>
          <reference field="8" count="1">
            <x v="1704"/>
          </reference>
          <reference field="41" count="1" selected="0">
            <x v="849"/>
          </reference>
          <reference field="44" count="1" selected="0">
            <x v="921"/>
          </reference>
        </references>
      </pivotArea>
    </format>
    <format dxfId="717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255"/>
          </reference>
          <reference field="8" count="1">
            <x v="1581"/>
          </reference>
          <reference field="41" count="1" selected="0">
            <x v="853"/>
          </reference>
          <reference field="44" count="1" selected="0">
            <x v="924"/>
          </reference>
        </references>
      </pivotArea>
    </format>
    <format dxfId="716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531"/>
          </reference>
          <reference field="8" count="1">
            <x v="1616"/>
          </reference>
          <reference field="41" count="1" selected="0">
            <x v="854"/>
          </reference>
          <reference field="44" count="1" selected="0">
            <x v="926"/>
          </reference>
        </references>
      </pivotArea>
    </format>
    <format dxfId="715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241"/>
          </reference>
          <reference field="8" count="1">
            <x v="1580"/>
          </reference>
          <reference field="41" count="1" selected="0">
            <x v="855"/>
          </reference>
          <reference field="44" count="1" selected="0">
            <x v="925"/>
          </reference>
        </references>
      </pivotArea>
    </format>
    <format dxfId="714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129"/>
          </reference>
          <reference field="8" count="1">
            <x v="1557"/>
          </reference>
          <reference field="41" count="1" selected="0">
            <x v="860"/>
          </reference>
          <reference field="44" count="1" selected="0">
            <x v="929"/>
          </reference>
        </references>
      </pivotArea>
    </format>
    <format dxfId="713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1755"/>
          </reference>
          <reference field="8" count="1">
            <x v="1704"/>
          </reference>
          <reference field="41" count="1" selected="0">
            <x v="861"/>
          </reference>
          <reference field="44" count="1" selected="0">
            <x v="930"/>
          </reference>
        </references>
      </pivotArea>
    </format>
    <format dxfId="712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1628"/>
          </reference>
          <reference field="8" count="1">
            <x v="1429"/>
          </reference>
          <reference field="41" count="1" selected="0">
            <x v="863"/>
          </reference>
          <reference field="44" count="1" selected="0">
            <x v="933"/>
          </reference>
        </references>
      </pivotArea>
    </format>
    <format dxfId="711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1763"/>
          </reference>
          <reference field="8" count="1">
            <x v="1704"/>
          </reference>
          <reference field="41" count="1" selected="0">
            <x v="867"/>
          </reference>
          <reference field="44" count="1" selected="0">
            <x v="936"/>
          </reference>
        </references>
      </pivotArea>
    </format>
    <format dxfId="710">
      <pivotArea field="44" type="button" dataOnly="0" labelOnly="1" outline="0" axis="axisRow" fieldPosition="3"/>
    </format>
    <format dxfId="709">
      <pivotArea field="44" type="button" dataOnly="0" labelOnly="1" outline="0" axis="axisRow" fieldPosition="3"/>
    </format>
    <format dxfId="708">
      <pivotArea field="44" type="button" dataOnly="0" labelOnly="1" outline="0" axis="axisRow" fieldPosition="3"/>
    </format>
    <format dxfId="707">
      <pivotArea dataOnly="0" labelOnly="1" outline="0" fieldPosition="0">
        <references count="4">
          <reference field="3" count="1" selected="0">
            <x v="6"/>
          </reference>
          <reference field="6" count="1" selected="0">
            <x v="410"/>
          </reference>
          <reference field="41" count="1" selected="0">
            <x v="828"/>
          </reference>
          <reference field="44" count="1">
            <x v="895"/>
          </reference>
        </references>
      </pivotArea>
    </format>
    <format dxfId="706">
      <pivotArea dataOnly="0" labelOnly="1" outline="0" fieldPosition="0">
        <references count="4">
          <reference field="3" count="1" selected="0">
            <x v="6"/>
          </reference>
          <reference field="6" count="1" selected="0">
            <x v="406"/>
          </reference>
          <reference field="41" count="1" selected="0">
            <x v="829"/>
          </reference>
          <reference field="44" count="1">
            <x v="896"/>
          </reference>
        </references>
      </pivotArea>
    </format>
    <format dxfId="705">
      <pivotArea dataOnly="0" labelOnly="1" outline="0" fieldPosition="0">
        <references count="4">
          <reference field="3" count="1" selected="0">
            <x v="1"/>
          </reference>
          <reference field="6" count="1" selected="0">
            <x v="1498"/>
          </reference>
          <reference field="41" count="1" selected="0">
            <x v="833"/>
          </reference>
          <reference field="44" count="1">
            <x v="902"/>
          </reference>
        </references>
      </pivotArea>
    </format>
    <format dxfId="704">
      <pivotArea dataOnly="0" labelOnly="1" outline="0" fieldPosition="0">
        <references count="4">
          <reference field="3" count="1" selected="0">
            <x v="3"/>
          </reference>
          <reference field="6" count="1" selected="0">
            <x v="37"/>
          </reference>
          <reference field="41" count="1" selected="0">
            <x v="833"/>
          </reference>
          <reference field="44" count="1">
            <x v="901"/>
          </reference>
        </references>
      </pivotArea>
    </format>
    <format dxfId="703">
      <pivotArea dataOnly="0" labelOnly="1" outline="0" fieldPosition="0">
        <references count="4">
          <reference field="3" count="1" selected="0">
            <x v="6"/>
          </reference>
          <reference field="6" count="1" selected="0">
            <x v="411"/>
          </reference>
          <reference field="41" count="1" selected="0">
            <x v="833"/>
          </reference>
          <reference field="44" count="1">
            <x v="900"/>
          </reference>
        </references>
      </pivotArea>
    </format>
    <format dxfId="702">
      <pivotArea field="41" type="button" dataOnly="0" labelOnly="1" outline="0" axis="axisRow" fieldPosition="0"/>
    </format>
    <format dxfId="701">
      <pivotArea field="3" type="button" dataOnly="0" labelOnly="1" outline="0" axis="axisRow" fieldPosition="1"/>
    </format>
    <format dxfId="700">
      <pivotArea field="6" type="button" dataOnly="0" labelOnly="1" outline="0" axis="axisRow" fieldPosition="2"/>
    </format>
    <format dxfId="699">
      <pivotArea field="44" type="button" dataOnly="0" labelOnly="1" outline="0" axis="axisRow" fieldPosition="3"/>
    </format>
    <format dxfId="698">
      <pivotArea field="8" type="button" dataOnly="0" labelOnly="1" outline="0" axis="axisRow" fieldPosition="4"/>
    </format>
    <format dxfId="697">
      <pivotArea field="16" type="button" dataOnly="0" labelOnly="1" outline="0"/>
    </format>
    <format dxfId="696">
      <pivotArea field="15" type="button" dataOnly="0" labelOnly="1" outline="0" axis="axisRow" fieldPosition="6"/>
    </format>
    <format dxfId="695">
      <pivotArea field="14" type="button" dataOnly="0" labelOnly="1" outline="0" axis="axisRow" fieldPosition="7"/>
    </format>
    <format dxfId="694">
      <pivotArea field="26" type="button" dataOnly="0" labelOnly="1" outline="0" axis="axisRow" fieldPosition="8"/>
    </format>
    <format dxfId="693">
      <pivotArea field="30" type="button" dataOnly="0" labelOnly="1" outline="0" axis="axisRow" fieldPosition="9"/>
    </format>
    <format dxfId="692">
      <pivotArea field="67" type="button" dataOnly="0" labelOnly="1" outline="0" axis="axisRow" fieldPosition="10"/>
    </format>
    <format dxfId="691">
      <pivotArea field="71" type="button" dataOnly="0" labelOnly="1" outline="0" axis="axisRow" fieldPosition="11"/>
    </format>
    <format dxfId="690">
      <pivotArea field="48" type="button" dataOnly="0" labelOnly="1" outline="0" axis="axisRow" fieldPosition="13"/>
    </format>
    <format dxfId="689">
      <pivotArea field="57" type="button" dataOnly="0" labelOnly="1" outline="0" axis="axisRow" fieldPosition="16"/>
    </format>
    <format dxfId="688">
      <pivotArea field="50" type="button" dataOnly="0" labelOnly="1" outline="0" axis="axisRow" fieldPosition="17"/>
    </format>
    <format dxfId="687">
      <pivotArea field="52" type="button" dataOnly="0" labelOnly="1" outline="0" axis="axisRow" fieldPosition="18"/>
    </format>
    <format dxfId="686">
      <pivotArea field="41" type="button" dataOnly="0" labelOnly="1" outline="0" axis="axisRow" fieldPosition="0"/>
    </format>
    <format dxfId="685">
      <pivotArea field="3" type="button" dataOnly="0" labelOnly="1" outline="0" axis="axisRow" fieldPosition="1"/>
    </format>
    <format dxfId="684">
      <pivotArea field="6" type="button" dataOnly="0" labelOnly="1" outline="0" axis="axisRow" fieldPosition="2"/>
    </format>
    <format dxfId="683">
      <pivotArea field="44" type="button" dataOnly="0" labelOnly="1" outline="0" axis="axisRow" fieldPosition="3"/>
    </format>
    <format dxfId="682">
      <pivotArea field="8" type="button" dataOnly="0" labelOnly="1" outline="0" axis="axisRow" fieldPosition="4"/>
    </format>
    <format dxfId="681">
      <pivotArea field="16" type="button" dataOnly="0" labelOnly="1" outline="0"/>
    </format>
    <format dxfId="680">
      <pivotArea field="15" type="button" dataOnly="0" labelOnly="1" outline="0" axis="axisRow" fieldPosition="6"/>
    </format>
    <format dxfId="679">
      <pivotArea field="14" type="button" dataOnly="0" labelOnly="1" outline="0" axis="axisRow" fieldPosition="7"/>
    </format>
    <format dxfId="678">
      <pivotArea field="26" type="button" dataOnly="0" labelOnly="1" outline="0" axis="axisRow" fieldPosition="8"/>
    </format>
    <format dxfId="677">
      <pivotArea field="30" type="button" dataOnly="0" labelOnly="1" outline="0" axis="axisRow" fieldPosition="9"/>
    </format>
    <format dxfId="676">
      <pivotArea field="67" type="button" dataOnly="0" labelOnly="1" outline="0" axis="axisRow" fieldPosition="10"/>
    </format>
    <format dxfId="675">
      <pivotArea field="71" type="button" dataOnly="0" labelOnly="1" outline="0" axis="axisRow" fieldPosition="11"/>
    </format>
    <format dxfId="674">
      <pivotArea field="48" type="button" dataOnly="0" labelOnly="1" outline="0" axis="axisRow" fieldPosition="13"/>
    </format>
    <format dxfId="673">
      <pivotArea field="57" type="button" dataOnly="0" labelOnly="1" outline="0" axis="axisRow" fieldPosition="16"/>
    </format>
    <format dxfId="672">
      <pivotArea field="50" type="button" dataOnly="0" labelOnly="1" outline="0" axis="axisRow" fieldPosition="17"/>
    </format>
    <format dxfId="671">
      <pivotArea field="52" type="button" dataOnly="0" labelOnly="1" outline="0" axis="axisRow" fieldPosition="18"/>
    </format>
    <format dxfId="670">
      <pivotArea outline="0" collapsedLevelsAreSubtotals="1" fieldPosition="0"/>
    </format>
    <format dxfId="669">
      <pivotArea dataOnly="0" labelOnly="1" outline="0" fieldPosition="0">
        <references count="1">
          <reference field="41" count="2">
            <x v="834"/>
            <x v="836"/>
          </reference>
        </references>
      </pivotArea>
    </format>
    <format dxfId="668">
      <pivotArea dataOnly="0" labelOnly="1" grandRow="1" outline="0" fieldPosition="0"/>
    </format>
    <format dxfId="667">
      <pivotArea dataOnly="0" labelOnly="1" outline="0" fieldPosition="0">
        <references count="2">
          <reference field="3" count="1">
            <x v="2"/>
          </reference>
          <reference field="41" count="1" selected="0">
            <x v="834"/>
          </reference>
        </references>
      </pivotArea>
    </format>
    <format dxfId="666">
      <pivotArea dataOnly="0" labelOnly="1" outline="0" fieldPosition="0">
        <references count="3">
          <reference field="3" count="1" selected="0">
            <x v="2"/>
          </reference>
          <reference field="6" count="1">
            <x v="586"/>
          </reference>
          <reference field="41" count="1" selected="0">
            <x v="834"/>
          </reference>
        </references>
      </pivotArea>
    </format>
    <format dxfId="665">
      <pivotArea dataOnly="0" labelOnly="1" outline="0" fieldPosition="0">
        <references count="3">
          <reference field="3" count="1" selected="0">
            <x v="2"/>
          </reference>
          <reference field="6" count="2">
            <x v="600"/>
            <x v="603"/>
          </reference>
          <reference field="41" count="1" selected="0">
            <x v="836"/>
          </reference>
        </references>
      </pivotArea>
    </format>
    <format dxfId="664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586"/>
          </reference>
          <reference field="41" count="1" selected="0">
            <x v="834"/>
          </reference>
          <reference field="44" count="1">
            <x v="905"/>
          </reference>
        </references>
      </pivotArea>
    </format>
    <format dxfId="663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600"/>
          </reference>
          <reference field="41" count="1" selected="0">
            <x v="836"/>
          </reference>
          <reference field="44" count="1">
            <x v="906"/>
          </reference>
        </references>
      </pivotArea>
    </format>
    <format dxfId="662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603"/>
          </reference>
          <reference field="41" count="1" selected="0">
            <x v="836"/>
          </reference>
          <reference field="44" count="1">
            <x v="907"/>
          </reference>
        </references>
      </pivotArea>
    </format>
    <format dxfId="661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586"/>
          </reference>
          <reference field="8" count="1">
            <x v="1683"/>
          </reference>
          <reference field="41" count="1" selected="0">
            <x v="834"/>
          </reference>
          <reference field="44" count="1" selected="0">
            <x v="905"/>
          </reference>
        </references>
      </pivotArea>
    </format>
    <format dxfId="660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600"/>
          </reference>
          <reference field="8" count="1">
            <x v="1682"/>
          </reference>
          <reference field="41" count="1" selected="0">
            <x v="836"/>
          </reference>
          <reference field="44" count="1" selected="0">
            <x v="906"/>
          </reference>
        </references>
      </pivotArea>
    </format>
    <format dxfId="659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603"/>
          </reference>
          <reference field="8" count="1">
            <x v="1685"/>
          </reference>
          <reference field="41" count="1" selected="0">
            <x v="836"/>
          </reference>
          <reference field="44" count="1" selected="0">
            <x v="907"/>
          </reference>
        </references>
      </pivotArea>
    </format>
    <format dxfId="658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586"/>
          </reference>
          <reference field="8" count="1" selected="0">
            <x v="1683"/>
          </reference>
          <reference field="29" count="1">
            <x v="423"/>
          </reference>
          <reference field="41" count="1" selected="0">
            <x v="834"/>
          </reference>
          <reference field="44" count="1" selected="0">
            <x v="905"/>
          </reference>
        </references>
      </pivotArea>
    </format>
    <format dxfId="657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600"/>
          </reference>
          <reference field="8" count="1" selected="0">
            <x v="1682"/>
          </reference>
          <reference field="29" count="1">
            <x v="1074"/>
          </reference>
          <reference field="41" count="1" selected="0">
            <x v="836"/>
          </reference>
          <reference field="44" count="1" selected="0">
            <x v="906"/>
          </reference>
        </references>
      </pivotArea>
    </format>
    <format dxfId="656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603"/>
          </reference>
          <reference field="8" count="1" selected="0">
            <x v="1685"/>
          </reference>
          <reference field="29" count="1">
            <x v="423"/>
          </reference>
          <reference field="41" count="1" selected="0">
            <x v="836"/>
          </reference>
          <reference field="44" count="1" selected="0">
            <x v="907"/>
          </reference>
        </references>
      </pivotArea>
    </format>
    <format dxfId="655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586"/>
          </reference>
          <reference field="8" count="1" selected="0">
            <x v="1683"/>
          </reference>
          <reference field="15" count="1">
            <x v="71"/>
          </reference>
          <reference field="29" count="1" selected="0">
            <x v="423"/>
          </reference>
          <reference field="41" count="1" selected="0">
            <x v="834"/>
          </reference>
          <reference field="44" count="1" selected="0">
            <x v="905"/>
          </reference>
        </references>
      </pivotArea>
    </format>
    <format dxfId="654">
      <pivotArea dataOnly="0" labelOnly="1" outline="0" fieldPosition="0">
        <references count="8">
          <reference field="3" count="1" selected="0">
            <x v="2"/>
          </reference>
          <reference field="6" count="1" selected="0">
            <x v="586"/>
          </reference>
          <reference field="8" count="1" selected="0">
            <x v="1683"/>
          </reference>
          <reference field="14" count="1">
            <x v="158"/>
          </reference>
          <reference field="15" count="1" selected="0">
            <x v="71"/>
          </reference>
          <reference field="29" count="1" selected="0">
            <x v="423"/>
          </reference>
          <reference field="41" count="1" selected="0">
            <x v="834"/>
          </reference>
          <reference field="44" count="1" selected="0">
            <x v="905"/>
          </reference>
        </references>
      </pivotArea>
    </format>
    <format dxfId="653">
      <pivotArea dataOnly="0" labelOnly="1" outline="0" fieldPosition="0">
        <references count="9">
          <reference field="3" count="1" selected="0">
            <x v="2"/>
          </reference>
          <reference field="6" count="1" selected="0">
            <x v="586"/>
          </reference>
          <reference field="8" count="1" selected="0">
            <x v="1683"/>
          </reference>
          <reference field="14" count="1" selected="0">
            <x v="158"/>
          </reference>
          <reference field="15" count="1" selected="0">
            <x v="71"/>
          </reference>
          <reference field="29" count="1" selected="0">
            <x v="423"/>
          </reference>
          <reference field="41" count="1" selected="0">
            <x v="834"/>
          </reference>
          <reference field="44" count="1" selected="0">
            <x v="905"/>
          </reference>
          <reference field="64" count="1">
            <x v="10"/>
          </reference>
        </references>
      </pivotArea>
    </format>
    <format dxfId="652">
      <pivotArea dataOnly="0" labelOnly="1" outline="0" fieldPosition="0">
        <references count="10">
          <reference field="3" count="1" selected="0">
            <x v="2"/>
          </reference>
          <reference field="6" count="1" selected="0">
            <x v="586"/>
          </reference>
          <reference field="8" count="1" selected="0">
            <x v="1683"/>
          </reference>
          <reference field="14" count="1" selected="0">
            <x v="158"/>
          </reference>
          <reference field="15" count="1" selected="0">
            <x v="71"/>
          </reference>
          <reference field="26" count="1">
            <x v="132"/>
          </reference>
          <reference field="29" count="1" selected="0">
            <x v="423"/>
          </reference>
          <reference field="41" count="1" selected="0">
            <x v="834"/>
          </reference>
          <reference field="44" count="1" selected="0">
            <x v="905"/>
          </reference>
          <reference field="64" count="1" selected="0">
            <x v="10"/>
          </reference>
        </references>
      </pivotArea>
    </format>
    <format dxfId="651">
      <pivotArea dataOnly="0" labelOnly="1" outline="0" fieldPosition="0">
        <references count="10">
          <reference field="3" count="1" selected="0">
            <x v="2"/>
          </reference>
          <reference field="6" count="1" selected="0">
            <x v="600"/>
          </reference>
          <reference field="8" count="1" selected="0">
            <x v="1682"/>
          </reference>
          <reference field="14" count="1" selected="0">
            <x v="158"/>
          </reference>
          <reference field="15" count="1" selected="0">
            <x v="71"/>
          </reference>
          <reference field="26" count="1">
            <x v="310"/>
          </reference>
          <reference field="29" count="1" selected="0">
            <x v="1074"/>
          </reference>
          <reference field="41" count="1" selected="0">
            <x v="836"/>
          </reference>
          <reference field="44" count="1" selected="0">
            <x v="906"/>
          </reference>
          <reference field="64" count="1" selected="0">
            <x v="10"/>
          </reference>
        </references>
      </pivotArea>
    </format>
    <format dxfId="650">
      <pivotArea dataOnly="0" labelOnly="1" outline="0" fieldPosition="0">
        <references count="10">
          <reference field="3" count="1" selected="0">
            <x v="2"/>
          </reference>
          <reference field="6" count="1" selected="0">
            <x v="603"/>
          </reference>
          <reference field="8" count="1" selected="0">
            <x v="1685"/>
          </reference>
          <reference field="14" count="1" selected="0">
            <x v="158"/>
          </reference>
          <reference field="15" count="1" selected="0">
            <x v="71"/>
          </reference>
          <reference field="26" count="1">
            <x v="132"/>
          </reference>
          <reference field="29" count="1" selected="0">
            <x v="423"/>
          </reference>
          <reference field="41" count="1" selected="0">
            <x v="836"/>
          </reference>
          <reference field="44" count="1" selected="0">
            <x v="907"/>
          </reference>
          <reference field="64" count="1" selected="0">
            <x v="10"/>
          </reference>
        </references>
      </pivotArea>
    </format>
    <format dxfId="649">
      <pivotArea dataOnly="0" labelOnly="1" outline="0" fieldPosition="0">
        <references count="11">
          <reference field="3" count="1" selected="0">
            <x v="2"/>
          </reference>
          <reference field="6" count="1" selected="0">
            <x v="586"/>
          </reference>
          <reference field="8" count="1" selected="0">
            <x v="1683"/>
          </reference>
          <reference field="14" count="1" selected="0">
            <x v="158"/>
          </reference>
          <reference field="15" count="1" selected="0">
            <x v="71"/>
          </reference>
          <reference field="26" count="1" selected="0">
            <x v="132"/>
          </reference>
          <reference field="29" count="1" selected="0">
            <x v="423"/>
          </reference>
          <reference field="30" count="1">
            <x v="3"/>
          </reference>
          <reference field="41" count="1" selected="0">
            <x v="834"/>
          </reference>
          <reference field="44" count="1" selected="0">
            <x v="905"/>
          </reference>
          <reference field="64" count="1" selected="0">
            <x v="10"/>
          </reference>
        </references>
      </pivotArea>
    </format>
    <format dxfId="648">
      <pivotArea dataOnly="0" labelOnly="1" outline="0" fieldPosition="0">
        <references count="11">
          <reference field="3" count="1" selected="0">
            <x v="2"/>
          </reference>
          <reference field="6" count="1" selected="0">
            <x v="600"/>
          </reference>
          <reference field="8" count="1" selected="0">
            <x v="1682"/>
          </reference>
          <reference field="14" count="1" selected="0">
            <x v="158"/>
          </reference>
          <reference field="15" count="1" selected="0">
            <x v="71"/>
          </reference>
          <reference field="26" count="1" selected="0">
            <x v="310"/>
          </reference>
          <reference field="29" count="1" selected="0">
            <x v="1074"/>
          </reference>
          <reference field="30" count="1">
            <x v="12"/>
          </reference>
          <reference field="41" count="1" selected="0">
            <x v="836"/>
          </reference>
          <reference field="44" count="1" selected="0">
            <x v="906"/>
          </reference>
          <reference field="64" count="1" selected="0">
            <x v="10"/>
          </reference>
        </references>
      </pivotArea>
    </format>
    <format dxfId="647">
      <pivotArea dataOnly="0" labelOnly="1" outline="0" fieldPosition="0">
        <references count="11">
          <reference field="3" count="1" selected="0">
            <x v="2"/>
          </reference>
          <reference field="6" count="1" selected="0">
            <x v="603"/>
          </reference>
          <reference field="8" count="1" selected="0">
            <x v="1685"/>
          </reference>
          <reference field="14" count="1" selected="0">
            <x v="158"/>
          </reference>
          <reference field="15" count="1" selected="0">
            <x v="71"/>
          </reference>
          <reference field="26" count="1" selected="0">
            <x v="132"/>
          </reference>
          <reference field="29" count="1" selected="0">
            <x v="423"/>
          </reference>
          <reference field="30" count="1">
            <x v="3"/>
          </reference>
          <reference field="41" count="1" selected="0">
            <x v="836"/>
          </reference>
          <reference field="44" count="1" selected="0">
            <x v="907"/>
          </reference>
          <reference field="64" count="1" selected="0">
            <x v="10"/>
          </reference>
        </references>
      </pivotArea>
    </format>
    <format dxfId="646">
      <pivotArea dataOnly="0" labelOnly="1" outline="0" fieldPosition="0">
        <references count="12">
          <reference field="3" count="1" selected="0">
            <x v="2"/>
          </reference>
          <reference field="6" count="1" selected="0">
            <x v="586"/>
          </reference>
          <reference field="8" count="1" selected="0">
            <x v="1683"/>
          </reference>
          <reference field="14" count="1" selected="0">
            <x v="158"/>
          </reference>
          <reference field="15" count="1" selected="0">
            <x v="71"/>
          </reference>
          <reference field="26" count="1" selected="0">
            <x v="132"/>
          </reference>
          <reference field="29" count="1" selected="0">
            <x v="423"/>
          </reference>
          <reference field="30" count="1" selected="0">
            <x v="3"/>
          </reference>
          <reference field="41" count="1" selected="0">
            <x v="834"/>
          </reference>
          <reference field="44" count="1" selected="0">
            <x v="905"/>
          </reference>
          <reference field="64" count="1" selected="0">
            <x v="10"/>
          </reference>
          <reference field="67" count="1">
            <x v="62"/>
          </reference>
        </references>
      </pivotArea>
    </format>
    <format dxfId="645">
      <pivotArea dataOnly="0" labelOnly="1" outline="0" fieldPosition="0">
        <references count="12">
          <reference field="3" count="1" selected="0">
            <x v="2"/>
          </reference>
          <reference field="6" count="1" selected="0">
            <x v="600"/>
          </reference>
          <reference field="8" count="1" selected="0">
            <x v="1682"/>
          </reference>
          <reference field="14" count="1" selected="0">
            <x v="158"/>
          </reference>
          <reference field="15" count="1" selected="0">
            <x v="71"/>
          </reference>
          <reference field="26" count="1" selected="0">
            <x v="310"/>
          </reference>
          <reference field="29" count="1" selected="0">
            <x v="1074"/>
          </reference>
          <reference field="30" count="1" selected="0">
            <x v="12"/>
          </reference>
          <reference field="41" count="1" selected="0">
            <x v="836"/>
          </reference>
          <reference field="44" count="1" selected="0">
            <x v="906"/>
          </reference>
          <reference field="64" count="1" selected="0">
            <x v="10"/>
          </reference>
          <reference field="67" count="1">
            <x v="137"/>
          </reference>
        </references>
      </pivotArea>
    </format>
    <format dxfId="644">
      <pivotArea dataOnly="0" labelOnly="1" outline="0" fieldPosition="0">
        <references count="13">
          <reference field="3" count="1" selected="0">
            <x v="2"/>
          </reference>
          <reference field="6" count="1" selected="0">
            <x v="586"/>
          </reference>
          <reference field="8" count="1" selected="0">
            <x v="1683"/>
          </reference>
          <reference field="14" count="1" selected="0">
            <x v="158"/>
          </reference>
          <reference field="15" count="1" selected="0">
            <x v="71"/>
          </reference>
          <reference field="26" count="1" selected="0">
            <x v="132"/>
          </reference>
          <reference field="29" count="1" selected="0">
            <x v="423"/>
          </reference>
          <reference field="30" count="1" selected="0">
            <x v="3"/>
          </reference>
          <reference field="41" count="1" selected="0">
            <x v="834"/>
          </reference>
          <reference field="44" count="1" selected="0">
            <x v="905"/>
          </reference>
          <reference field="64" count="1" selected="0">
            <x v="10"/>
          </reference>
          <reference field="67" count="1" selected="0">
            <x v="62"/>
          </reference>
          <reference field="71" count="1">
            <x v="0"/>
          </reference>
        </references>
      </pivotArea>
    </format>
    <format dxfId="643">
      <pivotArea dataOnly="0" labelOnly="1" outline="0" fieldPosition="0">
        <references count="14">
          <reference field="3" count="1" selected="0">
            <x v="2"/>
          </reference>
          <reference field="6" count="1" selected="0">
            <x v="586"/>
          </reference>
          <reference field="8" count="1" selected="0">
            <x v="1683"/>
          </reference>
          <reference field="14" count="1" selected="0">
            <x v="158"/>
          </reference>
          <reference field="15" count="1" selected="0">
            <x v="71"/>
          </reference>
          <reference field="26" count="1" selected="0">
            <x v="132"/>
          </reference>
          <reference field="29" count="1" selected="0">
            <x v="423"/>
          </reference>
          <reference field="30" count="1" selected="0">
            <x v="3"/>
          </reference>
          <reference field="41" count="1" selected="0">
            <x v="834"/>
          </reference>
          <reference field="44" count="1" selected="0">
            <x v="905"/>
          </reference>
          <reference field="48" count="1">
            <x v="7"/>
          </reference>
          <reference field="64" count="1" selected="0">
            <x v="10"/>
          </reference>
          <reference field="67" count="1" selected="0">
            <x v="62"/>
          </reference>
          <reference field="71" count="1" selected="0">
            <x v="0"/>
          </reference>
        </references>
      </pivotArea>
    </format>
    <format dxfId="642">
      <pivotArea dataOnly="0" labelOnly="1" outline="0" fieldPosition="0">
        <references count="15">
          <reference field="3" count="1" selected="0">
            <x v="2"/>
          </reference>
          <reference field="6" count="1" selected="0">
            <x v="586"/>
          </reference>
          <reference field="8" count="1" selected="0">
            <x v="1683"/>
          </reference>
          <reference field="14" count="1" selected="0">
            <x v="158"/>
          </reference>
          <reference field="15" count="1" selected="0">
            <x v="71"/>
          </reference>
          <reference field="26" count="1" selected="0">
            <x v="132"/>
          </reference>
          <reference field="29" count="1" selected="0">
            <x v="423"/>
          </reference>
          <reference field="30" count="1" selected="0">
            <x v="3"/>
          </reference>
          <reference field="41" count="1" selected="0">
            <x v="834"/>
          </reference>
          <reference field="44" count="1" selected="0">
            <x v="905"/>
          </reference>
          <reference field="48" count="1" selected="0">
            <x v="7"/>
          </reference>
          <reference field="57" count="1">
            <x v="10"/>
          </reference>
          <reference field="64" count="1" selected="0">
            <x v="10"/>
          </reference>
          <reference field="67" count="1" selected="0">
            <x v="62"/>
          </reference>
          <reference field="71" count="1" selected="0">
            <x v="0"/>
          </reference>
        </references>
      </pivotArea>
    </format>
    <format dxfId="641">
      <pivotArea dataOnly="0" labelOnly="1" outline="0" fieldPosition="0">
        <references count="16">
          <reference field="3" count="1" selected="0">
            <x v="2"/>
          </reference>
          <reference field="6" count="1" selected="0">
            <x v="586"/>
          </reference>
          <reference field="8" count="1" selected="0">
            <x v="1683"/>
          </reference>
          <reference field="14" count="1" selected="0">
            <x v="158"/>
          </reference>
          <reference field="15" count="1" selected="0">
            <x v="71"/>
          </reference>
          <reference field="26" count="1" selected="0">
            <x v="132"/>
          </reference>
          <reference field="29" count="1" selected="0">
            <x v="423"/>
          </reference>
          <reference field="30" count="1" selected="0">
            <x v="3"/>
          </reference>
          <reference field="41" count="1" selected="0">
            <x v="834"/>
          </reference>
          <reference field="44" count="1" selected="0">
            <x v="905"/>
          </reference>
          <reference field="48" count="1" selected="0">
            <x v="7"/>
          </reference>
          <reference field="56" count="1">
            <x v="125"/>
          </reference>
          <reference field="57" count="1" selected="0">
            <x v="10"/>
          </reference>
          <reference field="64" count="1" selected="0">
            <x v="10"/>
          </reference>
          <reference field="67" count="1" selected="0">
            <x v="62"/>
          </reference>
          <reference field="71" count="1" selected="0">
            <x v="0"/>
          </reference>
        </references>
      </pivotArea>
    </format>
    <format dxfId="640">
      <pivotArea dataOnly="0" labelOnly="1" outline="0" fieldPosition="0">
        <references count="16">
          <reference field="3" count="1" selected="0">
            <x v="2"/>
          </reference>
          <reference field="6" count="1" selected="0">
            <x v="600"/>
          </reference>
          <reference field="8" count="1" selected="0">
            <x v="1682"/>
          </reference>
          <reference field="14" count="1" selected="0">
            <x v="158"/>
          </reference>
          <reference field="15" count="1" selected="0">
            <x v="71"/>
          </reference>
          <reference field="26" count="1" selected="0">
            <x v="310"/>
          </reference>
          <reference field="29" count="1" selected="0">
            <x v="1074"/>
          </reference>
          <reference field="30" count="1" selected="0">
            <x v="12"/>
          </reference>
          <reference field="41" count="1" selected="0">
            <x v="836"/>
          </reference>
          <reference field="44" count="1" selected="0">
            <x v="906"/>
          </reference>
          <reference field="48" count="1" selected="0">
            <x v="7"/>
          </reference>
          <reference field="56" count="1">
            <x v="54"/>
          </reference>
          <reference field="57" count="1" selected="0">
            <x v="10"/>
          </reference>
          <reference field="64" count="1" selected="0">
            <x v="10"/>
          </reference>
          <reference field="67" count="1" selected="0">
            <x v="137"/>
          </reference>
          <reference field="71" count="1" selected="0">
            <x v="0"/>
          </reference>
        </references>
      </pivotArea>
    </format>
    <format dxfId="639">
      <pivotArea dataOnly="0" labelOnly="1" outline="0" fieldPosition="0">
        <references count="17">
          <reference field="3" count="1" selected="0">
            <x v="2"/>
          </reference>
          <reference field="6" count="1" selected="0">
            <x v="586"/>
          </reference>
          <reference field="8" count="1" selected="0">
            <x v="1683"/>
          </reference>
          <reference field="14" count="1" selected="0">
            <x v="158"/>
          </reference>
          <reference field="15" count="1" selected="0">
            <x v="71"/>
          </reference>
          <reference field="26" count="1" selected="0">
            <x v="132"/>
          </reference>
          <reference field="29" count="1" selected="0">
            <x v="423"/>
          </reference>
          <reference field="30" count="1" selected="0">
            <x v="3"/>
          </reference>
          <reference field="41" count="1" selected="0">
            <x v="834"/>
          </reference>
          <reference field="44" count="1" selected="0">
            <x v="905"/>
          </reference>
          <reference field="48" count="1" selected="0">
            <x v="7"/>
          </reference>
          <reference field="50" count="1">
            <x v="2"/>
          </reference>
          <reference field="56" count="1" selected="0">
            <x v="125"/>
          </reference>
          <reference field="57" count="1" selected="0">
            <x v="10"/>
          </reference>
          <reference field="64" count="1" selected="0">
            <x v="10"/>
          </reference>
          <reference field="67" count="1" selected="0">
            <x v="62"/>
          </reference>
          <reference field="71" count="1" selected="0">
            <x v="0"/>
          </reference>
        </references>
      </pivotArea>
    </format>
    <format dxfId="638">
      <pivotArea dataOnly="0" labelOnly="1" outline="0" fieldPosition="0">
        <references count="17">
          <reference field="3" count="1" selected="0">
            <x v="2"/>
          </reference>
          <reference field="6" count="1" selected="0">
            <x v="600"/>
          </reference>
          <reference field="8" count="1" selected="0">
            <x v="1682"/>
          </reference>
          <reference field="14" count="1" selected="0">
            <x v="158"/>
          </reference>
          <reference field="15" count="1" selected="0">
            <x v="71"/>
          </reference>
          <reference field="26" count="1" selected="0">
            <x v="310"/>
          </reference>
          <reference field="29" count="1" selected="0">
            <x v="1074"/>
          </reference>
          <reference field="30" count="1" selected="0">
            <x v="12"/>
          </reference>
          <reference field="41" count="1" selected="0">
            <x v="836"/>
          </reference>
          <reference field="44" count="1" selected="0">
            <x v="906"/>
          </reference>
          <reference field="48" count="1" selected="0">
            <x v="7"/>
          </reference>
          <reference field="50" count="1">
            <x v="0"/>
          </reference>
          <reference field="56" count="1" selected="0">
            <x v="54"/>
          </reference>
          <reference field="57" count="1" selected="0">
            <x v="10"/>
          </reference>
          <reference field="64" count="1" selected="0">
            <x v="10"/>
          </reference>
          <reference field="67" count="1" selected="0">
            <x v="137"/>
          </reference>
          <reference field="71" count="1" selected="0">
            <x v="0"/>
          </reference>
        </references>
      </pivotArea>
    </format>
    <format dxfId="637">
      <pivotArea dataOnly="0" labelOnly="1" outline="0" fieldPosition="0">
        <references count="18">
          <reference field="3" count="1" selected="0">
            <x v="2"/>
          </reference>
          <reference field="6" count="1" selected="0">
            <x v="586"/>
          </reference>
          <reference field="8" count="1" selected="0">
            <x v="1683"/>
          </reference>
          <reference field="14" count="1" selected="0">
            <x v="158"/>
          </reference>
          <reference field="15" count="1" selected="0">
            <x v="71"/>
          </reference>
          <reference field="26" count="1" selected="0">
            <x v="132"/>
          </reference>
          <reference field="29" count="1" selected="0">
            <x v="423"/>
          </reference>
          <reference field="30" count="1" selected="0">
            <x v="3"/>
          </reference>
          <reference field="41" count="1" selected="0">
            <x v="834"/>
          </reference>
          <reference field="44" count="1" selected="0">
            <x v="905"/>
          </reference>
          <reference field="48" count="1" selected="0">
            <x v="7"/>
          </reference>
          <reference field="50" count="1" selected="0">
            <x v="2"/>
          </reference>
          <reference field="52" count="1">
            <x v="3"/>
          </reference>
          <reference field="56" count="1" selected="0">
            <x v="125"/>
          </reference>
          <reference field="57" count="1" selected="0">
            <x v="10"/>
          </reference>
          <reference field="64" count="1" selected="0">
            <x v="10"/>
          </reference>
          <reference field="67" count="1" selected="0">
            <x v="62"/>
          </reference>
          <reference field="71" count="1" selected="0">
            <x v="0"/>
          </reference>
        </references>
      </pivotArea>
    </format>
    <format dxfId="636">
      <pivotArea dataOnly="0" labelOnly="1" outline="0" fieldPosition="0">
        <references count="18">
          <reference field="3" count="1" selected="0">
            <x v="2"/>
          </reference>
          <reference field="6" count="1" selected="0">
            <x v="600"/>
          </reference>
          <reference field="8" count="1" selected="0">
            <x v="1682"/>
          </reference>
          <reference field="14" count="1" selected="0">
            <x v="158"/>
          </reference>
          <reference field="15" count="1" selected="0">
            <x v="71"/>
          </reference>
          <reference field="26" count="1" selected="0">
            <x v="310"/>
          </reference>
          <reference field="29" count="1" selected="0">
            <x v="1074"/>
          </reference>
          <reference field="30" count="1" selected="0">
            <x v="12"/>
          </reference>
          <reference field="41" count="1" selected="0">
            <x v="836"/>
          </reference>
          <reference field="44" count="1" selected="0">
            <x v="906"/>
          </reference>
          <reference field="48" count="1" selected="0">
            <x v="7"/>
          </reference>
          <reference field="50" count="1" selected="0">
            <x v="0"/>
          </reference>
          <reference field="52" count="1">
            <x v="3"/>
          </reference>
          <reference field="56" count="1" selected="0">
            <x v="54"/>
          </reference>
          <reference field="57" count="1" selected="0">
            <x v="10"/>
          </reference>
          <reference field="64" count="1" selected="0">
            <x v="10"/>
          </reference>
          <reference field="67" count="1" selected="0">
            <x v="137"/>
          </reference>
          <reference field="71" count="1" selected="0">
            <x v="0"/>
          </reference>
        </references>
      </pivotArea>
    </format>
    <format dxfId="635">
      <pivotArea dataOnly="0" labelOnly="1" outline="0" fieldPosition="0">
        <references count="18">
          <reference field="3" count="1" selected="0">
            <x v="2"/>
          </reference>
          <reference field="6" count="1" selected="0">
            <x v="603"/>
          </reference>
          <reference field="8" count="1" selected="0">
            <x v="1685"/>
          </reference>
          <reference field="14" count="1" selected="0">
            <x v="158"/>
          </reference>
          <reference field="15" count="1" selected="0">
            <x v="71"/>
          </reference>
          <reference field="26" count="1" selected="0">
            <x v="132"/>
          </reference>
          <reference field="29" count="1" selected="0">
            <x v="423"/>
          </reference>
          <reference field="30" count="1" selected="0">
            <x v="3"/>
          </reference>
          <reference field="41" count="1" selected="0">
            <x v="836"/>
          </reference>
          <reference field="44" count="1" selected="0">
            <x v="907"/>
          </reference>
          <reference field="48" count="1" selected="0">
            <x v="7"/>
          </reference>
          <reference field="50" count="1" selected="0">
            <x v="0"/>
          </reference>
          <reference field="52" count="1">
            <x v="3"/>
          </reference>
          <reference field="56" count="1" selected="0">
            <x v="54"/>
          </reference>
          <reference field="57" count="1" selected="0">
            <x v="10"/>
          </reference>
          <reference field="64" count="1" selected="0">
            <x v="10"/>
          </reference>
          <reference field="67" count="1" selected="0">
            <x v="137"/>
          </reference>
          <reference field="71" count="1" selected="0">
            <x v="0"/>
          </reference>
        </references>
      </pivotArea>
    </format>
  </formats>
  <pivotTableStyleInfo name="PivotStyleMedium1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66666E-F490-42C4-A5D1-AA792884CEC4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gridDropZones="1" multipleFieldFilters="0">
  <location ref="A5:S86" firstHeaderRow="2" firstDataRow="2" firstDataCol="13" rowPageCount="2" colPageCount="1"/>
  <pivotFields count="89">
    <pivotField compact="0" numFmtId="1" outline="0" showAll="0"/>
    <pivotField compact="0" outline="0" showAll="0"/>
    <pivotField axis="axisPage" compact="0" outline="0" showAll="0">
      <items count="3">
        <item x="0"/>
        <item x="1"/>
        <item t="default"/>
      </items>
    </pivotField>
    <pivotField axis="axisRow" compact="0" outline="0" showAll="0" includeNewItemsInFilter="1" defaultSubtotal="0">
      <items count="8">
        <item h="1" x="1"/>
        <item h="1" x="4"/>
        <item h="1" x="5"/>
        <item h="1" x="6"/>
        <item x="3"/>
        <item h="1" x="2"/>
        <item h="1" x="7"/>
        <item h="1" x="0"/>
      </items>
    </pivotField>
    <pivotField compact="0" outline="0" showAll="0"/>
    <pivotField compact="0" outline="0" showAll="0"/>
    <pivotField axis="axisRow" compact="0" outline="0" showAll="0" defaultSubtotal="0">
      <items count="20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1546"/>
        <item x="29"/>
        <item x="232"/>
        <item x="804"/>
        <item x="1313"/>
        <item x="471"/>
        <item x="1878"/>
        <item x="472"/>
        <item x="1879"/>
        <item x="1880"/>
        <item x="1881"/>
        <item x="1882"/>
        <item x="473"/>
        <item x="474"/>
        <item x="1883"/>
        <item x="30"/>
        <item x="233"/>
        <item x="805"/>
        <item x="1314"/>
        <item x="1884"/>
        <item x="475"/>
        <item x="476"/>
        <item x="477"/>
        <item x="478"/>
        <item x="31"/>
        <item x="234"/>
        <item x="1315"/>
        <item x="479"/>
        <item x="806"/>
        <item x="1887"/>
        <item x="480"/>
        <item x="1888"/>
        <item x="807"/>
        <item x="808"/>
        <item x="481"/>
        <item x="1889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1317"/>
        <item x="32"/>
        <item x="809"/>
        <item x="1316"/>
        <item x="235"/>
        <item x="499"/>
        <item x="1890"/>
        <item x="236"/>
        <item x="500"/>
        <item x="1891"/>
        <item x="501"/>
        <item x="810"/>
        <item x="811"/>
        <item x="33"/>
        <item x="1318"/>
        <item x="1892"/>
        <item x="237"/>
        <item x="502"/>
        <item x="238"/>
        <item x="503"/>
        <item x="504"/>
        <item x="505"/>
        <item x="506"/>
        <item x="34"/>
        <item x="507"/>
        <item x="812"/>
        <item x="1319"/>
        <item x="1893"/>
        <item x="239"/>
        <item x="240"/>
        <item x="35"/>
        <item x="508"/>
        <item x="813"/>
        <item x="241"/>
        <item x="1894"/>
        <item x="1320"/>
        <item x="1321"/>
        <item x="1322"/>
        <item x="1323"/>
        <item x="242"/>
        <item x="1324"/>
        <item x="1895"/>
        <item x="1896"/>
        <item x="1897"/>
        <item x="36"/>
        <item x="509"/>
        <item x="814"/>
        <item x="1898"/>
        <item x="243"/>
        <item x="1325"/>
        <item x="1326"/>
        <item x="1327"/>
        <item x="244"/>
        <item x="1328"/>
        <item x="1329"/>
        <item x="1330"/>
        <item x="1331"/>
        <item x="1332"/>
        <item x="1333"/>
        <item x="1334"/>
        <item x="37"/>
        <item x="1899"/>
        <item x="245"/>
        <item x="510"/>
        <item x="815"/>
        <item x="246"/>
        <item x="511"/>
        <item x="816"/>
        <item x="1335"/>
        <item x="1336"/>
        <item x="1337"/>
        <item x="1338"/>
        <item x="1339"/>
        <item x="1340"/>
        <item x="38"/>
        <item x="247"/>
        <item x="1900"/>
        <item x="512"/>
        <item x="817"/>
        <item x="513"/>
        <item x="818"/>
        <item x="39"/>
        <item x="819"/>
        <item x="1341"/>
        <item x="1901"/>
        <item x="248"/>
        <item x="514"/>
        <item x="249"/>
        <item x="515"/>
        <item x="250"/>
        <item x="40"/>
        <item x="251"/>
        <item x="1342"/>
        <item x="820"/>
        <item x="1902"/>
        <item x="516"/>
        <item x="517"/>
        <item x="518"/>
        <item x="821"/>
        <item x="1903"/>
        <item x="822"/>
        <item x="1904"/>
        <item x="823"/>
        <item x="1905"/>
        <item x="824"/>
        <item x="1906"/>
        <item x="1907"/>
        <item x="41"/>
        <item x="519"/>
        <item x="1343"/>
        <item x="1908"/>
        <item x="252"/>
        <item x="825"/>
        <item x="253"/>
        <item x="254"/>
        <item x="255"/>
        <item x="256"/>
        <item x="826"/>
        <item x="827"/>
        <item x="828"/>
        <item x="42"/>
        <item x="520"/>
        <item x="1344"/>
        <item x="1909"/>
        <item x="257"/>
        <item x="829"/>
        <item x="258"/>
        <item x="830"/>
        <item x="831"/>
        <item x="832"/>
        <item x="43"/>
        <item x="259"/>
        <item x="521"/>
        <item x="1910"/>
        <item x="833"/>
        <item x="1345"/>
        <item x="834"/>
        <item x="1346"/>
        <item x="835"/>
        <item x="1347"/>
        <item x="1348"/>
        <item x="836"/>
        <item x="837"/>
        <item x="44"/>
        <item x="1911"/>
        <item x="260"/>
        <item x="838"/>
        <item x="1349"/>
        <item x="522"/>
        <item x="523"/>
        <item x="261"/>
        <item x="839"/>
        <item x="1350"/>
        <item x="840"/>
        <item x="1351"/>
        <item x="841"/>
        <item x="1352"/>
        <item x="1353"/>
        <item x="524"/>
        <item x="1912"/>
        <item x="45"/>
        <item x="262"/>
        <item x="842"/>
        <item x="1354"/>
        <item x="46"/>
        <item x="263"/>
        <item x="843"/>
        <item x="1355"/>
        <item x="844"/>
        <item x="845"/>
        <item x="264"/>
        <item x="525"/>
        <item x="1356"/>
        <item x="1913"/>
        <item x="47"/>
        <item x="846"/>
        <item x="48"/>
        <item x="847"/>
        <item x="848"/>
        <item x="849"/>
        <item x="49"/>
        <item x="265"/>
        <item x="526"/>
        <item x="850"/>
        <item x="1357"/>
        <item x="1914"/>
        <item x="1915"/>
        <item x="50"/>
        <item x="266"/>
        <item x="851"/>
        <item x="1358"/>
        <item x="1916"/>
        <item x="527"/>
        <item x="528"/>
        <item x="1917"/>
        <item x="1918"/>
        <item x="1919"/>
        <item x="51"/>
        <item x="529"/>
        <item x="852"/>
        <item x="1359"/>
        <item x="267"/>
        <item x="1920"/>
        <item x="268"/>
        <item x="1921"/>
        <item x="269"/>
        <item x="270"/>
        <item x="530"/>
        <item x="1922"/>
        <item x="52"/>
        <item x="853"/>
        <item x="1360"/>
        <item x="53"/>
        <item x="854"/>
        <item x="1361"/>
        <item x="54"/>
        <item x="855"/>
        <item x="1362"/>
        <item x="55"/>
        <item x="1363"/>
        <item x="56"/>
        <item x="1364"/>
        <item x="856"/>
        <item x="1365"/>
        <item x="57"/>
        <item x="271"/>
        <item x="1923"/>
        <item x="531"/>
        <item x="533"/>
        <item x="535"/>
        <item x="58"/>
        <item x="272"/>
        <item x="1924"/>
        <item x="532"/>
        <item x="534"/>
        <item x="536"/>
        <item x="59"/>
        <item x="273"/>
        <item x="1925"/>
        <item x="60"/>
        <item x="274"/>
        <item x="1926"/>
        <item x="1366"/>
        <item x="1367"/>
        <item x="857"/>
        <item x="1927"/>
        <item x="61"/>
        <item x="275"/>
        <item x="537"/>
        <item x="62"/>
        <item x="276"/>
        <item x="538"/>
        <item x="63"/>
        <item x="277"/>
        <item x="64"/>
        <item x="278"/>
        <item x="65"/>
        <item x="279"/>
        <item x="280"/>
        <item x="539"/>
        <item x="858"/>
        <item x="1928"/>
        <item x="66"/>
        <item x="1368"/>
        <item x="67"/>
        <item x="1369"/>
        <item x="68"/>
        <item x="1370"/>
        <item x="69"/>
        <item x="1371"/>
        <item x="70"/>
        <item x="1372"/>
        <item x="71"/>
        <item x="859"/>
        <item x="1929"/>
        <item x="281"/>
        <item x="540"/>
        <item x="1373"/>
        <item x="282"/>
        <item x="541"/>
        <item x="1374"/>
        <item x="542"/>
        <item x="1375"/>
        <item x="72"/>
        <item x="860"/>
        <item x="1930"/>
        <item x="283"/>
        <item x="1376"/>
        <item x="285"/>
        <item x="1377"/>
        <item x="543"/>
        <item x="284"/>
        <item x="286"/>
        <item x="544"/>
        <item x="1378"/>
        <item x="545"/>
        <item x="73"/>
        <item x="1931"/>
        <item x="287"/>
        <item x="546"/>
        <item x="861"/>
        <item x="1379"/>
        <item x="1380"/>
        <item x="288"/>
        <item x="547"/>
        <item x="862"/>
        <item x="1381"/>
        <item x="1382"/>
        <item x="1383"/>
        <item x="548"/>
        <item x="863"/>
        <item x="1384"/>
        <item x="74"/>
        <item x="289"/>
        <item x="549"/>
        <item x="864"/>
        <item x="1385"/>
        <item x="1932"/>
        <item x="290"/>
        <item x="550"/>
        <item x="865"/>
        <item x="1386"/>
        <item x="1933"/>
        <item x="1934"/>
        <item x="1935"/>
        <item x="551"/>
        <item x="866"/>
        <item x="552"/>
        <item x="1936"/>
        <item x="1937"/>
        <item x="1938"/>
        <item x="553"/>
        <item x="1941"/>
        <item x="1942"/>
        <item x="1943"/>
        <item x="1944"/>
        <item x="1945"/>
        <item x="1946"/>
        <item x="1947"/>
        <item x="1948"/>
        <item x="1949"/>
        <item x="291"/>
        <item x="1950"/>
        <item x="75"/>
        <item x="554"/>
        <item x="867"/>
        <item x="1387"/>
        <item x="76"/>
        <item x="555"/>
        <item x="868"/>
        <item x="1388"/>
        <item x="556"/>
        <item x="869"/>
        <item x="1389"/>
        <item x="557"/>
        <item x="558"/>
        <item x="870"/>
        <item x="871"/>
        <item x="872"/>
        <item x="292"/>
        <item x="873"/>
        <item x="1951"/>
        <item x="77"/>
        <item x="559"/>
        <item x="1390"/>
        <item x="78"/>
        <item x="560"/>
        <item x="1391"/>
        <item x="293"/>
        <item x="874"/>
        <item x="1952"/>
        <item x="79"/>
        <item x="561"/>
        <item x="1392"/>
        <item x="80"/>
        <item x="1393"/>
        <item x="562"/>
        <item x="563"/>
        <item x="564"/>
        <item x="565"/>
        <item x="294"/>
        <item x="875"/>
        <item x="1953"/>
        <item x="81"/>
        <item x="566"/>
        <item x="1394"/>
        <item x="82"/>
        <item x="567"/>
        <item x="1395"/>
        <item x="1396"/>
        <item x="1397"/>
        <item x="83"/>
        <item x="568"/>
        <item x="876"/>
        <item x="1398"/>
        <item x="1954"/>
        <item x="295"/>
        <item x="296"/>
        <item x="297"/>
        <item x="1399"/>
        <item x="1400"/>
        <item x="84"/>
        <item x="1955"/>
        <item x="298"/>
        <item x="569"/>
        <item x="877"/>
        <item x="299"/>
        <item x="570"/>
        <item x="878"/>
        <item x="300"/>
        <item x="879"/>
        <item x="301"/>
        <item x="1401"/>
        <item x="1402"/>
        <item x="85"/>
        <item x="880"/>
        <item x="1957"/>
        <item x="302"/>
        <item x="571"/>
        <item x="1956"/>
        <item x="303"/>
        <item x="572"/>
        <item x="1958"/>
        <item x="573"/>
        <item x="574"/>
        <item x="575"/>
        <item x="576"/>
        <item x="577"/>
        <item x="578"/>
        <item x="579"/>
        <item x="86"/>
        <item x="580"/>
        <item x="881"/>
        <item x="1403"/>
        <item x="1959"/>
        <item x="304"/>
        <item x="305"/>
        <item x="306"/>
        <item x="1960"/>
        <item x="307"/>
        <item x="308"/>
        <item x="309"/>
        <item x="1961"/>
        <item x="1962"/>
        <item x="581"/>
        <item x="882"/>
        <item x="1404"/>
        <item x="87"/>
        <item x="310"/>
        <item x="1963"/>
        <item x="88"/>
        <item x="1964"/>
        <item x="311"/>
        <item x="312"/>
        <item x="582"/>
        <item x="1965"/>
        <item x="89"/>
        <item x="313"/>
        <item x="1405"/>
        <item x="883"/>
        <item x="884"/>
        <item x="885"/>
        <item x="90"/>
        <item x="314"/>
        <item x="1406"/>
        <item x="886"/>
        <item x="1407"/>
        <item x="583"/>
        <item x="887"/>
        <item x="91"/>
        <item x="315"/>
        <item x="1408"/>
        <item x="1966"/>
        <item x="92"/>
        <item x="316"/>
        <item x="1409"/>
        <item x="1967"/>
        <item x="93"/>
        <item x="317"/>
        <item x="1410"/>
        <item x="1968"/>
        <item x="94"/>
        <item x="1411"/>
        <item x="1412"/>
        <item x="1413"/>
        <item x="1969"/>
        <item x="95"/>
        <item x="318"/>
        <item x="888"/>
        <item x="584"/>
        <item x="585"/>
        <item x="96"/>
        <item x="319"/>
        <item x="586"/>
        <item x="889"/>
        <item x="320"/>
        <item x="890"/>
        <item x="587"/>
        <item x="588"/>
        <item x="321"/>
        <item x="589"/>
        <item x="891"/>
        <item x="892"/>
        <item x="1414"/>
        <item x="1971"/>
        <item x="97"/>
        <item x="322"/>
        <item x="590"/>
        <item x="893"/>
        <item x="1970"/>
        <item x="98"/>
        <item x="323"/>
        <item x="591"/>
        <item x="894"/>
        <item x="1972"/>
        <item x="324"/>
        <item x="592"/>
        <item x="895"/>
        <item x="1973"/>
        <item x="325"/>
        <item x="896"/>
        <item x="1974"/>
        <item x="897"/>
        <item x="1415"/>
        <item x="1975"/>
        <item x="99"/>
        <item x="326"/>
        <item x="593"/>
        <item x="100"/>
        <item x="327"/>
        <item x="594"/>
        <item x="328"/>
        <item x="595"/>
        <item x="329"/>
        <item x="596"/>
        <item x="101"/>
        <item x="898"/>
        <item x="1416"/>
        <item x="1976"/>
        <item x="330"/>
        <item x="597"/>
        <item x="331"/>
        <item x="598"/>
        <item x="332"/>
        <item x="599"/>
        <item x="899"/>
        <item x="1417"/>
        <item x="1977"/>
        <item x="102"/>
        <item x="103"/>
        <item x="333"/>
        <item x="900"/>
        <item x="1418"/>
        <item x="1978"/>
        <item x="104"/>
        <item x="600"/>
        <item x="105"/>
        <item x="601"/>
        <item x="602"/>
        <item x="106"/>
        <item x="334"/>
        <item x="901"/>
        <item x="1419"/>
        <item x="1979"/>
        <item x="603"/>
        <item x="605"/>
        <item x="604"/>
        <item x="606"/>
        <item x="335"/>
        <item x="607"/>
        <item x="902"/>
        <item x="1420"/>
        <item x="1980"/>
        <item x="107"/>
        <item x="108"/>
        <item x="109"/>
        <item x="110"/>
        <item x="608"/>
        <item x="903"/>
        <item x="1421"/>
        <item x="1981"/>
        <item x="111"/>
        <item x="336"/>
        <item x="112"/>
        <item x="337"/>
        <item x="338"/>
        <item x="339"/>
        <item x="113"/>
        <item x="609"/>
        <item x="904"/>
        <item x="1422"/>
        <item x="1982"/>
        <item x="340"/>
        <item x="341"/>
        <item x="342"/>
        <item x="905"/>
        <item x="1423"/>
        <item x="114"/>
        <item x="343"/>
        <item x="610"/>
        <item x="1983"/>
        <item x="115"/>
        <item x="344"/>
        <item x="611"/>
        <item x="1984"/>
        <item x="345"/>
        <item x="612"/>
        <item x="1985"/>
        <item x="346"/>
        <item x="613"/>
        <item x="1986"/>
        <item x="347"/>
        <item x="1424"/>
        <item x="116"/>
        <item x="348"/>
        <item x="614"/>
        <item x="906"/>
        <item x="1987"/>
        <item x="117"/>
        <item x="615"/>
        <item x="907"/>
        <item x="1988"/>
        <item x="349"/>
        <item x="350"/>
        <item x="616"/>
        <item x="1989"/>
        <item x="617"/>
        <item x="1990"/>
        <item x="1425"/>
        <item x="118"/>
        <item x="351"/>
        <item x="618"/>
        <item x="908"/>
        <item x="1991"/>
        <item x="620"/>
        <item x="119"/>
        <item x="352"/>
        <item x="619"/>
        <item x="1992"/>
        <item x="909"/>
        <item x="910"/>
        <item x="353"/>
        <item x="621"/>
        <item x="1993"/>
        <item x="622"/>
        <item x="1994"/>
        <item x="120"/>
        <item x="354"/>
        <item x="623"/>
        <item x="1426"/>
        <item x="911"/>
        <item x="1995"/>
        <item x="912"/>
        <item x="1996"/>
        <item x="913"/>
        <item x="1997"/>
        <item x="914"/>
        <item x="915"/>
        <item x="916"/>
        <item x="917"/>
        <item x="918"/>
        <item x="919"/>
        <item x="920"/>
        <item x="121"/>
        <item x="355"/>
        <item x="624"/>
        <item x="1427"/>
        <item x="1998"/>
        <item x="1999"/>
        <item x="1428"/>
        <item x="1429"/>
        <item x="356"/>
        <item x="625"/>
        <item x="921"/>
        <item x="2000"/>
        <item x="122"/>
        <item x="123"/>
        <item x="922"/>
        <item x="923"/>
        <item x="924"/>
        <item x="1430"/>
        <item x="124"/>
        <item x="357"/>
        <item x="626"/>
        <item x="2001"/>
        <item x="125"/>
        <item x="358"/>
        <item x="627"/>
        <item x="2002"/>
        <item x="359"/>
        <item x="628"/>
        <item x="2003"/>
        <item x="360"/>
        <item x="629"/>
        <item x="630"/>
        <item x="126"/>
        <item x="631"/>
        <item x="925"/>
        <item x="1431"/>
        <item x="2004"/>
        <item x="361"/>
        <item x="362"/>
        <item x="363"/>
        <item x="364"/>
        <item x="365"/>
        <item x="127"/>
        <item x="632"/>
        <item x="926"/>
        <item x="1432"/>
        <item x="366"/>
        <item x="2005"/>
        <item x="367"/>
        <item x="2006"/>
        <item x="1433"/>
        <item x="1434"/>
        <item x="128"/>
        <item x="633"/>
        <item x="927"/>
        <item x="2007"/>
        <item x="368"/>
        <item x="369"/>
        <item x="928"/>
        <item x="2008"/>
        <item x="129"/>
        <item x="370"/>
        <item x="1435"/>
        <item x="634"/>
        <item x="635"/>
        <item x="636"/>
        <item x="130"/>
        <item x="371"/>
        <item x="1436"/>
        <item x="131"/>
        <item x="1437"/>
        <item x="1438"/>
        <item x="132"/>
        <item x="637"/>
        <item x="929"/>
        <item x="1439"/>
        <item x="2009"/>
        <item x="372"/>
        <item x="374"/>
        <item x="373"/>
        <item x="375"/>
        <item x="1440"/>
        <item x="1441"/>
        <item x="638"/>
        <item x="930"/>
        <item x="2010"/>
        <item x="133"/>
        <item x="376"/>
        <item x="134"/>
        <item x="377"/>
        <item x="378"/>
        <item x="379"/>
        <item x="135"/>
        <item x="380"/>
        <item x="639"/>
        <item x="931"/>
        <item x="1442"/>
        <item x="2011"/>
        <item x="640"/>
        <item x="932"/>
        <item x="1443"/>
        <item x="2012"/>
        <item x="136"/>
        <item x="381"/>
        <item x="137"/>
        <item x="382"/>
        <item x="138"/>
        <item x="139"/>
        <item x="140"/>
        <item x="2014"/>
        <item x="383"/>
        <item x="933"/>
        <item x="1444"/>
        <item x="2013"/>
        <item x="141"/>
        <item x="641"/>
        <item x="643"/>
        <item x="142"/>
        <item x="642"/>
        <item x="644"/>
        <item x="143"/>
        <item x="144"/>
        <item x="145"/>
        <item x="146"/>
        <item x="384"/>
        <item x="645"/>
        <item x="934"/>
        <item x="2015"/>
        <item x="1445"/>
        <item x="1446"/>
        <item x="1447"/>
        <item x="1448"/>
        <item x="1449"/>
        <item x="385"/>
        <item x="646"/>
        <item x="935"/>
        <item x="1450"/>
        <item x="2016"/>
        <item x="147"/>
        <item x="148"/>
        <item x="386"/>
        <item x="936"/>
        <item x="1451"/>
        <item x="2017"/>
        <item x="149"/>
        <item x="647"/>
        <item x="150"/>
        <item x="648"/>
        <item x="387"/>
        <item x="937"/>
        <item x="1452"/>
        <item x="151"/>
        <item x="649"/>
        <item x="2018"/>
        <item x="152"/>
        <item x="650"/>
        <item x="2019"/>
        <item x="153"/>
        <item x="154"/>
        <item x="155"/>
        <item x="388"/>
        <item x="651"/>
        <item x="938"/>
        <item x="1453"/>
        <item x="2020"/>
        <item x="652"/>
        <item x="939"/>
        <item x="156"/>
        <item x="1454"/>
        <item x="2021"/>
        <item x="389"/>
        <item x="390"/>
        <item x="157"/>
        <item x="1455"/>
        <item x="2022"/>
        <item x="158"/>
        <item x="1456"/>
        <item x="1457"/>
        <item x="653"/>
        <item x="940"/>
        <item x="2023"/>
        <item x="159"/>
        <item x="1458"/>
        <item x="391"/>
        <item x="392"/>
        <item x="160"/>
        <item x="1459"/>
        <item x="1460"/>
        <item x="1461"/>
        <item x="1462"/>
        <item x="393"/>
        <item x="941"/>
        <item x="1463"/>
        <item x="2024"/>
        <item x="161"/>
        <item x="654"/>
        <item x="162"/>
        <item x="655"/>
        <item x="394"/>
        <item x="656"/>
        <item x="942"/>
        <item x="1464"/>
        <item x="163"/>
        <item x="2025"/>
        <item x="164"/>
        <item x="2026"/>
        <item x="2027"/>
        <item x="165"/>
        <item x="395"/>
        <item x="657"/>
        <item x="943"/>
        <item x="2028"/>
        <item x="1465"/>
        <item x="1466"/>
        <item x="1467"/>
        <item x="1468"/>
        <item x="396"/>
        <item x="944"/>
        <item x="166"/>
        <item x="658"/>
        <item x="1469"/>
        <item x="2029"/>
        <item x="167"/>
        <item x="1470"/>
        <item x="2030"/>
        <item x="659"/>
        <item x="660"/>
        <item x="168"/>
        <item x="1471"/>
        <item x="169"/>
        <item x="170"/>
        <item x="397"/>
        <item x="945"/>
        <item x="2031"/>
        <item x="171"/>
        <item x="661"/>
        <item x="1472"/>
        <item x="172"/>
        <item x="662"/>
        <item x="173"/>
        <item x="663"/>
        <item x="174"/>
        <item x="664"/>
        <item x="665"/>
        <item x="946"/>
        <item x="2032"/>
        <item x="175"/>
        <item x="398"/>
        <item x="666"/>
        <item x="1473"/>
        <item x="176"/>
        <item x="399"/>
        <item x="667"/>
        <item x="1474"/>
        <item x="177"/>
        <item x="400"/>
        <item x="668"/>
        <item x="1475"/>
        <item x="178"/>
        <item x="401"/>
        <item x="669"/>
        <item x="1476"/>
        <item x="670"/>
        <item x="671"/>
        <item x="947"/>
        <item x="179"/>
        <item x="402"/>
        <item x="1477"/>
        <item x="180"/>
        <item x="403"/>
        <item x="1478"/>
        <item x="181"/>
        <item x="404"/>
        <item x="1479"/>
        <item x="182"/>
        <item x="948"/>
        <item x="949"/>
        <item x="183"/>
        <item x="1480"/>
        <item x="672"/>
        <item x="405"/>
        <item x="406"/>
        <item x="673"/>
        <item x="674"/>
        <item x="675"/>
        <item x="676"/>
        <item x="950"/>
        <item x="1481"/>
        <item x="677"/>
        <item x="184"/>
        <item x="407"/>
        <item x="185"/>
        <item x="408"/>
        <item x="186"/>
        <item x="678"/>
        <item x="679"/>
        <item x="680"/>
        <item x="681"/>
        <item x="409"/>
        <item x="682"/>
        <item x="951"/>
        <item x="1482"/>
        <item x="187"/>
        <item x="188"/>
        <item x="189"/>
        <item x="190"/>
        <item x="952"/>
        <item x="1483"/>
        <item x="410"/>
        <item x="683"/>
        <item x="411"/>
        <item x="684"/>
        <item x="685"/>
        <item x="686"/>
        <item x="687"/>
        <item x="191"/>
        <item x="953"/>
        <item x="1484"/>
        <item x="412"/>
        <item x="688"/>
        <item x="413"/>
        <item x="689"/>
        <item x="690"/>
        <item x="691"/>
        <item x="692"/>
        <item x="414"/>
        <item x="954"/>
        <item x="1485"/>
        <item x="192"/>
        <item x="693"/>
        <item x="193"/>
        <item x="694"/>
        <item x="695"/>
        <item x="696"/>
        <item x="697"/>
        <item x="415"/>
        <item x="955"/>
        <item x="1486"/>
        <item x="194"/>
        <item x="698"/>
        <item x="195"/>
        <item x="699"/>
        <item x="196"/>
        <item x="197"/>
        <item x="198"/>
        <item x="700"/>
        <item x="956"/>
        <item x="1487"/>
        <item x="199"/>
        <item x="416"/>
        <item x="200"/>
        <item x="417"/>
        <item x="201"/>
        <item x="418"/>
        <item x="701"/>
        <item x="957"/>
        <item x="1488"/>
        <item x="202"/>
        <item x="419"/>
        <item x="203"/>
        <item x="420"/>
        <item x="204"/>
        <item x="205"/>
        <item x="702"/>
        <item x="958"/>
        <item x="1489"/>
        <item x="206"/>
        <item x="421"/>
        <item x="207"/>
        <item x="422"/>
        <item x="208"/>
        <item x="209"/>
        <item x="210"/>
        <item x="423"/>
        <item x="703"/>
        <item x="959"/>
        <item x="1490"/>
        <item x="1491"/>
        <item x="1492"/>
        <item x="1493"/>
        <item x="704"/>
        <item x="960"/>
        <item x="424"/>
        <item x="425"/>
        <item x="426"/>
        <item x="211"/>
        <item x="212"/>
        <item x="427"/>
        <item x="705"/>
        <item x="961"/>
        <item x="1494"/>
        <item x="213"/>
        <item x="428"/>
        <item x="214"/>
        <item x="429"/>
        <item x="706"/>
        <item x="962"/>
        <item x="1495"/>
        <item x="215"/>
        <item x="430"/>
        <item x="216"/>
        <item x="431"/>
        <item x="432"/>
        <item x="963"/>
        <item x="1496"/>
        <item x="433"/>
        <item x="217"/>
        <item x="707"/>
        <item x="218"/>
        <item x="708"/>
        <item x="434"/>
        <item x="219"/>
        <item x="709"/>
        <item x="220"/>
        <item x="710"/>
        <item x="435"/>
        <item x="436"/>
        <item x="437"/>
        <item x="438"/>
        <item x="221"/>
        <item x="964"/>
        <item x="1497"/>
        <item x="439"/>
        <item x="711"/>
        <item x="440"/>
        <item x="712"/>
        <item x="441"/>
        <item x="965"/>
        <item x="1498"/>
        <item x="222"/>
        <item x="713"/>
        <item x="223"/>
        <item x="714"/>
        <item x="1499"/>
        <item x="1500"/>
        <item x="442"/>
        <item x="966"/>
        <item x="224"/>
        <item x="715"/>
        <item x="716"/>
        <item x="717"/>
        <item x="718"/>
        <item x="225"/>
        <item x="226"/>
        <item x="443"/>
        <item x="967"/>
        <item x="1501"/>
        <item x="719"/>
        <item x="720"/>
        <item x="721"/>
        <item x="722"/>
        <item x="723"/>
        <item x="227"/>
        <item x="968"/>
        <item x="1502"/>
        <item x="444"/>
        <item x="445"/>
        <item x="446"/>
        <item x="447"/>
        <item x="1504"/>
        <item x="1503"/>
        <item x="1506"/>
        <item x="1505"/>
        <item x="228"/>
        <item x="448"/>
        <item x="969"/>
        <item x="724"/>
        <item x="725"/>
        <item x="229"/>
        <item x="449"/>
        <item x="726"/>
        <item x="970"/>
        <item x="230"/>
        <item x="231"/>
        <item x="727"/>
        <item x="971"/>
        <item x="1507"/>
        <item x="450"/>
        <item x="451"/>
        <item x="452"/>
        <item x="1508"/>
        <item x="972"/>
        <item x="453"/>
        <item x="728"/>
        <item x="454"/>
        <item x="729"/>
        <item x="455"/>
        <item x="973"/>
        <item x="974"/>
        <item x="975"/>
        <item x="456"/>
        <item x="1509"/>
        <item x="976"/>
        <item x="730"/>
        <item x="731"/>
        <item x="977"/>
        <item x="732"/>
        <item x="733"/>
        <item x="978"/>
        <item x="979"/>
        <item x="1510"/>
        <item x="457"/>
        <item x="734"/>
        <item x="980"/>
        <item x="458"/>
        <item x="735"/>
        <item x="981"/>
        <item x="459"/>
        <item x="982"/>
        <item x="460"/>
        <item x="983"/>
        <item x="736"/>
        <item x="1511"/>
        <item x="737"/>
        <item x="1512"/>
        <item x="1513"/>
        <item x="738"/>
        <item x="1514"/>
        <item x="461"/>
        <item x="984"/>
        <item x="462"/>
        <item x="985"/>
        <item x="986"/>
        <item x="463"/>
        <item x="1515"/>
        <item x="739"/>
        <item x="740"/>
        <item x="464"/>
        <item x="741"/>
        <item x="1516"/>
        <item x="742"/>
        <item x="1517"/>
        <item x="743"/>
        <item x="744"/>
        <item x="465"/>
        <item x="1518"/>
        <item x="745"/>
        <item x="987"/>
        <item x="746"/>
        <item x="988"/>
        <item x="989"/>
        <item x="747"/>
        <item x="748"/>
        <item x="749"/>
        <item x="1519"/>
        <item x="1520"/>
        <item x="990"/>
        <item x="466"/>
        <item x="750"/>
        <item x="467"/>
        <item x="751"/>
        <item x="468"/>
        <item x="752"/>
        <item x="753"/>
        <item x="754"/>
        <item x="991"/>
        <item x="1521"/>
        <item x="469"/>
        <item x="470"/>
        <item x="755"/>
        <item x="756"/>
        <item x="992"/>
        <item x="1522"/>
        <item x="1523"/>
        <item x="993"/>
        <item x="757"/>
        <item x="758"/>
        <item x="994"/>
        <item x="995"/>
        <item x="1524"/>
        <item x="759"/>
        <item x="760"/>
        <item x="996"/>
        <item x="1525"/>
        <item x="997"/>
        <item x="1526"/>
        <item x="761"/>
        <item x="762"/>
        <item x="763"/>
        <item x="764"/>
        <item x="998"/>
        <item x="1527"/>
        <item x="765"/>
        <item x="766"/>
        <item x="767"/>
        <item x="768"/>
        <item x="769"/>
        <item x="999"/>
        <item x="1528"/>
        <item x="770"/>
        <item x="1000"/>
        <item x="1529"/>
        <item x="771"/>
        <item x="1530"/>
        <item x="1531"/>
        <item x="1532"/>
        <item x="1001"/>
        <item x="772"/>
        <item x="1533"/>
        <item x="773"/>
        <item x="1534"/>
        <item x="774"/>
        <item x="1535"/>
        <item x="775"/>
        <item x="1536"/>
        <item x="1537"/>
        <item x="776"/>
        <item x="777"/>
        <item x="1538"/>
        <item x="778"/>
        <item x="779"/>
        <item x="780"/>
        <item x="1539"/>
        <item x="1540"/>
        <item x="781"/>
        <item x="782"/>
        <item x="783"/>
        <item x="1541"/>
        <item x="784"/>
        <item x="785"/>
        <item x="1542"/>
        <item x="1543"/>
        <item x="786"/>
        <item x="787"/>
        <item x="1544"/>
        <item x="788"/>
        <item x="789"/>
        <item x="1545"/>
        <item x="790"/>
        <item x="791"/>
        <item x="792"/>
        <item x="1547"/>
        <item x="793"/>
        <item x="794"/>
        <item x="795"/>
        <item x="796"/>
        <item x="1548"/>
        <item x="797"/>
        <item x="798"/>
        <item x="799"/>
        <item x="1549"/>
        <item x="800"/>
        <item x="1550"/>
        <item x="801"/>
        <item x="1551"/>
        <item x="802"/>
        <item x="1552"/>
        <item x="803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002"/>
        <item x="1734"/>
        <item x="1735"/>
        <item x="1003"/>
        <item x="1736"/>
        <item x="1004"/>
        <item x="1737"/>
        <item x="1005"/>
        <item x="1738"/>
        <item x="1006"/>
        <item x="1739"/>
        <item x="1007"/>
        <item x="1740"/>
        <item x="1008"/>
        <item x="1009"/>
        <item x="1010"/>
        <item x="1742"/>
        <item x="1011"/>
        <item x="1743"/>
        <item x="1012"/>
        <item x="1744"/>
        <item x="1013"/>
        <item x="1745"/>
        <item x="1014"/>
        <item x="1746"/>
        <item x="1015"/>
        <item x="1747"/>
        <item x="1016"/>
        <item x="1748"/>
        <item x="1017"/>
        <item x="1749"/>
        <item x="1750"/>
        <item x="1751"/>
        <item x="1018"/>
        <item x="1019"/>
        <item x="1752"/>
        <item x="1020"/>
        <item x="1753"/>
        <item x="1021"/>
        <item x="1754"/>
        <item x="1022"/>
        <item x="1023"/>
        <item x="1755"/>
        <item x="1024"/>
        <item x="1025"/>
        <item x="1756"/>
        <item x="1026"/>
        <item x="1757"/>
        <item x="1758"/>
        <item x="1759"/>
        <item x="1760"/>
        <item x="1761"/>
        <item x="1762"/>
        <item x="1027"/>
        <item x="1763"/>
        <item x="1028"/>
        <item x="1764"/>
        <item x="1029"/>
        <item x="1765"/>
        <item x="1766"/>
        <item x="1767"/>
        <item x="1768"/>
        <item x="1769"/>
        <item x="1030"/>
        <item x="1770"/>
        <item x="1771"/>
        <item x="1772"/>
        <item x="1773"/>
        <item x="1031"/>
        <item x="1774"/>
        <item x="1775"/>
        <item x="1776"/>
        <item x="1032"/>
        <item x="1033"/>
        <item x="1777"/>
        <item x="1778"/>
        <item x="1034"/>
        <item x="1035"/>
        <item x="1779"/>
        <item x="1780"/>
        <item x="1781"/>
        <item x="1782"/>
        <item x="1036"/>
        <item x="1037"/>
        <item x="1038"/>
        <item x="1783"/>
        <item x="1784"/>
        <item x="1785"/>
        <item x="1786"/>
        <item x="1039"/>
        <item x="1040"/>
        <item x="1041"/>
        <item x="1042"/>
        <item x="1787"/>
        <item x="1043"/>
        <item x="1044"/>
        <item x="1045"/>
        <item x="1046"/>
        <item x="1047"/>
        <item x="1788"/>
        <item x="1048"/>
        <item x="1049"/>
        <item x="1050"/>
        <item x="1051"/>
        <item x="1789"/>
        <item x="1790"/>
        <item x="1052"/>
        <item x="1053"/>
        <item x="1054"/>
        <item x="1055"/>
        <item x="1056"/>
        <item x="1791"/>
        <item x="1792"/>
        <item x="1793"/>
        <item x="1794"/>
        <item x="1795"/>
        <item x="1057"/>
        <item x="1058"/>
        <item x="1796"/>
        <item x="1797"/>
        <item x="1798"/>
        <item x="1799"/>
        <item x="1059"/>
        <item x="1060"/>
        <item x="1800"/>
        <item x="1801"/>
        <item x="1802"/>
        <item x="1061"/>
        <item x="1803"/>
        <item x="1804"/>
        <item x="1805"/>
        <item x="1062"/>
        <item x="1063"/>
        <item x="1806"/>
        <item x="1807"/>
        <item x="1064"/>
        <item x="1808"/>
        <item x="1065"/>
        <item x="1809"/>
        <item x="1066"/>
        <item x="1810"/>
        <item x="1811"/>
        <item x="1067"/>
        <item x="1812"/>
        <item x="1068"/>
        <item x="1813"/>
        <item x="1069"/>
        <item x="1070"/>
        <item x="1814"/>
        <item x="1815"/>
        <item x="1071"/>
        <item x="1074"/>
        <item x="1072"/>
        <item x="1073"/>
        <item x="1075"/>
        <item x="1076"/>
        <item x="1077"/>
        <item x="1816"/>
        <item x="1078"/>
        <item x="1079"/>
        <item x="1817"/>
        <item x="1080"/>
        <item x="1818"/>
        <item x="1081"/>
        <item x="1082"/>
        <item x="1820"/>
        <item x="1821"/>
        <item x="1822"/>
        <item x="1083"/>
        <item x="1823"/>
        <item x="1084"/>
        <item x="1824"/>
        <item x="1085"/>
        <item x="1086"/>
        <item x="1087"/>
        <item x="1088"/>
        <item x="1089"/>
        <item x="1090"/>
        <item x="1091"/>
        <item x="1825"/>
        <item x="1826"/>
        <item x="1827"/>
        <item x="1828"/>
        <item x="1829"/>
        <item x="1092"/>
        <item x="1093"/>
        <item x="1094"/>
        <item x="1830"/>
        <item x="1831"/>
        <item x="1832"/>
        <item x="1833"/>
        <item x="1835"/>
        <item x="1095"/>
        <item x="1834"/>
        <item x="1096"/>
        <item x="1097"/>
        <item x="1836"/>
        <item x="1098"/>
        <item x="1837"/>
        <item x="1099"/>
        <item x="1838"/>
        <item x="1100"/>
        <item x="1839"/>
        <item x="1101"/>
        <item x="1840"/>
        <item x="1842"/>
        <item x="1102"/>
        <item x="1841"/>
        <item x="1103"/>
        <item x="1104"/>
        <item x="1843"/>
        <item x="1844"/>
        <item x="1105"/>
        <item x="1845"/>
        <item x="1106"/>
        <item x="1846"/>
        <item x="1107"/>
        <item x="1108"/>
        <item x="1847"/>
        <item x="1109"/>
        <item x="1110"/>
        <item x="1848"/>
        <item x="1111"/>
        <item x="1849"/>
        <item x="1850"/>
        <item x="1112"/>
        <item x="1851"/>
        <item x="1852"/>
        <item x="1113"/>
        <item x="1853"/>
        <item x="1114"/>
        <item x="1854"/>
        <item x="1115"/>
        <item x="1855"/>
        <item x="1116"/>
        <item x="1856"/>
        <item x="1117"/>
        <item x="1857"/>
        <item x="1118"/>
        <item x="1858"/>
        <item x="1119"/>
        <item x="1859"/>
        <item x="1120"/>
        <item x="1860"/>
        <item x="1861"/>
        <item x="1121"/>
        <item x="1862"/>
        <item x="1863"/>
        <item x="1864"/>
        <item x="1122"/>
        <item x="1123"/>
        <item x="1124"/>
        <item x="1125"/>
        <item x="1126"/>
        <item x="1865"/>
        <item x="1127"/>
        <item x="1128"/>
        <item x="1129"/>
        <item x="1130"/>
        <item x="1131"/>
        <item x="1132"/>
        <item x="1866"/>
        <item x="1133"/>
        <item x="1867"/>
        <item x="1134"/>
        <item x="1135"/>
        <item x="1136"/>
        <item x="1868"/>
        <item x="1137"/>
        <item x="1869"/>
        <item x="1870"/>
        <item x="1871"/>
        <item x="1872"/>
        <item x="1138"/>
        <item x="1874"/>
        <item x="1873"/>
        <item x="1875"/>
        <item x="1139"/>
        <item x="1876"/>
        <item x="187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573"/>
        <item x="1885"/>
        <item x="1604"/>
        <item x="1886"/>
        <item x="1741"/>
        <item x="1819"/>
        <item x="1939"/>
        <item x="1940"/>
      </items>
    </pivotField>
    <pivotField compact="0" outline="0" showAll="0"/>
    <pivotField axis="axisRow" compact="0" outline="0" showAll="0" defaultSubtotal="0">
      <items count="1712">
        <item x="29"/>
        <item x="30"/>
        <item x="31"/>
        <item x="77"/>
        <item x="78"/>
        <item x="74"/>
        <item x="20"/>
        <item x="21"/>
        <item x="79"/>
        <item x="80"/>
        <item x="81"/>
        <item x="82"/>
        <item x="75"/>
        <item x="76"/>
        <item x="49"/>
        <item x="11"/>
        <item x="12"/>
        <item x="13"/>
        <item x="14"/>
        <item x="15"/>
        <item x="16"/>
        <item x="17"/>
        <item x="18"/>
        <item x="19"/>
        <item x="22"/>
        <item x="23"/>
        <item x="24"/>
        <item x="0"/>
        <item x="1"/>
        <item x="2"/>
        <item x="3"/>
        <item x="4"/>
        <item x="26"/>
        <item x="27"/>
        <item x="28"/>
        <item x="5"/>
        <item x="6"/>
        <item x="7"/>
        <item x="8"/>
        <item x="9"/>
        <item x="25"/>
        <item x="10"/>
        <item x="84"/>
        <item x="85"/>
        <item x="86"/>
        <item x="87"/>
        <item x="88"/>
        <item x="91"/>
        <item x="92"/>
        <item x="93"/>
        <item x="94"/>
        <item x="90"/>
        <item x="89"/>
        <item x="104"/>
        <item x="105"/>
        <item x="107"/>
        <item x="108"/>
        <item x="109"/>
        <item x="110"/>
        <item x="111"/>
        <item x="112"/>
        <item x="120"/>
        <item x="124"/>
        <item x="125"/>
        <item x="126"/>
        <item x="123"/>
        <item x="127"/>
        <item x="138"/>
        <item x="139"/>
        <item x="140"/>
        <item x="141"/>
        <item x="142"/>
        <item x="147"/>
        <item x="148"/>
        <item x="32"/>
        <item x="33"/>
        <item x="35"/>
        <item x="36"/>
        <item x="37"/>
        <item x="38"/>
        <item x="39"/>
        <item x="40"/>
        <item x="41"/>
        <item x="42"/>
        <item x="43"/>
        <item x="44"/>
        <item x="45"/>
        <item x="47"/>
        <item x="46"/>
        <item x="48"/>
        <item x="50"/>
        <item x="51"/>
        <item x="52"/>
        <item x="53"/>
        <item x="54"/>
        <item x="55"/>
        <item x="56"/>
        <item x="57"/>
        <item x="58"/>
        <item x="59"/>
        <item x="60"/>
        <item x="62"/>
        <item x="61"/>
        <item x="63"/>
        <item x="64"/>
        <item x="65"/>
        <item x="66"/>
        <item x="67"/>
        <item x="68"/>
        <item x="69"/>
        <item x="70"/>
        <item x="71"/>
        <item x="72"/>
        <item x="73"/>
        <item x="83"/>
        <item x="95"/>
        <item x="96"/>
        <item x="98"/>
        <item x="97"/>
        <item x="99"/>
        <item x="100"/>
        <item x="101"/>
        <item x="102"/>
        <item x="103"/>
        <item x="106"/>
        <item x="113"/>
        <item x="114"/>
        <item x="115"/>
        <item x="116"/>
        <item x="117"/>
        <item x="118"/>
        <item x="119"/>
        <item x="121"/>
        <item x="122"/>
        <item x="128"/>
        <item x="129"/>
        <item x="130"/>
        <item x="131"/>
        <item x="132"/>
        <item x="133"/>
        <item x="134"/>
        <item x="135"/>
        <item x="136"/>
        <item x="137"/>
        <item x="143"/>
        <item x="144"/>
        <item x="145"/>
        <item x="146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70"/>
        <item x="168"/>
        <item x="162"/>
        <item x="163"/>
        <item x="164"/>
        <item x="165"/>
        <item x="166"/>
        <item x="167"/>
        <item x="182"/>
        <item x="169"/>
        <item x="184"/>
        <item x="201"/>
        <item x="200"/>
        <item x="181"/>
        <item x="199"/>
        <item x="217"/>
        <item x="219"/>
        <item x="229"/>
        <item x="230"/>
        <item x="231"/>
        <item x="232"/>
        <item x="233"/>
        <item x="234"/>
        <item x="235"/>
        <item x="236"/>
        <item x="237"/>
        <item x="178"/>
        <item x="242"/>
        <item x="243"/>
        <item x="244"/>
        <item x="245"/>
        <item x="171"/>
        <item x="183"/>
        <item x="248"/>
        <item x="249"/>
        <item x="255"/>
        <item x="256"/>
        <item x="257"/>
        <item x="202"/>
        <item x="185"/>
        <item x="189"/>
        <item x="193"/>
        <item x="197"/>
        <item x="186"/>
        <item x="190"/>
        <item x="194"/>
        <item x="198"/>
        <item x="206"/>
        <item x="214"/>
        <item x="187"/>
        <item x="191"/>
        <item x="195"/>
        <item x="188"/>
        <item x="192"/>
        <item x="196"/>
        <item x="180"/>
        <item x="207"/>
        <item x="211"/>
        <item x="215"/>
        <item x="220"/>
        <item x="224"/>
        <item x="203"/>
        <item x="208"/>
        <item x="212"/>
        <item x="216"/>
        <item x="204"/>
        <item x="209"/>
        <item x="221"/>
        <item x="225"/>
        <item x="179"/>
        <item x="210"/>
        <item x="213"/>
        <item x="205"/>
        <item x="222"/>
        <item x="226"/>
        <item x="227"/>
        <item x="172"/>
        <item x="176"/>
        <item x="177"/>
        <item x="259"/>
        <item x="223"/>
        <item x="228"/>
        <item x="173"/>
        <item x="267"/>
        <item x="271"/>
        <item x="174"/>
        <item x="238"/>
        <item x="218"/>
        <item x="175"/>
        <item x="239"/>
        <item x="300"/>
        <item x="301"/>
        <item x="302"/>
        <item x="240"/>
        <item x="264"/>
        <item x="265"/>
        <item x="260"/>
        <item x="261"/>
        <item x="262"/>
        <item x="263"/>
        <item x="241"/>
        <item x="266"/>
        <item x="303"/>
        <item x="258"/>
        <item x="247"/>
        <item x="250"/>
        <item x="316"/>
        <item x="320"/>
        <item x="278"/>
        <item x="272"/>
        <item x="281"/>
        <item x="296"/>
        <item x="279"/>
        <item x="253"/>
        <item x="273"/>
        <item x="280"/>
        <item x="282"/>
        <item x="293"/>
        <item x="297"/>
        <item x="298"/>
        <item x="304"/>
        <item x="274"/>
        <item x="295"/>
        <item x="305"/>
        <item x="306"/>
        <item x="307"/>
        <item x="251"/>
        <item x="252"/>
        <item x="294"/>
        <item x="338"/>
        <item x="299"/>
        <item x="275"/>
        <item x="284"/>
        <item x="283"/>
        <item x="246"/>
        <item x="285"/>
        <item x="347"/>
        <item x="348"/>
        <item x="349"/>
        <item x="351"/>
        <item x="350"/>
        <item x="352"/>
        <item x="354"/>
        <item x="360"/>
        <item x="361"/>
        <item x="254"/>
        <item x="277"/>
        <item x="268"/>
        <item x="290"/>
        <item x="327"/>
        <item x="310"/>
        <item x="311"/>
        <item x="312"/>
        <item x="308"/>
        <item x="309"/>
        <item x="276"/>
        <item x="269"/>
        <item x="342"/>
        <item x="270"/>
        <item x="339"/>
        <item x="328"/>
        <item x="326"/>
        <item x="330"/>
        <item x="334"/>
        <item x="331"/>
        <item x="333"/>
        <item x="335"/>
        <item x="336"/>
        <item x="337"/>
        <item x="343"/>
        <item x="344"/>
        <item x="345"/>
        <item x="346"/>
        <item x="340"/>
        <item x="341"/>
        <item x="287"/>
        <item x="329"/>
        <item x="353"/>
        <item x="291"/>
        <item x="286"/>
        <item x="288"/>
        <item x="289"/>
        <item x="317"/>
        <item x="318"/>
        <item x="319"/>
        <item x="405"/>
        <item x="322"/>
        <item x="321"/>
        <item x="406"/>
        <item x="407"/>
        <item x="313"/>
        <item x="315"/>
        <item x="314"/>
        <item x="323"/>
        <item x="324"/>
        <item x="325"/>
        <item x="356"/>
        <item x="408"/>
        <item x="377"/>
        <item x="355"/>
        <item x="364"/>
        <item x="359"/>
        <item x="357"/>
        <item x="358"/>
        <item x="367"/>
        <item x="368"/>
        <item x="365"/>
        <item x="371"/>
        <item x="372"/>
        <item x="430"/>
        <item x="431"/>
        <item x="432"/>
        <item x="433"/>
        <item x="378"/>
        <item x="379"/>
        <item x="380"/>
        <item x="381"/>
        <item x="382"/>
        <item x="383"/>
        <item x="384"/>
        <item x="385"/>
        <item x="386"/>
        <item x="362"/>
        <item x="373"/>
        <item x="403"/>
        <item x="363"/>
        <item x="374"/>
        <item x="375"/>
        <item x="376"/>
        <item x="404"/>
        <item x="396"/>
        <item x="397"/>
        <item x="366"/>
        <item x="370"/>
        <item x="398"/>
        <item x="399"/>
        <item x="400"/>
        <item x="401"/>
        <item x="402"/>
        <item x="445"/>
        <item x="417"/>
        <item x="420"/>
        <item x="392"/>
        <item x="393"/>
        <item x="413"/>
        <item x="369"/>
        <item x="415"/>
        <item x="414"/>
        <item x="416"/>
        <item x="418"/>
        <item x="419"/>
        <item x="421"/>
        <item x="422"/>
        <item x="423"/>
        <item x="390"/>
        <item x="388"/>
        <item x="389"/>
        <item x="394"/>
        <item x="395"/>
        <item x="409"/>
        <item x="410"/>
        <item x="411"/>
        <item x="463"/>
        <item x="464"/>
        <item x="465"/>
        <item x="466"/>
        <item x="467"/>
        <item x="424"/>
        <item x="425"/>
        <item x="476"/>
        <item x="412"/>
        <item x="426"/>
        <item x="434"/>
        <item x="436"/>
        <item x="435"/>
        <item x="505"/>
        <item x="387"/>
        <item x="449"/>
        <item x="450"/>
        <item x="451"/>
        <item x="452"/>
        <item x="453"/>
        <item x="437"/>
        <item x="438"/>
        <item x="439"/>
        <item x="440"/>
        <item x="441"/>
        <item x="442"/>
        <item x="443"/>
        <item x="444"/>
        <item x="521"/>
        <item x="528"/>
        <item x="427"/>
        <item x="457"/>
        <item x="480"/>
        <item x="481"/>
        <item x="448"/>
        <item x="428"/>
        <item x="429"/>
        <item x="454"/>
        <item x="455"/>
        <item x="456"/>
        <item x="460"/>
        <item x="470"/>
        <item x="458"/>
        <item x="447"/>
        <item x="459"/>
        <item x="472"/>
        <item x="446"/>
        <item x="550"/>
        <item x="468"/>
        <item x="469"/>
        <item x="461"/>
        <item x="495"/>
        <item x="496"/>
        <item x="484"/>
        <item x="485"/>
        <item x="486"/>
        <item x="497"/>
        <item x="498"/>
        <item x="499"/>
        <item x="487"/>
        <item x="488"/>
        <item x="489"/>
        <item x="490"/>
        <item x="491"/>
        <item x="492"/>
        <item x="493"/>
        <item x="500"/>
        <item x="501"/>
        <item x="502"/>
        <item x="503"/>
        <item x="504"/>
        <item x="471"/>
        <item x="474"/>
        <item x="494"/>
        <item x="462"/>
        <item x="479"/>
        <item x="554"/>
        <item x="556"/>
        <item x="477"/>
        <item x="478"/>
        <item x="524"/>
        <item x="473"/>
        <item x="572"/>
        <item x="573"/>
        <item x="553"/>
        <item x="555"/>
        <item x="516"/>
        <item x="475"/>
        <item x="508"/>
        <item x="518"/>
        <item x="506"/>
        <item x="511"/>
        <item x="507"/>
        <item x="512"/>
        <item x="517"/>
        <item x="509"/>
        <item x="514"/>
        <item x="519"/>
        <item x="534"/>
        <item x="535"/>
        <item x="582"/>
        <item x="513"/>
        <item x="598"/>
        <item x="599"/>
        <item x="510"/>
        <item x="515"/>
        <item x="520"/>
        <item x="482"/>
        <item x="483"/>
        <item x="538"/>
        <item x="547"/>
        <item x="523"/>
        <item x="527"/>
        <item x="530"/>
        <item x="531"/>
        <item x="532"/>
        <item x="529"/>
        <item x="539"/>
        <item x="526"/>
        <item x="525"/>
        <item x="522"/>
        <item x="551"/>
        <item x="548"/>
        <item x="549"/>
        <item x="540"/>
        <item x="619"/>
        <item x="620"/>
        <item x="559"/>
        <item x="560"/>
        <item x="533"/>
        <item x="561"/>
        <item x="552"/>
        <item x="537"/>
        <item x="621"/>
        <item x="583"/>
        <item x="587"/>
        <item x="594"/>
        <item x="584"/>
        <item x="588"/>
        <item x="591"/>
        <item x="595"/>
        <item x="585"/>
        <item x="589"/>
        <item x="592"/>
        <item x="596"/>
        <item x="586"/>
        <item x="590"/>
        <item x="593"/>
        <item x="597"/>
        <item x="545"/>
        <item x="557"/>
        <item x="558"/>
        <item x="575"/>
        <item x="562"/>
        <item x="563"/>
        <item x="564"/>
        <item x="565"/>
        <item x="566"/>
        <item x="567"/>
        <item x="568"/>
        <item x="569"/>
        <item x="570"/>
        <item x="571"/>
        <item x="536"/>
        <item x="544"/>
        <item x="600"/>
        <item x="542"/>
        <item x="574"/>
        <item x="622"/>
        <item x="580"/>
        <item x="606"/>
        <item x="576"/>
        <item x="623"/>
        <item x="579"/>
        <item x="601"/>
        <item x="608"/>
        <item x="581"/>
        <item x="609"/>
        <item x="605"/>
        <item x="607"/>
        <item x="546"/>
        <item x="612"/>
        <item x="613"/>
        <item x="614"/>
        <item x="611"/>
        <item x="615"/>
        <item x="616"/>
        <item x="617"/>
        <item x="618"/>
        <item x="541"/>
        <item x="629"/>
        <item x="631"/>
        <item x="632"/>
        <item x="633"/>
        <item x="634"/>
        <item x="635"/>
        <item x="636"/>
        <item x="637"/>
        <item x="577"/>
        <item x="603"/>
        <item x="604"/>
        <item x="602"/>
        <item x="610"/>
        <item x="543"/>
        <item x="578"/>
        <item x="667"/>
        <item x="670"/>
        <item x="671"/>
        <item x="668"/>
        <item x="669"/>
        <item x="681"/>
        <item x="652"/>
        <item x="653"/>
        <item x="654"/>
        <item x="655"/>
        <item x="660"/>
        <item x="661"/>
        <item x="663"/>
        <item x="682"/>
        <item x="657"/>
        <item x="658"/>
        <item x="659"/>
        <item x="656"/>
        <item x="684"/>
        <item x="690"/>
        <item x="683"/>
        <item x="719"/>
        <item x="722"/>
        <item x="630"/>
        <item x="638"/>
        <item x="643"/>
        <item x="644"/>
        <item x="639"/>
        <item x="664"/>
        <item x="665"/>
        <item x="666"/>
        <item x="738"/>
        <item x="640"/>
        <item x="641"/>
        <item x="645"/>
        <item x="642"/>
        <item x="646"/>
        <item x="685"/>
        <item x="686"/>
        <item x="726"/>
        <item x="672"/>
        <item x="675"/>
        <item x="723"/>
        <item x="727"/>
        <item x="730"/>
        <item x="673"/>
        <item x="676"/>
        <item x="674"/>
        <item x="729"/>
        <item x="687"/>
        <item x="678"/>
        <item x="647"/>
        <item x="625"/>
        <item x="626"/>
        <item x="627"/>
        <item x="648"/>
        <item x="677"/>
        <item x="679"/>
        <item x="649"/>
        <item x="680"/>
        <item x="650"/>
        <item x="651"/>
        <item x="728"/>
        <item x="763"/>
        <item x="761"/>
        <item x="628"/>
        <item x="720"/>
        <item x="760"/>
        <item x="759"/>
        <item x="695"/>
        <item x="764"/>
        <item x="724"/>
        <item x="725"/>
        <item x="662"/>
        <item x="691"/>
        <item x="762"/>
        <item x="790"/>
        <item x="624"/>
        <item x="706"/>
        <item x="789"/>
        <item x="788"/>
        <item x="696"/>
        <item x="701"/>
        <item x="800"/>
        <item x="688"/>
        <item x="689"/>
        <item x="769"/>
        <item x="692"/>
        <item x="806"/>
        <item x="721"/>
        <item x="697"/>
        <item x="702"/>
        <item x="707"/>
        <item x="805"/>
        <item x="818"/>
        <item x="751"/>
        <item x="828"/>
        <item x="766"/>
        <item x="698"/>
        <item x="699"/>
        <item x="703"/>
        <item x="700"/>
        <item x="704"/>
        <item x="757"/>
        <item x="781"/>
        <item x="693"/>
        <item x="735"/>
        <item x="737"/>
        <item x="739"/>
        <item x="808"/>
        <item x="770"/>
        <item x="774"/>
        <item x="775"/>
        <item x="772"/>
        <item x="776"/>
        <item x="773"/>
        <item x="777"/>
        <item x="771"/>
        <item x="782"/>
        <item x="783"/>
        <item x="709"/>
        <item x="705"/>
        <item x="710"/>
        <item x="734"/>
        <item x="716"/>
        <item x="715"/>
        <item x="801"/>
        <item x="731"/>
        <item x="708"/>
        <item x="747"/>
        <item x="754"/>
        <item x="792"/>
        <item x="795"/>
        <item x="815"/>
        <item x="768"/>
        <item x="758"/>
        <item x="743"/>
        <item x="765"/>
        <item x="740"/>
        <item x="778"/>
        <item x="832"/>
        <item x="835"/>
        <item x="779"/>
        <item x="767"/>
        <item x="814"/>
        <item x="745"/>
        <item x="712"/>
        <item x="694"/>
        <item x="711"/>
        <item x="714"/>
        <item x="732"/>
        <item x="809"/>
        <item x="833"/>
        <item x="836"/>
        <item x="858"/>
        <item x="859"/>
        <item x="860"/>
        <item x="807"/>
        <item x="791"/>
        <item x="838"/>
        <item x="780"/>
        <item x="748"/>
        <item x="834"/>
        <item x="837"/>
        <item x="856"/>
        <item x="857"/>
        <item x="810"/>
        <item x="717"/>
        <item x="718"/>
        <item x="752"/>
        <item x="813"/>
        <item x="746"/>
        <item x="750"/>
        <item x="756"/>
        <item x="793"/>
        <item x="799"/>
        <item x="744"/>
        <item x="803"/>
        <item x="804"/>
        <item x="816"/>
        <item x="741"/>
        <item x="713"/>
        <item x="733"/>
        <item x="742"/>
        <item x="825"/>
        <item x="826"/>
        <item x="817"/>
        <item x="785"/>
        <item x="786"/>
        <item x="852"/>
        <item x="853"/>
        <item x="861"/>
        <item x="736"/>
        <item x="830"/>
        <item x="794"/>
        <item x="802"/>
        <item x="787"/>
        <item x="829"/>
        <item x="891"/>
        <item x="892"/>
        <item x="902"/>
        <item x="910"/>
        <item x="896"/>
        <item x="898"/>
        <item x="900"/>
        <item x="753"/>
        <item x="939"/>
        <item x="827"/>
        <item x="906"/>
        <item x="903"/>
        <item x="908"/>
        <item x="905"/>
        <item x="831"/>
        <item x="812"/>
        <item x="901"/>
        <item x="907"/>
        <item x="819"/>
        <item x="749"/>
        <item x="797"/>
        <item x="755"/>
        <item x="824"/>
        <item x="839"/>
        <item x="840"/>
        <item x="844"/>
        <item x="848"/>
        <item x="964"/>
        <item x="784"/>
        <item x="796"/>
        <item x="841"/>
        <item x="842"/>
        <item x="845"/>
        <item x="846"/>
        <item x="849"/>
        <item x="850"/>
        <item x="895"/>
        <item x="1001"/>
        <item x="847"/>
        <item x="843"/>
        <item x="851"/>
        <item x="1010"/>
        <item x="945"/>
        <item x="862"/>
        <item x="821"/>
        <item x="893"/>
        <item x="897"/>
        <item x="909"/>
        <item x="1011"/>
        <item x="866"/>
        <item x="869"/>
        <item x="863"/>
        <item x="1019"/>
        <item x="904"/>
        <item x="946"/>
        <item x="890"/>
        <item x="811"/>
        <item x="820"/>
        <item x="854"/>
        <item x="798"/>
        <item x="867"/>
        <item x="1020"/>
        <item x="947"/>
        <item x="870"/>
        <item x="926"/>
        <item x="977"/>
        <item x="978"/>
        <item x="979"/>
        <item x="980"/>
        <item x="981"/>
        <item x="982"/>
        <item x="983"/>
        <item x="1029"/>
        <item x="894"/>
        <item x="868"/>
        <item x="864"/>
        <item x="855"/>
        <item x="925"/>
        <item x="877"/>
        <item x="948"/>
        <item x="899"/>
        <item x="823"/>
        <item x="984"/>
        <item x="985"/>
        <item x="986"/>
        <item x="987"/>
        <item x="1018"/>
        <item x="873"/>
        <item x="822"/>
        <item x="1035"/>
        <item x="1036"/>
        <item x="1030"/>
        <item x="967"/>
        <item x="972"/>
        <item x="968"/>
        <item x="973"/>
        <item x="865"/>
        <item x="871"/>
        <item x="949"/>
        <item x="969"/>
        <item x="1048"/>
        <item x="1049"/>
        <item x="1050"/>
        <item x="1065"/>
        <item x="885"/>
        <item x="887"/>
        <item x="878"/>
        <item x="970"/>
        <item x="975"/>
        <item x="971"/>
        <item x="976"/>
        <item x="1056"/>
        <item x="874"/>
        <item x="950"/>
        <item x="963"/>
        <item x="974"/>
        <item x="1047"/>
        <item x="943"/>
        <item x="944"/>
        <item x="913"/>
        <item x="872"/>
        <item x="886"/>
        <item x="911"/>
        <item x="916"/>
        <item x="921"/>
        <item x="929"/>
        <item x="933"/>
        <item x="935"/>
        <item x="917"/>
        <item x="1055"/>
        <item x="1057"/>
        <item x="1053"/>
        <item x="1054"/>
        <item x="1069"/>
        <item x="912"/>
        <item x="922"/>
        <item x="930"/>
        <item x="936"/>
        <item x="940"/>
        <item x="884"/>
        <item x="1052"/>
        <item x="918"/>
        <item x="923"/>
        <item x="928"/>
        <item x="934"/>
        <item x="937"/>
        <item x="941"/>
        <item x="988"/>
        <item x="1005"/>
        <item x="876"/>
        <item x="879"/>
        <item x="914"/>
        <item x="919"/>
        <item x="924"/>
        <item x="931"/>
        <item x="938"/>
        <item x="1058"/>
        <item x="1078"/>
        <item x="915"/>
        <item x="932"/>
        <item x="942"/>
        <item x="888"/>
        <item x="927"/>
        <item x="991"/>
        <item x="1006"/>
        <item x="920"/>
        <item x="1085"/>
        <item x="1059"/>
        <item x="1027"/>
        <item x="954"/>
        <item x="959"/>
        <item x="1009"/>
        <item x="952"/>
        <item x="955"/>
        <item x="960"/>
        <item x="1021"/>
        <item x="1025"/>
        <item x="1062"/>
        <item x="1061"/>
        <item x="965"/>
        <item x="1064"/>
        <item x="953"/>
        <item x="956"/>
        <item x="961"/>
        <item x="962"/>
        <item x="951"/>
        <item x="957"/>
        <item x="958"/>
        <item x="1008"/>
        <item x="1022"/>
        <item x="1023"/>
        <item x="1026"/>
        <item x="966"/>
        <item x="1063"/>
        <item x="1060"/>
        <item x="1012"/>
        <item x="1024"/>
        <item x="1028"/>
        <item x="875"/>
        <item x="880"/>
        <item x="1007"/>
        <item x="889"/>
        <item x="1013"/>
        <item x="1015"/>
        <item x="1003"/>
        <item x="1040"/>
        <item x="1041"/>
        <item x="882"/>
        <item x="1091"/>
        <item x="881"/>
        <item x="1002"/>
        <item x="1031"/>
        <item x="996"/>
        <item x="989"/>
        <item x="1004"/>
        <item x="1038"/>
        <item x="997"/>
        <item x="1042"/>
        <item x="1096"/>
        <item x="1109"/>
        <item x="1122"/>
        <item x="1124"/>
        <item x="1125"/>
        <item x="993"/>
        <item x="1037"/>
        <item x="1070"/>
        <item x="1144"/>
        <item x="1071"/>
        <item x="1075"/>
        <item x="1016"/>
        <item x="998"/>
        <item x="1076"/>
        <item x="1167"/>
        <item x="1173"/>
        <item x="1174"/>
        <item x="1077"/>
        <item x="1073"/>
        <item x="1074"/>
        <item x="1034"/>
        <item x="1072"/>
        <item x="1051"/>
        <item x="1039"/>
        <item x="1046"/>
        <item x="1079"/>
        <item x="992"/>
        <item x="1043"/>
        <item x="1183"/>
        <item x="1182"/>
        <item x="990"/>
        <item x="1066"/>
        <item x="883"/>
        <item x="1177"/>
        <item x="1178"/>
        <item x="1179"/>
        <item x="994"/>
        <item x="1045"/>
        <item x="1067"/>
        <item x="1068"/>
        <item x="1080"/>
        <item x="1160"/>
        <item x="1113"/>
        <item x="1159"/>
        <item x="1112"/>
        <item x="1158"/>
        <item x="1162"/>
        <item x="1000"/>
        <item x="999"/>
        <item x="995"/>
        <item x="1017"/>
        <item x="1044"/>
        <item x="1191"/>
        <item x="1114"/>
        <item x="1092"/>
        <item x="1115"/>
        <item x="1161"/>
        <item x="1097"/>
        <item x="1032"/>
        <item x="1100"/>
        <item x="1126"/>
        <item x="1127"/>
        <item x="1083"/>
        <item x="1201"/>
        <item x="1202"/>
        <item x="1099"/>
        <item x="1101"/>
        <item x="1128"/>
        <item x="1123"/>
        <item x="1094"/>
        <item x="1129"/>
        <item x="1130"/>
        <item x="1132"/>
        <item x="1098"/>
        <item x="1104"/>
        <item x="1154"/>
        <item x="1190"/>
        <item x="1157"/>
        <item x="1033"/>
        <item x="1189"/>
        <item x="1245"/>
        <item x="1014"/>
        <item x="1102"/>
        <item x="1153"/>
        <item x="1253"/>
        <item x="1212"/>
        <item x="1214"/>
        <item x="1215"/>
        <item x="1216"/>
        <item x="1218"/>
        <item x="1219"/>
        <item x="1237"/>
        <item x="1238"/>
        <item x="1116"/>
        <item x="1168"/>
        <item x="1193"/>
        <item x="1142"/>
        <item x="1155"/>
        <item x="1200"/>
        <item x="1256"/>
        <item x="1117"/>
        <item x="1139"/>
        <item x="1169"/>
        <item x="1194"/>
        <item x="1134"/>
        <item x="1203"/>
        <item x="1135"/>
        <item x="1204"/>
        <item x="1137"/>
        <item x="1206"/>
        <item x="1138"/>
        <item x="1207"/>
        <item x="1120"/>
        <item x="1172"/>
        <item x="1196"/>
        <item x="1121"/>
        <item x="1141"/>
        <item x="1118"/>
        <item x="1140"/>
        <item x="1170"/>
        <item x="1195"/>
        <item x="1119"/>
        <item x="1171"/>
        <item x="1105"/>
        <item x="1143"/>
        <item x="1147"/>
        <item x="1156"/>
        <item x="1269"/>
        <item x="1136"/>
        <item x="1205"/>
        <item x="1217"/>
        <item x="1255"/>
        <item x="1291"/>
        <item x="1270"/>
        <item x="1148"/>
        <item x="1271"/>
        <item x="1133"/>
        <item x="1163"/>
        <item x="1187"/>
        <item x="1213"/>
        <item x="1258"/>
        <item x="1260"/>
        <item x="1261"/>
        <item x="1257"/>
        <item x="1259"/>
        <item x="1294"/>
        <item x="1242"/>
        <item x="1241"/>
        <item x="1243"/>
        <item x="1131"/>
        <item x="1095"/>
        <item x="1093"/>
        <item x="1151"/>
        <item x="1296"/>
        <item x="1306"/>
        <item x="1110"/>
        <item x="1288"/>
        <item x="1289"/>
        <item x="1290"/>
        <item x="1275"/>
        <item x="1277"/>
        <item x="1081"/>
        <item x="1090"/>
        <item x="1307"/>
        <item x="1310"/>
        <item x="1318"/>
        <item x="1312"/>
        <item x="1166"/>
        <item x="1320"/>
        <item x="1103"/>
        <item x="1324"/>
        <item x="1197"/>
        <item x="1273"/>
        <item x="1295"/>
        <item x="1272"/>
        <item x="1208"/>
        <item x="1327"/>
        <item x="1328"/>
        <item x="1329"/>
        <item x="1301"/>
        <item x="1330"/>
        <item x="1333"/>
        <item x="1192"/>
        <item x="1198"/>
        <item x="1280"/>
        <item x="1274"/>
        <item x="1297"/>
        <item x="1299"/>
        <item x="1281"/>
        <item x="1285"/>
        <item x="1106"/>
        <item x="1298"/>
        <item x="1302"/>
        <item x="1303"/>
        <item x="1082"/>
        <item x="1282"/>
        <item x="1254"/>
        <item x="1262"/>
        <item x="1334"/>
        <item x="1335"/>
        <item x="1340"/>
        <item x="1342"/>
        <item x="1343"/>
        <item x="1341"/>
        <item x="1283"/>
        <item x="1286"/>
        <item x="1287"/>
        <item x="1146"/>
        <item x="1239"/>
        <item x="1284"/>
        <item x="1145"/>
        <item x="1246"/>
        <item x="1276"/>
        <item x="1304"/>
        <item x="1184"/>
        <item x="1199"/>
        <item x="1278"/>
        <item x="1349"/>
        <item x="1350"/>
        <item x="1351"/>
        <item x="1361"/>
        <item x="1149"/>
        <item x="1353"/>
        <item x="1355"/>
        <item x="1240"/>
        <item x="1363"/>
        <item x="1375"/>
        <item x="1376"/>
        <item x="1377"/>
        <item x="1347"/>
        <item x="1150"/>
        <item x="1352"/>
        <item x="1346"/>
        <item x="1345"/>
        <item x="1247"/>
        <item x="1364"/>
        <item x="1380"/>
        <item x="1250"/>
        <item x="1381"/>
        <item x="1382"/>
        <item x="1383"/>
        <item x="1251"/>
        <item x="1394"/>
        <item x="1362"/>
        <item x="1386"/>
        <item x="1390"/>
        <item x="1084"/>
        <item x="1111"/>
        <item x="1152"/>
        <item x="1210"/>
        <item x="1244"/>
        <item x="1209"/>
        <item x="1186"/>
        <item x="1365"/>
        <item x="1185"/>
        <item x="1344"/>
        <item x="1321"/>
        <item x="1222"/>
        <item x="1292"/>
        <item x="1408"/>
        <item x="1360"/>
        <item x="1369"/>
        <item x="1367"/>
        <item x="1181"/>
        <item x="1188"/>
        <item x="1108"/>
        <item x="1223"/>
        <item x="1226"/>
        <item x="1279"/>
        <item x="1180"/>
        <item x="1224"/>
        <item x="1227"/>
        <item x="1165"/>
        <item x="1211"/>
        <item x="1264"/>
        <item x="1436"/>
        <item x="1438"/>
        <item x="1441"/>
        <item x="1366"/>
        <item x="1265"/>
        <item x="1234"/>
        <item x="1454"/>
        <item x="1455"/>
        <item x="1371"/>
        <item x="1370"/>
        <item x="1373"/>
        <item x="1308"/>
        <item x="1309"/>
        <item x="1086"/>
        <item x="1336"/>
        <item x="1337"/>
        <item x="1232"/>
        <item x="1235"/>
        <item x="1266"/>
        <item x="1248"/>
        <item x="1249"/>
        <item x="1252"/>
        <item x="1311"/>
        <item x="1225"/>
        <item x="1228"/>
        <item x="1229"/>
        <item x="1233"/>
        <item x="1236"/>
        <item x="1267"/>
        <item x="1323"/>
        <item x="1230"/>
        <item x="1231"/>
        <item x="1322"/>
        <item x="1456"/>
        <item x="1458"/>
        <item x="1300"/>
        <item x="1374"/>
        <item x="1434"/>
        <item x="1305"/>
        <item x="1263"/>
        <item x="1293"/>
        <item x="1356"/>
        <item x="1357"/>
        <item x="1379"/>
        <item x="1461"/>
        <item x="1462"/>
        <item x="1463"/>
        <item x="1465"/>
        <item x="1368"/>
        <item x="1459"/>
        <item x="1467"/>
        <item x="1469"/>
        <item x="1409"/>
        <item x="1410"/>
        <item x="1413"/>
        <item x="1414"/>
        <item x="1415"/>
        <item x="1416"/>
        <item x="1417"/>
        <item x="1418"/>
        <item x="1419"/>
        <item x="1420"/>
        <item x="1421"/>
        <item x="1422"/>
        <item x="1220"/>
        <item x="1221"/>
        <item x="1399"/>
        <item x="1164"/>
        <item x="1384"/>
        <item x="1385"/>
        <item x="1387"/>
        <item x="1388"/>
        <item x="1451"/>
        <item x="1442"/>
        <item x="1443"/>
        <item x="1444"/>
        <item x="1448"/>
        <item x="1450"/>
        <item x="1445"/>
        <item x="1446"/>
        <item x="1319"/>
        <item x="1339"/>
        <item x="1404"/>
        <item x="1372"/>
        <item x="1473"/>
        <item x="1358"/>
        <item x="1359"/>
        <item x="1395"/>
        <item x="1440"/>
        <item x="1460"/>
        <item x="1435"/>
        <item x="1470"/>
        <item x="1471"/>
        <item x="1268"/>
        <item x="1484"/>
        <item x="1402"/>
        <item x="1400"/>
        <item x="1411"/>
        <item x="1412"/>
        <item x="1452"/>
        <item x="1389"/>
        <item x="1392"/>
        <item x="1472"/>
        <item x="1477"/>
        <item x="1485"/>
        <item x="1486"/>
        <item x="1175"/>
        <item x="1176"/>
        <item x="1487"/>
        <item x="1493"/>
        <item x="1494"/>
        <item x="1504"/>
        <item x="1505"/>
        <item x="1519"/>
        <item x="1521"/>
        <item x="1439"/>
        <item x="1437"/>
        <item x="1348"/>
        <item x="1331"/>
        <item x="1403"/>
        <item x="1401"/>
        <item x="1354"/>
        <item x="1378"/>
        <item x="1326"/>
        <item x="1536"/>
        <item x="1087"/>
        <item x="1479"/>
        <item x="1476"/>
        <item x="1523"/>
        <item x="1529"/>
        <item x="1530"/>
        <item x="1532"/>
        <item x="1533"/>
        <item x="1535"/>
        <item x="1538"/>
        <item x="1540"/>
        <item x="1537"/>
        <item x="1539"/>
        <item x="1542"/>
        <item x="1468"/>
        <item x="1481"/>
        <item x="1482"/>
        <item x="1516"/>
        <item x="1495"/>
        <item x="1496"/>
        <item x="1497"/>
        <item x="1498"/>
        <item x="1499"/>
        <item x="1500"/>
        <item x="1501"/>
        <item x="1502"/>
        <item x="1503"/>
        <item x="1332"/>
        <item x="1543"/>
        <item x="1544"/>
        <item x="1545"/>
        <item x="1457"/>
        <item x="1474"/>
        <item x="1475"/>
        <item x="1391"/>
        <item x="1393"/>
        <item x="1488"/>
        <item x="1489"/>
        <item x="1490"/>
        <item x="1491"/>
        <item x="1492"/>
        <item x="1541"/>
        <item x="1447"/>
        <item x="1449"/>
        <item x="1325"/>
        <item x="1547"/>
        <item x="1549"/>
        <item x="1550"/>
        <item x="1556"/>
        <item x="1560"/>
        <item x="1561"/>
        <item x="1511"/>
        <item x="1512"/>
        <item x="1513"/>
        <item x="1514"/>
        <item x="1567"/>
        <item x="1518"/>
        <item x="1564"/>
        <item x="1480"/>
        <item x="1515"/>
        <item x="1517"/>
        <item x="1423"/>
        <item x="1507"/>
        <item x="1562"/>
        <item x="1568"/>
        <item x="1424"/>
        <item x="1425"/>
        <item x="1088"/>
        <item x="1107"/>
        <item x="1405"/>
        <item x="1338"/>
        <item x="1464"/>
        <item x="1520"/>
        <item x="1531"/>
        <item x="1426"/>
        <item x="1427"/>
        <item x="1428"/>
        <item x="1433"/>
        <item x="1466"/>
        <item x="1598"/>
        <item x="1508"/>
        <item x="1509"/>
        <item x="1569"/>
        <item x="1570"/>
        <item x="1571"/>
        <item x="1506"/>
        <item x="1524"/>
        <item x="1525"/>
        <item x="1526"/>
        <item x="1527"/>
        <item x="1528"/>
        <item x="1572"/>
        <item x="1573"/>
        <item x="1574"/>
        <item x="1575"/>
        <item x="1453"/>
        <item x="1429"/>
        <item x="1548"/>
        <item x="1585"/>
        <item x="1584"/>
        <item x="1510"/>
        <item x="1582"/>
        <item x="1583"/>
        <item x="1586"/>
        <item x="1430"/>
        <item x="1431"/>
        <item x="1089"/>
        <item x="1406"/>
        <item x="1432"/>
        <item x="1607"/>
        <item x="1608"/>
        <item x="1609"/>
        <item x="1614"/>
        <item x="1618"/>
        <item x="1600"/>
        <item x="1601"/>
        <item x="1619"/>
        <item x="1613"/>
        <item x="1612"/>
        <item x="1610"/>
        <item x="1313"/>
        <item x="1314"/>
        <item x="1587"/>
        <item x="1315"/>
        <item x="1316"/>
        <item x="1589"/>
        <item x="1621"/>
        <item x="1588"/>
        <item x="1590"/>
        <item x="1317"/>
        <item x="1407"/>
        <item x="1628"/>
        <item x="1478"/>
        <item x="1597"/>
        <item x="1630"/>
        <item x="1631"/>
        <item x="1632"/>
        <item x="1633"/>
        <item x="1634"/>
        <item x="1635"/>
        <item x="1636"/>
        <item x="1591"/>
        <item x="1397"/>
        <item x="1398"/>
        <item x="1592"/>
        <item x="1644"/>
        <item x="1615"/>
        <item x="1616"/>
        <item x="1617"/>
        <item x="1576"/>
        <item x="1577"/>
        <item x="1578"/>
        <item x="1599"/>
        <item x="1557"/>
        <item x="1558"/>
        <item x="1559"/>
        <item x="1605"/>
        <item x="1522"/>
        <item x="1647"/>
        <item x="1648"/>
        <item x="1649"/>
        <item x="1658"/>
        <item x="1660"/>
        <item x="1659"/>
        <item x="1661"/>
        <item x="1645"/>
        <item x="1646"/>
        <item x="1663"/>
        <item x="1580"/>
        <item x="1594"/>
        <item x="1603"/>
        <item x="1604"/>
        <item x="1670"/>
        <item x="1671"/>
        <item x="1593"/>
        <item x="1596"/>
        <item x="1672"/>
        <item x="1595"/>
        <item x="1565"/>
        <item x="1566"/>
        <item x="1688"/>
        <item x="1637"/>
        <item x="1638"/>
        <item x="1579"/>
        <item x="1546"/>
        <item x="1606"/>
        <item x="1623"/>
        <item x="1624"/>
        <item x="1622"/>
        <item x="1691"/>
        <item x="1639"/>
        <item x="1678"/>
        <item x="1680"/>
        <item x="1673"/>
        <item x="1679"/>
        <item x="1563"/>
        <item x="1666"/>
        <item x="1667"/>
        <item x="1668"/>
        <item x="1669"/>
        <item x="1662"/>
        <item x="1681"/>
        <item x="1690"/>
        <item x="1683"/>
        <item x="1684"/>
        <item x="1687"/>
        <item x="1685"/>
        <item x="1686"/>
        <item x="1689"/>
        <item x="1664"/>
        <item x="1665"/>
        <item x="1682"/>
        <item x="1692"/>
        <item x="1581"/>
        <item x="1625"/>
        <item x="1626"/>
        <item x="1627"/>
        <item x="1693"/>
        <item x="1611"/>
        <item x="1620"/>
        <item x="1650"/>
        <item x="1651"/>
        <item x="1653"/>
        <item x="1640"/>
        <item x="1641"/>
        <item x="1642"/>
        <item x="1643"/>
        <item x="1534"/>
        <item x="1629"/>
        <item x="1698"/>
        <item x="1696"/>
        <item x="1697"/>
        <item x="1704"/>
        <item x="1702"/>
        <item x="1703"/>
        <item x="1701"/>
        <item x="1699"/>
        <item x="1700"/>
        <item x="1676"/>
        <item x="1674"/>
        <item x="1675"/>
        <item x="1677"/>
        <item x="1602"/>
        <item x="1694"/>
        <item x="1695"/>
        <item x="1705"/>
        <item x="1706"/>
        <item x="1707"/>
        <item x="1708"/>
        <item x="1652"/>
        <item x="1654"/>
        <item x="1655"/>
        <item x="1709"/>
        <item x="1396"/>
        <item x="1710"/>
        <item x="1711"/>
        <item x="1483"/>
        <item x="332"/>
        <item x="292"/>
        <item x="391"/>
        <item x="34"/>
        <item x="1551"/>
        <item x="1552"/>
        <item x="1553"/>
        <item x="1554"/>
        <item x="1555"/>
        <item x="1656"/>
        <item x="1657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70">
        <item x="10"/>
        <item x="154"/>
        <item x="131"/>
        <item x="71"/>
        <item x="4"/>
        <item x="158"/>
        <item x="157"/>
        <item x="162"/>
        <item x="149"/>
        <item x="163"/>
        <item x="78"/>
        <item x="79"/>
        <item x="72"/>
        <item x="73"/>
        <item x="87"/>
        <item x="109"/>
        <item x="130"/>
        <item x="129"/>
        <item x="128"/>
        <item x="82"/>
        <item x="153"/>
        <item x="156"/>
        <item x="7"/>
        <item x="0"/>
        <item x="53"/>
        <item x="28"/>
        <item x="95"/>
        <item x="96"/>
        <item x="97"/>
        <item x="107"/>
        <item x="74"/>
        <item x="75"/>
        <item x="14"/>
        <item x="167"/>
        <item x="16"/>
        <item x="94"/>
        <item x="19"/>
        <item x="164"/>
        <item x="117"/>
        <item x="56"/>
        <item x="111"/>
        <item x="112"/>
        <item x="127"/>
        <item x="76"/>
        <item x="70"/>
        <item x="105"/>
        <item x="98"/>
        <item x="138"/>
        <item x="52"/>
        <item x="54"/>
        <item x="42"/>
        <item x="55"/>
        <item x="44"/>
        <item x="40"/>
        <item x="41"/>
        <item x="29"/>
        <item x="31"/>
        <item x="30"/>
        <item x="132"/>
        <item x="85"/>
        <item x="86"/>
        <item x="114"/>
        <item x="168"/>
        <item x="155"/>
        <item x="5"/>
        <item x="51"/>
        <item x="17"/>
        <item x="9"/>
        <item x="32"/>
        <item x="27"/>
        <item x="108"/>
        <item x="161"/>
        <item x="21"/>
        <item x="20"/>
        <item x="25"/>
        <item x="26"/>
        <item x="23"/>
        <item x="24"/>
        <item x="49"/>
        <item x="83"/>
        <item x="37"/>
        <item x="84"/>
        <item x="35"/>
        <item x="36"/>
        <item x="33"/>
        <item x="18"/>
        <item x="11"/>
        <item x="81"/>
        <item x="77"/>
        <item x="169"/>
        <item x="145"/>
        <item x="135"/>
        <item x="8"/>
        <item x="63"/>
        <item x="65"/>
        <item x="64"/>
        <item x="67"/>
        <item x="62"/>
        <item x="66"/>
        <item x="68"/>
        <item x="60"/>
        <item x="61"/>
        <item x="99"/>
        <item x="39"/>
        <item x="34"/>
        <item x="47"/>
        <item x="15"/>
        <item x="165"/>
        <item x="166"/>
        <item x="38"/>
        <item x="12"/>
        <item x="46"/>
        <item x="43"/>
        <item x="160"/>
        <item x="1"/>
        <item x="124"/>
        <item x="3"/>
        <item x="133"/>
        <item x="45"/>
        <item x="2"/>
        <item x="125"/>
        <item x="147"/>
        <item x="22"/>
        <item x="50"/>
        <item x="58"/>
        <item x="59"/>
        <item x="57"/>
        <item x="146"/>
        <item x="48"/>
        <item x="80"/>
        <item x="13"/>
        <item x="6"/>
        <item x="159"/>
        <item x="126"/>
        <item x="90"/>
        <item x="101"/>
        <item x="88"/>
        <item x="89"/>
        <item x="91"/>
        <item x="110"/>
        <item x="92"/>
        <item x="113"/>
        <item x="93"/>
        <item x="69"/>
        <item x="100"/>
        <item x="134"/>
        <item x="106"/>
        <item x="116"/>
        <item x="123"/>
        <item x="139"/>
        <item x="104"/>
        <item x="102"/>
        <item x="103"/>
        <item x="148"/>
        <item x="122"/>
        <item x="120"/>
        <item x="121"/>
        <item x="140"/>
        <item x="115"/>
        <item x="141"/>
        <item x="142"/>
        <item x="143"/>
        <item x="119"/>
        <item x="136"/>
        <item x="152"/>
        <item x="150"/>
        <item x="151"/>
        <item x="144"/>
        <item x="137"/>
        <item x="118"/>
      </items>
    </pivotField>
    <pivotField axis="axisRow" compact="0" outline="0" showAll="0" defaultSubtotal="0">
      <items count="73">
        <item x="61"/>
        <item x="50"/>
        <item x="45"/>
        <item x="56"/>
        <item x="68"/>
        <item x="70"/>
        <item x="2"/>
        <item x="9"/>
        <item x="20"/>
        <item x="40"/>
        <item x="21"/>
        <item x="67"/>
        <item x="31"/>
        <item x="30"/>
        <item x="54"/>
        <item x="55"/>
        <item x="34"/>
        <item x="39"/>
        <item x="62"/>
        <item x="47"/>
        <item x="4"/>
        <item x="32"/>
        <item x="35"/>
        <item x="6"/>
        <item x="12"/>
        <item x="52"/>
        <item x="14"/>
        <item x="46"/>
        <item x="10"/>
        <item x="22"/>
        <item x="43"/>
        <item x="38"/>
        <item x="33"/>
        <item x="8"/>
        <item x="7"/>
        <item x="72"/>
        <item x="57"/>
        <item x="3"/>
        <item x="69"/>
        <item x="42"/>
        <item x="28"/>
        <item x="13"/>
        <item x="63"/>
        <item x="27"/>
        <item x="11"/>
        <item x="0"/>
        <item x="37"/>
        <item x="48"/>
        <item x="65"/>
        <item x="26"/>
        <item x="18"/>
        <item x="66"/>
        <item x="44"/>
        <item x="49"/>
        <item x="71"/>
        <item x="23"/>
        <item x="16"/>
        <item x="64"/>
        <item x="60"/>
        <item x="19"/>
        <item x="17"/>
        <item x="25"/>
        <item x="36"/>
        <item x="29"/>
        <item x="15"/>
        <item x="41"/>
        <item x="24"/>
        <item x="59"/>
        <item x="51"/>
        <item x="1"/>
        <item x="5"/>
        <item x="53"/>
        <item x="58"/>
      </items>
    </pivotField>
    <pivotField axis="axisRow" compact="0" outline="0" showAll="0" defaultSubtotal="0">
      <items count="915">
        <item x="130"/>
        <item x="2"/>
        <item x="38"/>
        <item x="40"/>
        <item x="74"/>
        <item x="107"/>
        <item x="108"/>
        <item x="111"/>
        <item x="143"/>
        <item x="1"/>
        <item x="32"/>
        <item x="73"/>
        <item x="30"/>
        <item x="31"/>
        <item x="50"/>
        <item x="122"/>
        <item x="123"/>
        <item x="78"/>
        <item x="79"/>
        <item x="80"/>
        <item x="63"/>
        <item x="12"/>
        <item x="13"/>
        <item x="11"/>
        <item x="49"/>
        <item x="62"/>
        <item x="104"/>
        <item x="124"/>
        <item x="125"/>
        <item x="139"/>
        <item x="140"/>
        <item x="141"/>
        <item x="536"/>
        <item x="686"/>
        <item x="781"/>
        <item x="816"/>
        <item x="856"/>
        <item x="904"/>
        <item x="906"/>
        <item x="907"/>
        <item x="908"/>
        <item x="913"/>
        <item x="914"/>
        <item x="72"/>
        <item x="640"/>
        <item x="755"/>
        <item x="528"/>
        <item x="529"/>
        <item x="860"/>
        <item x="218"/>
        <item x="239"/>
        <item x="869"/>
        <item x="807"/>
        <item x="880"/>
        <item x="43"/>
        <item x="45"/>
        <item x="44"/>
        <item x="67"/>
        <item x="69"/>
        <item x="68"/>
        <item x="85"/>
        <item x="89"/>
        <item x="90"/>
        <item x="109"/>
        <item x="110"/>
        <item x="112"/>
        <item x="113"/>
        <item x="117"/>
        <item x="114"/>
        <item x="115"/>
        <item x="173"/>
        <item x="174"/>
        <item x="175"/>
        <item x="176"/>
        <item x="198"/>
        <item x="199"/>
        <item x="458"/>
        <item x="343"/>
        <item x="344"/>
        <item x="39"/>
        <item x="105"/>
        <item x="185"/>
        <item x="153"/>
        <item x="159"/>
        <item x="219"/>
        <item x="254"/>
        <item x="398"/>
        <item x="610"/>
        <item x="196"/>
        <item x="324"/>
        <item x="485"/>
        <item x="171"/>
        <item x="55"/>
        <item x="56"/>
        <item x="337"/>
        <item x="525"/>
        <item x="526"/>
        <item x="549"/>
        <item x="599"/>
        <item x="211"/>
        <item x="277"/>
        <item x="303"/>
        <item x="312"/>
        <item x="325"/>
        <item x="240"/>
        <item x="789"/>
        <item x="148"/>
        <item x="707"/>
        <item x="802"/>
        <item x="814"/>
        <item x="839"/>
        <item x="836"/>
        <item x="710"/>
        <item x="709"/>
        <item x="725"/>
        <item x="726"/>
        <item x="723"/>
        <item x="724"/>
        <item x="456"/>
        <item x="652"/>
        <item x="690"/>
        <item x="806"/>
        <item x="583"/>
        <item x="777"/>
        <item x="331"/>
        <item x="197"/>
        <item x="341"/>
        <item x="342"/>
        <item x="340"/>
        <item x="339"/>
        <item x="181"/>
        <item x="182"/>
        <item x="183"/>
        <item x="184"/>
        <item x="202"/>
        <item x="285"/>
        <item x="353"/>
        <item x="329"/>
        <item x="189"/>
        <item x="188"/>
        <item x="195"/>
        <item x="194"/>
        <item x="206"/>
        <item x="210"/>
        <item x="286"/>
        <item x="304"/>
        <item x="387"/>
        <item x="388"/>
        <item x="384"/>
        <item x="385"/>
        <item x="386"/>
        <item x="406"/>
        <item x="407"/>
        <item x="408"/>
        <item x="421"/>
        <item x="411"/>
        <item x="409"/>
        <item x="410"/>
        <item x="422"/>
        <item x="423"/>
        <item x="432"/>
        <item x="431"/>
        <item x="436"/>
        <item x="439"/>
        <item x="437"/>
        <item x="433"/>
        <item x="451"/>
        <item x="450"/>
        <item x="438"/>
        <item x="452"/>
        <item x="435"/>
        <item x="434"/>
        <item x="446"/>
        <item x="444"/>
        <item x="441"/>
        <item x="443"/>
        <item x="445"/>
        <item x="442"/>
        <item x="440"/>
        <item x="465"/>
        <item x="466"/>
        <item x="467"/>
        <item x="468"/>
        <item x="469"/>
        <item x="464"/>
        <item x="460"/>
        <item x="461"/>
        <item x="495"/>
        <item x="494"/>
        <item x="487"/>
        <item x="488"/>
        <item x="489"/>
        <item x="493"/>
        <item x="490"/>
        <item x="491"/>
        <item x="492"/>
        <item x="496"/>
        <item x="497"/>
        <item x="503"/>
        <item x="498"/>
        <item x="499"/>
        <item x="500"/>
        <item x="501"/>
        <item x="517"/>
        <item x="518"/>
        <item x="515"/>
        <item x="519"/>
        <item x="520"/>
        <item x="516"/>
        <item x="547"/>
        <item x="562"/>
        <item x="502"/>
        <item x="550"/>
        <item x="545"/>
        <item x="551"/>
        <item x="524"/>
        <item x="567"/>
        <item x="570"/>
        <item x="572"/>
        <item x="568"/>
        <item x="571"/>
        <item x="569"/>
        <item x="573"/>
        <item x="574"/>
        <item x="575"/>
        <item x="576"/>
        <item x="577"/>
        <item x="578"/>
        <item x="579"/>
        <item x="563"/>
        <item x="564"/>
        <item x="565"/>
        <item x="600"/>
        <item x="605"/>
        <item x="633"/>
        <item x="632"/>
        <item x="636"/>
        <item x="662"/>
        <item x="663"/>
        <item x="664"/>
        <item x="675"/>
        <item x="678"/>
        <item x="667"/>
        <item x="668"/>
        <item x="666"/>
        <item x="676"/>
        <item x="681"/>
        <item x="682"/>
        <item x="665"/>
        <item x="679"/>
        <item x="657"/>
        <item x="658"/>
        <item x="677"/>
        <item x="680"/>
        <item x="708"/>
        <item x="688"/>
        <item x="687"/>
        <item x="689"/>
        <item x="685"/>
        <item x="699"/>
        <item x="702"/>
        <item x="700"/>
        <item x="703"/>
        <item x="704"/>
        <item x="705"/>
        <item x="698"/>
        <item x="701"/>
        <item x="706"/>
        <item x="736"/>
        <item x="737"/>
        <item x="763"/>
        <item x="733"/>
        <item x="727"/>
        <item x="744"/>
        <item x="742"/>
        <item x="732"/>
        <item x="749"/>
        <item x="743"/>
        <item x="740"/>
        <item x="741"/>
        <item x="728"/>
        <item x="697"/>
        <item x="756"/>
        <item x="748"/>
        <item x="746"/>
        <item x="747"/>
        <item x="745"/>
        <item x="750"/>
        <item x="751"/>
        <item x="752"/>
        <item x="753"/>
        <item x="754"/>
        <item x="770"/>
        <item x="739"/>
        <item x="738"/>
        <item x="730"/>
        <item x="731"/>
        <item x="734"/>
        <item x="735"/>
        <item x="775"/>
        <item x="797"/>
        <item x="790"/>
        <item x="791"/>
        <item x="788"/>
        <item x="786"/>
        <item x="774"/>
        <item x="772"/>
        <item x="773"/>
        <item x="771"/>
        <item x="798"/>
        <item x="782"/>
        <item x="799"/>
        <item x="801"/>
        <item x="800"/>
        <item x="796"/>
        <item x="787"/>
        <item x="795"/>
        <item x="794"/>
        <item x="837"/>
        <item x="864"/>
        <item x="808"/>
        <item x="809"/>
        <item x="819"/>
        <item x="820"/>
        <item x="818"/>
        <item x="817"/>
        <item x="815"/>
        <item x="830"/>
        <item x="831"/>
        <item x="840"/>
        <item x="841"/>
        <item x="842"/>
        <item x="833"/>
        <item x="832"/>
        <item x="829"/>
        <item x="849"/>
        <item x="852"/>
        <item x="855"/>
        <item x="850"/>
        <item x="853"/>
        <item x="857"/>
        <item x="851"/>
        <item x="854"/>
        <item x="858"/>
        <item x="843"/>
        <item x="844"/>
        <item x="845"/>
        <item x="846"/>
        <item x="847"/>
        <item x="848"/>
        <item x="878"/>
        <item x="879"/>
        <item x="868"/>
        <item x="893"/>
        <item x="894"/>
        <item x="895"/>
        <item x="896"/>
        <item x="883"/>
        <item x="882"/>
        <item x="903"/>
        <item x="900"/>
        <item x="179"/>
        <item x="212"/>
        <item x="232"/>
        <item x="9"/>
        <item x="326"/>
        <item x="537"/>
        <item x="598"/>
        <item x="604"/>
        <item x="471"/>
        <item x="472"/>
        <item x="473"/>
        <item x="474"/>
        <item x="507"/>
        <item x="508"/>
        <item x="544"/>
        <item x="548"/>
        <item x="556"/>
        <item x="557"/>
        <item x="582"/>
        <item x="585"/>
        <item x="597"/>
        <item x="606"/>
        <item x="617"/>
        <item x="618"/>
        <item x="631"/>
        <item x="635"/>
        <item x="634"/>
        <item x="653"/>
        <item x="715"/>
        <item x="278"/>
        <item x="429"/>
        <item x="430"/>
        <item x="306"/>
        <item x="305"/>
        <item x="168"/>
        <item x="169"/>
        <item x="204"/>
        <item x="205"/>
        <item x="230"/>
        <item x="308"/>
        <item x="338"/>
        <item x="371"/>
        <item x="402"/>
        <item x="412"/>
        <item x="415"/>
        <item x="447"/>
        <item x="509"/>
        <item x="561"/>
        <item x="607"/>
        <item x="644"/>
        <item x="135"/>
        <item x="136"/>
        <item x="137"/>
        <item x="138"/>
        <item x="154"/>
        <item x="165"/>
        <item x="166"/>
        <item x="163"/>
        <item x="164"/>
        <item x="186"/>
        <item x="187"/>
        <item x="207"/>
        <item x="208"/>
        <item x="209"/>
        <item x="221"/>
        <item x="222"/>
        <item x="223"/>
        <item x="236"/>
        <item x="258"/>
        <item x="266"/>
        <item x="267"/>
        <item x="311"/>
        <item x="318"/>
        <item x="345"/>
        <item x="346"/>
        <item x="358"/>
        <item x="359"/>
        <item x="360"/>
        <item x="383"/>
        <item x="417"/>
        <item x="416"/>
        <item x="118"/>
        <item x="200"/>
        <item x="201"/>
        <item x="256"/>
        <item x="255"/>
        <item x="884"/>
        <item x="157"/>
        <item x="875"/>
        <item x="876"/>
        <item x="654"/>
        <item x="718"/>
        <item x="717"/>
        <item x="865"/>
        <item x="313"/>
        <item x="298"/>
        <item x="296"/>
        <item x="321"/>
        <item x="322"/>
        <item x="323"/>
        <item x="126"/>
        <item x="127"/>
        <item x="144"/>
        <item x="145"/>
        <item x="216"/>
        <item x="217"/>
        <item x="215"/>
        <item x="213"/>
        <item x="214"/>
        <item x="220"/>
        <item x="248"/>
        <item x="249"/>
        <item x="250"/>
        <item x="251"/>
        <item x="252"/>
        <item x="253"/>
        <item x="243"/>
        <item x="244"/>
        <item x="245"/>
        <item x="246"/>
        <item x="247"/>
        <item x="263"/>
        <item x="264"/>
        <item x="272"/>
        <item x="273"/>
        <item x="276"/>
        <item x="275"/>
        <item x="279"/>
        <item x="167"/>
        <item x="4"/>
        <item x="5"/>
        <item x="3"/>
        <item x="14"/>
        <item x="15"/>
        <item x="21"/>
        <item x="22"/>
        <item x="23"/>
        <item x="24"/>
        <item x="41"/>
        <item x="42"/>
        <item x="46"/>
        <item x="47"/>
        <item x="61"/>
        <item x="17"/>
        <item x="18"/>
        <item x="19"/>
        <item x="20"/>
        <item x="64"/>
        <item x="70"/>
        <item x="75"/>
        <item x="76"/>
        <item x="77"/>
        <item x="96"/>
        <item x="97"/>
        <item x="98"/>
        <item x="101"/>
        <item x="26"/>
        <item x="27"/>
        <item x="121"/>
        <item x="120"/>
        <item x="133"/>
        <item x="134"/>
        <item x="146"/>
        <item x="147"/>
        <item x="155"/>
        <item x="178"/>
        <item x="177"/>
        <item x="259"/>
        <item x="260"/>
        <item x="261"/>
        <item x="510"/>
        <item x="534"/>
        <item x="533"/>
        <item x="535"/>
        <item x="554"/>
        <item x="553"/>
        <item x="558"/>
        <item x="588"/>
        <item x="589"/>
        <item x="593"/>
        <item x="594"/>
        <item x="596"/>
        <item x="595"/>
        <item x="603"/>
        <item x="637"/>
        <item x="638"/>
        <item x="810"/>
        <item x="812"/>
        <item x="811"/>
        <item x="762"/>
        <item x="590"/>
        <item x="591"/>
        <item x="158"/>
        <item x="7"/>
        <item x="527"/>
        <item x="58"/>
        <item x="65"/>
        <item x="66"/>
        <item x="86"/>
        <item x="116"/>
        <item x="37"/>
        <item x="0"/>
        <item x="10"/>
        <item x="34"/>
        <item x="35"/>
        <item x="36"/>
        <item x="302"/>
        <item x="328"/>
        <item x="327"/>
        <item x="301"/>
        <item x="366"/>
        <item x="257"/>
        <item x="162"/>
        <item x="274"/>
        <item x="713"/>
        <item x="825"/>
        <item x="861"/>
        <item x="354"/>
        <item x="523"/>
        <item x="102"/>
        <item x="103"/>
        <item x="238"/>
        <item x="316"/>
        <item x="649"/>
        <item x="650"/>
        <item x="454"/>
        <item x="911"/>
        <item x="780"/>
        <item x="779"/>
        <item x="784"/>
        <item x="785"/>
        <item x="838"/>
        <item x="611"/>
        <item x="612"/>
        <item x="237"/>
        <item x="613"/>
        <item x="29"/>
        <item x="28"/>
        <item x="374"/>
        <item x="51"/>
        <item x="53"/>
        <item x="52"/>
        <item x="54"/>
        <item x="651"/>
        <item x="59"/>
        <item x="60"/>
        <item x="83"/>
        <item x="287"/>
        <item x="696"/>
        <item x="695"/>
        <item x="546"/>
        <item x="100"/>
        <item x="228"/>
        <item x="229"/>
        <item x="235"/>
        <item x="268"/>
        <item x="269"/>
        <item x="270"/>
        <item x="271"/>
        <item x="333"/>
        <item x="332"/>
        <item x="462"/>
        <item x="463"/>
        <item x="477"/>
        <item x="478"/>
        <item x="475"/>
        <item x="476"/>
        <item x="484"/>
        <item x="481"/>
        <item x="482"/>
        <item x="483"/>
        <item x="8"/>
        <item x="93"/>
        <item x="99"/>
        <item x="94"/>
        <item x="142"/>
        <item x="151"/>
        <item x="149"/>
        <item x="150"/>
        <item x="152"/>
        <item x="192"/>
        <item x="203"/>
        <item x="224"/>
        <item x="225"/>
        <item x="231"/>
        <item x="362"/>
        <item x="459"/>
        <item x="552"/>
        <item x="601"/>
        <item x="602"/>
        <item x="608"/>
        <item x="615"/>
        <item x="626"/>
        <item x="627"/>
        <item x="641"/>
        <item x="643"/>
        <item x="642"/>
        <item x="659"/>
        <item x="660"/>
        <item x="692"/>
        <item x="694"/>
        <item x="693"/>
        <item x="729"/>
        <item x="759"/>
        <item x="758"/>
        <item x="766"/>
        <item x="767"/>
        <item x="765"/>
        <item x="764"/>
        <item x="793"/>
        <item x="804"/>
        <item x="805"/>
        <item x="827"/>
        <item x="828"/>
        <item x="834"/>
        <item x="871"/>
        <item x="877"/>
        <item x="892"/>
        <item x="901"/>
        <item x="912"/>
        <item x="910"/>
        <item x="282"/>
        <item x="283"/>
        <item x="281"/>
        <item x="280"/>
        <item x="290"/>
        <item x="291"/>
        <item x="299"/>
        <item x="292"/>
        <item x="293"/>
        <item x="309"/>
        <item x="310"/>
        <item x="314"/>
        <item x="315"/>
        <item x="330"/>
        <item x="334"/>
        <item x="335"/>
        <item x="390"/>
        <item x="389"/>
        <item x="161"/>
        <item x="226"/>
        <item x="227"/>
        <item x="284"/>
        <item x="294"/>
        <item x="295"/>
        <item x="297"/>
        <item x="317"/>
        <item x="397"/>
        <item x="6"/>
        <item x="82"/>
        <item x="95"/>
        <item x="180"/>
        <item x="242"/>
        <item x="241"/>
        <item x="361"/>
        <item x="370"/>
        <item x="368"/>
        <item x="369"/>
        <item x="376"/>
        <item x="375"/>
        <item x="377"/>
        <item x="378"/>
        <item x="379"/>
        <item x="380"/>
        <item x="381"/>
        <item x="382"/>
        <item x="391"/>
        <item x="392"/>
        <item x="393"/>
        <item x="394"/>
        <item x="395"/>
        <item x="418"/>
        <item x="419"/>
        <item x="420"/>
        <item x="453"/>
        <item x="448"/>
        <item x="486"/>
        <item x="521"/>
        <item x="538"/>
        <item x="541"/>
        <item x="542"/>
        <item x="539"/>
        <item x="540"/>
        <item x="559"/>
        <item x="560"/>
        <item x="566"/>
        <item x="586"/>
        <item x="587"/>
        <item x="592"/>
        <item x="619"/>
        <item x="620"/>
        <item x="621"/>
        <item x="625"/>
        <item x="624"/>
        <item x="639"/>
        <item x="645"/>
        <item x="646"/>
        <item x="647"/>
        <item x="674"/>
        <item x="670"/>
        <item x="671"/>
        <item x="672"/>
        <item x="673"/>
        <item x="711"/>
        <item x="712"/>
        <item x="719"/>
        <item x="720"/>
        <item x="716"/>
        <item x="721"/>
        <item x="722"/>
        <item x="768"/>
        <item x="769"/>
        <item x="757"/>
        <item x="760"/>
        <item x="783"/>
        <item x="792"/>
        <item x="813"/>
        <item x="826"/>
        <item x="824"/>
        <item x="859"/>
        <item x="867"/>
        <item x="870"/>
        <item x="872"/>
        <item x="874"/>
        <item x="873"/>
        <item x="881"/>
        <item x="885"/>
        <item x="886"/>
        <item x="888"/>
        <item x="890"/>
        <item x="891"/>
        <item x="898"/>
        <item x="905"/>
        <item x="355"/>
        <item x="373"/>
        <item x="396"/>
        <item x="413"/>
        <item x="543"/>
        <item x="555"/>
        <item x="129"/>
        <item x="479"/>
        <item x="504"/>
        <item x="505"/>
        <item x="506"/>
        <item x="514"/>
        <item x="511"/>
        <item x="512"/>
        <item x="513"/>
        <item x="172"/>
        <item x="684"/>
        <item x="262"/>
        <item x="350"/>
        <item x="363"/>
        <item x="364"/>
        <item x="367"/>
        <item x="365"/>
        <item x="424"/>
        <item x="425"/>
        <item x="426"/>
        <item x="449"/>
        <item x="669"/>
        <item x="33"/>
        <item x="81"/>
        <item x="480"/>
        <item x="656"/>
        <item x="655"/>
        <item x="822"/>
        <item x="835"/>
        <item x="866"/>
        <item x="897"/>
        <item x="902"/>
        <item x="57"/>
        <item x="88"/>
        <item x="87"/>
        <item x="106"/>
        <item x="128"/>
        <item x="160"/>
        <item x="336"/>
        <item x="348"/>
        <item x="347"/>
        <item x="349"/>
        <item x="357"/>
        <item x="356"/>
        <item x="399"/>
        <item x="400"/>
        <item x="190"/>
        <item x="401"/>
        <item x="403"/>
        <item x="404"/>
        <item x="405"/>
        <item x="470"/>
        <item x="530"/>
        <item x="531"/>
        <item x="191"/>
        <item x="532"/>
        <item x="580"/>
        <item x="581"/>
        <item x="629"/>
        <item x="628"/>
        <item x="630"/>
        <item x="714"/>
        <item x="776"/>
        <item x="803"/>
        <item x="823"/>
        <item x="887"/>
        <item x="233"/>
        <item x="234"/>
        <item x="265"/>
        <item x="909"/>
        <item x="288"/>
        <item x="289"/>
        <item x="307"/>
        <item x="319"/>
        <item x="320"/>
        <item x="352"/>
        <item x="351"/>
        <item x="427"/>
        <item x="428"/>
        <item x="683"/>
        <item x="889"/>
        <item x="622"/>
        <item x="623"/>
        <item x="48"/>
        <item x="71"/>
        <item x="92"/>
        <item x="91"/>
        <item x="170"/>
        <item x="414"/>
        <item x="455"/>
        <item x="522"/>
        <item x="609"/>
        <item x="648"/>
        <item x="661"/>
        <item x="761"/>
        <item x="821"/>
        <item x="899"/>
        <item x="84"/>
        <item x="156"/>
        <item x="193"/>
        <item x="372"/>
        <item x="457"/>
        <item x="584"/>
        <item x="614"/>
        <item x="616"/>
        <item x="691"/>
        <item x="778"/>
        <item x="862"/>
        <item x="863"/>
        <item x="119"/>
        <item x="132"/>
        <item x="131"/>
        <item x="300"/>
        <item x="25"/>
        <item x="16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688">
        <item x="355"/>
        <item x="657"/>
        <item x="245"/>
        <item x="165"/>
        <item x="244"/>
        <item x="166"/>
        <item x="239"/>
        <item x="167"/>
        <item x="263"/>
        <item x="242"/>
        <item x="391"/>
        <item x="276"/>
        <item x="297"/>
        <item x="388"/>
        <item x="389"/>
        <item x="299"/>
        <item x="298"/>
        <item x="392"/>
        <item x="142"/>
        <item x="390"/>
        <item x="482"/>
        <item x="277"/>
        <item x="240"/>
        <item x="278"/>
        <item x="386"/>
        <item x="265"/>
        <item x="178"/>
        <item x="357"/>
        <item x="243"/>
        <item x="91"/>
        <item x="387"/>
        <item x="680"/>
        <item x="356"/>
        <item x="241"/>
        <item x="296"/>
        <item x="614"/>
        <item x="374"/>
        <item x="597"/>
        <item x="613"/>
        <item x="679"/>
        <item x="295"/>
        <item x="615"/>
        <item x="266"/>
        <item x="177"/>
        <item x="656"/>
        <item x="655"/>
        <item x="90"/>
        <item x="420"/>
        <item x="107"/>
        <item x="375"/>
        <item x="483"/>
        <item x="681"/>
        <item x="605"/>
        <item x="312"/>
        <item x="654"/>
        <item x="376"/>
        <item x="81"/>
        <item x="607"/>
        <item x="108"/>
        <item x="333"/>
        <item x="360"/>
        <item x="521"/>
        <item x="608"/>
        <item x="652"/>
        <item x="186"/>
        <item x="550"/>
        <item x="379"/>
        <item x="491"/>
        <item x="267"/>
        <item x="489"/>
        <item x="332"/>
        <item x="686"/>
        <item x="264"/>
        <item x="552"/>
        <item x="133"/>
        <item x="587"/>
        <item x="551"/>
        <item x="579"/>
        <item x="358"/>
        <item x="268"/>
        <item x="616"/>
        <item x="464"/>
        <item x="540"/>
        <item x="235"/>
        <item x="672"/>
        <item x="26"/>
        <item x="556"/>
        <item x="102"/>
        <item x="234"/>
        <item x="236"/>
        <item x="595"/>
        <item x="394"/>
        <item x="121"/>
        <item x="223"/>
        <item x="452"/>
        <item x="450"/>
        <item x="664"/>
        <item x="612"/>
        <item x="636"/>
        <item x="575"/>
        <item x="668"/>
        <item x="205"/>
        <item x="68"/>
        <item x="662"/>
        <item x="69"/>
        <item x="209"/>
        <item x="471"/>
        <item x="646"/>
        <item x="519"/>
        <item x="629"/>
        <item x="9"/>
        <item x="678"/>
        <item x="576"/>
        <item x="210"/>
        <item x="490"/>
        <item x="143"/>
        <item x="469"/>
        <item x="105"/>
        <item x="104"/>
        <item x="101"/>
        <item x="406"/>
        <item x="119"/>
        <item x="145"/>
        <item x="407"/>
        <item x="480"/>
        <item x="442"/>
        <item x="545"/>
        <item x="567"/>
        <item x="578"/>
        <item x="546"/>
        <item x="568"/>
        <item x="477"/>
        <item x="6"/>
        <item x="261"/>
        <item x="262"/>
        <item x="34"/>
        <item x="632"/>
        <item x="185"/>
        <item x="535"/>
        <item x="436"/>
        <item x="472"/>
        <item x="164"/>
        <item x="279"/>
        <item x="475"/>
        <item x="465"/>
        <item x="603"/>
        <item x="582"/>
        <item x="487"/>
        <item x="470"/>
        <item x="63"/>
        <item x="103"/>
        <item x="596"/>
        <item x="93"/>
        <item x="202"/>
        <item x="56"/>
        <item x="451"/>
        <item x="501"/>
        <item x="604"/>
        <item x="446"/>
        <item x="207"/>
        <item x="206"/>
        <item x="634"/>
        <item x="292"/>
        <item x="437"/>
        <item x="251"/>
        <item x="441"/>
        <item x="524"/>
        <item x="163"/>
        <item x="461"/>
        <item x="574"/>
        <item x="87"/>
        <item x="554"/>
        <item x="58"/>
        <item x="316"/>
        <item x="468"/>
        <item x="218"/>
        <item x="463"/>
        <item x="79"/>
        <item x="112"/>
        <item x="8"/>
        <item x="518"/>
        <item x="462"/>
        <item x="630"/>
        <item x="255"/>
        <item x="502"/>
        <item x="248"/>
        <item x="424"/>
        <item x="174"/>
        <item x="476"/>
        <item x="566"/>
        <item x="565"/>
        <item x="685"/>
        <item x="637"/>
        <item x="666"/>
        <item x="590"/>
        <item x="611"/>
        <item x="309"/>
        <item x="497"/>
        <item x="549"/>
        <item x="78"/>
        <item x="55"/>
        <item x="33"/>
        <item x="633"/>
        <item x="67"/>
        <item x="256"/>
        <item x="623"/>
        <item x="25"/>
        <item x="537"/>
        <item x="509"/>
        <item x="76"/>
        <item x="193"/>
        <item x="273"/>
        <item x="674"/>
        <item x="301"/>
        <item x="21"/>
        <item x="594"/>
        <item x="92"/>
        <item x="645"/>
        <item x="57"/>
        <item x="591"/>
        <item x="201"/>
        <item x="593"/>
        <item x="445"/>
        <item x="479"/>
        <item x="481"/>
        <item x="617"/>
        <item x="665"/>
        <item x="538"/>
        <item x="306"/>
        <item x="259"/>
        <item x="260"/>
        <item x="305"/>
        <item x="530"/>
        <item x="258"/>
        <item x="24"/>
        <item x="439"/>
        <item x="473"/>
        <item x="343"/>
        <item x="434"/>
        <item x="5"/>
        <item x="74"/>
        <item x="496"/>
        <item x="303"/>
        <item x="499"/>
        <item x="10"/>
        <item x="160"/>
        <item x="32"/>
        <item x="418"/>
        <item x="400"/>
        <item x="531"/>
        <item x="288"/>
        <item x="510"/>
        <item x="135"/>
        <item x="231"/>
        <item x="444"/>
        <item x="492"/>
        <item x="610"/>
        <item x="147"/>
        <item x="644"/>
        <item x="397"/>
        <item x="75"/>
        <item x="257"/>
        <item x="307"/>
        <item x="249"/>
        <item x="324"/>
        <item x="353"/>
        <item x="350"/>
        <item x="200"/>
        <item x="511"/>
        <item x="659"/>
        <item x="61"/>
        <item x="585"/>
        <item x="30"/>
        <item x="520"/>
        <item x="448"/>
        <item x="443"/>
        <item x="570"/>
        <item x="663"/>
        <item x="669"/>
        <item x="337"/>
        <item x="59"/>
        <item x="336"/>
        <item x="329"/>
        <item x="467"/>
        <item x="500"/>
        <item x="111"/>
        <item x="109"/>
        <item x="110"/>
        <item x="66"/>
        <item x="230"/>
        <item x="217"/>
        <item x="515"/>
        <item x="624"/>
        <item x="77"/>
        <item x="0"/>
        <item x="367"/>
        <item x="557"/>
        <item x="118"/>
        <item x="330"/>
        <item x="31"/>
        <item x="290"/>
        <item x="601"/>
        <item x="280"/>
        <item x="440"/>
        <item x="447"/>
        <item x="609"/>
        <item x="577"/>
        <item x="573"/>
        <item x="517"/>
        <item x="592"/>
        <item x="136"/>
        <item x="586"/>
        <item x="628"/>
        <item x="53"/>
        <item x="638"/>
        <item x="543"/>
        <item x="311"/>
        <item x="542"/>
        <item x="408"/>
        <item x="168"/>
        <item x="85"/>
        <item x="314"/>
        <item x="525"/>
        <item x="124"/>
        <item x="86"/>
        <item x="422"/>
        <item x="544"/>
        <item x="626"/>
        <item x="159"/>
        <item x="621"/>
        <item x="539"/>
        <item x="12"/>
        <item x="414"/>
        <item x="425"/>
        <item x="383"/>
        <item x="382"/>
        <item x="384"/>
        <item x="385"/>
        <item x="536"/>
        <item x="438"/>
        <item x="435"/>
        <item x="120"/>
        <item x="88"/>
        <item x="222"/>
        <item x="157"/>
        <item x="449"/>
        <item x="478"/>
        <item x="569"/>
        <item x="250"/>
        <item x="395"/>
        <item x="170"/>
        <item x="627"/>
        <item x="19"/>
        <item x="213"/>
        <item x="122"/>
        <item x="334"/>
        <item x="36"/>
        <item x="158"/>
        <item x="421"/>
        <item x="215"/>
        <item x="191"/>
        <item x="229"/>
        <item x="474"/>
        <item x="1"/>
        <item x="405"/>
        <item x="687"/>
        <item x="498"/>
        <item x="65"/>
        <item x="84"/>
        <item x="529"/>
        <item x="64"/>
        <item x="396"/>
        <item x="558"/>
        <item x="508"/>
        <item x="675"/>
        <item x="291"/>
        <item x="60"/>
        <item x="335"/>
        <item x="351"/>
        <item x="183"/>
        <item x="404"/>
        <item x="302"/>
        <item x="344"/>
        <item x="304"/>
        <item x="116"/>
        <item x="171"/>
        <item x="300"/>
        <item x="54"/>
        <item x="62"/>
        <item x="631"/>
        <item x="141"/>
        <item x="432"/>
        <item x="22"/>
        <item x="184"/>
        <item x="572"/>
        <item x="7"/>
        <item x="368"/>
        <item x="148"/>
        <item x="73"/>
        <item x="289"/>
        <item x="661"/>
        <item x="310"/>
        <item x="322"/>
        <item x="252"/>
        <item x="342"/>
        <item x="660"/>
        <item x="555"/>
        <item x="326"/>
        <item x="27"/>
        <item x="667"/>
        <item x="589"/>
        <item x="97"/>
        <item x="393"/>
        <item x="313"/>
        <item x="339"/>
        <item x="82"/>
        <item x="83"/>
        <item x="602"/>
        <item x="526"/>
        <item x="419"/>
        <item x="123"/>
        <item x="370"/>
        <item x="35"/>
        <item x="323"/>
        <item x="199"/>
        <item x="89"/>
        <item x="453"/>
        <item x="455"/>
        <item x="398"/>
        <item x="140"/>
        <item x="563"/>
        <item x="173"/>
        <item x="512"/>
        <item x="423"/>
        <item x="161"/>
        <item x="359"/>
        <item x="225"/>
        <item x="415"/>
        <item x="43"/>
        <item x="175"/>
        <item x="325"/>
        <item x="99"/>
        <item x="486"/>
        <item x="412"/>
        <item x="673"/>
        <item x="198"/>
        <item x="658"/>
        <item x="553"/>
        <item x="28"/>
        <item x="493"/>
        <item x="331"/>
        <item x="588"/>
        <item x="271"/>
        <item x="643"/>
        <item x="126"/>
        <item x="254"/>
        <item x="70"/>
        <item x="308"/>
        <item x="571"/>
        <item x="139"/>
        <item x="137"/>
        <item x="522"/>
        <item x="196"/>
        <item x="642"/>
        <item x="197"/>
        <item x="651"/>
        <item x="270"/>
        <item x="113"/>
        <item x="232"/>
        <item x="378"/>
        <item x="20"/>
        <item x="599"/>
        <item x="317"/>
        <item x="233"/>
        <item x="80"/>
        <item x="349"/>
        <item x="670"/>
        <item x="11"/>
        <item x="411"/>
        <item x="172"/>
        <item x="214"/>
        <item x="253"/>
        <item x="456"/>
        <item x="361"/>
        <item x="618"/>
        <item x="162"/>
        <item x="457"/>
        <item x="150"/>
        <item x="4"/>
        <item x="640"/>
        <item x="247"/>
        <item x="52"/>
        <item x="72"/>
        <item x="216"/>
        <item x="503"/>
        <item x="625"/>
        <item x="606"/>
        <item x="369"/>
        <item x="433"/>
        <item x="153"/>
        <item x="484"/>
        <item x="514"/>
        <item x="399"/>
        <item x="541"/>
        <item x="146"/>
        <item x="238"/>
        <item x="507"/>
        <item x="149"/>
        <item x="653"/>
        <item x="403"/>
        <item x="3"/>
        <item x="583"/>
        <item x="466"/>
        <item x="676"/>
        <item x="340"/>
        <item x="48"/>
        <item x="156"/>
        <item x="416"/>
        <item x="13"/>
        <item x="275"/>
        <item x="430"/>
        <item x="208"/>
        <item x="506"/>
        <item x="417"/>
        <item x="516"/>
        <item x="100"/>
        <item x="211"/>
        <item x="622"/>
        <item x="454"/>
        <item x="194"/>
        <item x="584"/>
        <item x="246"/>
        <item x="187"/>
        <item x="413"/>
        <item x="180"/>
        <item x="272"/>
        <item x="319"/>
        <item x="45"/>
        <item x="195"/>
        <item x="365"/>
        <item x="562"/>
        <item x="523"/>
        <item x="328"/>
        <item x="15"/>
        <item x="341"/>
        <item x="338"/>
        <item x="327"/>
        <item x="114"/>
        <item x="318"/>
        <item x="428"/>
        <item x="23"/>
        <item x="71"/>
        <item x="17"/>
        <item x="641"/>
        <item x="559"/>
        <item x="281"/>
        <item x="96"/>
        <item x="294"/>
        <item x="320"/>
        <item x="315"/>
        <item x="505"/>
        <item x="513"/>
        <item x="364"/>
        <item x="190"/>
        <item x="204"/>
        <item x="282"/>
        <item x="176"/>
        <item x="42"/>
        <item x="95"/>
        <item x="401"/>
        <item x="227"/>
        <item x="46"/>
        <item x="155"/>
        <item x="274"/>
        <item x="16"/>
        <item x="132"/>
        <item x="182"/>
        <item x="362"/>
        <item x="347"/>
        <item x="181"/>
        <item x="192"/>
        <item x="138"/>
        <item x="44"/>
        <item x="647"/>
        <item x="14"/>
        <item x="169"/>
        <item x="380"/>
        <item x="131"/>
        <item x="684"/>
        <item x="125"/>
        <item x="671"/>
        <item x="293"/>
        <item x="348"/>
        <item x="431"/>
        <item x="94"/>
        <item x="224"/>
        <item x="488"/>
        <item x="41"/>
        <item x="144"/>
        <item x="345"/>
        <item x="18"/>
        <item x="221"/>
        <item x="533"/>
        <item x="40"/>
        <item x="117"/>
        <item x="648"/>
        <item x="152"/>
        <item x="371"/>
        <item x="528"/>
        <item x="560"/>
        <item x="269"/>
        <item x="363"/>
        <item x="98"/>
        <item x="212"/>
        <item x="285"/>
        <item x="47"/>
        <item x="287"/>
        <item x="429"/>
        <item x="151"/>
        <item x="600"/>
        <item x="49"/>
        <item x="189"/>
        <item x="650"/>
        <item x="352"/>
        <item x="237"/>
        <item x="485"/>
        <item x="219"/>
        <item x="532"/>
        <item x="115"/>
        <item x="154"/>
        <item x="130"/>
        <item x="561"/>
        <item x="459"/>
        <item x="427"/>
        <item x="228"/>
        <item x="220"/>
        <item x="402"/>
        <item x="534"/>
        <item x="381"/>
        <item x="134"/>
        <item x="619"/>
        <item x="377"/>
        <item x="179"/>
        <item x="504"/>
        <item x="284"/>
        <item x="366"/>
        <item x="460"/>
        <item x="527"/>
        <item x="226"/>
        <item x="127"/>
        <item x="346"/>
        <item x="426"/>
        <item x="286"/>
        <item x="283"/>
        <item x="203"/>
        <item x="580"/>
        <item x="410"/>
        <item x="39"/>
        <item x="649"/>
        <item x="37"/>
        <item x="106"/>
        <item x="188"/>
        <item x="51"/>
        <item x="129"/>
        <item x="128"/>
        <item x="409"/>
        <item x="2"/>
        <item x="458"/>
        <item x="50"/>
        <item x="373"/>
        <item x="620"/>
        <item x="683"/>
        <item x="321"/>
        <item x="354"/>
        <item x="38"/>
        <item x="677"/>
        <item x="598"/>
        <item x="372"/>
        <item x="564"/>
        <item x="495"/>
        <item x="581"/>
        <item x="682"/>
        <item x="494"/>
        <item x="548"/>
        <item x="635"/>
        <item x="547"/>
        <item x="29"/>
        <item x="639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 sortType="ascending" defaultSubtotal="0">
      <items count="891">
        <item x="721"/>
        <item x="10"/>
        <item x="6"/>
        <item x="11"/>
        <item x="12"/>
        <item x="8"/>
        <item x="7"/>
        <item x="13"/>
        <item x="14"/>
        <item x="0"/>
        <item x="1"/>
        <item x="15"/>
        <item x="2"/>
        <item x="9"/>
        <item x="3"/>
        <item x="17"/>
        <item x="16"/>
        <item x="29"/>
        <item x="4"/>
        <item x="30"/>
        <item x="5"/>
        <item x="20"/>
        <item x="34"/>
        <item x="33"/>
        <item x="35"/>
        <item x="36"/>
        <item x="37"/>
        <item x="18"/>
        <item x="43"/>
        <item x="19"/>
        <item x="31"/>
        <item x="24"/>
        <item x="21"/>
        <item x="47"/>
        <item x="44"/>
        <item x="48"/>
        <item x="38"/>
        <item x="39"/>
        <item x="50"/>
        <item x="40"/>
        <item x="42"/>
        <item x="41"/>
        <item x="57"/>
        <item x="32"/>
        <item x="58"/>
        <item x="53"/>
        <item x="73"/>
        <item x="54"/>
        <item x="55"/>
        <item x="62"/>
        <item x="25"/>
        <item x="56"/>
        <item x="87"/>
        <item x="45"/>
        <item x="51"/>
        <item x="67"/>
        <item x="93"/>
        <item x="26"/>
        <item x="49"/>
        <item x="52"/>
        <item x="59"/>
        <item x="68"/>
        <item x="79"/>
        <item x="46"/>
        <item x="65"/>
        <item x="70"/>
        <item x="60"/>
        <item x="69"/>
        <item x="66"/>
        <item x="27"/>
        <item x="74"/>
        <item x="84"/>
        <item x="92"/>
        <item x="61"/>
        <item x="85"/>
        <item x="86"/>
        <item x="23"/>
        <item x="88"/>
        <item x="28"/>
        <item x="64"/>
        <item x="63"/>
        <item x="94"/>
        <item x="89"/>
        <item x="95"/>
        <item x="110"/>
        <item x="72"/>
        <item x="71"/>
        <item x="109"/>
        <item x="91"/>
        <item x="81"/>
        <item x="82"/>
        <item x="96"/>
        <item x="99"/>
        <item x="83"/>
        <item x="100"/>
        <item x="101"/>
        <item x="102"/>
        <item x="78"/>
        <item x="103"/>
        <item x="90"/>
        <item x="97"/>
        <item x="76"/>
        <item x="75"/>
        <item x="105"/>
        <item x="106"/>
        <item x="104"/>
        <item x="126"/>
        <item x="127"/>
        <item x="98"/>
        <item x="128"/>
        <item x="77"/>
        <item x="80"/>
        <item x="146"/>
        <item x="111"/>
        <item x="112"/>
        <item x="114"/>
        <item x="113"/>
        <item x="115"/>
        <item x="138"/>
        <item x="116"/>
        <item x="121"/>
        <item x="118"/>
        <item x="117"/>
        <item x="122"/>
        <item x="143"/>
        <item x="119"/>
        <item x="140"/>
        <item x="120"/>
        <item x="139"/>
        <item x="108"/>
        <item x="107"/>
        <item x="125"/>
        <item x="132"/>
        <item x="124"/>
        <item x="123"/>
        <item x="136"/>
        <item x="133"/>
        <item x="148"/>
        <item x="149"/>
        <item x="141"/>
        <item x="150"/>
        <item x="142"/>
        <item x="129"/>
        <item x="156"/>
        <item x="130"/>
        <item x="147"/>
        <item x="131"/>
        <item x="151"/>
        <item x="145"/>
        <item x="153"/>
        <item x="152"/>
        <item x="165"/>
        <item x="154"/>
        <item x="144"/>
        <item x="164"/>
        <item x="155"/>
        <item x="166"/>
        <item x="137"/>
        <item x="167"/>
        <item x="169"/>
        <item x="170"/>
        <item x="157"/>
        <item x="163"/>
        <item x="171"/>
        <item x="172"/>
        <item x="162"/>
        <item x="134"/>
        <item x="135"/>
        <item x="159"/>
        <item x="158"/>
        <item x="160"/>
        <item x="161"/>
        <item x="182"/>
        <item x="185"/>
        <item x="192"/>
        <item x="173"/>
        <item x="183"/>
        <item x="186"/>
        <item x="191"/>
        <item x="180"/>
        <item x="187"/>
        <item x="195"/>
        <item x="200"/>
        <item x="193"/>
        <item x="179"/>
        <item x="196"/>
        <item x="194"/>
        <item x="168"/>
        <item x="201"/>
        <item x="202"/>
        <item x="174"/>
        <item x="175"/>
        <item x="189"/>
        <item x="188"/>
        <item x="181"/>
        <item x="198"/>
        <item x="176"/>
        <item x="210"/>
        <item x="177"/>
        <item x="203"/>
        <item x="190"/>
        <item x="206"/>
        <item x="211"/>
        <item x="205"/>
        <item x="178"/>
        <item x="209"/>
        <item x="226"/>
        <item x="204"/>
        <item x="225"/>
        <item x="184"/>
        <item x="227"/>
        <item x="197"/>
        <item x="199"/>
        <item x="228"/>
        <item x="224"/>
        <item x="216"/>
        <item x="229"/>
        <item x="251"/>
        <item x="218"/>
        <item x="214"/>
        <item x="212"/>
        <item x="213"/>
        <item x="219"/>
        <item x="217"/>
        <item x="235"/>
        <item x="207"/>
        <item x="239"/>
        <item x="237"/>
        <item x="248"/>
        <item x="236"/>
        <item x="223"/>
        <item x="221"/>
        <item x="215"/>
        <item x="220"/>
        <item x="240"/>
        <item x="252"/>
        <item x="247"/>
        <item x="253"/>
        <item x="208"/>
        <item x="230"/>
        <item x="234"/>
        <item x="241"/>
        <item x="222"/>
        <item x="231"/>
        <item x="238"/>
        <item x="249"/>
        <item x="245"/>
        <item x="250"/>
        <item x="256"/>
        <item x="232"/>
        <item x="254"/>
        <item x="263"/>
        <item x="255"/>
        <item x="260"/>
        <item x="269"/>
        <item x="233"/>
        <item x="274"/>
        <item x="267"/>
        <item x="270"/>
        <item x="243"/>
        <item x="268"/>
        <item x="275"/>
        <item x="246"/>
        <item x="272"/>
        <item x="242"/>
        <item x="261"/>
        <item x="273"/>
        <item x="264"/>
        <item x="257"/>
        <item x="262"/>
        <item x="259"/>
        <item x="258"/>
        <item x="294"/>
        <item x="276"/>
        <item x="279"/>
        <item x="308"/>
        <item x="280"/>
        <item x="278"/>
        <item x="244"/>
        <item x="277"/>
        <item x="265"/>
        <item x="291"/>
        <item x="283"/>
        <item x="281"/>
        <item x="288"/>
        <item x="295"/>
        <item x="285"/>
        <item x="282"/>
        <item x="296"/>
        <item x="286"/>
        <item x="303"/>
        <item x="266"/>
        <item x="287"/>
        <item x="289"/>
        <item x="297"/>
        <item x="290"/>
        <item x="284"/>
        <item x="301"/>
        <item x="304"/>
        <item x="313"/>
        <item x="310"/>
        <item x="305"/>
        <item x="271"/>
        <item x="314"/>
        <item x="299"/>
        <item x="300"/>
        <item x="316"/>
        <item x="311"/>
        <item x="315"/>
        <item x="306"/>
        <item x="312"/>
        <item x="302"/>
        <item x="317"/>
        <item x="292"/>
        <item x="293"/>
        <item x="307"/>
        <item x="309"/>
        <item x="318"/>
        <item x="322"/>
        <item x="325"/>
        <item x="298"/>
        <item x="334"/>
        <item x="335"/>
        <item x="336"/>
        <item x="327"/>
        <item x="337"/>
        <item x="319"/>
        <item x="347"/>
        <item x="323"/>
        <item x="328"/>
        <item x="331"/>
        <item x="333"/>
        <item x="329"/>
        <item x="341"/>
        <item x="340"/>
        <item x="320"/>
        <item x="326"/>
        <item x="343"/>
        <item x="332"/>
        <item x="321"/>
        <item x="344"/>
        <item x="342"/>
        <item x="350"/>
        <item x="351"/>
        <item x="338"/>
        <item x="354"/>
        <item x="339"/>
        <item x="352"/>
        <item x="345"/>
        <item x="353"/>
        <item x="355"/>
        <item x="330"/>
        <item x="365"/>
        <item x="324"/>
        <item x="382"/>
        <item x="356"/>
        <item x="383"/>
        <item x="357"/>
        <item x="361"/>
        <item x="346"/>
        <item x="415"/>
        <item x="358"/>
        <item x="348"/>
        <item x="359"/>
        <item x="360"/>
        <item x="368"/>
        <item x="349"/>
        <item x="378"/>
        <item x="367"/>
        <item x="372"/>
        <item x="369"/>
        <item x="364"/>
        <item x="362"/>
        <item x="363"/>
        <item x="379"/>
        <item x="373"/>
        <item x="380"/>
        <item x="386"/>
        <item x="370"/>
        <item x="381"/>
        <item x="388"/>
        <item x="366"/>
        <item x="389"/>
        <item x="384"/>
        <item x="387"/>
        <item x="385"/>
        <item x="390"/>
        <item x="399"/>
        <item x="391"/>
        <item x="400"/>
        <item x="371"/>
        <item x="401"/>
        <item x="402"/>
        <item x="375"/>
        <item x="394"/>
        <item x="397"/>
        <item x="406"/>
        <item x="396"/>
        <item x="393"/>
        <item x="392"/>
        <item x="403"/>
        <item x="407"/>
        <item x="398"/>
        <item x="404"/>
        <item x="408"/>
        <item x="377"/>
        <item x="414"/>
        <item x="410"/>
        <item x="411"/>
        <item x="395"/>
        <item x="412"/>
        <item x="416"/>
        <item x="413"/>
        <item x="405"/>
        <item x="409"/>
        <item x="417"/>
        <item x="438"/>
        <item x="439"/>
        <item x="376"/>
        <item x="425"/>
        <item x="448"/>
        <item x="446"/>
        <item x="424"/>
        <item x="374"/>
        <item x="447"/>
        <item x="422"/>
        <item x="423"/>
        <item x="426"/>
        <item x="429"/>
        <item x="445"/>
        <item x="430"/>
        <item x="432"/>
        <item x="431"/>
        <item x="436"/>
        <item x="428"/>
        <item x="437"/>
        <item x="449"/>
        <item x="441"/>
        <item x="427"/>
        <item x="442"/>
        <item x="420"/>
        <item x="433"/>
        <item x="443"/>
        <item x="472"/>
        <item x="434"/>
        <item x="421"/>
        <item x="444"/>
        <item x="435"/>
        <item x="419"/>
        <item x="469"/>
        <item x="440"/>
        <item x="486"/>
        <item x="470"/>
        <item x="450"/>
        <item x="418"/>
        <item x="485"/>
        <item x="471"/>
        <item x="460"/>
        <item x="455"/>
        <item x="452"/>
        <item x="496"/>
        <item x="451"/>
        <item x="500"/>
        <item x="461"/>
        <item x="487"/>
        <item x="476"/>
        <item x="456"/>
        <item x="481"/>
        <item x="459"/>
        <item x="503"/>
        <item x="468"/>
        <item x="457"/>
        <item x="453"/>
        <item x="458"/>
        <item x="488"/>
        <item x="475"/>
        <item x="479"/>
        <item x="491"/>
        <item x="473"/>
        <item x="492"/>
        <item x="462"/>
        <item x="463"/>
        <item x="493"/>
        <item x="466"/>
        <item x="490"/>
        <item x="494"/>
        <item x="477"/>
        <item x="454"/>
        <item x="484"/>
        <item x="478"/>
        <item x="489"/>
        <item x="464"/>
        <item x="482"/>
        <item x="474"/>
        <item x="467"/>
        <item x="495"/>
        <item x="514"/>
        <item x="465"/>
        <item x="498"/>
        <item x="510"/>
        <item x="523"/>
        <item x="519"/>
        <item x="499"/>
        <item x="483"/>
        <item x="501"/>
        <item x="520"/>
        <item x="512"/>
        <item x="513"/>
        <item x="511"/>
        <item x="480"/>
        <item x="509"/>
        <item x="505"/>
        <item x="549"/>
        <item x="515"/>
        <item x="497"/>
        <item x="516"/>
        <item x="517"/>
        <item x="547"/>
        <item x="504"/>
        <item x="508"/>
        <item x="518"/>
        <item x="506"/>
        <item x="548"/>
        <item x="524"/>
        <item x="545"/>
        <item x="521"/>
        <item x="527"/>
        <item x="526"/>
        <item x="554"/>
        <item x="502"/>
        <item x="528"/>
        <item x="546"/>
        <item x="522"/>
        <item x="531"/>
        <item x="507"/>
        <item x="581"/>
        <item x="529"/>
        <item x="561"/>
        <item x="525"/>
        <item x="555"/>
        <item x="530"/>
        <item x="560"/>
        <item x="562"/>
        <item x="540"/>
        <item x="542"/>
        <item x="532"/>
        <item x="539"/>
        <item x="541"/>
        <item x="534"/>
        <item x="582"/>
        <item x="550"/>
        <item x="573"/>
        <item x="543"/>
        <item x="552"/>
        <item x="535"/>
        <item x="551"/>
        <item x="575"/>
        <item x="565"/>
        <item x="533"/>
        <item x="597"/>
        <item x="576"/>
        <item x="556"/>
        <item x="557"/>
        <item x="558"/>
        <item x="598"/>
        <item x="559"/>
        <item x="544"/>
        <item x="536"/>
        <item x="553"/>
        <item x="594"/>
        <item x="595"/>
        <item x="577"/>
        <item x="591"/>
        <item x="563"/>
        <item x="574"/>
        <item x="537"/>
        <item x="588"/>
        <item x="587"/>
        <item x="583"/>
        <item x="570"/>
        <item x="596"/>
        <item x="599"/>
        <item x="589"/>
        <item x="567"/>
        <item x="601"/>
        <item x="621"/>
        <item x="580"/>
        <item x="579"/>
        <item x="602"/>
        <item x="603"/>
        <item x="571"/>
        <item x="586"/>
        <item x="600"/>
        <item x="590"/>
        <item x="605"/>
        <item x="592"/>
        <item x="566"/>
        <item x="664"/>
        <item x="564"/>
        <item x="604"/>
        <item x="568"/>
        <item x="538"/>
        <item x="617"/>
        <item x="593"/>
        <item x="569"/>
        <item x="572"/>
        <item x="633"/>
        <item x="634"/>
        <item x="667"/>
        <item x="616"/>
        <item x="635"/>
        <item x="584"/>
        <item x="624"/>
        <item x="610"/>
        <item x="642"/>
        <item x="608"/>
        <item x="623"/>
        <item x="643"/>
        <item x="646"/>
        <item x="640"/>
        <item x="644"/>
        <item x="619"/>
        <item x="627"/>
        <item x="622"/>
        <item x="641"/>
        <item x="585"/>
        <item x="657"/>
        <item x="660"/>
        <item x="673"/>
        <item x="625"/>
        <item x="656"/>
        <item x="636"/>
        <item x="651"/>
        <item x="578"/>
        <item x="658"/>
        <item x="628"/>
        <item x="678"/>
        <item x="652"/>
        <item x="637"/>
        <item x="659"/>
        <item x="606"/>
        <item x="645"/>
        <item x="648"/>
        <item x="669"/>
        <item x="638"/>
        <item x="639"/>
        <item x="694"/>
        <item x="618"/>
        <item x="649"/>
        <item x="615"/>
        <item x="695"/>
        <item x="650"/>
        <item x="686"/>
        <item x="647"/>
        <item x="620"/>
        <item x="632"/>
        <item x="663"/>
        <item x="703"/>
        <item x="696"/>
        <item x="626"/>
        <item x="697"/>
        <item x="675"/>
        <item x="688"/>
        <item x="676"/>
        <item x="699"/>
        <item x="674"/>
        <item x="629"/>
        <item x="706"/>
        <item x="704"/>
        <item x="654"/>
        <item x="700"/>
        <item x="687"/>
        <item x="607"/>
        <item x="701"/>
        <item x="689"/>
        <item x="653"/>
        <item x="707"/>
        <item x="698"/>
        <item x="677"/>
        <item x="670"/>
        <item x="609"/>
        <item x="708"/>
        <item x="690"/>
        <item x="734"/>
        <item x="655"/>
        <item x="742"/>
        <item x="680"/>
        <item x="743"/>
        <item x="671"/>
        <item x="741"/>
        <item x="692"/>
        <item x="672"/>
        <item x="724"/>
        <item x="682"/>
        <item x="631"/>
        <item x="744"/>
        <item x="683"/>
        <item x="713"/>
        <item x="740"/>
        <item x="702"/>
        <item x="668"/>
        <item x="725"/>
        <item x="662"/>
        <item x="684"/>
        <item x="745"/>
        <item x="726"/>
        <item x="705"/>
        <item x="685"/>
        <item x="714"/>
        <item x="709"/>
        <item x="665"/>
        <item x="666"/>
        <item x="711"/>
        <item x="781"/>
        <item x="737"/>
        <item x="691"/>
        <item x="712"/>
        <item x="732"/>
        <item x="759"/>
        <item x="611"/>
        <item x="789"/>
        <item x="679"/>
        <item x="748"/>
        <item x="760"/>
        <item x="735"/>
        <item x="728"/>
        <item x="612"/>
        <item x="761"/>
        <item x="727"/>
        <item x="777"/>
        <item x="729"/>
        <item x="778"/>
        <item x="762"/>
        <item x="730"/>
        <item x="731"/>
        <item x="763"/>
        <item x="710"/>
        <item x="764"/>
        <item x="747"/>
        <item x="693"/>
        <item x="765"/>
        <item x="746"/>
        <item x="736"/>
        <item x="790"/>
        <item x="767"/>
        <item x="791"/>
        <item x="723"/>
        <item x="766"/>
        <item x="768"/>
        <item x="769"/>
        <item x="750"/>
        <item x="788"/>
        <item x="779"/>
        <item x="783"/>
        <item x="792"/>
        <item x="751"/>
        <item x="786"/>
        <item x="752"/>
        <item x="784"/>
        <item x="753"/>
        <item x="630"/>
        <item x="805"/>
        <item x="796"/>
        <item x="770"/>
        <item x="613"/>
        <item x="771"/>
        <item x="797"/>
        <item x="772"/>
        <item x="773"/>
        <item x="782"/>
        <item x="614"/>
        <item x="774"/>
        <item x="776"/>
        <item x="798"/>
        <item x="758"/>
        <item x="822"/>
        <item x="775"/>
        <item x="722"/>
        <item x="799"/>
        <item x="828"/>
        <item x="715"/>
        <item x="800"/>
        <item x="823"/>
        <item x="801"/>
        <item x="716"/>
        <item x="717"/>
        <item x="718"/>
        <item x="719"/>
        <item x="780"/>
        <item x="738"/>
        <item x="720"/>
        <item x="802"/>
        <item x="733"/>
        <item x="806"/>
        <item x="829"/>
        <item x="835"/>
        <item x="754"/>
        <item x="756"/>
        <item x="836"/>
        <item x="813"/>
        <item x="793"/>
        <item x="785"/>
        <item x="808"/>
        <item x="739"/>
        <item x="749"/>
        <item x="757"/>
        <item x="832"/>
        <item x="814"/>
        <item x="821"/>
        <item x="831"/>
        <item x="815"/>
        <item x="844"/>
        <item x="787"/>
        <item x="803"/>
        <item x="840"/>
        <item x="841"/>
        <item x="825"/>
        <item x="842"/>
        <item x="833"/>
        <item x="827"/>
        <item x="804"/>
        <item x="826"/>
        <item x="824"/>
        <item x="843"/>
        <item x="830"/>
        <item x="816"/>
        <item x="858"/>
        <item x="852"/>
        <item x="809"/>
        <item x="853"/>
        <item x="854"/>
        <item x="873"/>
        <item x="855"/>
        <item x="755"/>
        <item x="872"/>
        <item x="859"/>
        <item x="860"/>
        <item x="848"/>
        <item x="851"/>
        <item x="861"/>
        <item x="818"/>
        <item x="849"/>
        <item x="850"/>
        <item x="810"/>
        <item x="834"/>
        <item x="871"/>
        <item x="881"/>
        <item x="862"/>
        <item x="863"/>
        <item x="882"/>
        <item x="864"/>
        <item x="856"/>
        <item x="865"/>
        <item x="847"/>
        <item x="869"/>
        <item x="846"/>
        <item x="811"/>
        <item x="866"/>
        <item x="839"/>
        <item x="875"/>
        <item x="837"/>
        <item x="812"/>
        <item x="876"/>
        <item x="794"/>
        <item x="845"/>
        <item x="877"/>
        <item x="819"/>
        <item x="817"/>
        <item x="874"/>
        <item x="878"/>
        <item x="879"/>
        <item x="807"/>
        <item x="857"/>
        <item x="870"/>
        <item x="867"/>
        <item x="880"/>
        <item x="661"/>
        <item x="888"/>
        <item x="681"/>
        <item x="889"/>
        <item x="890"/>
        <item x="820"/>
        <item x="883"/>
        <item x="868"/>
        <item x="886"/>
        <item x="795"/>
        <item x="884"/>
        <item x="885"/>
        <item x="838"/>
        <item x="887"/>
        <item x="22"/>
      </items>
    </pivotField>
    <pivotField compact="0" outline="0" showAll="0"/>
    <pivotField compact="0" outline="0" showAll="0"/>
    <pivotField axis="axisRow" compact="0" outline="0" showAll="0" defaultSubtotal="0">
      <items count="966">
        <item x="10"/>
        <item x="6"/>
        <item x="11"/>
        <item x="12"/>
        <item x="8"/>
        <item x="14"/>
        <item x="13"/>
        <item x="7"/>
        <item x="0"/>
        <item x="15"/>
        <item x="1"/>
        <item x="2"/>
        <item x="16"/>
        <item x="3"/>
        <item x="17"/>
        <item x="4"/>
        <item x="9"/>
        <item x="31"/>
        <item x="5"/>
        <item x="18"/>
        <item x="35"/>
        <item x="21"/>
        <item x="36"/>
        <item x="34"/>
        <item x="37"/>
        <item x="38"/>
        <item x="39"/>
        <item x="45"/>
        <item x="19"/>
        <item x="20"/>
        <item x="25"/>
        <item x="22"/>
        <item x="32"/>
        <item x="46"/>
        <item x="49"/>
        <item x="40"/>
        <item x="50"/>
        <item x="41"/>
        <item x="42"/>
        <item x="44"/>
        <item x="43"/>
        <item x="59"/>
        <item x="53"/>
        <item x="60"/>
        <item x="61"/>
        <item x="62"/>
        <item x="33"/>
        <item x="55"/>
        <item x="57"/>
        <item x="26"/>
        <item x="58"/>
        <item x="90"/>
        <item x="47"/>
        <item x="54"/>
        <item x="56"/>
        <item x="72"/>
        <item x="96"/>
        <item x="27"/>
        <item x="51"/>
        <item x="52"/>
        <item x="65"/>
        <item x="73"/>
        <item x="48"/>
        <item x="66"/>
        <item x="69"/>
        <item x="63"/>
        <item x="75"/>
        <item x="74"/>
        <item x="70"/>
        <item x="28"/>
        <item x="94"/>
        <item x="78"/>
        <item x="95"/>
        <item x="88"/>
        <item x="71"/>
        <item x="64"/>
        <item x="89"/>
        <item x="91"/>
        <item x="29"/>
        <item x="24"/>
        <item x="30"/>
        <item x="110"/>
        <item x="67"/>
        <item x="68"/>
        <item x="92"/>
        <item x="77"/>
        <item x="111"/>
        <item x="112"/>
        <item x="76"/>
        <item x="113"/>
        <item x="85"/>
        <item x="86"/>
        <item x="83"/>
        <item x="97"/>
        <item x="87"/>
        <item x="101"/>
        <item x="100"/>
        <item x="102"/>
        <item x="103"/>
        <item x="104"/>
        <item x="93"/>
        <item x="82"/>
        <item x="98"/>
        <item x="80"/>
        <item x="79"/>
        <item x="107"/>
        <item x="108"/>
        <item x="106"/>
        <item x="105"/>
        <item x="130"/>
        <item x="131"/>
        <item x="99"/>
        <item x="81"/>
        <item x="132"/>
        <item x="84"/>
        <item x="114"/>
        <item x="115"/>
        <item x="116"/>
        <item x="118"/>
        <item x="119"/>
        <item x="117"/>
        <item x="120"/>
        <item x="145"/>
        <item x="121"/>
        <item x="123"/>
        <item x="134"/>
        <item x="122"/>
        <item x="126"/>
        <item x="152"/>
        <item x="150"/>
        <item x="124"/>
        <item x="125"/>
        <item x="146"/>
        <item x="109"/>
        <item x="148"/>
        <item x="160"/>
        <item x="137"/>
        <item x="129"/>
        <item x="149"/>
        <item x="127"/>
        <item x="147"/>
        <item x="143"/>
        <item x="142"/>
        <item x="157"/>
        <item x="138"/>
        <item x="153"/>
        <item x="128"/>
        <item x="156"/>
        <item x="158"/>
        <item x="159"/>
        <item x="151"/>
        <item x="133"/>
        <item x="172"/>
        <item x="135"/>
        <item x="136"/>
        <item x="139"/>
        <item x="162"/>
        <item x="155"/>
        <item x="161"/>
        <item x="163"/>
        <item x="164"/>
        <item x="171"/>
        <item x="154"/>
        <item x="173"/>
        <item x="144"/>
        <item x="175"/>
        <item x="165"/>
        <item x="176"/>
        <item x="177"/>
        <item x="170"/>
        <item x="178"/>
        <item x="169"/>
        <item x="140"/>
        <item x="141"/>
        <item x="166"/>
        <item x="167"/>
        <item x="168"/>
        <item x="187"/>
        <item x="190"/>
        <item x="191"/>
        <item x="188"/>
        <item x="179"/>
        <item x="192"/>
        <item x="193"/>
        <item x="185"/>
        <item x="197"/>
        <item x="204"/>
        <item x="199"/>
        <item x="198"/>
        <item x="200"/>
        <item x="205"/>
        <item x="184"/>
        <item x="206"/>
        <item x="207"/>
        <item x="180"/>
        <item x="174"/>
        <item x="195"/>
        <item x="186"/>
        <item x="202"/>
        <item x="216"/>
        <item x="181"/>
        <item x="182"/>
        <item x="196"/>
        <item x="217"/>
        <item x="208"/>
        <item x="210"/>
        <item x="183"/>
        <item x="194"/>
        <item x="213"/>
        <item x="209"/>
        <item x="218"/>
        <item x="230"/>
        <item x="189"/>
        <item x="214"/>
        <item x="203"/>
        <item x="215"/>
        <item x="231"/>
        <item x="222"/>
        <item x="232"/>
        <item x="224"/>
        <item x="201"/>
        <item x="219"/>
        <item x="220"/>
        <item x="229"/>
        <item x="223"/>
        <item x="211"/>
        <item x="225"/>
        <item x="240"/>
        <item x="236"/>
        <item x="238"/>
        <item x="226"/>
        <item x="237"/>
        <item x="239"/>
        <item x="249"/>
        <item x="221"/>
        <item x="212"/>
        <item x="228"/>
        <item x="241"/>
        <item x="227"/>
        <item x="233"/>
        <item x="247"/>
        <item x="245"/>
        <item x="252"/>
        <item x="248"/>
        <item x="253"/>
        <item x="234"/>
        <item x="250"/>
        <item x="251"/>
        <item x="270"/>
        <item x="264"/>
        <item x="235"/>
        <item x="259"/>
        <item x="263"/>
        <item x="243"/>
        <item x="265"/>
        <item x="266"/>
        <item x="246"/>
        <item x="242"/>
        <item x="268"/>
        <item x="257"/>
        <item x="260"/>
        <item x="267"/>
        <item x="254"/>
        <item x="258"/>
        <item x="256"/>
        <item x="255"/>
        <item x="289"/>
        <item x="271"/>
        <item x="275"/>
        <item x="274"/>
        <item x="244"/>
        <item x="272"/>
        <item x="303"/>
        <item x="273"/>
        <item x="261"/>
        <item x="285"/>
        <item x="276"/>
        <item x="290"/>
        <item x="291"/>
        <item x="280"/>
        <item x="277"/>
        <item x="278"/>
        <item x="286"/>
        <item x="301"/>
        <item x="262"/>
        <item x="281"/>
        <item x="282"/>
        <item x="284"/>
        <item x="279"/>
        <item x="295"/>
        <item x="297"/>
        <item x="298"/>
        <item x="283"/>
        <item x="306"/>
        <item x="293"/>
        <item x="307"/>
        <item x="310"/>
        <item x="294"/>
        <item x="302"/>
        <item x="299"/>
        <item x="309"/>
        <item x="308"/>
        <item x="304"/>
        <item x="296"/>
        <item x="269"/>
        <item x="287"/>
        <item x="288"/>
        <item x="300"/>
        <item x="305"/>
        <item x="311"/>
        <item x="316"/>
        <item x="292"/>
        <item x="328"/>
        <item x="320"/>
        <item x="312"/>
        <item x="321"/>
        <item x="313"/>
        <item x="322"/>
        <item x="324"/>
        <item x="317"/>
        <item x="331"/>
        <item x="338"/>
        <item x="327"/>
        <item x="337"/>
        <item x="329"/>
        <item x="326"/>
        <item x="323"/>
        <item x="336"/>
        <item x="330"/>
        <item x="314"/>
        <item x="319"/>
        <item x="333"/>
        <item x="341"/>
        <item x="315"/>
        <item x="334"/>
        <item x="342"/>
        <item x="340"/>
        <item x="348"/>
        <item x="332"/>
        <item x="349"/>
        <item x="335"/>
        <item x="344"/>
        <item x="339"/>
        <item x="325"/>
        <item x="318"/>
        <item x="377"/>
        <item x="343"/>
        <item x="379"/>
        <item x="351"/>
        <item x="352"/>
        <item x="345"/>
        <item x="364"/>
        <item x="353"/>
        <item x="354"/>
        <item x="365"/>
        <item x="346"/>
        <item x="350"/>
        <item x="360"/>
        <item x="347"/>
        <item x="374"/>
        <item x="359"/>
        <item x="357"/>
        <item x="362"/>
        <item x="361"/>
        <item x="355"/>
        <item x="356"/>
        <item x="378"/>
        <item x="375"/>
        <item x="376"/>
        <item x="368"/>
        <item x="367"/>
        <item x="363"/>
        <item x="409"/>
        <item x="382"/>
        <item x="358"/>
        <item x="383"/>
        <item x="384"/>
        <item x="380"/>
        <item x="385"/>
        <item x="381"/>
        <item x="372"/>
        <item x="386"/>
        <item x="394"/>
        <item x="395"/>
        <item x="366"/>
        <item x="370"/>
        <item x="389"/>
        <item x="390"/>
        <item x="392"/>
        <item x="398"/>
        <item x="388"/>
        <item x="401"/>
        <item x="396"/>
        <item x="387"/>
        <item x="393"/>
        <item x="397"/>
        <item x="402"/>
        <item x="404"/>
        <item x="373"/>
        <item x="405"/>
        <item x="406"/>
        <item x="400"/>
        <item x="391"/>
        <item x="407"/>
        <item x="410"/>
        <item x="403"/>
        <item x="408"/>
        <item x="399"/>
        <item x="436"/>
        <item x="434"/>
        <item x="435"/>
        <item x="371"/>
        <item x="419"/>
        <item x="443"/>
        <item x="420"/>
        <item x="418"/>
        <item x="415"/>
        <item x="444"/>
        <item x="369"/>
        <item x="416"/>
        <item x="417"/>
        <item x="421"/>
        <item x="424"/>
        <item x="442"/>
        <item x="425"/>
        <item x="431"/>
        <item x="426"/>
        <item x="432"/>
        <item x="427"/>
        <item x="433"/>
        <item x="423"/>
        <item x="438"/>
        <item x="422"/>
        <item x="439"/>
        <item x="413"/>
        <item x="428"/>
        <item x="440"/>
        <item x="473"/>
        <item x="429"/>
        <item x="441"/>
        <item x="447"/>
        <item x="414"/>
        <item x="472"/>
        <item x="430"/>
        <item x="469"/>
        <item x="437"/>
        <item x="470"/>
        <item x="412"/>
        <item x="491"/>
        <item x="448"/>
        <item x="411"/>
        <item x="445"/>
        <item x="471"/>
        <item x="490"/>
        <item x="452"/>
        <item x="449"/>
        <item x="488"/>
        <item x="453"/>
        <item x="446"/>
        <item x="489"/>
        <item x="467"/>
        <item x="458"/>
        <item x="492"/>
        <item x="479"/>
        <item x="454"/>
        <item x="455"/>
        <item x="456"/>
        <item x="468"/>
        <item x="493"/>
        <item x="476"/>
        <item x="450"/>
        <item x="478"/>
        <item x="495"/>
        <item x="500"/>
        <item x="457"/>
        <item x="496"/>
        <item x="497"/>
        <item x="460"/>
        <item x="466"/>
        <item x="459"/>
        <item x="483"/>
        <item x="461"/>
        <item x="509"/>
        <item x="494"/>
        <item x="487"/>
        <item x="498"/>
        <item x="481"/>
        <item x="451"/>
        <item x="462"/>
        <item x="465"/>
        <item x="474"/>
        <item x="463"/>
        <item x="499"/>
        <item x="484"/>
        <item x="521"/>
        <item x="464"/>
        <item x="507"/>
        <item x="477"/>
        <item x="482"/>
        <item x="512"/>
        <item x="480"/>
        <item x="527"/>
        <item x="531"/>
        <item x="532"/>
        <item x="506"/>
        <item x="475"/>
        <item x="502"/>
        <item x="508"/>
        <item x="518"/>
        <item x="519"/>
        <item x="486"/>
        <item x="503"/>
        <item x="528"/>
        <item x="511"/>
        <item x="520"/>
        <item x="485"/>
        <item x="564"/>
        <item x="513"/>
        <item x="522"/>
        <item x="523"/>
        <item x="517"/>
        <item x="504"/>
        <item x="501"/>
        <item x="524"/>
        <item x="525"/>
        <item x="561"/>
        <item x="559"/>
        <item x="526"/>
        <item x="566"/>
        <item x="533"/>
        <item x="514"/>
        <item x="560"/>
        <item x="516"/>
        <item x="558"/>
        <item x="534"/>
        <item x="565"/>
        <item x="510"/>
        <item x="563"/>
        <item x="557"/>
        <item x="536"/>
        <item x="529"/>
        <item x="505"/>
        <item x="537"/>
        <item x="539"/>
        <item x="538"/>
        <item x="530"/>
        <item x="545"/>
        <item x="596"/>
        <item x="562"/>
        <item x="515"/>
        <item x="580"/>
        <item x="581"/>
        <item x="582"/>
        <item x="540"/>
        <item x="535"/>
        <item x="578"/>
        <item x="546"/>
        <item x="583"/>
        <item x="553"/>
        <item x="542"/>
        <item x="541"/>
        <item x="554"/>
        <item x="567"/>
        <item x="544"/>
        <item x="552"/>
        <item x="570"/>
        <item x="606"/>
        <item x="568"/>
        <item x="547"/>
        <item x="569"/>
        <item x="571"/>
        <item x="555"/>
        <item x="572"/>
        <item x="576"/>
        <item x="620"/>
        <item x="574"/>
        <item x="603"/>
        <item x="575"/>
        <item x="543"/>
        <item x="597"/>
        <item x="595"/>
        <item x="577"/>
        <item x="573"/>
        <item x="579"/>
        <item x="604"/>
        <item x="548"/>
        <item x="605"/>
        <item x="621"/>
        <item x="556"/>
        <item x="616"/>
        <item x="599"/>
        <item x="617"/>
        <item x="550"/>
        <item x="610"/>
        <item x="549"/>
        <item x="622"/>
        <item x="594"/>
        <item x="589"/>
        <item x="584"/>
        <item x="623"/>
        <item x="590"/>
        <item x="613"/>
        <item x="624"/>
        <item x="587"/>
        <item x="618"/>
        <item x="611"/>
        <item x="628"/>
        <item x="600"/>
        <item x="655"/>
        <item x="591"/>
        <item x="629"/>
        <item x="602"/>
        <item x="619"/>
        <item x="609"/>
        <item x="612"/>
        <item x="631"/>
        <item x="615"/>
        <item x="586"/>
        <item x="692"/>
        <item x="585"/>
        <item x="551"/>
        <item x="630"/>
        <item x="625"/>
        <item x="626"/>
        <item x="627"/>
        <item x="614"/>
        <item x="658"/>
        <item x="659"/>
        <item x="593"/>
        <item x="588"/>
        <item x="601"/>
        <item x="660"/>
        <item x="642"/>
        <item x="592"/>
        <item x="648"/>
        <item x="669"/>
        <item x="607"/>
        <item x="636"/>
        <item x="649"/>
        <item x="670"/>
        <item x="647"/>
        <item x="666"/>
        <item x="673"/>
        <item x="671"/>
        <item x="634"/>
        <item x="644"/>
        <item x="691"/>
        <item x="646"/>
        <item x="708"/>
        <item x="667"/>
        <item x="703"/>
        <item x="684"/>
        <item x="687"/>
        <item x="702"/>
        <item x="608"/>
        <item x="683"/>
        <item x="650"/>
        <item x="598"/>
        <item x="676"/>
        <item x="668"/>
        <item x="685"/>
        <item x="705"/>
        <item x="661"/>
        <item x="662"/>
        <item x="652"/>
        <item x="686"/>
        <item x="678"/>
        <item x="664"/>
        <item x="712"/>
        <item x="665"/>
        <item x="674"/>
        <item x="697"/>
        <item x="740"/>
        <item x="733"/>
        <item x="663"/>
        <item x="741"/>
        <item x="679"/>
        <item x="632"/>
        <item x="713"/>
        <item x="675"/>
        <item x="643"/>
        <item x="725"/>
        <item x="645"/>
        <item x="672"/>
        <item x="682"/>
        <item x="709"/>
        <item x="656"/>
        <item x="732"/>
        <item x="752"/>
        <item x="753"/>
        <item x="641"/>
        <item x="745"/>
        <item x="743"/>
        <item x="651"/>
        <item x="734"/>
        <item x="706"/>
        <item x="688"/>
        <item x="744"/>
        <item x="747"/>
        <item x="724"/>
        <item x="704"/>
        <item x="653"/>
        <item x="749"/>
        <item x="680"/>
        <item x="750"/>
        <item x="722"/>
        <item x="751"/>
        <item x="633"/>
        <item x="756"/>
        <item x="746"/>
        <item x="677"/>
        <item x="742"/>
        <item x="757"/>
        <item x="698"/>
        <item x="707"/>
        <item x="748"/>
        <item x="758"/>
        <item x="723"/>
        <item x="759"/>
        <item x="784"/>
        <item x="681"/>
        <item x="726"/>
        <item x="729"/>
        <item x="783"/>
        <item x="731"/>
        <item x="699"/>
        <item x="782"/>
        <item x="700"/>
        <item x="755"/>
        <item x="735"/>
        <item x="716"/>
        <item x="701"/>
        <item x="696"/>
        <item x="720"/>
        <item x="717"/>
        <item x="657"/>
        <item x="635"/>
        <item x="754"/>
        <item x="711"/>
        <item x="718"/>
        <item x="690"/>
        <item x="737"/>
        <item x="794"/>
        <item x="792"/>
        <item x="771"/>
        <item x="738"/>
        <item x="719"/>
        <item x="721"/>
        <item x="695"/>
        <item x="760"/>
        <item x="795"/>
        <item x="693"/>
        <item x="789"/>
        <item x="838"/>
        <item x="793"/>
        <item x="788"/>
        <item x="739"/>
        <item x="694"/>
        <item x="836"/>
        <item x="811"/>
        <item x="762"/>
        <item x="844"/>
        <item x="727"/>
        <item x="637"/>
        <item x="779"/>
        <item x="815"/>
        <item x="830"/>
        <item x="730"/>
        <item x="728"/>
        <item x="798"/>
        <item x="710"/>
        <item x="816"/>
        <item x="772"/>
        <item x="786"/>
        <item x="775"/>
        <item x="638"/>
        <item x="817"/>
        <item x="785"/>
        <item x="776"/>
        <item x="832"/>
        <item x="777"/>
        <item x="773"/>
        <item x="833"/>
        <item x="778"/>
        <item x="774"/>
        <item x="818"/>
        <item x="797"/>
        <item x="851"/>
        <item x="850"/>
        <item x="796"/>
        <item x="736"/>
        <item x="761"/>
        <item x="820"/>
        <item x="848"/>
        <item x="787"/>
        <item x="819"/>
        <item x="821"/>
        <item x="822"/>
        <item x="841"/>
        <item x="854"/>
        <item x="823"/>
        <item x="847"/>
        <item x="800"/>
        <item x="770"/>
        <item x="804"/>
        <item x="801"/>
        <item x="834"/>
        <item x="858"/>
        <item x="802"/>
        <item x="839"/>
        <item x="803"/>
        <item x="805"/>
        <item x="840"/>
        <item x="859"/>
        <item x="843"/>
        <item x="870"/>
        <item x="860"/>
        <item x="654"/>
        <item x="824"/>
        <item x="825"/>
        <item x="639"/>
        <item x="810"/>
        <item x="826"/>
        <item x="857"/>
        <item x="827"/>
        <item x="828"/>
        <item x="889"/>
        <item x="640"/>
        <item x="874"/>
        <item x="837"/>
        <item x="813"/>
        <item x="812"/>
        <item x="829"/>
        <item x="831"/>
        <item x="892"/>
        <item x="865"/>
        <item x="763"/>
        <item x="867"/>
        <item x="866"/>
        <item x="869"/>
        <item x="764"/>
        <item x="765"/>
        <item x="875"/>
        <item x="766"/>
        <item x="767"/>
        <item x="861"/>
        <item x="768"/>
        <item x="893"/>
        <item x="790"/>
        <item x="894"/>
        <item x="814"/>
        <item x="769"/>
        <item x="781"/>
        <item x="780"/>
        <item x="871"/>
        <item x="899"/>
        <item x="806"/>
        <item x="808"/>
        <item x="908"/>
        <item x="895"/>
        <item x="880"/>
        <item x="898"/>
        <item x="852"/>
        <item x="896"/>
        <item x="835"/>
        <item x="862"/>
        <item x="842"/>
        <item x="791"/>
        <item x="846"/>
        <item x="881"/>
        <item x="855"/>
        <item x="882"/>
        <item x="905"/>
        <item x="809"/>
        <item x="897"/>
        <item x="890"/>
        <item x="912"/>
        <item x="883"/>
        <item x="913"/>
        <item x="864"/>
        <item x="914"/>
        <item x="845"/>
        <item x="906"/>
        <item x="868"/>
        <item x="799"/>
        <item x="849"/>
        <item x="930"/>
        <item x="921"/>
        <item x="863"/>
        <item x="900"/>
        <item x="922"/>
        <item x="891"/>
        <item x="903"/>
        <item x="904"/>
        <item x="902"/>
        <item x="884"/>
        <item x="924"/>
        <item x="925"/>
        <item x="876"/>
        <item x="926"/>
        <item x="931"/>
        <item x="901"/>
        <item x="807"/>
        <item x="932"/>
        <item x="944"/>
        <item x="929"/>
        <item x="943"/>
        <item x="918"/>
        <item x="940"/>
        <item x="923"/>
        <item x="919"/>
        <item x="886"/>
        <item x="933"/>
        <item x="920"/>
        <item x="941"/>
        <item x="877"/>
        <item x="907"/>
        <item x="934"/>
        <item x="953"/>
        <item x="965"/>
        <item x="935"/>
        <item x="955"/>
        <item x="915"/>
        <item x="927"/>
        <item x="917"/>
        <item x="916"/>
        <item x="942"/>
        <item x="878"/>
        <item x="911"/>
        <item x="909"/>
        <item x="879"/>
        <item x="950"/>
        <item x="948"/>
        <item x="853"/>
        <item x="946"/>
        <item x="887"/>
        <item x="885"/>
        <item x="947"/>
        <item x="949"/>
        <item x="872"/>
        <item x="873"/>
        <item x="928"/>
        <item x="937"/>
        <item x="951"/>
        <item x="954"/>
        <item x="938"/>
        <item x="689"/>
        <item x="952"/>
        <item x="960"/>
        <item x="714"/>
        <item x="715"/>
        <item x="962"/>
        <item x="963"/>
        <item x="888"/>
        <item x="956"/>
        <item x="939"/>
        <item x="964"/>
        <item x="856"/>
        <item x="957"/>
        <item x="958"/>
        <item x="910"/>
        <item x="945"/>
        <item x="961"/>
        <item x="959"/>
        <item x="23"/>
        <item x="936"/>
      </items>
    </pivotField>
    <pivotField compact="0" outline="0" showAll="0"/>
    <pivotField compact="0" outline="0" showAll="0"/>
    <pivotField axis="axisRow" compact="0" outline="0" showAll="0" defaultSubtotal="0">
      <items count="4">
        <item x="2"/>
        <item x="1"/>
        <item x="3"/>
        <item x="0"/>
      </items>
    </pivotField>
    <pivotField axis="axisRow" compact="0" outline="0" showAll="0" defaultSubtotal="0">
      <items count="22">
        <item x="3"/>
        <item x="21"/>
        <item x="16"/>
        <item x="2"/>
        <item x="14"/>
        <item x="18"/>
        <item x="1"/>
        <item x="9"/>
        <item x="11"/>
        <item x="13"/>
        <item x="17"/>
        <item x="7"/>
        <item x="20"/>
        <item x="15"/>
        <item x="10"/>
        <item x="4"/>
        <item x="5"/>
        <item x="8"/>
        <item x="12"/>
        <item x="6"/>
        <item x="19"/>
        <item x="0"/>
      </items>
    </pivotField>
    <pivotField compact="0" outline="0" showAll="0"/>
    <pivotField axis="axisRow" compact="0" outline="0" showAll="0" defaultSubtotal="0">
      <items count="6">
        <item x="2"/>
        <item x="4"/>
        <item x="0"/>
        <item x="3"/>
        <item x="1"/>
        <item x="5"/>
      </items>
    </pivotField>
    <pivotField compact="0" outline="0" showAll="0"/>
    <pivotField axis="axisRow" compact="0" outline="0" showAll="0" defaultSubtotal="0">
      <items count="15">
        <item x="12"/>
        <item x="14"/>
        <item x="5"/>
        <item x="2"/>
        <item x="9"/>
        <item x="11"/>
        <item x="1"/>
        <item x="8"/>
        <item x="13"/>
        <item x="3"/>
        <item x="10"/>
        <item x="6"/>
        <item x="4"/>
        <item x="7"/>
        <item x="0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>
      <items count="139">
        <item x="45"/>
        <item x="35"/>
        <item x="82"/>
        <item x="43"/>
        <item x="56"/>
        <item x="69"/>
        <item x="36"/>
        <item x="95"/>
        <item x="90"/>
        <item x="18"/>
        <item x="40"/>
        <item x="73"/>
        <item x="25"/>
        <item x="20"/>
        <item x="26"/>
        <item x="70"/>
        <item x="41"/>
        <item x="44"/>
        <item x="11"/>
        <item x="9"/>
        <item x="33"/>
        <item x="47"/>
        <item x="68"/>
        <item x="84"/>
        <item x="3"/>
        <item x="4"/>
        <item x="5"/>
        <item x="6"/>
        <item x="7"/>
        <item x="14"/>
        <item x="83"/>
        <item x="72"/>
        <item x="39"/>
        <item x="74"/>
        <item x="85"/>
        <item x="88"/>
        <item x="16"/>
        <item x="89"/>
        <item x="76"/>
        <item x="27"/>
        <item x="30"/>
        <item x="104"/>
        <item x="119"/>
        <item x="91"/>
        <item x="92"/>
        <item x="29"/>
        <item x="120"/>
        <item x="121"/>
        <item x="97"/>
        <item x="78"/>
        <item x="80"/>
        <item x="63"/>
        <item x="102"/>
        <item x="101"/>
        <item x="99"/>
        <item x="100"/>
        <item x="126"/>
        <item x="135"/>
        <item x="96"/>
        <item x="137"/>
        <item x="15"/>
        <item x="98"/>
        <item x="136"/>
        <item x="19"/>
        <item x="28"/>
        <item x="75"/>
        <item x="105"/>
        <item x="107"/>
        <item x="49"/>
        <item x="54"/>
        <item x="55"/>
        <item x="8"/>
        <item x="51"/>
        <item x="87"/>
        <item x="24"/>
        <item x="34"/>
        <item x="10"/>
        <item x="86"/>
        <item x="52"/>
        <item x="59"/>
        <item x="94"/>
        <item x="77"/>
        <item x="60"/>
        <item x="66"/>
        <item x="13"/>
        <item x="31"/>
        <item x="37"/>
        <item x="38"/>
        <item x="17"/>
        <item x="61"/>
        <item x="67"/>
        <item x="93"/>
        <item x="103"/>
        <item x="62"/>
        <item x="79"/>
        <item x="106"/>
        <item x="108"/>
        <item x="81"/>
        <item x="118"/>
        <item x="58"/>
        <item x="138"/>
        <item x="23"/>
        <item x="32"/>
        <item x="46"/>
        <item x="64"/>
        <item x="48"/>
        <item x="50"/>
        <item x="65"/>
        <item x="21"/>
        <item x="22"/>
        <item x="2"/>
        <item x="57"/>
        <item x="71"/>
        <item x="42"/>
        <item x="1"/>
        <item x="110"/>
        <item x="111"/>
        <item x="109"/>
        <item x="12"/>
        <item x="53"/>
        <item x="112"/>
        <item x="113"/>
        <item x="114"/>
        <item x="115"/>
        <item x="116"/>
        <item x="117"/>
        <item x="128"/>
        <item x="129"/>
        <item x="122"/>
        <item x="130"/>
        <item x="123"/>
        <item x="132"/>
        <item x="124"/>
        <item x="131"/>
        <item x="125"/>
        <item x="133"/>
        <item x="127"/>
        <item x="0"/>
        <item x="134"/>
      </items>
    </pivotField>
    <pivotField compact="0" outline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compact="0" outline="0" showAll="0"/>
    <pivotField compact="0" outline="0" showAll="0"/>
    <pivotField compact="0" outline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>
      <items count="5">
        <item x="3"/>
        <item x="1"/>
        <item x="4"/>
        <item x="2"/>
        <item x="0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compact="0" outline="0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3">
    <field x="41"/>
    <field x="47"/>
    <field x="3"/>
    <field x="6"/>
    <field x="44"/>
    <field x="8"/>
    <field x="16"/>
    <field x="15"/>
    <field x="14"/>
    <field x="26"/>
    <field x="48"/>
    <field x="50"/>
    <field x="52"/>
  </rowFields>
  <rowItems count="80">
    <i>
      <x v="836"/>
      <x v="1"/>
      <x v="4"/>
      <x v="2031"/>
      <x v="903"/>
      <x v="1710"/>
      <x v="447"/>
      <x/>
      <x v="68"/>
      <x v="162"/>
      <x v="5"/>
      <x v="1"/>
      <x v="3"/>
    </i>
    <i>
      <x v="839"/>
      <x v="1"/>
      <x v="4"/>
      <x v="2032"/>
      <x v="907"/>
      <x v="1711"/>
      <x v="447"/>
      <x/>
      <x v="68"/>
      <x v="137"/>
      <x v="5"/>
      <x v="1"/>
      <x v="3"/>
    </i>
    <i>
      <x v="840"/>
      <x/>
      <x v="4"/>
      <x v="414"/>
      <x v="909"/>
      <x v="1704"/>
      <x v="447"/>
      <x/>
      <x v="68"/>
      <x v="234"/>
      <x v="5"/>
      <x v="1"/>
      <x v="3"/>
    </i>
    <i>
      <x v="842"/>
      <x/>
      <x v="4"/>
      <x v="415"/>
      <x v="912"/>
      <x v="1704"/>
      <x v="447"/>
      <x/>
      <x v="68"/>
      <x v="234"/>
      <x v="5"/>
      <x v="1"/>
      <x v="3"/>
    </i>
    <i r="1">
      <x v="1"/>
      <x v="4"/>
      <x v="749"/>
      <x v="915"/>
      <x v="1704"/>
      <x v="360"/>
      <x v="71"/>
      <x v="158"/>
      <x v="410"/>
      <x v="7"/>
      <x v="2"/>
      <x v="14"/>
    </i>
    <i r="3">
      <x v="750"/>
      <x v="916"/>
      <x v="1704"/>
      <x v="360"/>
      <x v="71"/>
      <x v="158"/>
      <x v="410"/>
      <x v="7"/>
      <x v="2"/>
      <x v="14"/>
    </i>
    <i>
      <x v="843"/>
      <x/>
      <x v="4"/>
      <x v="416"/>
      <x v="913"/>
      <x v="1704"/>
      <x v="447"/>
      <x/>
      <x v="68"/>
      <x v="234"/>
      <x v="5"/>
      <x v="1"/>
      <x v="3"/>
    </i>
    <i>
      <x v="846"/>
      <x v="1"/>
      <x v="4"/>
      <x v="842"/>
      <x v="917"/>
      <x v="1704"/>
      <x v="39"/>
      <x v="71"/>
      <x v="148"/>
      <x v="196"/>
      <x v="3"/>
      <x v="2"/>
      <x v="14"/>
    </i>
    <i r="3">
      <x v="978"/>
      <x v="919"/>
      <x v="1704"/>
      <x v="41"/>
      <x v="71"/>
      <x v="158"/>
      <x v="348"/>
      <x v="7"/>
      <x v="2"/>
      <x v="14"/>
    </i>
    <i>
      <x v="847"/>
      <x/>
      <x v="4"/>
      <x v="417"/>
      <x v="916"/>
      <x v="1704"/>
      <x v="447"/>
      <x/>
      <x v="68"/>
      <x v="234"/>
      <x v="5"/>
      <x v="1"/>
      <x v="3"/>
    </i>
    <i r="1">
      <x v="1"/>
      <x v="4"/>
      <x v="804"/>
      <x v="918"/>
      <x v="1704"/>
      <x v="37"/>
      <x v="71"/>
      <x v="158"/>
      <x v="361"/>
      <x v="7"/>
      <x/>
      <x v="14"/>
    </i>
    <i>
      <x v="848"/>
      <x/>
      <x v="4"/>
      <x v="418"/>
      <x v="917"/>
      <x v="1704"/>
      <x v="447"/>
      <x/>
      <x v="68"/>
      <x v="234"/>
      <x v="5"/>
      <x v="1"/>
      <x v="3"/>
    </i>
    <i>
      <x v="850"/>
      <x/>
      <x v="4"/>
      <x v="419"/>
      <x v="920"/>
      <x v="1704"/>
      <x v="447"/>
      <x/>
      <x v="68"/>
      <x v="234"/>
      <x v="5"/>
      <x v="1"/>
      <x v="3"/>
    </i>
    <i r="3">
      <x v="606"/>
      <x v="904"/>
      <x v="1635"/>
      <x v="355"/>
      <x v="71"/>
      <x v="148"/>
      <x v="160"/>
      <x v="9"/>
      <x v="2"/>
      <x v="3"/>
    </i>
    <i r="1">
      <x v="1"/>
      <x v="4"/>
      <x v="990"/>
      <x v="923"/>
      <x v="1704"/>
      <x v="42"/>
      <x v="71"/>
      <x v="158"/>
      <x v="227"/>
      <x v="7"/>
      <x/>
      <x v="14"/>
    </i>
    <i>
      <x v="852"/>
      <x/>
      <x v="4"/>
      <x v="420"/>
      <x v="922"/>
      <x v="1704"/>
      <x v="447"/>
      <x/>
      <x v="68"/>
      <x v="234"/>
      <x v="5"/>
      <x v="1"/>
      <x v="3"/>
    </i>
    <i r="1">
      <x v="1"/>
      <x v="4"/>
      <x v="830"/>
      <x v="924"/>
      <x v="1704"/>
      <x v="38"/>
      <x v="71"/>
      <x v="158"/>
      <x v="132"/>
      <x v="7"/>
      <x v="1"/>
      <x v="14"/>
    </i>
    <i>
      <x v="855"/>
      <x/>
      <x v="4"/>
      <x v="421"/>
      <x v="924"/>
      <x v="1704"/>
      <x v="447"/>
      <x/>
      <x v="68"/>
      <x v="234"/>
      <x v="5"/>
      <x v="1"/>
      <x v="3"/>
    </i>
    <i>
      <x v="857"/>
      <x/>
      <x v="4"/>
      <x v="422"/>
      <x v="965"/>
      <x v="1704"/>
      <x v="447"/>
      <x/>
      <x v="68"/>
      <x v="137"/>
      <x v="5"/>
      <x v="1"/>
      <x v="3"/>
    </i>
    <i r="3">
      <x v="629"/>
      <x v="927"/>
      <x v="1636"/>
      <x v="356"/>
      <x v="71"/>
      <x v="148"/>
      <x v="227"/>
      <x v="9"/>
      <x/>
      <x v="9"/>
    </i>
    <i>
      <x v="858"/>
      <x/>
      <x v="4"/>
      <x v="166"/>
      <x v="928"/>
      <x v="1570"/>
      <x v="352"/>
      <x v="71"/>
      <x v="161"/>
      <x v="70"/>
      <x v="9"/>
      <x/>
      <x v="9"/>
    </i>
    <i>
      <x v="859"/>
      <x/>
      <x v="4"/>
      <x v="682"/>
      <x v="929"/>
      <x v="1650"/>
      <x v="896"/>
      <x v="61"/>
      <x v="107"/>
      <x v="662"/>
      <x v="6"/>
      <x v="2"/>
      <x v="3"/>
    </i>
    <i r="3">
      <x v="715"/>
      <x v="929"/>
      <x v="1704"/>
      <x v="896"/>
      <x v="61"/>
      <x v="33"/>
      <x v="363"/>
      <x v="6"/>
      <x v="2"/>
      <x v="3"/>
    </i>
    <i>
      <x v="860"/>
      <x v="1"/>
      <x v="4"/>
      <x v="792"/>
      <x v="931"/>
      <x v="1633"/>
      <x v="359"/>
      <x v="71"/>
      <x v="155"/>
      <x v="523"/>
      <x v="7"/>
      <x v="1"/>
      <x v="3"/>
    </i>
    <i>
      <x v="861"/>
      <x v="1"/>
      <x v="4"/>
      <x v="756"/>
      <x v="931"/>
      <x v="1624"/>
      <x v="43"/>
      <x v="35"/>
      <x v="114"/>
      <x v="510"/>
      <x v="1"/>
      <x/>
      <x v="9"/>
    </i>
    <i>
      <x v="862"/>
      <x/>
      <x v="4"/>
      <x v="686"/>
      <x v="932"/>
      <x v="1704"/>
      <x v="896"/>
      <x v="61"/>
      <x v="108"/>
      <x v="647"/>
      <x v="6"/>
      <x v="4"/>
      <x v="3"/>
    </i>
    <i r="3">
      <x v="720"/>
      <x v="932"/>
      <x v="1704"/>
      <x v="896"/>
      <x v="61"/>
      <x v="33"/>
      <x v="525"/>
      <x v="6"/>
      <x v="4"/>
      <x v="3"/>
    </i>
    <i>
      <x v="864"/>
      <x/>
      <x v="4"/>
      <x v="662"/>
      <x v="934"/>
      <x v="1647"/>
      <x v="896"/>
      <x v="61"/>
      <x v="128"/>
      <x v="567"/>
      <x v="6"/>
      <x/>
      <x v="9"/>
    </i>
    <i r="3">
      <x v="689"/>
      <x v="935"/>
      <x v="1704"/>
      <x v="896"/>
      <x v="61"/>
      <x v="107"/>
      <x v="581"/>
      <x v="6"/>
      <x/>
      <x v="9"/>
    </i>
    <i r="3">
      <x v="725"/>
      <x v="936"/>
      <x v="1704"/>
      <x v="896"/>
      <x v="61"/>
      <x v="33"/>
      <x v="613"/>
      <x v="6"/>
      <x/>
      <x v="9"/>
    </i>
    <i>
      <x v="866"/>
      <x v="1"/>
      <x v="4"/>
      <x v="1772"/>
      <x v="935"/>
      <x v="1639"/>
      <x v="111"/>
      <x v="14"/>
      <x v="34"/>
      <x v="363"/>
      <x v="6"/>
      <x/>
      <x v="9"/>
    </i>
    <i>
      <x v="868"/>
      <x/>
      <x v="4"/>
      <x v="673"/>
      <x v="937"/>
      <x v="1648"/>
      <x v="896"/>
      <x v="61"/>
      <x v="37"/>
      <x v="681"/>
      <x v="6"/>
      <x v="1"/>
      <x v="3"/>
    </i>
    <i r="3">
      <x v="692"/>
      <x v="938"/>
      <x v="1704"/>
      <x v="896"/>
      <x v="61"/>
      <x v="107"/>
      <x v="395"/>
      <x v="6"/>
      <x v="1"/>
      <x v="3"/>
    </i>
    <i r="3">
      <x v="727"/>
      <x v="938"/>
      <x v="1649"/>
      <x v="896"/>
      <x v="61"/>
      <x v="33"/>
      <x v="671"/>
      <x v="6"/>
      <x v="1"/>
      <x v="3"/>
    </i>
    <i>
      <x v="870"/>
      <x/>
      <x v="4"/>
      <x v="766"/>
      <x v="941"/>
      <x v="1652"/>
      <x v="679"/>
      <x v="46"/>
      <x v="62"/>
      <x v="581"/>
      <x v="6"/>
      <x v="2"/>
      <x v="14"/>
    </i>
    <i r="3">
      <x v="898"/>
      <x v="942"/>
      <x v="1680"/>
      <x v="681"/>
      <x v="46"/>
      <x v="105"/>
      <x v="456"/>
      <x v="6"/>
      <x v="2"/>
      <x v="14"/>
    </i>
    <i r="3">
      <x v="948"/>
      <x v="941"/>
      <x v="1690"/>
      <x v="680"/>
      <x v="46"/>
      <x v="106"/>
      <x v="552"/>
      <x v="6"/>
      <x v="2"/>
      <x v="14"/>
    </i>
    <i r="1">
      <x v="1"/>
      <x v="4"/>
      <x v="794"/>
      <x v="941"/>
      <x v="1704"/>
      <x v="359"/>
      <x v="71"/>
      <x v="155"/>
      <x v="523"/>
      <x v="7"/>
      <x v="1"/>
      <x v="3"/>
    </i>
    <i>
      <x v="871"/>
      <x/>
      <x v="4"/>
      <x v="1729"/>
      <x v="939"/>
      <x v="1472"/>
      <x v="334"/>
      <x v="71"/>
      <x v="165"/>
      <x v="45"/>
      <x v="17"/>
      <x/>
      <x v="9"/>
    </i>
    <i r="3">
      <x v="1732"/>
      <x v="939"/>
      <x v="1473"/>
      <x v="334"/>
      <x v="71"/>
      <x v="166"/>
      <x v="44"/>
      <x v="17"/>
      <x/>
      <x v="9"/>
    </i>
    <i r="3">
      <x v="1734"/>
      <x v="940"/>
      <x v="1474"/>
      <x v="334"/>
      <x v="71"/>
      <x v="164"/>
      <x v="27"/>
      <x v="17"/>
      <x/>
      <x v="9"/>
    </i>
    <i>
      <x v="872"/>
      <x/>
      <x v="4"/>
      <x v="343"/>
      <x v="941"/>
      <x v="1609"/>
      <x v="786"/>
      <x v="68"/>
      <x v="71"/>
      <x v="374"/>
      <x v="6"/>
      <x/>
      <x v="9"/>
    </i>
    <i r="3">
      <x v="356"/>
      <x v="941"/>
      <x v="1610"/>
      <x v="786"/>
      <x v="68"/>
      <x v="71"/>
      <x v="513"/>
      <x v="6"/>
      <x/>
      <x v="9"/>
    </i>
    <i r="3">
      <x v="770"/>
      <x v="943"/>
      <x v="1704"/>
      <x v="679"/>
      <x v="46"/>
      <x v="62"/>
      <x v="606"/>
      <x v="6"/>
      <x v="4"/>
      <x v="14"/>
    </i>
    <i r="3">
      <x v="950"/>
      <x v="944"/>
      <x v="1691"/>
      <x v="680"/>
      <x v="46"/>
      <x v="106"/>
      <x v="456"/>
      <x v="6"/>
      <x v="4"/>
      <x v="14"/>
    </i>
    <i>
      <x v="873"/>
      <x/>
      <x v="4"/>
      <x v="533"/>
      <x v="942"/>
      <x v="1704"/>
      <x v="43"/>
      <x v="54"/>
      <x v="84"/>
      <x v="175"/>
      <x v="12"/>
      <x/>
      <x v="9"/>
    </i>
    <i>
      <x v="874"/>
      <x/>
      <x v="4"/>
      <x v="424"/>
      <x v="942"/>
      <x v="1605"/>
      <x v="787"/>
      <x v="68"/>
      <x v="38"/>
      <x v="363"/>
      <x v="6"/>
      <x/>
      <x v="9"/>
    </i>
    <i r="3">
      <x v="821"/>
      <x v="944"/>
      <x v="1661"/>
      <x v="793"/>
      <x v="68"/>
      <x v="116"/>
      <x v="621"/>
      <x v="6"/>
      <x/>
      <x v="14"/>
    </i>
    <i>
      <x v="875"/>
      <x/>
      <x v="4"/>
      <x v="773"/>
      <x v="945"/>
      <x v="1704"/>
      <x v="679"/>
      <x v="46"/>
      <x v="62"/>
      <x v="621"/>
      <x v="6"/>
      <x/>
      <x v="14"/>
    </i>
    <i r="3">
      <x v="901"/>
      <x v="944"/>
      <x v="1681"/>
      <x v="681"/>
      <x v="46"/>
      <x v="105"/>
      <x v="456"/>
      <x v="6"/>
      <x/>
      <x v="14"/>
    </i>
    <i r="3">
      <x v="951"/>
      <x v="945"/>
      <x v="1692"/>
      <x v="680"/>
      <x v="46"/>
      <x v="106"/>
      <x v="456"/>
      <x v="6"/>
      <x/>
      <x v="14"/>
    </i>
    <i>
      <x v="876"/>
      <x/>
      <x v="4"/>
      <x v="443"/>
      <x v="945"/>
      <x v="1607"/>
      <x v="788"/>
      <x v="68"/>
      <x v="128"/>
      <x v="552"/>
      <x v="6"/>
      <x/>
      <x v="9"/>
    </i>
    <i r="3">
      <x v="484"/>
      <x v="946"/>
      <x v="1611"/>
      <x v="790"/>
      <x v="68"/>
      <x v="34"/>
      <x v="552"/>
      <x v="6"/>
      <x/>
      <x v="9"/>
    </i>
    <i r="1">
      <x v="1"/>
      <x v="4"/>
      <x v="452"/>
      <x v="945"/>
      <x v="1606"/>
      <x v="865"/>
      <x v="59"/>
      <x v="110"/>
      <x v="664"/>
      <x v="6"/>
      <x/>
      <x v="9"/>
    </i>
    <i r="3">
      <x v="482"/>
      <x v="946"/>
      <x v="1386"/>
      <x v="859"/>
      <x v="59"/>
      <x v="110"/>
      <x v="456"/>
      <x v="6"/>
      <x/>
      <x v="9"/>
    </i>
    <i r="3">
      <x v="781"/>
      <x v="947"/>
      <x v="1646"/>
      <x v="831"/>
      <x v="59"/>
      <x v="112"/>
      <x v="588"/>
      <x v="6"/>
      <x/>
      <x v="9"/>
    </i>
    <i>
      <x v="879"/>
      <x/>
      <x v="4"/>
      <x v="938"/>
      <x v="951"/>
      <x v="1689"/>
      <x v="587"/>
      <x v="28"/>
      <x v="87"/>
      <x v="205"/>
      <x v="17"/>
      <x/>
      <x v="14"/>
    </i>
    <i>
      <x v="881"/>
      <x/>
      <x v="4"/>
      <x v="1774"/>
      <x v="953"/>
      <x v="1704"/>
      <x v="111"/>
      <x v="14"/>
      <x v="34"/>
      <x v="477"/>
      <x v="6"/>
      <x/>
      <x v="9"/>
    </i>
    <i r="3">
      <x v="1782"/>
      <x v="953"/>
      <x v="1499"/>
      <x v="110"/>
      <x v="14"/>
      <x v="63"/>
      <x v="456"/>
      <x v="6"/>
      <x/>
      <x v="9"/>
    </i>
    <i>
      <x v="882"/>
      <x/>
      <x v="4"/>
      <x v="858"/>
      <x v="954"/>
      <x v="1687"/>
      <x v="914"/>
      <x v="35"/>
      <x v="22"/>
      <x v="263"/>
      <x v="21"/>
      <x/>
      <x v="9"/>
    </i>
    <i>
      <x v="883"/>
      <x/>
      <x v="4"/>
      <x v="498"/>
      <x v="955"/>
      <x v="1704"/>
      <x v="791"/>
      <x v="68"/>
      <x v="116"/>
      <x v="552"/>
      <x v="19"/>
      <x/>
      <x v="14"/>
    </i>
    <i r="3">
      <x v="501"/>
      <x v="955"/>
      <x v="1653"/>
      <x v="791"/>
      <x v="68"/>
      <x v="116"/>
      <x v="675"/>
      <x v="19"/>
      <x v="4"/>
      <x v="14"/>
    </i>
    <i r="3">
      <x v="504"/>
      <x v="955"/>
      <x v="1654"/>
      <x v="791"/>
      <x v="68"/>
      <x v="116"/>
      <x v="621"/>
      <x v="19"/>
      <x/>
      <x v="14"/>
    </i>
    <i r="3">
      <x v="654"/>
      <x v="955"/>
      <x v="1655"/>
      <x v="792"/>
      <x v="68"/>
      <x v="114"/>
      <x v="456"/>
      <x v="19"/>
      <x v="4"/>
      <x v="3"/>
    </i>
    <i r="3">
      <x v="966"/>
      <x v="956"/>
      <x v="1698"/>
      <x v="914"/>
      <x v="68"/>
      <x v="116"/>
      <x v="664"/>
      <x v="8"/>
      <x v="2"/>
      <x v="14"/>
    </i>
    <i r="3">
      <x v="969"/>
      <x v="957"/>
      <x v="1699"/>
      <x v="914"/>
      <x v="68"/>
      <x v="116"/>
      <x v="594"/>
      <x v="8"/>
      <x/>
      <x v="14"/>
    </i>
    <i>
      <x v="884"/>
      <x/>
      <x v="4"/>
      <x v="882"/>
      <x v="957"/>
      <x v="1675"/>
      <x v="869"/>
      <x v="59"/>
      <x v="110"/>
      <x v="664"/>
      <x v="6"/>
      <x v="2"/>
      <x v="3"/>
    </i>
    <i>
      <x v="885"/>
      <x/>
      <x v="4"/>
      <x v="1642"/>
      <x v="957"/>
      <x v="1431"/>
      <x v="109"/>
      <x v="14"/>
      <x v="34"/>
      <x v="376"/>
      <x v="6"/>
      <x/>
      <x v="9"/>
    </i>
    <i r="3">
      <x v="1643"/>
      <x v="957"/>
      <x v="1529"/>
      <x v="109"/>
      <x v="14"/>
      <x v="34"/>
      <x v="453"/>
      <x v="6"/>
      <x/>
      <x v="9"/>
    </i>
    <i r="3">
      <x v="1783"/>
      <x v="957"/>
      <x v="1499"/>
      <x v="110"/>
      <x v="14"/>
      <x v="63"/>
      <x v="639"/>
      <x v="6"/>
      <x/>
      <x v="9"/>
    </i>
    <i>
      <x v="886"/>
      <x/>
      <x v="4"/>
      <x v="854"/>
      <x v="958"/>
      <x v="1688"/>
      <x v="914"/>
      <x v="35"/>
      <x v="22"/>
      <x v="390"/>
      <x v="21"/>
      <x v="2"/>
      <x v="3"/>
    </i>
    <i>
      <x v="887"/>
      <x/>
      <x v="4"/>
      <x v="872"/>
      <x v="959"/>
      <x v="1674"/>
      <x v="914"/>
      <x v="35"/>
      <x v="111"/>
      <x v="111"/>
      <x v="21"/>
      <x v="2"/>
      <x v="3"/>
    </i>
    <i>
      <x v="888"/>
      <x/>
      <x v="4"/>
      <x v="143"/>
      <x v="960"/>
      <x v="1560"/>
      <x v="829"/>
      <x v="59"/>
      <x v="67"/>
      <x v="422"/>
      <x v="6"/>
      <x/>
      <x v="9"/>
    </i>
    <i r="3">
      <x v="267"/>
      <x v="960"/>
      <x v="1582"/>
      <x v="449"/>
      <x v="17"/>
      <x v="92"/>
      <x v="613"/>
      <x v="6"/>
      <x/>
      <x v="3"/>
    </i>
    <i r="3">
      <x v="268"/>
      <x v="960"/>
      <x v="1583"/>
      <x v="450"/>
      <x v="17"/>
      <x v="92"/>
      <x v="630"/>
      <x v="6"/>
      <x v="2"/>
      <x v="3"/>
    </i>
    <i r="3">
      <x v="464"/>
      <x v="960"/>
      <x v="1608"/>
      <x v="789"/>
      <x v="68"/>
      <x v="92"/>
      <x v="363"/>
      <x v="6"/>
      <x/>
      <x v="9"/>
    </i>
    <i r="3">
      <x v="645"/>
      <x v="961"/>
      <x v="1645"/>
      <x v="830"/>
      <x v="59"/>
      <x v="67"/>
      <x v="594"/>
      <x v="6"/>
      <x/>
      <x v="9"/>
    </i>
    <i r="3">
      <x v="925"/>
      <x v="962"/>
      <x v="1676"/>
      <x v="632"/>
      <x v="67"/>
      <x v="92"/>
      <x v="621"/>
      <x v="6"/>
      <x/>
      <x v="9"/>
    </i>
    <i>
      <x v="889"/>
      <x/>
      <x v="4"/>
      <x v="888"/>
      <x v="963"/>
      <x v="1673"/>
      <x v="914"/>
      <x v="53"/>
      <x v="89"/>
      <x v="71"/>
      <x v="21"/>
      <x/>
      <x v="9"/>
    </i>
    <i t="grand">
      <x/>
    </i>
  </rowItems>
  <colItems count="1">
    <i/>
  </colItems>
  <pageFields count="2">
    <pageField fld="37" item="0" hier="-1"/>
    <pageField fld="2" item="1" hier="-1"/>
  </pageFields>
  <formats count="635">
    <format dxfId="634">
      <pivotArea type="all" dataOnly="0" outline="0" fieldPosition="0"/>
    </format>
    <format dxfId="633">
      <pivotArea outline="0" collapsedLevelsAreSubtotals="1" fieldPosition="0"/>
    </format>
    <format dxfId="632">
      <pivotArea type="origin" dataOnly="0" labelOnly="1" outline="0" fieldPosition="0"/>
    </format>
    <format dxfId="631">
      <pivotArea field="41" type="button" dataOnly="0" labelOnly="1" outline="0" axis="axisRow" fieldPosition="0"/>
    </format>
    <format dxfId="630">
      <pivotArea field="3" type="button" dataOnly="0" labelOnly="1" outline="0" axis="axisRow" fieldPosition="2"/>
    </format>
    <format dxfId="629">
      <pivotArea field="6" type="button" dataOnly="0" labelOnly="1" outline="0" axis="axisRow" fieldPosition="3"/>
    </format>
    <format dxfId="628">
      <pivotArea field="8" type="button" dataOnly="0" labelOnly="1" outline="0" axis="axisRow" fieldPosition="5"/>
    </format>
    <format dxfId="627">
      <pivotArea field="15" type="button" dataOnly="0" labelOnly="1" outline="0" axis="axisRow" fieldPosition="7"/>
    </format>
    <format dxfId="626">
      <pivotArea field="14" type="button" dataOnly="0" labelOnly="1" outline="0" axis="axisRow" fieldPosition="8"/>
    </format>
    <format dxfId="625">
      <pivotArea field="26" type="button" dataOnly="0" labelOnly="1" outline="0" axis="axisRow" fieldPosition="9"/>
    </format>
    <format dxfId="624">
      <pivotArea dataOnly="0" labelOnly="1" outline="0" fieldPosition="0">
        <references count="1">
          <reference field="41" count="46">
            <x v="828"/>
            <x v="829"/>
            <x v="833"/>
            <x v="834"/>
            <x v="835"/>
            <x v="836"/>
            <x v="838"/>
            <x v="839"/>
            <x v="840"/>
            <x v="842"/>
            <x v="843"/>
            <x v="844"/>
            <x v="845"/>
            <x v="846"/>
            <x v="847"/>
            <x v="848"/>
            <x v="849"/>
            <x v="850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6"/>
            <x v="867"/>
            <x v="868"/>
            <x v="870"/>
            <x v="871"/>
            <x v="872"/>
            <x v="873"/>
            <x v="874"/>
            <x v="875"/>
            <x v="876"/>
            <x v="879"/>
            <x v="881"/>
            <x v="882"/>
            <x v="883"/>
            <x v="884"/>
          </reference>
        </references>
      </pivotArea>
    </format>
    <format dxfId="623">
      <pivotArea dataOnly="0" labelOnly="1" outline="0" fieldPosition="0">
        <references count="1">
          <reference field="41" count="5">
            <x v="885"/>
            <x v="886"/>
            <x v="887"/>
            <x v="888"/>
            <x v="889"/>
          </reference>
        </references>
      </pivotArea>
    </format>
    <format dxfId="622">
      <pivotArea dataOnly="0" labelOnly="1" grandRow="1" outline="0" fieldPosition="0"/>
    </format>
    <format dxfId="621">
      <pivotArea dataOnly="0" labelOnly="1" outline="0" fieldPosition="0">
        <references count="2">
          <reference field="3" count="1">
            <x v="6"/>
          </reference>
          <reference field="41" count="1" selected="0">
            <x v="828"/>
          </reference>
        </references>
      </pivotArea>
    </format>
    <format dxfId="620">
      <pivotArea dataOnly="0" labelOnly="1" outline="0" fieldPosition="0">
        <references count="2">
          <reference field="3" count="3">
            <x v="1"/>
            <x v="3"/>
            <x v="6"/>
          </reference>
          <reference field="41" count="1" selected="0">
            <x v="833"/>
          </reference>
        </references>
      </pivotArea>
    </format>
    <format dxfId="619">
      <pivotArea dataOnly="0" labelOnly="1" outline="0" fieldPosition="0">
        <references count="2">
          <reference field="3" count="1">
            <x v="2"/>
          </reference>
          <reference field="41" count="1" selected="0">
            <x v="834"/>
          </reference>
        </references>
      </pivotArea>
    </format>
    <format dxfId="618">
      <pivotArea dataOnly="0" labelOnly="1" outline="0" fieldPosition="0">
        <references count="2">
          <reference field="3" count="1">
            <x v="4"/>
          </reference>
          <reference field="41" count="1" selected="0">
            <x v="836"/>
          </reference>
        </references>
      </pivotArea>
    </format>
    <format dxfId="617">
      <pivotArea dataOnly="0" labelOnly="1" outline="0" fieldPosition="0">
        <references count="2">
          <reference field="3" count="1">
            <x v="4"/>
          </reference>
          <reference field="41" count="1" selected="0">
            <x v="839"/>
          </reference>
        </references>
      </pivotArea>
    </format>
    <format dxfId="616">
      <pivotArea dataOnly="0" labelOnly="1" outline="0" fieldPosition="0">
        <references count="2">
          <reference field="3" count="2">
            <x v="2"/>
            <x v="4"/>
          </reference>
          <reference field="41" count="1" selected="0">
            <x v="840"/>
          </reference>
        </references>
      </pivotArea>
    </format>
    <format dxfId="615">
      <pivotArea dataOnly="0" labelOnly="1" outline="0" fieldPosition="0">
        <references count="2">
          <reference field="3" count="1">
            <x v="4"/>
          </reference>
          <reference field="41" count="1" selected="0">
            <x v="842"/>
          </reference>
        </references>
      </pivotArea>
    </format>
    <format dxfId="614">
      <pivotArea dataOnly="0" labelOnly="1" outline="0" fieldPosition="0">
        <references count="2">
          <reference field="3" count="2">
            <x v="2"/>
            <x v="4"/>
          </reference>
          <reference field="41" count="1" selected="0">
            <x v="843"/>
          </reference>
        </references>
      </pivotArea>
    </format>
    <format dxfId="613">
      <pivotArea dataOnly="0" labelOnly="1" outline="0" fieldPosition="0">
        <references count="2">
          <reference field="3" count="1">
            <x v="4"/>
          </reference>
          <reference field="41" count="1" selected="0">
            <x v="846"/>
          </reference>
        </references>
      </pivotArea>
    </format>
    <format dxfId="612">
      <pivotArea dataOnly="0" labelOnly="1" outline="0" fieldPosition="0">
        <references count="2">
          <reference field="3" count="1">
            <x v="2"/>
          </reference>
          <reference field="41" count="1" selected="0">
            <x v="849"/>
          </reference>
        </references>
      </pivotArea>
    </format>
    <format dxfId="611">
      <pivotArea dataOnly="0" labelOnly="1" outline="0" fieldPosition="0">
        <references count="2">
          <reference field="3" count="1">
            <x v="4"/>
          </reference>
          <reference field="41" count="1" selected="0">
            <x v="850"/>
          </reference>
        </references>
      </pivotArea>
    </format>
    <format dxfId="610">
      <pivotArea dataOnly="0" labelOnly="1" outline="0" fieldPosition="0">
        <references count="2">
          <reference field="3" count="1">
            <x v="2"/>
          </reference>
          <reference field="41" count="1" selected="0">
            <x v="853"/>
          </reference>
        </references>
      </pivotArea>
    </format>
    <format dxfId="609">
      <pivotArea dataOnly="0" labelOnly="1" outline="0" fieldPosition="0">
        <references count="2">
          <reference field="3" count="1">
            <x v="4"/>
          </reference>
          <reference field="41" count="1" selected="0">
            <x v="855"/>
          </reference>
        </references>
      </pivotArea>
    </format>
    <format dxfId="608">
      <pivotArea dataOnly="0" labelOnly="1" outline="0" fieldPosition="0">
        <references count="2">
          <reference field="3" count="1">
            <x v="2"/>
          </reference>
          <reference field="41" count="1" selected="0">
            <x v="856"/>
          </reference>
        </references>
      </pivotArea>
    </format>
    <format dxfId="607">
      <pivotArea dataOnly="0" labelOnly="1" outline="0" fieldPosition="0">
        <references count="2">
          <reference field="3" count="1">
            <x v="4"/>
          </reference>
          <reference field="41" count="1" selected="0">
            <x v="857"/>
          </reference>
        </references>
      </pivotArea>
    </format>
    <format dxfId="606">
      <pivotArea dataOnly="0" labelOnly="1" outline="0" fieldPosition="0">
        <references count="2">
          <reference field="3" count="2">
            <x v="2"/>
            <x v="4"/>
          </reference>
          <reference field="41" count="1" selected="0">
            <x v="860"/>
          </reference>
        </references>
      </pivotArea>
    </format>
    <format dxfId="605">
      <pivotArea dataOnly="0" labelOnly="1" outline="0" fieldPosition="0">
        <references count="2">
          <reference field="3" count="2">
            <x v="2"/>
            <x v="4"/>
          </reference>
          <reference field="41" count="1" selected="0">
            <x v="861"/>
          </reference>
        </references>
      </pivotArea>
    </format>
    <format dxfId="604">
      <pivotArea dataOnly="0" labelOnly="1" outline="0" fieldPosition="0">
        <references count="2">
          <reference field="3" count="1">
            <x v="2"/>
          </reference>
          <reference field="41" count="1" selected="0">
            <x v="863"/>
          </reference>
        </references>
      </pivotArea>
    </format>
    <format dxfId="603">
      <pivotArea dataOnly="0" labelOnly="1" outline="0" fieldPosition="0">
        <references count="2">
          <reference field="3" count="1">
            <x v="4"/>
          </reference>
          <reference field="41" count="1" selected="0">
            <x v="864"/>
          </reference>
        </references>
      </pivotArea>
    </format>
    <format dxfId="602">
      <pivotArea dataOnly="0" labelOnly="1" outline="0" fieldPosition="0">
        <references count="2">
          <reference field="3" count="1">
            <x v="2"/>
          </reference>
          <reference field="41" count="1" selected="0">
            <x v="867"/>
          </reference>
        </references>
      </pivotArea>
    </format>
    <format dxfId="601">
      <pivotArea dataOnly="0" labelOnly="1" outline="0" fieldPosition="0">
        <references count="2">
          <reference field="3" count="1">
            <x v="4"/>
          </reference>
          <reference field="41" count="1" selected="0">
            <x v="868"/>
          </reference>
        </references>
      </pivotArea>
    </format>
    <format dxfId="600">
      <pivotArea dataOnly="0" labelOnly="1" outline="0" fieldPosition="0">
        <references count="3">
          <reference field="3" count="1" selected="0">
            <x v="6"/>
          </reference>
          <reference field="6" count="1">
            <x v="410"/>
          </reference>
          <reference field="41" count="1" selected="0">
            <x v="828"/>
          </reference>
        </references>
      </pivotArea>
    </format>
    <format dxfId="599">
      <pivotArea dataOnly="0" labelOnly="1" outline="0" fieldPosition="0">
        <references count="3">
          <reference field="3" count="1" selected="0">
            <x v="6"/>
          </reference>
          <reference field="6" count="1">
            <x v="406"/>
          </reference>
          <reference field="41" count="1" selected="0">
            <x v="829"/>
          </reference>
        </references>
      </pivotArea>
    </format>
    <format dxfId="598">
      <pivotArea dataOnly="0" labelOnly="1" outline="0" fieldPosition="0">
        <references count="3">
          <reference field="3" count="1" selected="0">
            <x v="1"/>
          </reference>
          <reference field="6" count="1">
            <x v="1498"/>
          </reference>
          <reference field="41" count="1" selected="0">
            <x v="833"/>
          </reference>
        </references>
      </pivotArea>
    </format>
    <format dxfId="597">
      <pivotArea dataOnly="0" labelOnly="1" outline="0" fieldPosition="0">
        <references count="3">
          <reference field="3" count="1" selected="0">
            <x v="3"/>
          </reference>
          <reference field="6" count="1">
            <x v="37"/>
          </reference>
          <reference field="41" count="1" selected="0">
            <x v="833"/>
          </reference>
        </references>
      </pivotArea>
    </format>
    <format dxfId="596">
      <pivotArea dataOnly="0" labelOnly="1" outline="0" fieldPosition="0">
        <references count="3">
          <reference field="3" count="1" selected="0">
            <x v="6"/>
          </reference>
          <reference field="6" count="1">
            <x v="411"/>
          </reference>
          <reference field="41" count="1" selected="0">
            <x v="833"/>
          </reference>
        </references>
      </pivotArea>
    </format>
    <format dxfId="595">
      <pivotArea dataOnly="0" labelOnly="1" outline="0" fieldPosition="0">
        <references count="3">
          <reference field="3" count="1" selected="0">
            <x v="2"/>
          </reference>
          <reference field="6" count="3">
            <x v="379"/>
            <x v="412"/>
            <x v="586"/>
          </reference>
          <reference field="41" count="1" selected="0">
            <x v="834"/>
          </reference>
        </references>
      </pivotArea>
    </format>
    <format dxfId="594">
      <pivotArea dataOnly="0" labelOnly="1" outline="0" fieldPosition="0">
        <references count="3">
          <reference field="3" count="1" selected="0">
            <x v="2"/>
          </reference>
          <reference field="6" count="3">
            <x v="554"/>
            <x v="558"/>
            <x v="562"/>
          </reference>
          <reference field="41" count="1" selected="0">
            <x v="835"/>
          </reference>
        </references>
      </pivotArea>
    </format>
    <format dxfId="593">
      <pivotArea dataOnly="0" labelOnly="1" outline="0" fieldPosition="0">
        <references count="3">
          <reference field="3" count="1" selected="0">
            <x v="2"/>
          </reference>
          <reference field="6" count="2">
            <x v="600"/>
            <x v="603"/>
          </reference>
          <reference field="41" count="1" selected="0">
            <x v="836"/>
          </reference>
        </references>
      </pivotArea>
    </format>
    <format dxfId="592">
      <pivotArea dataOnly="0" labelOnly="1" outline="0" fieldPosition="0">
        <references count="3">
          <reference field="3" count="1" selected="0">
            <x v="2"/>
          </reference>
          <reference field="6" count="1">
            <x v="290"/>
          </reference>
          <reference field="41" count="1" selected="0">
            <x v="838"/>
          </reference>
        </references>
      </pivotArea>
    </format>
    <format dxfId="591">
      <pivotArea dataOnly="0" labelOnly="1" outline="0" fieldPosition="0">
        <references count="3">
          <reference field="3" count="1" selected="0">
            <x v="4"/>
          </reference>
          <reference field="6" count="1">
            <x v="414"/>
          </reference>
          <reference field="41" count="1" selected="0">
            <x v="839"/>
          </reference>
        </references>
      </pivotArea>
    </format>
    <format dxfId="590">
      <pivotArea dataOnly="0" labelOnly="1" outline="0" fieldPosition="0">
        <references count="3">
          <reference field="3" count="1" selected="0">
            <x v="2"/>
          </reference>
          <reference field="6" count="4">
            <x v="276"/>
            <x v="477"/>
            <x v="520"/>
            <x v="1770"/>
          </reference>
          <reference field="41" count="1" selected="0">
            <x v="840"/>
          </reference>
        </references>
      </pivotArea>
    </format>
    <format dxfId="589">
      <pivotArea dataOnly="0" labelOnly="1" outline="0" fieldPosition="0">
        <references count="3">
          <reference field="3" count="1" selected="0">
            <x v="4"/>
          </reference>
          <reference field="6" count="1">
            <x v="415"/>
          </reference>
          <reference field="41" count="1" selected="0">
            <x v="840"/>
          </reference>
        </references>
      </pivotArea>
    </format>
    <format dxfId="588">
      <pivotArea dataOnly="0" labelOnly="1" outline="0" fieldPosition="0">
        <references count="3">
          <reference field="3" count="1" selected="0">
            <x v="4"/>
          </reference>
          <reference field="6" count="3">
            <x v="416"/>
            <x v="749"/>
            <x v="750"/>
          </reference>
          <reference field="41" count="1" selected="0">
            <x v="842"/>
          </reference>
        </references>
      </pivotArea>
    </format>
    <format dxfId="587">
      <pivotArea dataOnly="0" labelOnly="1" outline="0" fieldPosition="0">
        <references count="3">
          <reference field="3" count="1" selected="0">
            <x v="2"/>
          </reference>
          <reference field="6" count="1">
            <x v="1752"/>
          </reference>
          <reference field="41" count="1" selected="0">
            <x v="843"/>
          </reference>
        </references>
      </pivotArea>
    </format>
    <format dxfId="586">
      <pivotArea dataOnly="0" labelOnly="1" outline="0" fieldPosition="0">
        <references count="3">
          <reference field="3" count="1" selected="0">
            <x v="4"/>
          </reference>
          <reference field="6" count="1">
            <x v="417"/>
          </reference>
          <reference field="41" count="1" selected="0">
            <x v="843"/>
          </reference>
        </references>
      </pivotArea>
    </format>
    <format dxfId="585">
      <pivotArea dataOnly="0" labelOnly="1" outline="0" fieldPosition="0">
        <references count="3">
          <reference field="3" count="1" selected="0">
            <x v="2"/>
          </reference>
          <reference field="6" count="1">
            <x v="97"/>
          </reference>
          <reference field="41" count="1" selected="0">
            <x v="844"/>
          </reference>
        </references>
      </pivotArea>
    </format>
    <format dxfId="584">
      <pivotArea dataOnly="0" labelOnly="1" outline="0" fieldPosition="0">
        <references count="3">
          <reference field="3" count="1" selected="0">
            <x v="2"/>
          </reference>
          <reference field="6" count="1">
            <x v="537"/>
          </reference>
          <reference field="41" count="1" selected="0">
            <x v="845"/>
          </reference>
        </references>
      </pivotArea>
    </format>
    <format dxfId="583">
      <pivotArea dataOnly="0" labelOnly="1" outline="0" fieldPosition="0">
        <references count="3">
          <reference field="3" count="1" selected="0">
            <x v="4"/>
          </reference>
          <reference field="6" count="2">
            <x v="842"/>
            <x v="978"/>
          </reference>
          <reference field="41" count="1" selected="0">
            <x v="846"/>
          </reference>
        </references>
      </pivotArea>
    </format>
    <format dxfId="582">
      <pivotArea dataOnly="0" labelOnly="1" outline="0" fieldPosition="0">
        <references count="3">
          <reference field="3" count="1" selected="0">
            <x v="4"/>
          </reference>
          <reference field="6" count="2">
            <x v="418"/>
            <x v="804"/>
          </reference>
          <reference field="41" count="1" selected="0">
            <x v="847"/>
          </reference>
        </references>
      </pivotArea>
    </format>
    <format dxfId="581">
      <pivotArea dataOnly="0" labelOnly="1" outline="0" fieldPosition="0">
        <references count="3">
          <reference field="3" count="1" selected="0">
            <x v="4"/>
          </reference>
          <reference field="6" count="1">
            <x v="419"/>
          </reference>
          <reference field="41" count="1" selected="0">
            <x v="848"/>
          </reference>
        </references>
      </pivotArea>
    </format>
    <format dxfId="580">
      <pivotArea dataOnly="0" labelOnly="1" outline="0" fieldPosition="0">
        <references count="3">
          <reference field="3" count="1" selected="0">
            <x v="2"/>
          </reference>
          <reference field="6" count="1">
            <x v="846"/>
          </reference>
          <reference field="41" count="1" selected="0">
            <x v="849"/>
          </reference>
        </references>
      </pivotArea>
    </format>
    <format dxfId="579">
      <pivotArea dataOnly="0" labelOnly="1" outline="0" fieldPosition="0">
        <references count="3">
          <reference field="3" count="1" selected="0">
            <x v="4"/>
          </reference>
          <reference field="6" count="3">
            <x v="420"/>
            <x v="606"/>
            <x v="990"/>
          </reference>
          <reference field="41" count="1" selected="0">
            <x v="850"/>
          </reference>
        </references>
      </pivotArea>
    </format>
    <format dxfId="578">
      <pivotArea dataOnly="0" labelOnly="1" outline="0" fieldPosition="0">
        <references count="3">
          <reference field="3" count="1" selected="0">
            <x v="4"/>
          </reference>
          <reference field="6" count="2">
            <x v="421"/>
            <x v="830"/>
          </reference>
          <reference field="41" count="1" selected="0">
            <x v="852"/>
          </reference>
        </references>
      </pivotArea>
    </format>
    <format dxfId="577">
      <pivotArea dataOnly="0" labelOnly="1" outline="0" fieldPosition="0">
        <references count="3">
          <reference field="3" count="1" selected="0">
            <x v="2"/>
          </reference>
          <reference field="6" count="1">
            <x v="255"/>
          </reference>
          <reference field="41" count="1" selected="0">
            <x v="853"/>
          </reference>
        </references>
      </pivotArea>
    </format>
    <format dxfId="576">
      <pivotArea dataOnly="0" labelOnly="1" outline="0" fieldPosition="0">
        <references count="3">
          <reference field="3" count="1" selected="0">
            <x v="2"/>
          </reference>
          <reference field="6" count="1">
            <x v="531"/>
          </reference>
          <reference field="41" count="1" selected="0">
            <x v="854"/>
          </reference>
        </references>
      </pivotArea>
    </format>
    <format dxfId="575">
      <pivotArea dataOnly="0" labelOnly="1" outline="0" fieldPosition="0">
        <references count="3">
          <reference field="3" count="1" selected="0">
            <x v="2"/>
          </reference>
          <reference field="6" count="1">
            <x v="241"/>
          </reference>
          <reference field="41" count="1" selected="0">
            <x v="855"/>
          </reference>
        </references>
      </pivotArea>
    </format>
    <format dxfId="574">
      <pivotArea dataOnly="0" labelOnly="1" outline="0" fieldPosition="0">
        <references count="3">
          <reference field="3" count="1" selected="0">
            <x v="4"/>
          </reference>
          <reference field="6" count="1">
            <x v="422"/>
          </reference>
          <reference field="41" count="1" selected="0">
            <x v="855"/>
          </reference>
        </references>
      </pivotArea>
    </format>
    <format dxfId="573">
      <pivotArea dataOnly="0" labelOnly="1" outline="0" fieldPosition="0">
        <references count="3">
          <reference field="3" count="1" selected="0">
            <x v="2"/>
          </reference>
          <reference field="6" count="2">
            <x v="1753"/>
            <x v="1754"/>
          </reference>
          <reference field="41" count="1" selected="0">
            <x v="856"/>
          </reference>
        </references>
      </pivotArea>
    </format>
    <format dxfId="572">
      <pivotArea dataOnly="0" labelOnly="1" outline="0" fieldPosition="0">
        <references count="3">
          <reference field="3" count="1" selected="0">
            <x v="4"/>
          </reference>
          <reference field="6" count="1">
            <x v="629"/>
          </reference>
          <reference field="41" count="1" selected="0">
            <x v="857"/>
          </reference>
        </references>
      </pivotArea>
    </format>
    <format dxfId="571">
      <pivotArea dataOnly="0" labelOnly="1" outline="0" fieldPosition="0">
        <references count="3">
          <reference field="3" count="1" selected="0">
            <x v="4"/>
          </reference>
          <reference field="6" count="1">
            <x v="166"/>
          </reference>
          <reference field="41" count="1" selected="0">
            <x v="858"/>
          </reference>
        </references>
      </pivotArea>
    </format>
    <format dxfId="570">
      <pivotArea dataOnly="0" labelOnly="1" outline="0" fieldPosition="0">
        <references count="3">
          <reference field="3" count="1" selected="0">
            <x v="4"/>
          </reference>
          <reference field="6" count="2">
            <x v="682"/>
            <x v="715"/>
          </reference>
          <reference field="41" count="1" selected="0">
            <x v="859"/>
          </reference>
        </references>
      </pivotArea>
    </format>
    <format dxfId="569">
      <pivotArea dataOnly="0" labelOnly="1" outline="0" fieldPosition="0">
        <references count="3">
          <reference field="3" count="1" selected="0">
            <x v="2"/>
          </reference>
          <reference field="6" count="1">
            <x v="129"/>
          </reference>
          <reference field="41" count="1" selected="0">
            <x v="860"/>
          </reference>
        </references>
      </pivotArea>
    </format>
    <format dxfId="568">
      <pivotArea dataOnly="0" labelOnly="1" outline="0" fieldPosition="0">
        <references count="3">
          <reference field="3" count="1" selected="0">
            <x v="4"/>
          </reference>
          <reference field="6" count="1">
            <x v="792"/>
          </reference>
          <reference field="41" count="1" selected="0">
            <x v="860"/>
          </reference>
        </references>
      </pivotArea>
    </format>
    <format dxfId="567">
      <pivotArea dataOnly="0" labelOnly="1" outline="0" fieldPosition="0">
        <references count="3">
          <reference field="3" count="1" selected="0">
            <x v="2"/>
          </reference>
          <reference field="6" count="1">
            <x v="1755"/>
          </reference>
          <reference field="41" count="1" selected="0">
            <x v="861"/>
          </reference>
        </references>
      </pivotArea>
    </format>
    <format dxfId="566">
      <pivotArea dataOnly="0" labelOnly="1" outline="0" fieldPosition="0">
        <references count="3">
          <reference field="3" count="1" selected="0">
            <x v="4"/>
          </reference>
          <reference field="6" count="1">
            <x v="756"/>
          </reference>
          <reference field="41" count="1" selected="0">
            <x v="861"/>
          </reference>
        </references>
      </pivotArea>
    </format>
    <format dxfId="565">
      <pivotArea dataOnly="0" labelOnly="1" outline="0" fieldPosition="0">
        <references count="3">
          <reference field="3" count="1" selected="0">
            <x v="4"/>
          </reference>
          <reference field="6" count="2">
            <x v="686"/>
            <x v="720"/>
          </reference>
          <reference field="41" count="1" selected="0">
            <x v="862"/>
          </reference>
        </references>
      </pivotArea>
    </format>
    <format dxfId="564">
      <pivotArea dataOnly="0" labelOnly="1" outline="0" fieldPosition="0">
        <references count="3">
          <reference field="3" count="1" selected="0">
            <x v="2"/>
          </reference>
          <reference field="6" count="1">
            <x v="1628"/>
          </reference>
          <reference field="41" count="1" selected="0">
            <x v="863"/>
          </reference>
        </references>
      </pivotArea>
    </format>
    <format dxfId="563">
      <pivotArea dataOnly="0" labelOnly="1" outline="0" fieldPosition="0">
        <references count="3">
          <reference field="3" count="1" selected="0">
            <x v="4"/>
          </reference>
          <reference field="6" count="3">
            <x v="662"/>
            <x v="689"/>
            <x v="725"/>
          </reference>
          <reference field="41" count="1" selected="0">
            <x v="864"/>
          </reference>
        </references>
      </pivotArea>
    </format>
    <format dxfId="562">
      <pivotArea dataOnly="0" labelOnly="1" outline="0" fieldPosition="0">
        <references count="3">
          <reference field="3" count="1" selected="0">
            <x v="4"/>
          </reference>
          <reference field="6" count="1">
            <x v="1772"/>
          </reference>
          <reference field="41" count="1" selected="0">
            <x v="866"/>
          </reference>
        </references>
      </pivotArea>
    </format>
    <format dxfId="561">
      <pivotArea dataOnly="0" labelOnly="1" outline="0" fieldPosition="0">
        <references count="3">
          <reference field="3" count="1" selected="0">
            <x v="2"/>
          </reference>
          <reference field="6" count="1">
            <x v="1763"/>
          </reference>
          <reference field="41" count="1" selected="0">
            <x v="867"/>
          </reference>
        </references>
      </pivotArea>
    </format>
    <format dxfId="560">
      <pivotArea dataOnly="0" labelOnly="1" outline="0" fieldPosition="0">
        <references count="3">
          <reference field="3" count="1" selected="0">
            <x v="4"/>
          </reference>
          <reference field="6" count="3">
            <x v="673"/>
            <x v="692"/>
            <x v="727"/>
          </reference>
          <reference field="41" count="1" selected="0">
            <x v="868"/>
          </reference>
        </references>
      </pivotArea>
    </format>
    <format dxfId="559">
      <pivotArea dataOnly="0" labelOnly="1" outline="0" fieldPosition="0">
        <references count="3">
          <reference field="3" count="1" selected="0">
            <x v="4"/>
          </reference>
          <reference field="6" count="4">
            <x v="766"/>
            <x v="794"/>
            <x v="898"/>
            <x v="948"/>
          </reference>
          <reference field="41" count="1" selected="0">
            <x v="870"/>
          </reference>
        </references>
      </pivotArea>
    </format>
    <format dxfId="558">
      <pivotArea dataOnly="0" labelOnly="1" outline="0" fieldPosition="0">
        <references count="3">
          <reference field="3" count="1" selected="0">
            <x v="4"/>
          </reference>
          <reference field="6" count="3">
            <x v="1729"/>
            <x v="1732"/>
            <x v="1734"/>
          </reference>
          <reference field="41" count="1" selected="0">
            <x v="871"/>
          </reference>
        </references>
      </pivotArea>
    </format>
    <format dxfId="557">
      <pivotArea dataOnly="0" labelOnly="1" outline="0" fieldPosition="0">
        <references count="3">
          <reference field="3" count="1" selected="0">
            <x v="4"/>
          </reference>
          <reference field="6" count="4">
            <x v="343"/>
            <x v="356"/>
            <x v="770"/>
            <x v="950"/>
          </reference>
          <reference field="41" count="1" selected="0">
            <x v="872"/>
          </reference>
        </references>
      </pivotArea>
    </format>
    <format dxfId="556">
      <pivotArea dataOnly="0" labelOnly="1" outline="0" fieldPosition="0">
        <references count="3">
          <reference field="3" count="1" selected="0">
            <x v="4"/>
          </reference>
          <reference field="6" count="1">
            <x v="533"/>
          </reference>
          <reference field="41" count="1" selected="0">
            <x v="873"/>
          </reference>
        </references>
      </pivotArea>
    </format>
    <format dxfId="555">
      <pivotArea dataOnly="0" labelOnly="1" outline="0" fieldPosition="0">
        <references count="3">
          <reference field="3" count="1" selected="0">
            <x v="4"/>
          </reference>
          <reference field="6" count="2">
            <x v="424"/>
            <x v="821"/>
          </reference>
          <reference field="41" count="1" selected="0">
            <x v="874"/>
          </reference>
        </references>
      </pivotArea>
    </format>
    <format dxfId="554">
      <pivotArea dataOnly="0" labelOnly="1" outline="0" fieldPosition="0">
        <references count="3">
          <reference field="3" count="1" selected="0">
            <x v="4"/>
          </reference>
          <reference field="6" count="3">
            <x v="773"/>
            <x v="901"/>
            <x v="951"/>
          </reference>
          <reference field="41" count="1" selected="0">
            <x v="875"/>
          </reference>
        </references>
      </pivotArea>
    </format>
    <format dxfId="553">
      <pivotArea dataOnly="0" labelOnly="1" outline="0" fieldPosition="0">
        <references count="3">
          <reference field="3" count="1" selected="0">
            <x v="4"/>
          </reference>
          <reference field="6" count="5">
            <x v="443"/>
            <x v="452"/>
            <x v="482"/>
            <x v="484"/>
            <x v="781"/>
          </reference>
          <reference field="41" count="1" selected="0">
            <x v="876"/>
          </reference>
        </references>
      </pivotArea>
    </format>
    <format dxfId="552">
      <pivotArea dataOnly="0" labelOnly="1" outline="0" fieldPosition="0">
        <references count="3">
          <reference field="3" count="1" selected="0">
            <x v="4"/>
          </reference>
          <reference field="6" count="1">
            <x v="938"/>
          </reference>
          <reference field="41" count="1" selected="0">
            <x v="879"/>
          </reference>
        </references>
      </pivotArea>
    </format>
    <format dxfId="551">
      <pivotArea dataOnly="0" labelOnly="1" outline="0" fieldPosition="0">
        <references count="3">
          <reference field="3" count="1" selected="0">
            <x v="4"/>
          </reference>
          <reference field="6" count="2">
            <x v="1774"/>
            <x v="1782"/>
          </reference>
          <reference field="41" count="1" selected="0">
            <x v="881"/>
          </reference>
        </references>
      </pivotArea>
    </format>
    <format dxfId="550">
      <pivotArea dataOnly="0" labelOnly="1" outline="0" fieldPosition="0">
        <references count="3">
          <reference field="3" count="1" selected="0">
            <x v="4"/>
          </reference>
          <reference field="6" count="1">
            <x v="858"/>
          </reference>
          <reference field="41" count="1" selected="0">
            <x v="882"/>
          </reference>
        </references>
      </pivotArea>
    </format>
    <format dxfId="549">
      <pivotArea dataOnly="0" labelOnly="1" outline="0" fieldPosition="0">
        <references count="3">
          <reference field="3" count="1" selected="0">
            <x v="4"/>
          </reference>
          <reference field="6" count="6">
            <x v="498"/>
            <x v="501"/>
            <x v="504"/>
            <x v="654"/>
            <x v="966"/>
            <x v="969"/>
          </reference>
          <reference field="41" count="1" selected="0">
            <x v="883"/>
          </reference>
        </references>
      </pivotArea>
    </format>
    <format dxfId="548">
      <pivotArea dataOnly="0" labelOnly="1" outline="0" fieldPosition="0">
        <references count="3">
          <reference field="3" count="1" selected="0">
            <x v="4"/>
          </reference>
          <reference field="6" count="1">
            <x v="882"/>
          </reference>
          <reference field="41" count="1" selected="0">
            <x v="884"/>
          </reference>
        </references>
      </pivotArea>
    </format>
    <format dxfId="547">
      <pivotArea dataOnly="0" labelOnly="1" outline="0" fieldPosition="0">
        <references count="3">
          <reference field="3" count="1" selected="0">
            <x v="4"/>
          </reference>
          <reference field="6" count="3">
            <x v="1642"/>
            <x v="1643"/>
            <x v="1783"/>
          </reference>
          <reference field="41" count="1" selected="0">
            <x v="885"/>
          </reference>
        </references>
      </pivotArea>
    </format>
    <format dxfId="546">
      <pivotArea dataOnly="0" labelOnly="1" outline="0" fieldPosition="0">
        <references count="3">
          <reference field="3" count="1" selected="0">
            <x v="4"/>
          </reference>
          <reference field="6" count="1">
            <x v="854"/>
          </reference>
          <reference field="41" count="1" selected="0">
            <x v="886"/>
          </reference>
        </references>
      </pivotArea>
    </format>
    <format dxfId="545">
      <pivotArea dataOnly="0" labelOnly="1" outline="0" fieldPosition="0">
        <references count="3">
          <reference field="3" count="1" selected="0">
            <x v="4"/>
          </reference>
          <reference field="6" count="1">
            <x v="872"/>
          </reference>
          <reference field="41" count="1" selected="0">
            <x v="887"/>
          </reference>
        </references>
      </pivotArea>
    </format>
    <format dxfId="544">
      <pivotArea dataOnly="0" labelOnly="1" outline="0" fieldPosition="0">
        <references count="3">
          <reference field="3" count="1" selected="0">
            <x v="4"/>
          </reference>
          <reference field="6" count="6">
            <x v="143"/>
            <x v="267"/>
            <x v="268"/>
            <x v="464"/>
            <x v="645"/>
            <x v="925"/>
          </reference>
          <reference field="41" count="1" selected="0">
            <x v="888"/>
          </reference>
        </references>
      </pivotArea>
    </format>
    <format dxfId="543">
      <pivotArea dataOnly="0" labelOnly="1" outline="0" fieldPosition="0">
        <references count="3">
          <reference field="3" count="1" selected="0">
            <x v="4"/>
          </reference>
          <reference field="6" count="1">
            <x v="888"/>
          </reference>
          <reference field="41" count="1" selected="0">
            <x v="889"/>
          </reference>
        </references>
      </pivotArea>
    </format>
    <format dxfId="542">
      <pivotArea dataOnly="0" labelOnly="1" outline="0" fieldPosition="0">
        <references count="4">
          <reference field="3" count="1" selected="0">
            <x v="6"/>
          </reference>
          <reference field="6" count="1" selected="0">
            <x v="410"/>
          </reference>
          <reference field="8" count="1">
            <x v="1666"/>
          </reference>
          <reference field="41" count="1" selected="0">
            <x v="828"/>
          </reference>
        </references>
      </pivotArea>
    </format>
    <format dxfId="541">
      <pivotArea dataOnly="0" labelOnly="1" outline="0" fieldPosition="0">
        <references count="4">
          <reference field="3" count="1" selected="0">
            <x v="6"/>
          </reference>
          <reference field="6" count="1" selected="0">
            <x v="406"/>
          </reference>
          <reference field="8" count="1">
            <x v="1693"/>
          </reference>
          <reference field="41" count="1" selected="0">
            <x v="829"/>
          </reference>
        </references>
      </pivotArea>
    </format>
    <format dxfId="540">
      <pivotArea dataOnly="0" labelOnly="1" outline="0" fieldPosition="0">
        <references count="4">
          <reference field="3" count="1" selected="0">
            <x v="1"/>
          </reference>
          <reference field="6" count="1" selected="0">
            <x v="1498"/>
          </reference>
          <reference field="8" count="1">
            <x v="1697"/>
          </reference>
          <reference field="41" count="1" selected="0">
            <x v="833"/>
          </reference>
        </references>
      </pivotArea>
    </format>
    <format dxfId="539">
      <pivotArea dataOnly="0" labelOnly="1" outline="0" fieldPosition="0">
        <references count="4">
          <reference field="3" count="1" selected="0">
            <x v="3"/>
          </reference>
          <reference field="6" count="1" selected="0">
            <x v="37"/>
          </reference>
          <reference field="8" count="1">
            <x v="1559"/>
          </reference>
          <reference field="41" count="1" selected="0">
            <x v="833"/>
          </reference>
        </references>
      </pivotArea>
    </format>
    <format dxfId="538">
      <pivotArea dataOnly="0" labelOnly="1" outline="0" fieldPosition="0">
        <references count="4">
          <reference field="3" count="1" selected="0">
            <x v="6"/>
          </reference>
          <reference field="6" count="1" selected="0">
            <x v="411"/>
          </reference>
          <reference field="8" count="1">
            <x v="1694"/>
          </reference>
          <reference field="41" count="1" selected="0">
            <x v="833"/>
          </reference>
        </references>
      </pivotArea>
    </format>
    <format dxfId="537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379"/>
          </reference>
          <reference field="8" count="1">
            <x v="1603"/>
          </reference>
          <reference field="41" count="1" selected="0">
            <x v="834"/>
          </reference>
        </references>
      </pivotArea>
    </format>
    <format dxfId="536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412"/>
          </reference>
          <reference field="8" count="1">
            <x v="1695"/>
          </reference>
          <reference field="41" count="1" selected="0">
            <x v="834"/>
          </reference>
        </references>
      </pivotArea>
    </format>
    <format dxfId="535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586"/>
          </reference>
          <reference field="8" count="1">
            <x v="1683"/>
          </reference>
          <reference field="41" count="1" selected="0">
            <x v="834"/>
          </reference>
        </references>
      </pivotArea>
    </format>
    <format dxfId="534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554"/>
          </reference>
          <reference field="8" count="1">
            <x v="1620"/>
          </reference>
          <reference field="41" count="1" selected="0">
            <x v="835"/>
          </reference>
        </references>
      </pivotArea>
    </format>
    <format dxfId="533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600"/>
          </reference>
          <reference field="8" count="1">
            <x v="1682"/>
          </reference>
          <reference field="41" count="1" selected="0">
            <x v="836"/>
          </reference>
        </references>
      </pivotArea>
    </format>
    <format dxfId="532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603"/>
          </reference>
          <reference field="8" count="1">
            <x v="1685"/>
          </reference>
          <reference field="41" count="1" selected="0">
            <x v="836"/>
          </reference>
        </references>
      </pivotArea>
    </format>
    <format dxfId="531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290"/>
          </reference>
          <reference field="8" count="1">
            <x v="1634"/>
          </reference>
          <reference field="41" count="1" selected="0">
            <x v="838"/>
          </reference>
        </references>
      </pivotArea>
    </format>
    <format dxfId="530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414"/>
          </reference>
          <reference field="8" count="1">
            <x v="1704"/>
          </reference>
          <reference field="41" count="1" selected="0">
            <x v="839"/>
          </reference>
        </references>
      </pivotArea>
    </format>
    <format dxfId="529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477"/>
          </reference>
          <reference field="8" count="1">
            <x v="1644"/>
          </reference>
          <reference field="41" count="1" selected="0">
            <x v="840"/>
          </reference>
        </references>
      </pivotArea>
    </format>
    <format dxfId="528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520"/>
          </reference>
          <reference field="8" count="1">
            <x v="1641"/>
          </reference>
          <reference field="41" count="1" selected="0">
            <x v="840"/>
          </reference>
        </references>
      </pivotArea>
    </format>
    <format dxfId="527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1770"/>
          </reference>
          <reference field="8" count="1">
            <x v="1507"/>
          </reference>
          <reference field="41" count="1" selected="0">
            <x v="840"/>
          </reference>
        </references>
      </pivotArea>
    </format>
    <format dxfId="526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415"/>
          </reference>
          <reference field="8" count="1">
            <x v="1704"/>
          </reference>
          <reference field="41" count="1" selected="0">
            <x v="840"/>
          </reference>
        </references>
      </pivotArea>
    </format>
    <format dxfId="525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416"/>
          </reference>
          <reference field="8" count="1">
            <x v="1704"/>
          </reference>
          <reference field="41" count="1" selected="0">
            <x v="842"/>
          </reference>
        </references>
      </pivotArea>
    </format>
    <format dxfId="524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417"/>
          </reference>
          <reference field="8" count="1">
            <x v="1704"/>
          </reference>
          <reference field="41" count="1" selected="0">
            <x v="843"/>
          </reference>
        </references>
      </pivotArea>
    </format>
    <format dxfId="523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97"/>
          </reference>
          <reference field="8" count="1">
            <x v="1562"/>
          </reference>
          <reference field="41" count="1" selected="0">
            <x v="844"/>
          </reference>
        </references>
      </pivotArea>
    </format>
    <format dxfId="522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537"/>
          </reference>
          <reference field="8" count="1">
            <x v="1617"/>
          </reference>
          <reference field="41" count="1" selected="0">
            <x v="845"/>
          </reference>
        </references>
      </pivotArea>
    </format>
    <format dxfId="521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842"/>
          </reference>
          <reference field="8" count="1">
            <x v="1704"/>
          </reference>
          <reference field="41" count="1" selected="0">
            <x v="846"/>
          </reference>
        </references>
      </pivotArea>
    </format>
    <format dxfId="520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420"/>
          </reference>
          <reference field="8" count="1">
            <x v="1704"/>
          </reference>
          <reference field="41" count="1" selected="0">
            <x v="850"/>
          </reference>
        </references>
      </pivotArea>
    </format>
    <format dxfId="519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606"/>
          </reference>
          <reference field="8" count="1">
            <x v="1635"/>
          </reference>
          <reference field="41" count="1" selected="0">
            <x v="850"/>
          </reference>
        </references>
      </pivotArea>
    </format>
    <format dxfId="518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990"/>
          </reference>
          <reference field="8" count="1">
            <x v="1704"/>
          </reference>
          <reference field="41" count="1" selected="0">
            <x v="850"/>
          </reference>
        </references>
      </pivotArea>
    </format>
    <format dxfId="517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255"/>
          </reference>
          <reference field="8" count="1">
            <x v="1581"/>
          </reference>
          <reference field="41" count="1" selected="0">
            <x v="853"/>
          </reference>
        </references>
      </pivotArea>
    </format>
    <format dxfId="516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531"/>
          </reference>
          <reference field="8" count="1">
            <x v="1616"/>
          </reference>
          <reference field="41" count="1" selected="0">
            <x v="854"/>
          </reference>
        </references>
      </pivotArea>
    </format>
    <format dxfId="515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241"/>
          </reference>
          <reference field="8" count="1">
            <x v="1580"/>
          </reference>
          <reference field="41" count="1" selected="0">
            <x v="855"/>
          </reference>
        </references>
      </pivotArea>
    </format>
    <format dxfId="514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422"/>
          </reference>
          <reference field="8" count="1">
            <x v="1704"/>
          </reference>
          <reference field="41" count="1" selected="0">
            <x v="855"/>
          </reference>
        </references>
      </pivotArea>
    </format>
    <format dxfId="513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629"/>
          </reference>
          <reference field="8" count="1">
            <x v="1636"/>
          </reference>
          <reference field="41" count="1" selected="0">
            <x v="857"/>
          </reference>
        </references>
      </pivotArea>
    </format>
    <format dxfId="512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166"/>
          </reference>
          <reference field="8" count="1">
            <x v="1570"/>
          </reference>
          <reference field="41" count="1" selected="0">
            <x v="858"/>
          </reference>
        </references>
      </pivotArea>
    </format>
    <format dxfId="511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682"/>
          </reference>
          <reference field="8" count="1">
            <x v="1650"/>
          </reference>
          <reference field="41" count="1" selected="0">
            <x v="859"/>
          </reference>
        </references>
      </pivotArea>
    </format>
    <format dxfId="510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715"/>
          </reference>
          <reference field="8" count="1">
            <x v="1704"/>
          </reference>
          <reference field="41" count="1" selected="0">
            <x v="859"/>
          </reference>
        </references>
      </pivotArea>
    </format>
    <format dxfId="509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129"/>
          </reference>
          <reference field="8" count="1">
            <x v="1557"/>
          </reference>
          <reference field="41" count="1" selected="0">
            <x v="860"/>
          </reference>
        </references>
      </pivotArea>
    </format>
    <format dxfId="508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792"/>
          </reference>
          <reference field="8" count="1">
            <x v="1633"/>
          </reference>
          <reference field="41" count="1" selected="0">
            <x v="860"/>
          </reference>
        </references>
      </pivotArea>
    </format>
    <format dxfId="507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1755"/>
          </reference>
          <reference field="8" count="1">
            <x v="1704"/>
          </reference>
          <reference field="41" count="1" selected="0">
            <x v="861"/>
          </reference>
        </references>
      </pivotArea>
    </format>
    <format dxfId="506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756"/>
          </reference>
          <reference field="8" count="1">
            <x v="1624"/>
          </reference>
          <reference field="41" count="1" selected="0">
            <x v="861"/>
          </reference>
        </references>
      </pivotArea>
    </format>
    <format dxfId="505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686"/>
          </reference>
          <reference field="8" count="1">
            <x v="1704"/>
          </reference>
          <reference field="41" count="1" selected="0">
            <x v="862"/>
          </reference>
        </references>
      </pivotArea>
    </format>
    <format dxfId="504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1628"/>
          </reference>
          <reference field="8" count="1">
            <x v="1429"/>
          </reference>
          <reference field="41" count="1" selected="0">
            <x v="863"/>
          </reference>
        </references>
      </pivotArea>
    </format>
    <format dxfId="503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662"/>
          </reference>
          <reference field="8" count="1">
            <x v="1647"/>
          </reference>
          <reference field="41" count="1" selected="0">
            <x v="864"/>
          </reference>
        </references>
      </pivotArea>
    </format>
    <format dxfId="502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689"/>
          </reference>
          <reference field="8" count="1">
            <x v="1704"/>
          </reference>
          <reference field="41" count="1" selected="0">
            <x v="864"/>
          </reference>
        </references>
      </pivotArea>
    </format>
    <format dxfId="501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1772"/>
          </reference>
          <reference field="8" count="1">
            <x v="1639"/>
          </reference>
          <reference field="41" count="1" selected="0">
            <x v="866"/>
          </reference>
        </references>
      </pivotArea>
    </format>
    <format dxfId="500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1763"/>
          </reference>
          <reference field="8" count="1">
            <x v="1704"/>
          </reference>
          <reference field="41" count="1" selected="0">
            <x v="867"/>
          </reference>
        </references>
      </pivotArea>
    </format>
    <format dxfId="499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673"/>
          </reference>
          <reference field="8" count="1">
            <x v="1648"/>
          </reference>
          <reference field="41" count="1" selected="0">
            <x v="868"/>
          </reference>
        </references>
      </pivotArea>
    </format>
    <format dxfId="498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692"/>
          </reference>
          <reference field="8" count="1">
            <x v="1704"/>
          </reference>
          <reference field="41" count="1" selected="0">
            <x v="868"/>
          </reference>
        </references>
      </pivotArea>
    </format>
    <format dxfId="497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727"/>
          </reference>
          <reference field="8" count="1">
            <x v="1649"/>
          </reference>
          <reference field="41" count="1" selected="0">
            <x v="868"/>
          </reference>
        </references>
      </pivotArea>
    </format>
    <format dxfId="496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766"/>
          </reference>
          <reference field="8" count="1">
            <x v="1652"/>
          </reference>
          <reference field="41" count="1" selected="0">
            <x v="870"/>
          </reference>
        </references>
      </pivotArea>
    </format>
    <format dxfId="495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794"/>
          </reference>
          <reference field="8" count="1">
            <x v="1704"/>
          </reference>
          <reference field="41" count="1" selected="0">
            <x v="870"/>
          </reference>
        </references>
      </pivotArea>
    </format>
    <format dxfId="494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898"/>
          </reference>
          <reference field="8" count="1">
            <x v="1680"/>
          </reference>
          <reference field="41" count="1" selected="0">
            <x v="870"/>
          </reference>
        </references>
      </pivotArea>
    </format>
    <format dxfId="493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948"/>
          </reference>
          <reference field="8" count="1">
            <x v="1690"/>
          </reference>
          <reference field="41" count="1" selected="0">
            <x v="870"/>
          </reference>
        </references>
      </pivotArea>
    </format>
    <format dxfId="492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1729"/>
          </reference>
          <reference field="8" count="1">
            <x v="1472"/>
          </reference>
          <reference field="41" count="1" selected="0">
            <x v="871"/>
          </reference>
        </references>
      </pivotArea>
    </format>
    <format dxfId="491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1732"/>
          </reference>
          <reference field="8" count="1">
            <x v="1473"/>
          </reference>
          <reference field="41" count="1" selected="0">
            <x v="871"/>
          </reference>
        </references>
      </pivotArea>
    </format>
    <format dxfId="490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1734"/>
          </reference>
          <reference field="8" count="1">
            <x v="1474"/>
          </reference>
          <reference field="41" count="1" selected="0">
            <x v="871"/>
          </reference>
        </references>
      </pivotArea>
    </format>
    <format dxfId="489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343"/>
          </reference>
          <reference field="8" count="1">
            <x v="1609"/>
          </reference>
          <reference field="41" count="1" selected="0">
            <x v="872"/>
          </reference>
        </references>
      </pivotArea>
    </format>
    <format dxfId="488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356"/>
          </reference>
          <reference field="8" count="1">
            <x v="1610"/>
          </reference>
          <reference field="41" count="1" selected="0">
            <x v="872"/>
          </reference>
        </references>
      </pivotArea>
    </format>
    <format dxfId="487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770"/>
          </reference>
          <reference field="8" count="1">
            <x v="1704"/>
          </reference>
          <reference field="41" count="1" selected="0">
            <x v="872"/>
          </reference>
        </references>
      </pivotArea>
    </format>
    <format dxfId="486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950"/>
          </reference>
          <reference field="8" count="1">
            <x v="1691"/>
          </reference>
          <reference field="41" count="1" selected="0">
            <x v="872"/>
          </reference>
        </references>
      </pivotArea>
    </format>
    <format dxfId="485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533"/>
          </reference>
          <reference field="8" count="1">
            <x v="1704"/>
          </reference>
          <reference field="41" count="1" selected="0">
            <x v="873"/>
          </reference>
        </references>
      </pivotArea>
    </format>
    <format dxfId="484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424"/>
          </reference>
          <reference field="8" count="1">
            <x v="1605"/>
          </reference>
          <reference field="41" count="1" selected="0">
            <x v="874"/>
          </reference>
        </references>
      </pivotArea>
    </format>
    <format dxfId="483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821"/>
          </reference>
          <reference field="8" count="1">
            <x v="1661"/>
          </reference>
          <reference field="41" count="1" selected="0">
            <x v="874"/>
          </reference>
        </references>
      </pivotArea>
    </format>
    <format dxfId="482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773"/>
          </reference>
          <reference field="8" count="1">
            <x v="1704"/>
          </reference>
          <reference field="41" count="1" selected="0">
            <x v="875"/>
          </reference>
        </references>
      </pivotArea>
    </format>
    <format dxfId="481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901"/>
          </reference>
          <reference field="8" count="1">
            <x v="1681"/>
          </reference>
          <reference field="41" count="1" selected="0">
            <x v="875"/>
          </reference>
        </references>
      </pivotArea>
    </format>
    <format dxfId="480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951"/>
          </reference>
          <reference field="8" count="1">
            <x v="1692"/>
          </reference>
          <reference field="41" count="1" selected="0">
            <x v="875"/>
          </reference>
        </references>
      </pivotArea>
    </format>
    <format dxfId="479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443"/>
          </reference>
          <reference field="8" count="1">
            <x v="1607"/>
          </reference>
          <reference field="41" count="1" selected="0">
            <x v="876"/>
          </reference>
        </references>
      </pivotArea>
    </format>
    <format dxfId="478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452"/>
          </reference>
          <reference field="8" count="1">
            <x v="1606"/>
          </reference>
          <reference field="41" count="1" selected="0">
            <x v="876"/>
          </reference>
        </references>
      </pivotArea>
    </format>
    <format dxfId="477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482"/>
          </reference>
          <reference field="8" count="1">
            <x v="1386"/>
          </reference>
          <reference field="41" count="1" selected="0">
            <x v="876"/>
          </reference>
        </references>
      </pivotArea>
    </format>
    <format dxfId="476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484"/>
          </reference>
          <reference field="8" count="1">
            <x v="1611"/>
          </reference>
          <reference field="41" count="1" selected="0">
            <x v="876"/>
          </reference>
        </references>
      </pivotArea>
    </format>
    <format dxfId="475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781"/>
          </reference>
          <reference field="8" count="1">
            <x v="1646"/>
          </reference>
          <reference field="41" count="1" selected="0">
            <x v="876"/>
          </reference>
        </references>
      </pivotArea>
    </format>
    <format dxfId="474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938"/>
          </reference>
          <reference field="8" count="1">
            <x v="1689"/>
          </reference>
          <reference field="41" count="1" selected="0">
            <x v="879"/>
          </reference>
        </references>
      </pivotArea>
    </format>
    <format dxfId="473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1774"/>
          </reference>
          <reference field="8" count="1">
            <x v="1704"/>
          </reference>
          <reference field="41" count="1" selected="0">
            <x v="881"/>
          </reference>
        </references>
      </pivotArea>
    </format>
    <format dxfId="472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1782"/>
          </reference>
          <reference field="8" count="1">
            <x v="1499"/>
          </reference>
          <reference field="41" count="1" selected="0">
            <x v="881"/>
          </reference>
        </references>
      </pivotArea>
    </format>
    <format dxfId="471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858"/>
          </reference>
          <reference field="8" count="1">
            <x v="1687"/>
          </reference>
          <reference field="41" count="1" selected="0">
            <x v="882"/>
          </reference>
        </references>
      </pivotArea>
    </format>
    <format dxfId="470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498"/>
          </reference>
          <reference field="8" count="1">
            <x v="1704"/>
          </reference>
          <reference field="41" count="1" selected="0">
            <x v="883"/>
          </reference>
        </references>
      </pivotArea>
    </format>
    <format dxfId="469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501"/>
          </reference>
          <reference field="8" count="1">
            <x v="1653"/>
          </reference>
          <reference field="41" count="1" selected="0">
            <x v="883"/>
          </reference>
        </references>
      </pivotArea>
    </format>
    <format dxfId="468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504"/>
          </reference>
          <reference field="8" count="1">
            <x v="1654"/>
          </reference>
          <reference field="41" count="1" selected="0">
            <x v="883"/>
          </reference>
        </references>
      </pivotArea>
    </format>
    <format dxfId="467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654"/>
          </reference>
          <reference field="8" count="1">
            <x v="1655"/>
          </reference>
          <reference field="41" count="1" selected="0">
            <x v="883"/>
          </reference>
        </references>
      </pivotArea>
    </format>
    <format dxfId="466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966"/>
          </reference>
          <reference field="8" count="1">
            <x v="1698"/>
          </reference>
          <reference field="41" count="1" selected="0">
            <x v="883"/>
          </reference>
        </references>
      </pivotArea>
    </format>
    <format dxfId="465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969"/>
          </reference>
          <reference field="8" count="1">
            <x v="1699"/>
          </reference>
          <reference field="41" count="1" selected="0">
            <x v="883"/>
          </reference>
        </references>
      </pivotArea>
    </format>
    <format dxfId="464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882"/>
          </reference>
          <reference field="8" count="1">
            <x v="1675"/>
          </reference>
          <reference field="41" count="1" selected="0">
            <x v="884"/>
          </reference>
        </references>
      </pivotArea>
    </format>
    <format dxfId="463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1642"/>
          </reference>
          <reference field="8" count="1">
            <x v="1431"/>
          </reference>
          <reference field="41" count="1" selected="0">
            <x v="885"/>
          </reference>
        </references>
      </pivotArea>
    </format>
    <format dxfId="462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1643"/>
          </reference>
          <reference field="8" count="1">
            <x v="1529"/>
          </reference>
          <reference field="41" count="1" selected="0">
            <x v="885"/>
          </reference>
        </references>
      </pivotArea>
    </format>
    <format dxfId="461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1783"/>
          </reference>
          <reference field="8" count="1">
            <x v="1499"/>
          </reference>
          <reference field="41" count="1" selected="0">
            <x v="885"/>
          </reference>
        </references>
      </pivotArea>
    </format>
    <format dxfId="460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854"/>
          </reference>
          <reference field="8" count="1">
            <x v="1688"/>
          </reference>
          <reference field="41" count="1" selected="0">
            <x v="886"/>
          </reference>
        </references>
      </pivotArea>
    </format>
    <format dxfId="459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872"/>
          </reference>
          <reference field="8" count="1">
            <x v="1674"/>
          </reference>
          <reference field="41" count="1" selected="0">
            <x v="887"/>
          </reference>
        </references>
      </pivotArea>
    </format>
    <format dxfId="458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143"/>
          </reference>
          <reference field="8" count="1">
            <x v="1560"/>
          </reference>
          <reference field="41" count="1" selected="0">
            <x v="888"/>
          </reference>
        </references>
      </pivotArea>
    </format>
    <format dxfId="457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267"/>
          </reference>
          <reference field="8" count="1">
            <x v="1582"/>
          </reference>
          <reference field="41" count="1" selected="0">
            <x v="888"/>
          </reference>
        </references>
      </pivotArea>
    </format>
    <format dxfId="456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268"/>
          </reference>
          <reference field="8" count="1">
            <x v="1583"/>
          </reference>
          <reference field="41" count="1" selected="0">
            <x v="888"/>
          </reference>
        </references>
      </pivotArea>
    </format>
    <format dxfId="455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464"/>
          </reference>
          <reference field="8" count="1">
            <x v="1608"/>
          </reference>
          <reference field="41" count="1" selected="0">
            <x v="888"/>
          </reference>
        </references>
      </pivotArea>
    </format>
    <format dxfId="454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645"/>
          </reference>
          <reference field="8" count="1">
            <x v="1645"/>
          </reference>
          <reference field="41" count="1" selected="0">
            <x v="888"/>
          </reference>
        </references>
      </pivotArea>
    </format>
    <format dxfId="453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925"/>
          </reference>
          <reference field="8" count="1">
            <x v="1676"/>
          </reference>
          <reference field="41" count="1" selected="0">
            <x v="888"/>
          </reference>
        </references>
      </pivotArea>
    </format>
    <format dxfId="452">
      <pivotArea dataOnly="0" labelOnly="1" outline="0" fieldPosition="0">
        <references count="4">
          <reference field="3" count="1" selected="0">
            <x v="4"/>
          </reference>
          <reference field="6" count="1" selected="0">
            <x v="888"/>
          </reference>
          <reference field="8" count="1">
            <x v="1673"/>
          </reference>
          <reference field="41" count="1" selected="0">
            <x v="889"/>
          </reference>
        </references>
      </pivotArea>
    </format>
    <format dxfId="451">
      <pivotArea dataOnly="0" labelOnly="1" outline="0" fieldPosition="0">
        <references count="5">
          <reference field="3" count="1" selected="0">
            <x v="6"/>
          </reference>
          <reference field="6" count="1" selected="0">
            <x v="410"/>
          </reference>
          <reference field="8" count="1" selected="0">
            <x v="1666"/>
          </reference>
          <reference field="15" count="1">
            <x v="0"/>
          </reference>
          <reference field="41" count="1" selected="0">
            <x v="828"/>
          </reference>
        </references>
      </pivotArea>
    </format>
    <format dxfId="450">
      <pivotArea dataOnly="0" labelOnly="1" outline="0" fieldPosition="0">
        <references count="5">
          <reference field="3" count="1" selected="0">
            <x v="1"/>
          </reference>
          <reference field="6" count="1" selected="0">
            <x v="1498"/>
          </reference>
          <reference field="8" count="1" selected="0">
            <x v="1697"/>
          </reference>
          <reference field="15" count="1">
            <x v="46"/>
          </reference>
          <reference field="41" count="1" selected="0">
            <x v="833"/>
          </reference>
        </references>
      </pivotArea>
    </format>
    <format dxfId="449">
      <pivotArea dataOnly="0" labelOnly="1" outline="0" fieldPosition="0">
        <references count="5">
          <reference field="3" count="1" selected="0">
            <x v="3"/>
          </reference>
          <reference field="6" count="1" selected="0">
            <x v="37"/>
          </reference>
          <reference field="8" count="1" selected="0">
            <x v="1559"/>
          </reference>
          <reference field="15" count="1">
            <x v="68"/>
          </reference>
          <reference field="41" count="1" selected="0">
            <x v="833"/>
          </reference>
        </references>
      </pivotArea>
    </format>
    <format dxfId="448">
      <pivotArea dataOnly="0" labelOnly="1" outline="0" fieldPosition="0">
        <references count="5">
          <reference field="3" count="1" selected="0">
            <x v="6"/>
          </reference>
          <reference field="6" count="1" selected="0">
            <x v="411"/>
          </reference>
          <reference field="8" count="1" selected="0">
            <x v="1694"/>
          </reference>
          <reference field="15" count="1">
            <x v="0"/>
          </reference>
          <reference field="41" count="1" selected="0">
            <x v="833"/>
          </reference>
        </references>
      </pivotArea>
    </format>
    <format dxfId="447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379"/>
          </reference>
          <reference field="8" count="1" selected="0">
            <x v="1603"/>
          </reference>
          <reference field="15" count="1">
            <x v="71"/>
          </reference>
          <reference field="41" count="1" selected="0">
            <x v="834"/>
          </reference>
        </references>
      </pivotArea>
    </format>
    <format dxfId="446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412"/>
          </reference>
          <reference field="8" count="1" selected="0">
            <x v="1695"/>
          </reference>
          <reference field="15" count="1">
            <x v="0"/>
          </reference>
          <reference field="41" count="1" selected="0">
            <x v="834"/>
          </reference>
        </references>
      </pivotArea>
    </format>
    <format dxfId="445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586"/>
          </reference>
          <reference field="8" count="1" selected="0">
            <x v="1683"/>
          </reference>
          <reference field="15" count="1">
            <x v="71"/>
          </reference>
          <reference field="41" count="1" selected="0">
            <x v="834"/>
          </reference>
        </references>
      </pivotArea>
    </format>
    <format dxfId="444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554"/>
          </reference>
          <reference field="8" count="1" selected="0">
            <x v="1620"/>
          </reference>
          <reference field="15" count="1">
            <x v="11"/>
          </reference>
          <reference field="41" count="1" selected="0">
            <x v="835"/>
          </reference>
        </references>
      </pivotArea>
    </format>
    <format dxfId="443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600"/>
          </reference>
          <reference field="8" count="1" selected="0">
            <x v="1682"/>
          </reference>
          <reference field="15" count="1">
            <x v="71"/>
          </reference>
          <reference field="41" count="1" selected="0">
            <x v="836"/>
          </reference>
        </references>
      </pivotArea>
    </format>
    <format dxfId="442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290"/>
          </reference>
          <reference field="8" count="1" selected="0">
            <x v="1634"/>
          </reference>
          <reference field="15" count="1">
            <x v="71"/>
          </reference>
          <reference field="41" count="1" selected="0">
            <x v="838"/>
          </reference>
        </references>
      </pivotArea>
    </format>
    <format dxfId="441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414"/>
          </reference>
          <reference field="8" count="1" selected="0">
            <x v="1704"/>
          </reference>
          <reference field="15" count="1">
            <x v="0"/>
          </reference>
          <reference field="41" count="1" selected="0">
            <x v="839"/>
          </reference>
        </references>
      </pivotArea>
    </format>
    <format dxfId="440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276"/>
          </reference>
          <reference field="8" count="1" selected="0">
            <x v="1704"/>
          </reference>
          <reference field="15" count="1">
            <x v="46"/>
          </reference>
          <reference field="41" count="1" selected="0">
            <x v="840"/>
          </reference>
        </references>
      </pivotArea>
    </format>
    <format dxfId="439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477"/>
          </reference>
          <reference field="8" count="1" selected="0">
            <x v="1644"/>
          </reference>
          <reference field="15" count="1">
            <x v="59"/>
          </reference>
          <reference field="41" count="1" selected="0">
            <x v="840"/>
          </reference>
        </references>
      </pivotArea>
    </format>
    <format dxfId="438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520"/>
          </reference>
          <reference field="8" count="1" selected="0">
            <x v="1641"/>
          </reference>
          <reference field="15" count="1">
            <x v="46"/>
          </reference>
          <reference field="41" count="1" selected="0">
            <x v="840"/>
          </reference>
        </references>
      </pivotArea>
    </format>
    <format dxfId="437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1770"/>
          </reference>
          <reference field="8" count="1" selected="0">
            <x v="1507"/>
          </reference>
          <reference field="15" count="1">
            <x v="14"/>
          </reference>
          <reference field="41" count="1" selected="0">
            <x v="840"/>
          </reference>
        </references>
      </pivotArea>
    </format>
    <format dxfId="436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415"/>
          </reference>
          <reference field="8" count="1" selected="0">
            <x v="1704"/>
          </reference>
          <reference field="15" count="1">
            <x v="0"/>
          </reference>
          <reference field="41" count="1" selected="0">
            <x v="840"/>
          </reference>
        </references>
      </pivotArea>
    </format>
    <format dxfId="435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416"/>
          </reference>
          <reference field="8" count="1" selected="0">
            <x v="1704"/>
          </reference>
          <reference field="15" count="1">
            <x v="0"/>
          </reference>
          <reference field="41" count="1" selected="0">
            <x v="842"/>
          </reference>
        </references>
      </pivotArea>
    </format>
    <format dxfId="434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749"/>
          </reference>
          <reference field="8" count="1" selected="0">
            <x v="1704"/>
          </reference>
          <reference field="15" count="1">
            <x v="71"/>
          </reference>
          <reference field="41" count="1" selected="0">
            <x v="842"/>
          </reference>
        </references>
      </pivotArea>
    </format>
    <format dxfId="433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417"/>
          </reference>
          <reference field="8" count="1" selected="0">
            <x v="1704"/>
          </reference>
          <reference field="15" count="1">
            <x v="0"/>
          </reference>
          <reference field="41" count="1" selected="0">
            <x v="843"/>
          </reference>
        </references>
      </pivotArea>
    </format>
    <format dxfId="432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97"/>
          </reference>
          <reference field="8" count="1" selected="0">
            <x v="1562"/>
          </reference>
          <reference field="15" count="1">
            <x v="71"/>
          </reference>
          <reference field="41" count="1" selected="0">
            <x v="844"/>
          </reference>
        </references>
      </pivotArea>
    </format>
    <format dxfId="431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537"/>
          </reference>
          <reference field="8" count="1" selected="0">
            <x v="1617"/>
          </reference>
          <reference field="15" count="1">
            <x v="35"/>
          </reference>
          <reference field="41" count="1" selected="0">
            <x v="845"/>
          </reference>
        </references>
      </pivotArea>
    </format>
    <format dxfId="430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842"/>
          </reference>
          <reference field="8" count="1" selected="0">
            <x v="1704"/>
          </reference>
          <reference field="15" count="1">
            <x v="71"/>
          </reference>
          <reference field="41" count="1" selected="0">
            <x v="846"/>
          </reference>
        </references>
      </pivotArea>
    </format>
    <format dxfId="429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418"/>
          </reference>
          <reference field="8" count="1" selected="0">
            <x v="1704"/>
          </reference>
          <reference field="15" count="1">
            <x v="0"/>
          </reference>
          <reference field="41" count="1" selected="0">
            <x v="847"/>
          </reference>
        </references>
      </pivotArea>
    </format>
    <format dxfId="428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804"/>
          </reference>
          <reference field="8" count="1" selected="0">
            <x v="1704"/>
          </reference>
          <reference field="15" count="1">
            <x v="71"/>
          </reference>
          <reference field="41" count="1" selected="0">
            <x v="847"/>
          </reference>
        </references>
      </pivotArea>
    </format>
    <format dxfId="427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419"/>
          </reference>
          <reference field="8" count="1" selected="0">
            <x v="1704"/>
          </reference>
          <reference field="15" count="1">
            <x v="0"/>
          </reference>
          <reference field="41" count="1" selected="0">
            <x v="848"/>
          </reference>
        </references>
      </pivotArea>
    </format>
    <format dxfId="426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846"/>
          </reference>
          <reference field="8" count="1" selected="0">
            <x v="1704"/>
          </reference>
          <reference field="15" count="1">
            <x v="71"/>
          </reference>
          <reference field="41" count="1" selected="0">
            <x v="849"/>
          </reference>
        </references>
      </pivotArea>
    </format>
    <format dxfId="425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420"/>
          </reference>
          <reference field="8" count="1" selected="0">
            <x v="1704"/>
          </reference>
          <reference field="15" count="1">
            <x v="0"/>
          </reference>
          <reference field="41" count="1" selected="0">
            <x v="850"/>
          </reference>
        </references>
      </pivotArea>
    </format>
    <format dxfId="424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606"/>
          </reference>
          <reference field="8" count="1" selected="0">
            <x v="1635"/>
          </reference>
          <reference field="15" count="1">
            <x v="71"/>
          </reference>
          <reference field="41" count="1" selected="0">
            <x v="850"/>
          </reference>
        </references>
      </pivotArea>
    </format>
    <format dxfId="423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421"/>
          </reference>
          <reference field="8" count="1" selected="0">
            <x v="1704"/>
          </reference>
          <reference field="15" count="1">
            <x v="0"/>
          </reference>
          <reference field="41" count="1" selected="0">
            <x v="852"/>
          </reference>
        </references>
      </pivotArea>
    </format>
    <format dxfId="422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830"/>
          </reference>
          <reference field="8" count="1" selected="0">
            <x v="1704"/>
          </reference>
          <reference field="15" count="1">
            <x v="71"/>
          </reference>
          <reference field="41" count="1" selected="0">
            <x v="852"/>
          </reference>
        </references>
      </pivotArea>
    </format>
    <format dxfId="421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255"/>
          </reference>
          <reference field="8" count="1" selected="0">
            <x v="1581"/>
          </reference>
          <reference field="15" count="1">
            <x v="68"/>
          </reference>
          <reference field="41" count="1" selected="0">
            <x v="853"/>
          </reference>
        </references>
      </pivotArea>
    </format>
    <format dxfId="420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531"/>
          </reference>
          <reference field="8" count="1" selected="0">
            <x v="1616"/>
          </reference>
          <reference field="15" count="1">
            <x v="54"/>
          </reference>
          <reference field="41" count="1" selected="0">
            <x v="854"/>
          </reference>
        </references>
      </pivotArea>
    </format>
    <format dxfId="419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241"/>
          </reference>
          <reference field="8" count="1" selected="0">
            <x v="1580"/>
          </reference>
          <reference field="15" count="1">
            <x v="68"/>
          </reference>
          <reference field="41" count="1" selected="0">
            <x v="855"/>
          </reference>
        </references>
      </pivotArea>
    </format>
    <format dxfId="418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422"/>
          </reference>
          <reference field="8" count="1" selected="0">
            <x v="1704"/>
          </reference>
          <reference field="15" count="1">
            <x v="0"/>
          </reference>
          <reference field="41" count="1" selected="0">
            <x v="855"/>
          </reference>
        </references>
      </pivotArea>
    </format>
    <format dxfId="417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629"/>
          </reference>
          <reference field="8" count="1" selected="0">
            <x v="1636"/>
          </reference>
          <reference field="15" count="1">
            <x v="71"/>
          </reference>
          <reference field="41" count="1" selected="0">
            <x v="857"/>
          </reference>
        </references>
      </pivotArea>
    </format>
    <format dxfId="416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682"/>
          </reference>
          <reference field="8" count="1" selected="0">
            <x v="1650"/>
          </reference>
          <reference field="15" count="1">
            <x v="61"/>
          </reference>
          <reference field="41" count="1" selected="0">
            <x v="859"/>
          </reference>
        </references>
      </pivotArea>
    </format>
    <format dxfId="415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129"/>
          </reference>
          <reference field="8" count="1" selected="0">
            <x v="1557"/>
          </reference>
          <reference field="15" count="1">
            <x v="17"/>
          </reference>
          <reference field="41" count="1" selected="0">
            <x v="860"/>
          </reference>
        </references>
      </pivotArea>
    </format>
    <format dxfId="414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792"/>
          </reference>
          <reference field="8" count="1" selected="0">
            <x v="1633"/>
          </reference>
          <reference field="15" count="1">
            <x v="71"/>
          </reference>
          <reference field="41" count="1" selected="0">
            <x v="860"/>
          </reference>
        </references>
      </pivotArea>
    </format>
    <format dxfId="413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1755"/>
          </reference>
          <reference field="8" count="1" selected="0">
            <x v="1704"/>
          </reference>
          <reference field="15" count="1">
            <x v="4"/>
          </reference>
          <reference field="41" count="1" selected="0">
            <x v="861"/>
          </reference>
        </references>
      </pivotArea>
    </format>
    <format dxfId="412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756"/>
          </reference>
          <reference field="8" count="1" selected="0">
            <x v="1624"/>
          </reference>
          <reference field="15" count="1">
            <x v="35"/>
          </reference>
          <reference field="41" count="1" selected="0">
            <x v="861"/>
          </reference>
        </references>
      </pivotArea>
    </format>
    <format dxfId="411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686"/>
          </reference>
          <reference field="8" count="1" selected="0">
            <x v="1704"/>
          </reference>
          <reference field="15" count="1">
            <x v="61"/>
          </reference>
          <reference field="41" count="1" selected="0">
            <x v="862"/>
          </reference>
        </references>
      </pivotArea>
    </format>
    <format dxfId="410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1628"/>
          </reference>
          <reference field="8" count="1" selected="0">
            <x v="1429"/>
          </reference>
          <reference field="15" count="1">
            <x v="71"/>
          </reference>
          <reference field="41" count="1" selected="0">
            <x v="863"/>
          </reference>
        </references>
      </pivotArea>
    </format>
    <format dxfId="409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662"/>
          </reference>
          <reference field="8" count="1" selected="0">
            <x v="1647"/>
          </reference>
          <reference field="15" count="1">
            <x v="61"/>
          </reference>
          <reference field="41" count="1" selected="0">
            <x v="864"/>
          </reference>
        </references>
      </pivotArea>
    </format>
    <format dxfId="408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1772"/>
          </reference>
          <reference field="8" count="1" selected="0">
            <x v="1639"/>
          </reference>
          <reference field="15" count="1">
            <x v="14"/>
          </reference>
          <reference field="41" count="1" selected="0">
            <x v="866"/>
          </reference>
        </references>
      </pivotArea>
    </format>
    <format dxfId="407">
      <pivotArea dataOnly="0" labelOnly="1" outline="0" fieldPosition="0">
        <references count="5">
          <reference field="3" count="1" selected="0">
            <x v="2"/>
          </reference>
          <reference field="6" count="1" selected="0">
            <x v="1763"/>
          </reference>
          <reference field="8" count="1" selected="0">
            <x v="1704"/>
          </reference>
          <reference field="15" count="1">
            <x v="46"/>
          </reference>
          <reference field="41" count="1" selected="0">
            <x v="867"/>
          </reference>
        </references>
      </pivotArea>
    </format>
    <format dxfId="406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673"/>
          </reference>
          <reference field="8" count="1" selected="0">
            <x v="1648"/>
          </reference>
          <reference field="15" count="1">
            <x v="61"/>
          </reference>
          <reference field="41" count="1" selected="0">
            <x v="868"/>
          </reference>
        </references>
      </pivotArea>
    </format>
    <format dxfId="405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766"/>
          </reference>
          <reference field="8" count="1" selected="0">
            <x v="1652"/>
          </reference>
          <reference field="15" count="1">
            <x v="46"/>
          </reference>
          <reference field="41" count="1" selected="0">
            <x v="870"/>
          </reference>
        </references>
      </pivotArea>
    </format>
    <format dxfId="404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794"/>
          </reference>
          <reference field="8" count="1" selected="0">
            <x v="1704"/>
          </reference>
          <reference field="15" count="1">
            <x v="71"/>
          </reference>
          <reference field="41" count="1" selected="0">
            <x v="870"/>
          </reference>
        </references>
      </pivotArea>
    </format>
    <format dxfId="403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898"/>
          </reference>
          <reference field="8" count="1" selected="0">
            <x v="1680"/>
          </reference>
          <reference field="15" count="1">
            <x v="46"/>
          </reference>
          <reference field="41" count="1" selected="0">
            <x v="870"/>
          </reference>
        </references>
      </pivotArea>
    </format>
    <format dxfId="402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1729"/>
          </reference>
          <reference field="8" count="1" selected="0">
            <x v="1472"/>
          </reference>
          <reference field="15" count="1">
            <x v="71"/>
          </reference>
          <reference field="41" count="1" selected="0">
            <x v="871"/>
          </reference>
        </references>
      </pivotArea>
    </format>
    <format dxfId="401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343"/>
          </reference>
          <reference field="8" count="1" selected="0">
            <x v="1609"/>
          </reference>
          <reference field="15" count="1">
            <x v="68"/>
          </reference>
          <reference field="41" count="1" selected="0">
            <x v="872"/>
          </reference>
        </references>
      </pivotArea>
    </format>
    <format dxfId="400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770"/>
          </reference>
          <reference field="8" count="1" selected="0">
            <x v="1704"/>
          </reference>
          <reference field="15" count="1">
            <x v="46"/>
          </reference>
          <reference field="41" count="1" selected="0">
            <x v="872"/>
          </reference>
        </references>
      </pivotArea>
    </format>
    <format dxfId="399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533"/>
          </reference>
          <reference field="8" count="1" selected="0">
            <x v="1704"/>
          </reference>
          <reference field="15" count="1">
            <x v="54"/>
          </reference>
          <reference field="41" count="1" selected="0">
            <x v="873"/>
          </reference>
        </references>
      </pivotArea>
    </format>
    <format dxfId="398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424"/>
          </reference>
          <reference field="8" count="1" selected="0">
            <x v="1605"/>
          </reference>
          <reference field="15" count="1">
            <x v="68"/>
          </reference>
          <reference field="41" count="1" selected="0">
            <x v="874"/>
          </reference>
        </references>
      </pivotArea>
    </format>
    <format dxfId="397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773"/>
          </reference>
          <reference field="8" count="1" selected="0">
            <x v="1704"/>
          </reference>
          <reference field="15" count="1">
            <x v="46"/>
          </reference>
          <reference field="41" count="1" selected="0">
            <x v="875"/>
          </reference>
        </references>
      </pivotArea>
    </format>
    <format dxfId="396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443"/>
          </reference>
          <reference field="8" count="1" selected="0">
            <x v="1607"/>
          </reference>
          <reference field="15" count="1">
            <x v="68"/>
          </reference>
          <reference field="41" count="1" selected="0">
            <x v="876"/>
          </reference>
        </references>
      </pivotArea>
    </format>
    <format dxfId="395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452"/>
          </reference>
          <reference field="8" count="1" selected="0">
            <x v="1606"/>
          </reference>
          <reference field="15" count="1">
            <x v="59"/>
          </reference>
          <reference field="41" count="1" selected="0">
            <x v="876"/>
          </reference>
        </references>
      </pivotArea>
    </format>
    <format dxfId="394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484"/>
          </reference>
          <reference field="8" count="1" selected="0">
            <x v="1611"/>
          </reference>
          <reference field="15" count="1">
            <x v="68"/>
          </reference>
          <reference field="41" count="1" selected="0">
            <x v="876"/>
          </reference>
        </references>
      </pivotArea>
    </format>
    <format dxfId="393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781"/>
          </reference>
          <reference field="8" count="1" selected="0">
            <x v="1646"/>
          </reference>
          <reference field="15" count="1">
            <x v="59"/>
          </reference>
          <reference field="41" count="1" selected="0">
            <x v="876"/>
          </reference>
        </references>
      </pivotArea>
    </format>
    <format dxfId="392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938"/>
          </reference>
          <reference field="8" count="1" selected="0">
            <x v="1689"/>
          </reference>
          <reference field="15" count="1">
            <x v="28"/>
          </reference>
          <reference field="41" count="1" selected="0">
            <x v="879"/>
          </reference>
        </references>
      </pivotArea>
    </format>
    <format dxfId="391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1774"/>
          </reference>
          <reference field="8" count="1" selected="0">
            <x v="1704"/>
          </reference>
          <reference field="15" count="1">
            <x v="14"/>
          </reference>
          <reference field="41" count="1" selected="0">
            <x v="881"/>
          </reference>
        </references>
      </pivotArea>
    </format>
    <format dxfId="390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858"/>
          </reference>
          <reference field="8" count="1" selected="0">
            <x v="1687"/>
          </reference>
          <reference field="15" count="1">
            <x v="35"/>
          </reference>
          <reference field="41" count="1" selected="0">
            <x v="882"/>
          </reference>
        </references>
      </pivotArea>
    </format>
    <format dxfId="389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498"/>
          </reference>
          <reference field="8" count="1" selected="0">
            <x v="1704"/>
          </reference>
          <reference field="15" count="1">
            <x v="68"/>
          </reference>
          <reference field="41" count="1" selected="0">
            <x v="883"/>
          </reference>
        </references>
      </pivotArea>
    </format>
    <format dxfId="388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882"/>
          </reference>
          <reference field="8" count="1" selected="0">
            <x v="1675"/>
          </reference>
          <reference field="15" count="1">
            <x v="59"/>
          </reference>
          <reference field="41" count="1" selected="0">
            <x v="884"/>
          </reference>
        </references>
      </pivotArea>
    </format>
    <format dxfId="387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1642"/>
          </reference>
          <reference field="8" count="1" selected="0">
            <x v="1431"/>
          </reference>
          <reference field="15" count="1">
            <x v="14"/>
          </reference>
          <reference field="41" count="1" selected="0">
            <x v="885"/>
          </reference>
        </references>
      </pivotArea>
    </format>
    <format dxfId="386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854"/>
          </reference>
          <reference field="8" count="1" selected="0">
            <x v="1688"/>
          </reference>
          <reference field="15" count="1">
            <x v="35"/>
          </reference>
          <reference field="41" count="1" selected="0">
            <x v="886"/>
          </reference>
        </references>
      </pivotArea>
    </format>
    <format dxfId="385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143"/>
          </reference>
          <reference field="8" count="1" selected="0">
            <x v="1560"/>
          </reference>
          <reference field="15" count="1">
            <x v="59"/>
          </reference>
          <reference field="41" count="1" selected="0">
            <x v="888"/>
          </reference>
        </references>
      </pivotArea>
    </format>
    <format dxfId="384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267"/>
          </reference>
          <reference field="8" count="1" selected="0">
            <x v="1582"/>
          </reference>
          <reference field="15" count="1">
            <x v="17"/>
          </reference>
          <reference field="41" count="1" selected="0">
            <x v="888"/>
          </reference>
        </references>
      </pivotArea>
    </format>
    <format dxfId="383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464"/>
          </reference>
          <reference field="8" count="1" selected="0">
            <x v="1608"/>
          </reference>
          <reference field="15" count="1">
            <x v="68"/>
          </reference>
          <reference field="41" count="1" selected="0">
            <x v="888"/>
          </reference>
        </references>
      </pivotArea>
    </format>
    <format dxfId="382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645"/>
          </reference>
          <reference field="8" count="1" selected="0">
            <x v="1645"/>
          </reference>
          <reference field="15" count="1">
            <x v="59"/>
          </reference>
          <reference field="41" count="1" selected="0">
            <x v="888"/>
          </reference>
        </references>
      </pivotArea>
    </format>
    <format dxfId="381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925"/>
          </reference>
          <reference field="8" count="1" selected="0">
            <x v="1676"/>
          </reference>
          <reference field="15" count="1">
            <x v="67"/>
          </reference>
          <reference field="41" count="1" selected="0">
            <x v="888"/>
          </reference>
        </references>
      </pivotArea>
    </format>
    <format dxfId="380">
      <pivotArea dataOnly="0" labelOnly="1" outline="0" fieldPosition="0">
        <references count="5">
          <reference field="3" count="1" selected="0">
            <x v="4"/>
          </reference>
          <reference field="6" count="1" selected="0">
            <x v="888"/>
          </reference>
          <reference field="8" count="1" selected="0">
            <x v="1673"/>
          </reference>
          <reference field="15" count="1">
            <x v="53"/>
          </reference>
          <reference field="41" count="1" selected="0">
            <x v="889"/>
          </reference>
        </references>
      </pivotArea>
    </format>
    <format dxfId="379">
      <pivotArea dataOnly="0" labelOnly="1" outline="0" fieldPosition="0">
        <references count="6">
          <reference field="3" count="1" selected="0">
            <x v="6"/>
          </reference>
          <reference field="6" count="1" selected="0">
            <x v="410"/>
          </reference>
          <reference field="8" count="1" selected="0">
            <x v="1666"/>
          </reference>
          <reference field="14" count="1">
            <x v="68"/>
          </reference>
          <reference field="15" count="1" selected="0">
            <x v="0"/>
          </reference>
          <reference field="41" count="1" selected="0">
            <x v="828"/>
          </reference>
        </references>
      </pivotArea>
    </format>
    <format dxfId="378">
      <pivotArea dataOnly="0" labelOnly="1" outline="0" fieldPosition="0">
        <references count="6">
          <reference field="3" count="1" selected="0">
            <x v="1"/>
          </reference>
          <reference field="6" count="1" selected="0">
            <x v="1498"/>
          </reference>
          <reference field="8" count="1" selected="0">
            <x v="1697"/>
          </reference>
          <reference field="14" count="1">
            <x v="0"/>
          </reference>
          <reference field="15" count="1" selected="0">
            <x v="46"/>
          </reference>
          <reference field="41" count="1" selected="0">
            <x v="833"/>
          </reference>
        </references>
      </pivotArea>
    </format>
    <format dxfId="377">
      <pivotArea dataOnly="0" labelOnly="1" outline="0" fieldPosition="0">
        <references count="6">
          <reference field="3" count="1" selected="0">
            <x v="3"/>
          </reference>
          <reference field="6" count="1" selected="0">
            <x v="37"/>
          </reference>
          <reference field="8" count="1" selected="0">
            <x v="1559"/>
          </reference>
          <reference field="14" count="1">
            <x v="68"/>
          </reference>
          <reference field="15" count="1" selected="0">
            <x v="68"/>
          </reference>
          <reference field="41" count="1" selected="0">
            <x v="833"/>
          </reference>
        </references>
      </pivotArea>
    </format>
    <format dxfId="376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379"/>
          </reference>
          <reference field="8" count="1" selected="0">
            <x v="1603"/>
          </reference>
          <reference field="14" count="1">
            <x v="156"/>
          </reference>
          <reference field="15" count="1" selected="0">
            <x v="71"/>
          </reference>
          <reference field="41" count="1" selected="0">
            <x v="834"/>
          </reference>
        </references>
      </pivotArea>
    </format>
    <format dxfId="375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412"/>
          </reference>
          <reference field="8" count="1" selected="0">
            <x v="1695"/>
          </reference>
          <reference field="14" count="1">
            <x v="68"/>
          </reference>
          <reference field="15" count="1" selected="0">
            <x v="0"/>
          </reference>
          <reference field="41" count="1" selected="0">
            <x v="834"/>
          </reference>
        </references>
      </pivotArea>
    </format>
    <format dxfId="374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586"/>
          </reference>
          <reference field="8" count="1" selected="0">
            <x v="1683"/>
          </reference>
          <reference field="14" count="1">
            <x v="158"/>
          </reference>
          <reference field="15" count="1" selected="0">
            <x v="71"/>
          </reference>
          <reference field="41" count="1" selected="0">
            <x v="834"/>
          </reference>
        </references>
      </pivotArea>
    </format>
    <format dxfId="373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554"/>
          </reference>
          <reference field="8" count="1" selected="0">
            <x v="1620"/>
          </reference>
          <reference field="14" count="1">
            <x v="7"/>
          </reference>
          <reference field="15" count="1" selected="0">
            <x v="11"/>
          </reference>
          <reference field="41" count="1" selected="0">
            <x v="835"/>
          </reference>
        </references>
      </pivotArea>
    </format>
    <format dxfId="372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558"/>
          </reference>
          <reference field="8" count="1" selected="0">
            <x v="1620"/>
          </reference>
          <reference field="14" count="1">
            <x v="8"/>
          </reference>
          <reference field="15" count="1" selected="0">
            <x v="11"/>
          </reference>
          <reference field="41" count="1" selected="0">
            <x v="835"/>
          </reference>
        </references>
      </pivotArea>
    </format>
    <format dxfId="371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562"/>
          </reference>
          <reference field="8" count="1" selected="0">
            <x v="1620"/>
          </reference>
          <reference field="14" count="1">
            <x v="9"/>
          </reference>
          <reference field="15" count="1" selected="0">
            <x v="11"/>
          </reference>
          <reference field="41" count="1" selected="0">
            <x v="835"/>
          </reference>
        </references>
      </pivotArea>
    </format>
    <format dxfId="370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600"/>
          </reference>
          <reference field="8" count="1" selected="0">
            <x v="1682"/>
          </reference>
          <reference field="14" count="1">
            <x v="158"/>
          </reference>
          <reference field="15" count="1" selected="0">
            <x v="71"/>
          </reference>
          <reference field="41" count="1" selected="0">
            <x v="836"/>
          </reference>
        </references>
      </pivotArea>
    </format>
    <format dxfId="369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290"/>
          </reference>
          <reference field="8" count="1" selected="0">
            <x v="1634"/>
          </reference>
          <reference field="14" count="1">
            <x v="148"/>
          </reference>
          <reference field="15" count="1" selected="0">
            <x v="71"/>
          </reference>
          <reference field="41" count="1" selected="0">
            <x v="838"/>
          </reference>
        </references>
      </pivotArea>
    </format>
    <format dxfId="368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414"/>
          </reference>
          <reference field="8" count="1" selected="0">
            <x v="1704"/>
          </reference>
          <reference field="14" count="1">
            <x v="68"/>
          </reference>
          <reference field="15" count="1" selected="0">
            <x v="0"/>
          </reference>
          <reference field="41" count="1" selected="0">
            <x v="839"/>
          </reference>
        </references>
      </pivotArea>
    </format>
    <format dxfId="367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276"/>
          </reference>
          <reference field="8" count="1" selected="0">
            <x v="1704"/>
          </reference>
          <reference field="14" count="1">
            <x v="132"/>
          </reference>
          <reference field="15" count="1" selected="0">
            <x v="46"/>
          </reference>
          <reference field="41" count="1" selected="0">
            <x v="840"/>
          </reference>
        </references>
      </pivotArea>
    </format>
    <format dxfId="366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477"/>
          </reference>
          <reference field="8" count="1" selected="0">
            <x v="1644"/>
          </reference>
          <reference field="14" count="1">
            <x v="119"/>
          </reference>
          <reference field="15" count="1" selected="0">
            <x v="59"/>
          </reference>
          <reference field="41" count="1" selected="0">
            <x v="840"/>
          </reference>
        </references>
      </pivotArea>
    </format>
    <format dxfId="365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520"/>
          </reference>
          <reference field="8" count="1" selected="0">
            <x v="1641"/>
          </reference>
          <reference field="14" count="1">
            <x v="23"/>
          </reference>
          <reference field="15" count="1" selected="0">
            <x v="46"/>
          </reference>
          <reference field="41" count="1" selected="0">
            <x v="840"/>
          </reference>
        </references>
      </pivotArea>
    </format>
    <format dxfId="364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1770"/>
          </reference>
          <reference field="8" count="1" selected="0">
            <x v="1507"/>
          </reference>
          <reference field="14" count="1">
            <x v="34"/>
          </reference>
          <reference field="15" count="1" selected="0">
            <x v="14"/>
          </reference>
          <reference field="41" count="1" selected="0">
            <x v="840"/>
          </reference>
        </references>
      </pivotArea>
    </format>
    <format dxfId="363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415"/>
          </reference>
          <reference field="8" count="1" selected="0">
            <x v="1704"/>
          </reference>
          <reference field="14" count="1">
            <x v="68"/>
          </reference>
          <reference field="15" count="1" selected="0">
            <x v="0"/>
          </reference>
          <reference field="41" count="1" selected="0">
            <x v="840"/>
          </reference>
        </references>
      </pivotArea>
    </format>
    <format dxfId="362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416"/>
          </reference>
          <reference field="8" count="1" selected="0">
            <x v="1704"/>
          </reference>
          <reference field="14" count="1">
            <x v="68"/>
          </reference>
          <reference field="15" count="1" selected="0">
            <x v="0"/>
          </reference>
          <reference field="41" count="1" selected="0">
            <x v="842"/>
          </reference>
        </references>
      </pivotArea>
    </format>
    <format dxfId="361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749"/>
          </reference>
          <reference field="8" count="1" selected="0">
            <x v="1704"/>
          </reference>
          <reference field="14" count="1">
            <x v="158"/>
          </reference>
          <reference field="15" count="1" selected="0">
            <x v="71"/>
          </reference>
          <reference field="41" count="1" selected="0">
            <x v="842"/>
          </reference>
        </references>
      </pivotArea>
    </format>
    <format dxfId="360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417"/>
          </reference>
          <reference field="8" count="1" selected="0">
            <x v="1704"/>
          </reference>
          <reference field="14" count="1">
            <x v="68"/>
          </reference>
          <reference field="15" count="1" selected="0">
            <x v="0"/>
          </reference>
          <reference field="41" count="1" selected="0">
            <x v="843"/>
          </reference>
        </references>
      </pivotArea>
    </format>
    <format dxfId="359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97"/>
          </reference>
          <reference field="8" count="1" selected="0">
            <x v="1562"/>
          </reference>
          <reference field="14" count="1">
            <x v="148"/>
          </reference>
          <reference field="15" count="1" selected="0">
            <x v="71"/>
          </reference>
          <reference field="41" count="1" selected="0">
            <x v="844"/>
          </reference>
        </references>
      </pivotArea>
    </format>
    <format dxfId="358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537"/>
          </reference>
          <reference field="8" count="1" selected="0">
            <x v="1617"/>
          </reference>
          <reference field="14" count="1">
            <x v="111"/>
          </reference>
          <reference field="15" count="1" selected="0">
            <x v="35"/>
          </reference>
          <reference field="41" count="1" selected="0">
            <x v="845"/>
          </reference>
        </references>
      </pivotArea>
    </format>
    <format dxfId="357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842"/>
          </reference>
          <reference field="8" count="1" selected="0">
            <x v="1704"/>
          </reference>
          <reference field="14" count="1">
            <x v="148"/>
          </reference>
          <reference field="15" count="1" selected="0">
            <x v="71"/>
          </reference>
          <reference field="41" count="1" selected="0">
            <x v="846"/>
          </reference>
        </references>
      </pivotArea>
    </format>
    <format dxfId="356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978"/>
          </reference>
          <reference field="8" count="1" selected="0">
            <x v="1704"/>
          </reference>
          <reference field="14" count="1">
            <x v="158"/>
          </reference>
          <reference field="15" count="1" selected="0">
            <x v="71"/>
          </reference>
          <reference field="41" count="1" selected="0">
            <x v="846"/>
          </reference>
        </references>
      </pivotArea>
    </format>
    <format dxfId="355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418"/>
          </reference>
          <reference field="8" count="1" selected="0">
            <x v="1704"/>
          </reference>
          <reference field="14" count="1">
            <x v="68"/>
          </reference>
          <reference field="15" count="1" selected="0">
            <x v="0"/>
          </reference>
          <reference field="41" count="1" selected="0">
            <x v="847"/>
          </reference>
        </references>
      </pivotArea>
    </format>
    <format dxfId="354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804"/>
          </reference>
          <reference field="8" count="1" selected="0">
            <x v="1704"/>
          </reference>
          <reference field="14" count="1">
            <x v="158"/>
          </reference>
          <reference field="15" count="1" selected="0">
            <x v="71"/>
          </reference>
          <reference field="41" count="1" selected="0">
            <x v="847"/>
          </reference>
        </references>
      </pivotArea>
    </format>
    <format dxfId="353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419"/>
          </reference>
          <reference field="8" count="1" selected="0">
            <x v="1704"/>
          </reference>
          <reference field="14" count="1">
            <x v="68"/>
          </reference>
          <reference field="15" count="1" selected="0">
            <x v="0"/>
          </reference>
          <reference field="41" count="1" selected="0">
            <x v="848"/>
          </reference>
        </references>
      </pivotArea>
    </format>
    <format dxfId="352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846"/>
          </reference>
          <reference field="8" count="1" selected="0">
            <x v="1704"/>
          </reference>
          <reference field="14" count="1">
            <x v="148"/>
          </reference>
          <reference field="15" count="1" selected="0">
            <x v="71"/>
          </reference>
          <reference field="41" count="1" selected="0">
            <x v="849"/>
          </reference>
        </references>
      </pivotArea>
    </format>
    <format dxfId="351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420"/>
          </reference>
          <reference field="8" count="1" selected="0">
            <x v="1704"/>
          </reference>
          <reference field="14" count="1">
            <x v="68"/>
          </reference>
          <reference field="15" count="1" selected="0">
            <x v="0"/>
          </reference>
          <reference field="41" count="1" selected="0">
            <x v="850"/>
          </reference>
        </references>
      </pivotArea>
    </format>
    <format dxfId="350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606"/>
          </reference>
          <reference field="8" count="1" selected="0">
            <x v="1635"/>
          </reference>
          <reference field="14" count="1">
            <x v="148"/>
          </reference>
          <reference field="15" count="1" selected="0">
            <x v="71"/>
          </reference>
          <reference field="41" count="1" selected="0">
            <x v="850"/>
          </reference>
        </references>
      </pivotArea>
    </format>
    <format dxfId="349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990"/>
          </reference>
          <reference field="8" count="1" selected="0">
            <x v="1704"/>
          </reference>
          <reference field="14" count="1">
            <x v="158"/>
          </reference>
          <reference field="15" count="1" selected="0">
            <x v="71"/>
          </reference>
          <reference field="41" count="1" selected="0">
            <x v="850"/>
          </reference>
        </references>
      </pivotArea>
    </format>
    <format dxfId="348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421"/>
          </reference>
          <reference field="8" count="1" selected="0">
            <x v="1704"/>
          </reference>
          <reference field="14" count="1">
            <x v="68"/>
          </reference>
          <reference field="15" count="1" selected="0">
            <x v="0"/>
          </reference>
          <reference field="41" count="1" selected="0">
            <x v="852"/>
          </reference>
        </references>
      </pivotArea>
    </format>
    <format dxfId="347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830"/>
          </reference>
          <reference field="8" count="1" selected="0">
            <x v="1704"/>
          </reference>
          <reference field="14" count="1">
            <x v="158"/>
          </reference>
          <reference field="15" count="1" selected="0">
            <x v="71"/>
          </reference>
          <reference field="41" count="1" selected="0">
            <x v="852"/>
          </reference>
        </references>
      </pivotArea>
    </format>
    <format dxfId="346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255"/>
          </reference>
          <reference field="8" count="1" selected="0">
            <x v="1581"/>
          </reference>
          <reference field="14" count="1">
            <x v="112"/>
          </reference>
          <reference field="15" count="1" selected="0">
            <x v="68"/>
          </reference>
          <reference field="41" count="1" selected="0">
            <x v="853"/>
          </reference>
        </references>
      </pivotArea>
    </format>
    <format dxfId="345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531"/>
          </reference>
          <reference field="8" count="1" selected="0">
            <x v="1616"/>
          </reference>
          <reference field="14" count="1">
            <x v="84"/>
          </reference>
          <reference field="15" count="1" selected="0">
            <x v="54"/>
          </reference>
          <reference field="41" count="1" selected="0">
            <x v="854"/>
          </reference>
        </references>
      </pivotArea>
    </format>
    <format dxfId="344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241"/>
          </reference>
          <reference field="8" count="1" selected="0">
            <x v="1580"/>
          </reference>
          <reference field="14" count="1">
            <x v="129"/>
          </reference>
          <reference field="15" count="1" selected="0">
            <x v="68"/>
          </reference>
          <reference field="41" count="1" selected="0">
            <x v="855"/>
          </reference>
        </references>
      </pivotArea>
    </format>
    <format dxfId="343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422"/>
          </reference>
          <reference field="8" count="1" selected="0">
            <x v="1704"/>
          </reference>
          <reference field="14" count="1">
            <x v="68"/>
          </reference>
          <reference field="15" count="1" selected="0">
            <x v="0"/>
          </reference>
          <reference field="41" count="1" selected="0">
            <x v="855"/>
          </reference>
        </references>
      </pivotArea>
    </format>
    <format dxfId="342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629"/>
          </reference>
          <reference field="8" count="1" selected="0">
            <x v="1636"/>
          </reference>
          <reference field="14" count="1">
            <x v="148"/>
          </reference>
          <reference field="15" count="1" selected="0">
            <x v="71"/>
          </reference>
          <reference field="41" count="1" selected="0">
            <x v="857"/>
          </reference>
        </references>
      </pivotArea>
    </format>
    <format dxfId="341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166"/>
          </reference>
          <reference field="8" count="1" selected="0">
            <x v="1570"/>
          </reference>
          <reference field="14" count="1">
            <x v="161"/>
          </reference>
          <reference field="15" count="1" selected="0">
            <x v="71"/>
          </reference>
          <reference field="41" count="1" selected="0">
            <x v="858"/>
          </reference>
        </references>
      </pivotArea>
    </format>
    <format dxfId="340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682"/>
          </reference>
          <reference field="8" count="1" selected="0">
            <x v="1650"/>
          </reference>
          <reference field="14" count="1">
            <x v="107"/>
          </reference>
          <reference field="15" count="1" selected="0">
            <x v="61"/>
          </reference>
          <reference field="41" count="1" selected="0">
            <x v="859"/>
          </reference>
        </references>
      </pivotArea>
    </format>
    <format dxfId="339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715"/>
          </reference>
          <reference field="8" count="1" selected="0">
            <x v="1704"/>
          </reference>
          <reference field="14" count="1">
            <x v="33"/>
          </reference>
          <reference field="15" count="1" selected="0">
            <x v="61"/>
          </reference>
          <reference field="41" count="1" selected="0">
            <x v="859"/>
          </reference>
        </references>
      </pivotArea>
    </format>
    <format dxfId="338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129"/>
          </reference>
          <reference field="8" count="1" selected="0">
            <x v="1557"/>
          </reference>
          <reference field="14" count="1">
            <x v="67"/>
          </reference>
          <reference field="15" count="1" selected="0">
            <x v="17"/>
          </reference>
          <reference field="41" count="1" selected="0">
            <x v="860"/>
          </reference>
        </references>
      </pivotArea>
    </format>
    <format dxfId="337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792"/>
          </reference>
          <reference field="8" count="1" selected="0">
            <x v="1633"/>
          </reference>
          <reference field="14" count="1">
            <x v="155"/>
          </reference>
          <reference field="15" count="1" selected="0">
            <x v="71"/>
          </reference>
          <reference field="41" count="1" selected="0">
            <x v="860"/>
          </reference>
        </references>
      </pivotArea>
    </format>
    <format dxfId="336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1755"/>
          </reference>
          <reference field="8" count="1" selected="0">
            <x v="1704"/>
          </reference>
          <reference field="14" count="1">
            <x v="1"/>
          </reference>
          <reference field="15" count="1" selected="0">
            <x v="4"/>
          </reference>
          <reference field="41" count="1" selected="0">
            <x v="861"/>
          </reference>
        </references>
      </pivotArea>
    </format>
    <format dxfId="335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756"/>
          </reference>
          <reference field="8" count="1" selected="0">
            <x v="1624"/>
          </reference>
          <reference field="14" count="1">
            <x v="114"/>
          </reference>
          <reference field="15" count="1" selected="0">
            <x v="35"/>
          </reference>
          <reference field="41" count="1" selected="0">
            <x v="861"/>
          </reference>
        </references>
      </pivotArea>
    </format>
    <format dxfId="334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686"/>
          </reference>
          <reference field="8" count="1" selected="0">
            <x v="1704"/>
          </reference>
          <reference field="14" count="1">
            <x v="108"/>
          </reference>
          <reference field="15" count="1" selected="0">
            <x v="61"/>
          </reference>
          <reference field="41" count="1" selected="0">
            <x v="862"/>
          </reference>
        </references>
      </pivotArea>
    </format>
    <format dxfId="333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720"/>
          </reference>
          <reference field="8" count="1" selected="0">
            <x v="1704"/>
          </reference>
          <reference field="14" count="1">
            <x v="33"/>
          </reference>
          <reference field="15" count="1" selected="0">
            <x v="61"/>
          </reference>
          <reference field="41" count="1" selected="0">
            <x v="862"/>
          </reference>
        </references>
      </pivotArea>
    </format>
    <format dxfId="332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1628"/>
          </reference>
          <reference field="8" count="1" selected="0">
            <x v="1429"/>
          </reference>
          <reference field="14" count="1">
            <x v="152"/>
          </reference>
          <reference field="15" count="1" selected="0">
            <x v="71"/>
          </reference>
          <reference field="41" count="1" selected="0">
            <x v="863"/>
          </reference>
        </references>
      </pivotArea>
    </format>
    <format dxfId="331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662"/>
          </reference>
          <reference field="8" count="1" selected="0">
            <x v="1647"/>
          </reference>
          <reference field="14" count="1">
            <x v="128"/>
          </reference>
          <reference field="15" count="1" selected="0">
            <x v="61"/>
          </reference>
          <reference field="41" count="1" selected="0">
            <x v="864"/>
          </reference>
        </references>
      </pivotArea>
    </format>
    <format dxfId="330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689"/>
          </reference>
          <reference field="8" count="1" selected="0">
            <x v="1704"/>
          </reference>
          <reference field="14" count="1">
            <x v="107"/>
          </reference>
          <reference field="15" count="1" selected="0">
            <x v="61"/>
          </reference>
          <reference field="41" count="1" selected="0">
            <x v="864"/>
          </reference>
        </references>
      </pivotArea>
    </format>
    <format dxfId="329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725"/>
          </reference>
          <reference field="8" count="1" selected="0">
            <x v="1704"/>
          </reference>
          <reference field="14" count="1">
            <x v="33"/>
          </reference>
          <reference field="15" count="1" selected="0">
            <x v="61"/>
          </reference>
          <reference field="41" count="1" selected="0">
            <x v="864"/>
          </reference>
        </references>
      </pivotArea>
    </format>
    <format dxfId="328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1772"/>
          </reference>
          <reference field="8" count="1" selected="0">
            <x v="1639"/>
          </reference>
          <reference field="14" count="1">
            <x v="34"/>
          </reference>
          <reference field="15" count="1" selected="0">
            <x v="14"/>
          </reference>
          <reference field="41" count="1" selected="0">
            <x v="866"/>
          </reference>
        </references>
      </pivotArea>
    </format>
    <format dxfId="327">
      <pivotArea dataOnly="0" labelOnly="1" outline="0" fieldPosition="0">
        <references count="6">
          <reference field="3" count="1" selected="0">
            <x v="2"/>
          </reference>
          <reference field="6" count="1" selected="0">
            <x v="1763"/>
          </reference>
          <reference field="8" count="1" selected="0">
            <x v="1704"/>
          </reference>
          <reference field="14" count="1">
            <x v="0"/>
          </reference>
          <reference field="15" count="1" selected="0">
            <x v="46"/>
          </reference>
          <reference field="41" count="1" selected="0">
            <x v="867"/>
          </reference>
        </references>
      </pivotArea>
    </format>
    <format dxfId="326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673"/>
          </reference>
          <reference field="8" count="1" selected="0">
            <x v="1648"/>
          </reference>
          <reference field="14" count="1">
            <x v="37"/>
          </reference>
          <reference field="15" count="1" selected="0">
            <x v="61"/>
          </reference>
          <reference field="41" count="1" selected="0">
            <x v="868"/>
          </reference>
        </references>
      </pivotArea>
    </format>
    <format dxfId="325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692"/>
          </reference>
          <reference field="8" count="1" selected="0">
            <x v="1704"/>
          </reference>
          <reference field="14" count="1">
            <x v="107"/>
          </reference>
          <reference field="15" count="1" selected="0">
            <x v="61"/>
          </reference>
          <reference field="41" count="1" selected="0">
            <x v="868"/>
          </reference>
        </references>
      </pivotArea>
    </format>
    <format dxfId="324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727"/>
          </reference>
          <reference field="8" count="1" selected="0">
            <x v="1649"/>
          </reference>
          <reference field="14" count="1">
            <x v="33"/>
          </reference>
          <reference field="15" count="1" selected="0">
            <x v="61"/>
          </reference>
          <reference field="41" count="1" selected="0">
            <x v="868"/>
          </reference>
        </references>
      </pivotArea>
    </format>
    <format dxfId="323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766"/>
          </reference>
          <reference field="8" count="1" selected="0">
            <x v="1652"/>
          </reference>
          <reference field="14" count="1">
            <x v="62"/>
          </reference>
          <reference field="15" count="1" selected="0">
            <x v="46"/>
          </reference>
          <reference field="41" count="1" selected="0">
            <x v="870"/>
          </reference>
        </references>
      </pivotArea>
    </format>
    <format dxfId="322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794"/>
          </reference>
          <reference field="8" count="1" selected="0">
            <x v="1704"/>
          </reference>
          <reference field="14" count="1">
            <x v="155"/>
          </reference>
          <reference field="15" count="1" selected="0">
            <x v="71"/>
          </reference>
          <reference field="41" count="1" selected="0">
            <x v="870"/>
          </reference>
        </references>
      </pivotArea>
    </format>
    <format dxfId="321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898"/>
          </reference>
          <reference field="8" count="1" selected="0">
            <x v="1680"/>
          </reference>
          <reference field="14" count="1">
            <x v="105"/>
          </reference>
          <reference field="15" count="1" selected="0">
            <x v="46"/>
          </reference>
          <reference field="41" count="1" selected="0">
            <x v="870"/>
          </reference>
        </references>
      </pivotArea>
    </format>
    <format dxfId="320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948"/>
          </reference>
          <reference field="8" count="1" selected="0">
            <x v="1690"/>
          </reference>
          <reference field="14" count="1">
            <x v="106"/>
          </reference>
          <reference field="15" count="1" selected="0">
            <x v="46"/>
          </reference>
          <reference field="41" count="1" selected="0">
            <x v="870"/>
          </reference>
        </references>
      </pivotArea>
    </format>
    <format dxfId="319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1729"/>
          </reference>
          <reference field="8" count="1" selected="0">
            <x v="1472"/>
          </reference>
          <reference field="14" count="1">
            <x v="165"/>
          </reference>
          <reference field="15" count="1" selected="0">
            <x v="71"/>
          </reference>
          <reference field="41" count="1" selected="0">
            <x v="871"/>
          </reference>
        </references>
      </pivotArea>
    </format>
    <format dxfId="318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1732"/>
          </reference>
          <reference field="8" count="1" selected="0">
            <x v="1473"/>
          </reference>
          <reference field="14" count="1">
            <x v="166"/>
          </reference>
          <reference field="15" count="1" selected="0">
            <x v="71"/>
          </reference>
          <reference field="41" count="1" selected="0">
            <x v="871"/>
          </reference>
        </references>
      </pivotArea>
    </format>
    <format dxfId="317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1734"/>
          </reference>
          <reference field="8" count="1" selected="0">
            <x v="1474"/>
          </reference>
          <reference field="14" count="1">
            <x v="164"/>
          </reference>
          <reference field="15" count="1" selected="0">
            <x v="71"/>
          </reference>
          <reference field="41" count="1" selected="0">
            <x v="871"/>
          </reference>
        </references>
      </pivotArea>
    </format>
    <format dxfId="316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343"/>
          </reference>
          <reference field="8" count="1" selected="0">
            <x v="1609"/>
          </reference>
          <reference field="14" count="1">
            <x v="71"/>
          </reference>
          <reference field="15" count="1" selected="0">
            <x v="68"/>
          </reference>
          <reference field="41" count="1" selected="0">
            <x v="872"/>
          </reference>
        </references>
      </pivotArea>
    </format>
    <format dxfId="315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770"/>
          </reference>
          <reference field="8" count="1" selected="0">
            <x v="1704"/>
          </reference>
          <reference field="14" count="1">
            <x v="62"/>
          </reference>
          <reference field="15" count="1" selected="0">
            <x v="46"/>
          </reference>
          <reference field="41" count="1" selected="0">
            <x v="872"/>
          </reference>
        </references>
      </pivotArea>
    </format>
    <format dxfId="314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950"/>
          </reference>
          <reference field="8" count="1" selected="0">
            <x v="1691"/>
          </reference>
          <reference field="14" count="1">
            <x v="106"/>
          </reference>
          <reference field="15" count="1" selected="0">
            <x v="46"/>
          </reference>
          <reference field="41" count="1" selected="0">
            <x v="872"/>
          </reference>
        </references>
      </pivotArea>
    </format>
    <format dxfId="313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533"/>
          </reference>
          <reference field="8" count="1" selected="0">
            <x v="1704"/>
          </reference>
          <reference field="14" count="1">
            <x v="84"/>
          </reference>
          <reference field="15" count="1" selected="0">
            <x v="54"/>
          </reference>
          <reference field="41" count="1" selected="0">
            <x v="873"/>
          </reference>
        </references>
      </pivotArea>
    </format>
    <format dxfId="312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424"/>
          </reference>
          <reference field="8" count="1" selected="0">
            <x v="1605"/>
          </reference>
          <reference field="14" count="1">
            <x v="38"/>
          </reference>
          <reference field="15" count="1" selected="0">
            <x v="68"/>
          </reference>
          <reference field="41" count="1" selected="0">
            <x v="874"/>
          </reference>
        </references>
      </pivotArea>
    </format>
    <format dxfId="311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821"/>
          </reference>
          <reference field="8" count="1" selected="0">
            <x v="1661"/>
          </reference>
          <reference field="14" count="1">
            <x v="116"/>
          </reference>
          <reference field="15" count="1" selected="0">
            <x v="68"/>
          </reference>
          <reference field="41" count="1" selected="0">
            <x v="874"/>
          </reference>
        </references>
      </pivotArea>
    </format>
    <format dxfId="310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773"/>
          </reference>
          <reference field="8" count="1" selected="0">
            <x v="1704"/>
          </reference>
          <reference field="14" count="1">
            <x v="62"/>
          </reference>
          <reference field="15" count="1" selected="0">
            <x v="46"/>
          </reference>
          <reference field="41" count="1" selected="0">
            <x v="875"/>
          </reference>
        </references>
      </pivotArea>
    </format>
    <format dxfId="309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901"/>
          </reference>
          <reference field="8" count="1" selected="0">
            <x v="1681"/>
          </reference>
          <reference field="14" count="1">
            <x v="105"/>
          </reference>
          <reference field="15" count="1" selected="0">
            <x v="46"/>
          </reference>
          <reference field="41" count="1" selected="0">
            <x v="875"/>
          </reference>
        </references>
      </pivotArea>
    </format>
    <format dxfId="308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951"/>
          </reference>
          <reference field="8" count="1" selected="0">
            <x v="1692"/>
          </reference>
          <reference field="14" count="1">
            <x v="106"/>
          </reference>
          <reference field="15" count="1" selected="0">
            <x v="46"/>
          </reference>
          <reference field="41" count="1" selected="0">
            <x v="875"/>
          </reference>
        </references>
      </pivotArea>
    </format>
    <format dxfId="307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443"/>
          </reference>
          <reference field="8" count="1" selected="0">
            <x v="1607"/>
          </reference>
          <reference field="14" count="1">
            <x v="128"/>
          </reference>
          <reference field="15" count="1" selected="0">
            <x v="68"/>
          </reference>
          <reference field="41" count="1" selected="0">
            <x v="876"/>
          </reference>
        </references>
      </pivotArea>
    </format>
    <format dxfId="306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452"/>
          </reference>
          <reference field="8" count="1" selected="0">
            <x v="1606"/>
          </reference>
          <reference field="14" count="1">
            <x v="110"/>
          </reference>
          <reference field="15" count="1" selected="0">
            <x v="59"/>
          </reference>
          <reference field="41" count="1" selected="0">
            <x v="876"/>
          </reference>
        </references>
      </pivotArea>
    </format>
    <format dxfId="305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484"/>
          </reference>
          <reference field="8" count="1" selected="0">
            <x v="1611"/>
          </reference>
          <reference field="14" count="1">
            <x v="34"/>
          </reference>
          <reference field="15" count="1" selected="0">
            <x v="68"/>
          </reference>
          <reference field="41" count="1" selected="0">
            <x v="876"/>
          </reference>
        </references>
      </pivotArea>
    </format>
    <format dxfId="304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781"/>
          </reference>
          <reference field="8" count="1" selected="0">
            <x v="1646"/>
          </reference>
          <reference field="14" count="1">
            <x v="112"/>
          </reference>
          <reference field="15" count="1" selected="0">
            <x v="59"/>
          </reference>
          <reference field="41" count="1" selected="0">
            <x v="876"/>
          </reference>
        </references>
      </pivotArea>
    </format>
    <format dxfId="303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938"/>
          </reference>
          <reference field="8" count="1" selected="0">
            <x v="1689"/>
          </reference>
          <reference field="14" count="1">
            <x v="87"/>
          </reference>
          <reference field="15" count="1" selected="0">
            <x v="28"/>
          </reference>
          <reference field="41" count="1" selected="0">
            <x v="879"/>
          </reference>
        </references>
      </pivotArea>
    </format>
    <format dxfId="302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1774"/>
          </reference>
          <reference field="8" count="1" selected="0">
            <x v="1704"/>
          </reference>
          <reference field="14" count="1">
            <x v="34"/>
          </reference>
          <reference field="15" count="1" selected="0">
            <x v="14"/>
          </reference>
          <reference field="41" count="1" selected="0">
            <x v="881"/>
          </reference>
        </references>
      </pivotArea>
    </format>
    <format dxfId="301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1782"/>
          </reference>
          <reference field="8" count="1" selected="0">
            <x v="1499"/>
          </reference>
          <reference field="14" count="1">
            <x v="63"/>
          </reference>
          <reference field="15" count="1" selected="0">
            <x v="14"/>
          </reference>
          <reference field="41" count="1" selected="0">
            <x v="881"/>
          </reference>
        </references>
      </pivotArea>
    </format>
    <format dxfId="300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858"/>
          </reference>
          <reference field="8" count="1" selected="0">
            <x v="1687"/>
          </reference>
          <reference field="14" count="1">
            <x v="22"/>
          </reference>
          <reference field="15" count="1" selected="0">
            <x v="35"/>
          </reference>
          <reference field="41" count="1" selected="0">
            <x v="882"/>
          </reference>
        </references>
      </pivotArea>
    </format>
    <format dxfId="299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498"/>
          </reference>
          <reference field="8" count="1" selected="0">
            <x v="1704"/>
          </reference>
          <reference field="14" count="1">
            <x v="116"/>
          </reference>
          <reference field="15" count="1" selected="0">
            <x v="68"/>
          </reference>
          <reference field="41" count="1" selected="0">
            <x v="883"/>
          </reference>
        </references>
      </pivotArea>
    </format>
    <format dxfId="298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654"/>
          </reference>
          <reference field="8" count="1" selected="0">
            <x v="1655"/>
          </reference>
          <reference field="14" count="1">
            <x v="114"/>
          </reference>
          <reference field="15" count="1" selected="0">
            <x v="68"/>
          </reference>
          <reference field="41" count="1" selected="0">
            <x v="883"/>
          </reference>
        </references>
      </pivotArea>
    </format>
    <format dxfId="297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966"/>
          </reference>
          <reference field="8" count="1" selected="0">
            <x v="1698"/>
          </reference>
          <reference field="14" count="1">
            <x v="116"/>
          </reference>
          <reference field="15" count="1" selected="0">
            <x v="68"/>
          </reference>
          <reference field="41" count="1" selected="0">
            <x v="883"/>
          </reference>
        </references>
      </pivotArea>
    </format>
    <format dxfId="296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882"/>
          </reference>
          <reference field="8" count="1" selected="0">
            <x v="1675"/>
          </reference>
          <reference field="14" count="1">
            <x v="110"/>
          </reference>
          <reference field="15" count="1" selected="0">
            <x v="59"/>
          </reference>
          <reference field="41" count="1" selected="0">
            <x v="884"/>
          </reference>
        </references>
      </pivotArea>
    </format>
    <format dxfId="295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1642"/>
          </reference>
          <reference field="8" count="1" selected="0">
            <x v="1431"/>
          </reference>
          <reference field="14" count="1">
            <x v="34"/>
          </reference>
          <reference field="15" count="1" selected="0">
            <x v="14"/>
          </reference>
          <reference field="41" count="1" selected="0">
            <x v="885"/>
          </reference>
        </references>
      </pivotArea>
    </format>
    <format dxfId="294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1783"/>
          </reference>
          <reference field="8" count="1" selected="0">
            <x v="1499"/>
          </reference>
          <reference field="14" count="1">
            <x v="63"/>
          </reference>
          <reference field="15" count="1" selected="0">
            <x v="14"/>
          </reference>
          <reference field="41" count="1" selected="0">
            <x v="885"/>
          </reference>
        </references>
      </pivotArea>
    </format>
    <format dxfId="293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854"/>
          </reference>
          <reference field="8" count="1" selected="0">
            <x v="1688"/>
          </reference>
          <reference field="14" count="1">
            <x v="22"/>
          </reference>
          <reference field="15" count="1" selected="0">
            <x v="35"/>
          </reference>
          <reference field="41" count="1" selected="0">
            <x v="886"/>
          </reference>
        </references>
      </pivotArea>
    </format>
    <format dxfId="292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872"/>
          </reference>
          <reference field="8" count="1" selected="0">
            <x v="1674"/>
          </reference>
          <reference field="14" count="1">
            <x v="111"/>
          </reference>
          <reference field="15" count="1" selected="0">
            <x v="35"/>
          </reference>
          <reference field="41" count="1" selected="0">
            <x v="887"/>
          </reference>
        </references>
      </pivotArea>
    </format>
    <format dxfId="291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143"/>
          </reference>
          <reference field="8" count="1" selected="0">
            <x v="1560"/>
          </reference>
          <reference field="14" count="1">
            <x v="67"/>
          </reference>
          <reference field="15" count="1" selected="0">
            <x v="59"/>
          </reference>
          <reference field="41" count="1" selected="0">
            <x v="888"/>
          </reference>
        </references>
      </pivotArea>
    </format>
    <format dxfId="290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267"/>
          </reference>
          <reference field="8" count="1" selected="0">
            <x v="1582"/>
          </reference>
          <reference field="14" count="1">
            <x v="92"/>
          </reference>
          <reference field="15" count="1" selected="0">
            <x v="17"/>
          </reference>
          <reference field="41" count="1" selected="0">
            <x v="888"/>
          </reference>
        </references>
      </pivotArea>
    </format>
    <format dxfId="289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645"/>
          </reference>
          <reference field="8" count="1" selected="0">
            <x v="1645"/>
          </reference>
          <reference field="14" count="1">
            <x v="67"/>
          </reference>
          <reference field="15" count="1" selected="0">
            <x v="59"/>
          </reference>
          <reference field="41" count="1" selected="0">
            <x v="888"/>
          </reference>
        </references>
      </pivotArea>
    </format>
    <format dxfId="288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925"/>
          </reference>
          <reference field="8" count="1" selected="0">
            <x v="1676"/>
          </reference>
          <reference field="14" count="1">
            <x v="92"/>
          </reference>
          <reference field="15" count="1" selected="0">
            <x v="67"/>
          </reference>
          <reference field="41" count="1" selected="0">
            <x v="888"/>
          </reference>
        </references>
      </pivotArea>
    </format>
    <format dxfId="287">
      <pivotArea dataOnly="0" labelOnly="1" outline="0" fieldPosition="0">
        <references count="6">
          <reference field="3" count="1" selected="0">
            <x v="4"/>
          </reference>
          <reference field="6" count="1" selected="0">
            <x v="888"/>
          </reference>
          <reference field="8" count="1" selected="0">
            <x v="1673"/>
          </reference>
          <reference field="14" count="1">
            <x v="89"/>
          </reference>
          <reference field="15" count="1" selected="0">
            <x v="53"/>
          </reference>
          <reference field="41" count="1" selected="0">
            <x v="889"/>
          </reference>
        </references>
      </pivotArea>
    </format>
    <format dxfId="286">
      <pivotArea dataOnly="0" labelOnly="1" outline="0" fieldPosition="0">
        <references count="7">
          <reference field="3" count="1" selected="0">
            <x v="6"/>
          </reference>
          <reference field="6" count="1" selected="0">
            <x v="410"/>
          </reference>
          <reference field="8" count="1" selected="0">
            <x v="1666"/>
          </reference>
          <reference field="14" count="1" selected="0">
            <x v="68"/>
          </reference>
          <reference field="15" count="1" selected="0">
            <x v="0"/>
          </reference>
          <reference field="26" count="1">
            <x v="234"/>
          </reference>
          <reference field="41" count="1" selected="0">
            <x v="828"/>
          </reference>
        </references>
      </pivotArea>
    </format>
    <format dxfId="285">
      <pivotArea dataOnly="0" labelOnly="1" outline="0" fieldPosition="0">
        <references count="7">
          <reference field="3" count="1" selected="0">
            <x v="6"/>
          </reference>
          <reference field="6" count="1" selected="0">
            <x v="406"/>
          </reference>
          <reference field="8" count="1" selected="0">
            <x v="1693"/>
          </reference>
          <reference field="14" count="1" selected="0">
            <x v="68"/>
          </reference>
          <reference field="15" count="1" selected="0">
            <x v="0"/>
          </reference>
          <reference field="26" count="1">
            <x v="137"/>
          </reference>
          <reference field="41" count="1" selected="0">
            <x v="829"/>
          </reference>
        </references>
      </pivotArea>
    </format>
    <format dxfId="284">
      <pivotArea dataOnly="0" labelOnly="1" outline="0" fieldPosition="0">
        <references count="7">
          <reference field="3" count="1" selected="0">
            <x v="1"/>
          </reference>
          <reference field="6" count="1" selected="0">
            <x v="1498"/>
          </reference>
          <reference field="8" count="1" selected="0">
            <x v="1697"/>
          </reference>
          <reference field="14" count="1" selected="0">
            <x v="0"/>
          </reference>
          <reference field="15" count="1" selected="0">
            <x v="46"/>
          </reference>
          <reference field="26" count="1">
            <x v="149"/>
          </reference>
          <reference field="41" count="1" selected="0">
            <x v="833"/>
          </reference>
        </references>
      </pivotArea>
    </format>
    <format dxfId="283">
      <pivotArea dataOnly="0" labelOnly="1" outline="0" fieldPosition="0">
        <references count="7">
          <reference field="3" count="1" selected="0">
            <x v="3"/>
          </reference>
          <reference field="6" count="1" selected="0">
            <x v="37"/>
          </reference>
          <reference field="8" count="1" selected="0">
            <x v="1559"/>
          </reference>
          <reference field="14" count="1" selected="0">
            <x v="68"/>
          </reference>
          <reference field="15" count="1" selected="0">
            <x v="68"/>
          </reference>
          <reference field="26" count="1">
            <x v="350"/>
          </reference>
          <reference field="41" count="1" selected="0">
            <x v="833"/>
          </reference>
        </references>
      </pivotArea>
    </format>
    <format dxfId="282">
      <pivotArea dataOnly="0" labelOnly="1" outline="0" fieldPosition="0">
        <references count="7">
          <reference field="3" count="1" selected="0">
            <x v="6"/>
          </reference>
          <reference field="6" count="1" selected="0">
            <x v="411"/>
          </reference>
          <reference field="8" count="1" selected="0">
            <x v="1694"/>
          </reference>
          <reference field="14" count="1" selected="0">
            <x v="68"/>
          </reference>
          <reference field="15" count="1" selected="0">
            <x v="0"/>
          </reference>
          <reference field="26" count="1">
            <x v="104"/>
          </reference>
          <reference field="41" count="1" selected="0">
            <x v="833"/>
          </reference>
        </references>
      </pivotArea>
    </format>
    <format dxfId="281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379"/>
          </reference>
          <reference field="8" count="1" selected="0">
            <x v="1603"/>
          </reference>
          <reference field="14" count="1" selected="0">
            <x v="156"/>
          </reference>
          <reference field="15" count="1" selected="0">
            <x v="71"/>
          </reference>
          <reference field="26" count="1">
            <x v="327"/>
          </reference>
          <reference field="41" count="1" selected="0">
            <x v="834"/>
          </reference>
        </references>
      </pivotArea>
    </format>
    <format dxfId="280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412"/>
          </reference>
          <reference field="8" count="1" selected="0">
            <x v="1695"/>
          </reference>
          <reference field="14" count="1" selected="0">
            <x v="68"/>
          </reference>
          <reference field="15" count="1" selected="0">
            <x v="0"/>
          </reference>
          <reference field="26" count="1">
            <x v="205"/>
          </reference>
          <reference field="41" count="1" selected="0">
            <x v="834"/>
          </reference>
        </references>
      </pivotArea>
    </format>
    <format dxfId="279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586"/>
          </reference>
          <reference field="8" count="1" selected="0">
            <x v="1683"/>
          </reference>
          <reference field="14" count="1" selected="0">
            <x v="158"/>
          </reference>
          <reference field="15" count="1" selected="0">
            <x v="71"/>
          </reference>
          <reference field="26" count="1">
            <x v="132"/>
          </reference>
          <reference field="41" count="1" selected="0">
            <x v="834"/>
          </reference>
        </references>
      </pivotArea>
    </format>
    <format dxfId="278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554"/>
          </reference>
          <reference field="8" count="1" selected="0">
            <x v="1620"/>
          </reference>
          <reference field="14" count="1" selected="0">
            <x v="7"/>
          </reference>
          <reference field="15" count="1" selected="0">
            <x v="11"/>
          </reference>
          <reference field="26" count="1">
            <x v="39"/>
          </reference>
          <reference field="41" count="1" selected="0">
            <x v="835"/>
          </reference>
        </references>
      </pivotArea>
    </format>
    <format dxfId="277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558"/>
          </reference>
          <reference field="8" count="1" selected="0">
            <x v="1620"/>
          </reference>
          <reference field="14" count="1" selected="0">
            <x v="8"/>
          </reference>
          <reference field="15" count="1" selected="0">
            <x v="11"/>
          </reference>
          <reference field="26" count="1">
            <x v="31"/>
          </reference>
          <reference field="41" count="1" selected="0">
            <x v="835"/>
          </reference>
        </references>
      </pivotArea>
    </format>
    <format dxfId="276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562"/>
          </reference>
          <reference field="8" count="1" selected="0">
            <x v="1620"/>
          </reference>
          <reference field="14" count="1" selected="0">
            <x v="9"/>
          </reference>
          <reference field="15" count="1" selected="0">
            <x v="11"/>
          </reference>
          <reference field="26" count="1">
            <x v="51"/>
          </reference>
          <reference field="41" count="1" selected="0">
            <x v="835"/>
          </reference>
        </references>
      </pivotArea>
    </format>
    <format dxfId="275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600"/>
          </reference>
          <reference field="8" count="1" selected="0">
            <x v="1682"/>
          </reference>
          <reference field="14" count="1" selected="0">
            <x v="158"/>
          </reference>
          <reference field="15" count="1" selected="0">
            <x v="71"/>
          </reference>
          <reference field="26" count="1">
            <x v="310"/>
          </reference>
          <reference field="41" count="1" selected="0">
            <x v="836"/>
          </reference>
        </references>
      </pivotArea>
    </format>
    <format dxfId="274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603"/>
          </reference>
          <reference field="8" count="1" selected="0">
            <x v="1685"/>
          </reference>
          <reference field="14" count="1" selected="0">
            <x v="158"/>
          </reference>
          <reference field="15" count="1" selected="0">
            <x v="71"/>
          </reference>
          <reference field="26" count="1">
            <x v="132"/>
          </reference>
          <reference field="41" count="1" selected="0">
            <x v="836"/>
          </reference>
        </references>
      </pivotArea>
    </format>
    <format dxfId="273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290"/>
          </reference>
          <reference field="8" count="1" selected="0">
            <x v="1634"/>
          </reference>
          <reference field="14" count="1" selected="0">
            <x v="148"/>
          </reference>
          <reference field="15" count="1" selected="0">
            <x v="71"/>
          </reference>
          <reference field="26" count="1">
            <x v="444"/>
          </reference>
          <reference field="41" count="1" selected="0">
            <x v="838"/>
          </reference>
        </references>
      </pivotArea>
    </format>
    <format dxfId="272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14"/>
          </reference>
          <reference field="8" count="1" selected="0">
            <x v="1704"/>
          </reference>
          <reference field="14" count="1" selected="0">
            <x v="68"/>
          </reference>
          <reference field="15" count="1" selected="0">
            <x v="0"/>
          </reference>
          <reference field="26" count="1">
            <x v="234"/>
          </reference>
          <reference field="41" count="1" selected="0">
            <x v="839"/>
          </reference>
        </references>
      </pivotArea>
    </format>
    <format dxfId="271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276"/>
          </reference>
          <reference field="8" count="1" selected="0">
            <x v="1704"/>
          </reference>
          <reference field="14" count="1" selected="0">
            <x v="132"/>
          </reference>
          <reference field="15" count="1" selected="0">
            <x v="46"/>
          </reference>
          <reference field="26" count="1">
            <x v="636"/>
          </reference>
          <reference field="41" count="1" selected="0">
            <x v="840"/>
          </reference>
        </references>
      </pivotArea>
    </format>
    <format dxfId="270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477"/>
          </reference>
          <reference field="8" count="1" selected="0">
            <x v="1644"/>
          </reference>
          <reference field="14" count="1" selected="0">
            <x v="119"/>
          </reference>
          <reference field="15" count="1" selected="0">
            <x v="59"/>
          </reference>
          <reference field="26" count="1">
            <x v="552"/>
          </reference>
          <reference field="41" count="1" selected="0">
            <x v="840"/>
          </reference>
        </references>
      </pivotArea>
    </format>
    <format dxfId="269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520"/>
          </reference>
          <reference field="8" count="1" selected="0">
            <x v="1641"/>
          </reference>
          <reference field="14" count="1" selected="0">
            <x v="23"/>
          </reference>
          <reference field="15" count="1" selected="0">
            <x v="46"/>
          </reference>
          <reference field="26" count="1">
            <x v="525"/>
          </reference>
          <reference field="41" count="1" selected="0">
            <x v="840"/>
          </reference>
        </references>
      </pivotArea>
    </format>
    <format dxfId="268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1770"/>
          </reference>
          <reference field="8" count="1" selected="0">
            <x v="1507"/>
          </reference>
          <reference field="14" count="1" selected="0">
            <x v="34"/>
          </reference>
          <reference field="15" count="1" selected="0">
            <x v="14"/>
          </reference>
          <reference field="26" count="1">
            <x v="503"/>
          </reference>
          <reference field="41" count="1" selected="0">
            <x v="840"/>
          </reference>
        </references>
      </pivotArea>
    </format>
    <format dxfId="267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15"/>
          </reference>
          <reference field="8" count="1" selected="0">
            <x v="1704"/>
          </reference>
          <reference field="14" count="1" selected="0">
            <x v="68"/>
          </reference>
          <reference field="15" count="1" selected="0">
            <x v="0"/>
          </reference>
          <reference field="26" count="1">
            <x v="234"/>
          </reference>
          <reference field="41" count="1" selected="0">
            <x v="840"/>
          </reference>
        </references>
      </pivotArea>
    </format>
    <format dxfId="266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16"/>
          </reference>
          <reference field="8" count="1" selected="0">
            <x v="1704"/>
          </reference>
          <reference field="14" count="1" selected="0">
            <x v="68"/>
          </reference>
          <reference field="15" count="1" selected="0">
            <x v="0"/>
          </reference>
          <reference field="26" count="1">
            <x v="234"/>
          </reference>
          <reference field="41" count="1" selected="0">
            <x v="842"/>
          </reference>
        </references>
      </pivotArea>
    </format>
    <format dxfId="265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749"/>
          </reference>
          <reference field="8" count="1" selected="0">
            <x v="1704"/>
          </reference>
          <reference field="14" count="1" selected="0">
            <x v="158"/>
          </reference>
          <reference field="15" count="1" selected="0">
            <x v="71"/>
          </reference>
          <reference field="26" count="1">
            <x v="410"/>
          </reference>
          <reference field="41" count="1" selected="0">
            <x v="842"/>
          </reference>
        </references>
      </pivotArea>
    </format>
    <format dxfId="264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750"/>
          </reference>
          <reference field="8" count="1" selected="0">
            <x v="1704"/>
          </reference>
          <reference field="14" count="1" selected="0">
            <x v="158"/>
          </reference>
          <reference field="15" count="1" selected="0">
            <x v="71"/>
          </reference>
          <reference field="26" count="1">
            <x v="410"/>
          </reference>
          <reference field="41" count="1" selected="0">
            <x v="842"/>
          </reference>
        </references>
      </pivotArea>
    </format>
    <format dxfId="263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17"/>
          </reference>
          <reference field="8" count="1" selected="0">
            <x v="1704"/>
          </reference>
          <reference field="14" count="1" selected="0">
            <x v="68"/>
          </reference>
          <reference field="15" count="1" selected="0">
            <x v="0"/>
          </reference>
          <reference field="26" count="1">
            <x v="234"/>
          </reference>
          <reference field="41" count="1" selected="0">
            <x v="843"/>
          </reference>
        </references>
      </pivotArea>
    </format>
    <format dxfId="262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97"/>
          </reference>
          <reference field="8" count="1" selected="0">
            <x v="1562"/>
          </reference>
          <reference field="14" count="1" selected="0">
            <x v="148"/>
          </reference>
          <reference field="15" count="1" selected="0">
            <x v="71"/>
          </reference>
          <reference field="26" count="1">
            <x v="84"/>
          </reference>
          <reference field="41" count="1" selected="0">
            <x v="844"/>
          </reference>
        </references>
      </pivotArea>
    </format>
    <format dxfId="261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537"/>
          </reference>
          <reference field="8" count="1" selected="0">
            <x v="1617"/>
          </reference>
          <reference field="14" count="1" selected="0">
            <x v="111"/>
          </reference>
          <reference field="15" count="1" selected="0">
            <x v="35"/>
          </reference>
          <reference field="26" count="1">
            <x v="111"/>
          </reference>
          <reference field="41" count="1" selected="0">
            <x v="845"/>
          </reference>
        </references>
      </pivotArea>
    </format>
    <format dxfId="260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842"/>
          </reference>
          <reference field="8" count="1" selected="0">
            <x v="1704"/>
          </reference>
          <reference field="14" count="1" selected="0">
            <x v="148"/>
          </reference>
          <reference field="15" count="1" selected="0">
            <x v="71"/>
          </reference>
          <reference field="26" count="1">
            <x v="196"/>
          </reference>
          <reference field="41" count="1" selected="0">
            <x v="846"/>
          </reference>
        </references>
      </pivotArea>
    </format>
    <format dxfId="259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978"/>
          </reference>
          <reference field="8" count="1" selected="0">
            <x v="1704"/>
          </reference>
          <reference field="14" count="1" selected="0">
            <x v="158"/>
          </reference>
          <reference field="15" count="1" selected="0">
            <x v="71"/>
          </reference>
          <reference field="26" count="1">
            <x v="348"/>
          </reference>
          <reference field="41" count="1" selected="0">
            <x v="846"/>
          </reference>
        </references>
      </pivotArea>
    </format>
    <format dxfId="258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18"/>
          </reference>
          <reference field="8" count="1" selected="0">
            <x v="1704"/>
          </reference>
          <reference field="14" count="1" selected="0">
            <x v="68"/>
          </reference>
          <reference field="15" count="1" selected="0">
            <x v="0"/>
          </reference>
          <reference field="26" count="1">
            <x v="234"/>
          </reference>
          <reference field="41" count="1" selected="0">
            <x v="847"/>
          </reference>
        </references>
      </pivotArea>
    </format>
    <format dxfId="257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804"/>
          </reference>
          <reference field="8" count="1" selected="0">
            <x v="1704"/>
          </reference>
          <reference field="14" count="1" selected="0">
            <x v="158"/>
          </reference>
          <reference field="15" count="1" selected="0">
            <x v="71"/>
          </reference>
          <reference field="26" count="1">
            <x v="361"/>
          </reference>
          <reference field="41" count="1" selected="0">
            <x v="847"/>
          </reference>
        </references>
      </pivotArea>
    </format>
    <format dxfId="256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19"/>
          </reference>
          <reference field="8" count="1" selected="0">
            <x v="1704"/>
          </reference>
          <reference field="14" count="1" selected="0">
            <x v="68"/>
          </reference>
          <reference field="15" count="1" selected="0">
            <x v="0"/>
          </reference>
          <reference field="26" count="1">
            <x v="234"/>
          </reference>
          <reference field="41" count="1" selected="0">
            <x v="848"/>
          </reference>
        </references>
      </pivotArea>
    </format>
    <format dxfId="255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846"/>
          </reference>
          <reference field="8" count="1" selected="0">
            <x v="1704"/>
          </reference>
          <reference field="14" count="1" selected="0">
            <x v="148"/>
          </reference>
          <reference field="15" count="1" selected="0">
            <x v="71"/>
          </reference>
          <reference field="26" count="1">
            <x v="191"/>
          </reference>
          <reference field="41" count="1" selected="0">
            <x v="849"/>
          </reference>
        </references>
      </pivotArea>
    </format>
    <format dxfId="254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20"/>
          </reference>
          <reference field="8" count="1" selected="0">
            <x v="1704"/>
          </reference>
          <reference field="14" count="1" selected="0">
            <x v="68"/>
          </reference>
          <reference field="15" count="1" selected="0">
            <x v="0"/>
          </reference>
          <reference field="26" count="1">
            <x v="234"/>
          </reference>
          <reference field="41" count="1" selected="0">
            <x v="850"/>
          </reference>
        </references>
      </pivotArea>
    </format>
    <format dxfId="253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606"/>
          </reference>
          <reference field="8" count="1" selected="0">
            <x v="1635"/>
          </reference>
          <reference field="14" count="1" selected="0">
            <x v="148"/>
          </reference>
          <reference field="15" count="1" selected="0">
            <x v="71"/>
          </reference>
          <reference field="26" count="1">
            <x v="160"/>
          </reference>
          <reference field="41" count="1" selected="0">
            <x v="850"/>
          </reference>
        </references>
      </pivotArea>
    </format>
    <format dxfId="252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990"/>
          </reference>
          <reference field="8" count="1" selected="0">
            <x v="1704"/>
          </reference>
          <reference field="14" count="1" selected="0">
            <x v="158"/>
          </reference>
          <reference field="15" count="1" selected="0">
            <x v="71"/>
          </reference>
          <reference field="26" count="1">
            <x v="227"/>
          </reference>
          <reference field="41" count="1" selected="0">
            <x v="850"/>
          </reference>
        </references>
      </pivotArea>
    </format>
    <format dxfId="251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21"/>
          </reference>
          <reference field="8" count="1" selected="0">
            <x v="1704"/>
          </reference>
          <reference field="14" count="1" selected="0">
            <x v="68"/>
          </reference>
          <reference field="15" count="1" selected="0">
            <x v="0"/>
          </reference>
          <reference field="26" count="1">
            <x v="234"/>
          </reference>
          <reference field="41" count="1" selected="0">
            <x v="852"/>
          </reference>
        </references>
      </pivotArea>
    </format>
    <format dxfId="250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830"/>
          </reference>
          <reference field="8" count="1" selected="0">
            <x v="1704"/>
          </reference>
          <reference field="14" count="1" selected="0">
            <x v="158"/>
          </reference>
          <reference field="15" count="1" selected="0">
            <x v="71"/>
          </reference>
          <reference field="26" count="1">
            <x v="132"/>
          </reference>
          <reference field="41" count="1" selected="0">
            <x v="852"/>
          </reference>
        </references>
      </pivotArea>
    </format>
    <format dxfId="249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255"/>
          </reference>
          <reference field="8" count="1" selected="0">
            <x v="1581"/>
          </reference>
          <reference field="14" count="1" selected="0">
            <x v="112"/>
          </reference>
          <reference field="15" count="1" selected="0">
            <x v="68"/>
          </reference>
          <reference field="26" count="1">
            <x v="450"/>
          </reference>
          <reference field="41" count="1" selected="0">
            <x v="853"/>
          </reference>
        </references>
      </pivotArea>
    </format>
    <format dxfId="248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531"/>
          </reference>
          <reference field="8" count="1" selected="0">
            <x v="1616"/>
          </reference>
          <reference field="14" count="1" selected="0">
            <x v="84"/>
          </reference>
          <reference field="15" count="1" selected="0">
            <x v="54"/>
          </reference>
          <reference field="26" count="1">
            <x v="117"/>
          </reference>
          <reference field="41" count="1" selected="0">
            <x v="854"/>
          </reference>
        </references>
      </pivotArea>
    </format>
    <format dxfId="247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241"/>
          </reference>
          <reference field="8" count="1" selected="0">
            <x v="1580"/>
          </reference>
          <reference field="14" count="1" selected="0">
            <x v="129"/>
          </reference>
          <reference field="15" count="1" selected="0">
            <x v="68"/>
          </reference>
          <reference field="26" count="1">
            <x v="227"/>
          </reference>
          <reference field="41" count="1" selected="0">
            <x v="855"/>
          </reference>
        </references>
      </pivotArea>
    </format>
    <format dxfId="246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22"/>
          </reference>
          <reference field="8" count="1" selected="0">
            <x v="1704"/>
          </reference>
          <reference field="14" count="1" selected="0">
            <x v="68"/>
          </reference>
          <reference field="15" count="1" selected="0">
            <x v="0"/>
          </reference>
          <reference field="26" count="1">
            <x v="104"/>
          </reference>
          <reference field="41" count="1" selected="0">
            <x v="855"/>
          </reference>
        </references>
      </pivotArea>
    </format>
    <format dxfId="245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629"/>
          </reference>
          <reference field="8" count="1" selected="0">
            <x v="1636"/>
          </reference>
          <reference field="14" count="1" selected="0">
            <x v="148"/>
          </reference>
          <reference field="15" count="1" selected="0">
            <x v="71"/>
          </reference>
          <reference field="26" count="1">
            <x v="227"/>
          </reference>
          <reference field="41" count="1" selected="0">
            <x v="857"/>
          </reference>
        </references>
      </pivotArea>
    </format>
    <format dxfId="244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166"/>
          </reference>
          <reference field="8" count="1" selected="0">
            <x v="1570"/>
          </reference>
          <reference field="14" count="1" selected="0">
            <x v="161"/>
          </reference>
          <reference field="15" count="1" selected="0">
            <x v="71"/>
          </reference>
          <reference field="26" count="1">
            <x v="70"/>
          </reference>
          <reference field="41" count="1" selected="0">
            <x v="858"/>
          </reference>
        </references>
      </pivotArea>
    </format>
    <format dxfId="243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682"/>
          </reference>
          <reference field="8" count="1" selected="0">
            <x v="1650"/>
          </reference>
          <reference field="14" count="1" selected="0">
            <x v="107"/>
          </reference>
          <reference field="15" count="1" selected="0">
            <x v="61"/>
          </reference>
          <reference field="26" count="1">
            <x v="662"/>
          </reference>
          <reference field="41" count="1" selected="0">
            <x v="859"/>
          </reference>
        </references>
      </pivotArea>
    </format>
    <format dxfId="242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715"/>
          </reference>
          <reference field="8" count="1" selected="0">
            <x v="1704"/>
          </reference>
          <reference field="14" count="1" selected="0">
            <x v="33"/>
          </reference>
          <reference field="15" count="1" selected="0">
            <x v="61"/>
          </reference>
          <reference field="26" count="1">
            <x v="363"/>
          </reference>
          <reference field="41" count="1" selected="0">
            <x v="859"/>
          </reference>
        </references>
      </pivotArea>
    </format>
    <format dxfId="241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129"/>
          </reference>
          <reference field="8" count="1" selected="0">
            <x v="1557"/>
          </reference>
          <reference field="14" count="1" selected="0">
            <x v="67"/>
          </reference>
          <reference field="15" count="1" selected="0">
            <x v="17"/>
          </reference>
          <reference field="26" count="1">
            <x v="456"/>
          </reference>
          <reference field="41" count="1" selected="0">
            <x v="860"/>
          </reference>
        </references>
      </pivotArea>
    </format>
    <format dxfId="240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792"/>
          </reference>
          <reference field="8" count="1" selected="0">
            <x v="1633"/>
          </reference>
          <reference field="14" count="1" selected="0">
            <x v="155"/>
          </reference>
          <reference field="15" count="1" selected="0">
            <x v="71"/>
          </reference>
          <reference field="26" count="1">
            <x v="523"/>
          </reference>
          <reference field="41" count="1" selected="0">
            <x v="860"/>
          </reference>
        </references>
      </pivotArea>
    </format>
    <format dxfId="239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1755"/>
          </reference>
          <reference field="8" count="1" selected="0">
            <x v="1704"/>
          </reference>
          <reference field="14" count="1" selected="0">
            <x v="1"/>
          </reference>
          <reference field="15" count="1" selected="0">
            <x v="4"/>
          </reference>
          <reference field="26" count="1">
            <x v="422"/>
          </reference>
          <reference field="41" count="1" selected="0">
            <x v="861"/>
          </reference>
        </references>
      </pivotArea>
    </format>
    <format dxfId="238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756"/>
          </reference>
          <reference field="8" count="1" selected="0">
            <x v="1624"/>
          </reference>
          <reference field="14" count="1" selected="0">
            <x v="114"/>
          </reference>
          <reference field="15" count="1" selected="0">
            <x v="35"/>
          </reference>
          <reference field="26" count="1">
            <x v="510"/>
          </reference>
          <reference field="41" count="1" selected="0">
            <x v="861"/>
          </reference>
        </references>
      </pivotArea>
    </format>
    <format dxfId="237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686"/>
          </reference>
          <reference field="8" count="1" selected="0">
            <x v="1704"/>
          </reference>
          <reference field="14" count="1" selected="0">
            <x v="108"/>
          </reference>
          <reference field="15" count="1" selected="0">
            <x v="61"/>
          </reference>
          <reference field="26" count="1">
            <x v="647"/>
          </reference>
          <reference field="41" count="1" selected="0">
            <x v="862"/>
          </reference>
        </references>
      </pivotArea>
    </format>
    <format dxfId="236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720"/>
          </reference>
          <reference field="8" count="1" selected="0">
            <x v="1704"/>
          </reference>
          <reference field="14" count="1" selected="0">
            <x v="33"/>
          </reference>
          <reference field="15" count="1" selected="0">
            <x v="61"/>
          </reference>
          <reference field="26" count="1">
            <x v="525"/>
          </reference>
          <reference field="41" count="1" selected="0">
            <x v="862"/>
          </reference>
        </references>
      </pivotArea>
    </format>
    <format dxfId="235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1628"/>
          </reference>
          <reference field="8" count="1" selected="0">
            <x v="1429"/>
          </reference>
          <reference field="14" count="1" selected="0">
            <x v="152"/>
          </reference>
          <reference field="15" count="1" selected="0">
            <x v="71"/>
          </reference>
          <reference field="26" count="1">
            <x v="310"/>
          </reference>
          <reference field="41" count="1" selected="0">
            <x v="863"/>
          </reference>
        </references>
      </pivotArea>
    </format>
    <format dxfId="234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662"/>
          </reference>
          <reference field="8" count="1" selected="0">
            <x v="1647"/>
          </reference>
          <reference field="14" count="1" selected="0">
            <x v="128"/>
          </reference>
          <reference field="15" count="1" selected="0">
            <x v="61"/>
          </reference>
          <reference field="26" count="1">
            <x v="567"/>
          </reference>
          <reference field="41" count="1" selected="0">
            <x v="864"/>
          </reference>
        </references>
      </pivotArea>
    </format>
    <format dxfId="233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689"/>
          </reference>
          <reference field="8" count="1" selected="0">
            <x v="1704"/>
          </reference>
          <reference field="14" count="1" selected="0">
            <x v="107"/>
          </reference>
          <reference field="15" count="1" selected="0">
            <x v="61"/>
          </reference>
          <reference field="26" count="1">
            <x v="581"/>
          </reference>
          <reference field="41" count="1" selected="0">
            <x v="864"/>
          </reference>
        </references>
      </pivotArea>
    </format>
    <format dxfId="232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725"/>
          </reference>
          <reference field="8" count="1" selected="0">
            <x v="1704"/>
          </reference>
          <reference field="14" count="1" selected="0">
            <x v="33"/>
          </reference>
          <reference field="15" count="1" selected="0">
            <x v="61"/>
          </reference>
          <reference field="26" count="1">
            <x v="613"/>
          </reference>
          <reference field="41" count="1" selected="0">
            <x v="864"/>
          </reference>
        </references>
      </pivotArea>
    </format>
    <format dxfId="231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1772"/>
          </reference>
          <reference field="8" count="1" selected="0">
            <x v="1639"/>
          </reference>
          <reference field="14" count="1" selected="0">
            <x v="34"/>
          </reference>
          <reference field="15" count="1" selected="0">
            <x v="14"/>
          </reference>
          <reference field="26" count="1">
            <x v="363"/>
          </reference>
          <reference field="41" count="1" selected="0">
            <x v="866"/>
          </reference>
        </references>
      </pivotArea>
    </format>
    <format dxfId="230">
      <pivotArea dataOnly="0" labelOnly="1" outline="0" fieldPosition="0">
        <references count="7">
          <reference field="3" count="1" selected="0">
            <x v="2"/>
          </reference>
          <reference field="6" count="1" selected="0">
            <x v="1763"/>
          </reference>
          <reference field="8" count="1" selected="0">
            <x v="1704"/>
          </reference>
          <reference field="14" count="1" selected="0">
            <x v="0"/>
          </reference>
          <reference field="15" count="1" selected="0">
            <x v="46"/>
          </reference>
          <reference field="26" count="1">
            <x v="405"/>
          </reference>
          <reference field="41" count="1" selected="0">
            <x v="867"/>
          </reference>
        </references>
      </pivotArea>
    </format>
    <format dxfId="229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673"/>
          </reference>
          <reference field="8" count="1" selected="0">
            <x v="1648"/>
          </reference>
          <reference field="14" count="1" selected="0">
            <x v="37"/>
          </reference>
          <reference field="15" count="1" selected="0">
            <x v="61"/>
          </reference>
          <reference field="26" count="1">
            <x v="681"/>
          </reference>
          <reference field="41" count="1" selected="0">
            <x v="868"/>
          </reference>
        </references>
      </pivotArea>
    </format>
    <format dxfId="228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692"/>
          </reference>
          <reference field="8" count="1" selected="0">
            <x v="1704"/>
          </reference>
          <reference field="14" count="1" selected="0">
            <x v="107"/>
          </reference>
          <reference field="15" count="1" selected="0">
            <x v="61"/>
          </reference>
          <reference field="26" count="1">
            <x v="395"/>
          </reference>
          <reference field="41" count="1" selected="0">
            <x v="868"/>
          </reference>
        </references>
      </pivotArea>
    </format>
    <format dxfId="227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727"/>
          </reference>
          <reference field="8" count="1" selected="0">
            <x v="1649"/>
          </reference>
          <reference field="14" count="1" selected="0">
            <x v="33"/>
          </reference>
          <reference field="15" count="1" selected="0">
            <x v="61"/>
          </reference>
          <reference field="26" count="1">
            <x v="671"/>
          </reference>
          <reference field="41" count="1" selected="0">
            <x v="868"/>
          </reference>
        </references>
      </pivotArea>
    </format>
    <format dxfId="226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766"/>
          </reference>
          <reference field="8" count="1" selected="0">
            <x v="1652"/>
          </reference>
          <reference field="14" count="1" selected="0">
            <x v="62"/>
          </reference>
          <reference field="15" count="1" selected="0">
            <x v="46"/>
          </reference>
          <reference field="26" count="1">
            <x v="581"/>
          </reference>
          <reference field="41" count="1" selected="0">
            <x v="870"/>
          </reference>
        </references>
      </pivotArea>
    </format>
    <format dxfId="225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794"/>
          </reference>
          <reference field="8" count="1" selected="0">
            <x v="1704"/>
          </reference>
          <reference field="14" count="1" selected="0">
            <x v="155"/>
          </reference>
          <reference field="15" count="1" selected="0">
            <x v="71"/>
          </reference>
          <reference field="26" count="1">
            <x v="523"/>
          </reference>
          <reference field="41" count="1" selected="0">
            <x v="870"/>
          </reference>
        </references>
      </pivotArea>
    </format>
    <format dxfId="224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898"/>
          </reference>
          <reference field="8" count="1" selected="0">
            <x v="1680"/>
          </reference>
          <reference field="14" count="1" selected="0">
            <x v="105"/>
          </reference>
          <reference field="15" count="1" selected="0">
            <x v="46"/>
          </reference>
          <reference field="26" count="1">
            <x v="456"/>
          </reference>
          <reference field="41" count="1" selected="0">
            <x v="870"/>
          </reference>
        </references>
      </pivotArea>
    </format>
    <format dxfId="223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948"/>
          </reference>
          <reference field="8" count="1" selected="0">
            <x v="1690"/>
          </reference>
          <reference field="14" count="1" selected="0">
            <x v="106"/>
          </reference>
          <reference field="15" count="1" selected="0">
            <x v="46"/>
          </reference>
          <reference field="26" count="1">
            <x v="552"/>
          </reference>
          <reference field="41" count="1" selected="0">
            <x v="870"/>
          </reference>
        </references>
      </pivotArea>
    </format>
    <format dxfId="222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1729"/>
          </reference>
          <reference field="8" count="1" selected="0">
            <x v="1472"/>
          </reference>
          <reference field="14" count="1" selected="0">
            <x v="165"/>
          </reference>
          <reference field="15" count="1" selected="0">
            <x v="71"/>
          </reference>
          <reference field="26" count="1">
            <x v="45"/>
          </reference>
          <reference field="41" count="1" selected="0">
            <x v="871"/>
          </reference>
        </references>
      </pivotArea>
    </format>
    <format dxfId="221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1732"/>
          </reference>
          <reference field="8" count="1" selected="0">
            <x v="1473"/>
          </reference>
          <reference field="14" count="1" selected="0">
            <x v="166"/>
          </reference>
          <reference field="15" count="1" selected="0">
            <x v="71"/>
          </reference>
          <reference field="26" count="1">
            <x v="44"/>
          </reference>
          <reference field="41" count="1" selected="0">
            <x v="871"/>
          </reference>
        </references>
      </pivotArea>
    </format>
    <format dxfId="220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1734"/>
          </reference>
          <reference field="8" count="1" selected="0">
            <x v="1474"/>
          </reference>
          <reference field="14" count="1" selected="0">
            <x v="164"/>
          </reference>
          <reference field="15" count="1" selected="0">
            <x v="71"/>
          </reference>
          <reference field="26" count="1">
            <x v="27"/>
          </reference>
          <reference field="41" count="1" selected="0">
            <x v="871"/>
          </reference>
        </references>
      </pivotArea>
    </format>
    <format dxfId="219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343"/>
          </reference>
          <reference field="8" count="1" selected="0">
            <x v="1609"/>
          </reference>
          <reference field="14" count="1" selected="0">
            <x v="71"/>
          </reference>
          <reference field="15" count="1" selected="0">
            <x v="68"/>
          </reference>
          <reference field="26" count="1">
            <x v="374"/>
          </reference>
          <reference field="41" count="1" selected="0">
            <x v="872"/>
          </reference>
        </references>
      </pivotArea>
    </format>
    <format dxfId="218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356"/>
          </reference>
          <reference field="8" count="1" selected="0">
            <x v="1610"/>
          </reference>
          <reference field="14" count="1" selected="0">
            <x v="71"/>
          </reference>
          <reference field="15" count="1" selected="0">
            <x v="68"/>
          </reference>
          <reference field="26" count="1">
            <x v="513"/>
          </reference>
          <reference field="41" count="1" selected="0">
            <x v="872"/>
          </reference>
        </references>
      </pivotArea>
    </format>
    <format dxfId="217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770"/>
          </reference>
          <reference field="8" count="1" selected="0">
            <x v="1704"/>
          </reference>
          <reference field="14" count="1" selected="0">
            <x v="62"/>
          </reference>
          <reference field="15" count="1" selected="0">
            <x v="46"/>
          </reference>
          <reference field="26" count="1">
            <x v="606"/>
          </reference>
          <reference field="41" count="1" selected="0">
            <x v="872"/>
          </reference>
        </references>
      </pivotArea>
    </format>
    <format dxfId="216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950"/>
          </reference>
          <reference field="8" count="1" selected="0">
            <x v="1691"/>
          </reference>
          <reference field="14" count="1" selected="0">
            <x v="106"/>
          </reference>
          <reference field="15" count="1" selected="0">
            <x v="46"/>
          </reference>
          <reference field="26" count="1">
            <x v="456"/>
          </reference>
          <reference field="41" count="1" selected="0">
            <x v="872"/>
          </reference>
        </references>
      </pivotArea>
    </format>
    <format dxfId="215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533"/>
          </reference>
          <reference field="8" count="1" selected="0">
            <x v="1704"/>
          </reference>
          <reference field="14" count="1" selected="0">
            <x v="84"/>
          </reference>
          <reference field="15" count="1" selected="0">
            <x v="54"/>
          </reference>
          <reference field="26" count="1">
            <x v="175"/>
          </reference>
          <reference field="41" count="1" selected="0">
            <x v="873"/>
          </reference>
        </references>
      </pivotArea>
    </format>
    <format dxfId="214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24"/>
          </reference>
          <reference field="8" count="1" selected="0">
            <x v="1605"/>
          </reference>
          <reference field="14" count="1" selected="0">
            <x v="38"/>
          </reference>
          <reference field="15" count="1" selected="0">
            <x v="68"/>
          </reference>
          <reference field="26" count="1">
            <x v="363"/>
          </reference>
          <reference field="41" count="1" selected="0">
            <x v="874"/>
          </reference>
        </references>
      </pivotArea>
    </format>
    <format dxfId="213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821"/>
          </reference>
          <reference field="8" count="1" selected="0">
            <x v="1661"/>
          </reference>
          <reference field="14" count="1" selected="0">
            <x v="116"/>
          </reference>
          <reference field="15" count="1" selected="0">
            <x v="68"/>
          </reference>
          <reference field="26" count="1">
            <x v="621"/>
          </reference>
          <reference field="41" count="1" selected="0">
            <x v="874"/>
          </reference>
        </references>
      </pivotArea>
    </format>
    <format dxfId="212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773"/>
          </reference>
          <reference field="8" count="1" selected="0">
            <x v="1704"/>
          </reference>
          <reference field="14" count="1" selected="0">
            <x v="62"/>
          </reference>
          <reference field="15" count="1" selected="0">
            <x v="46"/>
          </reference>
          <reference field="26" count="1">
            <x v="621"/>
          </reference>
          <reference field="41" count="1" selected="0">
            <x v="875"/>
          </reference>
        </references>
      </pivotArea>
    </format>
    <format dxfId="211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901"/>
          </reference>
          <reference field="8" count="1" selected="0">
            <x v="1681"/>
          </reference>
          <reference field="14" count="1" selected="0">
            <x v="105"/>
          </reference>
          <reference field="15" count="1" selected="0">
            <x v="46"/>
          </reference>
          <reference field="26" count="1">
            <x v="456"/>
          </reference>
          <reference field="41" count="1" selected="0">
            <x v="875"/>
          </reference>
        </references>
      </pivotArea>
    </format>
    <format dxfId="210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951"/>
          </reference>
          <reference field="8" count="1" selected="0">
            <x v="1692"/>
          </reference>
          <reference field="14" count="1" selected="0">
            <x v="106"/>
          </reference>
          <reference field="15" count="1" selected="0">
            <x v="46"/>
          </reference>
          <reference field="26" count="1">
            <x v="456"/>
          </reference>
          <reference field="41" count="1" selected="0">
            <x v="875"/>
          </reference>
        </references>
      </pivotArea>
    </format>
    <format dxfId="209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43"/>
          </reference>
          <reference field="8" count="1" selected="0">
            <x v="1607"/>
          </reference>
          <reference field="14" count="1" selected="0">
            <x v="128"/>
          </reference>
          <reference field="15" count="1" selected="0">
            <x v="68"/>
          </reference>
          <reference field="26" count="1">
            <x v="552"/>
          </reference>
          <reference field="41" count="1" selected="0">
            <x v="876"/>
          </reference>
        </references>
      </pivotArea>
    </format>
    <format dxfId="208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52"/>
          </reference>
          <reference field="8" count="1" selected="0">
            <x v="1606"/>
          </reference>
          <reference field="14" count="1" selected="0">
            <x v="110"/>
          </reference>
          <reference field="15" count="1" selected="0">
            <x v="59"/>
          </reference>
          <reference field="26" count="1">
            <x v="664"/>
          </reference>
          <reference field="41" count="1" selected="0">
            <x v="876"/>
          </reference>
        </references>
      </pivotArea>
    </format>
    <format dxfId="207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82"/>
          </reference>
          <reference field="8" count="1" selected="0">
            <x v="1386"/>
          </reference>
          <reference field="14" count="1" selected="0">
            <x v="110"/>
          </reference>
          <reference field="15" count="1" selected="0">
            <x v="59"/>
          </reference>
          <reference field="26" count="1">
            <x v="456"/>
          </reference>
          <reference field="41" count="1" selected="0">
            <x v="876"/>
          </reference>
        </references>
      </pivotArea>
    </format>
    <format dxfId="206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84"/>
          </reference>
          <reference field="8" count="1" selected="0">
            <x v="1611"/>
          </reference>
          <reference field="14" count="1" selected="0">
            <x v="34"/>
          </reference>
          <reference field="15" count="1" selected="0">
            <x v="68"/>
          </reference>
          <reference field="26" count="1">
            <x v="552"/>
          </reference>
          <reference field="41" count="1" selected="0">
            <x v="876"/>
          </reference>
        </references>
      </pivotArea>
    </format>
    <format dxfId="205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781"/>
          </reference>
          <reference field="8" count="1" selected="0">
            <x v="1646"/>
          </reference>
          <reference field="14" count="1" selected="0">
            <x v="112"/>
          </reference>
          <reference field="15" count="1" selected="0">
            <x v="59"/>
          </reference>
          <reference field="26" count="1">
            <x v="588"/>
          </reference>
          <reference field="41" count="1" selected="0">
            <x v="876"/>
          </reference>
        </references>
      </pivotArea>
    </format>
    <format dxfId="204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938"/>
          </reference>
          <reference field="8" count="1" selected="0">
            <x v="1689"/>
          </reference>
          <reference field="14" count="1" selected="0">
            <x v="87"/>
          </reference>
          <reference field="15" count="1" selected="0">
            <x v="28"/>
          </reference>
          <reference field="26" count="1">
            <x v="205"/>
          </reference>
          <reference field="41" count="1" selected="0">
            <x v="879"/>
          </reference>
        </references>
      </pivotArea>
    </format>
    <format dxfId="203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1774"/>
          </reference>
          <reference field="8" count="1" selected="0">
            <x v="1704"/>
          </reference>
          <reference field="14" count="1" selected="0">
            <x v="34"/>
          </reference>
          <reference field="15" count="1" selected="0">
            <x v="14"/>
          </reference>
          <reference field="26" count="1">
            <x v="477"/>
          </reference>
          <reference field="41" count="1" selected="0">
            <x v="881"/>
          </reference>
        </references>
      </pivotArea>
    </format>
    <format dxfId="202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1782"/>
          </reference>
          <reference field="8" count="1" selected="0">
            <x v="1499"/>
          </reference>
          <reference field="14" count="1" selected="0">
            <x v="63"/>
          </reference>
          <reference field="15" count="1" selected="0">
            <x v="14"/>
          </reference>
          <reference field="26" count="1">
            <x v="456"/>
          </reference>
          <reference field="41" count="1" selected="0">
            <x v="881"/>
          </reference>
        </references>
      </pivotArea>
    </format>
    <format dxfId="201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858"/>
          </reference>
          <reference field="8" count="1" selected="0">
            <x v="1687"/>
          </reference>
          <reference field="14" count="1" selected="0">
            <x v="22"/>
          </reference>
          <reference field="15" count="1" selected="0">
            <x v="35"/>
          </reference>
          <reference field="26" count="1">
            <x v="263"/>
          </reference>
          <reference field="41" count="1" selected="0">
            <x v="882"/>
          </reference>
        </references>
      </pivotArea>
    </format>
    <format dxfId="200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98"/>
          </reference>
          <reference field="8" count="1" selected="0">
            <x v="1704"/>
          </reference>
          <reference field="14" count="1" selected="0">
            <x v="116"/>
          </reference>
          <reference field="15" count="1" selected="0">
            <x v="68"/>
          </reference>
          <reference field="26" count="1">
            <x v="552"/>
          </reference>
          <reference field="41" count="1" selected="0">
            <x v="883"/>
          </reference>
        </references>
      </pivotArea>
    </format>
    <format dxfId="199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501"/>
          </reference>
          <reference field="8" count="1" selected="0">
            <x v="1653"/>
          </reference>
          <reference field="14" count="1" selected="0">
            <x v="116"/>
          </reference>
          <reference field="15" count="1" selected="0">
            <x v="68"/>
          </reference>
          <reference field="26" count="1">
            <x v="675"/>
          </reference>
          <reference field="41" count="1" selected="0">
            <x v="883"/>
          </reference>
        </references>
      </pivotArea>
    </format>
    <format dxfId="198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504"/>
          </reference>
          <reference field="8" count="1" selected="0">
            <x v="1654"/>
          </reference>
          <reference field="14" count="1" selected="0">
            <x v="116"/>
          </reference>
          <reference field="15" count="1" selected="0">
            <x v="68"/>
          </reference>
          <reference field="26" count="1">
            <x v="621"/>
          </reference>
          <reference field="41" count="1" selected="0">
            <x v="883"/>
          </reference>
        </references>
      </pivotArea>
    </format>
    <format dxfId="197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654"/>
          </reference>
          <reference field="8" count="1" selected="0">
            <x v="1655"/>
          </reference>
          <reference field="14" count="1" selected="0">
            <x v="114"/>
          </reference>
          <reference field="15" count="1" selected="0">
            <x v="68"/>
          </reference>
          <reference field="26" count="1">
            <x v="456"/>
          </reference>
          <reference field="41" count="1" selected="0">
            <x v="883"/>
          </reference>
        </references>
      </pivotArea>
    </format>
    <format dxfId="196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966"/>
          </reference>
          <reference field="8" count="1" selected="0">
            <x v="1698"/>
          </reference>
          <reference field="14" count="1" selected="0">
            <x v="116"/>
          </reference>
          <reference field="15" count="1" selected="0">
            <x v="68"/>
          </reference>
          <reference field="26" count="1">
            <x v="664"/>
          </reference>
          <reference field="41" count="1" selected="0">
            <x v="883"/>
          </reference>
        </references>
      </pivotArea>
    </format>
    <format dxfId="195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969"/>
          </reference>
          <reference field="8" count="1" selected="0">
            <x v="1699"/>
          </reference>
          <reference field="14" count="1" selected="0">
            <x v="116"/>
          </reference>
          <reference field="15" count="1" selected="0">
            <x v="68"/>
          </reference>
          <reference field="26" count="1">
            <x v="594"/>
          </reference>
          <reference field="41" count="1" selected="0">
            <x v="883"/>
          </reference>
        </references>
      </pivotArea>
    </format>
    <format dxfId="194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882"/>
          </reference>
          <reference field="8" count="1" selected="0">
            <x v="1675"/>
          </reference>
          <reference field="14" count="1" selected="0">
            <x v="110"/>
          </reference>
          <reference field="15" count="1" selected="0">
            <x v="59"/>
          </reference>
          <reference field="26" count="1">
            <x v="664"/>
          </reference>
          <reference field="41" count="1" selected="0">
            <x v="884"/>
          </reference>
        </references>
      </pivotArea>
    </format>
    <format dxfId="193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1642"/>
          </reference>
          <reference field="8" count="1" selected="0">
            <x v="1431"/>
          </reference>
          <reference field="14" count="1" selected="0">
            <x v="34"/>
          </reference>
          <reference field="15" count="1" selected="0">
            <x v="14"/>
          </reference>
          <reference field="26" count="1">
            <x v="376"/>
          </reference>
          <reference field="41" count="1" selected="0">
            <x v="885"/>
          </reference>
        </references>
      </pivotArea>
    </format>
    <format dxfId="192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1643"/>
          </reference>
          <reference field="8" count="1" selected="0">
            <x v="1529"/>
          </reference>
          <reference field="14" count="1" selected="0">
            <x v="34"/>
          </reference>
          <reference field="15" count="1" selected="0">
            <x v="14"/>
          </reference>
          <reference field="26" count="1">
            <x v="453"/>
          </reference>
          <reference field="41" count="1" selected="0">
            <x v="885"/>
          </reference>
        </references>
      </pivotArea>
    </format>
    <format dxfId="191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1783"/>
          </reference>
          <reference field="8" count="1" selected="0">
            <x v="1499"/>
          </reference>
          <reference field="14" count="1" selected="0">
            <x v="63"/>
          </reference>
          <reference field="15" count="1" selected="0">
            <x v="14"/>
          </reference>
          <reference field="26" count="1">
            <x v="639"/>
          </reference>
          <reference field="41" count="1" selected="0">
            <x v="885"/>
          </reference>
        </references>
      </pivotArea>
    </format>
    <format dxfId="190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854"/>
          </reference>
          <reference field="8" count="1" selected="0">
            <x v="1688"/>
          </reference>
          <reference field="14" count="1" selected="0">
            <x v="22"/>
          </reference>
          <reference field="15" count="1" selected="0">
            <x v="35"/>
          </reference>
          <reference field="26" count="1">
            <x v="390"/>
          </reference>
          <reference field="41" count="1" selected="0">
            <x v="886"/>
          </reference>
        </references>
      </pivotArea>
    </format>
    <format dxfId="189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872"/>
          </reference>
          <reference field="8" count="1" selected="0">
            <x v="1674"/>
          </reference>
          <reference field="14" count="1" selected="0">
            <x v="111"/>
          </reference>
          <reference field="15" count="1" selected="0">
            <x v="35"/>
          </reference>
          <reference field="26" count="1">
            <x v="111"/>
          </reference>
          <reference field="41" count="1" selected="0">
            <x v="887"/>
          </reference>
        </references>
      </pivotArea>
    </format>
    <format dxfId="188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143"/>
          </reference>
          <reference field="8" count="1" selected="0">
            <x v="1560"/>
          </reference>
          <reference field="14" count="1" selected="0">
            <x v="67"/>
          </reference>
          <reference field="15" count="1" selected="0">
            <x v="59"/>
          </reference>
          <reference field="26" count="1">
            <x v="422"/>
          </reference>
          <reference field="41" count="1" selected="0">
            <x v="888"/>
          </reference>
        </references>
      </pivotArea>
    </format>
    <format dxfId="187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267"/>
          </reference>
          <reference field="8" count="1" selected="0">
            <x v="1582"/>
          </reference>
          <reference field="14" count="1" selected="0">
            <x v="92"/>
          </reference>
          <reference field="15" count="1" selected="0">
            <x v="17"/>
          </reference>
          <reference field="26" count="1">
            <x v="613"/>
          </reference>
          <reference field="41" count="1" selected="0">
            <x v="888"/>
          </reference>
        </references>
      </pivotArea>
    </format>
    <format dxfId="186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268"/>
          </reference>
          <reference field="8" count="1" selected="0">
            <x v="1583"/>
          </reference>
          <reference field="14" count="1" selected="0">
            <x v="92"/>
          </reference>
          <reference field="15" count="1" selected="0">
            <x v="17"/>
          </reference>
          <reference field="26" count="1">
            <x v="630"/>
          </reference>
          <reference field="41" count="1" selected="0">
            <x v="888"/>
          </reference>
        </references>
      </pivotArea>
    </format>
    <format dxfId="185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464"/>
          </reference>
          <reference field="8" count="1" selected="0">
            <x v="1608"/>
          </reference>
          <reference field="14" count="1" selected="0">
            <x v="92"/>
          </reference>
          <reference field="15" count="1" selected="0">
            <x v="68"/>
          </reference>
          <reference field="26" count="1">
            <x v="363"/>
          </reference>
          <reference field="41" count="1" selected="0">
            <x v="888"/>
          </reference>
        </references>
      </pivotArea>
    </format>
    <format dxfId="184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645"/>
          </reference>
          <reference field="8" count="1" selected="0">
            <x v="1645"/>
          </reference>
          <reference field="14" count="1" selected="0">
            <x v="67"/>
          </reference>
          <reference field="15" count="1" selected="0">
            <x v="59"/>
          </reference>
          <reference field="26" count="1">
            <x v="594"/>
          </reference>
          <reference field="41" count="1" selected="0">
            <x v="888"/>
          </reference>
        </references>
      </pivotArea>
    </format>
    <format dxfId="183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925"/>
          </reference>
          <reference field="8" count="1" selected="0">
            <x v="1676"/>
          </reference>
          <reference field="14" count="1" selected="0">
            <x v="92"/>
          </reference>
          <reference field="15" count="1" selected="0">
            <x v="67"/>
          </reference>
          <reference field="26" count="1">
            <x v="621"/>
          </reference>
          <reference field="41" count="1" selected="0">
            <x v="888"/>
          </reference>
        </references>
      </pivotArea>
    </format>
    <format dxfId="182">
      <pivotArea dataOnly="0" labelOnly="1" outline="0" fieldPosition="0">
        <references count="7">
          <reference field="3" count="1" selected="0">
            <x v="4"/>
          </reference>
          <reference field="6" count="1" selected="0">
            <x v="888"/>
          </reference>
          <reference field="8" count="1" selected="0">
            <x v="1673"/>
          </reference>
          <reference field="14" count="1" selected="0">
            <x v="89"/>
          </reference>
          <reference field="15" count="1" selected="0">
            <x v="53"/>
          </reference>
          <reference field="26" count="1">
            <x v="71"/>
          </reference>
          <reference field="41" count="1" selected="0">
            <x v="889"/>
          </reference>
        </references>
      </pivotArea>
    </format>
    <format dxfId="181">
      <pivotArea type="topRight" dataOnly="0" labelOnly="1" outline="0" fieldPosition="0"/>
    </format>
    <format dxfId="180">
      <pivotArea field="87" type="button" dataOnly="0" labelOnly="1" outline="0"/>
    </format>
    <format dxfId="179">
      <pivotArea field="88" type="button" dataOnly="0" labelOnly="1" outline="0"/>
    </format>
    <format dxfId="178">
      <pivotArea field="87" type="button" dataOnly="0" labelOnly="1" outline="0"/>
    </format>
    <format dxfId="177">
      <pivotArea field="88" type="button" dataOnly="0" labelOnly="1" outline="0"/>
    </format>
    <format dxfId="176">
      <pivotArea field="87" type="button" dataOnly="0" labelOnly="1" outline="0"/>
    </format>
    <format dxfId="175">
      <pivotArea field="88" type="button" dataOnly="0" labelOnly="1" outline="0"/>
    </format>
    <format dxfId="174">
      <pivotArea dataOnly="0" labelOnly="1" outline="0" fieldPosition="0">
        <references count="1">
          <reference field="41" count="20">
            <x v="828"/>
            <x v="829"/>
            <x v="833"/>
            <x v="834"/>
            <x v="835"/>
            <x v="836"/>
            <x v="838"/>
            <x v="840"/>
            <x v="843"/>
            <x v="844"/>
            <x v="845"/>
            <x v="849"/>
            <x v="853"/>
            <x v="854"/>
            <x v="855"/>
            <x v="856"/>
            <x v="860"/>
            <x v="861"/>
            <x v="863"/>
            <x v="867"/>
          </reference>
        </references>
      </pivotArea>
    </format>
    <format dxfId="173">
      <pivotArea type="origin" dataOnly="0" labelOnly="1" outline="0" fieldPosition="0"/>
    </format>
    <format dxfId="172">
      <pivotArea dataOnly="0" labelOnly="1" outline="0" fieldPosition="0">
        <references count="1">
          <reference field="41" count="37">
            <x v="836"/>
            <x v="839"/>
            <x v="840"/>
            <x v="842"/>
            <x v="843"/>
            <x v="846"/>
            <x v="847"/>
            <x v="848"/>
            <x v="850"/>
            <x v="852"/>
            <x v="855"/>
            <x v="857"/>
            <x v="858"/>
            <x v="859"/>
            <x v="860"/>
            <x v="861"/>
            <x v="862"/>
            <x v="864"/>
            <x v="866"/>
            <x v="868"/>
            <x v="870"/>
            <x v="871"/>
            <x v="872"/>
            <x v="873"/>
            <x v="874"/>
            <x v="875"/>
            <x v="876"/>
            <x v="879"/>
            <x v="881"/>
            <x v="882"/>
            <x v="883"/>
            <x v="884"/>
            <x v="885"/>
            <x v="886"/>
            <x v="887"/>
            <x v="888"/>
            <x v="889"/>
          </reference>
        </references>
      </pivotArea>
    </format>
    <format dxfId="171">
      <pivotArea dataOnly="0" labelOnly="1" grandRow="1" outline="0" fieldPosition="0"/>
    </format>
    <format dxfId="170">
      <pivotArea field="78" type="button" dataOnly="0" labelOnly="1" outline="0"/>
    </format>
    <format dxfId="169">
      <pivotArea field="78" type="button" dataOnly="0" labelOnly="1" outline="0"/>
    </format>
    <format dxfId="168">
      <pivotArea field="41" type="button" dataOnly="0" labelOnly="1" outline="0" axis="axisRow" fieldPosition="0"/>
    </format>
    <format dxfId="167">
      <pivotArea field="47" type="button" dataOnly="0" labelOnly="1" outline="0" axis="axisRow" fieldPosition="1"/>
    </format>
    <format dxfId="166">
      <pivotArea field="3" type="button" dataOnly="0" labelOnly="1" outline="0" axis="axisRow" fieldPosition="2"/>
    </format>
    <format dxfId="165">
      <pivotArea field="6" type="button" dataOnly="0" labelOnly="1" outline="0" axis="axisRow" fieldPosition="3"/>
    </format>
    <format dxfId="164">
      <pivotArea field="44" type="button" dataOnly="0" labelOnly="1" outline="0" axis="axisRow" fieldPosition="4"/>
    </format>
    <format dxfId="163">
      <pivotArea field="8" type="button" dataOnly="0" labelOnly="1" outline="0" axis="axisRow" fieldPosition="5"/>
    </format>
    <format dxfId="162">
      <pivotArea field="16" type="button" dataOnly="0" labelOnly="1" outline="0" axis="axisRow" fieldPosition="6"/>
    </format>
    <format dxfId="161">
      <pivotArea field="15" type="button" dataOnly="0" labelOnly="1" outline="0" axis="axisRow" fieldPosition="7"/>
    </format>
    <format dxfId="160">
      <pivotArea field="14" type="button" dataOnly="0" labelOnly="1" outline="0" axis="axisRow" fieldPosition="8"/>
    </format>
    <format dxfId="159">
      <pivotArea field="26" type="button" dataOnly="0" labelOnly="1" outline="0" axis="axisRow" fieldPosition="9"/>
    </format>
    <format dxfId="158">
      <pivotArea field="67" type="button" dataOnly="0" labelOnly="1" outline="0"/>
    </format>
    <format dxfId="157">
      <pivotArea field="71" type="button" dataOnly="0" labelOnly="1" outline="0"/>
    </format>
    <format dxfId="156">
      <pivotArea field="48" type="button" dataOnly="0" labelOnly="1" outline="0" axis="axisRow" fieldPosition="10"/>
    </format>
    <format dxfId="155">
      <pivotArea field="50" type="button" dataOnly="0" labelOnly="1" outline="0" axis="axisRow" fieldPosition="11"/>
    </format>
    <format dxfId="154">
      <pivotArea field="52" type="button" dataOnly="0" labelOnly="1" outline="0" axis="axisRow" fieldPosition="12"/>
    </format>
    <format dxfId="153">
      <pivotArea field="67" type="button" dataOnly="0" labelOnly="1" outline="0"/>
    </format>
    <format dxfId="152">
      <pivotArea field="71" type="button" dataOnly="0" labelOnly="1" outline="0"/>
    </format>
    <format dxfId="151">
      <pivotArea field="41" type="button" dataOnly="0" labelOnly="1" outline="0" axis="axisRow" fieldPosition="0"/>
    </format>
    <format dxfId="150">
      <pivotArea field="47" type="button" dataOnly="0" labelOnly="1" outline="0" axis="axisRow" fieldPosition="1"/>
    </format>
    <format dxfId="149">
      <pivotArea field="3" type="button" dataOnly="0" labelOnly="1" outline="0" axis="axisRow" fieldPosition="2"/>
    </format>
    <format dxfId="148">
      <pivotArea field="6" type="button" dataOnly="0" labelOnly="1" outline="0" axis="axisRow" fieldPosition="3"/>
    </format>
    <format dxfId="147">
      <pivotArea field="44" type="button" dataOnly="0" labelOnly="1" outline="0" axis="axisRow" fieldPosition="4"/>
    </format>
    <format dxfId="146">
      <pivotArea field="8" type="button" dataOnly="0" labelOnly="1" outline="0" axis="axisRow" fieldPosition="5"/>
    </format>
    <format dxfId="145">
      <pivotArea field="16" type="button" dataOnly="0" labelOnly="1" outline="0" axis="axisRow" fieldPosition="6"/>
    </format>
    <format dxfId="144">
      <pivotArea field="15" type="button" dataOnly="0" labelOnly="1" outline="0" axis="axisRow" fieldPosition="7"/>
    </format>
    <format dxfId="143">
      <pivotArea field="14" type="button" dataOnly="0" labelOnly="1" outline="0" axis="axisRow" fieldPosition="8"/>
    </format>
    <format dxfId="142">
      <pivotArea field="26" type="button" dataOnly="0" labelOnly="1" outline="0" axis="axisRow" fieldPosition="9"/>
    </format>
    <format dxfId="141">
      <pivotArea field="67" type="button" dataOnly="0" labelOnly="1" outline="0"/>
    </format>
    <format dxfId="140">
      <pivotArea field="71" type="button" dataOnly="0" labelOnly="1" outline="0"/>
    </format>
    <format dxfId="139">
      <pivotArea field="48" type="button" dataOnly="0" labelOnly="1" outline="0" axis="axisRow" fieldPosition="10"/>
    </format>
    <format dxfId="138">
      <pivotArea field="50" type="button" dataOnly="0" labelOnly="1" outline="0" axis="axisRow" fieldPosition="11"/>
    </format>
    <format dxfId="137">
      <pivotArea field="52" type="button" dataOnly="0" labelOnly="1" outline="0" axis="axisRow" fieldPosition="12"/>
    </format>
    <format dxfId="136">
      <pivotArea dataOnly="0" labelOnly="1" outline="0" fieldPosition="0">
        <references count="6">
          <reference field="3" count="0" selected="0"/>
          <reference field="6" count="1" selected="0">
            <x v="990"/>
          </reference>
          <reference field="8" count="1">
            <x v="1704"/>
          </reference>
          <reference field="41" count="1" selected="0">
            <x v="850"/>
          </reference>
          <reference field="44" count="1" selected="0">
            <x v="923"/>
          </reference>
          <reference field="47" count="1" selected="0">
            <x v="1"/>
          </reference>
        </references>
      </pivotArea>
    </format>
    <format dxfId="135">
      <pivotArea dataOnly="0" labelOnly="1" outline="0" fieldPosition="0">
        <references count="6">
          <reference field="3" count="0" selected="0"/>
          <reference field="6" count="1" selected="0">
            <x v="715"/>
          </reference>
          <reference field="8" count="1">
            <x v="1704"/>
          </reference>
          <reference field="41" count="1" selected="0">
            <x v="859"/>
          </reference>
          <reference field="44" count="1" selected="0">
            <x v="929"/>
          </reference>
          <reference field="47" count="1" selected="0">
            <x v="0"/>
          </reference>
        </references>
      </pivotArea>
    </format>
    <format dxfId="134">
      <pivotArea dataOnly="0" labelOnly="1" outline="0" fieldPosition="0">
        <references count="6">
          <reference field="3" count="0" selected="0"/>
          <reference field="6" count="1" selected="0">
            <x v="686"/>
          </reference>
          <reference field="8" count="1">
            <x v="1704"/>
          </reference>
          <reference field="41" count="1" selected="0">
            <x v="862"/>
          </reference>
          <reference field="44" count="1" selected="0">
            <x v="932"/>
          </reference>
          <reference field="47" count="1" selected="0">
            <x v="0"/>
          </reference>
        </references>
      </pivotArea>
    </format>
    <format dxfId="133">
      <pivotArea dataOnly="0" labelOnly="1" outline="0" offset="IV2:IV256" fieldPosition="0">
        <references count="6">
          <reference field="3" count="0" selected="0"/>
          <reference field="6" count="1" selected="0">
            <x v="990"/>
          </reference>
          <reference field="8" count="1">
            <x v="1704"/>
          </reference>
          <reference field="41" count="1" selected="0">
            <x v="850"/>
          </reference>
          <reference field="44" count="1" selected="0">
            <x v="923"/>
          </reference>
          <reference field="47" count="1" selected="0">
            <x v="1"/>
          </reference>
        </references>
      </pivotArea>
    </format>
    <format dxfId="132">
      <pivotArea field="41" type="button" dataOnly="0" labelOnly="1" outline="0" axis="axisRow" fieldPosition="0"/>
    </format>
    <format dxfId="131">
      <pivotArea field="47" type="button" dataOnly="0" labelOnly="1" outline="0" axis="axisRow" fieldPosition="1"/>
    </format>
    <format dxfId="130">
      <pivotArea field="3" type="button" dataOnly="0" labelOnly="1" outline="0" axis="axisRow" fieldPosition="2"/>
    </format>
    <format dxfId="129">
      <pivotArea field="6" type="button" dataOnly="0" labelOnly="1" outline="0" axis="axisRow" fieldPosition="3"/>
    </format>
    <format dxfId="128">
      <pivotArea field="44" type="button" dataOnly="0" labelOnly="1" outline="0" axis="axisRow" fieldPosition="4"/>
    </format>
    <format dxfId="127">
      <pivotArea field="8" type="button" dataOnly="0" labelOnly="1" outline="0" axis="axisRow" fieldPosition="5"/>
    </format>
    <format dxfId="126">
      <pivotArea field="16" type="button" dataOnly="0" labelOnly="1" outline="0" axis="axisRow" fieldPosition="6"/>
    </format>
    <format dxfId="125">
      <pivotArea field="15" type="button" dataOnly="0" labelOnly="1" outline="0" axis="axisRow" fieldPosition="7"/>
    </format>
    <format dxfId="124">
      <pivotArea field="14" type="button" dataOnly="0" labelOnly="1" outline="0" axis="axisRow" fieldPosition="8"/>
    </format>
    <format dxfId="123">
      <pivotArea field="26" type="button" dataOnly="0" labelOnly="1" outline="0" axis="axisRow" fieldPosition="9"/>
    </format>
    <format dxfId="122">
      <pivotArea field="48" type="button" dataOnly="0" labelOnly="1" outline="0" axis="axisRow" fieldPosition="10"/>
    </format>
    <format dxfId="121">
      <pivotArea field="50" type="button" dataOnly="0" labelOnly="1" outline="0" axis="axisRow" fieldPosition="11"/>
    </format>
    <format dxfId="120">
      <pivotArea field="52" type="button" dataOnly="0" labelOnly="1" outline="0" axis="axisRow" fieldPosition="12"/>
    </format>
    <format dxfId="119">
      <pivotArea dataOnly="0" labelOnly="1" outline="0" fieldPosition="0">
        <references count="1">
          <reference field="41" count="10">
            <x v="836"/>
            <x v="839"/>
            <x v="840"/>
            <x v="842"/>
            <x v="843"/>
            <x v="846"/>
            <x v="847"/>
            <x v="848"/>
            <x v="850"/>
            <x v="852"/>
          </reference>
        </references>
      </pivotArea>
    </format>
    <format dxfId="118">
      <pivotArea dataOnly="0" labelOnly="1" outline="0" fieldPosition="0">
        <references count="2">
          <reference field="41" count="1" selected="0">
            <x v="836"/>
          </reference>
          <reference field="47" count="1">
            <x v="1"/>
          </reference>
        </references>
      </pivotArea>
    </format>
    <format dxfId="117">
      <pivotArea dataOnly="0" labelOnly="1" outline="0" fieldPosition="0">
        <references count="2">
          <reference field="41" count="1" selected="0">
            <x v="839"/>
          </reference>
          <reference field="47" count="1">
            <x v="0"/>
          </reference>
        </references>
      </pivotArea>
    </format>
    <format dxfId="116">
      <pivotArea dataOnly="0" labelOnly="1" outline="0" fieldPosition="0">
        <references count="2">
          <reference field="41" count="1" selected="0">
            <x v="842"/>
          </reference>
          <reference field="47" count="1">
            <x v="1"/>
          </reference>
        </references>
      </pivotArea>
    </format>
    <format dxfId="115">
      <pivotArea dataOnly="0" labelOnly="1" outline="0" fieldPosition="0">
        <references count="2">
          <reference field="41" count="1" selected="0">
            <x v="843"/>
          </reference>
          <reference field="47" count="1">
            <x v="0"/>
          </reference>
        </references>
      </pivotArea>
    </format>
    <format dxfId="114">
      <pivotArea dataOnly="0" labelOnly="1" outline="0" fieldPosition="0">
        <references count="2">
          <reference field="41" count="1" selected="0">
            <x v="846"/>
          </reference>
          <reference field="47" count="1">
            <x v="1"/>
          </reference>
        </references>
      </pivotArea>
    </format>
    <format dxfId="113">
      <pivotArea dataOnly="0" labelOnly="1" outline="0" fieldPosition="0">
        <references count="2">
          <reference field="41" count="1" selected="0">
            <x v="847"/>
          </reference>
          <reference field="47" count="2">
            <x v="0"/>
            <x v="1"/>
          </reference>
        </references>
      </pivotArea>
    </format>
    <format dxfId="112">
      <pivotArea dataOnly="0" labelOnly="1" outline="0" fieldPosition="0">
        <references count="2">
          <reference field="41" count="1" selected="0">
            <x v="848"/>
          </reference>
          <reference field="47" count="1">
            <x v="0"/>
          </reference>
        </references>
      </pivotArea>
    </format>
    <format dxfId="111">
      <pivotArea dataOnly="0" labelOnly="1" outline="0" fieldPosition="0">
        <references count="2">
          <reference field="41" count="1" selected="0">
            <x v="850"/>
          </reference>
          <reference field="47" count="1">
            <x v="1"/>
          </reference>
        </references>
      </pivotArea>
    </format>
    <format dxfId="110">
      <pivotArea dataOnly="0" labelOnly="1" outline="0" fieldPosition="0">
        <references count="2">
          <reference field="41" count="1" selected="0">
            <x v="852"/>
          </reference>
          <reference field="47" count="2">
            <x v="0"/>
            <x v="1"/>
          </reference>
        </references>
      </pivotArea>
    </format>
    <format dxfId="109">
      <pivotArea dataOnly="0" labelOnly="1" outline="0" fieldPosition="0">
        <references count="3">
          <reference field="3" count="0"/>
          <reference field="41" count="1" selected="0">
            <x v="836"/>
          </reference>
          <reference field="47" count="1" selected="0">
            <x v="1"/>
          </reference>
        </references>
      </pivotArea>
    </format>
    <format dxfId="108">
      <pivotArea dataOnly="0" labelOnly="1" outline="0" fieldPosition="0">
        <references count="4">
          <reference field="3" count="0" selected="0"/>
          <reference field="6" count="1">
            <x v="414"/>
          </reference>
          <reference field="41" count="1" selected="0">
            <x v="839"/>
          </reference>
          <reference field="47" count="1" selected="0">
            <x v="0"/>
          </reference>
        </references>
      </pivotArea>
    </format>
    <format dxfId="107">
      <pivotArea dataOnly="0" labelOnly="1" outline="0" fieldPosition="0">
        <references count="4">
          <reference field="3" count="0" selected="0"/>
          <reference field="6" count="1">
            <x v="415"/>
          </reference>
          <reference field="41" count="1" selected="0">
            <x v="840"/>
          </reference>
          <reference field="47" count="1" selected="0">
            <x v="0"/>
          </reference>
        </references>
      </pivotArea>
    </format>
    <format dxfId="106">
      <pivotArea dataOnly="0" labelOnly="1" outline="0" fieldPosition="0">
        <references count="4">
          <reference field="3" count="0" selected="0"/>
          <reference field="6" count="1">
            <x v="416"/>
          </reference>
          <reference field="41" count="1" selected="0">
            <x v="842"/>
          </reference>
          <reference field="47" count="1" selected="0">
            <x v="0"/>
          </reference>
        </references>
      </pivotArea>
    </format>
    <format dxfId="105">
      <pivotArea dataOnly="0" labelOnly="1" outline="0" fieldPosition="0">
        <references count="4">
          <reference field="3" count="0" selected="0"/>
          <reference field="6" count="2">
            <x v="749"/>
            <x v="750"/>
          </reference>
          <reference field="41" count="1" selected="0">
            <x v="842"/>
          </reference>
          <reference field="47" count="1" selected="0">
            <x v="1"/>
          </reference>
        </references>
      </pivotArea>
    </format>
    <format dxfId="104">
      <pivotArea dataOnly="0" labelOnly="1" outline="0" fieldPosition="0">
        <references count="4">
          <reference field="3" count="0" selected="0"/>
          <reference field="6" count="1">
            <x v="417"/>
          </reference>
          <reference field="41" count="1" selected="0">
            <x v="843"/>
          </reference>
          <reference field="47" count="1" selected="0">
            <x v="0"/>
          </reference>
        </references>
      </pivotArea>
    </format>
    <format dxfId="103">
      <pivotArea dataOnly="0" labelOnly="1" outline="0" fieldPosition="0">
        <references count="4">
          <reference field="3" count="0" selected="0"/>
          <reference field="6" count="2">
            <x v="842"/>
            <x v="978"/>
          </reference>
          <reference field="41" count="1" selected="0">
            <x v="846"/>
          </reference>
          <reference field="47" count="1" selected="0">
            <x v="1"/>
          </reference>
        </references>
      </pivotArea>
    </format>
    <format dxfId="102">
      <pivotArea dataOnly="0" labelOnly="1" outline="0" fieldPosition="0">
        <references count="4">
          <reference field="3" count="0" selected="0"/>
          <reference field="6" count="1">
            <x v="418"/>
          </reference>
          <reference field="41" count="1" selected="0">
            <x v="847"/>
          </reference>
          <reference field="47" count="1" selected="0">
            <x v="0"/>
          </reference>
        </references>
      </pivotArea>
    </format>
    <format dxfId="101">
      <pivotArea dataOnly="0" labelOnly="1" outline="0" fieldPosition="0">
        <references count="4">
          <reference field="3" count="0" selected="0"/>
          <reference field="6" count="1">
            <x v="804"/>
          </reference>
          <reference field="41" count="1" selected="0">
            <x v="847"/>
          </reference>
          <reference field="47" count="1" selected="0">
            <x v="1"/>
          </reference>
        </references>
      </pivotArea>
    </format>
    <format dxfId="100">
      <pivotArea dataOnly="0" labelOnly="1" outline="0" fieldPosition="0">
        <references count="4">
          <reference field="3" count="0" selected="0"/>
          <reference field="6" count="1">
            <x v="419"/>
          </reference>
          <reference field="41" count="1" selected="0">
            <x v="848"/>
          </reference>
          <reference field="47" count="1" selected="0">
            <x v="0"/>
          </reference>
        </references>
      </pivotArea>
    </format>
    <format dxfId="99">
      <pivotArea dataOnly="0" labelOnly="1" outline="0" fieldPosition="0">
        <references count="4">
          <reference field="3" count="0" selected="0"/>
          <reference field="6" count="2">
            <x v="420"/>
            <x v="606"/>
          </reference>
          <reference field="41" count="1" selected="0">
            <x v="850"/>
          </reference>
          <reference field="47" count="1" selected="0">
            <x v="0"/>
          </reference>
        </references>
      </pivotArea>
    </format>
    <format dxfId="98">
      <pivotArea dataOnly="0" labelOnly="1" outline="0" fieldPosition="0">
        <references count="4">
          <reference field="3" count="0" selected="0"/>
          <reference field="6" count="1">
            <x v="990"/>
          </reference>
          <reference field="41" count="1" selected="0">
            <x v="850"/>
          </reference>
          <reference field="47" count="1" selected="0">
            <x v="1"/>
          </reference>
        </references>
      </pivotArea>
    </format>
    <format dxfId="97">
      <pivotArea dataOnly="0" labelOnly="1" outline="0" fieldPosition="0">
        <references count="4">
          <reference field="3" count="0" selected="0"/>
          <reference field="6" count="1">
            <x v="421"/>
          </reference>
          <reference field="41" count="1" selected="0">
            <x v="852"/>
          </reference>
          <reference field="47" count="1" selected="0">
            <x v="0"/>
          </reference>
        </references>
      </pivotArea>
    </format>
    <format dxfId="96">
      <pivotArea dataOnly="0" labelOnly="1" outline="0" fieldPosition="0">
        <references count="4">
          <reference field="3" count="0" selected="0"/>
          <reference field="6" count="1">
            <x v="830"/>
          </reference>
          <reference field="41" count="1" selected="0">
            <x v="852"/>
          </reference>
          <reference field="47" count="1" selected="0">
            <x v="1"/>
          </reference>
        </references>
      </pivotArea>
    </format>
    <format dxfId="95">
      <pivotArea dataOnly="0" labelOnly="1" outline="0" fieldPosition="0">
        <references count="5">
          <reference field="3" count="0" selected="0"/>
          <reference field="6" count="1" selected="0">
            <x v="414"/>
          </reference>
          <reference field="41" count="1" selected="0">
            <x v="839"/>
          </reference>
          <reference field="44" count="1">
            <x v="907"/>
          </reference>
          <reference field="47" count="1" selected="0">
            <x v="0"/>
          </reference>
        </references>
      </pivotArea>
    </format>
    <format dxfId="94">
      <pivotArea dataOnly="0" labelOnly="1" outline="0" fieldPosition="0">
        <references count="5">
          <reference field="3" count="0" selected="0"/>
          <reference field="6" count="1" selected="0">
            <x v="415"/>
          </reference>
          <reference field="41" count="1" selected="0">
            <x v="840"/>
          </reference>
          <reference field="44" count="1">
            <x v="909"/>
          </reference>
          <reference field="47" count="1" selected="0">
            <x v="0"/>
          </reference>
        </references>
      </pivotArea>
    </format>
    <format dxfId="93">
      <pivotArea dataOnly="0" labelOnly="1" outline="0" fieldPosition="0">
        <references count="5">
          <reference field="3" count="0" selected="0"/>
          <reference field="6" count="1" selected="0">
            <x v="416"/>
          </reference>
          <reference field="41" count="1" selected="0">
            <x v="842"/>
          </reference>
          <reference field="44" count="1">
            <x v="912"/>
          </reference>
          <reference field="47" count="1" selected="0">
            <x v="0"/>
          </reference>
        </references>
      </pivotArea>
    </format>
    <format dxfId="92">
      <pivotArea dataOnly="0" labelOnly="1" outline="0" fieldPosition="0">
        <references count="5">
          <reference field="3" count="0" selected="0"/>
          <reference field="6" count="1" selected="0">
            <x v="749"/>
          </reference>
          <reference field="41" count="1" selected="0">
            <x v="842"/>
          </reference>
          <reference field="44" count="1">
            <x v="915"/>
          </reference>
          <reference field="47" count="1" selected="0">
            <x v="1"/>
          </reference>
        </references>
      </pivotArea>
    </format>
    <format dxfId="91">
      <pivotArea dataOnly="0" labelOnly="1" outline="0" fieldPosition="0">
        <references count="5">
          <reference field="3" count="0" selected="0"/>
          <reference field="6" count="1" selected="0">
            <x v="750"/>
          </reference>
          <reference field="41" count="1" selected="0">
            <x v="842"/>
          </reference>
          <reference field="44" count="1">
            <x v="916"/>
          </reference>
          <reference field="47" count="1" selected="0">
            <x v="1"/>
          </reference>
        </references>
      </pivotArea>
    </format>
    <format dxfId="90">
      <pivotArea dataOnly="0" labelOnly="1" outline="0" fieldPosition="0">
        <references count="5">
          <reference field="3" count="0" selected="0"/>
          <reference field="6" count="1" selected="0">
            <x v="417"/>
          </reference>
          <reference field="41" count="1" selected="0">
            <x v="843"/>
          </reference>
          <reference field="44" count="1">
            <x v="913"/>
          </reference>
          <reference field="47" count="1" selected="0">
            <x v="0"/>
          </reference>
        </references>
      </pivotArea>
    </format>
    <format dxfId="89">
      <pivotArea dataOnly="0" labelOnly="1" outline="0" fieldPosition="0">
        <references count="5">
          <reference field="3" count="0" selected="0"/>
          <reference field="6" count="1" selected="0">
            <x v="842"/>
          </reference>
          <reference field="41" count="1" selected="0">
            <x v="846"/>
          </reference>
          <reference field="44" count="1">
            <x v="917"/>
          </reference>
          <reference field="47" count="1" selected="0">
            <x v="1"/>
          </reference>
        </references>
      </pivotArea>
    </format>
    <format dxfId="88">
      <pivotArea dataOnly="0" labelOnly="1" outline="0" fieldPosition="0">
        <references count="5">
          <reference field="3" count="0" selected="0"/>
          <reference field="6" count="1" selected="0">
            <x v="978"/>
          </reference>
          <reference field="41" count="1" selected="0">
            <x v="846"/>
          </reference>
          <reference field="44" count="1">
            <x v="919"/>
          </reference>
          <reference field="47" count="1" selected="0">
            <x v="1"/>
          </reference>
        </references>
      </pivotArea>
    </format>
    <format dxfId="87">
      <pivotArea dataOnly="0" labelOnly="1" outline="0" fieldPosition="0">
        <references count="5">
          <reference field="3" count="0" selected="0"/>
          <reference field="6" count="1" selected="0">
            <x v="418"/>
          </reference>
          <reference field="41" count="1" selected="0">
            <x v="847"/>
          </reference>
          <reference field="44" count="1">
            <x v="916"/>
          </reference>
          <reference field="47" count="1" selected="0">
            <x v="0"/>
          </reference>
        </references>
      </pivotArea>
    </format>
    <format dxfId="86">
      <pivotArea dataOnly="0" labelOnly="1" outline="0" fieldPosition="0">
        <references count="5">
          <reference field="3" count="0" selected="0"/>
          <reference field="6" count="1" selected="0">
            <x v="804"/>
          </reference>
          <reference field="41" count="1" selected="0">
            <x v="847"/>
          </reference>
          <reference field="44" count="1">
            <x v="918"/>
          </reference>
          <reference field="47" count="1" selected="0">
            <x v="1"/>
          </reference>
        </references>
      </pivotArea>
    </format>
    <format dxfId="85">
      <pivotArea dataOnly="0" labelOnly="1" outline="0" fieldPosition="0">
        <references count="5">
          <reference field="3" count="0" selected="0"/>
          <reference field="6" count="1" selected="0">
            <x v="419"/>
          </reference>
          <reference field="41" count="1" selected="0">
            <x v="848"/>
          </reference>
          <reference field="44" count="1">
            <x v="917"/>
          </reference>
          <reference field="47" count="1" selected="0">
            <x v="0"/>
          </reference>
        </references>
      </pivotArea>
    </format>
    <format dxfId="84">
      <pivotArea dataOnly="0" labelOnly="1" outline="0" fieldPosition="0">
        <references count="5">
          <reference field="3" count="0" selected="0"/>
          <reference field="6" count="1" selected="0">
            <x v="420"/>
          </reference>
          <reference field="41" count="1" selected="0">
            <x v="850"/>
          </reference>
          <reference field="44" count="1">
            <x v="920"/>
          </reference>
          <reference field="47" count="1" selected="0">
            <x v="0"/>
          </reference>
        </references>
      </pivotArea>
    </format>
    <format dxfId="83">
      <pivotArea dataOnly="0" labelOnly="1" outline="0" fieldPosition="0">
        <references count="5">
          <reference field="3" count="0" selected="0"/>
          <reference field="6" count="1" selected="0">
            <x v="606"/>
          </reference>
          <reference field="41" count="1" selected="0">
            <x v="850"/>
          </reference>
          <reference field="44" count="1">
            <x v="904"/>
          </reference>
          <reference field="47" count="1" selected="0">
            <x v="0"/>
          </reference>
        </references>
      </pivotArea>
    </format>
    <format dxfId="82">
      <pivotArea dataOnly="0" labelOnly="1" outline="0" fieldPosition="0">
        <references count="5">
          <reference field="3" count="0" selected="0"/>
          <reference field="6" count="1" selected="0">
            <x v="990"/>
          </reference>
          <reference field="41" count="1" selected="0">
            <x v="850"/>
          </reference>
          <reference field="44" count="1">
            <x v="923"/>
          </reference>
          <reference field="47" count="1" selected="0">
            <x v="1"/>
          </reference>
        </references>
      </pivotArea>
    </format>
    <format dxfId="81">
      <pivotArea dataOnly="0" labelOnly="1" outline="0" fieldPosition="0">
        <references count="5">
          <reference field="3" count="0" selected="0"/>
          <reference field="6" count="1" selected="0">
            <x v="421"/>
          </reference>
          <reference field="41" count="1" selected="0">
            <x v="852"/>
          </reference>
          <reference field="44" count="1">
            <x v="922"/>
          </reference>
          <reference field="47" count="1" selected="0">
            <x v="0"/>
          </reference>
        </references>
      </pivotArea>
    </format>
    <format dxfId="80">
      <pivotArea dataOnly="0" labelOnly="1" outline="0" fieldPosition="0">
        <references count="5">
          <reference field="3" count="0" selected="0"/>
          <reference field="6" count="1" selected="0">
            <x v="830"/>
          </reference>
          <reference field="41" count="1" selected="0">
            <x v="852"/>
          </reference>
          <reference field="44" count="1">
            <x v="924"/>
          </reference>
          <reference field="47" count="1" selected="0">
            <x v="1"/>
          </reference>
        </references>
      </pivotArea>
    </format>
    <format dxfId="79">
      <pivotArea dataOnly="0" labelOnly="1" outline="0" fieldPosition="0">
        <references count="6">
          <reference field="3" count="0" selected="0"/>
          <reference field="6" count="1" selected="0">
            <x v="606"/>
          </reference>
          <reference field="8" count="1">
            <x v="1635"/>
          </reference>
          <reference field="41" count="1" selected="0">
            <x v="850"/>
          </reference>
          <reference field="44" count="1" selected="0">
            <x v="904"/>
          </reference>
          <reference field="47" count="1" selected="0">
            <x v="0"/>
          </reference>
        </references>
      </pivotArea>
    </format>
    <format dxfId="78">
      <pivotArea dataOnly="0" labelOnly="1" outline="0" fieldPosition="0">
        <references count="6">
          <reference field="3" count="0" selected="0"/>
          <reference field="6" count="1" selected="0">
            <x v="990"/>
          </reference>
          <reference field="8" count="1">
            <x v="1704"/>
          </reference>
          <reference field="41" count="1" selected="0">
            <x v="850"/>
          </reference>
          <reference field="44" count="1" selected="0">
            <x v="923"/>
          </reference>
          <reference field="47" count="1" selected="0">
            <x v="1"/>
          </reference>
        </references>
      </pivotArea>
    </format>
    <format dxfId="77">
      <pivotArea dataOnly="0" labelOnly="1" outline="0" fieldPosition="0">
        <references count="7">
          <reference field="3" count="0" selected="0"/>
          <reference field="6" count="1" selected="0">
            <x v="749"/>
          </reference>
          <reference field="8" count="1" selected="0">
            <x v="1704"/>
          </reference>
          <reference field="16" count="1">
            <x v="360"/>
          </reference>
          <reference field="41" count="1" selected="0">
            <x v="842"/>
          </reference>
          <reference field="44" count="1" selected="0">
            <x v="915"/>
          </reference>
          <reference field="47" count="1" selected="0">
            <x v="1"/>
          </reference>
        </references>
      </pivotArea>
    </format>
    <format dxfId="76">
      <pivotArea dataOnly="0" labelOnly="1" outline="0" fieldPosition="0">
        <references count="7">
          <reference field="3" count="0" selected="0"/>
          <reference field="6" count="1" selected="0">
            <x v="417"/>
          </reference>
          <reference field="8" count="1" selected="0">
            <x v="1704"/>
          </reference>
          <reference field="16" count="1">
            <x v="447"/>
          </reference>
          <reference field="41" count="1" selected="0">
            <x v="843"/>
          </reference>
          <reference field="44" count="1" selected="0">
            <x v="913"/>
          </reference>
          <reference field="47" count="1" selected="0">
            <x v="0"/>
          </reference>
        </references>
      </pivotArea>
    </format>
    <format dxfId="75">
      <pivotArea dataOnly="0" labelOnly="1" outline="0" fieldPosition="0">
        <references count="7">
          <reference field="3" count="0" selected="0"/>
          <reference field="6" count="1" selected="0">
            <x v="842"/>
          </reference>
          <reference field="8" count="1" selected="0">
            <x v="1704"/>
          </reference>
          <reference field="16" count="1">
            <x v="39"/>
          </reference>
          <reference field="41" count="1" selected="0">
            <x v="846"/>
          </reference>
          <reference field="44" count="1" selected="0">
            <x v="917"/>
          </reference>
          <reference field="47" count="1" selected="0">
            <x v="1"/>
          </reference>
        </references>
      </pivotArea>
    </format>
    <format dxfId="74">
      <pivotArea dataOnly="0" labelOnly="1" outline="0" fieldPosition="0">
        <references count="7">
          <reference field="3" count="0" selected="0"/>
          <reference field="6" count="1" selected="0">
            <x v="978"/>
          </reference>
          <reference field="8" count="1" selected="0">
            <x v="1704"/>
          </reference>
          <reference field="16" count="1">
            <x v="41"/>
          </reference>
          <reference field="41" count="1" selected="0">
            <x v="846"/>
          </reference>
          <reference field="44" count="1" selected="0">
            <x v="919"/>
          </reference>
          <reference field="47" count="1" selected="0">
            <x v="1"/>
          </reference>
        </references>
      </pivotArea>
    </format>
    <format dxfId="73">
      <pivotArea dataOnly="0" labelOnly="1" outline="0" fieldPosition="0">
        <references count="7">
          <reference field="3" count="0" selected="0"/>
          <reference field="6" count="1" selected="0">
            <x v="418"/>
          </reference>
          <reference field="8" count="1" selected="0">
            <x v="1704"/>
          </reference>
          <reference field="16" count="1">
            <x v="447"/>
          </reference>
          <reference field="41" count="1" selected="0">
            <x v="847"/>
          </reference>
          <reference field="44" count="1" selected="0">
            <x v="916"/>
          </reference>
          <reference field="47" count="1" selected="0">
            <x v="0"/>
          </reference>
        </references>
      </pivotArea>
    </format>
    <format dxfId="72">
      <pivotArea dataOnly="0" labelOnly="1" outline="0" fieldPosition="0">
        <references count="7">
          <reference field="3" count="0" selected="0"/>
          <reference field="6" count="1" selected="0">
            <x v="804"/>
          </reference>
          <reference field="8" count="1" selected="0">
            <x v="1704"/>
          </reference>
          <reference field="16" count="1">
            <x v="37"/>
          </reference>
          <reference field="41" count="1" selected="0">
            <x v="847"/>
          </reference>
          <reference field="44" count="1" selected="0">
            <x v="918"/>
          </reference>
          <reference field="47" count="1" selected="0">
            <x v="1"/>
          </reference>
        </references>
      </pivotArea>
    </format>
    <format dxfId="71">
      <pivotArea dataOnly="0" labelOnly="1" outline="0" fieldPosition="0">
        <references count="7">
          <reference field="3" count="0" selected="0"/>
          <reference field="6" count="1" selected="0">
            <x v="419"/>
          </reference>
          <reference field="8" count="1" selected="0">
            <x v="1704"/>
          </reference>
          <reference field="16" count="1">
            <x v="447"/>
          </reference>
          <reference field="41" count="1" selected="0">
            <x v="848"/>
          </reference>
          <reference field="44" count="1" selected="0">
            <x v="917"/>
          </reference>
          <reference field="47" count="1" selected="0">
            <x v="0"/>
          </reference>
        </references>
      </pivotArea>
    </format>
    <format dxfId="70">
      <pivotArea dataOnly="0" labelOnly="1" outline="0" fieldPosition="0">
        <references count="7">
          <reference field="3" count="0" selected="0"/>
          <reference field="6" count="1" selected="0">
            <x v="606"/>
          </reference>
          <reference field="8" count="1" selected="0">
            <x v="1635"/>
          </reference>
          <reference field="16" count="1">
            <x v="355"/>
          </reference>
          <reference field="41" count="1" selected="0">
            <x v="850"/>
          </reference>
          <reference field="44" count="1" selected="0">
            <x v="904"/>
          </reference>
          <reference field="47" count="1" selected="0">
            <x v="0"/>
          </reference>
        </references>
      </pivotArea>
    </format>
    <format dxfId="69">
      <pivotArea dataOnly="0" labelOnly="1" outline="0" fieldPosition="0">
        <references count="7">
          <reference field="3" count="0" selected="0"/>
          <reference field="6" count="1" selected="0">
            <x v="990"/>
          </reference>
          <reference field="8" count="1" selected="0">
            <x v="1704"/>
          </reference>
          <reference field="16" count="1">
            <x v="42"/>
          </reference>
          <reference field="41" count="1" selected="0">
            <x v="850"/>
          </reference>
          <reference field="44" count="1" selected="0">
            <x v="923"/>
          </reference>
          <reference field="47" count="1" selected="0">
            <x v="1"/>
          </reference>
        </references>
      </pivotArea>
    </format>
    <format dxfId="68">
      <pivotArea dataOnly="0" labelOnly="1" outline="0" fieldPosition="0">
        <references count="7">
          <reference field="3" count="0" selected="0"/>
          <reference field="6" count="1" selected="0">
            <x v="421"/>
          </reference>
          <reference field="8" count="1" selected="0">
            <x v="1704"/>
          </reference>
          <reference field="16" count="1">
            <x v="447"/>
          </reference>
          <reference field="41" count="1" selected="0">
            <x v="852"/>
          </reference>
          <reference field="44" count="1" selected="0">
            <x v="922"/>
          </reference>
          <reference field="47" count="1" selected="0">
            <x v="0"/>
          </reference>
        </references>
      </pivotArea>
    </format>
    <format dxfId="67">
      <pivotArea dataOnly="0" labelOnly="1" outline="0" fieldPosition="0">
        <references count="7">
          <reference field="3" count="0" selected="0"/>
          <reference field="6" count="1" selected="0">
            <x v="830"/>
          </reference>
          <reference field="8" count="1" selected="0">
            <x v="1704"/>
          </reference>
          <reference field="16" count="1">
            <x v="38"/>
          </reference>
          <reference field="41" count="1" selected="0">
            <x v="852"/>
          </reference>
          <reference field="44" count="1" selected="0">
            <x v="924"/>
          </reference>
          <reference field="47" count="1" selected="0">
            <x v="1"/>
          </reference>
        </references>
      </pivotArea>
    </format>
    <format dxfId="66">
      <pivotArea dataOnly="0" labelOnly="1" outline="0" fieldPosition="0">
        <references count="8">
          <reference field="3" count="0" selected="0"/>
          <reference field="6" count="1" selected="0">
            <x v="749"/>
          </reference>
          <reference field="8" count="1" selected="0">
            <x v="1704"/>
          </reference>
          <reference field="15" count="1">
            <x v="71"/>
          </reference>
          <reference field="16" count="1" selected="0">
            <x v="360"/>
          </reference>
          <reference field="41" count="1" selected="0">
            <x v="842"/>
          </reference>
          <reference field="44" count="1" selected="0">
            <x v="915"/>
          </reference>
          <reference field="47" count="1" selected="0">
            <x v="1"/>
          </reference>
        </references>
      </pivotArea>
    </format>
    <format dxfId="65">
      <pivotArea dataOnly="0" labelOnly="1" outline="0" fieldPosition="0">
        <references count="8">
          <reference field="3" count="0" selected="0"/>
          <reference field="6" count="1" selected="0">
            <x v="417"/>
          </reference>
          <reference field="8" count="1" selected="0">
            <x v="1704"/>
          </reference>
          <reference field="15" count="1">
            <x v="0"/>
          </reference>
          <reference field="16" count="1" selected="0">
            <x v="447"/>
          </reference>
          <reference field="41" count="1" selected="0">
            <x v="843"/>
          </reference>
          <reference field="44" count="1" selected="0">
            <x v="913"/>
          </reference>
          <reference field="47" count="1" selected="0">
            <x v="0"/>
          </reference>
        </references>
      </pivotArea>
    </format>
    <format dxfId="64">
      <pivotArea dataOnly="0" labelOnly="1" outline="0" fieldPosition="0">
        <references count="8">
          <reference field="3" count="0" selected="0"/>
          <reference field="6" count="1" selected="0">
            <x v="842"/>
          </reference>
          <reference field="8" count="1" selected="0">
            <x v="1704"/>
          </reference>
          <reference field="15" count="1">
            <x v="71"/>
          </reference>
          <reference field="16" count="1" selected="0">
            <x v="39"/>
          </reference>
          <reference field="41" count="1" selected="0">
            <x v="846"/>
          </reference>
          <reference field="44" count="1" selected="0">
            <x v="917"/>
          </reference>
          <reference field="47" count="1" selected="0">
            <x v="1"/>
          </reference>
        </references>
      </pivotArea>
    </format>
    <format dxfId="63">
      <pivotArea dataOnly="0" labelOnly="1" outline="0" fieldPosition="0">
        <references count="8">
          <reference field="3" count="0" selected="0"/>
          <reference field="6" count="1" selected="0">
            <x v="418"/>
          </reference>
          <reference field="8" count="1" selected="0">
            <x v="1704"/>
          </reference>
          <reference field="15" count="1">
            <x v="0"/>
          </reference>
          <reference field="16" count="1" selected="0">
            <x v="447"/>
          </reference>
          <reference field="41" count="1" selected="0">
            <x v="847"/>
          </reference>
          <reference field="44" count="1" selected="0">
            <x v="916"/>
          </reference>
          <reference field="47" count="1" selected="0">
            <x v="0"/>
          </reference>
        </references>
      </pivotArea>
    </format>
    <format dxfId="62">
      <pivotArea dataOnly="0" labelOnly="1" outline="0" fieldPosition="0">
        <references count="8">
          <reference field="3" count="0" selected="0"/>
          <reference field="6" count="1" selected="0">
            <x v="804"/>
          </reference>
          <reference field="8" count="1" selected="0">
            <x v="1704"/>
          </reference>
          <reference field="15" count="1">
            <x v="71"/>
          </reference>
          <reference field="16" count="1" selected="0">
            <x v="37"/>
          </reference>
          <reference field="41" count="1" selected="0">
            <x v="847"/>
          </reference>
          <reference field="44" count="1" selected="0">
            <x v="918"/>
          </reference>
          <reference field="47" count="1" selected="0">
            <x v="1"/>
          </reference>
        </references>
      </pivotArea>
    </format>
    <format dxfId="61">
      <pivotArea dataOnly="0" labelOnly="1" outline="0" fieldPosition="0">
        <references count="8">
          <reference field="3" count="0" selected="0"/>
          <reference field="6" count="1" selected="0">
            <x v="419"/>
          </reference>
          <reference field="8" count="1" selected="0">
            <x v="1704"/>
          </reference>
          <reference field="15" count="1">
            <x v="0"/>
          </reference>
          <reference field="16" count="1" selected="0">
            <x v="447"/>
          </reference>
          <reference field="41" count="1" selected="0">
            <x v="848"/>
          </reference>
          <reference field="44" count="1" selected="0">
            <x v="917"/>
          </reference>
          <reference field="47" count="1" selected="0">
            <x v="0"/>
          </reference>
        </references>
      </pivotArea>
    </format>
    <format dxfId="60">
      <pivotArea dataOnly="0" labelOnly="1" outline="0" fieldPosition="0">
        <references count="8">
          <reference field="3" count="0" selected="0"/>
          <reference field="6" count="1" selected="0">
            <x v="606"/>
          </reference>
          <reference field="8" count="1" selected="0">
            <x v="1635"/>
          </reference>
          <reference field="15" count="1">
            <x v="71"/>
          </reference>
          <reference field="16" count="1" selected="0">
            <x v="355"/>
          </reference>
          <reference field="41" count="1" selected="0">
            <x v="850"/>
          </reference>
          <reference field="44" count="1" selected="0">
            <x v="904"/>
          </reference>
          <reference field="47" count="1" selected="0">
            <x v="0"/>
          </reference>
        </references>
      </pivotArea>
    </format>
    <format dxfId="59">
      <pivotArea dataOnly="0" labelOnly="1" outline="0" fieldPosition="0">
        <references count="8">
          <reference field="3" count="0" selected="0"/>
          <reference field="6" count="1" selected="0">
            <x v="421"/>
          </reference>
          <reference field="8" count="1" selected="0">
            <x v="1704"/>
          </reference>
          <reference field="15" count="1">
            <x v="0"/>
          </reference>
          <reference field="16" count="1" selected="0">
            <x v="447"/>
          </reference>
          <reference field="41" count="1" selected="0">
            <x v="852"/>
          </reference>
          <reference field="44" count="1" selected="0">
            <x v="922"/>
          </reference>
          <reference field="47" count="1" selected="0">
            <x v="0"/>
          </reference>
        </references>
      </pivotArea>
    </format>
    <format dxfId="58">
      <pivotArea dataOnly="0" labelOnly="1" outline="0" fieldPosition="0">
        <references count="8">
          <reference field="3" count="0" selected="0"/>
          <reference field="6" count="1" selected="0">
            <x v="830"/>
          </reference>
          <reference field="8" count="1" selected="0">
            <x v="1704"/>
          </reference>
          <reference field="15" count="1">
            <x v="71"/>
          </reference>
          <reference field="16" count="1" selected="0">
            <x v="38"/>
          </reference>
          <reference field="41" count="1" selected="0">
            <x v="852"/>
          </reference>
          <reference field="44" count="1" selected="0">
            <x v="924"/>
          </reference>
          <reference field="47" count="1" selected="0">
            <x v="1"/>
          </reference>
        </references>
      </pivotArea>
    </format>
    <format dxfId="57">
      <pivotArea dataOnly="0" labelOnly="1" outline="0" fieldPosition="0">
        <references count="9">
          <reference field="3" count="0" selected="0"/>
          <reference field="6" count="1" selected="0">
            <x v="749"/>
          </reference>
          <reference field="8" count="1" selected="0">
            <x v="1704"/>
          </reference>
          <reference field="14" count="1">
            <x v="158"/>
          </reference>
          <reference field="15" count="1" selected="0">
            <x v="71"/>
          </reference>
          <reference field="16" count="1" selected="0">
            <x v="360"/>
          </reference>
          <reference field="41" count="1" selected="0">
            <x v="842"/>
          </reference>
          <reference field="44" count="1" selected="0">
            <x v="915"/>
          </reference>
          <reference field="47" count="1" selected="0">
            <x v="1"/>
          </reference>
        </references>
      </pivotArea>
    </format>
    <format dxfId="56">
      <pivotArea dataOnly="0" labelOnly="1" outline="0" fieldPosition="0">
        <references count="9">
          <reference field="3" count="0" selected="0"/>
          <reference field="6" count="1" selected="0">
            <x v="417"/>
          </reference>
          <reference field="8" count="1" selected="0">
            <x v="1704"/>
          </reference>
          <reference field="14" count="1">
            <x v="68"/>
          </reference>
          <reference field="15" count="1" selected="0">
            <x v="0"/>
          </reference>
          <reference field="16" count="1" selected="0">
            <x v="447"/>
          </reference>
          <reference field="41" count="1" selected="0">
            <x v="843"/>
          </reference>
          <reference field="44" count="1" selected="0">
            <x v="913"/>
          </reference>
          <reference field="47" count="1" selected="0">
            <x v="0"/>
          </reference>
        </references>
      </pivotArea>
    </format>
    <format dxfId="55">
      <pivotArea dataOnly="0" labelOnly="1" outline="0" fieldPosition="0">
        <references count="9">
          <reference field="3" count="0" selected="0"/>
          <reference field="6" count="1" selected="0">
            <x v="842"/>
          </reference>
          <reference field="8" count="1" selected="0">
            <x v="1704"/>
          </reference>
          <reference field="14" count="1">
            <x v="148"/>
          </reference>
          <reference field="15" count="1" selected="0">
            <x v="71"/>
          </reference>
          <reference field="16" count="1" selected="0">
            <x v="39"/>
          </reference>
          <reference field="41" count="1" selected="0">
            <x v="846"/>
          </reference>
          <reference field="44" count="1" selected="0">
            <x v="917"/>
          </reference>
          <reference field="47" count="1" selected="0">
            <x v="1"/>
          </reference>
        </references>
      </pivotArea>
    </format>
    <format dxfId="54">
      <pivotArea dataOnly="0" labelOnly="1" outline="0" fieldPosition="0">
        <references count="9">
          <reference field="3" count="0" selected="0"/>
          <reference field="6" count="1" selected="0">
            <x v="978"/>
          </reference>
          <reference field="8" count="1" selected="0">
            <x v="1704"/>
          </reference>
          <reference field="14" count="1">
            <x v="158"/>
          </reference>
          <reference field="15" count="1" selected="0">
            <x v="71"/>
          </reference>
          <reference field="16" count="1" selected="0">
            <x v="41"/>
          </reference>
          <reference field="41" count="1" selected="0">
            <x v="846"/>
          </reference>
          <reference field="44" count="1" selected="0">
            <x v="919"/>
          </reference>
          <reference field="47" count="1" selected="0">
            <x v="1"/>
          </reference>
        </references>
      </pivotArea>
    </format>
    <format dxfId="53">
      <pivotArea dataOnly="0" labelOnly="1" outline="0" fieldPosition="0">
        <references count="9">
          <reference field="3" count="0" selected="0"/>
          <reference field="6" count="1" selected="0">
            <x v="418"/>
          </reference>
          <reference field="8" count="1" selected="0">
            <x v="1704"/>
          </reference>
          <reference field="14" count="1">
            <x v="68"/>
          </reference>
          <reference field="15" count="1" selected="0">
            <x v="0"/>
          </reference>
          <reference field="16" count="1" selected="0">
            <x v="447"/>
          </reference>
          <reference field="41" count="1" selected="0">
            <x v="847"/>
          </reference>
          <reference field="44" count="1" selected="0">
            <x v="916"/>
          </reference>
          <reference field="47" count="1" selected="0">
            <x v="0"/>
          </reference>
        </references>
      </pivotArea>
    </format>
    <format dxfId="52">
      <pivotArea dataOnly="0" labelOnly="1" outline="0" fieldPosition="0">
        <references count="9">
          <reference field="3" count="0" selected="0"/>
          <reference field="6" count="1" selected="0">
            <x v="804"/>
          </reference>
          <reference field="8" count="1" selected="0">
            <x v="1704"/>
          </reference>
          <reference field="14" count="1">
            <x v="158"/>
          </reference>
          <reference field="15" count="1" selected="0">
            <x v="71"/>
          </reference>
          <reference field="16" count="1" selected="0">
            <x v="37"/>
          </reference>
          <reference field="41" count="1" selected="0">
            <x v="847"/>
          </reference>
          <reference field="44" count="1" selected="0">
            <x v="918"/>
          </reference>
          <reference field="47" count="1" selected="0">
            <x v="1"/>
          </reference>
        </references>
      </pivotArea>
    </format>
    <format dxfId="51">
      <pivotArea dataOnly="0" labelOnly="1" outline="0" fieldPosition="0">
        <references count="9">
          <reference field="3" count="0" selected="0"/>
          <reference field="6" count="1" selected="0">
            <x v="419"/>
          </reference>
          <reference field="8" count="1" selected="0">
            <x v="1704"/>
          </reference>
          <reference field="14" count="1">
            <x v="68"/>
          </reference>
          <reference field="15" count="1" selected="0">
            <x v="0"/>
          </reference>
          <reference field="16" count="1" selected="0">
            <x v="447"/>
          </reference>
          <reference field="41" count="1" selected="0">
            <x v="848"/>
          </reference>
          <reference field="44" count="1" selected="0">
            <x v="917"/>
          </reference>
          <reference field="47" count="1" selected="0">
            <x v="0"/>
          </reference>
        </references>
      </pivotArea>
    </format>
    <format dxfId="50">
      <pivotArea dataOnly="0" labelOnly="1" outline="0" fieldPosition="0">
        <references count="9">
          <reference field="3" count="0" selected="0"/>
          <reference field="6" count="1" selected="0">
            <x v="606"/>
          </reference>
          <reference field="8" count="1" selected="0">
            <x v="1635"/>
          </reference>
          <reference field="14" count="1">
            <x v="148"/>
          </reference>
          <reference field="15" count="1" selected="0">
            <x v="71"/>
          </reference>
          <reference field="16" count="1" selected="0">
            <x v="355"/>
          </reference>
          <reference field="41" count="1" selected="0">
            <x v="850"/>
          </reference>
          <reference field="44" count="1" selected="0">
            <x v="904"/>
          </reference>
          <reference field="47" count="1" selected="0">
            <x v="0"/>
          </reference>
        </references>
      </pivotArea>
    </format>
    <format dxfId="49">
      <pivotArea dataOnly="0" labelOnly="1" outline="0" fieldPosition="0">
        <references count="9">
          <reference field="3" count="0" selected="0"/>
          <reference field="6" count="1" selected="0">
            <x v="990"/>
          </reference>
          <reference field="8" count="1" selected="0">
            <x v="1704"/>
          </reference>
          <reference field="14" count="1">
            <x v="158"/>
          </reference>
          <reference field="15" count="1" selected="0">
            <x v="71"/>
          </reference>
          <reference field="16" count="1" selected="0">
            <x v="42"/>
          </reference>
          <reference field="41" count="1" selected="0">
            <x v="850"/>
          </reference>
          <reference field="44" count="1" selected="0">
            <x v="923"/>
          </reference>
          <reference field="47" count="1" selected="0">
            <x v="1"/>
          </reference>
        </references>
      </pivotArea>
    </format>
    <format dxfId="48">
      <pivotArea dataOnly="0" labelOnly="1" outline="0" fieldPosition="0">
        <references count="9">
          <reference field="3" count="0" selected="0"/>
          <reference field="6" count="1" selected="0">
            <x v="421"/>
          </reference>
          <reference field="8" count="1" selected="0">
            <x v="1704"/>
          </reference>
          <reference field="14" count="1">
            <x v="68"/>
          </reference>
          <reference field="15" count="1" selected="0">
            <x v="0"/>
          </reference>
          <reference field="16" count="1" selected="0">
            <x v="447"/>
          </reference>
          <reference field="41" count="1" selected="0">
            <x v="852"/>
          </reference>
          <reference field="44" count="1" selected="0">
            <x v="922"/>
          </reference>
          <reference field="47" count="1" selected="0">
            <x v="0"/>
          </reference>
        </references>
      </pivotArea>
    </format>
    <format dxfId="47">
      <pivotArea dataOnly="0" labelOnly="1" outline="0" fieldPosition="0">
        <references count="9">
          <reference field="3" count="0" selected="0"/>
          <reference field="6" count="1" selected="0">
            <x v="830"/>
          </reference>
          <reference field="8" count="1" selected="0">
            <x v="1704"/>
          </reference>
          <reference field="14" count="1">
            <x v="158"/>
          </reference>
          <reference field="15" count="1" selected="0">
            <x v="71"/>
          </reference>
          <reference field="16" count="1" selected="0">
            <x v="38"/>
          </reference>
          <reference field="41" count="1" selected="0">
            <x v="852"/>
          </reference>
          <reference field="44" count="1" selected="0">
            <x v="924"/>
          </reference>
          <reference field="47" count="1" selected="0">
            <x v="1"/>
          </reference>
        </references>
      </pivotArea>
    </format>
    <format dxfId="46">
      <pivotArea dataOnly="0" labelOnly="1" outline="0" fieldPosition="0">
        <references count="10">
          <reference field="3" count="0" selected="0"/>
          <reference field="6" count="1" selected="0">
            <x v="749"/>
          </reference>
          <reference field="8" count="1" selected="0">
            <x v="1704"/>
          </reference>
          <reference field="14" count="1" selected="0">
            <x v="158"/>
          </reference>
          <reference field="15" count="1" selected="0">
            <x v="71"/>
          </reference>
          <reference field="16" count="1" selected="0">
            <x v="360"/>
          </reference>
          <reference field="26" count="1">
            <x v="410"/>
          </reference>
          <reference field="41" count="1" selected="0">
            <x v="842"/>
          </reference>
          <reference field="44" count="1" selected="0">
            <x v="915"/>
          </reference>
          <reference field="47" count="1" selected="0">
            <x v="1"/>
          </reference>
        </references>
      </pivotArea>
    </format>
    <format dxfId="45">
      <pivotArea dataOnly="0" labelOnly="1" outline="0" fieldPosition="0">
        <references count="10">
          <reference field="3" count="0" selected="0"/>
          <reference field="6" count="1" selected="0">
            <x v="417"/>
          </reference>
          <reference field="8" count="1" selected="0">
            <x v="1704"/>
          </reference>
          <reference field="14" count="1" selected="0">
            <x v="68"/>
          </reference>
          <reference field="15" count="1" selected="0">
            <x v="0"/>
          </reference>
          <reference field="16" count="1" selected="0">
            <x v="447"/>
          </reference>
          <reference field="26" count="1">
            <x v="234"/>
          </reference>
          <reference field="41" count="1" selected="0">
            <x v="843"/>
          </reference>
          <reference field="44" count="1" selected="0">
            <x v="913"/>
          </reference>
          <reference field="47" count="1" selected="0">
            <x v="0"/>
          </reference>
        </references>
      </pivotArea>
    </format>
    <format dxfId="44">
      <pivotArea dataOnly="0" labelOnly="1" outline="0" fieldPosition="0">
        <references count="10">
          <reference field="3" count="0" selected="0"/>
          <reference field="6" count="1" selected="0">
            <x v="842"/>
          </reference>
          <reference field="8" count="1" selected="0">
            <x v="1704"/>
          </reference>
          <reference field="14" count="1" selected="0">
            <x v="148"/>
          </reference>
          <reference field="15" count="1" selected="0">
            <x v="71"/>
          </reference>
          <reference field="16" count="1" selected="0">
            <x v="39"/>
          </reference>
          <reference field="26" count="1">
            <x v="196"/>
          </reference>
          <reference field="41" count="1" selected="0">
            <x v="846"/>
          </reference>
          <reference field="44" count="1" selected="0">
            <x v="917"/>
          </reference>
          <reference field="47" count="1" selected="0">
            <x v="1"/>
          </reference>
        </references>
      </pivotArea>
    </format>
    <format dxfId="43">
      <pivotArea dataOnly="0" labelOnly="1" outline="0" fieldPosition="0">
        <references count="10">
          <reference field="3" count="0" selected="0"/>
          <reference field="6" count="1" selected="0">
            <x v="978"/>
          </reference>
          <reference field="8" count="1" selected="0">
            <x v="1704"/>
          </reference>
          <reference field="14" count="1" selected="0">
            <x v="158"/>
          </reference>
          <reference field="15" count="1" selected="0">
            <x v="71"/>
          </reference>
          <reference field="16" count="1" selected="0">
            <x v="41"/>
          </reference>
          <reference field="26" count="1">
            <x v="348"/>
          </reference>
          <reference field="41" count="1" selected="0">
            <x v="846"/>
          </reference>
          <reference field="44" count="1" selected="0">
            <x v="919"/>
          </reference>
          <reference field="47" count="1" selected="0">
            <x v="1"/>
          </reference>
        </references>
      </pivotArea>
    </format>
    <format dxfId="42">
      <pivotArea dataOnly="0" labelOnly="1" outline="0" fieldPosition="0">
        <references count="10">
          <reference field="3" count="0" selected="0"/>
          <reference field="6" count="1" selected="0">
            <x v="418"/>
          </reference>
          <reference field="8" count="1" selected="0">
            <x v="1704"/>
          </reference>
          <reference field="14" count="1" selected="0">
            <x v="68"/>
          </reference>
          <reference field="15" count="1" selected="0">
            <x v="0"/>
          </reference>
          <reference field="16" count="1" selected="0">
            <x v="447"/>
          </reference>
          <reference field="26" count="1">
            <x v="234"/>
          </reference>
          <reference field="41" count="1" selected="0">
            <x v="847"/>
          </reference>
          <reference field="44" count="1" selected="0">
            <x v="916"/>
          </reference>
          <reference field="47" count="1" selected="0">
            <x v="0"/>
          </reference>
        </references>
      </pivotArea>
    </format>
    <format dxfId="41">
      <pivotArea dataOnly="0" labelOnly="1" outline="0" fieldPosition="0">
        <references count="10">
          <reference field="3" count="0" selected="0"/>
          <reference field="6" count="1" selected="0">
            <x v="804"/>
          </reference>
          <reference field="8" count="1" selected="0">
            <x v="1704"/>
          </reference>
          <reference field="14" count="1" selected="0">
            <x v="158"/>
          </reference>
          <reference field="15" count="1" selected="0">
            <x v="71"/>
          </reference>
          <reference field="16" count="1" selected="0">
            <x v="37"/>
          </reference>
          <reference field="26" count="1">
            <x v="361"/>
          </reference>
          <reference field="41" count="1" selected="0">
            <x v="847"/>
          </reference>
          <reference field="44" count="1" selected="0">
            <x v="918"/>
          </reference>
          <reference field="47" count="1" selected="0">
            <x v="1"/>
          </reference>
        </references>
      </pivotArea>
    </format>
    <format dxfId="40">
      <pivotArea dataOnly="0" labelOnly="1" outline="0" fieldPosition="0">
        <references count="10">
          <reference field="3" count="0" selected="0"/>
          <reference field="6" count="1" selected="0">
            <x v="419"/>
          </reference>
          <reference field="8" count="1" selected="0">
            <x v="1704"/>
          </reference>
          <reference field="14" count="1" selected="0">
            <x v="68"/>
          </reference>
          <reference field="15" count="1" selected="0">
            <x v="0"/>
          </reference>
          <reference field="16" count="1" selected="0">
            <x v="447"/>
          </reference>
          <reference field="26" count="1">
            <x v="234"/>
          </reference>
          <reference field="41" count="1" selected="0">
            <x v="848"/>
          </reference>
          <reference field="44" count="1" selected="0">
            <x v="917"/>
          </reference>
          <reference field="47" count="1" selected="0">
            <x v="0"/>
          </reference>
        </references>
      </pivotArea>
    </format>
    <format dxfId="39">
      <pivotArea dataOnly="0" labelOnly="1" outline="0" fieldPosition="0">
        <references count="10">
          <reference field="3" count="0" selected="0"/>
          <reference field="6" count="1" selected="0">
            <x v="606"/>
          </reference>
          <reference field="8" count="1" selected="0">
            <x v="1635"/>
          </reference>
          <reference field="14" count="1" selected="0">
            <x v="148"/>
          </reference>
          <reference field="15" count="1" selected="0">
            <x v="71"/>
          </reference>
          <reference field="16" count="1" selected="0">
            <x v="355"/>
          </reference>
          <reference field="26" count="1">
            <x v="160"/>
          </reference>
          <reference field="41" count="1" selected="0">
            <x v="850"/>
          </reference>
          <reference field="44" count="1" selected="0">
            <x v="904"/>
          </reference>
          <reference field="47" count="1" selected="0">
            <x v="0"/>
          </reference>
        </references>
      </pivotArea>
    </format>
    <format dxfId="38">
      <pivotArea dataOnly="0" labelOnly="1" outline="0" fieldPosition="0">
        <references count="10">
          <reference field="3" count="0" selected="0"/>
          <reference field="6" count="1" selected="0">
            <x v="990"/>
          </reference>
          <reference field="8" count="1" selected="0">
            <x v="1704"/>
          </reference>
          <reference field="14" count="1" selected="0">
            <x v="158"/>
          </reference>
          <reference field="15" count="1" selected="0">
            <x v="71"/>
          </reference>
          <reference field="16" count="1" selected="0">
            <x v="42"/>
          </reference>
          <reference field="26" count="1">
            <x v="227"/>
          </reference>
          <reference field="41" count="1" selected="0">
            <x v="850"/>
          </reference>
          <reference field="44" count="1" selected="0">
            <x v="923"/>
          </reference>
          <reference field="47" count="1" selected="0">
            <x v="1"/>
          </reference>
        </references>
      </pivotArea>
    </format>
    <format dxfId="37">
      <pivotArea dataOnly="0" labelOnly="1" outline="0" fieldPosition="0">
        <references count="10">
          <reference field="3" count="0" selected="0"/>
          <reference field="6" count="1" selected="0">
            <x v="421"/>
          </reference>
          <reference field="8" count="1" selected="0">
            <x v="1704"/>
          </reference>
          <reference field="14" count="1" selected="0">
            <x v="68"/>
          </reference>
          <reference field="15" count="1" selected="0">
            <x v="0"/>
          </reference>
          <reference field="16" count="1" selected="0">
            <x v="447"/>
          </reference>
          <reference field="26" count="1">
            <x v="234"/>
          </reference>
          <reference field="41" count="1" selected="0">
            <x v="852"/>
          </reference>
          <reference field="44" count="1" selected="0">
            <x v="922"/>
          </reference>
          <reference field="47" count="1" selected="0">
            <x v="0"/>
          </reference>
        </references>
      </pivotArea>
    </format>
    <format dxfId="36">
      <pivotArea dataOnly="0" labelOnly="1" outline="0" fieldPosition="0">
        <references count="10">
          <reference field="3" count="0" selected="0"/>
          <reference field="6" count="1" selected="0">
            <x v="830"/>
          </reference>
          <reference field="8" count="1" selected="0">
            <x v="1704"/>
          </reference>
          <reference field="14" count="1" selected="0">
            <x v="158"/>
          </reference>
          <reference field="15" count="1" selected="0">
            <x v="71"/>
          </reference>
          <reference field="16" count="1" selected="0">
            <x v="38"/>
          </reference>
          <reference field="26" count="1">
            <x v="132"/>
          </reference>
          <reference field="41" count="1" selected="0">
            <x v="852"/>
          </reference>
          <reference field="44" count="1" selected="0">
            <x v="924"/>
          </reference>
          <reference field="47" count="1" selected="0">
            <x v="1"/>
          </reference>
        </references>
      </pivotArea>
    </format>
    <format dxfId="35">
      <pivotArea dataOnly="0" labelOnly="1" outline="0" fieldPosition="0">
        <references count="11">
          <reference field="3" count="0" selected="0"/>
          <reference field="6" count="1" selected="0">
            <x v="749"/>
          </reference>
          <reference field="8" count="1" selected="0">
            <x v="1704"/>
          </reference>
          <reference field="14" count="1" selected="0">
            <x v="158"/>
          </reference>
          <reference field="15" count="1" selected="0">
            <x v="71"/>
          </reference>
          <reference field="16" count="1" selected="0">
            <x v="360"/>
          </reference>
          <reference field="26" count="1" selected="0">
            <x v="410"/>
          </reference>
          <reference field="41" count="1" selected="0">
            <x v="842"/>
          </reference>
          <reference field="44" count="1" selected="0">
            <x v="915"/>
          </reference>
          <reference field="47" count="1" selected="0">
            <x v="1"/>
          </reference>
          <reference field="48" count="1">
            <x v="7"/>
          </reference>
        </references>
      </pivotArea>
    </format>
    <format dxfId="34">
      <pivotArea dataOnly="0" labelOnly="1" outline="0" fieldPosition="0">
        <references count="11">
          <reference field="3" count="0" selected="0"/>
          <reference field="6" count="1" selected="0">
            <x v="417"/>
          </reference>
          <reference field="8" count="1" selected="0">
            <x v="1704"/>
          </reference>
          <reference field="14" count="1" selected="0">
            <x v="68"/>
          </reference>
          <reference field="15" count="1" selected="0">
            <x v="0"/>
          </reference>
          <reference field="16" count="1" selected="0">
            <x v="447"/>
          </reference>
          <reference field="26" count="1" selected="0">
            <x v="234"/>
          </reference>
          <reference field="41" count="1" selected="0">
            <x v="843"/>
          </reference>
          <reference field="44" count="1" selected="0">
            <x v="913"/>
          </reference>
          <reference field="47" count="1" selected="0">
            <x v="0"/>
          </reference>
          <reference field="48" count="1">
            <x v="5"/>
          </reference>
        </references>
      </pivotArea>
    </format>
    <format dxfId="33">
      <pivotArea dataOnly="0" labelOnly="1" outline="0" fieldPosition="0">
        <references count="11">
          <reference field="3" count="0" selected="0"/>
          <reference field="6" count="1" selected="0">
            <x v="842"/>
          </reference>
          <reference field="8" count="1" selected="0">
            <x v="1704"/>
          </reference>
          <reference field="14" count="1" selected="0">
            <x v="148"/>
          </reference>
          <reference field="15" count="1" selected="0">
            <x v="71"/>
          </reference>
          <reference field="16" count="1" selected="0">
            <x v="39"/>
          </reference>
          <reference field="26" count="1" selected="0">
            <x v="196"/>
          </reference>
          <reference field="41" count="1" selected="0">
            <x v="846"/>
          </reference>
          <reference field="44" count="1" selected="0">
            <x v="917"/>
          </reference>
          <reference field="47" count="1" selected="0">
            <x v="1"/>
          </reference>
          <reference field="48" count="1">
            <x v="3"/>
          </reference>
        </references>
      </pivotArea>
    </format>
    <format dxfId="32">
      <pivotArea dataOnly="0" labelOnly="1" outline="0" fieldPosition="0">
        <references count="11">
          <reference field="3" count="0" selected="0"/>
          <reference field="6" count="1" selected="0">
            <x v="978"/>
          </reference>
          <reference field="8" count="1" selected="0">
            <x v="1704"/>
          </reference>
          <reference field="14" count="1" selected="0">
            <x v="158"/>
          </reference>
          <reference field="15" count="1" selected="0">
            <x v="71"/>
          </reference>
          <reference field="16" count="1" selected="0">
            <x v="41"/>
          </reference>
          <reference field="26" count="1" selected="0">
            <x v="348"/>
          </reference>
          <reference field="41" count="1" selected="0">
            <x v="846"/>
          </reference>
          <reference field="44" count="1" selected="0">
            <x v="919"/>
          </reference>
          <reference field="47" count="1" selected="0">
            <x v="1"/>
          </reference>
          <reference field="48" count="1">
            <x v="7"/>
          </reference>
        </references>
      </pivotArea>
    </format>
    <format dxfId="31">
      <pivotArea dataOnly="0" labelOnly="1" outline="0" fieldPosition="0">
        <references count="11">
          <reference field="3" count="0" selected="0"/>
          <reference field="6" count="1" selected="0">
            <x v="418"/>
          </reference>
          <reference field="8" count="1" selected="0">
            <x v="1704"/>
          </reference>
          <reference field="14" count="1" selected="0">
            <x v="68"/>
          </reference>
          <reference field="15" count="1" selected="0">
            <x v="0"/>
          </reference>
          <reference field="16" count="1" selected="0">
            <x v="447"/>
          </reference>
          <reference field="26" count="1" selected="0">
            <x v="234"/>
          </reference>
          <reference field="41" count="1" selected="0">
            <x v="847"/>
          </reference>
          <reference field="44" count="1" selected="0">
            <x v="916"/>
          </reference>
          <reference field="47" count="1" selected="0">
            <x v="0"/>
          </reference>
          <reference field="48" count="1">
            <x v="5"/>
          </reference>
        </references>
      </pivotArea>
    </format>
    <format dxfId="30">
      <pivotArea dataOnly="0" labelOnly="1" outline="0" fieldPosition="0">
        <references count="11">
          <reference field="3" count="0" selected="0"/>
          <reference field="6" count="1" selected="0">
            <x v="804"/>
          </reference>
          <reference field="8" count="1" selected="0">
            <x v="1704"/>
          </reference>
          <reference field="14" count="1" selected="0">
            <x v="158"/>
          </reference>
          <reference field="15" count="1" selected="0">
            <x v="71"/>
          </reference>
          <reference field="16" count="1" selected="0">
            <x v="37"/>
          </reference>
          <reference field="26" count="1" selected="0">
            <x v="361"/>
          </reference>
          <reference field="41" count="1" selected="0">
            <x v="847"/>
          </reference>
          <reference field="44" count="1" selected="0">
            <x v="918"/>
          </reference>
          <reference field="47" count="1" selected="0">
            <x v="1"/>
          </reference>
          <reference field="48" count="1">
            <x v="7"/>
          </reference>
        </references>
      </pivotArea>
    </format>
    <format dxfId="29">
      <pivotArea dataOnly="0" labelOnly="1" outline="0" fieldPosition="0">
        <references count="11">
          <reference field="3" count="0" selected="0"/>
          <reference field="6" count="1" selected="0">
            <x v="419"/>
          </reference>
          <reference field="8" count="1" selected="0">
            <x v="1704"/>
          </reference>
          <reference field="14" count="1" selected="0">
            <x v="68"/>
          </reference>
          <reference field="15" count="1" selected="0">
            <x v="0"/>
          </reference>
          <reference field="16" count="1" selected="0">
            <x v="447"/>
          </reference>
          <reference field="26" count="1" selected="0">
            <x v="234"/>
          </reference>
          <reference field="41" count="1" selected="0">
            <x v="848"/>
          </reference>
          <reference field="44" count="1" selected="0">
            <x v="917"/>
          </reference>
          <reference field="47" count="1" selected="0">
            <x v="0"/>
          </reference>
          <reference field="48" count="1">
            <x v="5"/>
          </reference>
        </references>
      </pivotArea>
    </format>
    <format dxfId="28">
      <pivotArea dataOnly="0" labelOnly="1" outline="0" fieldPosition="0">
        <references count="11">
          <reference field="3" count="0" selected="0"/>
          <reference field="6" count="1" selected="0">
            <x v="606"/>
          </reference>
          <reference field="8" count="1" selected="0">
            <x v="1635"/>
          </reference>
          <reference field="14" count="1" selected="0">
            <x v="148"/>
          </reference>
          <reference field="15" count="1" selected="0">
            <x v="71"/>
          </reference>
          <reference field="16" count="1" selected="0">
            <x v="355"/>
          </reference>
          <reference field="26" count="1" selected="0">
            <x v="160"/>
          </reference>
          <reference field="41" count="1" selected="0">
            <x v="850"/>
          </reference>
          <reference field="44" count="1" selected="0">
            <x v="904"/>
          </reference>
          <reference field="47" count="1" selected="0">
            <x v="0"/>
          </reference>
          <reference field="48" count="1">
            <x v="9"/>
          </reference>
        </references>
      </pivotArea>
    </format>
    <format dxfId="27">
      <pivotArea dataOnly="0" labelOnly="1" outline="0" fieldPosition="0">
        <references count="11">
          <reference field="3" count="0" selected="0"/>
          <reference field="6" count="1" selected="0">
            <x v="990"/>
          </reference>
          <reference field="8" count="1" selected="0">
            <x v="1704"/>
          </reference>
          <reference field="14" count="1" selected="0">
            <x v="158"/>
          </reference>
          <reference field="15" count="1" selected="0">
            <x v="71"/>
          </reference>
          <reference field="16" count="1" selected="0">
            <x v="42"/>
          </reference>
          <reference field="26" count="1" selected="0">
            <x v="227"/>
          </reference>
          <reference field="41" count="1" selected="0">
            <x v="850"/>
          </reference>
          <reference field="44" count="1" selected="0">
            <x v="923"/>
          </reference>
          <reference field="47" count="1" selected="0">
            <x v="1"/>
          </reference>
          <reference field="48" count="1">
            <x v="7"/>
          </reference>
        </references>
      </pivotArea>
    </format>
    <format dxfId="26">
      <pivotArea dataOnly="0" labelOnly="1" outline="0" fieldPosition="0">
        <references count="11">
          <reference field="3" count="0" selected="0"/>
          <reference field="6" count="1" selected="0">
            <x v="421"/>
          </reference>
          <reference field="8" count="1" selected="0">
            <x v="1704"/>
          </reference>
          <reference field="14" count="1" selected="0">
            <x v="68"/>
          </reference>
          <reference field="15" count="1" selected="0">
            <x v="0"/>
          </reference>
          <reference field="16" count="1" selected="0">
            <x v="447"/>
          </reference>
          <reference field="26" count="1" selected="0">
            <x v="234"/>
          </reference>
          <reference field="41" count="1" selected="0">
            <x v="852"/>
          </reference>
          <reference field="44" count="1" selected="0">
            <x v="922"/>
          </reference>
          <reference field="47" count="1" selected="0">
            <x v="0"/>
          </reference>
          <reference field="48" count="1">
            <x v="5"/>
          </reference>
        </references>
      </pivotArea>
    </format>
    <format dxfId="25">
      <pivotArea dataOnly="0" labelOnly="1" outline="0" fieldPosition="0">
        <references count="11">
          <reference field="3" count="0" selected="0"/>
          <reference field="6" count="1" selected="0">
            <x v="830"/>
          </reference>
          <reference field="8" count="1" selected="0">
            <x v="1704"/>
          </reference>
          <reference field="14" count="1" selected="0">
            <x v="158"/>
          </reference>
          <reference field="15" count="1" selected="0">
            <x v="71"/>
          </reference>
          <reference field="16" count="1" selected="0">
            <x v="38"/>
          </reference>
          <reference field="26" count="1" selected="0">
            <x v="132"/>
          </reference>
          <reference field="41" count="1" selected="0">
            <x v="852"/>
          </reference>
          <reference field="44" count="1" selected="0">
            <x v="924"/>
          </reference>
          <reference field="47" count="1" selected="0">
            <x v="1"/>
          </reference>
          <reference field="48" count="1">
            <x v="7"/>
          </reference>
        </references>
      </pivotArea>
    </format>
    <format dxfId="24">
      <pivotArea dataOnly="0" labelOnly="1" outline="0" fieldPosition="0">
        <references count="12">
          <reference field="3" count="0" selected="0"/>
          <reference field="6" count="1" selected="0">
            <x v="749"/>
          </reference>
          <reference field="8" count="1" selected="0">
            <x v="1704"/>
          </reference>
          <reference field="14" count="1" selected="0">
            <x v="158"/>
          </reference>
          <reference field="15" count="1" selected="0">
            <x v="71"/>
          </reference>
          <reference field="16" count="1" selected="0">
            <x v="360"/>
          </reference>
          <reference field="26" count="1" selected="0">
            <x v="410"/>
          </reference>
          <reference field="41" count="1" selected="0">
            <x v="842"/>
          </reference>
          <reference field="44" count="1" selected="0">
            <x v="915"/>
          </reference>
          <reference field="47" count="1" selected="0">
            <x v="1"/>
          </reference>
          <reference field="48" count="1" selected="0">
            <x v="7"/>
          </reference>
          <reference field="50" count="1">
            <x v="2"/>
          </reference>
        </references>
      </pivotArea>
    </format>
    <format dxfId="23">
      <pivotArea dataOnly="0" labelOnly="1" outline="0" fieldPosition="0">
        <references count="12">
          <reference field="3" count="0" selected="0"/>
          <reference field="6" count="1" selected="0">
            <x v="417"/>
          </reference>
          <reference field="8" count="1" selected="0">
            <x v="1704"/>
          </reference>
          <reference field="14" count="1" selected="0">
            <x v="68"/>
          </reference>
          <reference field="15" count="1" selected="0">
            <x v="0"/>
          </reference>
          <reference field="16" count="1" selected="0">
            <x v="447"/>
          </reference>
          <reference field="26" count="1" selected="0">
            <x v="234"/>
          </reference>
          <reference field="41" count="1" selected="0">
            <x v="843"/>
          </reference>
          <reference field="44" count="1" selected="0">
            <x v="913"/>
          </reference>
          <reference field="47" count="1" selected="0">
            <x v="0"/>
          </reference>
          <reference field="48" count="1" selected="0">
            <x v="5"/>
          </reference>
          <reference field="50" count="1">
            <x v="1"/>
          </reference>
        </references>
      </pivotArea>
    </format>
    <format dxfId="22">
      <pivotArea dataOnly="0" labelOnly="1" outline="0" fieldPosition="0">
        <references count="12">
          <reference field="3" count="0" selected="0"/>
          <reference field="6" count="1" selected="0">
            <x v="842"/>
          </reference>
          <reference field="8" count="1" selected="0">
            <x v="1704"/>
          </reference>
          <reference field="14" count="1" selected="0">
            <x v="148"/>
          </reference>
          <reference field="15" count="1" selected="0">
            <x v="71"/>
          </reference>
          <reference field="16" count="1" selected="0">
            <x v="39"/>
          </reference>
          <reference field="26" count="1" selected="0">
            <x v="196"/>
          </reference>
          <reference field="41" count="1" selected="0">
            <x v="846"/>
          </reference>
          <reference field="44" count="1" selected="0">
            <x v="917"/>
          </reference>
          <reference field="47" count="1" selected="0">
            <x v="1"/>
          </reference>
          <reference field="48" count="1" selected="0">
            <x v="3"/>
          </reference>
          <reference field="50" count="1">
            <x v="2"/>
          </reference>
        </references>
      </pivotArea>
    </format>
    <format dxfId="21">
      <pivotArea dataOnly="0" labelOnly="1" outline="0" fieldPosition="0">
        <references count="12">
          <reference field="3" count="0" selected="0"/>
          <reference field="6" count="1" selected="0">
            <x v="418"/>
          </reference>
          <reference field="8" count="1" selected="0">
            <x v="1704"/>
          </reference>
          <reference field="14" count="1" selected="0">
            <x v="68"/>
          </reference>
          <reference field="15" count="1" selected="0">
            <x v="0"/>
          </reference>
          <reference field="16" count="1" selected="0">
            <x v="447"/>
          </reference>
          <reference field="26" count="1" selected="0">
            <x v="234"/>
          </reference>
          <reference field="41" count="1" selected="0">
            <x v="847"/>
          </reference>
          <reference field="44" count="1" selected="0">
            <x v="916"/>
          </reference>
          <reference field="47" count="1" selected="0">
            <x v="0"/>
          </reference>
          <reference field="48" count="1" selected="0">
            <x v="5"/>
          </reference>
          <reference field="50" count="1">
            <x v="1"/>
          </reference>
        </references>
      </pivotArea>
    </format>
    <format dxfId="20">
      <pivotArea dataOnly="0" labelOnly="1" outline="0" fieldPosition="0">
        <references count="12">
          <reference field="3" count="0" selected="0"/>
          <reference field="6" count="1" selected="0">
            <x v="804"/>
          </reference>
          <reference field="8" count="1" selected="0">
            <x v="1704"/>
          </reference>
          <reference field="14" count="1" selected="0">
            <x v="158"/>
          </reference>
          <reference field="15" count="1" selected="0">
            <x v="71"/>
          </reference>
          <reference field="16" count="1" selected="0">
            <x v="37"/>
          </reference>
          <reference field="26" count="1" selected="0">
            <x v="361"/>
          </reference>
          <reference field="41" count="1" selected="0">
            <x v="847"/>
          </reference>
          <reference field="44" count="1" selected="0">
            <x v="918"/>
          </reference>
          <reference field="47" count="1" selected="0">
            <x v="1"/>
          </reference>
          <reference field="48" count="1" selected="0">
            <x v="7"/>
          </reference>
          <reference field="50" count="1">
            <x v="0"/>
          </reference>
        </references>
      </pivotArea>
    </format>
    <format dxfId="19">
      <pivotArea dataOnly="0" labelOnly="1" outline="0" fieldPosition="0">
        <references count="12">
          <reference field="3" count="0" selected="0"/>
          <reference field="6" count="1" selected="0">
            <x v="419"/>
          </reference>
          <reference field="8" count="1" selected="0">
            <x v="1704"/>
          </reference>
          <reference field="14" count="1" selected="0">
            <x v="68"/>
          </reference>
          <reference field="15" count="1" selected="0">
            <x v="0"/>
          </reference>
          <reference field="16" count="1" selected="0">
            <x v="447"/>
          </reference>
          <reference field="26" count="1" selected="0">
            <x v="234"/>
          </reference>
          <reference field="41" count="1" selected="0">
            <x v="848"/>
          </reference>
          <reference field="44" count="1" selected="0">
            <x v="917"/>
          </reference>
          <reference field="47" count="1" selected="0">
            <x v="0"/>
          </reference>
          <reference field="48" count="1" selected="0">
            <x v="5"/>
          </reference>
          <reference field="50" count="1">
            <x v="1"/>
          </reference>
        </references>
      </pivotArea>
    </format>
    <format dxfId="18">
      <pivotArea dataOnly="0" labelOnly="1" outline="0" fieldPosition="0">
        <references count="12">
          <reference field="3" count="0" selected="0"/>
          <reference field="6" count="1" selected="0">
            <x v="606"/>
          </reference>
          <reference field="8" count="1" selected="0">
            <x v="1635"/>
          </reference>
          <reference field="14" count="1" selected="0">
            <x v="148"/>
          </reference>
          <reference field="15" count="1" selected="0">
            <x v="71"/>
          </reference>
          <reference field="16" count="1" selected="0">
            <x v="355"/>
          </reference>
          <reference field="26" count="1" selected="0">
            <x v="160"/>
          </reference>
          <reference field="41" count="1" selected="0">
            <x v="850"/>
          </reference>
          <reference field="44" count="1" selected="0">
            <x v="904"/>
          </reference>
          <reference field="47" count="1" selected="0">
            <x v="0"/>
          </reference>
          <reference field="48" count="1" selected="0">
            <x v="9"/>
          </reference>
          <reference field="50" count="1">
            <x v="2"/>
          </reference>
        </references>
      </pivotArea>
    </format>
    <format dxfId="17">
      <pivotArea dataOnly="0" labelOnly="1" outline="0" fieldPosition="0">
        <references count="12">
          <reference field="3" count="0" selected="0"/>
          <reference field="6" count="1" selected="0">
            <x v="990"/>
          </reference>
          <reference field="8" count="1" selected="0">
            <x v="1704"/>
          </reference>
          <reference field="14" count="1" selected="0">
            <x v="158"/>
          </reference>
          <reference field="15" count="1" selected="0">
            <x v="71"/>
          </reference>
          <reference field="16" count="1" selected="0">
            <x v="42"/>
          </reference>
          <reference field="26" count="1" selected="0">
            <x v="227"/>
          </reference>
          <reference field="41" count="1" selected="0">
            <x v="850"/>
          </reference>
          <reference field="44" count="1" selected="0">
            <x v="923"/>
          </reference>
          <reference field="47" count="1" selected="0">
            <x v="1"/>
          </reference>
          <reference field="48" count="1" selected="0">
            <x v="7"/>
          </reference>
          <reference field="50" count="1">
            <x v="0"/>
          </reference>
        </references>
      </pivotArea>
    </format>
    <format dxfId="16">
      <pivotArea dataOnly="0" labelOnly="1" outline="0" fieldPosition="0">
        <references count="12">
          <reference field="3" count="0" selected="0"/>
          <reference field="6" count="1" selected="0">
            <x v="421"/>
          </reference>
          <reference field="8" count="1" selected="0">
            <x v="1704"/>
          </reference>
          <reference field="14" count="1" selected="0">
            <x v="68"/>
          </reference>
          <reference field="15" count="1" selected="0">
            <x v="0"/>
          </reference>
          <reference field="16" count="1" selected="0">
            <x v="447"/>
          </reference>
          <reference field="26" count="1" selected="0">
            <x v="234"/>
          </reference>
          <reference field="41" count="1" selected="0">
            <x v="852"/>
          </reference>
          <reference field="44" count="1" selected="0">
            <x v="922"/>
          </reference>
          <reference field="47" count="1" selected="0">
            <x v="0"/>
          </reference>
          <reference field="48" count="1" selected="0">
            <x v="5"/>
          </reference>
          <reference field="50" count="1">
            <x v="1"/>
          </reference>
        </references>
      </pivotArea>
    </format>
    <format dxfId="15">
      <pivotArea dataOnly="0" labelOnly="1" outline="0" fieldPosition="0">
        <references count="13">
          <reference field="3" count="0" selected="0"/>
          <reference field="6" count="1" selected="0">
            <x v="414"/>
          </reference>
          <reference field="8" count="1" selected="0">
            <x v="1704"/>
          </reference>
          <reference field="14" count="1" selected="0">
            <x v="68"/>
          </reference>
          <reference field="15" count="1" selected="0">
            <x v="0"/>
          </reference>
          <reference field="16" count="1" selected="0">
            <x v="447"/>
          </reference>
          <reference field="26" count="1" selected="0">
            <x v="234"/>
          </reference>
          <reference field="41" count="1" selected="0">
            <x v="839"/>
          </reference>
          <reference field="44" count="1" selected="0">
            <x v="907"/>
          </reference>
          <reference field="47" count="1" selected="0">
            <x v="0"/>
          </reference>
          <reference field="48" count="1" selected="0">
            <x v="5"/>
          </reference>
          <reference field="50" count="1" selected="0">
            <x v="1"/>
          </reference>
          <reference field="52" count="1">
            <x v="3"/>
          </reference>
        </references>
      </pivotArea>
    </format>
    <format dxfId="14">
      <pivotArea dataOnly="0" labelOnly="1" outline="0" fieldPosition="0">
        <references count="13">
          <reference field="3" count="0" selected="0"/>
          <reference field="6" count="1" selected="0">
            <x v="415"/>
          </reference>
          <reference field="8" count="1" selected="0">
            <x v="1704"/>
          </reference>
          <reference field="14" count="1" selected="0">
            <x v="68"/>
          </reference>
          <reference field="15" count="1" selected="0">
            <x v="0"/>
          </reference>
          <reference field="16" count="1" selected="0">
            <x v="447"/>
          </reference>
          <reference field="26" count="1" selected="0">
            <x v="234"/>
          </reference>
          <reference field="41" count="1" selected="0">
            <x v="840"/>
          </reference>
          <reference field="44" count="1" selected="0">
            <x v="909"/>
          </reference>
          <reference field="47" count="1" selected="0">
            <x v="0"/>
          </reference>
          <reference field="48" count="1" selected="0">
            <x v="5"/>
          </reference>
          <reference field="50" count="1" selected="0">
            <x v="1"/>
          </reference>
          <reference field="52" count="1">
            <x v="3"/>
          </reference>
        </references>
      </pivotArea>
    </format>
    <format dxfId="13">
      <pivotArea dataOnly="0" labelOnly="1" outline="0" fieldPosition="0">
        <references count="13">
          <reference field="3" count="0" selected="0"/>
          <reference field="6" count="1" selected="0">
            <x v="416"/>
          </reference>
          <reference field="8" count="1" selected="0">
            <x v="1704"/>
          </reference>
          <reference field="14" count="1" selected="0">
            <x v="68"/>
          </reference>
          <reference field="15" count="1" selected="0">
            <x v="0"/>
          </reference>
          <reference field="16" count="1" selected="0">
            <x v="447"/>
          </reference>
          <reference field="26" count="1" selected="0">
            <x v="234"/>
          </reference>
          <reference field="41" count="1" selected="0">
            <x v="842"/>
          </reference>
          <reference field="44" count="1" selected="0">
            <x v="912"/>
          </reference>
          <reference field="47" count="1" selected="0">
            <x v="0"/>
          </reference>
          <reference field="48" count="1" selected="0">
            <x v="5"/>
          </reference>
          <reference field="50" count="1" selected="0">
            <x v="1"/>
          </reference>
          <reference field="52" count="1">
            <x v="3"/>
          </reference>
        </references>
      </pivotArea>
    </format>
    <format dxfId="12">
      <pivotArea dataOnly="0" labelOnly="1" outline="0" fieldPosition="0">
        <references count="13">
          <reference field="3" count="0" selected="0"/>
          <reference field="6" count="1" selected="0">
            <x v="749"/>
          </reference>
          <reference field="8" count="1" selected="0">
            <x v="1704"/>
          </reference>
          <reference field="14" count="1" selected="0">
            <x v="158"/>
          </reference>
          <reference field="15" count="1" selected="0">
            <x v="71"/>
          </reference>
          <reference field="16" count="1" selected="0">
            <x v="360"/>
          </reference>
          <reference field="26" count="1" selected="0">
            <x v="410"/>
          </reference>
          <reference field="41" count="1" selected="0">
            <x v="842"/>
          </reference>
          <reference field="44" count="1" selected="0">
            <x v="915"/>
          </reference>
          <reference field="47" count="1" selected="0">
            <x v="1"/>
          </reference>
          <reference field="48" count="1" selected="0">
            <x v="7"/>
          </reference>
          <reference field="50" count="1" selected="0">
            <x v="2"/>
          </reference>
          <reference field="52" count="1">
            <x v="14"/>
          </reference>
        </references>
      </pivotArea>
    </format>
    <format dxfId="11">
      <pivotArea dataOnly="0" labelOnly="1" outline="0" fieldPosition="0">
        <references count="13">
          <reference field="3" count="0" selected="0"/>
          <reference field="6" count="1" selected="0">
            <x v="750"/>
          </reference>
          <reference field="8" count="1" selected="0">
            <x v="1704"/>
          </reference>
          <reference field="14" count="1" selected="0">
            <x v="158"/>
          </reference>
          <reference field="15" count="1" selected="0">
            <x v="71"/>
          </reference>
          <reference field="16" count="1" selected="0">
            <x v="360"/>
          </reference>
          <reference field="26" count="1" selected="0">
            <x v="410"/>
          </reference>
          <reference field="41" count="1" selected="0">
            <x v="842"/>
          </reference>
          <reference field="44" count="1" selected="0">
            <x v="916"/>
          </reference>
          <reference field="47" count="1" selected="0">
            <x v="1"/>
          </reference>
          <reference field="48" count="1" selected="0">
            <x v="7"/>
          </reference>
          <reference field="50" count="1" selected="0">
            <x v="2"/>
          </reference>
          <reference field="52" count="1">
            <x v="14"/>
          </reference>
        </references>
      </pivotArea>
    </format>
    <format dxfId="10">
      <pivotArea dataOnly="0" labelOnly="1" outline="0" fieldPosition="0">
        <references count="13">
          <reference field="3" count="0" selected="0"/>
          <reference field="6" count="1" selected="0">
            <x v="417"/>
          </reference>
          <reference field="8" count="1" selected="0">
            <x v="1704"/>
          </reference>
          <reference field="14" count="1" selected="0">
            <x v="68"/>
          </reference>
          <reference field="15" count="1" selected="0">
            <x v="0"/>
          </reference>
          <reference field="16" count="1" selected="0">
            <x v="447"/>
          </reference>
          <reference field="26" count="1" selected="0">
            <x v="234"/>
          </reference>
          <reference field="41" count="1" selected="0">
            <x v="843"/>
          </reference>
          <reference field="44" count="1" selected="0">
            <x v="913"/>
          </reference>
          <reference field="47" count="1" selected="0">
            <x v="0"/>
          </reference>
          <reference field="48" count="1" selected="0">
            <x v="5"/>
          </reference>
          <reference field="50" count="1" selected="0">
            <x v="1"/>
          </reference>
          <reference field="52" count="1">
            <x v="3"/>
          </reference>
        </references>
      </pivotArea>
    </format>
    <format dxfId="9">
      <pivotArea dataOnly="0" labelOnly="1" outline="0" fieldPosition="0">
        <references count="13">
          <reference field="3" count="0" selected="0"/>
          <reference field="6" count="1" selected="0">
            <x v="842"/>
          </reference>
          <reference field="8" count="1" selected="0">
            <x v="1704"/>
          </reference>
          <reference field="14" count="1" selected="0">
            <x v="148"/>
          </reference>
          <reference field="15" count="1" selected="0">
            <x v="71"/>
          </reference>
          <reference field="16" count="1" selected="0">
            <x v="39"/>
          </reference>
          <reference field="26" count="1" selected="0">
            <x v="196"/>
          </reference>
          <reference field="41" count="1" selected="0">
            <x v="846"/>
          </reference>
          <reference field="44" count="1" selected="0">
            <x v="917"/>
          </reference>
          <reference field="47" count="1" selected="0">
            <x v="1"/>
          </reference>
          <reference field="48" count="1" selected="0">
            <x v="3"/>
          </reference>
          <reference field="50" count="1" selected="0">
            <x v="2"/>
          </reference>
          <reference field="52" count="1">
            <x v="14"/>
          </reference>
        </references>
      </pivotArea>
    </format>
    <format dxfId="8">
      <pivotArea dataOnly="0" labelOnly="1" outline="0" fieldPosition="0">
        <references count="13">
          <reference field="3" count="0" selected="0"/>
          <reference field="6" count="1" selected="0">
            <x v="978"/>
          </reference>
          <reference field="8" count="1" selected="0">
            <x v="1704"/>
          </reference>
          <reference field="14" count="1" selected="0">
            <x v="158"/>
          </reference>
          <reference field="15" count="1" selected="0">
            <x v="71"/>
          </reference>
          <reference field="16" count="1" selected="0">
            <x v="41"/>
          </reference>
          <reference field="26" count="1" selected="0">
            <x v="348"/>
          </reference>
          <reference field="41" count="1" selected="0">
            <x v="846"/>
          </reference>
          <reference field="44" count="1" selected="0">
            <x v="919"/>
          </reference>
          <reference field="47" count="1" selected="0">
            <x v="1"/>
          </reference>
          <reference field="48" count="1" selected="0">
            <x v="7"/>
          </reference>
          <reference field="50" count="1" selected="0">
            <x v="2"/>
          </reference>
          <reference field="52" count="1">
            <x v="14"/>
          </reference>
        </references>
      </pivotArea>
    </format>
    <format dxfId="7">
      <pivotArea dataOnly="0" labelOnly="1" outline="0" fieldPosition="0">
        <references count="13">
          <reference field="3" count="0" selected="0"/>
          <reference field="6" count="1" selected="0">
            <x v="418"/>
          </reference>
          <reference field="8" count="1" selected="0">
            <x v="1704"/>
          </reference>
          <reference field="14" count="1" selected="0">
            <x v="68"/>
          </reference>
          <reference field="15" count="1" selected="0">
            <x v="0"/>
          </reference>
          <reference field="16" count="1" selected="0">
            <x v="447"/>
          </reference>
          <reference field="26" count="1" selected="0">
            <x v="234"/>
          </reference>
          <reference field="41" count="1" selected="0">
            <x v="847"/>
          </reference>
          <reference field="44" count="1" selected="0">
            <x v="916"/>
          </reference>
          <reference field="47" count="1" selected="0">
            <x v="0"/>
          </reference>
          <reference field="48" count="1" selected="0">
            <x v="5"/>
          </reference>
          <reference field="50" count="1" selected="0">
            <x v="1"/>
          </reference>
          <reference field="52" count="1">
            <x v="3"/>
          </reference>
        </references>
      </pivotArea>
    </format>
    <format dxfId="6">
      <pivotArea dataOnly="0" labelOnly="1" outline="0" fieldPosition="0">
        <references count="13">
          <reference field="3" count="0" selected="0"/>
          <reference field="6" count="1" selected="0">
            <x v="804"/>
          </reference>
          <reference field="8" count="1" selected="0">
            <x v="1704"/>
          </reference>
          <reference field="14" count="1" selected="0">
            <x v="158"/>
          </reference>
          <reference field="15" count="1" selected="0">
            <x v="71"/>
          </reference>
          <reference field="16" count="1" selected="0">
            <x v="37"/>
          </reference>
          <reference field="26" count="1" selected="0">
            <x v="361"/>
          </reference>
          <reference field="41" count="1" selected="0">
            <x v="847"/>
          </reference>
          <reference field="44" count="1" selected="0">
            <x v="918"/>
          </reference>
          <reference field="47" count="1" selected="0">
            <x v="1"/>
          </reference>
          <reference field="48" count="1" selected="0">
            <x v="7"/>
          </reference>
          <reference field="50" count="1" selected="0">
            <x v="0"/>
          </reference>
          <reference field="52" count="1">
            <x v="14"/>
          </reference>
        </references>
      </pivotArea>
    </format>
    <format dxfId="5">
      <pivotArea dataOnly="0" labelOnly="1" outline="0" fieldPosition="0">
        <references count="13">
          <reference field="3" count="0" selected="0"/>
          <reference field="6" count="1" selected="0">
            <x v="419"/>
          </reference>
          <reference field="8" count="1" selected="0">
            <x v="1704"/>
          </reference>
          <reference field="14" count="1" selected="0">
            <x v="68"/>
          </reference>
          <reference field="15" count="1" selected="0">
            <x v="0"/>
          </reference>
          <reference field="16" count="1" selected="0">
            <x v="447"/>
          </reference>
          <reference field="26" count="1" selected="0">
            <x v="234"/>
          </reference>
          <reference field="41" count="1" selected="0">
            <x v="848"/>
          </reference>
          <reference field="44" count="1" selected="0">
            <x v="917"/>
          </reference>
          <reference field="47" count="1" selected="0">
            <x v="0"/>
          </reference>
          <reference field="48" count="1" selected="0">
            <x v="5"/>
          </reference>
          <reference field="50" count="1" selected="0">
            <x v="1"/>
          </reference>
          <reference field="52" count="1">
            <x v="3"/>
          </reference>
        </references>
      </pivotArea>
    </format>
    <format dxfId="4">
      <pivotArea dataOnly="0" labelOnly="1" outline="0" fieldPosition="0">
        <references count="13">
          <reference field="3" count="0" selected="0"/>
          <reference field="6" count="1" selected="0">
            <x v="420"/>
          </reference>
          <reference field="8" count="1" selected="0">
            <x v="1704"/>
          </reference>
          <reference field="14" count="1" selected="0">
            <x v="68"/>
          </reference>
          <reference field="15" count="1" selected="0">
            <x v="0"/>
          </reference>
          <reference field="16" count="1" selected="0">
            <x v="447"/>
          </reference>
          <reference field="26" count="1" selected="0">
            <x v="234"/>
          </reference>
          <reference field="41" count="1" selected="0">
            <x v="850"/>
          </reference>
          <reference field="44" count="1" selected="0">
            <x v="920"/>
          </reference>
          <reference field="47" count="1" selected="0">
            <x v="0"/>
          </reference>
          <reference field="48" count="1" selected="0">
            <x v="5"/>
          </reference>
          <reference field="50" count="1" selected="0">
            <x v="1"/>
          </reference>
          <reference field="52" count="1">
            <x v="3"/>
          </reference>
        </references>
      </pivotArea>
    </format>
    <format dxfId="3">
      <pivotArea dataOnly="0" labelOnly="1" outline="0" fieldPosition="0">
        <references count="13">
          <reference field="3" count="0" selected="0"/>
          <reference field="6" count="1" selected="0">
            <x v="606"/>
          </reference>
          <reference field="8" count="1" selected="0">
            <x v="1635"/>
          </reference>
          <reference field="14" count="1" selected="0">
            <x v="148"/>
          </reference>
          <reference field="15" count="1" selected="0">
            <x v="71"/>
          </reference>
          <reference field="16" count="1" selected="0">
            <x v="355"/>
          </reference>
          <reference field="26" count="1" selected="0">
            <x v="160"/>
          </reference>
          <reference field="41" count="1" selected="0">
            <x v="850"/>
          </reference>
          <reference field="44" count="1" selected="0">
            <x v="904"/>
          </reference>
          <reference field="47" count="1" selected="0">
            <x v="0"/>
          </reference>
          <reference field="48" count="1" selected="0">
            <x v="9"/>
          </reference>
          <reference field="50" count="1" selected="0">
            <x v="2"/>
          </reference>
          <reference field="52" count="1">
            <x v="3"/>
          </reference>
        </references>
      </pivotArea>
    </format>
    <format dxfId="2">
      <pivotArea dataOnly="0" labelOnly="1" outline="0" fieldPosition="0">
        <references count="13">
          <reference field="3" count="0" selected="0"/>
          <reference field="6" count="1" selected="0">
            <x v="990"/>
          </reference>
          <reference field="8" count="1" selected="0">
            <x v="1704"/>
          </reference>
          <reference field="14" count="1" selected="0">
            <x v="158"/>
          </reference>
          <reference field="15" count="1" selected="0">
            <x v="71"/>
          </reference>
          <reference field="16" count="1" selected="0">
            <x v="42"/>
          </reference>
          <reference field="26" count="1" selected="0">
            <x v="227"/>
          </reference>
          <reference field="41" count="1" selected="0">
            <x v="850"/>
          </reference>
          <reference field="44" count="1" selected="0">
            <x v="923"/>
          </reference>
          <reference field="47" count="1" selected="0">
            <x v="1"/>
          </reference>
          <reference field="48" count="1" selected="0">
            <x v="7"/>
          </reference>
          <reference field="50" count="1" selected="0">
            <x v="0"/>
          </reference>
          <reference field="52" count="1">
            <x v="14"/>
          </reference>
        </references>
      </pivotArea>
    </format>
    <format dxfId="1">
      <pivotArea dataOnly="0" labelOnly="1" outline="0" fieldPosition="0">
        <references count="13">
          <reference field="3" count="0" selected="0"/>
          <reference field="6" count="1" selected="0">
            <x v="421"/>
          </reference>
          <reference field="8" count="1" selected="0">
            <x v="1704"/>
          </reference>
          <reference field="14" count="1" selected="0">
            <x v="68"/>
          </reference>
          <reference field="15" count="1" selected="0">
            <x v="0"/>
          </reference>
          <reference field="16" count="1" selected="0">
            <x v="447"/>
          </reference>
          <reference field="26" count="1" selected="0">
            <x v="234"/>
          </reference>
          <reference field="41" count="1" selected="0">
            <x v="852"/>
          </reference>
          <reference field="44" count="1" selected="0">
            <x v="922"/>
          </reference>
          <reference field="47" count="1" selected="0">
            <x v="0"/>
          </reference>
          <reference field="48" count="1" selected="0">
            <x v="5"/>
          </reference>
          <reference field="50" count="1" selected="0">
            <x v="1"/>
          </reference>
          <reference field="52" count="1">
            <x v="3"/>
          </reference>
        </references>
      </pivotArea>
    </format>
    <format dxfId="0">
      <pivotArea dataOnly="0" labelOnly="1" outline="0" fieldPosition="0">
        <references count="13">
          <reference field="3" count="0" selected="0"/>
          <reference field="6" count="1" selected="0">
            <x v="830"/>
          </reference>
          <reference field="8" count="1" selected="0">
            <x v="1704"/>
          </reference>
          <reference field="14" count="1" selected="0">
            <x v="158"/>
          </reference>
          <reference field="15" count="1" selected="0">
            <x v="71"/>
          </reference>
          <reference field="16" count="1" selected="0">
            <x v="38"/>
          </reference>
          <reference field="26" count="1" selected="0">
            <x v="132"/>
          </reference>
          <reference field="41" count="1" selected="0">
            <x v="852"/>
          </reference>
          <reference field="44" count="1" selected="0">
            <x v="924"/>
          </reference>
          <reference field="47" count="1" selected="0">
            <x v="1"/>
          </reference>
          <reference field="48" count="1" selected="0">
            <x v="7"/>
          </reference>
          <reference field="50" count="1" selected="0">
            <x v="1"/>
          </reference>
          <reference field="52" count="1">
            <x v="14"/>
          </reference>
        </references>
      </pivotArea>
    </format>
  </formats>
  <pivotTableStyleInfo name="PivotStyleMedium11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T1934" dT="2022-05-04T18:47:16.79" personId="{C5381476-D585-4CE7-BB3B-6952DA0A1029}" id="{E28F5CA6-9697-4A8B-B47E-2B9E8CFD48A9}">
    <text>Fecha de Inspección: 06/05</text>
  </threadedComment>
  <threadedComment ref="AT1935" dT="2022-05-05T20:06:38.65" personId="{484695F0-057F-4C62-AED4-87A175015960}" id="{EC48C482-F2A4-4212-8837-D013A9485C10}">
    <text>Fecha de inspección 06/05</text>
  </threadedComment>
  <threadedComment ref="AC2000" dT="2022-05-06T23:35:06.44" personId="{484695F0-057F-4C62-AED4-87A175015960}" id="{78FBA5BA-66F4-475D-A02E-0BB3D7354CF7}">
    <text>PRECIO REFERENCIAL AL MES DE MAYO</text>
  </threadedComment>
  <threadedComment ref="AC2001" dT="2022-05-06T23:35:06.44" personId="{484695F0-057F-4C62-AED4-87A175015960}" id="{1DB97F29-D67A-4D39-A0DE-023C46609D22}">
    <text>PRECIO REFERENCIAL AL MES DE MAYO</text>
  </threadedComment>
  <threadedComment ref="AC2010" dT="2022-05-06T23:35:48.87" personId="{484695F0-057F-4C62-AED4-87A175015960}" id="{EB80458E-4D61-48BE-91B2-4A3611354FD6}">
    <text>PRECIO REFERENCIAL AL MES DE MAYO</text>
  </threadedComment>
  <threadedComment ref="AC2012" dT="2022-05-06T23:35:48.87" personId="{484695F0-057F-4C62-AED4-87A175015960}" id="{1A26118B-CB0E-403D-A6DE-E835E493AA84}">
    <text>PRECIO REFERENCIAL AL MES DE MAYO</text>
  </threadedComment>
  <threadedComment ref="AC2013" dT="2022-05-06T23:37:32.25" personId="{484695F0-057F-4C62-AED4-87A175015960}" id="{4217B472-F2CB-43D4-8CC0-837B0630F064}">
    <text>PRECIO REFERENCIAL AL MES DE ABRIL</text>
  </threadedComment>
  <threadedComment ref="AC2014" dT="2022-05-06T23:37:39.74" personId="{484695F0-057F-4C62-AED4-87A175015960}" id="{E62B7A27-70EC-4DE5-B1CC-3AFEB27AEF25}">
    <text>PRECIO REFERENCIAL AL MES DE ABRIL</text>
  </threadedComment>
</ThreadedComments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8.bin"/><Relationship Id="rId13" Type="http://schemas.openxmlformats.org/officeDocument/2006/relationships/printerSettings" Target="../printerSettings/printerSettings13.bin"/><Relationship Id="rId18" Type="http://schemas.openxmlformats.org/officeDocument/2006/relationships/printerSettings" Target="../printerSettings/printerSettings18.bin"/><Relationship Id="rId3" Type="http://schemas.openxmlformats.org/officeDocument/2006/relationships/printerSettings" Target="../printerSettings/printerSettings3.bin"/><Relationship Id="rId7" Type="http://schemas.openxmlformats.org/officeDocument/2006/relationships/printerSettings" Target="../printerSettings/printerSettings7.bin"/><Relationship Id="rId12" Type="http://schemas.openxmlformats.org/officeDocument/2006/relationships/printerSettings" Target="../printerSettings/printerSettings12.bin"/><Relationship Id="rId17" Type="http://schemas.openxmlformats.org/officeDocument/2006/relationships/printerSettings" Target="../printerSettings/printerSettings17.bin"/><Relationship Id="rId2" Type="http://schemas.openxmlformats.org/officeDocument/2006/relationships/printerSettings" Target="../printerSettings/printerSettings2.bin"/><Relationship Id="rId16" Type="http://schemas.openxmlformats.org/officeDocument/2006/relationships/printerSettings" Target="../printerSettings/printerSettings16.bin"/><Relationship Id="rId20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.bin"/><Relationship Id="rId6" Type="http://schemas.openxmlformats.org/officeDocument/2006/relationships/printerSettings" Target="../printerSettings/printerSettings6.bin"/><Relationship Id="rId11" Type="http://schemas.openxmlformats.org/officeDocument/2006/relationships/printerSettings" Target="../printerSettings/printerSettings11.bin"/><Relationship Id="rId5" Type="http://schemas.openxmlformats.org/officeDocument/2006/relationships/printerSettings" Target="../printerSettings/printerSettings5.bin"/><Relationship Id="rId15" Type="http://schemas.openxmlformats.org/officeDocument/2006/relationships/printerSettings" Target="../printerSettings/printerSettings15.bin"/><Relationship Id="rId10" Type="http://schemas.openxmlformats.org/officeDocument/2006/relationships/printerSettings" Target="../printerSettings/printerSettings10.bin"/><Relationship Id="rId19" Type="http://schemas.openxmlformats.org/officeDocument/2006/relationships/printerSettings" Target="../printerSettings/printerSettings19.bin"/><Relationship Id="rId4" Type="http://schemas.openxmlformats.org/officeDocument/2006/relationships/printerSettings" Target="../printerSettings/printerSettings4.bin"/><Relationship Id="rId9" Type="http://schemas.openxmlformats.org/officeDocument/2006/relationships/printerSettings" Target="../printerSettings/printerSettings9.bin"/><Relationship Id="rId14" Type="http://schemas.openxmlformats.org/officeDocument/2006/relationships/printerSettings" Target="../printerSettings/printerSettings14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8.bin"/><Relationship Id="rId13" Type="http://schemas.openxmlformats.org/officeDocument/2006/relationships/printerSettings" Target="../printerSettings/printerSettings33.bin"/><Relationship Id="rId18" Type="http://schemas.openxmlformats.org/officeDocument/2006/relationships/printerSettings" Target="../printerSettings/printerSettings38.bin"/><Relationship Id="rId3" Type="http://schemas.openxmlformats.org/officeDocument/2006/relationships/printerSettings" Target="../printerSettings/printerSettings23.bin"/><Relationship Id="rId21" Type="http://schemas.openxmlformats.org/officeDocument/2006/relationships/printerSettings" Target="../printerSettings/printerSettings40.bin"/><Relationship Id="rId7" Type="http://schemas.openxmlformats.org/officeDocument/2006/relationships/printerSettings" Target="../printerSettings/printerSettings27.bin"/><Relationship Id="rId12" Type="http://schemas.openxmlformats.org/officeDocument/2006/relationships/printerSettings" Target="../printerSettings/printerSettings32.bin"/><Relationship Id="rId17" Type="http://schemas.openxmlformats.org/officeDocument/2006/relationships/printerSettings" Target="../printerSettings/printerSettings37.bin"/><Relationship Id="rId2" Type="http://schemas.openxmlformats.org/officeDocument/2006/relationships/printerSettings" Target="../printerSettings/printerSettings22.bin"/><Relationship Id="rId16" Type="http://schemas.openxmlformats.org/officeDocument/2006/relationships/printerSettings" Target="../printerSettings/printerSettings36.bin"/><Relationship Id="rId20" Type="http://schemas.openxmlformats.org/officeDocument/2006/relationships/hyperlink" Target="https://www.hamburgsud-line.com/linerportal/pages/hsdg/tnt.xhtml?lang=en" TargetMode="External"/><Relationship Id="rId1" Type="http://schemas.openxmlformats.org/officeDocument/2006/relationships/printerSettings" Target="../printerSettings/printerSettings21.bin"/><Relationship Id="rId6" Type="http://schemas.openxmlformats.org/officeDocument/2006/relationships/printerSettings" Target="../printerSettings/printerSettings26.bin"/><Relationship Id="rId11" Type="http://schemas.openxmlformats.org/officeDocument/2006/relationships/printerSettings" Target="../printerSettings/printerSettings31.bin"/><Relationship Id="rId24" Type="http://schemas.microsoft.com/office/2017/10/relationships/threadedComment" Target="../threadedComments/threadedComment1.xml"/><Relationship Id="rId5" Type="http://schemas.openxmlformats.org/officeDocument/2006/relationships/printerSettings" Target="../printerSettings/printerSettings25.bin"/><Relationship Id="rId15" Type="http://schemas.openxmlformats.org/officeDocument/2006/relationships/printerSettings" Target="../printerSettings/printerSettings35.bin"/><Relationship Id="rId23" Type="http://schemas.openxmlformats.org/officeDocument/2006/relationships/comments" Target="../comments1.xml"/><Relationship Id="rId10" Type="http://schemas.openxmlformats.org/officeDocument/2006/relationships/printerSettings" Target="../printerSettings/printerSettings30.bin"/><Relationship Id="rId19" Type="http://schemas.openxmlformats.org/officeDocument/2006/relationships/printerSettings" Target="../printerSettings/printerSettings39.bin"/><Relationship Id="rId4" Type="http://schemas.openxmlformats.org/officeDocument/2006/relationships/printerSettings" Target="../printerSettings/printerSettings24.bin"/><Relationship Id="rId9" Type="http://schemas.openxmlformats.org/officeDocument/2006/relationships/printerSettings" Target="../printerSettings/printerSettings29.bin"/><Relationship Id="rId14" Type="http://schemas.openxmlformats.org/officeDocument/2006/relationships/printerSettings" Target="../printerSettings/printerSettings34.bin"/><Relationship Id="rId22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48.bin"/><Relationship Id="rId13" Type="http://schemas.openxmlformats.org/officeDocument/2006/relationships/printerSettings" Target="../printerSettings/printerSettings53.bin"/><Relationship Id="rId3" Type="http://schemas.openxmlformats.org/officeDocument/2006/relationships/printerSettings" Target="../printerSettings/printerSettings43.bin"/><Relationship Id="rId7" Type="http://schemas.openxmlformats.org/officeDocument/2006/relationships/printerSettings" Target="../printerSettings/printerSettings47.bin"/><Relationship Id="rId12" Type="http://schemas.openxmlformats.org/officeDocument/2006/relationships/printerSettings" Target="../printerSettings/printerSettings52.bin"/><Relationship Id="rId2" Type="http://schemas.openxmlformats.org/officeDocument/2006/relationships/printerSettings" Target="../printerSettings/printerSettings42.bin"/><Relationship Id="rId16" Type="http://schemas.openxmlformats.org/officeDocument/2006/relationships/comments" Target="../comments2.xml"/><Relationship Id="rId1" Type="http://schemas.openxmlformats.org/officeDocument/2006/relationships/printerSettings" Target="../printerSettings/printerSettings41.bin"/><Relationship Id="rId6" Type="http://schemas.openxmlformats.org/officeDocument/2006/relationships/printerSettings" Target="../printerSettings/printerSettings46.bin"/><Relationship Id="rId11" Type="http://schemas.openxmlformats.org/officeDocument/2006/relationships/printerSettings" Target="../printerSettings/printerSettings51.bin"/><Relationship Id="rId5" Type="http://schemas.openxmlformats.org/officeDocument/2006/relationships/printerSettings" Target="../printerSettings/printerSettings45.bin"/><Relationship Id="rId15" Type="http://schemas.openxmlformats.org/officeDocument/2006/relationships/vmlDrawing" Target="../drawings/vmlDrawing2.vml"/><Relationship Id="rId10" Type="http://schemas.openxmlformats.org/officeDocument/2006/relationships/printerSettings" Target="../printerSettings/printerSettings50.bin"/><Relationship Id="rId4" Type="http://schemas.openxmlformats.org/officeDocument/2006/relationships/printerSettings" Target="../printerSettings/printerSettings44.bin"/><Relationship Id="rId9" Type="http://schemas.openxmlformats.org/officeDocument/2006/relationships/printerSettings" Target="../printerSettings/printerSettings49.bin"/><Relationship Id="rId14" Type="http://schemas.openxmlformats.org/officeDocument/2006/relationships/printerSettings" Target="../printerSettings/printerSettings54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62.bin"/><Relationship Id="rId13" Type="http://schemas.openxmlformats.org/officeDocument/2006/relationships/printerSettings" Target="../printerSettings/printerSettings67.bin"/><Relationship Id="rId18" Type="http://schemas.openxmlformats.org/officeDocument/2006/relationships/printerSettings" Target="../printerSettings/printerSettings72.bin"/><Relationship Id="rId3" Type="http://schemas.openxmlformats.org/officeDocument/2006/relationships/printerSettings" Target="../printerSettings/printerSettings57.bin"/><Relationship Id="rId7" Type="http://schemas.openxmlformats.org/officeDocument/2006/relationships/printerSettings" Target="../printerSettings/printerSettings61.bin"/><Relationship Id="rId12" Type="http://schemas.openxmlformats.org/officeDocument/2006/relationships/printerSettings" Target="../printerSettings/printerSettings66.bin"/><Relationship Id="rId17" Type="http://schemas.openxmlformats.org/officeDocument/2006/relationships/printerSettings" Target="../printerSettings/printerSettings71.bin"/><Relationship Id="rId2" Type="http://schemas.openxmlformats.org/officeDocument/2006/relationships/printerSettings" Target="../printerSettings/printerSettings56.bin"/><Relationship Id="rId16" Type="http://schemas.openxmlformats.org/officeDocument/2006/relationships/printerSettings" Target="../printerSettings/printerSettings70.bin"/><Relationship Id="rId1" Type="http://schemas.openxmlformats.org/officeDocument/2006/relationships/printerSettings" Target="../printerSettings/printerSettings55.bin"/><Relationship Id="rId6" Type="http://schemas.openxmlformats.org/officeDocument/2006/relationships/printerSettings" Target="../printerSettings/printerSettings60.bin"/><Relationship Id="rId11" Type="http://schemas.openxmlformats.org/officeDocument/2006/relationships/printerSettings" Target="../printerSettings/printerSettings65.bin"/><Relationship Id="rId5" Type="http://schemas.openxmlformats.org/officeDocument/2006/relationships/printerSettings" Target="../printerSettings/printerSettings59.bin"/><Relationship Id="rId15" Type="http://schemas.openxmlformats.org/officeDocument/2006/relationships/printerSettings" Target="../printerSettings/printerSettings69.bin"/><Relationship Id="rId10" Type="http://schemas.openxmlformats.org/officeDocument/2006/relationships/printerSettings" Target="../printerSettings/printerSettings64.bin"/><Relationship Id="rId4" Type="http://schemas.openxmlformats.org/officeDocument/2006/relationships/printerSettings" Target="../printerSettings/printerSettings58.bin"/><Relationship Id="rId9" Type="http://schemas.openxmlformats.org/officeDocument/2006/relationships/printerSettings" Target="../printerSettings/printerSettings63.bin"/><Relationship Id="rId14" Type="http://schemas.openxmlformats.org/officeDocument/2006/relationships/printerSettings" Target="../printerSettings/printerSettings68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5.bin"/><Relationship Id="rId2" Type="http://schemas.openxmlformats.org/officeDocument/2006/relationships/printerSettings" Target="../printerSettings/printerSettings74.bin"/><Relationship Id="rId1" Type="http://schemas.openxmlformats.org/officeDocument/2006/relationships/printerSettings" Target="../printerSettings/printerSettings7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AF171"/>
  <sheetViews>
    <sheetView zoomScaleNormal="70" workbookViewId="0">
      <selection activeCell="H6" sqref="H6"/>
    </sheetView>
  </sheetViews>
  <sheetFormatPr baseColWidth="10" defaultColWidth="11.42578125" defaultRowHeight="15"/>
  <cols>
    <col min="1" max="1" width="33.5703125" style="2" customWidth="1"/>
    <col min="2" max="2" width="11.42578125" style="17"/>
    <col min="3" max="3" width="1.7109375" style="5" customWidth="1"/>
    <col min="4" max="4" width="58.28515625" style="8" bestFit="1" customWidth="1"/>
    <col min="5" max="5" width="2.28515625" style="8" bestFit="1" customWidth="1"/>
    <col min="6" max="6" width="4.7109375" style="8" bestFit="1" customWidth="1"/>
    <col min="7" max="7" width="1.7109375" style="5" customWidth="1"/>
    <col min="8" max="8" width="15.42578125" style="2" customWidth="1"/>
    <col min="9" max="9" width="1.7109375" style="5" customWidth="1"/>
    <col min="10" max="10" width="12.5703125" style="2" customWidth="1"/>
    <col min="11" max="11" width="1.7109375" style="5" customWidth="1"/>
    <col min="12" max="12" width="13.28515625" style="2" customWidth="1"/>
    <col min="13" max="13" width="1.7109375" style="5" customWidth="1"/>
    <col min="14" max="14" width="14.42578125" style="2" customWidth="1"/>
    <col min="15" max="15" width="1.7109375" style="5" customWidth="1"/>
    <col min="16" max="16" width="13.7109375" style="2" customWidth="1"/>
    <col min="17" max="17" width="1.7109375" style="5" customWidth="1"/>
    <col min="18" max="18" width="11.42578125" style="2" customWidth="1"/>
    <col min="19" max="19" width="1.7109375" style="5" customWidth="1"/>
    <col min="20" max="20" width="25.7109375" style="2" customWidth="1"/>
    <col min="21" max="21" width="1.7109375" style="5" customWidth="1"/>
    <col min="22" max="22" width="11.42578125" style="2" customWidth="1"/>
    <col min="23" max="23" width="1.7109375" style="5" customWidth="1"/>
    <col min="24" max="24" width="13.28515625" style="2" customWidth="1"/>
    <col min="25" max="25" width="1.7109375" style="5" customWidth="1"/>
    <col min="26" max="26" width="13.28515625" style="2" customWidth="1"/>
    <col min="27" max="27" width="1.7109375" style="5" customWidth="1"/>
    <col min="28" max="28" width="28.42578125" style="2" customWidth="1"/>
    <col min="29" max="29" width="1.7109375" style="5" customWidth="1"/>
    <col min="30" max="30" width="12.7109375" style="2" customWidth="1"/>
    <col min="31" max="31" width="31.7109375" style="2" customWidth="1"/>
    <col min="32" max="16384" width="11.42578125" style="2"/>
  </cols>
  <sheetData>
    <row r="1" spans="1:32" ht="15" customHeight="1">
      <c r="A1" s="3" t="s">
        <v>0</v>
      </c>
      <c r="B1" s="6" t="s">
        <v>1</v>
      </c>
      <c r="D1" s="3" t="s">
        <v>2</v>
      </c>
      <c r="E1" s="3" t="str">
        <f>LEFT(INDEX('FAM-CLASS'!B:B,MATCH(D1,'FAM-CLASS'!A:A,0)),1)</f>
        <v>P</v>
      </c>
      <c r="F1" s="3" t="str">
        <f>LEFT(INDEX('FAM-CLASS'!C:C,MATCH(D1,'FAM-CLASS'!A:A,0)),1)</f>
        <v>S</v>
      </c>
      <c r="H1" s="4" t="s">
        <v>3</v>
      </c>
      <c r="J1" s="17" t="s">
        <v>4</v>
      </c>
      <c r="L1" s="4" t="s">
        <v>3</v>
      </c>
      <c r="N1" s="4" t="s">
        <v>5</v>
      </c>
      <c r="P1" s="4" t="s">
        <v>6</v>
      </c>
      <c r="R1" s="4" t="s">
        <v>7</v>
      </c>
      <c r="T1" s="7" t="s">
        <v>8</v>
      </c>
      <c r="V1" s="4" t="s">
        <v>9</v>
      </c>
      <c r="X1" s="4" t="s">
        <v>10</v>
      </c>
      <c r="Z1" s="4" t="s">
        <v>11</v>
      </c>
      <c r="AB1" s="2" t="s">
        <v>12</v>
      </c>
      <c r="AD1" s="4" t="s">
        <v>13</v>
      </c>
      <c r="AE1" s="2" t="s">
        <v>7875</v>
      </c>
      <c r="AF1" s="2" t="s">
        <v>14</v>
      </c>
    </row>
    <row r="2" spans="1:32" ht="15" customHeight="1">
      <c r="A2" s="48" t="s">
        <v>15</v>
      </c>
      <c r="B2" s="49" t="s">
        <v>16</v>
      </c>
      <c r="D2" s="3" t="s">
        <v>17</v>
      </c>
      <c r="E2" s="3" t="str">
        <f>LEFT(INDEX('FAM-CLASS'!B:B,MATCH(D2,'FAM-CLASS'!A:A,0)),1)</f>
        <v>S</v>
      </c>
      <c r="F2" s="3" t="str">
        <f>LEFT(INDEX('FAM-CLASS'!C:C,MATCH(D2,'FAM-CLASS'!A:A,0)),1)</f>
        <v>E</v>
      </c>
      <c r="H2" s="4" t="s">
        <v>18</v>
      </c>
      <c r="J2" s="7" t="s">
        <v>19</v>
      </c>
      <c r="L2" s="4" t="s">
        <v>20</v>
      </c>
      <c r="N2" s="4" t="s">
        <v>21</v>
      </c>
      <c r="P2" s="4" t="s">
        <v>22</v>
      </c>
      <c r="R2" s="4" t="s">
        <v>23</v>
      </c>
      <c r="T2" s="7" t="s">
        <v>24</v>
      </c>
      <c r="V2" s="4" t="s">
        <v>25</v>
      </c>
      <c r="X2" s="4" t="s">
        <v>26</v>
      </c>
      <c r="Z2" s="4" t="s">
        <v>27</v>
      </c>
      <c r="AB2" s="2" t="s">
        <v>28</v>
      </c>
      <c r="AD2" s="4" t="s">
        <v>3</v>
      </c>
      <c r="AE2" s="2" t="s">
        <v>7888</v>
      </c>
      <c r="AF2" s="2" t="s">
        <v>29</v>
      </c>
    </row>
    <row r="3" spans="1:32" ht="15" customHeight="1">
      <c r="A3" s="2" t="s">
        <v>30</v>
      </c>
      <c r="B3" s="47" t="s">
        <v>1</v>
      </c>
      <c r="D3" s="3" t="s">
        <v>31</v>
      </c>
      <c r="E3" s="3" t="str">
        <f>LEFT(INDEX('FAM-CLASS'!B:B,MATCH(D3,'FAM-CLASS'!A:A,0)),1)</f>
        <v>S</v>
      </c>
      <c r="F3" s="3" t="str">
        <f>LEFT(INDEX('FAM-CLASS'!C:C,MATCH(D3,'FAM-CLASS'!A:A,0)),1)</f>
        <v>E</v>
      </c>
      <c r="H3" s="4" t="s">
        <v>32</v>
      </c>
      <c r="J3" s="7">
        <v>15</v>
      </c>
      <c r="N3" s="4" t="s">
        <v>33</v>
      </c>
      <c r="P3" s="4" t="s">
        <v>34</v>
      </c>
      <c r="R3" s="4" t="s">
        <v>35</v>
      </c>
      <c r="T3" s="7" t="s">
        <v>36</v>
      </c>
      <c r="V3" s="4" t="s">
        <v>37</v>
      </c>
      <c r="X3" s="4" t="s">
        <v>38</v>
      </c>
      <c r="Z3" s="4" t="s">
        <v>39</v>
      </c>
      <c r="AB3" s="4" t="s">
        <v>40</v>
      </c>
      <c r="AE3" s="2" t="s">
        <v>7874</v>
      </c>
      <c r="AF3" s="2" t="s">
        <v>41</v>
      </c>
    </row>
    <row r="4" spans="1:32">
      <c r="A4" s="3" t="s">
        <v>42</v>
      </c>
      <c r="B4" s="6" t="s">
        <v>1</v>
      </c>
      <c r="D4" s="3" t="s">
        <v>43</v>
      </c>
      <c r="E4" s="3" t="s">
        <v>44</v>
      </c>
      <c r="F4" s="3" t="str">
        <f>LEFT(INDEX('FAM-CLASS'!C:C,MATCH(D4,'FAM-CLASS'!A:A,0)),1)</f>
        <v>A</v>
      </c>
      <c r="H4" s="4" t="s">
        <v>45</v>
      </c>
      <c r="J4" s="7">
        <v>30</v>
      </c>
      <c r="N4" s="4" t="s">
        <v>46</v>
      </c>
      <c r="P4" s="4" t="s">
        <v>47</v>
      </c>
      <c r="R4" s="4" t="s">
        <v>48</v>
      </c>
      <c r="T4" s="7" t="s">
        <v>49</v>
      </c>
      <c r="V4" s="4" t="s">
        <v>50</v>
      </c>
      <c r="X4" s="4" t="s">
        <v>51</v>
      </c>
      <c r="AB4" s="4" t="s">
        <v>52</v>
      </c>
      <c r="AF4" s="2" t="s">
        <v>53</v>
      </c>
    </row>
    <row r="5" spans="1:32" ht="15" customHeight="1">
      <c r="A5" s="3" t="s">
        <v>54</v>
      </c>
      <c r="B5" s="6" t="s">
        <v>1</v>
      </c>
      <c r="D5" s="3" t="s">
        <v>55</v>
      </c>
      <c r="E5" s="3" t="s">
        <v>44</v>
      </c>
      <c r="F5" s="3" t="str">
        <f>LEFT(INDEX('FAM-CLASS'!C:C,MATCH(D5,'FAM-CLASS'!A:A,0)),1)</f>
        <v>A</v>
      </c>
      <c r="H5" s="4" t="s">
        <v>56</v>
      </c>
      <c r="J5" s="7">
        <v>45</v>
      </c>
      <c r="L5" s="2" t="s">
        <v>57</v>
      </c>
      <c r="N5" s="4" t="s">
        <v>58</v>
      </c>
      <c r="P5" s="4" t="s">
        <v>59</v>
      </c>
      <c r="R5" s="4" t="s">
        <v>60</v>
      </c>
      <c r="T5" s="7" t="s">
        <v>61</v>
      </c>
      <c r="V5" s="4" t="s">
        <v>62</v>
      </c>
      <c r="X5" s="4" t="s">
        <v>63</v>
      </c>
      <c r="AB5" s="4" t="s">
        <v>64</v>
      </c>
      <c r="AF5" s="2" t="s">
        <v>65</v>
      </c>
    </row>
    <row r="6" spans="1:32" ht="15" customHeight="1">
      <c r="A6" s="3" t="s">
        <v>66</v>
      </c>
      <c r="B6" s="6" t="s">
        <v>1</v>
      </c>
      <c r="D6" s="3" t="s">
        <v>67</v>
      </c>
      <c r="E6" s="3" t="s">
        <v>44</v>
      </c>
      <c r="F6" s="3" t="str">
        <f>LEFT(INDEX('FAM-CLASS'!C:C,MATCH(D6,'FAM-CLASS'!A:A,0)),1)</f>
        <v>A</v>
      </c>
      <c r="H6" s="4" t="s">
        <v>68</v>
      </c>
      <c r="J6" s="7">
        <v>60</v>
      </c>
      <c r="L6" s="2" t="s">
        <v>69</v>
      </c>
      <c r="N6" s="58" t="s">
        <v>70</v>
      </c>
      <c r="P6" s="4" t="s">
        <v>71</v>
      </c>
      <c r="R6" s="4" t="s">
        <v>72</v>
      </c>
      <c r="T6" s="7" t="s">
        <v>73</v>
      </c>
      <c r="V6" s="4"/>
      <c r="AB6" s="4" t="s">
        <v>74</v>
      </c>
    </row>
    <row r="7" spans="1:32">
      <c r="A7" s="3" t="s">
        <v>75</v>
      </c>
      <c r="B7" s="6" t="s">
        <v>1</v>
      </c>
      <c r="D7" s="3" t="s">
        <v>76</v>
      </c>
      <c r="E7" s="3" t="s">
        <v>44</v>
      </c>
      <c r="F7" s="3" t="str">
        <f>LEFT(INDEX('FAM-CLASS'!C:C,MATCH(D7,'FAM-CLASS'!A:A,0)),1)</f>
        <v>A</v>
      </c>
      <c r="H7" s="2" t="s">
        <v>77</v>
      </c>
      <c r="J7" s="7">
        <v>90</v>
      </c>
      <c r="L7" s="2" t="s">
        <v>78</v>
      </c>
      <c r="N7" s="4" t="s">
        <v>79</v>
      </c>
      <c r="P7" s="4" t="s">
        <v>80</v>
      </c>
      <c r="R7" s="4" t="s">
        <v>81</v>
      </c>
      <c r="T7" s="7" t="s">
        <v>82</v>
      </c>
      <c r="AB7" s="4" t="s">
        <v>83</v>
      </c>
    </row>
    <row r="8" spans="1:32" ht="15" customHeight="1">
      <c r="A8" s="4" t="s">
        <v>84</v>
      </c>
      <c r="B8" s="6" t="s">
        <v>1</v>
      </c>
      <c r="D8" s="3" t="s">
        <v>85</v>
      </c>
      <c r="E8" s="3" t="s">
        <v>44</v>
      </c>
      <c r="F8" s="3" t="str">
        <f>LEFT(INDEX('FAM-CLASS'!C:C,MATCH(D8,'FAM-CLASS'!A:A,0)),1)</f>
        <v>A</v>
      </c>
      <c r="H8" s="4" t="s">
        <v>20</v>
      </c>
      <c r="J8" s="7">
        <v>120</v>
      </c>
      <c r="P8" s="4" t="s">
        <v>86</v>
      </c>
      <c r="R8" s="4" t="s">
        <v>87</v>
      </c>
      <c r="T8" s="7" t="s">
        <v>88</v>
      </c>
      <c r="AB8" s="4" t="s">
        <v>89</v>
      </c>
    </row>
    <row r="9" spans="1:32">
      <c r="A9" s="4" t="s">
        <v>90</v>
      </c>
      <c r="B9" s="6" t="s">
        <v>1</v>
      </c>
      <c r="D9" s="3" t="s">
        <v>91</v>
      </c>
      <c r="E9" s="3" t="s">
        <v>44</v>
      </c>
      <c r="F9" s="3" t="str">
        <f>LEFT(INDEX('FAM-CLASS'!C:C,MATCH(D9,'FAM-CLASS'!A:A,0)),1)</f>
        <v>E</v>
      </c>
      <c r="H9" s="4" t="s">
        <v>92</v>
      </c>
      <c r="J9" s="7">
        <v>150</v>
      </c>
      <c r="P9" s="4" t="s">
        <v>93</v>
      </c>
      <c r="R9" s="4" t="s">
        <v>94</v>
      </c>
      <c r="T9" s="17" t="s">
        <v>95</v>
      </c>
      <c r="AB9" s="4" t="s">
        <v>96</v>
      </c>
    </row>
    <row r="10" spans="1:32" ht="15" customHeight="1">
      <c r="A10" s="4" t="s">
        <v>97</v>
      </c>
      <c r="B10" s="6" t="s">
        <v>1</v>
      </c>
      <c r="D10" s="3" t="s">
        <v>98</v>
      </c>
      <c r="E10" s="3" t="str">
        <f>LEFT(INDEX('FAM-CLASS'!B:B,MATCH(D10,'FAM-CLASS'!A:A,0)),1)</f>
        <v>S</v>
      </c>
      <c r="F10" s="3" t="str">
        <f>LEFT(INDEX('FAM-CLASS'!C:C,MATCH(D10,'FAM-CLASS'!A:A,0)),1)</f>
        <v>G</v>
      </c>
      <c r="J10" s="7">
        <v>180</v>
      </c>
      <c r="N10" s="4" t="s">
        <v>99</v>
      </c>
      <c r="P10" s="4" t="s">
        <v>100</v>
      </c>
      <c r="R10" s="4" t="s">
        <v>101</v>
      </c>
      <c r="T10" s="7" t="s">
        <v>102</v>
      </c>
      <c r="AB10" s="4" t="s">
        <v>53</v>
      </c>
    </row>
    <row r="11" spans="1:32" ht="15" customHeight="1">
      <c r="A11" s="4" t="s">
        <v>103</v>
      </c>
      <c r="B11" s="6"/>
      <c r="D11" s="3" t="s">
        <v>104</v>
      </c>
      <c r="E11" s="3" t="str">
        <f>LEFT(INDEX('FAM-CLASS'!B:B,MATCH(D11,'FAM-CLASS'!A:A,0)),1)</f>
        <v>S</v>
      </c>
      <c r="F11" s="3" t="str">
        <f>LEFT(INDEX('FAM-CLASS'!C:C,MATCH(D11,'FAM-CLASS'!A:A,0)),1)</f>
        <v>G</v>
      </c>
      <c r="N11" s="4" t="s">
        <v>105</v>
      </c>
      <c r="P11" s="4" t="s">
        <v>106</v>
      </c>
      <c r="R11" s="4" t="s">
        <v>107</v>
      </c>
      <c r="T11" s="7" t="s">
        <v>108</v>
      </c>
      <c r="AB11" s="4" t="s">
        <v>109</v>
      </c>
    </row>
    <row r="12" spans="1:32" ht="15" customHeight="1">
      <c r="A12" s="53" t="s">
        <v>110</v>
      </c>
      <c r="B12" s="51" t="s">
        <v>16</v>
      </c>
      <c r="D12" s="3" t="s">
        <v>111</v>
      </c>
      <c r="E12" s="3" t="str">
        <f>LEFT(INDEX('FAM-CLASS'!B:B,MATCH(D12,'FAM-CLASS'!A:A,0)),1)</f>
        <v>S</v>
      </c>
      <c r="F12" s="3" t="str">
        <f>LEFT(INDEX('FAM-CLASS'!C:C,MATCH(D12,'FAM-CLASS'!A:A,0)),1)</f>
        <v>E</v>
      </c>
      <c r="P12" s="4" t="s">
        <v>112</v>
      </c>
      <c r="T12" s="7" t="s">
        <v>113</v>
      </c>
      <c r="AB12" s="4" t="s">
        <v>114</v>
      </c>
    </row>
    <row r="13" spans="1:32" ht="15" customHeight="1">
      <c r="A13" s="4" t="s">
        <v>115</v>
      </c>
      <c r="B13" s="6" t="s">
        <v>1</v>
      </c>
      <c r="D13" s="3" t="s">
        <v>116</v>
      </c>
      <c r="E13" s="3" t="str">
        <f>LEFT(INDEX('FAM-CLASS'!B:B,MATCH(D13,'FAM-CLASS'!A:A,0)),1)</f>
        <v>S</v>
      </c>
      <c r="F13" s="3" t="str">
        <f>LEFT(INDEX('FAM-CLASS'!C:C,MATCH(D13,'FAM-CLASS'!A:A,0)),1)</f>
        <v>E</v>
      </c>
      <c r="H13" s="4" t="s">
        <v>117</v>
      </c>
      <c r="J13" s="6" t="s">
        <v>118</v>
      </c>
      <c r="P13" s="4" t="s">
        <v>119</v>
      </c>
      <c r="T13" s="7"/>
      <c r="AB13" s="4"/>
    </row>
    <row r="14" spans="1:32" ht="15" customHeight="1">
      <c r="A14" s="4"/>
      <c r="B14" s="6"/>
      <c r="D14" s="3" t="s">
        <v>120</v>
      </c>
      <c r="E14" s="3" t="str">
        <f>LEFT(INDEX('FAM-CLASS'!B:B,MATCH(D14,'FAM-CLASS'!A:A,0)),1)</f>
        <v>S</v>
      </c>
      <c r="F14" s="3" t="str">
        <f>LEFT(INDEX('FAM-CLASS'!C:C,MATCH(D14,'FAM-CLASS'!A:A,0)),1)</f>
        <v>E</v>
      </c>
      <c r="H14" s="4" t="s">
        <v>3</v>
      </c>
      <c r="J14" s="6"/>
      <c r="P14" s="4" t="s">
        <v>121</v>
      </c>
      <c r="T14" s="7"/>
      <c r="AB14" s="4"/>
    </row>
    <row r="15" spans="1:32">
      <c r="A15" s="4" t="s">
        <v>122</v>
      </c>
      <c r="B15" s="6"/>
      <c r="D15" s="3" t="s">
        <v>123</v>
      </c>
      <c r="E15" s="3" t="str">
        <f>LEFT(INDEX('FAM-CLASS'!B:B,MATCH(D15,'FAM-CLASS'!A:A,0)),1)</f>
        <v>S</v>
      </c>
      <c r="F15" s="3" t="str">
        <f>LEFT(INDEX('FAM-CLASS'!C:C,MATCH(D15,'FAM-CLASS'!A:A,0)),1)</f>
        <v>A</v>
      </c>
      <c r="H15" s="4" t="s">
        <v>124</v>
      </c>
      <c r="J15" s="6" t="s">
        <v>125</v>
      </c>
      <c r="P15" s="4" t="s">
        <v>126</v>
      </c>
      <c r="T15" s="7" t="s">
        <v>127</v>
      </c>
      <c r="AB15" s="4" t="s">
        <v>128</v>
      </c>
    </row>
    <row r="16" spans="1:32">
      <c r="A16" s="2" t="s">
        <v>129</v>
      </c>
      <c r="B16" s="6" t="s">
        <v>1</v>
      </c>
      <c r="D16" s="3" t="s">
        <v>130</v>
      </c>
      <c r="E16" s="3" t="str">
        <f>LEFT(INDEX('FAM-CLASS'!B:B,MATCH(D16,'FAM-CLASS'!A:A,0)),1)</f>
        <v>S</v>
      </c>
      <c r="F16" s="3" t="str">
        <f>LEFT(INDEX('FAM-CLASS'!C:C,MATCH(D16,'FAM-CLASS'!A:A,0)),1)</f>
        <v>A</v>
      </c>
      <c r="J16" s="6" t="s">
        <v>131</v>
      </c>
      <c r="T16" s="7" t="s">
        <v>132</v>
      </c>
      <c r="AB16" s="4" t="s">
        <v>41</v>
      </c>
    </row>
    <row r="17" spans="1:28">
      <c r="A17" s="3" t="s">
        <v>133</v>
      </c>
      <c r="B17" s="6" t="s">
        <v>1</v>
      </c>
      <c r="D17" s="3" t="s">
        <v>134</v>
      </c>
      <c r="E17" s="3" t="str">
        <f>LEFT(INDEX('FAM-CLASS'!B:B,MATCH(D17,'FAM-CLASS'!A:A,0)),1)</f>
        <v>S</v>
      </c>
      <c r="F17" s="3" t="str">
        <f>LEFT(INDEX('FAM-CLASS'!C:C,MATCH(D17,'FAM-CLASS'!A:A,0)),1)</f>
        <v>A</v>
      </c>
      <c r="T17" s="2" t="s">
        <v>135</v>
      </c>
      <c r="AB17" s="4" t="s">
        <v>29</v>
      </c>
    </row>
    <row r="18" spans="1:28">
      <c r="A18" s="50" t="s">
        <v>136</v>
      </c>
      <c r="B18" s="51" t="s">
        <v>16</v>
      </c>
      <c r="D18" s="3" t="s">
        <v>137</v>
      </c>
      <c r="E18" s="3" t="str">
        <f>LEFT(INDEX('FAM-CLASS'!B:B,MATCH(D18,'FAM-CLASS'!A:A,0)),1)</f>
        <v>S</v>
      </c>
      <c r="F18" s="3" t="str">
        <f>LEFT(INDEX('FAM-CLASS'!C:C,MATCH(D18,'FAM-CLASS'!A:A,0)),1)</f>
        <v>A</v>
      </c>
      <c r="H18" s="2" t="s">
        <v>138</v>
      </c>
      <c r="T18" s="7" t="s">
        <v>139</v>
      </c>
      <c r="AB18" s="4" t="s">
        <v>140</v>
      </c>
    </row>
    <row r="19" spans="1:28">
      <c r="A19" s="50" t="s">
        <v>141</v>
      </c>
      <c r="B19" s="51"/>
      <c r="D19" s="3" t="s">
        <v>142</v>
      </c>
      <c r="E19" s="3" t="str">
        <f>LEFT(INDEX('FAM-CLASS'!B:B,MATCH(D19,'FAM-CLASS'!A:A,0)),1)</f>
        <v>S</v>
      </c>
      <c r="F19" s="3" t="str">
        <f>LEFT(INDEX('FAM-CLASS'!C:C,MATCH(D19,'FAM-CLASS'!A:A,0)),1)</f>
        <v>G</v>
      </c>
      <c r="H19" s="2" t="s">
        <v>143</v>
      </c>
      <c r="T19" s="7" t="s">
        <v>144</v>
      </c>
      <c r="AB19" s="4" t="s">
        <v>145</v>
      </c>
    </row>
    <row r="20" spans="1:28">
      <c r="A20" s="52" t="s">
        <v>146</v>
      </c>
      <c r="B20" s="51" t="s">
        <v>16</v>
      </c>
      <c r="D20" s="3" t="s">
        <v>147</v>
      </c>
      <c r="E20" s="3" t="str">
        <f>LEFT(INDEX('FAM-CLASS'!B:B,MATCH(D20,'FAM-CLASS'!A:A,0)),1)</f>
        <v>S</v>
      </c>
      <c r="F20" s="3" t="str">
        <f>LEFT(INDEX('FAM-CLASS'!C:C,MATCH(D20,'FAM-CLASS'!A:A,0)),1)</f>
        <v>G</v>
      </c>
      <c r="H20" s="2" t="s">
        <v>148</v>
      </c>
      <c r="T20" s="7" t="s">
        <v>149</v>
      </c>
      <c r="AB20" s="4" t="s">
        <v>150</v>
      </c>
    </row>
    <row r="21" spans="1:28">
      <c r="A21" s="2" t="s">
        <v>151</v>
      </c>
      <c r="B21" s="6" t="s">
        <v>1</v>
      </c>
      <c r="D21" s="3" t="s">
        <v>152</v>
      </c>
      <c r="E21" s="3" t="str">
        <f>LEFT(INDEX('FAM-CLASS'!B:B,MATCH(D21,'FAM-CLASS'!A:A,0)),1)</f>
        <v>S</v>
      </c>
      <c r="F21" s="3" t="str">
        <f>LEFT(INDEX('FAM-CLASS'!C:C,MATCH(D21,'FAM-CLASS'!A:A,0)),1)</f>
        <v>S</v>
      </c>
      <c r="J21" s="4" t="s">
        <v>117</v>
      </c>
      <c r="T21" s="7" t="s">
        <v>153</v>
      </c>
      <c r="AB21" s="4" t="s">
        <v>65</v>
      </c>
    </row>
    <row r="22" spans="1:28">
      <c r="A22" s="4" t="s">
        <v>154</v>
      </c>
      <c r="B22" s="6" t="s">
        <v>1</v>
      </c>
      <c r="D22" s="3" t="s">
        <v>155</v>
      </c>
      <c r="E22" s="3" t="str">
        <f>LEFT(INDEX('FAM-CLASS'!B:B,MATCH(D22,'FAM-CLASS'!A:A,0)),1)</f>
        <v>S</v>
      </c>
      <c r="F22" s="3" t="str">
        <f>LEFT(INDEX('FAM-CLASS'!C:C,MATCH(D22,'FAM-CLASS'!A:A,0)),1)</f>
        <v>S</v>
      </c>
      <c r="J22" s="4" t="s">
        <v>156</v>
      </c>
      <c r="T22" s="34" t="s">
        <v>157</v>
      </c>
      <c r="AB22" s="4" t="s">
        <v>158</v>
      </c>
    </row>
    <row r="23" spans="1:28">
      <c r="A23" s="2" t="s">
        <v>159</v>
      </c>
      <c r="B23" s="6" t="s">
        <v>1</v>
      </c>
      <c r="D23" s="3" t="s">
        <v>160</v>
      </c>
      <c r="E23" s="3" t="str">
        <f>LEFT(INDEX('FAM-CLASS'!B:B,MATCH(D23,'FAM-CLASS'!A:A,0)),1)</f>
        <v>S</v>
      </c>
      <c r="F23" s="3" t="str">
        <f>LEFT(INDEX('FAM-CLASS'!C:C,MATCH(D23,'FAM-CLASS'!A:A,0)),1)</f>
        <v>E</v>
      </c>
      <c r="J23" s="4" t="s">
        <v>161</v>
      </c>
      <c r="T23" s="7" t="s">
        <v>162</v>
      </c>
      <c r="AB23" s="4" t="s">
        <v>14</v>
      </c>
    </row>
    <row r="24" spans="1:28">
      <c r="A24" s="53" t="s">
        <v>163</v>
      </c>
      <c r="B24" s="51" t="s">
        <v>16</v>
      </c>
      <c r="D24" s="3" t="s">
        <v>164</v>
      </c>
      <c r="E24" s="3" t="str">
        <f>LEFT(INDEX('FAM-CLASS'!B:B,MATCH(D24,'FAM-CLASS'!A:A,0)),1)</f>
        <v>S</v>
      </c>
      <c r="F24" s="3" t="str">
        <f>LEFT(INDEX('FAM-CLASS'!C:C,MATCH(D24,'FAM-CLASS'!A:A,0)),1)</f>
        <v>E</v>
      </c>
      <c r="T24" s="7" t="s">
        <v>165</v>
      </c>
      <c r="AB24" s="4" t="s">
        <v>166</v>
      </c>
    </row>
    <row r="25" spans="1:28">
      <c r="A25" s="53" t="s">
        <v>167</v>
      </c>
      <c r="B25" s="51" t="s">
        <v>16</v>
      </c>
      <c r="D25" s="3" t="s">
        <v>168</v>
      </c>
      <c r="E25" s="3" t="str">
        <f>LEFT(INDEX('FAM-CLASS'!B:B,MATCH(D25,'FAM-CLASS'!A:A,0)),1)</f>
        <v>S</v>
      </c>
      <c r="F25" s="3" t="str">
        <f>LEFT(INDEX('FAM-CLASS'!C:C,MATCH(D25,'FAM-CLASS'!A:A,0)),1)</f>
        <v>A</v>
      </c>
      <c r="T25" s="7" t="s">
        <v>169</v>
      </c>
      <c r="AB25" s="4" t="s">
        <v>170</v>
      </c>
    </row>
    <row r="26" spans="1:28">
      <c r="A26" s="3" t="s">
        <v>171</v>
      </c>
      <c r="B26" s="6"/>
      <c r="D26" s="3" t="s">
        <v>172</v>
      </c>
      <c r="E26" s="3" t="str">
        <f>LEFT(INDEX('FAM-CLASS'!B:B,MATCH(D26,'FAM-CLASS'!A:A,0)),1)</f>
        <v>S</v>
      </c>
      <c r="F26" s="3" t="str">
        <f>LEFT(INDEX('FAM-CLASS'!C:C,MATCH(D26,'FAM-CLASS'!A:A,0)),1)</f>
        <v>A</v>
      </c>
      <c r="T26" s="7" t="s">
        <v>173</v>
      </c>
      <c r="AB26" s="2" t="s">
        <v>174</v>
      </c>
    </row>
    <row r="27" spans="1:28">
      <c r="A27" s="3" t="s">
        <v>175</v>
      </c>
      <c r="B27" s="6" t="s">
        <v>1</v>
      </c>
      <c r="D27" s="3" t="s">
        <v>176</v>
      </c>
      <c r="E27" s="3" t="str">
        <f>LEFT(INDEX('FAM-CLASS'!B:B,MATCH(D27,'FAM-CLASS'!A:A,0)),1)</f>
        <v>S</v>
      </c>
      <c r="F27" s="3" t="str">
        <f>LEFT(INDEX('FAM-CLASS'!C:C,MATCH(D27,'FAM-CLASS'!A:A,0)),1)</f>
        <v>A</v>
      </c>
      <c r="T27" s="7" t="s">
        <v>177</v>
      </c>
      <c r="AB27" s="4" t="s">
        <v>178</v>
      </c>
    </row>
    <row r="28" spans="1:28">
      <c r="A28" s="3" t="s">
        <v>179</v>
      </c>
      <c r="B28" s="6" t="s">
        <v>1</v>
      </c>
      <c r="D28" s="3" t="s">
        <v>180</v>
      </c>
      <c r="E28" s="3" t="str">
        <f>LEFT(INDEX('FAM-CLASS'!B:B,MATCH(D28,'FAM-CLASS'!A:A,0)),1)</f>
        <v>S</v>
      </c>
      <c r="F28" s="3" t="str">
        <f>LEFT(INDEX('FAM-CLASS'!C:C,MATCH(D28,'FAM-CLASS'!A:A,0)),1)</f>
        <v>A</v>
      </c>
      <c r="T28" s="7" t="s">
        <v>181</v>
      </c>
      <c r="AB28" s="4" t="s">
        <v>182</v>
      </c>
    </row>
    <row r="29" spans="1:28">
      <c r="A29" s="50" t="s">
        <v>183</v>
      </c>
      <c r="B29" s="51" t="s">
        <v>16</v>
      </c>
      <c r="D29" s="3" t="s">
        <v>184</v>
      </c>
      <c r="E29" s="3" t="str">
        <f>LEFT(INDEX('FAM-CLASS'!B:B,MATCH(D29,'FAM-CLASS'!A:A,0)),1)</f>
        <v>S</v>
      </c>
      <c r="F29" s="3" t="str">
        <f>LEFT(INDEX('FAM-CLASS'!C:C,MATCH(D29,'FAM-CLASS'!A:A,0)),1)</f>
        <v>A</v>
      </c>
      <c r="T29" s="7" t="s">
        <v>185</v>
      </c>
      <c r="AB29" s="4" t="s">
        <v>186</v>
      </c>
    </row>
    <row r="30" spans="1:28">
      <c r="A30" s="50" t="s">
        <v>187</v>
      </c>
      <c r="B30" s="51" t="s">
        <v>16</v>
      </c>
      <c r="D30" s="3" t="s">
        <v>188</v>
      </c>
      <c r="E30" s="3" t="str">
        <f>LEFT(INDEX('FAM-CLASS'!B:B,MATCH(D30,'FAM-CLASS'!A:A,0)),1)</f>
        <v>S</v>
      </c>
      <c r="F30" s="3" t="str">
        <f>LEFT(INDEX('FAM-CLASS'!C:C,MATCH(D30,'FAM-CLASS'!A:A,0)),1)</f>
        <v>A</v>
      </c>
      <c r="T30" s="7" t="s">
        <v>189</v>
      </c>
      <c r="AB30" s="4" t="s">
        <v>190</v>
      </c>
    </row>
    <row r="31" spans="1:28">
      <c r="A31" s="50" t="s">
        <v>191</v>
      </c>
      <c r="B31" s="51" t="s">
        <v>16</v>
      </c>
      <c r="D31" s="3" t="s">
        <v>192</v>
      </c>
      <c r="E31" s="3" t="str">
        <f>LEFT(INDEX('FAM-CLASS'!B:B,MATCH(D31,'FAM-CLASS'!A:A,0)),1)</f>
        <v/>
      </c>
      <c r="F31" s="3" t="str">
        <f>LEFT(INDEX('FAM-CLASS'!C:C,MATCH(D31,'FAM-CLASS'!A:A,0)),1)</f>
        <v/>
      </c>
      <c r="T31" s="7" t="s">
        <v>193</v>
      </c>
      <c r="AB31" s="2" t="s">
        <v>194</v>
      </c>
    </row>
    <row r="32" spans="1:28">
      <c r="A32" s="3" t="s">
        <v>195</v>
      </c>
      <c r="B32" s="6" t="s">
        <v>1</v>
      </c>
      <c r="D32" s="3" t="s">
        <v>196</v>
      </c>
      <c r="E32" s="3" t="str">
        <f>LEFT(INDEX('FAM-CLASS'!B:B,MATCH(D32,'FAM-CLASS'!A:A,0)),1)</f>
        <v>S</v>
      </c>
      <c r="F32" s="3" t="str">
        <f>LEFT(INDEX('FAM-CLASS'!C:C,MATCH(D32,'FAM-CLASS'!A:A,0)),1)</f>
        <v>E</v>
      </c>
      <c r="T32" s="7" t="s">
        <v>197</v>
      </c>
      <c r="AB32" s="4" t="s">
        <v>198</v>
      </c>
    </row>
    <row r="33" spans="1:28">
      <c r="A33" s="50" t="s">
        <v>199</v>
      </c>
      <c r="B33" s="51" t="s">
        <v>16</v>
      </c>
      <c r="D33" s="3" t="s">
        <v>200</v>
      </c>
      <c r="E33" s="3" t="str">
        <f>LEFT(INDEX('FAM-CLASS'!B:B,MATCH(D33,'FAM-CLASS'!A:A,0)),1)</f>
        <v>S</v>
      </c>
      <c r="F33" s="3" t="str">
        <f>LEFT(INDEX('FAM-CLASS'!C:C,MATCH(D33,'FAM-CLASS'!A:A,0)),1)</f>
        <v>E</v>
      </c>
      <c r="T33" s="7" t="s">
        <v>201</v>
      </c>
      <c r="AB33" s="4" t="s">
        <v>202</v>
      </c>
    </row>
    <row r="34" spans="1:28">
      <c r="A34" s="3" t="s">
        <v>203</v>
      </c>
      <c r="B34" s="6" t="s">
        <v>1</v>
      </c>
      <c r="D34" s="3" t="s">
        <v>204</v>
      </c>
      <c r="E34" s="3" t="str">
        <f>LEFT(INDEX('FAM-CLASS'!B:B,MATCH(D34,'FAM-CLASS'!A:A,0)),1)</f>
        <v>S</v>
      </c>
      <c r="F34" s="3" t="str">
        <f>LEFT(INDEX('FAM-CLASS'!C:C,MATCH(D34,'FAM-CLASS'!A:A,0)),1)</f>
        <v>E</v>
      </c>
      <c r="T34" s="7" t="s">
        <v>205</v>
      </c>
      <c r="AB34" s="4" t="s">
        <v>206</v>
      </c>
    </row>
    <row r="35" spans="1:28">
      <c r="A35" s="3" t="s">
        <v>207</v>
      </c>
      <c r="B35" s="6" t="s">
        <v>1</v>
      </c>
      <c r="D35" s="3" t="s">
        <v>208</v>
      </c>
      <c r="E35" s="3" t="str">
        <f>LEFT(INDEX('FAM-CLASS'!B:B,MATCH(D35,'FAM-CLASS'!A:A,0)),1)</f>
        <v>S</v>
      </c>
      <c r="F35" s="3" t="str">
        <f>LEFT(INDEX('FAM-CLASS'!C:C,MATCH(D35,'FAM-CLASS'!A:A,0)),1)</f>
        <v>E</v>
      </c>
      <c r="T35" s="7" t="s">
        <v>209</v>
      </c>
    </row>
    <row r="36" spans="1:28">
      <c r="A36" s="3" t="s">
        <v>210</v>
      </c>
      <c r="B36" s="6" t="s">
        <v>1</v>
      </c>
      <c r="D36" s="3" t="s">
        <v>211</v>
      </c>
      <c r="E36" s="3" t="str">
        <f>LEFT(INDEX('FAM-CLASS'!B:B,MATCH(D36,'FAM-CLASS'!A:A,0)),1)</f>
        <v>S</v>
      </c>
      <c r="F36" s="3" t="str">
        <f>LEFT(INDEX('FAM-CLASS'!C:C,MATCH(D36,'FAM-CLASS'!A:A,0)),1)</f>
        <v>E</v>
      </c>
      <c r="T36" s="7" t="s">
        <v>212</v>
      </c>
    </row>
    <row r="37" spans="1:28">
      <c r="A37" s="3" t="s">
        <v>213</v>
      </c>
      <c r="B37" s="6" t="s">
        <v>1</v>
      </c>
      <c r="D37" s="3" t="s">
        <v>214</v>
      </c>
      <c r="E37" s="3" t="str">
        <f>LEFT(INDEX('FAM-CLASS'!B:B,MATCH(D37,'FAM-CLASS'!A:A,0)),1)</f>
        <v>S</v>
      </c>
      <c r="F37" s="3" t="str">
        <f>LEFT(INDEX('FAM-CLASS'!C:C,MATCH(D37,'FAM-CLASS'!A:A,0)),1)</f>
        <v>E</v>
      </c>
      <c r="T37" s="7" t="s">
        <v>215</v>
      </c>
    </row>
    <row r="38" spans="1:28">
      <c r="A38" s="3" t="s">
        <v>216</v>
      </c>
      <c r="B38" s="6" t="s">
        <v>1</v>
      </c>
      <c r="D38" s="3" t="s">
        <v>217</v>
      </c>
      <c r="E38" s="3" t="str">
        <f>LEFT(INDEX('FAM-CLASS'!B:B,MATCH(D38,'FAM-CLASS'!A:A,0)),1)</f>
        <v>S</v>
      </c>
      <c r="F38" s="3" t="str">
        <f>LEFT(INDEX('FAM-CLASS'!C:C,MATCH(D38,'FAM-CLASS'!A:A,0)),1)</f>
        <v>E</v>
      </c>
      <c r="T38" s="7" t="s">
        <v>218</v>
      </c>
    </row>
    <row r="39" spans="1:28">
      <c r="A39" s="3" t="s">
        <v>219</v>
      </c>
      <c r="B39" s="6" t="s">
        <v>1</v>
      </c>
      <c r="D39" s="3" t="s">
        <v>220</v>
      </c>
      <c r="E39" s="3" t="str">
        <f>LEFT(INDEX('FAM-CLASS'!B:B,MATCH(D39,'FAM-CLASS'!A:A,0)),1)</f>
        <v>S</v>
      </c>
      <c r="F39" s="3" t="str">
        <f>LEFT(INDEX('FAM-CLASS'!C:C,MATCH(D39,'FAM-CLASS'!A:A,0)),1)</f>
        <v>E</v>
      </c>
      <c r="T39" s="7" t="s">
        <v>221</v>
      </c>
    </row>
    <row r="40" spans="1:28">
      <c r="A40" s="50" t="s">
        <v>222</v>
      </c>
      <c r="B40" s="51" t="s">
        <v>16</v>
      </c>
      <c r="D40" s="3" t="s">
        <v>223</v>
      </c>
      <c r="E40" s="3" t="str">
        <f>LEFT(INDEX('FAM-CLASS'!B:B,MATCH(D40,'FAM-CLASS'!A:A,0)),1)</f>
        <v>S</v>
      </c>
      <c r="F40" s="3" t="str">
        <f>LEFT(INDEX('FAM-CLASS'!C:C,MATCH(D40,'FAM-CLASS'!A:A,0)),1)</f>
        <v>E</v>
      </c>
      <c r="T40" s="7" t="s">
        <v>224</v>
      </c>
    </row>
    <row r="41" spans="1:28">
      <c r="A41" s="50" t="s">
        <v>225</v>
      </c>
      <c r="B41" s="51" t="s">
        <v>16</v>
      </c>
      <c r="D41" s="3" t="s">
        <v>226</v>
      </c>
      <c r="E41" s="3" t="str">
        <f>LEFT(INDEX('FAM-CLASS'!B:B,MATCH(D41,'FAM-CLASS'!A:A,0)),1)</f>
        <v>C</v>
      </c>
      <c r="F41" s="3" t="str">
        <f>LEFT(INDEX('FAM-CLASS'!C:C,MATCH(D41,'FAM-CLASS'!A:A,0)),1)</f>
        <v>G</v>
      </c>
      <c r="T41" s="7" t="s">
        <v>227</v>
      </c>
    </row>
    <row r="42" spans="1:28">
      <c r="A42" s="3" t="s">
        <v>228</v>
      </c>
      <c r="B42" s="6" t="s">
        <v>1</v>
      </c>
      <c r="D42" s="3" t="s">
        <v>229</v>
      </c>
      <c r="E42" s="3" t="str">
        <f>LEFT(INDEX('FAM-CLASS'!B:B,MATCH(D42,'FAM-CLASS'!A:A,0)),1)</f>
        <v>S</v>
      </c>
      <c r="F42" s="3" t="str">
        <f>LEFT(INDEX('FAM-CLASS'!C:C,MATCH(D42,'FAM-CLASS'!A:A,0)),1)</f>
        <v>S</v>
      </c>
      <c r="T42" s="34" t="s">
        <v>230</v>
      </c>
    </row>
    <row r="43" spans="1:28">
      <c r="A43" s="3" t="s">
        <v>231</v>
      </c>
      <c r="B43" s="6" t="s">
        <v>1</v>
      </c>
      <c r="D43" s="3" t="s">
        <v>232</v>
      </c>
      <c r="E43" s="3" t="str">
        <f>LEFT(INDEX('FAM-CLASS'!B:B,MATCH(D43,'FAM-CLASS'!A:A,0)),1)</f>
        <v>P</v>
      </c>
      <c r="F43" s="3" t="str">
        <f>LEFT(INDEX('FAM-CLASS'!C:C,MATCH(D43,'FAM-CLASS'!A:A,0)),1)</f>
        <v>S</v>
      </c>
      <c r="T43" s="7" t="s">
        <v>233</v>
      </c>
    </row>
    <row r="44" spans="1:28">
      <c r="A44" s="3" t="s">
        <v>234</v>
      </c>
      <c r="B44" s="6" t="s">
        <v>1</v>
      </c>
      <c r="D44" s="3" t="s">
        <v>235</v>
      </c>
      <c r="E44" s="3" t="str">
        <f>LEFT(INDEX('FAM-CLASS'!B:B,MATCH(D44,'FAM-CLASS'!A:A,0)),1)</f>
        <v>S</v>
      </c>
      <c r="F44" s="3" t="str">
        <f>LEFT(INDEX('FAM-CLASS'!C:C,MATCH(D44,'FAM-CLASS'!A:A,0)),1)</f>
        <v>S</v>
      </c>
      <c r="T44" s="7" t="s">
        <v>236</v>
      </c>
    </row>
    <row r="45" spans="1:28">
      <c r="A45" s="3" t="s">
        <v>237</v>
      </c>
      <c r="B45" s="6" t="s">
        <v>1</v>
      </c>
      <c r="D45" s="3" t="s">
        <v>238</v>
      </c>
      <c r="E45" s="3" t="str">
        <f>LEFT(INDEX('FAM-CLASS'!B:B,MATCH(D45,'FAM-CLASS'!A:A,0)),1)</f>
        <v>S</v>
      </c>
      <c r="F45" s="3" t="str">
        <f>LEFT(INDEX('FAM-CLASS'!C:C,MATCH(D45,'FAM-CLASS'!A:A,0)),1)</f>
        <v>S</v>
      </c>
      <c r="T45" s="7" t="s">
        <v>239</v>
      </c>
    </row>
    <row r="46" spans="1:28">
      <c r="A46" s="3" t="s">
        <v>240</v>
      </c>
      <c r="B46" s="6" t="s">
        <v>1</v>
      </c>
      <c r="D46" s="3" t="s">
        <v>241</v>
      </c>
      <c r="E46" s="3" t="str">
        <f>LEFT(INDEX('FAM-CLASS'!B:B,MATCH(D46,'FAM-CLASS'!A:A,0)),1)</f>
        <v>C</v>
      </c>
      <c r="F46" s="3" t="str">
        <f>LEFT(INDEX('FAM-CLASS'!C:C,MATCH(D46,'FAM-CLASS'!A:A,0)),1)</f>
        <v>S</v>
      </c>
      <c r="T46" s="7" t="s">
        <v>242</v>
      </c>
    </row>
    <row r="47" spans="1:28">
      <c r="A47" s="50" t="s">
        <v>243</v>
      </c>
      <c r="B47" s="51" t="s">
        <v>16</v>
      </c>
      <c r="D47" s="3" t="s">
        <v>244</v>
      </c>
      <c r="E47" s="3" t="str">
        <f>LEFT(INDEX('FAM-CLASS'!B:B,MATCH(D47,'FAM-CLASS'!A:A,0)),1)</f>
        <v>C</v>
      </c>
      <c r="F47" s="3" t="str">
        <f>LEFT(INDEX('FAM-CLASS'!C:C,MATCH(D47,'FAM-CLASS'!A:A,0)),1)</f>
        <v>S</v>
      </c>
      <c r="T47" s="8" t="s">
        <v>245</v>
      </c>
    </row>
    <row r="48" spans="1:28">
      <c r="A48" s="3" t="s">
        <v>246</v>
      </c>
      <c r="B48" s="6" t="s">
        <v>1</v>
      </c>
      <c r="D48" s="3" t="s">
        <v>247</v>
      </c>
      <c r="E48" s="3" t="str">
        <f>LEFT(INDEX('FAM-CLASS'!B:B,MATCH(D48,'FAM-CLASS'!A:A,0)),1)</f>
        <v>S</v>
      </c>
      <c r="F48" s="3" t="str">
        <f>LEFT(INDEX('FAM-CLASS'!C:C,MATCH(D48,'FAM-CLASS'!A:A,0)),1)</f>
        <v>E</v>
      </c>
      <c r="T48" s="8" t="s">
        <v>248</v>
      </c>
    </row>
    <row r="49" spans="1:20">
      <c r="A49" s="50" t="s">
        <v>249</v>
      </c>
      <c r="B49" s="51" t="s">
        <v>16</v>
      </c>
      <c r="D49" s="3" t="s">
        <v>250</v>
      </c>
      <c r="E49" s="3" t="str">
        <f>LEFT(INDEX('FAM-CLASS'!B:B,MATCH(D49,'FAM-CLASS'!A:A,0)),1)</f>
        <v>S</v>
      </c>
      <c r="F49" s="3" t="str">
        <f>LEFT(INDEX('FAM-CLASS'!C:C,MATCH(D49,'FAM-CLASS'!A:A,0)),1)</f>
        <v>E</v>
      </c>
      <c r="T49" s="8" t="s">
        <v>251</v>
      </c>
    </row>
    <row r="50" spans="1:20">
      <c r="A50" s="50" t="s">
        <v>252</v>
      </c>
      <c r="B50" s="51" t="s">
        <v>16</v>
      </c>
      <c r="D50" s="3" t="s">
        <v>253</v>
      </c>
      <c r="E50" s="3" t="str">
        <f>LEFT(INDEX('FAM-CLASS'!B:B,MATCH(D50,'FAM-CLASS'!A:A,0)),1)</f>
        <v>S</v>
      </c>
      <c r="F50" s="3" t="str">
        <f>LEFT(INDEX('FAM-CLASS'!C:C,MATCH(D50,'FAM-CLASS'!A:A,0)),1)</f>
        <v>E</v>
      </c>
      <c r="T50" s="7" t="s">
        <v>254</v>
      </c>
    </row>
    <row r="51" spans="1:20">
      <c r="A51" s="50" t="s">
        <v>255</v>
      </c>
      <c r="B51" s="51"/>
      <c r="D51" s="3" t="s">
        <v>256</v>
      </c>
      <c r="E51" s="3" t="str">
        <f>LEFT(INDEX('FAM-CLASS'!B:B,MATCH(D51,'FAM-CLASS'!A:A,0)),1)</f>
        <v>S</v>
      </c>
      <c r="F51" s="3" t="str">
        <f>LEFT(INDEX('FAM-CLASS'!C:C,MATCH(D51,'FAM-CLASS'!A:A,0)),1)</f>
        <v>E</v>
      </c>
      <c r="T51" s="7" t="s">
        <v>257</v>
      </c>
    </row>
    <row r="52" spans="1:20">
      <c r="A52" s="2" t="s">
        <v>258</v>
      </c>
      <c r="B52" s="6" t="s">
        <v>1</v>
      </c>
      <c r="D52" s="3" t="s">
        <v>259</v>
      </c>
      <c r="E52" s="3" t="str">
        <f>LEFT(INDEX('FAM-CLASS'!B:B,MATCH(D52,'FAM-CLASS'!A:A,0)),1)</f>
        <v>S</v>
      </c>
      <c r="F52" s="3" t="str">
        <f>LEFT(INDEX('FAM-CLASS'!C:C,MATCH(D52,'FAM-CLASS'!A:A,0)),1)</f>
        <v>E</v>
      </c>
      <c r="T52" s="7" t="s">
        <v>260</v>
      </c>
    </row>
    <row r="53" spans="1:20">
      <c r="A53" s="50" t="s">
        <v>261</v>
      </c>
      <c r="B53" s="51" t="s">
        <v>16</v>
      </c>
      <c r="D53" s="3" t="s">
        <v>262</v>
      </c>
      <c r="E53" s="3" t="str">
        <f>LEFT(INDEX('FAM-CLASS'!B:B,MATCH(D53,'FAM-CLASS'!A:A,0)),1)</f>
        <v>S</v>
      </c>
      <c r="F53" s="3" t="str">
        <f>LEFT(INDEX('FAM-CLASS'!C:C,MATCH(D53,'FAM-CLASS'!A:A,0)),1)</f>
        <v>E</v>
      </c>
      <c r="T53" s="7" t="s">
        <v>263</v>
      </c>
    </row>
    <row r="54" spans="1:20">
      <c r="A54" s="50" t="s">
        <v>264</v>
      </c>
      <c r="B54" s="51" t="s">
        <v>16</v>
      </c>
      <c r="D54" s="3" t="s">
        <v>265</v>
      </c>
      <c r="E54" s="3" t="str">
        <f>LEFT(INDEX('FAM-CLASS'!B:B,MATCH(D54,'FAM-CLASS'!A:A,0)),1)</f>
        <v>S</v>
      </c>
      <c r="F54" s="3" t="str">
        <f>LEFT(INDEX('FAM-CLASS'!C:C,MATCH(D54,'FAM-CLASS'!A:A,0)),1)</f>
        <v>E</v>
      </c>
      <c r="T54" s="20" t="s">
        <v>266</v>
      </c>
    </row>
    <row r="55" spans="1:20">
      <c r="A55" s="54" t="s">
        <v>267</v>
      </c>
      <c r="B55" s="51" t="s">
        <v>16</v>
      </c>
      <c r="D55" s="3" t="s">
        <v>268</v>
      </c>
      <c r="E55" s="3" t="str">
        <f>LEFT(INDEX('FAM-CLASS'!B:B,MATCH(D55,'FAM-CLASS'!A:A,0)),1)</f>
        <v>S</v>
      </c>
      <c r="F55" s="3" t="str">
        <f>LEFT(INDEX('FAM-CLASS'!C:C,MATCH(D55,'FAM-CLASS'!A:A,0)),1)</f>
        <v>E</v>
      </c>
      <c r="T55" s="30" t="s">
        <v>269</v>
      </c>
    </row>
    <row r="56" spans="1:20">
      <c r="A56" s="3" t="s">
        <v>270</v>
      </c>
      <c r="B56" s="6" t="s">
        <v>1</v>
      </c>
      <c r="D56" s="3" t="s">
        <v>271</v>
      </c>
      <c r="E56" s="3" t="str">
        <f>LEFT(INDEX('FAM-CLASS'!B:B,MATCH(D56,'FAM-CLASS'!A:A,0)),1)</f>
        <v>S</v>
      </c>
      <c r="F56" s="3" t="str">
        <f>LEFT(INDEX('FAM-CLASS'!C:C,MATCH(D56,'FAM-CLASS'!A:A,0)),1)</f>
        <v>E</v>
      </c>
      <c r="T56" s="33" t="s">
        <v>272</v>
      </c>
    </row>
    <row r="57" spans="1:20">
      <c r="A57" s="55" t="s">
        <v>273</v>
      </c>
      <c r="B57" s="6" t="s">
        <v>1</v>
      </c>
      <c r="D57" s="3" t="s">
        <v>274</v>
      </c>
      <c r="E57" s="3" t="str">
        <f>LEFT(INDEX('FAM-CLASS'!B:B,MATCH(D57,'FAM-CLASS'!A:A,0)),1)</f>
        <v>S</v>
      </c>
      <c r="F57" s="3" t="str">
        <f>LEFT(INDEX('FAM-CLASS'!C:C,MATCH(D57,'FAM-CLASS'!A:A,0)),1)</f>
        <v>E</v>
      </c>
      <c r="T57" s="33" t="s">
        <v>275</v>
      </c>
    </row>
    <row r="58" spans="1:20">
      <c r="A58" s="3" t="s">
        <v>276</v>
      </c>
      <c r="B58" s="6" t="s">
        <v>1</v>
      </c>
      <c r="D58" s="3" t="s">
        <v>277</v>
      </c>
      <c r="E58" s="3" t="str">
        <f>LEFT(INDEX('FAM-CLASS'!B:B,MATCH(D58,'FAM-CLASS'!A:A,0)),1)</f>
        <v>S</v>
      </c>
      <c r="F58" s="3" t="str">
        <f>LEFT(INDEX('FAM-CLASS'!C:C,MATCH(D58,'FAM-CLASS'!A:A,0)),1)</f>
        <v>E</v>
      </c>
      <c r="T58" s="34" t="s">
        <v>278</v>
      </c>
    </row>
    <row r="59" spans="1:20">
      <c r="A59" s="50" t="s">
        <v>279</v>
      </c>
      <c r="B59" s="51"/>
      <c r="D59" s="3" t="s">
        <v>280</v>
      </c>
      <c r="E59" s="3" t="str">
        <f>LEFT(INDEX('FAM-CLASS'!B:B,MATCH(D59,'FAM-CLASS'!A:A,0)),1)</f>
        <v>S</v>
      </c>
      <c r="F59" s="3" t="str">
        <f>LEFT(INDEX('FAM-CLASS'!C:C,MATCH(D59,'FAM-CLASS'!A:A,0)),1)</f>
        <v>E</v>
      </c>
      <c r="T59" s="7" t="s">
        <v>281</v>
      </c>
    </row>
    <row r="60" spans="1:20">
      <c r="A60" s="54" t="s">
        <v>282</v>
      </c>
      <c r="B60" s="51" t="s">
        <v>16</v>
      </c>
      <c r="D60" s="3" t="s">
        <v>283</v>
      </c>
      <c r="E60" s="3" t="str">
        <f>LEFT(INDEX('FAM-CLASS'!B:B,MATCH(D60,'FAM-CLASS'!A:A,0)),1)</f>
        <v>S</v>
      </c>
      <c r="F60" s="3" t="str">
        <f>LEFT(INDEX('FAM-CLASS'!C:C,MATCH(D60,'FAM-CLASS'!A:A,0)),1)</f>
        <v>E</v>
      </c>
      <c r="T60" s="7" t="s">
        <v>284</v>
      </c>
    </row>
    <row r="61" spans="1:20">
      <c r="A61" s="50" t="s">
        <v>285</v>
      </c>
      <c r="B61" s="51" t="s">
        <v>16</v>
      </c>
      <c r="D61" s="3" t="s">
        <v>286</v>
      </c>
      <c r="E61" s="3" t="str">
        <f>LEFT(INDEX('FAM-CLASS'!B:B,MATCH(D61,'FAM-CLASS'!A:A,0)),1)</f>
        <v>S</v>
      </c>
      <c r="F61" s="3" t="str">
        <f>LEFT(INDEX('FAM-CLASS'!C:C,MATCH(D61,'FAM-CLASS'!A:A,0)),1)</f>
        <v>E</v>
      </c>
      <c r="T61" s="7" t="s">
        <v>287</v>
      </c>
    </row>
    <row r="62" spans="1:20">
      <c r="A62" s="50" t="s">
        <v>288</v>
      </c>
      <c r="B62" s="51" t="s">
        <v>16</v>
      </c>
      <c r="D62" s="3" t="s">
        <v>289</v>
      </c>
      <c r="E62" s="3" t="str">
        <f>LEFT(INDEX('FAM-CLASS'!B:B,MATCH(D62,'FAM-CLASS'!A:A,0)),1)</f>
        <v>S</v>
      </c>
      <c r="F62" s="3" t="str">
        <f>LEFT(INDEX('FAM-CLASS'!C:C,MATCH(D62,'FAM-CLASS'!A:A,0)),1)</f>
        <v>E</v>
      </c>
      <c r="T62" s="35" t="s">
        <v>290</v>
      </c>
    </row>
    <row r="63" spans="1:20">
      <c r="A63" s="50" t="s">
        <v>291</v>
      </c>
      <c r="B63" s="51" t="s">
        <v>16</v>
      </c>
      <c r="D63" s="3" t="s">
        <v>292</v>
      </c>
      <c r="E63" s="3" t="str">
        <f>LEFT(INDEX('FAM-CLASS'!B:B,MATCH(D63,'FAM-CLASS'!A:A,0)),1)</f>
        <v>S</v>
      </c>
      <c r="F63" s="3" t="str">
        <f>LEFT(INDEX('FAM-CLASS'!C:C,MATCH(D63,'FAM-CLASS'!A:A,0)),1)</f>
        <v>E</v>
      </c>
      <c r="T63" s="7" t="s">
        <v>293</v>
      </c>
    </row>
    <row r="64" spans="1:20">
      <c r="A64" s="50" t="s">
        <v>294</v>
      </c>
      <c r="B64" s="51" t="s">
        <v>16</v>
      </c>
      <c r="D64" s="3" t="s">
        <v>295</v>
      </c>
      <c r="E64" s="3" t="str">
        <f>LEFT(INDEX('FAM-CLASS'!B:B,MATCH(D64,'FAM-CLASS'!A:A,0)),1)</f>
        <v>S</v>
      </c>
      <c r="F64" s="3" t="str">
        <f>LEFT(INDEX('FAM-CLASS'!C:C,MATCH(D64,'FAM-CLASS'!A:A,0)),1)</f>
        <v>E</v>
      </c>
      <c r="T64" s="7" t="s">
        <v>296</v>
      </c>
    </row>
    <row r="65" spans="1:20">
      <c r="A65" s="3" t="s">
        <v>297</v>
      </c>
      <c r="B65" s="6" t="s">
        <v>1</v>
      </c>
      <c r="D65" s="3" t="s">
        <v>298</v>
      </c>
      <c r="E65" s="3" t="str">
        <f>LEFT(INDEX('FAM-CLASS'!B:B,MATCH(D65,'FAM-CLASS'!A:A,0)),1)</f>
        <v>S</v>
      </c>
      <c r="F65" s="3" t="str">
        <f>LEFT(INDEX('FAM-CLASS'!C:C,MATCH(D65,'FAM-CLASS'!A:A,0)),1)</f>
        <v>E</v>
      </c>
      <c r="T65" s="7" t="s">
        <v>299</v>
      </c>
    </row>
    <row r="66" spans="1:20">
      <c r="A66" s="50" t="s">
        <v>300</v>
      </c>
      <c r="B66" s="51" t="s">
        <v>16</v>
      </c>
      <c r="D66" s="3" t="s">
        <v>301</v>
      </c>
      <c r="E66" s="3" t="str">
        <f>LEFT(INDEX('FAM-CLASS'!B:B,MATCH(D66,'FAM-CLASS'!A:A,0)),1)</f>
        <v>S</v>
      </c>
      <c r="F66" s="3" t="str">
        <f>LEFT(INDEX('FAM-CLASS'!C:C,MATCH(D66,'FAM-CLASS'!A:A,0)),1)</f>
        <v>E</v>
      </c>
      <c r="T66" s="7" t="s">
        <v>302</v>
      </c>
    </row>
    <row r="67" spans="1:20">
      <c r="A67" s="56" t="s">
        <v>303</v>
      </c>
      <c r="B67" s="6" t="s">
        <v>1</v>
      </c>
      <c r="D67" s="3" t="s">
        <v>304</v>
      </c>
      <c r="E67" s="3" t="str">
        <f>LEFT(INDEX('FAM-CLASS'!B:B,MATCH(D67,'FAM-CLASS'!A:A,0)),1)</f>
        <v>S</v>
      </c>
      <c r="F67" s="3" t="str">
        <f>LEFT(INDEX('FAM-CLASS'!C:C,MATCH(D67,'FAM-CLASS'!A:A,0)),1)</f>
        <v>E</v>
      </c>
      <c r="T67" s="7" t="s">
        <v>305</v>
      </c>
    </row>
    <row r="68" spans="1:20">
      <c r="A68" s="3" t="s">
        <v>306</v>
      </c>
      <c r="B68" s="6" t="s">
        <v>1</v>
      </c>
      <c r="D68" s="3" t="s">
        <v>307</v>
      </c>
      <c r="E68" s="3" t="str">
        <f>LEFT(INDEX('FAM-CLASS'!B:B,MATCH(D68,'FAM-CLASS'!A:A,0)),1)</f>
        <v>S</v>
      </c>
      <c r="F68" s="3" t="str">
        <f>LEFT(INDEX('FAM-CLASS'!C:C,MATCH(D68,'FAM-CLASS'!A:A,0)),1)</f>
        <v>A</v>
      </c>
      <c r="T68" s="7" t="s">
        <v>308</v>
      </c>
    </row>
    <row r="69" spans="1:20">
      <c r="A69" s="53" t="s">
        <v>309</v>
      </c>
      <c r="B69" s="51" t="s">
        <v>16</v>
      </c>
      <c r="D69" s="3" t="s">
        <v>310</v>
      </c>
      <c r="E69" s="3" t="str">
        <f>LEFT(INDEX('FAM-CLASS'!B:B,MATCH(D69,'FAM-CLASS'!A:A,0)),1)</f>
        <v>S</v>
      </c>
      <c r="F69" s="3" t="str">
        <f>LEFT(INDEX('FAM-CLASS'!C:C,MATCH(D69,'FAM-CLASS'!A:A,0)),1)</f>
        <v>E</v>
      </c>
      <c r="T69" s="7" t="s">
        <v>311</v>
      </c>
    </row>
    <row r="70" spans="1:20">
      <c r="D70" s="3" t="s">
        <v>312</v>
      </c>
      <c r="E70" s="3" t="str">
        <f>LEFT(INDEX('FAM-CLASS'!B:B,MATCH(D70,'FAM-CLASS'!A:A,0)),1)</f>
        <v>S</v>
      </c>
      <c r="F70" s="3" t="str">
        <f>LEFT(INDEX('FAM-CLASS'!C:C,MATCH(D70,'FAM-CLASS'!A:A,0)),1)</f>
        <v>E</v>
      </c>
      <c r="T70" s="7" t="s">
        <v>313</v>
      </c>
    </row>
    <row r="71" spans="1:20">
      <c r="D71" s="3" t="s">
        <v>314</v>
      </c>
      <c r="E71" s="3" t="str">
        <f>LEFT(INDEX('FAM-CLASS'!B:B,MATCH(D71,'FAM-CLASS'!A:A,0)),1)</f>
        <v>S</v>
      </c>
      <c r="F71" s="3" t="str">
        <f>LEFT(INDEX('FAM-CLASS'!C:C,MATCH(D71,'FAM-CLASS'!A:A,0)),1)</f>
        <v>E</v>
      </c>
      <c r="T71" s="7" t="s">
        <v>315</v>
      </c>
    </row>
    <row r="72" spans="1:20">
      <c r="D72" s="3" t="s">
        <v>316</v>
      </c>
      <c r="E72" s="3" t="str">
        <f>LEFT(INDEX('FAM-CLASS'!B:B,MATCH(D72,'FAM-CLASS'!A:A,0)),1)</f>
        <v>S</v>
      </c>
      <c r="F72" s="3" t="str">
        <f>LEFT(INDEX('FAM-CLASS'!C:C,MATCH(D72,'FAM-CLASS'!A:A,0)),1)</f>
        <v>S</v>
      </c>
      <c r="T72" s="7" t="s">
        <v>317</v>
      </c>
    </row>
    <row r="73" spans="1:20">
      <c r="D73" s="3" t="s">
        <v>318</v>
      </c>
      <c r="E73" s="3" t="str">
        <f>LEFT(INDEX('FAM-CLASS'!B:B,MATCH(D73,'FAM-CLASS'!A:A,0)),1)</f>
        <v>S</v>
      </c>
      <c r="F73" s="3" t="str">
        <f>LEFT(INDEX('FAM-CLASS'!C:C,MATCH(D73,'FAM-CLASS'!A:A,0)),1)</f>
        <v>A</v>
      </c>
      <c r="T73" s="33" t="s">
        <v>319</v>
      </c>
    </row>
    <row r="74" spans="1:20">
      <c r="D74" s="3" t="s">
        <v>320</v>
      </c>
      <c r="E74" s="3" t="str">
        <f>LEFT(INDEX('FAM-CLASS'!B:B,MATCH(D74,'FAM-CLASS'!A:A,0)),1)</f>
        <v>S</v>
      </c>
      <c r="F74" s="3" t="str">
        <f>LEFT(INDEX('FAM-CLASS'!C:C,MATCH(D74,'FAM-CLASS'!A:A,0)),1)</f>
        <v>A</v>
      </c>
      <c r="T74" s="34" t="s">
        <v>321</v>
      </c>
    </row>
    <row r="75" spans="1:20">
      <c r="D75" s="3" t="s">
        <v>322</v>
      </c>
      <c r="E75" s="3" t="str">
        <f>LEFT(INDEX('FAM-CLASS'!B:B,MATCH(D75,'FAM-CLASS'!A:A,0)),1)</f>
        <v>S</v>
      </c>
      <c r="F75" s="3" t="str">
        <f>LEFT(INDEX('FAM-CLASS'!C:C,MATCH(D75,'FAM-CLASS'!A:A,0)),1)</f>
        <v>A</v>
      </c>
      <c r="T75" s="7" t="s">
        <v>323</v>
      </c>
    </row>
    <row r="76" spans="1:20">
      <c r="D76" s="3" t="s">
        <v>324</v>
      </c>
      <c r="E76" s="3" t="str">
        <f>LEFT(INDEX('FAM-CLASS'!B:B,MATCH(D76,'FAM-CLASS'!A:A,0)),1)</f>
        <v>S</v>
      </c>
      <c r="F76" s="3" t="str">
        <f>LEFT(INDEX('FAM-CLASS'!C:C,MATCH(D76,'FAM-CLASS'!A:A,0)),1)</f>
        <v>A</v>
      </c>
    </row>
    <row r="77" spans="1:20">
      <c r="D77" s="3" t="s">
        <v>325</v>
      </c>
      <c r="E77" s="3" t="str">
        <f>LEFT(INDEX('FAM-CLASS'!B:B,MATCH(D77,'FAM-CLASS'!A:A,0)),1)</f>
        <v>S</v>
      </c>
      <c r="F77" s="3" t="str">
        <f>LEFT(INDEX('FAM-CLASS'!C:C,MATCH(D77,'FAM-CLASS'!A:A,0)),1)</f>
        <v>A</v>
      </c>
    </row>
    <row r="78" spans="1:20">
      <c r="D78" s="3" t="s">
        <v>326</v>
      </c>
      <c r="E78" s="3" t="str">
        <f>LEFT(INDEX('FAM-CLASS'!B:B,MATCH(D78,'FAM-CLASS'!A:A,0)),1)</f>
        <v>S</v>
      </c>
      <c r="F78" s="3" t="str">
        <f>LEFT(INDEX('FAM-CLASS'!C:C,MATCH(D78,'FAM-CLASS'!A:A,0)),1)</f>
        <v>A</v>
      </c>
    </row>
    <row r="79" spans="1:20">
      <c r="D79" s="3" t="s">
        <v>327</v>
      </c>
      <c r="E79" s="3" t="str">
        <f>LEFT(INDEX('FAM-CLASS'!B:B,MATCH(D79,'FAM-CLASS'!A:A,0)),1)</f>
        <v>S</v>
      </c>
      <c r="F79" s="3" t="str">
        <f>LEFT(INDEX('FAM-CLASS'!C:C,MATCH(D79,'FAM-CLASS'!A:A,0)),1)</f>
        <v>A</v>
      </c>
    </row>
    <row r="80" spans="1:20">
      <c r="D80" s="3" t="s">
        <v>328</v>
      </c>
      <c r="E80" s="3" t="str">
        <f>LEFT(INDEX('FAM-CLASS'!B:B,MATCH(D80,'FAM-CLASS'!A:A,0)),1)</f>
        <v>S</v>
      </c>
      <c r="F80" s="3" t="str">
        <f>LEFT(INDEX('FAM-CLASS'!C:C,MATCH(D80,'FAM-CLASS'!A:A,0)),1)</f>
        <v>A</v>
      </c>
    </row>
    <row r="81" spans="4:6">
      <c r="D81" s="3" t="s">
        <v>329</v>
      </c>
      <c r="E81" s="3" t="str">
        <f>LEFT(INDEX('FAM-CLASS'!B:B,MATCH(D81,'FAM-CLASS'!A:A,0)),1)</f>
        <v>S</v>
      </c>
      <c r="F81" s="3" t="str">
        <f>LEFT(INDEX('FAM-CLASS'!C:C,MATCH(D81,'FAM-CLASS'!A:A,0)),1)</f>
        <v>A</v>
      </c>
    </row>
    <row r="82" spans="4:6">
      <c r="D82" s="3" t="s">
        <v>330</v>
      </c>
      <c r="E82" s="3" t="str">
        <f>LEFT(INDEX('FAM-CLASS'!B:B,MATCH(D82,'FAM-CLASS'!A:A,0)),1)</f>
        <v>S</v>
      </c>
      <c r="F82" s="3" t="str">
        <f>LEFT(INDEX('FAM-CLASS'!C:C,MATCH(D82,'FAM-CLASS'!A:A,0)),1)</f>
        <v>G</v>
      </c>
    </row>
    <row r="83" spans="4:6">
      <c r="D83" s="3" t="s">
        <v>331</v>
      </c>
      <c r="E83" s="3" t="str">
        <f>LEFT(INDEX('FAM-CLASS'!B:B,MATCH(D83,'FAM-CLASS'!A:A,0)),1)</f>
        <v>S</v>
      </c>
      <c r="F83" s="3" t="str">
        <f>LEFT(INDEX('FAM-CLASS'!C:C,MATCH(D83,'FAM-CLASS'!A:A,0)),1)</f>
        <v>G</v>
      </c>
    </row>
    <row r="84" spans="4:6">
      <c r="D84" s="3" t="s">
        <v>332</v>
      </c>
      <c r="E84" s="3" t="str">
        <f>LEFT(INDEX('FAM-CLASS'!B:B,MATCH(D84,'FAM-CLASS'!A:A,0)),1)</f>
        <v>S</v>
      </c>
      <c r="F84" s="3" t="str">
        <f>LEFT(INDEX('FAM-CLASS'!C:C,MATCH(D84,'FAM-CLASS'!A:A,0)),1)</f>
        <v>G</v>
      </c>
    </row>
    <row r="85" spans="4:6">
      <c r="D85" s="3" t="s">
        <v>333</v>
      </c>
      <c r="E85" s="3" t="str">
        <f>LEFT(INDEX('FAM-CLASS'!B:B,MATCH(D85,'FAM-CLASS'!A:A,0)),1)</f>
        <v>S</v>
      </c>
      <c r="F85" s="3" t="str">
        <f>LEFT(INDEX('FAM-CLASS'!C:C,MATCH(D85,'FAM-CLASS'!A:A,0)),1)</f>
        <v>G</v>
      </c>
    </row>
    <row r="86" spans="4:6">
      <c r="D86" s="3" t="s">
        <v>334</v>
      </c>
      <c r="E86" s="3" t="str">
        <f>LEFT(INDEX('FAM-CLASS'!B:B,MATCH(D86,'FAM-CLASS'!A:A,0)),1)</f>
        <v>S</v>
      </c>
      <c r="F86" s="3" t="str">
        <f>LEFT(INDEX('FAM-CLASS'!C:C,MATCH(D86,'FAM-CLASS'!A:A,0)),1)</f>
        <v>S</v>
      </c>
    </row>
    <row r="87" spans="4:6">
      <c r="D87" s="3" t="s">
        <v>335</v>
      </c>
      <c r="E87" s="3" t="str">
        <f>LEFT(INDEX('FAM-CLASS'!B:B,MATCH(D87,'FAM-CLASS'!A:A,0)),1)</f>
        <v>S</v>
      </c>
      <c r="F87" s="3" t="str">
        <f>LEFT(INDEX('FAM-CLASS'!C:C,MATCH(D87,'FAM-CLASS'!A:A,0)),1)</f>
        <v>S</v>
      </c>
    </row>
    <row r="88" spans="4:6">
      <c r="D88" s="3" t="s">
        <v>336</v>
      </c>
      <c r="E88" s="3" t="str">
        <f>LEFT(INDEX('FAM-CLASS'!B:B,MATCH(D88,'FAM-CLASS'!A:A,0)),1)</f>
        <v>S</v>
      </c>
      <c r="F88" s="3" t="str">
        <f>LEFT(INDEX('FAM-CLASS'!C:C,MATCH(D88,'FAM-CLASS'!A:A,0)),1)</f>
        <v>E</v>
      </c>
    </row>
    <row r="89" spans="4:6">
      <c r="D89" s="3" t="s">
        <v>337</v>
      </c>
      <c r="E89" s="3" t="str">
        <f>LEFT(INDEX('FAM-CLASS'!B:B,MATCH(D89,'FAM-CLASS'!A:A,0)),1)</f>
        <v>S</v>
      </c>
      <c r="F89" s="3" t="str">
        <f>LEFT(INDEX('FAM-CLASS'!C:C,MATCH(D89,'FAM-CLASS'!A:A,0)),1)</f>
        <v>G</v>
      </c>
    </row>
    <row r="90" spans="4:6">
      <c r="D90" s="3" t="s">
        <v>338</v>
      </c>
      <c r="E90" s="3" t="str">
        <f>LEFT(INDEX('FAM-CLASS'!B:B,MATCH(D90,'FAM-CLASS'!A:A,0)),1)</f>
        <v>S</v>
      </c>
      <c r="F90" s="3" t="str">
        <f>LEFT(INDEX('FAM-CLASS'!C:C,MATCH(D90,'FAM-CLASS'!A:A,0)),1)</f>
        <v>G</v>
      </c>
    </row>
    <row r="91" spans="4:6">
      <c r="D91" s="3" t="s">
        <v>339</v>
      </c>
      <c r="E91" s="3" t="str">
        <f>LEFT(INDEX('FAM-CLASS'!B:B,MATCH(D91,'FAM-CLASS'!A:A,0)),1)</f>
        <v>S</v>
      </c>
      <c r="F91" s="3" t="str">
        <f>LEFT(INDEX('FAM-CLASS'!C:C,MATCH(D91,'FAM-CLASS'!A:A,0)),1)</f>
        <v>G</v>
      </c>
    </row>
    <row r="92" spans="4:6">
      <c r="D92" s="3" t="s">
        <v>340</v>
      </c>
      <c r="E92" s="3" t="str">
        <f>LEFT(INDEX('FAM-CLASS'!B:B,MATCH(D92,'FAM-CLASS'!A:A,0)),1)</f>
        <v>S</v>
      </c>
      <c r="F92" s="3" t="str">
        <f>LEFT(INDEX('FAM-CLASS'!C:C,MATCH(D92,'FAM-CLASS'!A:A,0)),1)</f>
        <v>S</v>
      </c>
    </row>
    <row r="93" spans="4:6">
      <c r="D93" s="3" t="s">
        <v>341</v>
      </c>
      <c r="E93" s="3" t="str">
        <f>LEFT(INDEX('FAM-CLASS'!B:B,MATCH(D93,'FAM-CLASS'!A:A,0)),1)</f>
        <v>S</v>
      </c>
      <c r="F93" s="3" t="str">
        <f>LEFT(INDEX('FAM-CLASS'!C:C,MATCH(D93,'FAM-CLASS'!A:A,0)),1)</f>
        <v>E</v>
      </c>
    </row>
    <row r="94" spans="4:6">
      <c r="D94" s="3" t="s">
        <v>342</v>
      </c>
      <c r="E94" s="3" t="str">
        <f>LEFT(INDEX('FAM-CLASS'!B:B,MATCH(D94,'FAM-CLASS'!A:A,0)),1)</f>
        <v>S</v>
      </c>
      <c r="F94" s="3" t="str">
        <f>LEFT(INDEX('FAM-CLASS'!C:C,MATCH(D94,'FAM-CLASS'!A:A,0)),1)</f>
        <v>E</v>
      </c>
    </row>
    <row r="95" spans="4:6">
      <c r="D95" s="3" t="s">
        <v>343</v>
      </c>
      <c r="E95" s="3" t="str">
        <f>LEFT(INDEX('FAM-CLASS'!B:B,MATCH(D95,'FAM-CLASS'!A:A,0)),1)</f>
        <v>P</v>
      </c>
      <c r="F95" s="3" t="str">
        <f>LEFT(INDEX('FAM-CLASS'!C:C,MATCH(D95,'FAM-CLASS'!A:A,0)),1)</f>
        <v>S</v>
      </c>
    </row>
    <row r="96" spans="4:6">
      <c r="D96" s="3" t="s">
        <v>344</v>
      </c>
      <c r="E96" s="3" t="str">
        <f>LEFT(INDEX('FAM-CLASS'!B:B,MATCH(D96,'FAM-CLASS'!A:A,0)),1)</f>
        <v>S</v>
      </c>
      <c r="F96" s="3" t="str">
        <f>LEFT(INDEX('FAM-CLASS'!C:C,MATCH(D96,'FAM-CLASS'!A:A,0)),1)</f>
        <v>S</v>
      </c>
    </row>
    <row r="97" spans="4:6">
      <c r="D97" s="3" t="s">
        <v>345</v>
      </c>
      <c r="E97" s="3" t="str">
        <f>LEFT(INDEX('FAM-CLASS'!B:B,MATCH(D97,'FAM-CLASS'!A:A,0)),1)</f>
        <v>S</v>
      </c>
      <c r="F97" s="3" t="str">
        <f>LEFT(INDEX('FAM-CLASS'!C:C,MATCH(D97,'FAM-CLASS'!A:A,0)),1)</f>
        <v>G</v>
      </c>
    </row>
    <row r="98" spans="4:6">
      <c r="D98" s="3" t="s">
        <v>346</v>
      </c>
      <c r="E98" s="3" t="str">
        <f>LEFT(INDEX('FAM-CLASS'!B:B,MATCH(D98,'FAM-CLASS'!A:A,0)),1)</f>
        <v>S</v>
      </c>
      <c r="F98" s="3" t="str">
        <f>LEFT(INDEX('FAM-CLASS'!C:C,MATCH(D98,'FAM-CLASS'!A:A,0)),1)</f>
        <v>G</v>
      </c>
    </row>
    <row r="99" spans="4:6">
      <c r="D99" s="3" t="s">
        <v>347</v>
      </c>
      <c r="E99" s="3" t="str">
        <f>LEFT(INDEX('FAM-CLASS'!B:B,MATCH(D99,'FAM-CLASS'!A:A,0)),1)</f>
        <v>S</v>
      </c>
      <c r="F99" s="3" t="str">
        <f>LEFT(INDEX('FAM-CLASS'!C:C,MATCH(D99,'FAM-CLASS'!A:A,0)),1)</f>
        <v>A</v>
      </c>
    </row>
    <row r="100" spans="4:6">
      <c r="D100" s="3" t="s">
        <v>348</v>
      </c>
      <c r="E100" s="3" t="str">
        <f>LEFT(INDEX('FAM-CLASS'!B:B,MATCH(D100,'FAM-CLASS'!A:A,0)),1)</f>
        <v>S</v>
      </c>
      <c r="F100" s="3" t="str">
        <f>LEFT(INDEX('FAM-CLASS'!C:C,MATCH(D100,'FAM-CLASS'!A:A,0)),1)</f>
        <v>E</v>
      </c>
    </row>
    <row r="101" spans="4:6">
      <c r="D101" s="3" t="s">
        <v>349</v>
      </c>
      <c r="E101" s="3" t="str">
        <f>LEFT(INDEX('FAM-CLASS'!B:B,MATCH(D101,'FAM-CLASS'!A:A,0)),1)</f>
        <v>S</v>
      </c>
      <c r="F101" s="3" t="str">
        <f>LEFT(INDEX('FAM-CLASS'!C:C,MATCH(D101,'FAM-CLASS'!A:A,0)),1)</f>
        <v>E</v>
      </c>
    </row>
    <row r="102" spans="4:6">
      <c r="D102" s="3" t="s">
        <v>350</v>
      </c>
      <c r="E102" s="3" t="str">
        <f>LEFT(INDEX('FAM-CLASS'!B:B,MATCH(D102,'FAM-CLASS'!A:A,0)),1)</f>
        <v>S</v>
      </c>
      <c r="F102" s="3" t="str">
        <f>LEFT(INDEX('FAM-CLASS'!C:C,MATCH(D102,'FAM-CLASS'!A:A,0)),1)</f>
        <v>E</v>
      </c>
    </row>
    <row r="103" spans="4:6">
      <c r="D103" s="3" t="s">
        <v>351</v>
      </c>
      <c r="E103" s="3" t="str">
        <f>LEFT(INDEX('FAM-CLASS'!B:B,MATCH(D103,'FAM-CLASS'!A:A,0)),1)</f>
        <v>S</v>
      </c>
      <c r="F103" s="3" t="str">
        <f>LEFT(INDEX('FAM-CLASS'!C:C,MATCH(D103,'FAM-CLASS'!A:A,0)),1)</f>
        <v>E</v>
      </c>
    </row>
    <row r="104" spans="4:6">
      <c r="D104" s="3" t="s">
        <v>352</v>
      </c>
      <c r="E104" s="3" t="str">
        <f>LEFT(INDEX('FAM-CLASS'!B:B,MATCH(D104,'FAM-CLASS'!A:A,0)),1)</f>
        <v>S</v>
      </c>
      <c r="F104" s="3" t="str">
        <f>LEFT(INDEX('FAM-CLASS'!C:C,MATCH(D104,'FAM-CLASS'!A:A,0)),1)</f>
        <v>S</v>
      </c>
    </row>
    <row r="105" spans="4:6">
      <c r="D105" s="3" t="s">
        <v>353</v>
      </c>
      <c r="E105" s="3" t="str">
        <f>LEFT(INDEX('FAM-CLASS'!B:B,MATCH(D105,'FAM-CLASS'!A:A,0)),1)</f>
        <v>S</v>
      </c>
      <c r="F105" s="3" t="str">
        <f>LEFT(INDEX('FAM-CLASS'!C:C,MATCH(D105,'FAM-CLASS'!A:A,0)),1)</f>
        <v>G</v>
      </c>
    </row>
    <row r="106" spans="4:6">
      <c r="D106" s="3" t="s">
        <v>354</v>
      </c>
      <c r="E106" s="3" t="str">
        <f>LEFT(INDEX('FAM-CLASS'!B:B,MATCH(D106,'FAM-CLASS'!A:A,0)),1)</f>
        <v>S</v>
      </c>
      <c r="F106" s="3" t="str">
        <f>LEFT(INDEX('FAM-CLASS'!C:C,MATCH(D106,'FAM-CLASS'!A:A,0)),1)</f>
        <v>G</v>
      </c>
    </row>
    <row r="107" spans="4:6">
      <c r="D107" s="3" t="s">
        <v>355</v>
      </c>
      <c r="E107" s="3" t="str">
        <f>LEFT(INDEX('FAM-CLASS'!B:B,MATCH(D107,'FAM-CLASS'!A:A,0)),1)</f>
        <v>S</v>
      </c>
      <c r="F107" s="3" t="str">
        <f>LEFT(INDEX('FAM-CLASS'!C:C,MATCH(D107,'FAM-CLASS'!A:A,0)),1)</f>
        <v/>
      </c>
    </row>
    <row r="108" spans="4:6">
      <c r="D108" s="3" t="s">
        <v>356</v>
      </c>
      <c r="E108" s="3" t="str">
        <f>LEFT(INDEX('FAM-CLASS'!B:B,MATCH(D108,'FAM-CLASS'!A:A,0)),1)</f>
        <v>S</v>
      </c>
      <c r="F108" s="3" t="str">
        <f>LEFT(INDEX('FAM-CLASS'!C:C,MATCH(D108,'FAM-CLASS'!A:A,0)),1)</f>
        <v>A</v>
      </c>
    </row>
    <row r="109" spans="4:6">
      <c r="D109" s="3" t="s">
        <v>357</v>
      </c>
      <c r="E109" s="3" t="str">
        <f>LEFT(INDEX('FAM-CLASS'!B:B,MATCH(D109,'FAM-CLASS'!A:A,0)),1)</f>
        <v>S</v>
      </c>
      <c r="F109" s="3" t="str">
        <f>LEFT(INDEX('FAM-CLASS'!C:C,MATCH(D109,'FAM-CLASS'!A:A,0)),1)</f>
        <v>G</v>
      </c>
    </row>
    <row r="110" spans="4:6">
      <c r="D110" s="3" t="s">
        <v>301</v>
      </c>
      <c r="E110" s="3" t="str">
        <f>LEFT(INDEX('FAM-CLASS'!B:B,MATCH(D110,'FAM-CLASS'!A:A,0)),1)</f>
        <v>S</v>
      </c>
      <c r="F110" s="3" t="str">
        <f>LEFT(INDEX('FAM-CLASS'!C:C,MATCH(D110,'FAM-CLASS'!A:A,0)),1)</f>
        <v>E</v>
      </c>
    </row>
    <row r="111" spans="4:6">
      <c r="D111" s="3" t="s">
        <v>247</v>
      </c>
      <c r="E111" s="3" t="str">
        <f>LEFT(INDEX('FAM-CLASS'!B:B,MATCH(D111,'FAM-CLASS'!A:A,0)),1)</f>
        <v>S</v>
      </c>
      <c r="F111" s="3" t="str">
        <f>LEFT(INDEX('FAM-CLASS'!C:C,MATCH(D111,'FAM-CLASS'!A:A,0)),1)</f>
        <v>E</v>
      </c>
    </row>
    <row r="112" spans="4:6">
      <c r="D112" s="3" t="s">
        <v>358</v>
      </c>
      <c r="E112" s="3" t="e">
        <f>LEFT(INDEX('FAM-CLASS'!B:B,MATCH(D112,'FAM-CLASS'!A:A,0)),1)</f>
        <v>#N/A</v>
      </c>
      <c r="F112" s="3" t="e">
        <f>LEFT(INDEX('FAM-CLASS'!C:C,MATCH(D112,'FAM-CLASS'!A:A,0)),1)</f>
        <v>#N/A</v>
      </c>
    </row>
    <row r="113" spans="4:6">
      <c r="D113" s="3" t="s">
        <v>271</v>
      </c>
      <c r="E113" s="3" t="str">
        <f>LEFT(INDEX('FAM-CLASS'!B:B,MATCH(D113,'FAM-CLASS'!A:A,0)),1)</f>
        <v>S</v>
      </c>
      <c r="F113" s="3" t="str">
        <f>LEFT(INDEX('FAM-CLASS'!C:C,MATCH(D113,'FAM-CLASS'!A:A,0)),1)</f>
        <v>E</v>
      </c>
    </row>
    <row r="114" spans="4:6">
      <c r="D114" s="3" t="s">
        <v>274</v>
      </c>
      <c r="E114" s="3" t="str">
        <f>LEFT(INDEX('FAM-CLASS'!B:B,MATCH(D114,'FAM-CLASS'!A:A,0)),1)</f>
        <v>S</v>
      </c>
      <c r="F114" s="3" t="str">
        <f>LEFT(INDEX('FAM-CLASS'!C:C,MATCH(D114,'FAM-CLASS'!A:A,0)),1)</f>
        <v>E</v>
      </c>
    </row>
    <row r="115" spans="4:6">
      <c r="D115" s="3" t="s">
        <v>265</v>
      </c>
      <c r="E115" s="3" t="str">
        <f>LEFT(INDEX('FAM-CLASS'!B:B,MATCH(D115,'FAM-CLASS'!A:A,0)),1)</f>
        <v>S</v>
      </c>
      <c r="F115" s="3" t="str">
        <f>LEFT(INDEX('FAM-CLASS'!C:C,MATCH(D115,'FAM-CLASS'!A:A,0)),1)</f>
        <v>E</v>
      </c>
    </row>
    <row r="116" spans="4:6">
      <c r="D116" s="3" t="s">
        <v>268</v>
      </c>
      <c r="E116" s="3" t="str">
        <f>LEFT(INDEX('FAM-CLASS'!B:B,MATCH(D116,'FAM-CLASS'!A:A,0)),1)</f>
        <v>S</v>
      </c>
      <c r="F116" s="3" t="str">
        <f>LEFT(INDEX('FAM-CLASS'!C:C,MATCH(D116,'FAM-CLASS'!A:A,0)),1)</f>
        <v>E</v>
      </c>
    </row>
    <row r="117" spans="4:6">
      <c r="D117" s="3" t="s">
        <v>244</v>
      </c>
      <c r="E117" s="3" t="str">
        <f>LEFT(INDEX('FAM-CLASS'!B:B,MATCH(D117,'FAM-CLASS'!A:A,0)),1)</f>
        <v>C</v>
      </c>
      <c r="F117" s="3" t="str">
        <f>LEFT(INDEX('FAM-CLASS'!C:C,MATCH(D117,'FAM-CLASS'!A:A,0)),1)</f>
        <v>S</v>
      </c>
    </row>
    <row r="118" spans="4:6">
      <c r="D118" s="3" t="s">
        <v>280</v>
      </c>
      <c r="E118" s="3" t="str">
        <f>LEFT(INDEX('FAM-CLASS'!B:B,MATCH(D118,'FAM-CLASS'!A:A,0)),1)</f>
        <v>S</v>
      </c>
      <c r="F118" s="3" t="str">
        <f>LEFT(INDEX('FAM-CLASS'!C:C,MATCH(D118,'FAM-CLASS'!A:A,0)),1)</f>
        <v>E</v>
      </c>
    </row>
    <row r="119" spans="4:6">
      <c r="D119" s="3" t="s">
        <v>192</v>
      </c>
      <c r="E119" s="3" t="str">
        <f>LEFT(INDEX('FAM-CLASS'!B:B,MATCH(D119,'FAM-CLASS'!A:A,0)),1)</f>
        <v/>
      </c>
      <c r="F119" s="3" t="str">
        <f>LEFT(INDEX('FAM-CLASS'!C:C,MATCH(D119,'FAM-CLASS'!A:A,0)),1)</f>
        <v/>
      </c>
    </row>
    <row r="120" spans="4:6">
      <c r="D120" s="3" t="s">
        <v>359</v>
      </c>
      <c r="E120" s="3" t="str">
        <f>LEFT(INDEX('FAM-CLASS'!B:B,MATCH(D120,'FAM-CLASS'!A:A,0)),1)</f>
        <v>S</v>
      </c>
      <c r="F120" s="3" t="str">
        <f>LEFT(INDEX('FAM-CLASS'!C:C,MATCH(D120,'FAM-CLASS'!A:A,0)),1)</f>
        <v>B</v>
      </c>
    </row>
    <row r="121" spans="4:6">
      <c r="D121" s="3" t="s">
        <v>360</v>
      </c>
      <c r="E121" s="3" t="str">
        <f>LEFT(INDEX('FAM-CLASS'!B:B,MATCH(D121,'FAM-CLASS'!A:A,0)),1)</f>
        <v>S</v>
      </c>
      <c r="F121" s="3" t="str">
        <f>LEFT(INDEX('FAM-CLASS'!C:C,MATCH(D121,'FAM-CLASS'!A:A,0)),1)</f>
        <v>B</v>
      </c>
    </row>
    <row r="122" spans="4:6">
      <c r="D122" s="3" t="s">
        <v>361</v>
      </c>
      <c r="E122" s="3" t="str">
        <f>LEFT(INDEX('FAM-CLASS'!B:B,MATCH(D122,'FAM-CLASS'!A:A,0)),1)</f>
        <v>S</v>
      </c>
      <c r="F122" s="3" t="str">
        <f>LEFT(INDEX('FAM-CLASS'!C:C,MATCH(D122,'FAM-CLASS'!A:A,0)),1)</f>
        <v>B</v>
      </c>
    </row>
    <row r="123" spans="4:6">
      <c r="D123" s="3" t="s">
        <v>362</v>
      </c>
      <c r="E123" s="3" t="str">
        <f>LEFT(INDEX('FAM-CLASS'!B:B,MATCH(D123,'FAM-CLASS'!A:A,0)),1)</f>
        <v>S</v>
      </c>
      <c r="F123" s="3" t="str">
        <f>LEFT(INDEX('FAM-CLASS'!C:C,MATCH(D123,'FAM-CLASS'!A:A,0)),1)</f>
        <v>B</v>
      </c>
    </row>
    <row r="124" spans="4:6">
      <c r="D124" s="3" t="s">
        <v>363</v>
      </c>
      <c r="E124" s="3" t="str">
        <f>LEFT(INDEX('FAM-CLASS'!B:B,MATCH(D124,'FAM-CLASS'!A:A,0)),1)</f>
        <v>S</v>
      </c>
      <c r="F124" s="3" t="str">
        <f>LEFT(INDEX('FAM-CLASS'!C:C,MATCH(D124,'FAM-CLASS'!A:A,0)),1)</f>
        <v>B</v>
      </c>
    </row>
    <row r="125" spans="4:6">
      <c r="D125" s="3" t="s">
        <v>364</v>
      </c>
      <c r="E125" s="3" t="str">
        <f>LEFT(INDEX('FAM-CLASS'!B:B,MATCH(D125,'FAM-CLASS'!A:A,0)),1)</f>
        <v>S</v>
      </c>
      <c r="F125" s="3" t="str">
        <f>LEFT(INDEX('FAM-CLASS'!C:C,MATCH(D125,'FAM-CLASS'!A:A,0)),1)</f>
        <v>B</v>
      </c>
    </row>
    <row r="126" spans="4:6">
      <c r="D126" s="3" t="s">
        <v>365</v>
      </c>
      <c r="E126" s="3" t="str">
        <f>LEFT(INDEX('FAM-CLASS'!B:B,MATCH(D126,'FAM-CLASS'!A:A,0)),1)</f>
        <v>S</v>
      </c>
      <c r="F126" s="3" t="str">
        <f>LEFT(INDEX('FAM-CLASS'!C:C,MATCH(D126,'FAM-CLASS'!A:A,0)),1)</f>
        <v>B</v>
      </c>
    </row>
    <row r="127" spans="4:6">
      <c r="D127" s="3" t="s">
        <v>366</v>
      </c>
      <c r="E127" s="3" t="str">
        <f>LEFT(INDEX('FAM-CLASS'!B:B,MATCH(D127,'FAM-CLASS'!A:A,0)),1)</f>
        <v>S</v>
      </c>
      <c r="F127" s="3" t="str">
        <f>LEFT(INDEX('FAM-CLASS'!C:C,MATCH(D127,'FAM-CLASS'!A:A,0)),1)</f>
        <v>B</v>
      </c>
    </row>
    <row r="128" spans="4:6">
      <c r="D128" s="3" t="s">
        <v>367</v>
      </c>
      <c r="E128" s="3" t="str">
        <f>LEFT(INDEX('FAM-CLASS'!B:B,MATCH(D128,'FAM-CLASS'!A:A,0)),1)</f>
        <v>S</v>
      </c>
      <c r="F128" s="3" t="str">
        <f>LEFT(INDEX('FAM-CLASS'!C:C,MATCH(D128,'FAM-CLASS'!A:A,0)),1)</f>
        <v>B</v>
      </c>
    </row>
    <row r="129" spans="4:6">
      <c r="D129" s="3" t="s">
        <v>368</v>
      </c>
      <c r="E129" s="3" t="str">
        <f>LEFT(INDEX('FAM-CLASS'!B:B,MATCH(D129,'FAM-CLASS'!A:A,0)),1)</f>
        <v>S</v>
      </c>
      <c r="F129" s="3" t="str">
        <f>LEFT(INDEX('FAM-CLASS'!C:C,MATCH(D129,'FAM-CLASS'!A:A,0)),1)</f>
        <v>B</v>
      </c>
    </row>
    <row r="130" spans="4:6">
      <c r="D130" s="3" t="s">
        <v>369</v>
      </c>
      <c r="E130" s="3" t="str">
        <f>LEFT(INDEX('FAM-CLASS'!B:B,MATCH(D130,'FAM-CLASS'!A:A,0)),1)</f>
        <v>S</v>
      </c>
      <c r="F130" s="3" t="str">
        <f>LEFT(INDEX('FAM-CLASS'!C:C,MATCH(D130,'FAM-CLASS'!A:A,0)),1)</f>
        <v>B</v>
      </c>
    </row>
    <row r="131" spans="4:6">
      <c r="D131" s="3" t="s">
        <v>370</v>
      </c>
      <c r="E131" s="3" t="str">
        <f>LEFT(INDEX('FAM-CLASS'!B:B,MATCH(D131,'FAM-CLASS'!A:A,0)),1)</f>
        <v>S</v>
      </c>
      <c r="F131" s="3" t="str">
        <f>LEFT(INDEX('FAM-CLASS'!C:C,MATCH(D131,'FAM-CLASS'!A:A,0)),1)</f>
        <v>B</v>
      </c>
    </row>
    <row r="132" spans="4:6">
      <c r="D132" s="3" t="s">
        <v>371</v>
      </c>
      <c r="E132" s="3" t="str">
        <f>LEFT(INDEX('FAM-CLASS'!B:B,MATCH(D132,'FAM-CLASS'!A:A,0)),1)</f>
        <v>S</v>
      </c>
      <c r="F132" s="3" t="str">
        <f>LEFT(INDEX('FAM-CLASS'!C:C,MATCH(D132,'FAM-CLASS'!A:A,0)),1)</f>
        <v>B</v>
      </c>
    </row>
    <row r="133" spans="4:6">
      <c r="D133" s="3" t="s">
        <v>372</v>
      </c>
      <c r="E133" s="3" t="str">
        <f>LEFT(INDEX('FAM-CLASS'!B:B,MATCH(D133,'FAM-CLASS'!A:A,0)),1)</f>
        <v>S</v>
      </c>
      <c r="F133" s="3" t="str">
        <f>LEFT(INDEX('FAM-CLASS'!C:C,MATCH(D133,'FAM-CLASS'!A:A,0)),1)</f>
        <v>B</v>
      </c>
    </row>
    <row r="134" spans="4:6">
      <c r="D134" s="3" t="s">
        <v>373</v>
      </c>
      <c r="E134" s="3" t="str">
        <f>LEFT(INDEX('FAM-CLASS'!B:B,MATCH(D134,'FAM-CLASS'!A:A,0)),1)</f>
        <v>S</v>
      </c>
      <c r="F134" s="3" t="str">
        <f>LEFT(INDEX('FAM-CLASS'!C:C,MATCH(D134,'FAM-CLASS'!A:A,0)),1)</f>
        <v>B</v>
      </c>
    </row>
    <row r="135" spans="4:6">
      <c r="D135" s="3" t="s">
        <v>374</v>
      </c>
      <c r="E135" s="3" t="str">
        <f>LEFT(INDEX('FAM-CLASS'!B:B,MATCH(D135,'FAM-CLASS'!A:A,0)),1)</f>
        <v>S</v>
      </c>
      <c r="F135" s="3" t="str">
        <f>LEFT(INDEX('FAM-CLASS'!C:C,MATCH(D135,'FAM-CLASS'!A:A,0)),1)</f>
        <v>B</v>
      </c>
    </row>
    <row r="136" spans="4:6">
      <c r="D136" s="3" t="s">
        <v>375</v>
      </c>
      <c r="E136" s="3" t="str">
        <f>LEFT(INDEX('FAM-CLASS'!B:B,MATCH(D136,'FAM-CLASS'!A:A,0)),1)</f>
        <v>S</v>
      </c>
      <c r="F136" s="3" t="str">
        <f>LEFT(INDEX('FAM-CLASS'!C:C,MATCH(D136,'FAM-CLASS'!A:A,0)),1)</f>
        <v>B</v>
      </c>
    </row>
    <row r="137" spans="4:6">
      <c r="D137" s="3" t="s">
        <v>376</v>
      </c>
      <c r="E137" s="3" t="str">
        <f>LEFT(INDEX('FAM-CLASS'!B:B,MATCH(D137,'FAM-CLASS'!A:A,0)),1)</f>
        <v>E</v>
      </c>
      <c r="F137" s="3" t="str">
        <f>LEFT(INDEX('FAM-CLASS'!C:C,MATCH(D137,'FAM-CLASS'!A:A,0)),1)</f>
        <v>E</v>
      </c>
    </row>
    <row r="138" spans="4:6">
      <c r="D138" s="3" t="s">
        <v>377</v>
      </c>
      <c r="E138" s="3" t="str">
        <f>LEFT(INDEX('FAM-CLASS'!B:B,MATCH(D138,'FAM-CLASS'!A:A,0)),1)</f>
        <v/>
      </c>
      <c r="F138" s="3" t="str">
        <f>LEFT(INDEX('FAM-CLASS'!C:C,MATCH(D138,'FAM-CLASS'!A:A,0)),1)</f>
        <v/>
      </c>
    </row>
    <row r="139" spans="4:6">
      <c r="D139" s="3" t="s">
        <v>378</v>
      </c>
      <c r="E139" s="3"/>
      <c r="F139" s="3"/>
    </row>
    <row r="140" spans="4:6">
      <c r="D140" s="3" t="s">
        <v>137</v>
      </c>
      <c r="E140" s="3" t="str">
        <f>LEFT(INDEX('FAM-CLASS'!B:B,MATCH(D140,'FAM-CLASS'!A:A,0)),1)</f>
        <v>S</v>
      </c>
      <c r="F140" s="3" t="str">
        <f>LEFT(INDEX('FAM-CLASS'!C:C,MATCH(D140,'FAM-CLASS'!A:A,0)),1)</f>
        <v>A</v>
      </c>
    </row>
    <row r="141" spans="4:6">
      <c r="D141" s="3" t="s">
        <v>184</v>
      </c>
      <c r="E141" s="3" t="str">
        <f>LEFT(INDEX('FAM-CLASS'!B:B,MATCH(D141,'FAM-CLASS'!A:A,0)),1)</f>
        <v>S</v>
      </c>
      <c r="F141" s="3" t="str">
        <f>LEFT(INDEX('FAM-CLASS'!C:C,MATCH(D141,'FAM-CLASS'!A:A,0)),1)</f>
        <v>A</v>
      </c>
    </row>
    <row r="142" spans="4:6">
      <c r="D142" s="3" t="s">
        <v>347</v>
      </c>
      <c r="E142" s="3" t="str">
        <f>LEFT(INDEX('FAM-CLASS'!B:B,MATCH(D142,'FAM-CLASS'!A:A,0)),1)</f>
        <v>S</v>
      </c>
      <c r="F142" s="3" t="str">
        <f>LEFT(INDEX('FAM-CLASS'!C:C,MATCH(D142,'FAM-CLASS'!A:A,0)),1)</f>
        <v>A</v>
      </c>
    </row>
    <row r="143" spans="4:6">
      <c r="D143" s="3" t="s">
        <v>379</v>
      </c>
      <c r="E143" s="3" t="str">
        <f>LEFT(INDEX('FAM-CLASS'!B:B,MATCH(D143,'FAM-CLASS'!A:A,0)),1)</f>
        <v>S</v>
      </c>
      <c r="F143" s="3" t="str">
        <f>LEFT(INDEX('FAM-CLASS'!C:C,MATCH(D143,'FAM-CLASS'!A:A,0)),1)</f>
        <v>O</v>
      </c>
    </row>
    <row r="144" spans="4:6">
      <c r="D144" s="3" t="s">
        <v>380</v>
      </c>
      <c r="E144" s="3" t="str">
        <f>LEFT(INDEX('FAM-CLASS'!B:B,MATCH(D144,'FAM-CLASS'!A:A,0)),1)</f>
        <v>S</v>
      </c>
      <c r="F144" s="3" t="str">
        <f>LEFT(INDEX('FAM-CLASS'!C:C,MATCH(D144,'FAM-CLASS'!A:A,0)),1)</f>
        <v>O</v>
      </c>
    </row>
    <row r="145" spans="1:6">
      <c r="D145" s="3" t="s">
        <v>381</v>
      </c>
      <c r="E145" s="3" t="str">
        <f>LEFT(INDEX('FAM-CLASS'!B:B,MATCH(D145,'FAM-CLASS'!A:A,0)),1)</f>
        <v>S</v>
      </c>
      <c r="F145" s="3" t="str">
        <f>LEFT(INDEX('FAM-CLASS'!C:C,MATCH(D145,'FAM-CLASS'!A:A,0)),1)</f>
        <v>O</v>
      </c>
    </row>
    <row r="146" spans="1:6">
      <c r="D146" s="3" t="s">
        <v>382</v>
      </c>
      <c r="E146" s="3" t="str">
        <f>LEFT(INDEX('FAM-CLASS'!B:B,MATCH(D146,'FAM-CLASS'!A:A,0)),1)</f>
        <v>S</v>
      </c>
      <c r="F146" s="3" t="str">
        <f>LEFT(INDEX('FAM-CLASS'!C:C,MATCH(D146,'FAM-CLASS'!A:A,0)),1)</f>
        <v>T</v>
      </c>
    </row>
    <row r="147" spans="1:6">
      <c r="D147" s="3" t="s">
        <v>383</v>
      </c>
      <c r="E147" s="3" t="str">
        <f>LEFT(INDEX('FAM-CLASS'!B:B,MATCH(D147,'FAM-CLASS'!A:A,0)),1)</f>
        <v>S</v>
      </c>
      <c r="F147" s="3" t="str">
        <f>LEFT(INDEX('FAM-CLASS'!C:C,MATCH(D147,'FAM-CLASS'!A:A,0)),1)</f>
        <v>T</v>
      </c>
    </row>
    <row r="148" spans="1:6">
      <c r="D148" s="3" t="s">
        <v>384</v>
      </c>
      <c r="E148" s="3" t="str">
        <f>LEFT(INDEX('FAM-CLASS'!B:B,MATCH(D148,'FAM-CLASS'!A:A,0)),1)</f>
        <v>S</v>
      </c>
      <c r="F148" s="3" t="str">
        <f>LEFT(INDEX('FAM-CLASS'!C:C,MATCH(D148,'FAM-CLASS'!A:A,0)),1)</f>
        <v>T</v>
      </c>
    </row>
    <row r="149" spans="1:6">
      <c r="D149" s="3" t="s">
        <v>385</v>
      </c>
      <c r="E149" s="3" t="str">
        <f>LEFT(INDEX('FAM-CLASS'!B:B,MATCH(D149,'FAM-CLASS'!A:A,0)),1)</f>
        <v>S</v>
      </c>
      <c r="F149" s="3" t="str">
        <f>LEFT(INDEX('FAM-CLASS'!C:C,MATCH(D149,'FAM-CLASS'!A:A,0)),1)</f>
        <v>T</v>
      </c>
    </row>
    <row r="150" spans="1:6">
      <c r="D150" s="3" t="s">
        <v>386</v>
      </c>
      <c r="E150" s="3" t="str">
        <f>LEFT(INDEX('FAM-CLASS'!B:B,MATCH(D150,'FAM-CLASS'!A:A,0)),1)</f>
        <v>S</v>
      </c>
      <c r="F150" s="3" t="str">
        <f>LEFT(INDEX('FAM-CLASS'!C:C,MATCH(D150,'FAM-CLASS'!A:A,0)),1)</f>
        <v>O</v>
      </c>
    </row>
    <row r="151" spans="1:6">
      <c r="D151" s="3" t="s">
        <v>387</v>
      </c>
      <c r="E151" s="3" t="str">
        <f>LEFT(INDEX('FAM-CLASS'!B:B,MATCH(D151,'FAM-CLASS'!A:A,0)),1)</f>
        <v>S</v>
      </c>
      <c r="F151" s="3" t="str">
        <f>LEFT(INDEX('FAM-CLASS'!C:C,MATCH(D151,'FAM-CLASS'!A:A,0)),1)</f>
        <v>S</v>
      </c>
    </row>
    <row r="152" spans="1:6">
      <c r="D152" s="3" t="s">
        <v>388</v>
      </c>
      <c r="E152" s="3" t="str">
        <f>LEFT(INDEX('FAM-CLASS'!B:B,MATCH(D152,'FAM-CLASS'!A:A,0)),1)</f>
        <v>S</v>
      </c>
      <c r="F152" s="3" t="str">
        <f>LEFT(INDEX('FAM-CLASS'!C:C,MATCH(D152,'FAM-CLASS'!A:A,0)),1)</f>
        <v>E</v>
      </c>
    </row>
    <row r="153" spans="1:6">
      <c r="D153" s="3" t="s">
        <v>389</v>
      </c>
      <c r="E153" s="3" t="str">
        <f>LEFT(INDEX('FAM-CLASS'!B:B,MATCH(D153,'FAM-CLASS'!A:A,0)),1)</f>
        <v>S</v>
      </c>
      <c r="F153" s="3" t="str">
        <f>LEFT(INDEX('FAM-CLASS'!C:C,MATCH(D153,'FAM-CLASS'!A:A,0)),1)</f>
        <v>O</v>
      </c>
    </row>
    <row r="154" spans="1:6">
      <c r="D154" s="3" t="s">
        <v>390</v>
      </c>
      <c r="E154" s="3" t="str">
        <f>LEFT(INDEX('FAM-CLASS'!B:B,MATCH(D154,'FAM-CLASS'!A:A,0)),1)</f>
        <v>S</v>
      </c>
      <c r="F154" s="3" t="str">
        <f>LEFT(INDEX('FAM-CLASS'!C:C,MATCH(D154,'FAM-CLASS'!A:A,0)),1)</f>
        <v>O</v>
      </c>
    </row>
    <row r="155" spans="1:6">
      <c r="D155" s="3" t="s">
        <v>391</v>
      </c>
      <c r="E155" s="3" t="str">
        <f>LEFT(INDEX('FAM-CLASS'!B:B,MATCH(D155,'FAM-CLASS'!A:A,0)),1)</f>
        <v>S</v>
      </c>
      <c r="F155" s="3" t="str">
        <f>LEFT(INDEX('FAM-CLASS'!C:C,MATCH(D155,'FAM-CLASS'!A:A,0)),1)</f>
        <v>T</v>
      </c>
    </row>
    <row r="156" spans="1:6">
      <c r="A156" s="63" t="e">
        <v>#REF!</v>
      </c>
      <c r="D156" s="3" t="s">
        <v>392</v>
      </c>
      <c r="E156" s="3" t="str">
        <f>LEFT(INDEX('FAM-CLASS'!B:B,MATCH(D156,'FAM-CLASS'!A:A,0)),1)</f>
        <v>S</v>
      </c>
      <c r="F156" s="3" t="str">
        <f>LEFT(INDEX('FAM-CLASS'!C:C,MATCH(D156,'FAM-CLASS'!A:A,0)),1)</f>
        <v>O</v>
      </c>
    </row>
    <row r="157" spans="1:6">
      <c r="A157" s="64" t="e">
        <v>#REF!</v>
      </c>
      <c r="D157" s="3" t="s">
        <v>393</v>
      </c>
      <c r="E157" s="3" t="str">
        <f>LEFT(INDEX('FAM-CLASS'!B:B,MATCH(D157,'FAM-CLASS'!A:A,0)),1)</f>
        <v>S</v>
      </c>
      <c r="F157" s="3" t="str">
        <f>LEFT(INDEX('FAM-CLASS'!C:C,MATCH(D157,'FAM-CLASS'!A:A,0)),1)</f>
        <v>T</v>
      </c>
    </row>
    <row r="158" spans="1:6">
      <c r="A158" s="64">
        <v>0</v>
      </c>
      <c r="D158" s="3" t="s">
        <v>394</v>
      </c>
      <c r="E158" s="3"/>
      <c r="F158" s="3"/>
    </row>
    <row r="159" spans="1:6">
      <c r="A159" s="64">
        <v>0</v>
      </c>
      <c r="D159" s="3" t="s">
        <v>394</v>
      </c>
      <c r="E159" s="3"/>
      <c r="F159" s="3"/>
    </row>
    <row r="160" spans="1:6">
      <c r="A160" s="65">
        <v>0</v>
      </c>
      <c r="D160" s="3" t="s">
        <v>395</v>
      </c>
      <c r="E160" s="3"/>
      <c r="F160" s="3"/>
    </row>
    <row r="161" spans="4:6">
      <c r="D161" s="3" t="s">
        <v>396</v>
      </c>
      <c r="E161" s="3"/>
      <c r="F161" s="3"/>
    </row>
    <row r="162" spans="4:6">
      <c r="D162" s="3" t="s">
        <v>397</v>
      </c>
      <c r="E162" s="3"/>
      <c r="F162" s="3"/>
    </row>
    <row r="163" spans="4:6">
      <c r="D163" s="3" t="s">
        <v>398</v>
      </c>
      <c r="E163" s="3" t="s">
        <v>44</v>
      </c>
      <c r="F163" s="3" t="s">
        <v>399</v>
      </c>
    </row>
    <row r="164" spans="4:6">
      <c r="D164" s="3" t="s">
        <v>400</v>
      </c>
      <c r="E164" s="3" t="s">
        <v>44</v>
      </c>
      <c r="F164" s="3" t="s">
        <v>401</v>
      </c>
    </row>
    <row r="165" spans="4:6">
      <c r="D165" s="3" t="s">
        <v>402</v>
      </c>
      <c r="E165" s="3" t="s">
        <v>44</v>
      </c>
      <c r="F165" s="3" t="s">
        <v>401</v>
      </c>
    </row>
    <row r="166" spans="4:6">
      <c r="D166" s="3" t="s">
        <v>403</v>
      </c>
      <c r="E166" s="3" t="s">
        <v>44</v>
      </c>
      <c r="F166" s="3" t="s">
        <v>401</v>
      </c>
    </row>
    <row r="167" spans="4:6">
      <c r="D167" s="3" t="s">
        <v>404</v>
      </c>
      <c r="E167" s="3" t="s">
        <v>44</v>
      </c>
      <c r="F167" s="3" t="s">
        <v>401</v>
      </c>
    </row>
    <row r="168" spans="4:6">
      <c r="D168" s="3" t="s">
        <v>405</v>
      </c>
      <c r="E168" s="3" t="s">
        <v>44</v>
      </c>
      <c r="F168" s="3" t="s">
        <v>401</v>
      </c>
    </row>
    <row r="169" spans="4:6">
      <c r="D169" s="3" t="s">
        <v>406</v>
      </c>
      <c r="E169" s="3" t="s">
        <v>44</v>
      </c>
      <c r="F169" s="3" t="s">
        <v>407</v>
      </c>
    </row>
    <row r="170" spans="4:6">
      <c r="D170" s="3"/>
      <c r="E170" s="3"/>
      <c r="F170" s="3"/>
    </row>
    <row r="171" spans="4:6">
      <c r="D171" s="3"/>
      <c r="E171" s="3"/>
      <c r="F171" s="3"/>
    </row>
  </sheetData>
  <customSheetViews>
    <customSheetView guid="{C3BDEBE1-7FE5-4B62-8359-C0142BCD2F22}" topLeftCell="A148">
      <selection activeCell="D176" sqref="D176"/>
      <pageMargins left="0" right="0" top="0" bottom="0" header="0" footer="0"/>
      <pageSetup paperSize="9" orientation="portrait" r:id="rId1"/>
    </customSheetView>
    <customSheetView guid="{220F5BDC-E9AE-407F-A093-9337F2810863}" showPageBreaks="1" topLeftCell="A148">
      <selection activeCell="D176" sqref="D176"/>
      <pageMargins left="0" right="0" top="0" bottom="0" header="0" footer="0"/>
      <pageSetup paperSize="9" orientation="portrait" r:id="rId2"/>
    </customSheetView>
    <customSheetView guid="{B055717C-E0BF-453A-AEA8-EC68CC771452}" topLeftCell="A142">
      <selection activeCell="D157" sqref="D157"/>
      <pageMargins left="0" right="0" top="0" bottom="0" header="0" footer="0"/>
      <pageSetup paperSize="9" orientation="portrait" r:id="rId3"/>
    </customSheetView>
    <customSheetView guid="{68CC2FEA-F53F-4571-B62F-1D319462DEF1}">
      <selection activeCell="C1" sqref="C1:C125"/>
      <pageMargins left="0" right="0" top="0" bottom="0" header="0" footer="0"/>
      <pageSetup paperSize="9" orientation="portrait" r:id="rId4"/>
    </customSheetView>
    <customSheetView guid="{F6BC0BF9-6519-4B94-B0E7-47C212373C08}">
      <selection activeCell="C23" sqref="C23"/>
      <pageMargins left="0" right="0" top="0" bottom="0" header="0" footer="0"/>
      <pageSetup paperSize="9" orientation="portrait" r:id="rId5"/>
    </customSheetView>
    <customSheetView guid="{ADD83179-2936-4280-B4DE-3112CF12D693}">
      <selection activeCell="E152" sqref="E152"/>
      <pageMargins left="0" right="0" top="0" bottom="0" header="0" footer="0"/>
      <pageSetup paperSize="9" orientation="portrait" r:id="rId6"/>
    </customSheetView>
    <customSheetView guid="{AEFBDBB7-289B-444B-BF38-32A692FA795A}" topLeftCell="I1">
      <selection activeCell="W5" sqref="W5"/>
      <pageMargins left="0" right="0" top="0" bottom="0" header="0" footer="0"/>
      <pageSetup paperSize="9" orientation="portrait" r:id="rId7"/>
    </customSheetView>
    <customSheetView guid="{498F950A-284B-4B7A-9B00-46A2CF82C173}" topLeftCell="A142">
      <selection activeCell="A156" sqref="A156:A160"/>
      <pageMargins left="0" right="0" top="0" bottom="0" header="0" footer="0"/>
      <pageSetup paperSize="9" orientation="portrait" r:id="rId8"/>
    </customSheetView>
    <customSheetView guid="{CC36E1BD-DF5E-4D5B-9FC2-B924ABF96C1E}" topLeftCell="A139">
      <selection activeCell="E138" sqref="E138"/>
      <pageMargins left="0" right="0" top="0" bottom="0" header="0" footer="0"/>
      <pageSetup paperSize="9" orientation="portrait" r:id="rId9"/>
    </customSheetView>
    <customSheetView guid="{E2CEA185-21A6-4032-89CA-3467498190CE}" showPageBreaks="1" topLeftCell="B40">
      <selection activeCell="T5" sqref="T1:T5"/>
      <pageMargins left="0" right="0" top="0" bottom="0" header="0" footer="0"/>
      <pageSetup paperSize="9" orientation="portrait" r:id="rId10"/>
    </customSheetView>
    <customSheetView guid="{3AED3352-1813-42FB-AD00-B0300DBB9DDD}" topLeftCell="A133">
      <selection activeCell="D164" sqref="D164:F168"/>
      <pageMargins left="0" right="0" top="0" bottom="0" header="0" footer="0"/>
      <pageSetup paperSize="9" orientation="portrait" r:id="rId11"/>
    </customSheetView>
    <customSheetView guid="{47D365F7-A5C0-4967-9195-712416C433A6}">
      <selection activeCell="H6" sqref="H6"/>
      <pageMargins left="0" right="0" top="0" bottom="0" header="0" footer="0"/>
      <pageSetup paperSize="9" orientation="portrait" r:id="rId12"/>
    </customSheetView>
    <customSheetView guid="{033F40BA-1316-4994-A3E1-6A590246BC17}" topLeftCell="K19">
      <selection activeCell="T36" sqref="T36"/>
      <pageMargins left="0" right="0" top="0" bottom="0" header="0" footer="0"/>
      <pageSetup paperSize="9" orientation="portrait" r:id="rId13"/>
    </customSheetView>
    <customSheetView guid="{B8744A8F-5701-468A-980B-669E92146399}">
      <selection activeCell="H6" sqref="H6"/>
      <pageMargins left="0" right="0" top="0" bottom="0" header="0" footer="0"/>
      <pageSetup paperSize="9" orientation="portrait" r:id="rId14"/>
    </customSheetView>
    <customSheetView guid="{49F08520-9D55-4669-904F-FCC3B78183BE}">
      <selection activeCell="H6" sqref="H6"/>
      <pageMargins left="0" right="0" top="0" bottom="0" header="0" footer="0"/>
      <pageSetup paperSize="9" orientation="portrait" r:id="rId15"/>
    </customSheetView>
    <customSheetView guid="{64DD6D4C-DC7E-42A4-8293-23757F1E95CA}">
      <selection activeCell="H6" sqref="H6"/>
      <pageMargins left="0" right="0" top="0" bottom="0" header="0" footer="0"/>
      <pageSetup paperSize="9" orientation="portrait" r:id="rId16"/>
    </customSheetView>
    <customSheetView guid="{20DDCD40-9DEC-4E0C-BDFD-5753C11CFC19}" topLeftCell="A148">
      <selection activeCell="D176" sqref="D176"/>
      <pageMargins left="0" right="0" top="0" bottom="0" header="0" footer="0"/>
      <pageSetup paperSize="9" orientation="portrait" r:id="rId17"/>
    </customSheetView>
    <customSheetView guid="{4E878A97-87CB-403A-861C-A937390C8303}">
      <selection activeCell="H4" sqref="H4"/>
      <pageMargins left="0" right="0" top="0" bottom="0" header="0" footer="0"/>
      <pageSetup paperSize="9" orientation="portrait" r:id="rId18"/>
    </customSheetView>
    <customSheetView guid="{FAB61CF4-5569-4DB9-9F8E-D118164D900A}">
      <selection activeCell="B6" sqref="B6"/>
      <pageMargins left="0" right="0" top="0" bottom="0" header="0" footer="0"/>
      <pageSetup paperSize="9" orientation="portrait" r:id="rId19"/>
    </customSheetView>
  </customSheetViews>
  <pageMargins left="0.7" right="0.7" top="0.75" bottom="0.75" header="0.3" footer="0.3"/>
  <pageSetup paperSize="9" orientation="portrait" r:id="rId2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FA57FDE7-C1CC-44C1-A1A7-84DB47D7DA02}">
            <xm:f>NOT(ISERROR(SEARCH($AF$2,B1)))</xm:f>
            <xm:f>$AF$2</xm:f>
            <x14:dxf>
              <font>
                <b/>
                <i val="0"/>
                <color rgb="FF00B050"/>
              </font>
            </x14:dxf>
          </x14:cfRule>
          <xm:sqref>B1 B3:B11 B15:B35 B37:B1048576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JW1048576"/>
  <sheetViews>
    <sheetView showGridLines="0" tabSelected="1" topLeftCell="C1" zoomScale="85" zoomScaleNormal="85" workbookViewId="0">
      <pane xSplit="26" ySplit="1" topLeftCell="CD2008" activePane="bottomRight" state="frozen"/>
      <selection activeCell="C1" sqref="C1"/>
      <selection pane="topRight" activeCell="AB1" sqref="AB1"/>
      <selection pane="bottomLeft" activeCell="C2" sqref="C2"/>
      <selection pane="bottomRight" activeCell="H2027" sqref="H2026:H2027"/>
    </sheetView>
  </sheetViews>
  <sheetFormatPr baseColWidth="10" defaultColWidth="11.42578125" defaultRowHeight="15" customHeight="1" outlineLevelCol="1"/>
  <cols>
    <col min="1" max="1" width="7.28515625" style="15" hidden="1" customWidth="1" outlineLevel="1"/>
    <col min="2" max="2" width="10.85546875" style="15" hidden="1" customWidth="1" outlineLevel="1"/>
    <col min="3" max="3" width="12.42578125" style="15" customWidth="1" collapsed="1"/>
    <col min="4" max="4" width="12.42578125" style="13" customWidth="1"/>
    <col min="5" max="5" width="11.42578125" style="405" hidden="1" customWidth="1"/>
    <col min="6" max="6" width="10.140625" style="13" hidden="1" customWidth="1"/>
    <col min="7" max="7" width="13.7109375" style="327" customWidth="1" outlineLevel="1"/>
    <col min="8" max="8" width="12.28515625" style="15" customWidth="1"/>
    <col min="9" max="9" width="12.28515625" style="328" hidden="1" customWidth="1" outlineLevel="1"/>
    <col min="10" max="10" width="13.7109375" style="327" hidden="1" customWidth="1" outlineLevel="1"/>
    <col min="11" max="11" width="12.28515625" style="417" hidden="1" customWidth="1" outlineLevel="1"/>
    <col min="12" max="12" width="13.7109375" style="417" hidden="1" customWidth="1" outlineLevel="1"/>
    <col min="13" max="13" width="13" style="417" hidden="1" customWidth="1" outlineLevel="1"/>
    <col min="14" max="14" width="14.28515625" style="328" hidden="1" customWidth="1" outlineLevel="1"/>
    <col min="15" max="15" width="9.28515625" style="328" customWidth="1" collapsed="1"/>
    <col min="16" max="16" width="36.5703125" style="15" customWidth="1"/>
    <col min="17" max="17" width="23.7109375" style="15" customWidth="1"/>
    <col min="18" max="18" width="20.85546875" style="15" hidden="1" customWidth="1"/>
    <col min="19" max="19" width="12.7109375" style="15" hidden="1" customWidth="1"/>
    <col min="20" max="20" width="9.5703125" style="13" hidden="1" customWidth="1"/>
    <col min="21" max="21" width="8.42578125" style="16" hidden="1" customWidth="1"/>
    <col min="22" max="22" width="19.28515625" style="13" hidden="1" customWidth="1"/>
    <col min="23" max="23" width="13.7109375" style="111" hidden="1" customWidth="1"/>
    <col min="24" max="24" width="12.85546875" style="15" hidden="1" customWidth="1"/>
    <col min="25" max="25" width="12.7109375" style="15" hidden="1" customWidth="1"/>
    <col min="26" max="26" width="14.140625" style="15" hidden="1" customWidth="1"/>
    <col min="27" max="27" width="9.85546875" style="15" hidden="1" customWidth="1"/>
    <col min="28" max="28" width="9.85546875" style="15" customWidth="1"/>
    <col min="29" max="29" width="11.42578125" style="15" hidden="1" customWidth="1"/>
    <col min="30" max="30" width="15.42578125" style="15" hidden="1" customWidth="1"/>
    <col min="31" max="31" width="13.85546875" style="62" customWidth="1" collapsed="1"/>
    <col min="32" max="32" width="6.42578125" style="15" customWidth="1"/>
    <col min="33" max="33" width="12.85546875" style="15" customWidth="1"/>
    <col min="34" max="34" width="17.42578125" style="15" hidden="1" customWidth="1" outlineLevel="1"/>
    <col min="35" max="35" width="14.28515625" style="15" hidden="1" customWidth="1" outlineLevel="1"/>
    <col min="36" max="36" width="13.28515625" style="15" hidden="1" customWidth="1" outlineLevel="1"/>
    <col min="37" max="37" width="27.140625" style="15" hidden="1" customWidth="1" outlineLevel="1"/>
    <col min="38" max="38" width="21.140625" style="15" hidden="1" customWidth="1" outlineLevel="1"/>
    <col min="39" max="39" width="11.42578125" style="15" hidden="1" customWidth="1" outlineLevel="1"/>
    <col min="40" max="40" width="14.85546875" style="218" hidden="1" customWidth="1" outlineLevel="1"/>
    <col min="41" max="41" width="13.7109375" style="218" hidden="1" customWidth="1" outlineLevel="1"/>
    <col min="42" max="42" width="14.85546875" style="218" hidden="1" customWidth="1" outlineLevel="1"/>
    <col min="43" max="43" width="11.28515625" style="218" customWidth="1" collapsed="1"/>
    <col min="44" max="44" width="13.140625" style="15" hidden="1" customWidth="1"/>
    <col min="45" max="45" width="16" style="15" customWidth="1" collapsed="1"/>
    <col min="46" max="46" width="14.5703125" style="15" customWidth="1" collapsed="1"/>
    <col min="47" max="48" width="11.42578125" style="15" hidden="1" customWidth="1" outlineLevel="1"/>
    <col min="49" max="49" width="29.5703125" style="15" hidden="1" customWidth="1" outlineLevel="1"/>
    <col min="50" max="50" width="13.7109375" style="15" hidden="1" customWidth="1" outlineLevel="1"/>
    <col min="51" max="51" width="15.140625" style="15" customWidth="1" collapsed="1"/>
    <col min="52" max="52" width="11.42578125" style="15" customWidth="1"/>
    <col min="53" max="53" width="12.42578125" style="15" hidden="1" customWidth="1" outlineLevel="1"/>
    <col min="54" max="54" width="14.7109375" style="15" customWidth="1" collapsed="1"/>
    <col min="55" max="55" width="18.42578125" style="13" hidden="1" customWidth="1" outlineLevel="1"/>
    <col min="56" max="56" width="11.42578125" style="15" hidden="1" customWidth="1" outlineLevel="1"/>
    <col min="57" max="57" width="20.42578125" style="15" hidden="1" customWidth="1" outlineLevel="1"/>
    <col min="58" max="58" width="19.42578125" style="15" customWidth="1" collapsed="1"/>
    <col min="59" max="59" width="14.85546875" style="15" customWidth="1"/>
    <col min="60" max="60" width="13" style="15" customWidth="1"/>
    <col min="61" max="62" width="11.42578125" style="15" customWidth="1"/>
    <col min="63" max="63" width="13.7109375" style="15" customWidth="1"/>
    <col min="64" max="64" width="15.42578125" style="15" customWidth="1"/>
    <col min="65" max="66" width="13.7109375" style="15" customWidth="1"/>
    <col min="67" max="68" width="16.42578125" style="15" customWidth="1"/>
    <col min="69" max="69" width="26.140625" style="15" customWidth="1"/>
    <col min="70" max="70" width="16.42578125" style="111" customWidth="1"/>
    <col min="71" max="73" width="16.42578125" style="13" customWidth="1"/>
    <col min="74" max="74" width="12.28515625" style="15" customWidth="1"/>
    <col min="75" max="75" width="26" style="15" customWidth="1"/>
    <col min="76" max="76" width="20.42578125" style="15" customWidth="1"/>
    <col min="77" max="79" width="15" style="15" customWidth="1"/>
    <col min="80" max="80" width="18.42578125" style="15" customWidth="1"/>
    <col min="81" max="81" width="41.42578125" style="13" customWidth="1"/>
    <col min="82" max="82" width="40.7109375" style="136" customWidth="1"/>
    <col min="83" max="83" width="33.28515625" style="136" customWidth="1"/>
    <col min="84" max="84" width="11.42578125" style="136" customWidth="1"/>
    <col min="85" max="85" width="27.7109375" style="15" customWidth="1"/>
    <col min="86" max="86" width="18.28515625" style="15" customWidth="1"/>
    <col min="87" max="283" width="11.42578125" style="15" customWidth="1"/>
    <col min="284" max="16384" width="11.42578125" style="15"/>
  </cols>
  <sheetData>
    <row r="1" spans="1:243" s="21" customFormat="1" ht="55.15" customHeight="1">
      <c r="A1" s="303" t="s">
        <v>408</v>
      </c>
      <c r="B1" s="303" t="s">
        <v>409</v>
      </c>
      <c r="C1" s="303" t="s">
        <v>410</v>
      </c>
      <c r="D1" s="304" t="s">
        <v>411</v>
      </c>
      <c r="E1" s="304" t="s">
        <v>412</v>
      </c>
      <c r="F1" s="312" t="s">
        <v>420</v>
      </c>
      <c r="G1" s="347" t="s">
        <v>415</v>
      </c>
      <c r="H1" s="303" t="s">
        <v>413</v>
      </c>
      <c r="I1" s="353" t="s">
        <v>414</v>
      </c>
      <c r="J1" s="347" t="s">
        <v>415</v>
      </c>
      <c r="K1" s="347" t="s">
        <v>7908</v>
      </c>
      <c r="L1" s="347" t="s">
        <v>417</v>
      </c>
      <c r="M1" s="347" t="s">
        <v>418</v>
      </c>
      <c r="N1" s="332" t="s">
        <v>416</v>
      </c>
      <c r="O1" s="312" t="s">
        <v>419</v>
      </c>
      <c r="P1" s="305" t="s">
        <v>421</v>
      </c>
      <c r="Q1" s="303" t="s">
        <v>422</v>
      </c>
      <c r="R1" s="303" t="s">
        <v>423</v>
      </c>
      <c r="S1" s="303" t="s">
        <v>424</v>
      </c>
      <c r="T1" s="303" t="s">
        <v>425</v>
      </c>
      <c r="U1" s="306" t="s">
        <v>426</v>
      </c>
      <c r="V1" s="307" t="s">
        <v>427</v>
      </c>
      <c r="W1" s="303" t="s">
        <v>7909</v>
      </c>
      <c r="X1" s="303" t="s">
        <v>7910</v>
      </c>
      <c r="Y1" s="308" t="s">
        <v>428</v>
      </c>
      <c r="Z1" s="303" t="s">
        <v>429</v>
      </c>
      <c r="AA1" s="303" t="s">
        <v>430</v>
      </c>
      <c r="AB1" s="303" t="s">
        <v>431</v>
      </c>
      <c r="AC1" s="303" t="s">
        <v>432</v>
      </c>
      <c r="AD1" s="303" t="s">
        <v>433</v>
      </c>
      <c r="AE1" s="310" t="s">
        <v>434</v>
      </c>
      <c r="AF1" s="303" t="s">
        <v>435</v>
      </c>
      <c r="AG1" s="303" t="s">
        <v>436</v>
      </c>
      <c r="AH1" s="341" t="s">
        <v>437</v>
      </c>
      <c r="AI1" s="303" t="s">
        <v>438</v>
      </c>
      <c r="AJ1" s="303" t="s">
        <v>439</v>
      </c>
      <c r="AK1" s="303" t="s">
        <v>440</v>
      </c>
      <c r="AL1" s="303" t="s">
        <v>441</v>
      </c>
      <c r="AM1" s="312" t="s">
        <v>7911</v>
      </c>
      <c r="AN1" s="312" t="s">
        <v>454</v>
      </c>
      <c r="AO1" s="313" t="s">
        <v>455</v>
      </c>
      <c r="AP1" s="312" t="s">
        <v>456</v>
      </c>
      <c r="AQ1" s="313" t="s">
        <v>457</v>
      </c>
      <c r="AR1" s="312" t="s">
        <v>458</v>
      </c>
      <c r="AS1" s="304" t="s">
        <v>459</v>
      </c>
      <c r="AT1" s="313" t="s">
        <v>460</v>
      </c>
      <c r="AU1" s="312" t="s">
        <v>461</v>
      </c>
      <c r="AV1" s="312" t="s">
        <v>462</v>
      </c>
      <c r="AW1" s="312" t="s">
        <v>7916</v>
      </c>
      <c r="AX1" s="303" t="s">
        <v>445</v>
      </c>
      <c r="AY1" s="303" t="s">
        <v>444</v>
      </c>
      <c r="AZ1" s="303" t="s">
        <v>463</v>
      </c>
      <c r="BA1" s="397" t="s">
        <v>449</v>
      </c>
      <c r="BB1" s="397" t="s">
        <v>451</v>
      </c>
      <c r="BC1" s="397" t="s">
        <v>442</v>
      </c>
      <c r="BD1" s="398" t="s">
        <v>443</v>
      </c>
      <c r="BE1" s="397" t="s">
        <v>446</v>
      </c>
      <c r="BF1" s="397" t="s">
        <v>447</v>
      </c>
      <c r="BG1" s="397" t="s">
        <v>448</v>
      </c>
      <c r="BH1" s="397" t="s">
        <v>450</v>
      </c>
      <c r="BI1" s="399" t="s">
        <v>452</v>
      </c>
      <c r="BJ1" s="399" t="s">
        <v>453</v>
      </c>
      <c r="BK1" s="312" t="s">
        <v>464</v>
      </c>
      <c r="BL1" s="303" t="s">
        <v>7912</v>
      </c>
      <c r="BM1" s="303" t="s">
        <v>465</v>
      </c>
      <c r="BN1" s="303" t="s">
        <v>466</v>
      </c>
      <c r="BO1" s="303" t="s">
        <v>7913</v>
      </c>
      <c r="BP1" s="303" t="s">
        <v>7907</v>
      </c>
      <c r="BQ1" s="303" t="s">
        <v>467</v>
      </c>
      <c r="BR1" s="309" t="s">
        <v>468</v>
      </c>
      <c r="BS1" s="303" t="s">
        <v>469</v>
      </c>
      <c r="BT1" s="303" t="s">
        <v>470</v>
      </c>
      <c r="BU1" s="303" t="s">
        <v>471</v>
      </c>
      <c r="BV1" s="303" t="s">
        <v>473</v>
      </c>
      <c r="BW1" s="303" t="s">
        <v>474</v>
      </c>
      <c r="BX1" s="303" t="s">
        <v>475</v>
      </c>
      <c r="BY1" s="303" t="s">
        <v>476</v>
      </c>
      <c r="BZ1" s="303" t="s">
        <v>7905</v>
      </c>
      <c r="CA1" s="303" t="s">
        <v>7906</v>
      </c>
      <c r="CB1" s="303" t="s">
        <v>477</v>
      </c>
      <c r="CC1" s="311" t="s">
        <v>478</v>
      </c>
      <c r="CD1" s="311" t="s">
        <v>479</v>
      </c>
      <c r="CE1" s="311" t="s">
        <v>480</v>
      </c>
      <c r="CF1" s="311" t="s">
        <v>481</v>
      </c>
      <c r="CG1" s="312" t="s">
        <v>482</v>
      </c>
      <c r="CH1" s="312" t="s">
        <v>483</v>
      </c>
      <c r="CI1" s="312" t="s">
        <v>472</v>
      </c>
      <c r="CJ1" s="312" t="s">
        <v>7876</v>
      </c>
      <c r="CK1" s="59"/>
      <c r="CL1" s="59"/>
      <c r="CM1" s="59"/>
      <c r="CN1" s="59"/>
      <c r="CO1" s="59"/>
      <c r="CP1" s="59"/>
      <c r="CQ1" s="59"/>
      <c r="CR1" s="59"/>
      <c r="CS1" s="59"/>
      <c r="CT1" s="59"/>
      <c r="CU1" s="59"/>
      <c r="CV1" s="59"/>
      <c r="CW1" s="59"/>
      <c r="CX1" s="59"/>
      <c r="CY1" s="59"/>
      <c r="CZ1" s="59"/>
      <c r="DA1" s="59"/>
      <c r="DB1" s="59"/>
      <c r="DC1" s="59"/>
      <c r="DD1" s="59"/>
      <c r="DE1" s="59"/>
      <c r="DF1" s="59"/>
      <c r="DG1" s="59"/>
      <c r="DH1" s="59"/>
      <c r="DI1" s="59"/>
      <c r="DJ1" s="59"/>
      <c r="DK1" s="59"/>
      <c r="DL1" s="59"/>
      <c r="DM1" s="59"/>
      <c r="DN1" s="59"/>
      <c r="DO1" s="59"/>
      <c r="DP1" s="59"/>
      <c r="DQ1" s="59"/>
      <c r="DR1" s="59"/>
      <c r="DS1" s="59"/>
      <c r="DT1" s="59"/>
      <c r="DU1" s="59"/>
      <c r="DV1" s="59"/>
      <c r="DW1" s="59"/>
      <c r="DX1" s="59"/>
      <c r="DY1" s="59"/>
      <c r="DZ1" s="59"/>
      <c r="EA1" s="59"/>
      <c r="EB1" s="59"/>
      <c r="EC1" s="59"/>
      <c r="ED1" s="59"/>
      <c r="EE1" s="59"/>
      <c r="EF1" s="59"/>
      <c r="EG1" s="59"/>
      <c r="EH1" s="59"/>
      <c r="EI1" s="59"/>
      <c r="EJ1" s="59"/>
      <c r="EK1" s="59"/>
      <c r="EL1" s="59"/>
      <c r="EM1" s="59"/>
      <c r="EN1" s="59"/>
      <c r="EO1" s="59"/>
      <c r="EP1" s="59"/>
      <c r="EQ1" s="59"/>
      <c r="ER1" s="59"/>
      <c r="ES1" s="59"/>
      <c r="ET1" s="59"/>
      <c r="EU1" s="59"/>
      <c r="EV1" s="59"/>
      <c r="EW1" s="59"/>
      <c r="EX1" s="59"/>
      <c r="EY1" s="59"/>
      <c r="EZ1" s="59"/>
      <c r="FA1" s="59"/>
      <c r="FB1" s="59"/>
      <c r="FC1" s="59"/>
      <c r="FD1" s="59"/>
      <c r="FE1" s="59"/>
      <c r="FF1" s="59"/>
      <c r="FG1" s="59"/>
      <c r="FH1" s="59"/>
      <c r="FI1" s="59"/>
      <c r="FJ1" s="59"/>
      <c r="FK1" s="59"/>
      <c r="FL1" s="59"/>
      <c r="FM1" s="59"/>
      <c r="FN1" s="59"/>
      <c r="FO1" s="59"/>
      <c r="FP1" s="59"/>
      <c r="FQ1" s="59"/>
      <c r="FR1" s="59"/>
      <c r="FS1" s="59"/>
      <c r="FT1" s="59"/>
      <c r="FU1" s="59"/>
      <c r="FV1" s="59"/>
      <c r="FW1" s="59"/>
      <c r="FX1" s="59"/>
      <c r="FY1" s="59"/>
      <c r="FZ1" s="59"/>
      <c r="GA1" s="59"/>
      <c r="GB1" s="59"/>
      <c r="GC1" s="59"/>
      <c r="GD1" s="59"/>
      <c r="GE1" s="59"/>
      <c r="GF1" s="59"/>
      <c r="GG1" s="59"/>
      <c r="GH1" s="59"/>
      <c r="GI1" s="59"/>
      <c r="GJ1" s="59"/>
      <c r="GK1" s="59"/>
      <c r="GL1" s="59"/>
      <c r="GM1" s="59"/>
      <c r="GN1" s="59"/>
      <c r="GO1" s="59"/>
      <c r="GP1" s="59"/>
      <c r="GQ1" s="59"/>
      <c r="GR1" s="59"/>
      <c r="GS1" s="59"/>
      <c r="GT1" s="59"/>
      <c r="GU1" s="59"/>
      <c r="GV1" s="59"/>
      <c r="GW1" s="59"/>
      <c r="GX1" s="59"/>
      <c r="GY1" s="59"/>
      <c r="GZ1" s="59"/>
      <c r="HA1" s="59"/>
      <c r="HB1" s="59"/>
      <c r="HC1" s="59"/>
      <c r="HD1" s="59"/>
      <c r="HE1" s="59"/>
      <c r="HF1" s="59"/>
      <c r="HG1" s="59"/>
      <c r="HH1" s="59"/>
      <c r="HI1" s="59"/>
      <c r="HJ1" s="59"/>
      <c r="HK1" s="59"/>
      <c r="HL1" s="59"/>
      <c r="HM1" s="59"/>
      <c r="HN1" s="59"/>
      <c r="HO1" s="59"/>
      <c r="HP1" s="59"/>
      <c r="HQ1" s="59"/>
      <c r="HR1" s="59"/>
      <c r="HS1" s="59"/>
      <c r="HT1" s="59"/>
      <c r="HU1" s="59"/>
      <c r="HV1" s="59"/>
      <c r="HW1" s="59"/>
      <c r="HX1" s="59"/>
      <c r="HY1" s="59"/>
      <c r="HZ1" s="59"/>
      <c r="IA1" s="59"/>
      <c r="IB1" s="59"/>
      <c r="IC1" s="59"/>
      <c r="ID1" s="59"/>
      <c r="IE1" s="59"/>
      <c r="IF1" s="59"/>
      <c r="IG1" s="59"/>
      <c r="IH1" s="59"/>
      <c r="II1" s="59"/>
    </row>
    <row r="2" spans="1:243" ht="15" customHeight="1">
      <c r="A2" s="18">
        <v>2017</v>
      </c>
      <c r="B2" s="18" t="str">
        <f>+INDEX(BDD!F:F,MATCH(P2,BDD!D:D,0))&amp;"-"&amp;INDEX(BDD!E:E,MATCH(P2,BDD!D:D,0))</f>
        <v>G-S</v>
      </c>
      <c r="C2" s="125" t="s">
        <v>484</v>
      </c>
      <c r="D2" s="126" t="s">
        <v>77</v>
      </c>
      <c r="E2" s="135"/>
      <c r="F2" s="24"/>
      <c r="G2" s="346">
        <v>8000000028</v>
      </c>
      <c r="H2" s="125" t="s">
        <v>485</v>
      </c>
      <c r="I2" s="329"/>
      <c r="J2" s="346">
        <v>8000000028</v>
      </c>
      <c r="K2" s="24"/>
      <c r="L2" s="24"/>
      <c r="M2" s="24"/>
      <c r="N2" s="340" t="s">
        <v>486</v>
      </c>
      <c r="O2" s="333">
        <v>206597</v>
      </c>
      <c r="P2" s="25" t="s">
        <v>104</v>
      </c>
      <c r="Q2" s="127" t="s">
        <v>306</v>
      </c>
      <c r="R2" s="128" t="s">
        <v>487</v>
      </c>
      <c r="S2" s="24">
        <v>42765</v>
      </c>
      <c r="T2" s="36" t="s">
        <v>19</v>
      </c>
      <c r="U2" s="125"/>
      <c r="V2" s="88" t="s">
        <v>488</v>
      </c>
      <c r="W2" s="129"/>
      <c r="X2" s="88">
        <v>42873</v>
      </c>
      <c r="Y2" s="130" t="s">
        <v>20</v>
      </c>
      <c r="Z2" s="133" t="s">
        <v>60</v>
      </c>
      <c r="AA2" s="133"/>
      <c r="AB2" s="131">
        <v>200</v>
      </c>
      <c r="AC2" s="134">
        <v>241</v>
      </c>
      <c r="AD2" s="134"/>
      <c r="AE2" s="403">
        <f t="shared" ref="AE2:AE65" si="0">AB2*AC2</f>
        <v>48200</v>
      </c>
      <c r="AF2" s="132" t="str">
        <f>IF(W2=BDD!$P$1,IMPORTS!AB2/25,IF(W2=BDD!$P$2,IMPORTS!AB2/25,IF(W2=BDD!$P$4,AB2/27,IF(IMPORTS!W2=BDD!$P$5,IMPORTS!AB2/26.6,IF(AND(U2=BDD!$N$1,W2=BDD!$P$8),AB2/25,"--")))))</f>
        <v>--</v>
      </c>
      <c r="AG2" s="130" t="s">
        <v>46</v>
      </c>
      <c r="AH2" s="130"/>
      <c r="AI2" s="130" t="s">
        <v>100</v>
      </c>
      <c r="AJ2" s="130"/>
      <c r="AK2" s="130"/>
      <c r="AL2" s="24" t="s">
        <v>489</v>
      </c>
      <c r="AM2" s="314"/>
      <c r="AN2" s="26"/>
      <c r="AO2" s="26"/>
      <c r="AP2" s="26"/>
      <c r="AQ2" s="26">
        <v>42900</v>
      </c>
      <c r="AR2" s="24"/>
      <c r="AS2" s="24"/>
      <c r="AT2" s="24">
        <v>42905</v>
      </c>
      <c r="AU2" s="418">
        <f>MONTH(AT2)</f>
        <v>6</v>
      </c>
      <c r="AV2" s="418">
        <f>YEAR(AT2)</f>
        <v>2017</v>
      </c>
      <c r="AW2" s="24"/>
      <c r="AX2" s="28"/>
      <c r="AY2" s="28" t="s">
        <v>281</v>
      </c>
      <c r="AZ2" s="132" t="s">
        <v>9</v>
      </c>
      <c r="BA2" s="132"/>
      <c r="BB2" s="24"/>
      <c r="BC2" s="135" t="s">
        <v>490</v>
      </c>
      <c r="BD2" s="24">
        <v>42867</v>
      </c>
      <c r="BE2" s="132" t="s">
        <v>491</v>
      </c>
      <c r="BF2" s="135" t="s">
        <v>491</v>
      </c>
      <c r="BG2" s="135" t="s">
        <v>52</v>
      </c>
      <c r="BH2" s="135"/>
      <c r="BI2" s="314"/>
      <c r="BJ2" s="314"/>
      <c r="BK2" s="24"/>
      <c r="BL2" s="24"/>
      <c r="BM2" s="24"/>
      <c r="BN2" s="24"/>
      <c r="BO2" s="24"/>
      <c r="BP2" s="24"/>
      <c r="BQ2" s="24"/>
      <c r="BR2" s="43"/>
      <c r="BS2" s="24"/>
      <c r="BT2" s="24"/>
      <c r="BU2" s="24"/>
      <c r="BV2" s="132" t="e">
        <f>IF(#REF!="COMPLETO","OK","PENDIENTES")</f>
        <v>#REF!</v>
      </c>
      <c r="BW2" s="132"/>
      <c r="BX2" s="132"/>
      <c r="BY2" s="132"/>
      <c r="BZ2" s="132"/>
      <c r="CA2" s="132"/>
      <c r="CB2" s="132"/>
      <c r="CC2" s="23">
        <v>4520054999</v>
      </c>
      <c r="CG2" s="24" t="s">
        <v>105</v>
      </c>
      <c r="CH2" s="24"/>
      <c r="CI2" s="24"/>
      <c r="CJ2" s="24"/>
    </row>
    <row r="3" spans="1:243" ht="15" customHeight="1">
      <c r="A3" s="18">
        <v>2017</v>
      </c>
      <c r="B3" s="18" t="str">
        <f>+INDEX(BDD!F:F,MATCH(P3,BDD!D:D,0))&amp;"-"&amp;INDEX(BDD!E:E,MATCH(P3,BDD!D:D,0))</f>
        <v>G-S</v>
      </c>
      <c r="C3" s="125" t="s">
        <v>484</v>
      </c>
      <c r="D3" s="126" t="s">
        <v>77</v>
      </c>
      <c r="E3" s="135"/>
      <c r="F3" s="24"/>
      <c r="G3" s="346">
        <v>8000000029</v>
      </c>
      <c r="H3" s="125" t="s">
        <v>492</v>
      </c>
      <c r="I3" s="329"/>
      <c r="J3" s="346">
        <v>8000000029</v>
      </c>
      <c r="K3" s="24"/>
      <c r="L3" s="24"/>
      <c r="M3" s="24"/>
      <c r="N3" s="340" t="s">
        <v>486</v>
      </c>
      <c r="O3" s="333">
        <v>206597</v>
      </c>
      <c r="P3" s="25" t="s">
        <v>104</v>
      </c>
      <c r="Q3" s="127" t="s">
        <v>306</v>
      </c>
      <c r="R3" s="128" t="s">
        <v>487</v>
      </c>
      <c r="S3" s="24">
        <v>42765</v>
      </c>
      <c r="T3" s="36" t="s">
        <v>19</v>
      </c>
      <c r="U3" s="125"/>
      <c r="V3" s="88" t="s">
        <v>493</v>
      </c>
      <c r="W3" s="129"/>
      <c r="X3" s="88">
        <v>42873</v>
      </c>
      <c r="Y3" s="130" t="s">
        <v>20</v>
      </c>
      <c r="Z3" s="133" t="s">
        <v>60</v>
      </c>
      <c r="AA3" s="133"/>
      <c r="AB3" s="131">
        <v>300</v>
      </c>
      <c r="AC3" s="134">
        <v>241</v>
      </c>
      <c r="AD3" s="134"/>
      <c r="AE3" s="403">
        <f t="shared" si="0"/>
        <v>72300</v>
      </c>
      <c r="AF3" s="132" t="str">
        <f>IF(W3=BDD!$P$1,IMPORTS!AB3/25,IF(W3=BDD!$P$2,IMPORTS!AB3/25,IF(W3=BDD!$P$4,AB3/27,IF(IMPORTS!W3=BDD!$P$5,IMPORTS!AB3/26.6,IF(AND(U3=BDD!$N$1,W3=BDD!$P$8),AB3/25,"--")))))</f>
        <v>--</v>
      </c>
      <c r="AG3" s="130" t="s">
        <v>46</v>
      </c>
      <c r="AH3" s="130"/>
      <c r="AI3" s="130" t="s">
        <v>100</v>
      </c>
      <c r="AJ3" s="130"/>
      <c r="AK3" s="130"/>
      <c r="AL3" s="24" t="s">
        <v>489</v>
      </c>
      <c r="AM3" s="314"/>
      <c r="AN3" s="26"/>
      <c r="AO3" s="26"/>
      <c r="AP3" s="26"/>
      <c r="AQ3" s="26">
        <v>42907</v>
      </c>
      <c r="AR3" s="24"/>
      <c r="AS3" s="24"/>
      <c r="AT3" s="24">
        <v>42908</v>
      </c>
      <c r="AU3" s="418">
        <f t="shared" ref="AU3:AU66" si="1">MONTH(AT3)</f>
        <v>6</v>
      </c>
      <c r="AV3" s="418">
        <f t="shared" ref="AV3:AV66" si="2">YEAR(AT3)</f>
        <v>2017</v>
      </c>
      <c r="AW3" s="24"/>
      <c r="AX3" s="28"/>
      <c r="AY3" s="28" t="s">
        <v>281</v>
      </c>
      <c r="AZ3" s="132" t="s">
        <v>25</v>
      </c>
      <c r="BA3" s="132"/>
      <c r="BB3" s="24"/>
      <c r="BC3" s="135">
        <v>10</v>
      </c>
      <c r="BD3" s="24">
        <v>42867</v>
      </c>
      <c r="BE3" s="132" t="s">
        <v>491</v>
      </c>
      <c r="BF3" s="132" t="s">
        <v>491</v>
      </c>
      <c r="BG3" s="135" t="s">
        <v>52</v>
      </c>
      <c r="BH3" s="135"/>
      <c r="BI3" s="314"/>
      <c r="BJ3" s="314"/>
      <c r="BK3" s="24"/>
      <c r="BL3" s="24"/>
      <c r="BM3" s="24"/>
      <c r="BN3" s="24"/>
      <c r="BO3" s="24"/>
      <c r="BP3" s="24"/>
      <c r="BQ3" s="24"/>
      <c r="BR3" s="137"/>
      <c r="BS3" s="24"/>
      <c r="BT3" s="24"/>
      <c r="BU3" s="24"/>
      <c r="BV3" s="132" t="e">
        <f>IF(#REF!="COMPLETO","OK","PENDIENTES")</f>
        <v>#REF!</v>
      </c>
      <c r="BW3" s="132"/>
      <c r="BX3" s="132"/>
      <c r="BY3" s="132"/>
      <c r="BZ3" s="132"/>
      <c r="CA3" s="132"/>
      <c r="CB3" s="132"/>
      <c r="CC3" s="23">
        <v>4520055000</v>
      </c>
      <c r="CG3" s="24" t="s">
        <v>105</v>
      </c>
      <c r="CH3" s="24"/>
      <c r="CI3" s="24"/>
      <c r="CJ3" s="24"/>
    </row>
    <row r="4" spans="1:243" ht="15" customHeight="1">
      <c r="A4" s="18">
        <v>2017</v>
      </c>
      <c r="B4" s="18" t="str">
        <f>+INDEX(BDD!F:F,MATCH(P4,BDD!D:D,0))&amp;"-"&amp;INDEX(BDD!E:E,MATCH(P4,BDD!D:D,0))</f>
        <v>G-S</v>
      </c>
      <c r="C4" s="125" t="s">
        <v>484</v>
      </c>
      <c r="D4" s="126" t="s">
        <v>77</v>
      </c>
      <c r="E4" s="135"/>
      <c r="F4" s="24"/>
      <c r="G4" s="346">
        <v>8000000030</v>
      </c>
      <c r="H4" s="125" t="s">
        <v>494</v>
      </c>
      <c r="I4" s="329"/>
      <c r="J4" s="346">
        <v>8000000030</v>
      </c>
      <c r="K4" s="24"/>
      <c r="L4" s="24"/>
      <c r="M4" s="24"/>
      <c r="N4" s="340" t="s">
        <v>486</v>
      </c>
      <c r="O4" s="333">
        <v>206597</v>
      </c>
      <c r="P4" s="25" t="s">
        <v>104</v>
      </c>
      <c r="Q4" s="127" t="s">
        <v>306</v>
      </c>
      <c r="R4" s="128" t="s">
        <v>487</v>
      </c>
      <c r="S4" s="24">
        <v>42765</v>
      </c>
      <c r="T4" s="36" t="s">
        <v>19</v>
      </c>
      <c r="U4" s="125"/>
      <c r="V4" s="88" t="s">
        <v>495</v>
      </c>
      <c r="W4" s="129"/>
      <c r="X4" s="88">
        <v>42873</v>
      </c>
      <c r="Y4" s="130" t="s">
        <v>20</v>
      </c>
      <c r="Z4" s="133" t="s">
        <v>60</v>
      </c>
      <c r="AA4" s="133"/>
      <c r="AB4" s="131">
        <v>3700</v>
      </c>
      <c r="AC4" s="134">
        <v>241</v>
      </c>
      <c r="AD4" s="134"/>
      <c r="AE4" s="403">
        <f t="shared" si="0"/>
        <v>891700</v>
      </c>
      <c r="AF4" s="132" t="str">
        <f>IF(W4=BDD!$P$1,IMPORTS!AB4/25,IF(W4=BDD!$P$2,IMPORTS!AB4/25,IF(W4=BDD!$P$4,AB4/27,IF(IMPORTS!W4=BDD!$P$5,IMPORTS!AB4/26.6,IF(AND(U4=BDD!$N$1,W4=BDD!$P$8),AB4/25,"--")))))</f>
        <v>--</v>
      </c>
      <c r="AG4" s="130" t="s">
        <v>46</v>
      </c>
      <c r="AH4" s="130"/>
      <c r="AI4" s="130" t="s">
        <v>100</v>
      </c>
      <c r="AJ4" s="130"/>
      <c r="AK4" s="130"/>
      <c r="AL4" s="24" t="s">
        <v>489</v>
      </c>
      <c r="AM4" s="314"/>
      <c r="AN4" s="26"/>
      <c r="AO4" s="26"/>
      <c r="AP4" s="26"/>
      <c r="AQ4" s="26">
        <f>+AQ3+2</f>
        <v>42909</v>
      </c>
      <c r="AR4" s="24"/>
      <c r="AS4" s="24"/>
      <c r="AT4" s="24">
        <v>42912</v>
      </c>
      <c r="AU4" s="418">
        <f t="shared" si="1"/>
        <v>6</v>
      </c>
      <c r="AV4" s="418">
        <f t="shared" si="2"/>
        <v>2017</v>
      </c>
      <c r="AW4" s="24"/>
      <c r="AX4" s="28"/>
      <c r="AY4" s="28" t="s">
        <v>281</v>
      </c>
      <c r="AZ4" s="132" t="s">
        <v>37</v>
      </c>
      <c r="BA4" s="132"/>
      <c r="BB4" s="24"/>
      <c r="BC4" s="132">
        <v>11</v>
      </c>
      <c r="BD4" s="24">
        <v>42867</v>
      </c>
      <c r="BE4" s="24" t="s">
        <v>491</v>
      </c>
      <c r="BF4" s="24" t="s">
        <v>491</v>
      </c>
      <c r="BG4" s="135" t="s">
        <v>52</v>
      </c>
      <c r="BH4" s="135"/>
      <c r="BI4" s="314"/>
      <c r="BJ4" s="314"/>
      <c r="BK4" s="24"/>
      <c r="BL4" s="24"/>
      <c r="BM4" s="24"/>
      <c r="BN4" s="24"/>
      <c r="BO4" s="24"/>
      <c r="BP4" s="24"/>
      <c r="BQ4" s="24"/>
      <c r="BR4" s="43"/>
      <c r="BS4" s="24"/>
      <c r="BT4" s="24"/>
      <c r="BU4" s="24"/>
      <c r="BV4" s="132" t="e">
        <f>IF(#REF!="COMPLETO","OK","PENDIENTES")</f>
        <v>#REF!</v>
      </c>
      <c r="BW4" s="132"/>
      <c r="BX4" s="132"/>
      <c r="BY4" s="132"/>
      <c r="BZ4" s="132"/>
      <c r="CA4" s="132"/>
      <c r="CB4" s="132"/>
      <c r="CC4" s="23">
        <v>4520055001</v>
      </c>
      <c r="CG4" s="24" t="s">
        <v>105</v>
      </c>
      <c r="CH4" s="24"/>
      <c r="CI4" s="24"/>
      <c r="CJ4" s="24"/>
    </row>
    <row r="5" spans="1:243" ht="15" customHeight="1">
      <c r="A5" s="18">
        <v>2017</v>
      </c>
      <c r="B5" s="18" t="str">
        <f>+INDEX(BDD!F:F,MATCH(P5,BDD!D:D,0))&amp;"-"&amp;INDEX(BDD!E:E,MATCH(P5,BDD!D:D,0))</f>
        <v>G-S</v>
      </c>
      <c r="C5" s="125" t="s">
        <v>484</v>
      </c>
      <c r="D5" s="126" t="s">
        <v>77</v>
      </c>
      <c r="E5" s="135"/>
      <c r="F5" s="140"/>
      <c r="G5" s="346">
        <v>8000000031</v>
      </c>
      <c r="H5" s="125" t="s">
        <v>496</v>
      </c>
      <c r="I5" s="329"/>
      <c r="J5" s="346">
        <v>8000000031</v>
      </c>
      <c r="K5" s="24"/>
      <c r="L5" s="24"/>
      <c r="M5" s="24"/>
      <c r="N5" s="340" t="s">
        <v>486</v>
      </c>
      <c r="O5" s="333">
        <v>206597</v>
      </c>
      <c r="P5" s="25" t="s">
        <v>104</v>
      </c>
      <c r="Q5" s="127" t="s">
        <v>306</v>
      </c>
      <c r="R5" s="128" t="s">
        <v>487</v>
      </c>
      <c r="S5" s="24">
        <v>42765</v>
      </c>
      <c r="T5" s="36" t="s">
        <v>19</v>
      </c>
      <c r="U5" s="125"/>
      <c r="V5" s="88" t="s">
        <v>497</v>
      </c>
      <c r="W5" s="129"/>
      <c r="X5" s="88">
        <v>42873</v>
      </c>
      <c r="Y5" s="130" t="s">
        <v>20</v>
      </c>
      <c r="Z5" s="133" t="s">
        <v>60</v>
      </c>
      <c r="AA5" s="138"/>
      <c r="AB5" s="131">
        <v>700</v>
      </c>
      <c r="AC5" s="139">
        <v>241</v>
      </c>
      <c r="AD5" s="139"/>
      <c r="AE5" s="403">
        <f t="shared" si="0"/>
        <v>168700</v>
      </c>
      <c r="AF5" s="132" t="str">
        <f>IF(W5=BDD!$P$1,IMPORTS!AB5/25,IF(W5=BDD!$P$2,IMPORTS!AB5/25,IF(W5=BDD!$P$4,AB5/27,IF(IMPORTS!W5=BDD!$P$5,IMPORTS!AB5/26.6,IF(AND(U5=BDD!$N$1,W5=BDD!$P$8),AB5/25,"--")))))</f>
        <v>--</v>
      </c>
      <c r="AG5" s="130" t="s">
        <v>46</v>
      </c>
      <c r="AH5" s="130"/>
      <c r="AI5" s="130" t="s">
        <v>100</v>
      </c>
      <c r="AJ5" s="130"/>
      <c r="AK5" s="130"/>
      <c r="AL5" s="140" t="s">
        <v>489</v>
      </c>
      <c r="AM5" s="316"/>
      <c r="AN5" s="356"/>
      <c r="AO5" s="356"/>
      <c r="AP5" s="356"/>
      <c r="AQ5" s="26">
        <v>42912</v>
      </c>
      <c r="AR5" s="140"/>
      <c r="AS5" s="140"/>
      <c r="AT5" s="140">
        <v>42915</v>
      </c>
      <c r="AU5" s="418">
        <f t="shared" si="1"/>
        <v>6</v>
      </c>
      <c r="AV5" s="418">
        <f t="shared" si="2"/>
        <v>2017</v>
      </c>
      <c r="AW5" s="140"/>
      <c r="AX5" s="142"/>
      <c r="AY5" s="142" t="s">
        <v>281</v>
      </c>
      <c r="AZ5" s="143" t="s">
        <v>50</v>
      </c>
      <c r="BA5" s="143"/>
      <c r="BB5" s="140"/>
      <c r="BC5" s="132">
        <v>24</v>
      </c>
      <c r="BD5" s="140">
        <v>42867</v>
      </c>
      <c r="BE5" s="140" t="s">
        <v>491</v>
      </c>
      <c r="BF5" s="140" t="s">
        <v>491</v>
      </c>
      <c r="BG5" s="135" t="s">
        <v>52</v>
      </c>
      <c r="BH5" s="135"/>
      <c r="BI5" s="314"/>
      <c r="BJ5" s="314"/>
      <c r="BK5" s="24"/>
      <c r="BL5" s="24"/>
      <c r="BM5" s="24"/>
      <c r="BN5" s="24"/>
      <c r="BO5" s="24"/>
      <c r="BP5" s="140"/>
      <c r="BQ5" s="140"/>
      <c r="BR5" s="141"/>
      <c r="BS5" s="140"/>
      <c r="BT5" s="140"/>
      <c r="BU5" s="140"/>
      <c r="BV5" s="132" t="e">
        <f>IF(#REF!="COMPLETO","OK","PENDIENTES")</f>
        <v>#REF!</v>
      </c>
      <c r="BW5" s="132"/>
      <c r="BX5" s="132"/>
      <c r="BY5" s="132"/>
      <c r="BZ5" s="132"/>
      <c r="CA5" s="132"/>
      <c r="CB5" s="132"/>
      <c r="CC5" s="23">
        <v>4520055002</v>
      </c>
      <c r="CG5" s="140" t="s">
        <v>105</v>
      </c>
      <c r="CH5" s="140"/>
      <c r="CI5" s="140"/>
      <c r="CJ5" s="140"/>
    </row>
    <row r="6" spans="1:243" ht="15" customHeight="1">
      <c r="A6" s="18">
        <v>2017</v>
      </c>
      <c r="B6" s="18" t="str">
        <f>+INDEX(BDD!F:F,MATCH(P6,BDD!D:D,0))&amp;"-"&amp;INDEX(BDD!E:E,MATCH(P6,BDD!D:D,0))</f>
        <v>G-S</v>
      </c>
      <c r="C6" s="125" t="s">
        <v>484</v>
      </c>
      <c r="D6" s="126" t="s">
        <v>77</v>
      </c>
      <c r="E6" s="135"/>
      <c r="F6" s="24"/>
      <c r="G6" s="346">
        <v>8000000032</v>
      </c>
      <c r="H6" s="125" t="s">
        <v>498</v>
      </c>
      <c r="I6" s="329"/>
      <c r="J6" s="346">
        <v>8000000032</v>
      </c>
      <c r="K6" s="24"/>
      <c r="L6" s="24"/>
      <c r="M6" s="24"/>
      <c r="N6" s="340" t="s">
        <v>486</v>
      </c>
      <c r="O6" s="333">
        <v>206597</v>
      </c>
      <c r="P6" s="25" t="s">
        <v>104</v>
      </c>
      <c r="Q6" s="127" t="s">
        <v>306</v>
      </c>
      <c r="R6" s="128" t="s">
        <v>487</v>
      </c>
      <c r="T6" s="36" t="s">
        <v>19</v>
      </c>
      <c r="U6" s="125"/>
      <c r="V6" s="88" t="s">
        <v>499</v>
      </c>
      <c r="W6" s="129"/>
      <c r="X6" s="88">
        <v>42873</v>
      </c>
      <c r="Y6" s="130" t="s">
        <v>20</v>
      </c>
      <c r="Z6" s="133" t="s">
        <v>60</v>
      </c>
      <c r="AA6" s="133"/>
      <c r="AB6" s="131">
        <v>600</v>
      </c>
      <c r="AC6" s="134">
        <v>241</v>
      </c>
      <c r="AD6" s="134"/>
      <c r="AE6" s="403">
        <f t="shared" si="0"/>
        <v>144600</v>
      </c>
      <c r="AF6" s="132" t="str">
        <f>IF(W6=BDD!$P$1,IMPORTS!AB6/25,IF(W6=BDD!$P$2,IMPORTS!AB6/25,IF(W6=BDD!$P$4,AB6/27,IF(IMPORTS!W6=BDD!$P$5,IMPORTS!AB6/26.6,IF(AND(U6=BDD!$N$1,W6=BDD!$P$8),AB6/25,"--")))))</f>
        <v>--</v>
      </c>
      <c r="AG6" s="130" t="s">
        <v>46</v>
      </c>
      <c r="AH6" s="130"/>
      <c r="AI6" s="130" t="s">
        <v>100</v>
      </c>
      <c r="AJ6" s="130"/>
      <c r="AK6" s="130"/>
      <c r="AL6" s="135" t="s">
        <v>489</v>
      </c>
      <c r="AM6" s="314"/>
      <c r="AN6" s="26"/>
      <c r="AO6" s="26"/>
      <c r="AP6" s="26"/>
      <c r="AQ6" s="26">
        <v>42917</v>
      </c>
      <c r="AR6" s="24"/>
      <c r="AS6" s="24"/>
      <c r="AT6" s="24">
        <v>42918</v>
      </c>
      <c r="AU6" s="418">
        <f t="shared" si="1"/>
        <v>7</v>
      </c>
      <c r="AV6" s="418">
        <f t="shared" si="2"/>
        <v>2017</v>
      </c>
      <c r="AW6" s="140"/>
      <c r="AX6" s="142"/>
      <c r="AY6" s="142" t="s">
        <v>281</v>
      </c>
      <c r="AZ6" s="143" t="s">
        <v>62</v>
      </c>
      <c r="BA6" s="143"/>
      <c r="BB6" s="24"/>
      <c r="BC6" s="132" t="s">
        <v>500</v>
      </c>
      <c r="BD6" s="24">
        <v>42867</v>
      </c>
      <c r="BE6" s="24" t="s">
        <v>491</v>
      </c>
      <c r="BF6" s="24" t="s">
        <v>491</v>
      </c>
      <c r="BG6" s="135" t="s">
        <v>52</v>
      </c>
      <c r="BH6" s="135"/>
      <c r="BI6" s="314"/>
      <c r="BJ6" s="314"/>
      <c r="BK6" s="24"/>
      <c r="BL6" s="24"/>
      <c r="BM6" s="24"/>
      <c r="BN6" s="24"/>
      <c r="BO6" s="24"/>
      <c r="BP6" s="24"/>
      <c r="BQ6" s="24"/>
      <c r="BR6" s="43"/>
      <c r="BS6" s="24"/>
      <c r="BT6" s="24"/>
      <c r="BU6" s="24"/>
      <c r="BV6" s="132" t="e">
        <f>IF(#REF!="COMPLETO","OK","PENDIENTES")</f>
        <v>#REF!</v>
      </c>
      <c r="BW6" s="132"/>
      <c r="BX6" s="132"/>
      <c r="BY6" s="132"/>
      <c r="BZ6" s="132"/>
      <c r="CA6" s="132"/>
      <c r="CB6" s="132"/>
      <c r="CC6" s="23">
        <v>4520055003</v>
      </c>
      <c r="CG6" s="24" t="s">
        <v>105</v>
      </c>
      <c r="CH6" s="24"/>
      <c r="CI6" s="24"/>
      <c r="CJ6" s="24"/>
    </row>
    <row r="7" spans="1:243" ht="15" customHeight="1">
      <c r="A7" s="18">
        <v>2017</v>
      </c>
      <c r="B7" s="18" t="str">
        <f>+INDEX(BDD!F:F,MATCH(P7,BDD!D:D,0))&amp;"-"&amp;INDEX(BDD!E:E,MATCH(P7,BDD!D:D,0))</f>
        <v>G-S</v>
      </c>
      <c r="C7" s="125" t="s">
        <v>484</v>
      </c>
      <c r="D7" s="126" t="s">
        <v>77</v>
      </c>
      <c r="E7" s="135"/>
      <c r="F7" s="24"/>
      <c r="G7" s="346">
        <v>8000000036</v>
      </c>
      <c r="H7" s="125" t="s">
        <v>501</v>
      </c>
      <c r="I7" s="329"/>
      <c r="J7" s="346">
        <v>8000000036</v>
      </c>
      <c r="K7" s="24"/>
      <c r="L7" s="24"/>
      <c r="M7" s="24"/>
      <c r="N7" s="340" t="s">
        <v>486</v>
      </c>
      <c r="O7" s="333">
        <v>206599</v>
      </c>
      <c r="P7" s="25" t="s">
        <v>339</v>
      </c>
      <c r="Q7" s="127" t="s">
        <v>300</v>
      </c>
      <c r="R7" s="128">
        <v>5515</v>
      </c>
      <c r="S7" s="24">
        <v>42773</v>
      </c>
      <c r="T7" s="36" t="s">
        <v>19</v>
      </c>
      <c r="U7" s="125"/>
      <c r="V7" s="88" t="s">
        <v>502</v>
      </c>
      <c r="W7" s="129"/>
      <c r="X7" s="88">
        <v>42849</v>
      </c>
      <c r="Y7" s="130" t="s">
        <v>20</v>
      </c>
      <c r="Z7" s="133" t="s">
        <v>60</v>
      </c>
      <c r="AA7" s="24"/>
      <c r="AB7" s="131">
        <v>144</v>
      </c>
      <c r="AC7" s="134">
        <v>485</v>
      </c>
      <c r="AD7" s="134"/>
      <c r="AE7" s="403">
        <f t="shared" si="0"/>
        <v>69840</v>
      </c>
      <c r="AF7" s="132" t="str">
        <f>IF(W7=BDD!$P$1,IMPORTS!AB7/25,IF(W7=BDD!$P$2,IMPORTS!AB7/25,IF(W7=BDD!$P$4,AB7/27,IF(IMPORTS!W7=BDD!$P$5,IMPORTS!AB7/26.6,IF(AND(U7=BDD!$N$1,W7=BDD!$P$8),AB7/25,"--")))))</f>
        <v>--</v>
      </c>
      <c r="AG7" s="130" t="s">
        <v>5</v>
      </c>
      <c r="AH7" s="130"/>
      <c r="AI7" s="130" t="s">
        <v>71</v>
      </c>
      <c r="AJ7" s="130"/>
      <c r="AK7" s="130"/>
      <c r="AL7" s="144" t="s">
        <v>503</v>
      </c>
      <c r="AM7" s="315"/>
      <c r="AN7" s="184"/>
      <c r="AO7" s="357"/>
      <c r="AP7" s="184"/>
      <c r="AQ7" s="26">
        <v>42922</v>
      </c>
      <c r="AR7" s="24"/>
      <c r="AS7" s="24"/>
      <c r="AT7" s="27">
        <v>42924</v>
      </c>
      <c r="AU7" s="418">
        <f t="shared" si="1"/>
        <v>7</v>
      </c>
      <c r="AV7" s="418">
        <f t="shared" si="2"/>
        <v>2017</v>
      </c>
      <c r="AW7" s="27"/>
      <c r="AX7" s="142"/>
      <c r="AY7" s="142" t="s">
        <v>239</v>
      </c>
      <c r="AZ7" s="132" t="s">
        <v>37</v>
      </c>
      <c r="BA7" s="132"/>
      <c r="BB7" s="27"/>
      <c r="BC7" s="145">
        <v>0</v>
      </c>
      <c r="BD7" s="27">
        <v>42835</v>
      </c>
      <c r="BE7" s="27" t="s">
        <v>504</v>
      </c>
      <c r="BF7" s="27" t="s">
        <v>505</v>
      </c>
      <c r="BG7" s="144" t="s">
        <v>150</v>
      </c>
      <c r="BH7" s="144"/>
      <c r="BI7" s="315"/>
      <c r="BJ7" s="315"/>
      <c r="BK7" s="24"/>
      <c r="BL7" s="24"/>
      <c r="BM7" s="24"/>
      <c r="BN7" s="24"/>
      <c r="BO7" s="24">
        <f>+AQ7+14</f>
        <v>42936</v>
      </c>
      <c r="BP7" s="24"/>
      <c r="BQ7" s="24"/>
      <c r="BR7" s="43"/>
      <c r="BS7" s="24"/>
      <c r="BT7" s="24"/>
      <c r="BU7" s="24"/>
      <c r="BV7" s="132" t="e">
        <f>IF(#REF!="COMPLETO","OK","PENDIENTES")</f>
        <v>#REF!</v>
      </c>
      <c r="BW7" s="132"/>
      <c r="BX7" s="132"/>
      <c r="BY7" s="132"/>
      <c r="BZ7" s="132"/>
      <c r="CA7" s="132"/>
      <c r="CB7" s="132"/>
      <c r="CC7" s="23">
        <v>4520054674</v>
      </c>
      <c r="CG7" s="24" t="s">
        <v>105</v>
      </c>
      <c r="CH7" s="24"/>
      <c r="CI7" s="27"/>
      <c r="CJ7" s="27"/>
    </row>
    <row r="8" spans="1:243" ht="15" customHeight="1">
      <c r="A8" s="18">
        <v>2017</v>
      </c>
      <c r="B8" s="18" t="str">
        <f>+INDEX(BDD!F:F,MATCH(P8,BDD!D:D,0))&amp;"-"&amp;INDEX(BDD!E:E,MATCH(P8,BDD!D:D,0))</f>
        <v>S-P</v>
      </c>
      <c r="C8" s="125" t="s">
        <v>484</v>
      </c>
      <c r="D8" s="126" t="s">
        <v>77</v>
      </c>
      <c r="E8" s="135"/>
      <c r="F8" s="24"/>
      <c r="G8" s="346">
        <v>8000000037</v>
      </c>
      <c r="H8" s="125" t="s">
        <v>506</v>
      </c>
      <c r="I8" s="329"/>
      <c r="J8" s="346">
        <v>8000000037</v>
      </c>
      <c r="K8" s="24"/>
      <c r="L8" s="24"/>
      <c r="M8" s="24"/>
      <c r="N8" s="340" t="s">
        <v>486</v>
      </c>
      <c r="O8" s="333">
        <v>207498</v>
      </c>
      <c r="P8" s="25" t="s">
        <v>343</v>
      </c>
      <c r="Q8" s="127" t="s">
        <v>66</v>
      </c>
      <c r="R8" s="128">
        <v>740.19770000000005</v>
      </c>
      <c r="S8" s="24">
        <v>42821</v>
      </c>
      <c r="T8" s="36">
        <v>90</v>
      </c>
      <c r="U8" s="125" t="s">
        <v>118</v>
      </c>
      <c r="V8" s="88" t="s">
        <v>507</v>
      </c>
      <c r="W8" s="129"/>
      <c r="X8" s="88">
        <f>IF(RIGHT(U8,3)="ETA",AQ8+T8,IF(RIGHT(U8,2)="BL",BD8+T8," "))</f>
        <v>42929</v>
      </c>
      <c r="Y8" s="130" t="s">
        <v>20</v>
      </c>
      <c r="Z8" s="133" t="s">
        <v>60</v>
      </c>
      <c r="AA8" s="133"/>
      <c r="AB8" s="131">
        <v>54</v>
      </c>
      <c r="AC8" s="134">
        <v>550.29</v>
      </c>
      <c r="AD8" s="134"/>
      <c r="AE8" s="403">
        <f t="shared" si="0"/>
        <v>29715.659999999996</v>
      </c>
      <c r="AF8" s="132" t="str">
        <f>IF(W8=BDD!$P$1,IMPORTS!AB8/25,IF(W8=BDD!$P$2,IMPORTS!AB8/25,IF(W8=BDD!$P$4,AB8/27,IF(IMPORTS!W8=BDD!$P$5,IMPORTS!AB8/26.6,IF(AND(U8=BDD!$N$1,W8=BDD!$P$8),AB8/25,"--")))))</f>
        <v>--</v>
      </c>
      <c r="AG8" s="130" t="s">
        <v>5</v>
      </c>
      <c r="AH8" s="130"/>
      <c r="AI8" s="130" t="s">
        <v>34</v>
      </c>
      <c r="AJ8" s="130"/>
      <c r="AK8" s="130"/>
      <c r="AL8" s="135" t="s">
        <v>503</v>
      </c>
      <c r="AM8" s="314"/>
      <c r="AN8" s="26"/>
      <c r="AO8" s="26"/>
      <c r="AP8" s="26"/>
      <c r="AQ8" s="26">
        <v>42884</v>
      </c>
      <c r="AR8" s="24"/>
      <c r="AS8" s="24"/>
      <c r="AT8" s="24">
        <v>42888</v>
      </c>
      <c r="AU8" s="418">
        <f t="shared" si="1"/>
        <v>6</v>
      </c>
      <c r="AV8" s="418">
        <f t="shared" si="2"/>
        <v>2017</v>
      </c>
      <c r="AW8" s="24"/>
      <c r="AX8" s="24"/>
      <c r="AY8" s="24" t="s">
        <v>311</v>
      </c>
      <c r="AZ8" s="132" t="s">
        <v>9</v>
      </c>
      <c r="BA8" s="132"/>
      <c r="BB8" s="24"/>
      <c r="BC8" s="132" t="s">
        <v>508</v>
      </c>
      <c r="BD8" s="24">
        <v>42839</v>
      </c>
      <c r="BE8" s="24" t="s">
        <v>509</v>
      </c>
      <c r="BF8" s="24" t="s">
        <v>510</v>
      </c>
      <c r="BG8" s="135" t="s">
        <v>29</v>
      </c>
      <c r="BH8" s="135"/>
      <c r="BI8" s="314"/>
      <c r="BJ8" s="314"/>
      <c r="BK8" s="24"/>
      <c r="BL8" s="24"/>
      <c r="BM8" s="24"/>
      <c r="BN8" s="24"/>
      <c r="BO8" s="24">
        <f>+AQ8+14</f>
        <v>42898</v>
      </c>
      <c r="BP8" s="24"/>
      <c r="BQ8" s="24"/>
      <c r="BR8" s="43"/>
      <c r="BS8" s="24"/>
      <c r="BT8" s="24"/>
      <c r="BU8" s="24"/>
      <c r="BV8" s="132" t="e">
        <f>IF(#REF!="COMPLETO","OK","PENDIENTES")</f>
        <v>#REF!</v>
      </c>
      <c r="BW8" s="132"/>
      <c r="BX8" s="132"/>
      <c r="BY8" s="132"/>
      <c r="BZ8" s="132"/>
      <c r="CA8" s="132"/>
      <c r="CB8" s="132"/>
      <c r="CC8" s="23">
        <v>4520053033</v>
      </c>
      <c r="CG8" s="24" t="s">
        <v>105</v>
      </c>
      <c r="CH8" s="24"/>
      <c r="CI8" s="24"/>
      <c r="CJ8" s="24"/>
    </row>
    <row r="9" spans="1:243" ht="15" customHeight="1">
      <c r="A9" s="18">
        <v>2017</v>
      </c>
      <c r="B9" s="18" t="str">
        <f>+INDEX(BDD!F:F,MATCH(P9,BDD!D:D,0))&amp;"-"&amp;INDEX(BDD!E:E,MATCH(P9,BDD!D:D,0))</f>
        <v>S-S</v>
      </c>
      <c r="C9" s="125" t="s">
        <v>484</v>
      </c>
      <c r="D9" s="126" t="s">
        <v>77</v>
      </c>
      <c r="E9" s="135"/>
      <c r="F9" s="24"/>
      <c r="G9" s="346">
        <v>8000000038</v>
      </c>
      <c r="H9" s="125" t="s">
        <v>511</v>
      </c>
      <c r="I9" s="329"/>
      <c r="J9" s="346">
        <v>8000000038</v>
      </c>
      <c r="K9" s="24"/>
      <c r="L9" s="24"/>
      <c r="M9" s="24"/>
      <c r="N9" s="340" t="s">
        <v>486</v>
      </c>
      <c r="O9" s="333">
        <v>206971</v>
      </c>
      <c r="P9" s="25" t="s">
        <v>340</v>
      </c>
      <c r="Q9" s="127" t="s">
        <v>213</v>
      </c>
      <c r="R9" s="128" t="s">
        <v>512</v>
      </c>
      <c r="S9" s="24">
        <v>42782</v>
      </c>
      <c r="T9" s="36">
        <v>90</v>
      </c>
      <c r="U9" s="125" t="s">
        <v>118</v>
      </c>
      <c r="V9" s="88" t="s">
        <v>513</v>
      </c>
      <c r="W9" s="129"/>
      <c r="X9" s="88">
        <f>IF(RIGHT(U9,3)="ETA",AQ9+T9,IF(RIGHT(U9,2)="BL",BD9+T9," "))</f>
        <v>42941</v>
      </c>
      <c r="Y9" s="130" t="s">
        <v>20</v>
      </c>
      <c r="Z9" s="133" t="s">
        <v>72</v>
      </c>
      <c r="AA9" s="133"/>
      <c r="AB9" s="131">
        <v>350</v>
      </c>
      <c r="AC9" s="134">
        <v>505</v>
      </c>
      <c r="AD9" s="134"/>
      <c r="AE9" s="403">
        <f t="shared" si="0"/>
        <v>176750</v>
      </c>
      <c r="AF9" s="132" t="str">
        <f>IF(W9=BDD!$P$1,IMPORTS!AB9/25,IF(W9=BDD!$P$2,IMPORTS!AB9/25,IF(W9=BDD!$P$4,AB9/27,IF(IMPORTS!W9=BDD!$P$5,IMPORTS!AB9/26.6,IF(AND(U9=BDD!$N$1,W9=BDD!$P$8),AB9/25,"--")))))</f>
        <v>--</v>
      </c>
      <c r="AG9" s="130" t="s">
        <v>5</v>
      </c>
      <c r="AH9" s="130"/>
      <c r="AI9" s="130" t="s">
        <v>34</v>
      </c>
      <c r="AJ9" s="130"/>
      <c r="AK9" s="130"/>
      <c r="AL9" s="135" t="s">
        <v>503</v>
      </c>
      <c r="AM9" s="314"/>
      <c r="AN9" s="26"/>
      <c r="AO9" s="26"/>
      <c r="AP9" s="26"/>
      <c r="AQ9" s="26">
        <v>42893</v>
      </c>
      <c r="AR9" s="24"/>
      <c r="AS9" s="24"/>
      <c r="AT9" s="24">
        <v>42898</v>
      </c>
      <c r="AU9" s="418">
        <f t="shared" si="1"/>
        <v>6</v>
      </c>
      <c r="AV9" s="418">
        <f t="shared" si="2"/>
        <v>2017</v>
      </c>
      <c r="AW9" s="24"/>
      <c r="AX9" s="24"/>
      <c r="AY9" s="24" t="s">
        <v>193</v>
      </c>
      <c r="AZ9" s="132" t="s">
        <v>9</v>
      </c>
      <c r="BA9" s="132"/>
      <c r="BB9" s="24"/>
      <c r="BC9" s="132" t="s">
        <v>514</v>
      </c>
      <c r="BD9" s="24">
        <v>42851</v>
      </c>
      <c r="BE9" s="24" t="s">
        <v>515</v>
      </c>
      <c r="BF9" s="24" t="s">
        <v>516</v>
      </c>
      <c r="BG9" s="135" t="s">
        <v>65</v>
      </c>
      <c r="BH9" s="135"/>
      <c r="BI9" s="314"/>
      <c r="BJ9" s="314"/>
      <c r="BK9" s="24"/>
      <c r="BL9" s="24"/>
      <c r="BM9" s="24"/>
      <c r="BN9" s="24"/>
      <c r="BO9" s="24">
        <f>+AQ9+14</f>
        <v>42907</v>
      </c>
      <c r="BP9" s="24"/>
      <c r="BQ9" s="24"/>
      <c r="BR9" s="43"/>
      <c r="BS9" s="24"/>
      <c r="BT9" s="24"/>
      <c r="BU9" s="24"/>
      <c r="BV9" s="132" t="e">
        <f>IF(#REF!="COMPLETO","OK","PENDIENTES")</f>
        <v>#REF!</v>
      </c>
      <c r="BW9" s="132"/>
      <c r="BX9" s="132"/>
      <c r="BY9" s="132"/>
      <c r="BZ9" s="132"/>
      <c r="CA9" s="132"/>
      <c r="CB9" s="132"/>
      <c r="CC9" s="23">
        <v>4520055143</v>
      </c>
      <c r="CG9" s="24" t="s">
        <v>105</v>
      </c>
      <c r="CH9" s="24"/>
      <c r="CI9" s="24"/>
      <c r="CJ9" s="24"/>
    </row>
    <row r="10" spans="1:243" ht="15" customHeight="1">
      <c r="A10" s="18">
        <v>2017</v>
      </c>
      <c r="B10" s="18" t="str">
        <f>+INDEX(BDD!F:F,MATCH(P10,BDD!D:D,0))&amp;"-"&amp;INDEX(BDD!E:E,MATCH(P10,BDD!D:D,0))</f>
        <v>S-S</v>
      </c>
      <c r="C10" s="125" t="s">
        <v>484</v>
      </c>
      <c r="D10" s="126" t="s">
        <v>77</v>
      </c>
      <c r="E10" s="135"/>
      <c r="F10" s="24"/>
      <c r="G10" s="346">
        <v>8000000039</v>
      </c>
      <c r="H10" s="125" t="s">
        <v>517</v>
      </c>
      <c r="I10" s="329"/>
      <c r="J10" s="346">
        <v>8000000039</v>
      </c>
      <c r="K10" s="24"/>
      <c r="L10" s="24"/>
      <c r="M10" s="24"/>
      <c r="N10" s="340" t="s">
        <v>486</v>
      </c>
      <c r="O10" s="333">
        <v>206971</v>
      </c>
      <c r="P10" s="25" t="s">
        <v>340</v>
      </c>
      <c r="Q10" s="127" t="s">
        <v>213</v>
      </c>
      <c r="R10" s="128" t="s">
        <v>518</v>
      </c>
      <c r="S10" s="24">
        <v>42782</v>
      </c>
      <c r="T10" s="36">
        <v>90</v>
      </c>
      <c r="U10" s="125" t="s">
        <v>118</v>
      </c>
      <c r="V10" s="88" t="s">
        <v>519</v>
      </c>
      <c r="W10" s="129"/>
      <c r="X10" s="88">
        <f>IF(RIGHT(U10,3)="ETA",AQ10+T10,IF(RIGHT(U10,2)="BL",BD10+T10," "))</f>
        <v>42941</v>
      </c>
      <c r="Y10" s="130" t="s">
        <v>20</v>
      </c>
      <c r="Z10" s="146" t="s">
        <v>72</v>
      </c>
      <c r="AA10" s="146"/>
      <c r="AB10" s="131">
        <v>100</v>
      </c>
      <c r="AC10" s="134">
        <v>500</v>
      </c>
      <c r="AD10" s="134"/>
      <c r="AE10" s="403">
        <f t="shared" si="0"/>
        <v>50000</v>
      </c>
      <c r="AF10" s="132" t="str">
        <f>IF(W10=BDD!$P$1,IMPORTS!AB10/25,IF(W10=BDD!$P$2,IMPORTS!AB10/25,IF(W10=BDD!$P$4,AB10/27,IF(IMPORTS!W10=BDD!$P$5,IMPORTS!AB10/26.6,IF(AND(U10=BDD!$N$1,W10=BDD!$P$8),AB10/25,"--")))))</f>
        <v>--</v>
      </c>
      <c r="AG10" s="130" t="s">
        <v>5</v>
      </c>
      <c r="AH10" s="130"/>
      <c r="AI10" s="130" t="s">
        <v>34</v>
      </c>
      <c r="AJ10" s="130"/>
      <c r="AK10" s="130"/>
      <c r="AL10" s="135" t="s">
        <v>503</v>
      </c>
      <c r="AM10" s="314"/>
      <c r="AN10" s="26"/>
      <c r="AO10" s="26"/>
      <c r="AP10" s="26"/>
      <c r="AQ10" s="26">
        <v>42890</v>
      </c>
      <c r="AR10" s="24"/>
      <c r="AS10" s="24"/>
      <c r="AT10" s="24">
        <v>42892</v>
      </c>
      <c r="AU10" s="418">
        <f t="shared" si="1"/>
        <v>6</v>
      </c>
      <c r="AV10" s="418">
        <f t="shared" si="2"/>
        <v>2017</v>
      </c>
      <c r="AW10" s="24"/>
      <c r="AX10" s="24"/>
      <c r="AY10" s="24" t="s">
        <v>193</v>
      </c>
      <c r="AZ10" s="132" t="s">
        <v>37</v>
      </c>
      <c r="BA10" s="132"/>
      <c r="BB10" s="24"/>
      <c r="BC10" s="135" t="s">
        <v>520</v>
      </c>
      <c r="BD10" s="24">
        <v>42851</v>
      </c>
      <c r="BE10" s="135" t="s">
        <v>515</v>
      </c>
      <c r="BF10" s="135" t="s">
        <v>515</v>
      </c>
      <c r="BG10" s="135" t="s">
        <v>65</v>
      </c>
      <c r="BH10" s="135"/>
      <c r="BI10" s="314"/>
      <c r="BJ10" s="314"/>
      <c r="BK10" s="24"/>
      <c r="BL10" s="24"/>
      <c r="BM10" s="24"/>
      <c r="BN10" s="24"/>
      <c r="BO10" s="24">
        <f>+AQ10+14</f>
        <v>42904</v>
      </c>
      <c r="BP10" s="24"/>
      <c r="BQ10" s="24"/>
      <c r="BR10" s="43"/>
      <c r="BS10" s="24"/>
      <c r="BT10" s="24"/>
      <c r="BU10" s="24"/>
      <c r="BV10" s="132" t="e">
        <f>IF(#REF!="COMPLETO","OK","PENDIENTES")</f>
        <v>#REF!</v>
      </c>
      <c r="BW10" s="132"/>
      <c r="BX10" s="132"/>
      <c r="BY10" s="132"/>
      <c r="BZ10" s="132"/>
      <c r="CA10" s="132"/>
      <c r="CB10" s="132"/>
      <c r="CC10" s="23">
        <v>4520055144</v>
      </c>
      <c r="CG10" s="24" t="s">
        <v>105</v>
      </c>
      <c r="CH10" s="24"/>
      <c r="CI10" s="24"/>
      <c r="CJ10" s="24"/>
    </row>
    <row r="11" spans="1:243" ht="15" customHeight="1">
      <c r="A11" s="18">
        <v>2017</v>
      </c>
      <c r="B11" s="18" t="str">
        <f>+INDEX(BDD!F:F,MATCH(P11,BDD!D:D,0))&amp;"-"&amp;INDEX(BDD!E:E,MATCH(P11,BDD!D:D,0))</f>
        <v>S-S</v>
      </c>
      <c r="C11" s="125" t="s">
        <v>484</v>
      </c>
      <c r="D11" s="126" t="s">
        <v>77</v>
      </c>
      <c r="E11" s="135"/>
      <c r="F11" s="24"/>
      <c r="G11" s="346">
        <v>8000000040</v>
      </c>
      <c r="H11" s="125" t="s">
        <v>521</v>
      </c>
      <c r="I11" s="329"/>
      <c r="J11" s="346">
        <v>8000000040</v>
      </c>
      <c r="K11" s="24"/>
      <c r="L11" s="24"/>
      <c r="M11" s="24"/>
      <c r="N11" s="340" t="s">
        <v>486</v>
      </c>
      <c r="O11" s="333">
        <v>206971</v>
      </c>
      <c r="P11" s="25" t="s">
        <v>340</v>
      </c>
      <c r="Q11" s="127" t="s">
        <v>213</v>
      </c>
      <c r="R11" s="128" t="s">
        <v>522</v>
      </c>
      <c r="S11" s="24">
        <v>42782</v>
      </c>
      <c r="T11" s="36">
        <v>90</v>
      </c>
      <c r="U11" s="125" t="s">
        <v>118</v>
      </c>
      <c r="V11" s="147" t="s">
        <v>523</v>
      </c>
      <c r="W11" s="129"/>
      <c r="X11" s="88">
        <f>IF(RIGHT(U11,3)="ETA",AQ11+T11,IF(RIGHT(U11,2)="BL",BD11+T11," "))</f>
        <v>42969</v>
      </c>
      <c r="Y11" s="130" t="s">
        <v>20</v>
      </c>
      <c r="Z11" s="146" t="s">
        <v>72</v>
      </c>
      <c r="AA11" s="146"/>
      <c r="AB11" s="131">
        <v>100</v>
      </c>
      <c r="AC11" s="134">
        <v>500</v>
      </c>
      <c r="AD11" s="134"/>
      <c r="AE11" s="403">
        <f t="shared" si="0"/>
        <v>50000</v>
      </c>
      <c r="AF11" s="132" t="str">
        <f>IF(W11=BDD!$P$1,IMPORTS!AB11/25,IF(W11=BDD!$P$2,IMPORTS!AB11/25,IF(W11=BDD!$P$4,AB11/27,IF(IMPORTS!W11=BDD!$P$5,IMPORTS!AB11/26.6,IF(AND(U11=BDD!$N$1,W11=BDD!$P$8),AB11/25,"--")))))</f>
        <v>--</v>
      </c>
      <c r="AG11" s="130" t="s">
        <v>5</v>
      </c>
      <c r="AH11" s="130"/>
      <c r="AI11" s="130" t="s">
        <v>34</v>
      </c>
      <c r="AJ11" s="130"/>
      <c r="AK11" s="130"/>
      <c r="AL11" s="135" t="s">
        <v>489</v>
      </c>
      <c r="AM11" s="314"/>
      <c r="AN11" s="26"/>
      <c r="AO11" s="26"/>
      <c r="AP11" s="26"/>
      <c r="AQ11" s="26">
        <v>42910</v>
      </c>
      <c r="AR11" s="24"/>
      <c r="AS11" s="24"/>
      <c r="AT11" s="24">
        <v>42920</v>
      </c>
      <c r="AU11" s="418">
        <f t="shared" si="1"/>
        <v>7</v>
      </c>
      <c r="AV11" s="418">
        <f t="shared" si="2"/>
        <v>2017</v>
      </c>
      <c r="AW11" s="24"/>
      <c r="AX11" s="24"/>
      <c r="AY11" s="24" t="s">
        <v>193</v>
      </c>
      <c r="AZ11" s="132" t="s">
        <v>37</v>
      </c>
      <c r="BA11" s="132"/>
      <c r="BB11" s="24"/>
      <c r="BC11" s="135" t="s">
        <v>524</v>
      </c>
      <c r="BD11" s="24">
        <v>42879</v>
      </c>
      <c r="BE11" s="135" t="s">
        <v>525</v>
      </c>
      <c r="BF11" s="135" t="s">
        <v>525</v>
      </c>
      <c r="BG11" s="135" t="s">
        <v>29</v>
      </c>
      <c r="BH11" s="135"/>
      <c r="BI11" s="314"/>
      <c r="BJ11" s="314"/>
      <c r="BK11" s="24"/>
      <c r="BL11" s="24"/>
      <c r="BM11" s="24"/>
      <c r="BN11" s="24"/>
      <c r="BO11" s="24">
        <v>42924</v>
      </c>
      <c r="BP11" s="24"/>
      <c r="BQ11" s="24"/>
      <c r="BR11" s="43"/>
      <c r="BS11" s="24"/>
      <c r="BT11" s="24"/>
      <c r="BU11" s="24"/>
      <c r="BV11" s="132" t="e">
        <f>IF(#REF!="COMPLETO","OK","PENDIENTES")</f>
        <v>#REF!</v>
      </c>
      <c r="BW11" s="132"/>
      <c r="BX11" s="132"/>
      <c r="BY11" s="132"/>
      <c r="BZ11" s="132"/>
      <c r="CA11" s="132"/>
      <c r="CB11" s="132"/>
      <c r="CC11" s="23">
        <v>4520055191</v>
      </c>
      <c r="CG11" s="24" t="s">
        <v>105</v>
      </c>
      <c r="CH11" s="24"/>
      <c r="CI11" s="24"/>
      <c r="CJ11" s="24"/>
    </row>
    <row r="12" spans="1:243" ht="15" customHeight="1">
      <c r="A12" s="18">
        <v>2017</v>
      </c>
      <c r="B12" s="18" t="str">
        <f>+INDEX(BDD!F:F,MATCH(P12,BDD!D:D,0))&amp;"-"&amp;INDEX(BDD!E:E,MATCH(P12,BDD!D:D,0))</f>
        <v>E-S</v>
      </c>
      <c r="C12" s="125" t="s">
        <v>484</v>
      </c>
      <c r="D12" s="126" t="s">
        <v>77</v>
      </c>
      <c r="E12" s="135"/>
      <c r="F12" s="24"/>
      <c r="G12" s="346">
        <v>8000000042</v>
      </c>
      <c r="H12" s="125" t="s">
        <v>526</v>
      </c>
      <c r="I12" s="329"/>
      <c r="J12" s="346">
        <v>8000000042</v>
      </c>
      <c r="K12" s="24"/>
      <c r="L12" s="24"/>
      <c r="M12" s="24"/>
      <c r="N12" s="340" t="s">
        <v>486</v>
      </c>
      <c r="O12" s="333">
        <v>204825</v>
      </c>
      <c r="P12" s="25" t="s">
        <v>31</v>
      </c>
      <c r="Q12" s="127" t="s">
        <v>146</v>
      </c>
      <c r="R12" s="128" t="s">
        <v>527</v>
      </c>
      <c r="S12" s="24">
        <v>42856</v>
      </c>
      <c r="T12" s="36">
        <v>90</v>
      </c>
      <c r="U12" s="125" t="s">
        <v>118</v>
      </c>
      <c r="V12" s="88" t="s">
        <v>528</v>
      </c>
      <c r="W12" s="129"/>
      <c r="X12" s="88">
        <f>IF(RIGHT(U12,3)="ETA",AQ12+T12,IF(RIGHT(U12,2)="BL",BD12+T12," "))</f>
        <v>42964</v>
      </c>
      <c r="Y12" s="130" t="s">
        <v>20</v>
      </c>
      <c r="Z12" s="146" t="s">
        <v>81</v>
      </c>
      <c r="AA12" s="146"/>
      <c r="AB12" s="131">
        <v>38.1</v>
      </c>
      <c r="AC12" s="134">
        <v>1025.32</v>
      </c>
      <c r="AD12" s="134"/>
      <c r="AE12" s="403">
        <f t="shared" si="0"/>
        <v>39064.691999999995</v>
      </c>
      <c r="AF12" s="132">
        <v>2</v>
      </c>
      <c r="AG12" s="130" t="s">
        <v>21</v>
      </c>
      <c r="AH12" s="130"/>
      <c r="AI12" s="130" t="s">
        <v>100</v>
      </c>
      <c r="AJ12" s="130"/>
      <c r="AK12" s="130"/>
      <c r="AL12" s="135" t="s">
        <v>489</v>
      </c>
      <c r="AM12" s="314"/>
      <c r="AN12" s="26"/>
      <c r="AO12" s="26"/>
      <c r="AP12" s="26"/>
      <c r="AQ12" s="26">
        <v>42909</v>
      </c>
      <c r="AR12" s="24"/>
      <c r="AS12" s="24"/>
      <c r="AT12" s="24">
        <v>42920</v>
      </c>
      <c r="AU12" s="418">
        <f t="shared" si="1"/>
        <v>7</v>
      </c>
      <c r="AV12" s="418">
        <f t="shared" si="2"/>
        <v>2017</v>
      </c>
      <c r="AW12" s="24"/>
      <c r="AX12" s="24"/>
      <c r="AY12" s="24" t="s">
        <v>127</v>
      </c>
      <c r="AZ12" s="132" t="s">
        <v>37</v>
      </c>
      <c r="BA12" s="132"/>
      <c r="BB12" s="24"/>
      <c r="BC12" s="135" t="s">
        <v>529</v>
      </c>
      <c r="BD12" s="24">
        <v>42874</v>
      </c>
      <c r="BE12" s="135" t="s">
        <v>530</v>
      </c>
      <c r="BF12" s="135" t="s">
        <v>531</v>
      </c>
      <c r="BG12" s="135" t="s">
        <v>14</v>
      </c>
      <c r="BH12" s="135"/>
      <c r="BI12" s="314"/>
      <c r="BJ12" s="314"/>
      <c r="BK12" s="24"/>
      <c r="BL12" s="24"/>
      <c r="BM12" s="24"/>
      <c r="BN12" s="24"/>
      <c r="BO12" s="24">
        <f>+AQ12+7</f>
        <v>42916</v>
      </c>
      <c r="BP12" s="24"/>
      <c r="BQ12" s="24"/>
      <c r="BR12" s="43"/>
      <c r="BS12" s="24"/>
      <c r="BT12" s="24"/>
      <c r="BU12" s="24"/>
      <c r="BV12" s="132" t="e">
        <f>IF(#REF!="COMPLETO","OK","PENDIENTES")</f>
        <v>#REF!</v>
      </c>
      <c r="BW12" s="132"/>
      <c r="BX12" s="132"/>
      <c r="BY12" s="132"/>
      <c r="BZ12" s="132"/>
      <c r="CA12" s="132"/>
      <c r="CB12" s="132"/>
      <c r="CC12" s="23">
        <v>4520054099</v>
      </c>
      <c r="CG12" s="24" t="s">
        <v>105</v>
      </c>
      <c r="CH12" s="24"/>
      <c r="CI12" s="24"/>
      <c r="CJ12" s="24"/>
    </row>
    <row r="13" spans="1:243" ht="15" customHeight="1">
      <c r="A13" s="18">
        <v>2017</v>
      </c>
      <c r="B13" s="18" t="str">
        <f>+INDEX(BDD!F:F,MATCH(P13,BDD!D:D,0))&amp;"-"&amp;INDEX(BDD!E:E,MATCH(P13,BDD!D:D,0))</f>
        <v>G-C</v>
      </c>
      <c r="C13" s="125" t="s">
        <v>484</v>
      </c>
      <c r="D13" s="126" t="s">
        <v>77</v>
      </c>
      <c r="E13" s="135"/>
      <c r="F13" s="24"/>
      <c r="G13" s="346">
        <v>8000000016</v>
      </c>
      <c r="H13" s="125" t="s">
        <v>532</v>
      </c>
      <c r="I13" s="329"/>
      <c r="J13" s="346">
        <v>8000000016</v>
      </c>
      <c r="K13" s="24"/>
      <c r="L13" s="24"/>
      <c r="M13" s="24"/>
      <c r="N13" s="340" t="s">
        <v>486</v>
      </c>
      <c r="O13" s="333">
        <v>206573</v>
      </c>
      <c r="P13" s="25" t="s">
        <v>226</v>
      </c>
      <c r="Q13" s="127" t="s">
        <v>533</v>
      </c>
      <c r="R13" s="128" t="s">
        <v>534</v>
      </c>
      <c r="S13" s="24">
        <v>42837</v>
      </c>
      <c r="T13" s="36">
        <v>30</v>
      </c>
      <c r="U13" s="125" t="s">
        <v>131</v>
      </c>
      <c r="V13" s="88" t="s">
        <v>535</v>
      </c>
      <c r="W13" s="129"/>
      <c r="X13" s="88">
        <v>42905</v>
      </c>
      <c r="Y13" s="130" t="s">
        <v>20</v>
      </c>
      <c r="Z13" s="146" t="s">
        <v>60</v>
      </c>
      <c r="AA13" s="146"/>
      <c r="AB13" s="131">
        <v>150</v>
      </c>
      <c r="AC13" s="134">
        <v>260</v>
      </c>
      <c r="AD13" s="134"/>
      <c r="AE13" s="403">
        <f t="shared" si="0"/>
        <v>39000</v>
      </c>
      <c r="AF13" s="132" t="str">
        <f>IF(W13=BDD!$P$1,IMPORTS!AB13/25,IF(W13=BDD!$P$2,IMPORTS!AB13/25,IF(W13=BDD!$P$4,AB13/27,IF(IMPORTS!W13=BDD!$P$5,IMPORTS!AB13/26.6,IF(AND(U13=BDD!$N$1,W13=BDD!$P$8),AB13/25,"--")))))</f>
        <v>--</v>
      </c>
      <c r="AG13" s="130" t="s">
        <v>46</v>
      </c>
      <c r="AH13" s="130"/>
      <c r="AI13" s="130" t="s">
        <v>100</v>
      </c>
      <c r="AJ13" s="130"/>
      <c r="AK13" s="130"/>
      <c r="AL13" s="135" t="s">
        <v>489</v>
      </c>
      <c r="AM13" s="314"/>
      <c r="AN13" s="26"/>
      <c r="AO13" s="26"/>
      <c r="AP13" s="26"/>
      <c r="AQ13" s="26">
        <v>42881</v>
      </c>
      <c r="AR13" s="24"/>
      <c r="AS13" s="24"/>
      <c r="AT13" s="24">
        <v>42885</v>
      </c>
      <c r="AU13" s="418">
        <f t="shared" si="1"/>
        <v>5</v>
      </c>
      <c r="AV13" s="418">
        <f t="shared" si="2"/>
        <v>2017</v>
      </c>
      <c r="AW13" s="24"/>
      <c r="AX13" s="24"/>
      <c r="AY13" s="24" t="s">
        <v>269</v>
      </c>
      <c r="AZ13" s="132" t="s">
        <v>25</v>
      </c>
      <c r="BA13" s="132"/>
      <c r="BB13" s="24"/>
      <c r="BC13" s="135">
        <v>12</v>
      </c>
      <c r="BD13" s="24">
        <v>42852</v>
      </c>
      <c r="BE13" s="135" t="s">
        <v>536</v>
      </c>
      <c r="BF13" s="135" t="s">
        <v>536</v>
      </c>
      <c r="BG13" s="135" t="s">
        <v>52</v>
      </c>
      <c r="BH13" s="135"/>
      <c r="BI13" s="314"/>
      <c r="BJ13" s="314"/>
      <c r="BK13" s="24"/>
      <c r="BL13" s="24"/>
      <c r="BM13" s="24"/>
      <c r="BN13" s="24"/>
      <c r="BO13" s="24"/>
      <c r="BP13" s="24"/>
      <c r="BQ13" s="24"/>
      <c r="BR13" s="43"/>
      <c r="BS13" s="24"/>
      <c r="BT13" s="24"/>
      <c r="BU13" s="24"/>
      <c r="BV13" s="132" t="e">
        <f>IF(#REF!="COMPLETO","OK","PENDIENTES")</f>
        <v>#REF!</v>
      </c>
      <c r="BW13" s="132"/>
      <c r="BX13" s="132"/>
      <c r="BY13" s="132"/>
      <c r="BZ13" s="132"/>
      <c r="CA13" s="132"/>
      <c r="CB13" s="132"/>
      <c r="CC13" s="23">
        <v>4520054655</v>
      </c>
      <c r="CG13" s="24" t="s">
        <v>105</v>
      </c>
      <c r="CH13" s="24"/>
      <c r="CI13" s="24"/>
      <c r="CJ13" s="24"/>
    </row>
    <row r="14" spans="1:243" ht="15" customHeight="1">
      <c r="A14" s="18">
        <v>2017</v>
      </c>
      <c r="B14" s="18" t="str">
        <f>+INDEX(BDD!F:F,MATCH(P14,BDD!D:D,0))&amp;"-"&amp;INDEX(BDD!E:E,MATCH(P14,BDD!D:D,0))</f>
        <v>G-C</v>
      </c>
      <c r="C14" s="125" t="s">
        <v>484</v>
      </c>
      <c r="D14" s="126" t="s">
        <v>77</v>
      </c>
      <c r="E14" s="135"/>
      <c r="F14" s="24"/>
      <c r="G14" s="346">
        <v>8000000017</v>
      </c>
      <c r="H14" s="125" t="s">
        <v>537</v>
      </c>
      <c r="I14" s="329"/>
      <c r="J14" s="346">
        <v>8000000017</v>
      </c>
      <c r="K14" s="24"/>
      <c r="L14" s="24"/>
      <c r="M14" s="24"/>
      <c r="N14" s="340" t="s">
        <v>486</v>
      </c>
      <c r="O14" s="333">
        <v>206573</v>
      </c>
      <c r="P14" s="25" t="s">
        <v>226</v>
      </c>
      <c r="Q14" s="127" t="s">
        <v>533</v>
      </c>
      <c r="R14" s="128" t="s">
        <v>534</v>
      </c>
      <c r="S14" s="24">
        <v>42837</v>
      </c>
      <c r="T14" s="36">
        <v>30</v>
      </c>
      <c r="U14" s="125" t="s">
        <v>131</v>
      </c>
      <c r="V14" s="88" t="s">
        <v>538</v>
      </c>
      <c r="W14" s="129"/>
      <c r="X14" s="88">
        <v>42905</v>
      </c>
      <c r="Y14" s="130" t="s">
        <v>20</v>
      </c>
      <c r="Z14" s="146" t="s">
        <v>60</v>
      </c>
      <c r="AA14" s="146"/>
      <c r="AB14" s="131">
        <v>550</v>
      </c>
      <c r="AC14" s="134">
        <v>260</v>
      </c>
      <c r="AD14" s="134"/>
      <c r="AE14" s="403">
        <f t="shared" si="0"/>
        <v>143000</v>
      </c>
      <c r="AF14" s="132" t="str">
        <f>IF(W14=BDD!$P$1,IMPORTS!AB14/25,IF(W14=BDD!$P$2,IMPORTS!AB14/25,IF(W14=BDD!$P$4,AB14/27,IF(IMPORTS!W14=BDD!$P$5,IMPORTS!AB14/26.6,IF(AND(U14=BDD!$N$1,W14=BDD!$P$8),AB14/25,"--")))))</f>
        <v>--</v>
      </c>
      <c r="AG14" s="130" t="s">
        <v>46</v>
      </c>
      <c r="AH14" s="130"/>
      <c r="AI14" s="130" t="s">
        <v>100</v>
      </c>
      <c r="AJ14" s="130"/>
      <c r="AK14" s="130"/>
      <c r="AL14" s="135" t="s">
        <v>489</v>
      </c>
      <c r="AM14" s="314"/>
      <c r="AN14" s="26"/>
      <c r="AO14" s="26"/>
      <c r="AP14" s="26"/>
      <c r="AQ14" s="26">
        <v>42887</v>
      </c>
      <c r="AR14" s="24"/>
      <c r="AS14" s="24"/>
      <c r="AT14" s="24">
        <v>42889</v>
      </c>
      <c r="AU14" s="418">
        <f t="shared" si="1"/>
        <v>6</v>
      </c>
      <c r="AV14" s="418">
        <f t="shared" si="2"/>
        <v>2017</v>
      </c>
      <c r="AW14" s="24"/>
      <c r="AX14" s="24"/>
      <c r="AY14" s="24" t="s">
        <v>269</v>
      </c>
      <c r="AZ14" s="132" t="s">
        <v>37</v>
      </c>
      <c r="BA14" s="132"/>
      <c r="BB14" s="24"/>
      <c r="BC14" s="135">
        <v>13</v>
      </c>
      <c r="BD14" s="24">
        <v>42852</v>
      </c>
      <c r="BE14" s="135" t="s">
        <v>536</v>
      </c>
      <c r="BF14" s="135" t="s">
        <v>536</v>
      </c>
      <c r="BG14" s="135" t="s">
        <v>52</v>
      </c>
      <c r="BH14" s="135"/>
      <c r="BI14" s="314"/>
      <c r="BJ14" s="314"/>
      <c r="BK14" s="24"/>
      <c r="BL14" s="24"/>
      <c r="BM14" s="24"/>
      <c r="BN14" s="24"/>
      <c r="BO14" s="24"/>
      <c r="BP14" s="24"/>
      <c r="BQ14" s="24"/>
      <c r="BR14" s="43"/>
      <c r="BS14" s="24"/>
      <c r="BT14" s="24"/>
      <c r="BU14" s="24"/>
      <c r="BV14" s="132" t="e">
        <f>IF(#REF!="COMPLETO","OK","PENDIENTES")</f>
        <v>#REF!</v>
      </c>
      <c r="BW14" s="132"/>
      <c r="BX14" s="132"/>
      <c r="BY14" s="132"/>
      <c r="BZ14" s="132"/>
      <c r="CA14" s="132"/>
      <c r="CB14" s="132"/>
      <c r="CC14" s="23">
        <v>4520054656</v>
      </c>
      <c r="CG14" s="24" t="s">
        <v>105</v>
      </c>
      <c r="CH14" s="24"/>
      <c r="CI14" s="24"/>
      <c r="CJ14" s="24"/>
    </row>
    <row r="15" spans="1:243" ht="15" customHeight="1">
      <c r="A15" s="18">
        <v>2017</v>
      </c>
      <c r="B15" s="18" t="str">
        <f>+INDEX(BDD!F:F,MATCH(P15,BDD!D:D,0))&amp;"-"&amp;INDEX(BDD!E:E,MATCH(P15,BDD!D:D,0))</f>
        <v>G-C</v>
      </c>
      <c r="C15" s="125" t="s">
        <v>484</v>
      </c>
      <c r="D15" s="126" t="s">
        <v>77</v>
      </c>
      <c r="E15" s="135"/>
      <c r="F15" s="24"/>
      <c r="G15" s="346">
        <v>8000000018</v>
      </c>
      <c r="H15" s="125" t="s">
        <v>539</v>
      </c>
      <c r="I15" s="329"/>
      <c r="J15" s="346">
        <v>8000000018</v>
      </c>
      <c r="K15" s="24"/>
      <c r="L15" s="24"/>
      <c r="M15" s="24"/>
      <c r="N15" s="340" t="s">
        <v>486</v>
      </c>
      <c r="O15" s="333">
        <v>206573</v>
      </c>
      <c r="P15" s="25" t="s">
        <v>226</v>
      </c>
      <c r="Q15" s="127" t="s">
        <v>533</v>
      </c>
      <c r="R15" s="128" t="s">
        <v>534</v>
      </c>
      <c r="S15" s="24">
        <v>42837</v>
      </c>
      <c r="T15" s="36">
        <v>30</v>
      </c>
      <c r="U15" s="125" t="s">
        <v>131</v>
      </c>
      <c r="V15" s="88" t="s">
        <v>540</v>
      </c>
      <c r="W15" s="129"/>
      <c r="X15" s="88">
        <v>42905</v>
      </c>
      <c r="Y15" s="130" t="s">
        <v>20</v>
      </c>
      <c r="Z15" s="146" t="s">
        <v>60</v>
      </c>
      <c r="AA15" s="146"/>
      <c r="AB15" s="131">
        <v>150</v>
      </c>
      <c r="AC15" s="134">
        <v>260</v>
      </c>
      <c r="AD15" s="134"/>
      <c r="AE15" s="403">
        <f t="shared" si="0"/>
        <v>39000</v>
      </c>
      <c r="AF15" s="132" t="str">
        <f>IF(W15=BDD!$P$1,IMPORTS!AB15/25,IF(W15=BDD!$P$2,IMPORTS!AB15/25,IF(W15=BDD!$P$4,AB15/27,IF(IMPORTS!W15=BDD!$P$5,IMPORTS!AB15/26.6,IF(AND(U15=BDD!$N$1,W15=BDD!$P$8),AB15/25,"--")))))</f>
        <v>--</v>
      </c>
      <c r="AG15" s="130" t="s">
        <v>46</v>
      </c>
      <c r="AH15" s="130"/>
      <c r="AI15" s="130" t="s">
        <v>100</v>
      </c>
      <c r="AJ15" s="130"/>
      <c r="AK15" s="130"/>
      <c r="AL15" s="135"/>
      <c r="AM15" s="314"/>
      <c r="AN15" s="26"/>
      <c r="AO15" s="26"/>
      <c r="AP15" s="26"/>
      <c r="AQ15" s="26">
        <v>42889</v>
      </c>
      <c r="AR15" s="24"/>
      <c r="AS15" s="24"/>
      <c r="AT15" s="24">
        <v>42891</v>
      </c>
      <c r="AU15" s="418">
        <f t="shared" si="1"/>
        <v>6</v>
      </c>
      <c r="AV15" s="418">
        <f t="shared" si="2"/>
        <v>2017</v>
      </c>
      <c r="AW15" s="140"/>
      <c r="AX15" s="140"/>
      <c r="AY15" s="24" t="s">
        <v>269</v>
      </c>
      <c r="AZ15" s="143" t="s">
        <v>50</v>
      </c>
      <c r="BA15" s="143"/>
      <c r="BB15" s="24"/>
      <c r="BC15" s="135">
        <v>14</v>
      </c>
      <c r="BD15" s="24">
        <v>42852</v>
      </c>
      <c r="BE15" s="135" t="s">
        <v>536</v>
      </c>
      <c r="BF15" s="135" t="s">
        <v>536</v>
      </c>
      <c r="BG15" s="135" t="s">
        <v>52</v>
      </c>
      <c r="BH15" s="135"/>
      <c r="BI15" s="314"/>
      <c r="BJ15" s="314"/>
      <c r="BK15" s="24"/>
      <c r="BL15" s="24"/>
      <c r="BM15" s="24"/>
      <c r="BN15" s="24"/>
      <c r="BO15" s="24"/>
      <c r="BP15" s="24"/>
      <c r="BQ15" s="24"/>
      <c r="BR15" s="43"/>
      <c r="BS15" s="24"/>
      <c r="BT15" s="24"/>
      <c r="BU15" s="24"/>
      <c r="BV15" s="132" t="e">
        <f>IF(#REF!="COMPLETO","OK","PENDIENTES")</f>
        <v>#REF!</v>
      </c>
      <c r="BW15" s="132"/>
      <c r="BX15" s="132"/>
      <c r="BY15" s="132"/>
      <c r="BZ15" s="132"/>
      <c r="CA15" s="132"/>
      <c r="CB15" s="132"/>
      <c r="CC15" s="23">
        <v>4520054658</v>
      </c>
      <c r="CG15" s="24" t="s">
        <v>105</v>
      </c>
      <c r="CH15" s="24"/>
      <c r="CI15" s="24"/>
      <c r="CJ15" s="24"/>
    </row>
    <row r="16" spans="1:243" ht="15" customHeight="1">
      <c r="A16" s="18">
        <v>2017</v>
      </c>
      <c r="B16" s="18" t="str">
        <f>+INDEX(BDD!F:F,MATCH(P16,BDD!D:D,0))&amp;"-"&amp;INDEX(BDD!E:E,MATCH(P16,BDD!D:D,0))</f>
        <v>G-C</v>
      </c>
      <c r="C16" s="125" t="s">
        <v>484</v>
      </c>
      <c r="D16" s="126" t="s">
        <v>77</v>
      </c>
      <c r="E16" s="135"/>
      <c r="F16" s="24"/>
      <c r="G16" s="346">
        <v>8000000019</v>
      </c>
      <c r="H16" s="125" t="s">
        <v>541</v>
      </c>
      <c r="I16" s="329"/>
      <c r="J16" s="346">
        <v>8000000019</v>
      </c>
      <c r="K16" s="24"/>
      <c r="L16" s="24"/>
      <c r="M16" s="24"/>
      <c r="N16" s="340" t="s">
        <v>486</v>
      </c>
      <c r="O16" s="333">
        <v>206573</v>
      </c>
      <c r="P16" s="25" t="s">
        <v>226</v>
      </c>
      <c r="Q16" s="127" t="s">
        <v>533</v>
      </c>
      <c r="R16" s="128" t="s">
        <v>534</v>
      </c>
      <c r="S16" s="24">
        <v>42837</v>
      </c>
      <c r="T16" s="36">
        <v>30</v>
      </c>
      <c r="U16" s="125" t="s">
        <v>131</v>
      </c>
      <c r="V16" s="88" t="s">
        <v>542</v>
      </c>
      <c r="W16" s="129"/>
      <c r="X16" s="88">
        <v>42905</v>
      </c>
      <c r="Y16" s="130" t="s">
        <v>20</v>
      </c>
      <c r="Z16" s="146" t="s">
        <v>60</v>
      </c>
      <c r="AA16" s="146"/>
      <c r="AB16" s="131">
        <v>250</v>
      </c>
      <c r="AC16" s="134">
        <v>260</v>
      </c>
      <c r="AD16" s="134"/>
      <c r="AE16" s="403">
        <f t="shared" si="0"/>
        <v>65000</v>
      </c>
      <c r="AF16" s="132" t="str">
        <f>IF(W16=BDD!$P$1,IMPORTS!AB16/25,IF(W16=BDD!$P$2,IMPORTS!AB16/25,IF(W16=BDD!$P$4,AB16/27,IF(IMPORTS!W16=BDD!$P$5,IMPORTS!AB16/26.6,IF(AND(U16=BDD!$N$1,W16=BDD!$P$8),AB16/25,"--")))))</f>
        <v>--</v>
      </c>
      <c r="AG16" s="130" t="s">
        <v>46</v>
      </c>
      <c r="AH16" s="130"/>
      <c r="AI16" s="130" t="s">
        <v>100</v>
      </c>
      <c r="AJ16" s="130"/>
      <c r="AK16" s="130"/>
      <c r="AL16" s="135" t="s">
        <v>489</v>
      </c>
      <c r="AM16" s="314"/>
      <c r="AN16" s="26"/>
      <c r="AO16" s="26"/>
      <c r="AP16" s="26"/>
      <c r="AQ16" s="26">
        <v>42893</v>
      </c>
      <c r="AR16" s="24"/>
      <c r="AS16" s="24"/>
      <c r="AT16" s="24">
        <v>42896</v>
      </c>
      <c r="AU16" s="418">
        <f t="shared" si="1"/>
        <v>6</v>
      </c>
      <c r="AV16" s="418">
        <f t="shared" si="2"/>
        <v>2017</v>
      </c>
      <c r="AW16" s="140"/>
      <c r="AX16" s="140"/>
      <c r="AY16" s="24" t="s">
        <v>269</v>
      </c>
      <c r="AZ16" s="143" t="s">
        <v>62</v>
      </c>
      <c r="BA16" s="143"/>
      <c r="BB16" s="24"/>
      <c r="BC16" s="135">
        <v>15</v>
      </c>
      <c r="BD16" s="24">
        <v>42852</v>
      </c>
      <c r="BE16" s="135" t="s">
        <v>536</v>
      </c>
      <c r="BF16" s="135" t="s">
        <v>536</v>
      </c>
      <c r="BG16" s="135" t="s">
        <v>52</v>
      </c>
      <c r="BH16" s="135"/>
      <c r="BI16" s="314"/>
      <c r="BJ16" s="314"/>
      <c r="BK16" s="24"/>
      <c r="BL16" s="24"/>
      <c r="BM16" s="24"/>
      <c r="BN16" s="24"/>
      <c r="BO16" s="24"/>
      <c r="BP16" s="24"/>
      <c r="BQ16" s="24"/>
      <c r="BR16" s="43"/>
      <c r="BS16" s="24"/>
      <c r="BT16" s="24"/>
      <c r="BU16" s="24"/>
      <c r="BV16" s="132" t="e">
        <f>IF(#REF!="COMPLETO","OK","PENDIENTES")</f>
        <v>#REF!</v>
      </c>
      <c r="BW16" s="132"/>
      <c r="BX16" s="132"/>
      <c r="BY16" s="132"/>
      <c r="BZ16" s="132"/>
      <c r="CA16" s="132"/>
      <c r="CB16" s="132"/>
      <c r="CC16" s="23">
        <v>4520054661</v>
      </c>
      <c r="CG16" s="24" t="s">
        <v>105</v>
      </c>
      <c r="CH16" s="24"/>
      <c r="CI16" s="24"/>
      <c r="CJ16" s="24"/>
    </row>
    <row r="17" spans="1:88" ht="15" customHeight="1">
      <c r="A17" s="18">
        <v>2017</v>
      </c>
      <c r="B17" s="18" t="str">
        <f>+INDEX(BDD!F:F,MATCH(P17,BDD!D:D,0))&amp;"-"&amp;INDEX(BDD!E:E,MATCH(P17,BDD!D:D,0))</f>
        <v>G-C</v>
      </c>
      <c r="C17" s="125" t="s">
        <v>484</v>
      </c>
      <c r="D17" s="126" t="s">
        <v>77</v>
      </c>
      <c r="E17" s="135"/>
      <c r="F17" s="24"/>
      <c r="G17" s="346">
        <v>8000000020</v>
      </c>
      <c r="H17" s="125" t="s">
        <v>543</v>
      </c>
      <c r="I17" s="329"/>
      <c r="J17" s="346">
        <v>8000000020</v>
      </c>
      <c r="K17" s="24"/>
      <c r="L17" s="24"/>
      <c r="M17" s="24"/>
      <c r="N17" s="340" t="s">
        <v>486</v>
      </c>
      <c r="O17" s="333">
        <v>206573</v>
      </c>
      <c r="P17" s="25" t="s">
        <v>226</v>
      </c>
      <c r="Q17" s="127" t="s">
        <v>163</v>
      </c>
      <c r="R17" s="128" t="s">
        <v>544</v>
      </c>
      <c r="S17" s="24">
        <v>42863</v>
      </c>
      <c r="T17" s="36" t="s">
        <v>19</v>
      </c>
      <c r="U17" s="125"/>
      <c r="V17" s="88" t="s">
        <v>545</v>
      </c>
      <c r="W17" s="129"/>
      <c r="X17" s="88">
        <v>42881</v>
      </c>
      <c r="Y17" s="130" t="s">
        <v>20</v>
      </c>
      <c r="Z17" s="146" t="s">
        <v>60</v>
      </c>
      <c r="AA17" s="146"/>
      <c r="AB17" s="131">
        <v>300</v>
      </c>
      <c r="AC17" s="134">
        <v>248</v>
      </c>
      <c r="AD17" s="134"/>
      <c r="AE17" s="403">
        <f t="shared" si="0"/>
        <v>74400</v>
      </c>
      <c r="AF17" s="132" t="str">
        <f>IF(W17=BDD!$P$1,IMPORTS!AB17/25,IF(W17=BDD!$P$2,IMPORTS!AB17/25,IF(W17=BDD!$P$4,AB17/27,IF(IMPORTS!W17=BDD!$P$5,IMPORTS!AB17/26.6,IF(AND(U17=BDD!$N$1,W17=BDD!$P$8),AB17/25,"--")))))</f>
        <v>--</v>
      </c>
      <c r="AG17" s="130" t="s">
        <v>46</v>
      </c>
      <c r="AH17" s="130"/>
      <c r="AI17" s="130" t="s">
        <v>100</v>
      </c>
      <c r="AJ17" s="130"/>
      <c r="AK17" s="130"/>
      <c r="AL17" s="135" t="s">
        <v>489</v>
      </c>
      <c r="AM17" s="314"/>
      <c r="AN17" s="26"/>
      <c r="AO17" s="26"/>
      <c r="AP17" s="26"/>
      <c r="AQ17" s="26">
        <v>42894</v>
      </c>
      <c r="AR17" s="24"/>
      <c r="AS17" s="24"/>
      <c r="AT17" s="24">
        <v>42895</v>
      </c>
      <c r="AU17" s="418">
        <f t="shared" si="1"/>
        <v>6</v>
      </c>
      <c r="AV17" s="418">
        <f t="shared" si="2"/>
        <v>2017</v>
      </c>
      <c r="AW17" s="24"/>
      <c r="AX17" s="24"/>
      <c r="AY17" s="24" t="s">
        <v>269</v>
      </c>
      <c r="AZ17" s="132" t="s">
        <v>9</v>
      </c>
      <c r="BA17" s="132"/>
      <c r="BB17" s="24"/>
      <c r="BC17" s="135">
        <v>12</v>
      </c>
      <c r="BD17" s="24">
        <v>42867</v>
      </c>
      <c r="BE17" s="135" t="s">
        <v>546</v>
      </c>
      <c r="BF17" s="135" t="s">
        <v>546</v>
      </c>
      <c r="BG17" s="135" t="s">
        <v>52</v>
      </c>
      <c r="BH17" s="135"/>
      <c r="BI17" s="314"/>
      <c r="BJ17" s="314"/>
      <c r="BK17" s="24"/>
      <c r="BL17" s="24"/>
      <c r="BM17" s="24"/>
      <c r="BN17" s="24"/>
      <c r="BO17" s="24"/>
      <c r="BP17" s="24"/>
      <c r="BQ17" s="24"/>
      <c r="BR17" s="43"/>
      <c r="BS17" s="24"/>
      <c r="BT17" s="24"/>
      <c r="BU17" s="24"/>
      <c r="BV17" s="132" t="e">
        <f>IF(#REF!="COMPLETO","OK","PENDIENTES")</f>
        <v>#REF!</v>
      </c>
      <c r="BW17" s="132"/>
      <c r="BX17" s="132"/>
      <c r="BY17" s="132"/>
      <c r="BZ17" s="132"/>
      <c r="CA17" s="132"/>
      <c r="CB17" s="132"/>
      <c r="CC17" s="23">
        <v>4520055037</v>
      </c>
      <c r="CG17" s="24" t="s">
        <v>105</v>
      </c>
      <c r="CH17" s="24"/>
      <c r="CI17" s="24"/>
      <c r="CJ17" s="24"/>
    </row>
    <row r="18" spans="1:88" ht="15" customHeight="1">
      <c r="A18" s="18">
        <v>2017</v>
      </c>
      <c r="B18" s="18" t="str">
        <f>+INDEX(BDD!F:F,MATCH(P18,BDD!D:D,0))&amp;"-"&amp;INDEX(BDD!E:E,MATCH(P18,BDD!D:D,0))</f>
        <v>G-C</v>
      </c>
      <c r="C18" s="125" t="s">
        <v>484</v>
      </c>
      <c r="D18" s="126" t="s">
        <v>77</v>
      </c>
      <c r="E18" s="135"/>
      <c r="F18" s="24"/>
      <c r="G18" s="346">
        <v>8000000021</v>
      </c>
      <c r="H18" s="125" t="s">
        <v>547</v>
      </c>
      <c r="I18" s="329"/>
      <c r="J18" s="346">
        <v>8000000021</v>
      </c>
      <c r="K18" s="24"/>
      <c r="L18" s="24"/>
      <c r="M18" s="24"/>
      <c r="N18" s="340" t="s">
        <v>486</v>
      </c>
      <c r="O18" s="333">
        <v>206573</v>
      </c>
      <c r="P18" s="25" t="s">
        <v>226</v>
      </c>
      <c r="Q18" s="127" t="s">
        <v>163</v>
      </c>
      <c r="R18" s="128" t="s">
        <v>544</v>
      </c>
      <c r="S18" s="24">
        <v>42863</v>
      </c>
      <c r="T18" s="36" t="s">
        <v>19</v>
      </c>
      <c r="U18" s="125"/>
      <c r="V18" s="88" t="s">
        <v>548</v>
      </c>
      <c r="W18" s="129"/>
      <c r="X18" s="88">
        <v>42881</v>
      </c>
      <c r="Y18" s="130" t="s">
        <v>20</v>
      </c>
      <c r="Z18" s="146" t="s">
        <v>60</v>
      </c>
      <c r="AA18" s="146"/>
      <c r="AB18" s="131">
        <v>750</v>
      </c>
      <c r="AC18" s="134">
        <v>248</v>
      </c>
      <c r="AD18" s="134"/>
      <c r="AE18" s="403">
        <f t="shared" si="0"/>
        <v>186000</v>
      </c>
      <c r="AF18" s="132" t="str">
        <f>IF(W18=BDD!$P$1,IMPORTS!AB18/25,IF(W18=BDD!$P$2,IMPORTS!AB18/25,IF(W18=BDD!$P$4,AB18/27,IF(IMPORTS!W18=BDD!$P$5,IMPORTS!AB18/26.6,IF(AND(U18=BDD!$N$1,W18=BDD!$P$8),AB18/25,"--")))))</f>
        <v>--</v>
      </c>
      <c r="AG18" s="130" t="s">
        <v>46</v>
      </c>
      <c r="AH18" s="130"/>
      <c r="AI18" s="130" t="s">
        <v>100</v>
      </c>
      <c r="AJ18" s="130"/>
      <c r="AK18" s="130"/>
      <c r="AL18" s="24" t="s">
        <v>489</v>
      </c>
      <c r="AM18" s="314"/>
      <c r="AN18" s="26"/>
      <c r="AO18" s="26"/>
      <c r="AP18" s="26"/>
      <c r="AQ18" s="26">
        <v>42897</v>
      </c>
      <c r="AR18" s="24"/>
      <c r="AS18" s="24"/>
      <c r="AT18" s="24">
        <v>42907</v>
      </c>
      <c r="AU18" s="418">
        <f t="shared" si="1"/>
        <v>6</v>
      </c>
      <c r="AV18" s="418">
        <f t="shared" si="2"/>
        <v>2017</v>
      </c>
      <c r="AW18" s="24"/>
      <c r="AX18" s="24"/>
      <c r="AY18" s="24" t="s">
        <v>269</v>
      </c>
      <c r="AZ18" s="132" t="s">
        <v>25</v>
      </c>
      <c r="BA18" s="132"/>
      <c r="BB18" s="24"/>
      <c r="BC18" s="135">
        <v>15</v>
      </c>
      <c r="BD18" s="24">
        <v>42867</v>
      </c>
      <c r="BE18" s="135" t="s">
        <v>546</v>
      </c>
      <c r="BF18" s="135" t="s">
        <v>546</v>
      </c>
      <c r="BG18" s="135" t="s">
        <v>52</v>
      </c>
      <c r="BH18" s="135"/>
      <c r="BI18" s="314"/>
      <c r="BJ18" s="314"/>
      <c r="BK18" s="24"/>
      <c r="BL18" s="24"/>
      <c r="BM18" s="24"/>
      <c r="BN18" s="24"/>
      <c r="BO18" s="24"/>
      <c r="BP18" s="24"/>
      <c r="BQ18" s="24"/>
      <c r="BR18" s="43"/>
      <c r="BS18" s="24"/>
      <c r="BT18" s="24"/>
      <c r="BU18" s="24"/>
      <c r="BV18" s="132" t="e">
        <f>IF(#REF!="COMPLETO","OK","PENDIENTES")</f>
        <v>#REF!</v>
      </c>
      <c r="BW18" s="132"/>
      <c r="BX18" s="132"/>
      <c r="BY18" s="132"/>
      <c r="BZ18" s="132"/>
      <c r="CA18" s="132"/>
      <c r="CB18" s="132"/>
      <c r="CC18" s="23">
        <v>4520055038</v>
      </c>
      <c r="CG18" s="24" t="s">
        <v>105</v>
      </c>
      <c r="CH18" s="24"/>
      <c r="CI18" s="24"/>
      <c r="CJ18" s="24"/>
    </row>
    <row r="19" spans="1:88" ht="15" customHeight="1">
      <c r="A19" s="18">
        <v>2017</v>
      </c>
      <c r="B19" s="18" t="str">
        <f>+INDEX(BDD!F:F,MATCH(P19,BDD!D:D,0))&amp;"-"&amp;INDEX(BDD!E:E,MATCH(P19,BDD!D:D,0))</f>
        <v>G-C</v>
      </c>
      <c r="C19" s="125" t="s">
        <v>484</v>
      </c>
      <c r="D19" s="126" t="s">
        <v>77</v>
      </c>
      <c r="E19" s="135"/>
      <c r="F19" s="24"/>
      <c r="G19" s="346">
        <v>8000000022</v>
      </c>
      <c r="H19" s="125" t="s">
        <v>549</v>
      </c>
      <c r="I19" s="329"/>
      <c r="J19" s="346">
        <v>8000000022</v>
      </c>
      <c r="K19" s="24"/>
      <c r="L19" s="24"/>
      <c r="M19" s="24"/>
      <c r="N19" s="340" t="s">
        <v>486</v>
      </c>
      <c r="O19" s="333">
        <v>206573</v>
      </c>
      <c r="P19" s="25" t="s">
        <v>226</v>
      </c>
      <c r="Q19" s="127" t="s">
        <v>163</v>
      </c>
      <c r="R19" s="128" t="s">
        <v>544</v>
      </c>
      <c r="S19" s="24">
        <v>42863</v>
      </c>
      <c r="T19" s="36" t="s">
        <v>19</v>
      </c>
      <c r="U19" s="125"/>
      <c r="V19" s="88" t="s">
        <v>550</v>
      </c>
      <c r="W19" s="129"/>
      <c r="X19" s="88">
        <v>42881</v>
      </c>
      <c r="Y19" s="130" t="s">
        <v>20</v>
      </c>
      <c r="Z19" s="146" t="s">
        <v>60</v>
      </c>
      <c r="AA19" s="146"/>
      <c r="AB19" s="131">
        <v>1350</v>
      </c>
      <c r="AC19" s="134">
        <v>248</v>
      </c>
      <c r="AD19" s="134"/>
      <c r="AE19" s="403">
        <f t="shared" si="0"/>
        <v>334800</v>
      </c>
      <c r="AF19" s="132" t="str">
        <f>IF(W19=BDD!$P$1,IMPORTS!AB19/25,IF(W19=BDD!$P$2,IMPORTS!AB19/25,IF(W19=BDD!$P$4,AB19/27,IF(IMPORTS!W19=BDD!$P$5,IMPORTS!AB19/26.6,IF(AND(U19=BDD!$N$1,W19=BDD!$P$8),AB19/25,"--")))))</f>
        <v>--</v>
      </c>
      <c r="AG19" s="130" t="s">
        <v>46</v>
      </c>
      <c r="AH19" s="130"/>
      <c r="AI19" s="130" t="s">
        <v>100</v>
      </c>
      <c r="AJ19" s="130"/>
      <c r="AK19" s="130"/>
      <c r="AL19" s="24" t="s">
        <v>489</v>
      </c>
      <c r="AM19" s="314"/>
      <c r="AN19" s="26"/>
      <c r="AO19" s="26"/>
      <c r="AP19" s="26"/>
      <c r="AQ19" s="26">
        <v>42908</v>
      </c>
      <c r="AR19" s="24"/>
      <c r="AS19" s="24"/>
      <c r="AT19" s="24">
        <v>42914</v>
      </c>
      <c r="AU19" s="418">
        <f t="shared" si="1"/>
        <v>6</v>
      </c>
      <c r="AV19" s="418">
        <f t="shared" si="2"/>
        <v>2017</v>
      </c>
      <c r="AW19" s="24"/>
      <c r="AX19" s="24"/>
      <c r="AY19" s="24" t="s">
        <v>269</v>
      </c>
      <c r="AZ19" s="132" t="s">
        <v>37</v>
      </c>
      <c r="BA19" s="132"/>
      <c r="BB19" s="24"/>
      <c r="BC19" s="135">
        <v>18</v>
      </c>
      <c r="BD19" s="24">
        <v>42867</v>
      </c>
      <c r="BE19" s="135" t="s">
        <v>546</v>
      </c>
      <c r="BF19" s="135" t="s">
        <v>546</v>
      </c>
      <c r="BG19" s="135" t="s">
        <v>52</v>
      </c>
      <c r="BH19" s="135"/>
      <c r="BI19" s="314"/>
      <c r="BJ19" s="314"/>
      <c r="BK19" s="24"/>
      <c r="BL19" s="24"/>
      <c r="BM19" s="24"/>
      <c r="BN19" s="24"/>
      <c r="BO19" s="24"/>
      <c r="BP19" s="24"/>
      <c r="BQ19" s="24"/>
      <c r="BR19" s="43"/>
      <c r="BS19" s="24"/>
      <c r="BT19" s="24"/>
      <c r="BU19" s="24"/>
      <c r="BV19" s="132" t="e">
        <f>IF(#REF!="COMPLETO","OK","PENDIENTES")</f>
        <v>#REF!</v>
      </c>
      <c r="BW19" s="132"/>
      <c r="BX19" s="132"/>
      <c r="BY19" s="132"/>
      <c r="BZ19" s="132"/>
      <c r="CA19" s="132"/>
      <c r="CB19" s="132"/>
      <c r="CC19" s="23">
        <v>4520055039</v>
      </c>
      <c r="CG19" s="24" t="s">
        <v>105</v>
      </c>
      <c r="CH19" s="24"/>
      <c r="CI19" s="24"/>
      <c r="CJ19" s="24"/>
    </row>
    <row r="20" spans="1:88" ht="15" customHeight="1">
      <c r="A20" s="18">
        <v>2017</v>
      </c>
      <c r="B20" s="18" t="str">
        <f>+INDEX(BDD!F:F,MATCH(P20,BDD!D:D,0))&amp;"-"&amp;INDEX(BDD!E:E,MATCH(P20,BDD!D:D,0))</f>
        <v>G-C</v>
      </c>
      <c r="C20" s="125" t="s">
        <v>484</v>
      </c>
      <c r="D20" s="126" t="s">
        <v>77</v>
      </c>
      <c r="E20" s="135"/>
      <c r="F20" s="24"/>
      <c r="G20" s="346">
        <v>8000000023</v>
      </c>
      <c r="H20" s="125" t="s">
        <v>551</v>
      </c>
      <c r="I20" s="329"/>
      <c r="J20" s="346">
        <v>8000000023</v>
      </c>
      <c r="K20" s="24"/>
      <c r="L20" s="24"/>
      <c r="M20" s="24"/>
      <c r="N20" s="340" t="s">
        <v>486</v>
      </c>
      <c r="O20" s="333">
        <v>206573</v>
      </c>
      <c r="P20" s="25" t="s">
        <v>226</v>
      </c>
      <c r="Q20" s="127" t="s">
        <v>163</v>
      </c>
      <c r="R20" s="128" t="s">
        <v>544</v>
      </c>
      <c r="S20" s="24">
        <v>42863</v>
      </c>
      <c r="T20" s="36" t="s">
        <v>19</v>
      </c>
      <c r="U20" s="125"/>
      <c r="V20" s="88" t="s">
        <v>552</v>
      </c>
      <c r="W20" s="129"/>
      <c r="X20" s="88">
        <v>42881</v>
      </c>
      <c r="Y20" s="130" t="s">
        <v>20</v>
      </c>
      <c r="Z20" s="146" t="s">
        <v>60</v>
      </c>
      <c r="AA20" s="146"/>
      <c r="AB20" s="131">
        <v>700</v>
      </c>
      <c r="AC20" s="134">
        <v>248</v>
      </c>
      <c r="AD20" s="134"/>
      <c r="AE20" s="403">
        <f t="shared" si="0"/>
        <v>173600</v>
      </c>
      <c r="AF20" s="132" t="str">
        <f>IF(W20=BDD!$P$1,IMPORTS!AB20/25,IF(W20=BDD!$P$2,IMPORTS!AB20/25,IF(W20=BDD!$P$4,AB20/27,IF(IMPORTS!W20=BDD!$P$5,IMPORTS!AB20/26.6,IF(AND(U20=BDD!$N$1,W20=BDD!$P$8),AB20/25,"--")))))</f>
        <v>--</v>
      </c>
      <c r="AG20" s="130" t="s">
        <v>46</v>
      </c>
      <c r="AH20" s="130"/>
      <c r="AI20" s="130" t="s">
        <v>100</v>
      </c>
      <c r="AJ20" s="130"/>
      <c r="AK20" s="130"/>
      <c r="AL20" s="24" t="s">
        <v>489</v>
      </c>
      <c r="AM20" s="314"/>
      <c r="AN20" s="26"/>
      <c r="AO20" s="26"/>
      <c r="AP20" s="26"/>
      <c r="AQ20" s="26">
        <v>42915</v>
      </c>
      <c r="AR20" s="24"/>
      <c r="AS20" s="24"/>
      <c r="AT20" s="24">
        <v>42915</v>
      </c>
      <c r="AU20" s="418">
        <f t="shared" si="1"/>
        <v>6</v>
      </c>
      <c r="AV20" s="418">
        <f t="shared" si="2"/>
        <v>2017</v>
      </c>
      <c r="AW20" s="140"/>
      <c r="AX20" s="140"/>
      <c r="AY20" s="24" t="s">
        <v>269</v>
      </c>
      <c r="AZ20" s="143" t="s">
        <v>50</v>
      </c>
      <c r="BA20" s="143"/>
      <c r="BB20" s="24"/>
      <c r="BC20" s="135">
        <v>21</v>
      </c>
      <c r="BD20" s="24">
        <v>42867</v>
      </c>
      <c r="BE20" s="135" t="s">
        <v>546</v>
      </c>
      <c r="BF20" s="135" t="s">
        <v>546</v>
      </c>
      <c r="BG20" s="135" t="s">
        <v>52</v>
      </c>
      <c r="BH20" s="135"/>
      <c r="BI20" s="314"/>
      <c r="BJ20" s="314"/>
      <c r="BK20" s="24"/>
      <c r="BL20" s="24"/>
      <c r="BM20" s="24"/>
      <c r="BN20" s="24"/>
      <c r="BO20" s="24"/>
      <c r="BP20" s="24"/>
      <c r="BQ20" s="24"/>
      <c r="BR20" s="43"/>
      <c r="BS20" s="24"/>
      <c r="BT20" s="24"/>
      <c r="BU20" s="24"/>
      <c r="BV20" s="132" t="e">
        <f>IF(#REF!="COMPLETO","OK","PENDIENTES")</f>
        <v>#REF!</v>
      </c>
      <c r="BW20" s="132"/>
      <c r="BX20" s="132"/>
      <c r="BY20" s="132"/>
      <c r="BZ20" s="132"/>
      <c r="CA20" s="132"/>
      <c r="CB20" s="132"/>
      <c r="CC20" s="23">
        <v>4520055040</v>
      </c>
      <c r="CG20" s="24" t="s">
        <v>105</v>
      </c>
      <c r="CH20" s="24"/>
      <c r="CI20" s="24"/>
      <c r="CJ20" s="24"/>
    </row>
    <row r="21" spans="1:88" ht="15" customHeight="1">
      <c r="A21" s="18">
        <v>2017</v>
      </c>
      <c r="B21" s="18" t="str">
        <f>+INDEX(BDD!F:F,MATCH(P21,BDD!D:D,0))&amp;"-"&amp;INDEX(BDD!E:E,MATCH(P21,BDD!D:D,0))</f>
        <v>G-C</v>
      </c>
      <c r="C21" s="125" t="s">
        <v>484</v>
      </c>
      <c r="D21" s="126" t="s">
        <v>77</v>
      </c>
      <c r="E21" s="135"/>
      <c r="F21" s="24"/>
      <c r="G21" s="346">
        <v>8000000024</v>
      </c>
      <c r="H21" s="125" t="s">
        <v>553</v>
      </c>
      <c r="I21" s="329"/>
      <c r="J21" s="346">
        <v>8000000024</v>
      </c>
      <c r="K21" s="24"/>
      <c r="L21" s="24"/>
      <c r="M21" s="24"/>
      <c r="N21" s="340" t="s">
        <v>486</v>
      </c>
      <c r="O21" s="333">
        <v>206573</v>
      </c>
      <c r="P21" s="25" t="s">
        <v>226</v>
      </c>
      <c r="Q21" s="127" t="s">
        <v>163</v>
      </c>
      <c r="R21" s="128" t="s">
        <v>544</v>
      </c>
      <c r="S21" s="24">
        <v>42863</v>
      </c>
      <c r="T21" s="36" t="s">
        <v>19</v>
      </c>
      <c r="U21" s="125"/>
      <c r="V21" s="88" t="s">
        <v>554</v>
      </c>
      <c r="W21" s="129"/>
      <c r="X21" s="88">
        <v>42881</v>
      </c>
      <c r="Y21" s="130" t="s">
        <v>20</v>
      </c>
      <c r="Z21" s="146" t="s">
        <v>60</v>
      </c>
      <c r="AA21" s="146"/>
      <c r="AB21" s="131">
        <v>900</v>
      </c>
      <c r="AC21" s="134">
        <v>248</v>
      </c>
      <c r="AD21" s="134"/>
      <c r="AE21" s="403">
        <f t="shared" si="0"/>
        <v>223200</v>
      </c>
      <c r="AF21" s="132" t="str">
        <f>IF(W21=BDD!$P$1,IMPORTS!AB21/25,IF(W21=BDD!$P$2,IMPORTS!AB21/25,IF(W21=BDD!$P$4,AB21/27,IF(IMPORTS!W21=BDD!$P$5,IMPORTS!AB21/26.6,IF(AND(U21=BDD!$N$1,W21=BDD!$P$8),AB21/25,"--")))))</f>
        <v>--</v>
      </c>
      <c r="AG21" s="130" t="s">
        <v>46</v>
      </c>
      <c r="AH21" s="130"/>
      <c r="AI21" s="130" t="s">
        <v>100</v>
      </c>
      <c r="AJ21" s="130"/>
      <c r="AK21" s="130"/>
      <c r="AL21" s="24" t="s">
        <v>489</v>
      </c>
      <c r="AM21" s="314"/>
      <c r="AN21" s="26"/>
      <c r="AO21" s="26"/>
      <c r="AP21" s="26"/>
      <c r="AQ21" s="26">
        <v>42917</v>
      </c>
      <c r="AR21" s="24"/>
      <c r="AS21" s="24"/>
      <c r="AT21" s="24">
        <v>42918</v>
      </c>
      <c r="AU21" s="418">
        <f t="shared" si="1"/>
        <v>7</v>
      </c>
      <c r="AV21" s="418">
        <f t="shared" si="2"/>
        <v>2017</v>
      </c>
      <c r="AW21" s="140"/>
      <c r="AX21" s="140"/>
      <c r="AY21" s="24" t="s">
        <v>269</v>
      </c>
      <c r="AZ21" s="143" t="s">
        <v>62</v>
      </c>
      <c r="BA21" s="143"/>
      <c r="BB21" s="24"/>
      <c r="BC21" s="135">
        <v>24</v>
      </c>
      <c r="BD21" s="24">
        <v>42867</v>
      </c>
      <c r="BE21" s="135" t="s">
        <v>546</v>
      </c>
      <c r="BF21" s="135" t="s">
        <v>546</v>
      </c>
      <c r="BG21" s="135" t="s">
        <v>52</v>
      </c>
      <c r="BH21" s="135"/>
      <c r="BI21" s="314"/>
      <c r="BJ21" s="314"/>
      <c r="BK21" s="24"/>
      <c r="BL21" s="24"/>
      <c r="BM21" s="24"/>
      <c r="BN21" s="24"/>
      <c r="BO21" s="24"/>
      <c r="BP21" s="24"/>
      <c r="BQ21" s="24"/>
      <c r="BR21" s="43"/>
      <c r="BS21" s="24"/>
      <c r="BT21" s="24"/>
      <c r="BU21" s="24"/>
      <c r="BV21" s="132" t="e">
        <f>IF(#REF!="COMPLETO","OK","PENDIENTES")</f>
        <v>#REF!</v>
      </c>
      <c r="BW21" s="132"/>
      <c r="BX21" s="132"/>
      <c r="BY21" s="132"/>
      <c r="BZ21" s="132"/>
      <c r="CA21" s="132"/>
      <c r="CB21" s="132"/>
      <c r="CC21" s="23">
        <v>4520055041</v>
      </c>
      <c r="CG21" s="24" t="s">
        <v>105</v>
      </c>
      <c r="CH21" s="24"/>
      <c r="CI21" s="24"/>
      <c r="CJ21" s="24"/>
    </row>
    <row r="22" spans="1:88" ht="15" customHeight="1">
      <c r="A22" s="18">
        <v>2017</v>
      </c>
      <c r="B22" s="18" t="str">
        <f>+INDEX(BDD!F:F,MATCH(P22,BDD!D:D,0))&amp;"-"&amp;INDEX(BDD!E:E,MATCH(P22,BDD!D:D,0))</f>
        <v>G-S</v>
      </c>
      <c r="C22" s="125" t="s">
        <v>484</v>
      </c>
      <c r="D22" s="126" t="s">
        <v>77</v>
      </c>
      <c r="E22" s="135"/>
      <c r="F22" s="24"/>
      <c r="G22" s="346">
        <v>8000000007</v>
      </c>
      <c r="H22" s="125" t="s">
        <v>555</v>
      </c>
      <c r="I22" s="329"/>
      <c r="J22" s="346">
        <v>8000000007</v>
      </c>
      <c r="K22" s="24"/>
      <c r="L22" s="24"/>
      <c r="M22" s="24"/>
      <c r="N22" s="340" t="s">
        <v>486</v>
      </c>
      <c r="O22" s="333">
        <v>207951</v>
      </c>
      <c r="P22" s="25" t="s">
        <v>354</v>
      </c>
      <c r="Q22" s="127" t="s">
        <v>163</v>
      </c>
      <c r="R22" s="128" t="s">
        <v>544</v>
      </c>
      <c r="S22" s="24">
        <v>42863</v>
      </c>
      <c r="T22" s="36" t="s">
        <v>19</v>
      </c>
      <c r="U22" s="125"/>
      <c r="V22" s="88" t="s">
        <v>556</v>
      </c>
      <c r="W22" s="129"/>
      <c r="X22" s="88">
        <v>42881</v>
      </c>
      <c r="Y22" s="130" t="s">
        <v>20</v>
      </c>
      <c r="Z22" s="146" t="s">
        <v>60</v>
      </c>
      <c r="AA22" s="146"/>
      <c r="AB22" s="131">
        <v>1180</v>
      </c>
      <c r="AC22" s="134">
        <v>259</v>
      </c>
      <c r="AD22" s="134"/>
      <c r="AE22" s="403">
        <f t="shared" si="0"/>
        <v>305620</v>
      </c>
      <c r="AF22" s="132" t="str">
        <f>IF(W22=BDD!$P$1,IMPORTS!AB22/25,IF(W22=BDD!$P$2,IMPORTS!AB22/25,IF(W22=BDD!$P$4,AB22/27,IF(IMPORTS!W22=BDD!$P$5,IMPORTS!AB22/26.6,IF(AND(U22=BDD!$N$1,W22=BDD!$P$8),AB22/25,"--")))))</f>
        <v>--</v>
      </c>
      <c r="AG22" s="130" t="s">
        <v>46</v>
      </c>
      <c r="AH22" s="130"/>
      <c r="AI22" s="130" t="s">
        <v>100</v>
      </c>
      <c r="AJ22" s="130"/>
      <c r="AK22" s="130"/>
      <c r="AL22" s="24" t="s">
        <v>489</v>
      </c>
      <c r="AM22" s="314"/>
      <c r="AN22" s="26"/>
      <c r="AO22" s="26"/>
      <c r="AP22" s="26"/>
      <c r="AQ22" s="26">
        <v>42894</v>
      </c>
      <c r="AR22" s="24"/>
      <c r="AS22" s="24"/>
      <c r="AT22" s="24">
        <v>42895</v>
      </c>
      <c r="AU22" s="418">
        <f t="shared" si="1"/>
        <v>6</v>
      </c>
      <c r="AV22" s="418">
        <f t="shared" si="2"/>
        <v>2017</v>
      </c>
      <c r="AW22" s="24"/>
      <c r="AX22" s="28"/>
      <c r="AY22" s="28" t="s">
        <v>269</v>
      </c>
      <c r="AZ22" s="132" t="s">
        <v>9</v>
      </c>
      <c r="BA22" s="132"/>
      <c r="BB22" s="24"/>
      <c r="BC22" s="135">
        <v>2</v>
      </c>
      <c r="BD22" s="24">
        <v>42867</v>
      </c>
      <c r="BE22" s="24" t="s">
        <v>546</v>
      </c>
      <c r="BF22" s="24" t="s">
        <v>546</v>
      </c>
      <c r="BG22" s="135" t="s">
        <v>52</v>
      </c>
      <c r="BH22" s="135"/>
      <c r="BI22" s="314"/>
      <c r="BJ22" s="314"/>
      <c r="BK22" s="24"/>
      <c r="BL22" s="24"/>
      <c r="BM22" s="24"/>
      <c r="BN22" s="24"/>
      <c r="BO22" s="24"/>
      <c r="BP22" s="24"/>
      <c r="BQ22" s="24"/>
      <c r="BR22" s="43"/>
      <c r="BS22" s="24"/>
      <c r="BT22" s="24"/>
      <c r="BU22" s="24"/>
      <c r="BV22" s="132" t="e">
        <f>IF(#REF!="COMPLETO","OK","PENDIENTES")</f>
        <v>#REF!</v>
      </c>
      <c r="BW22" s="132"/>
      <c r="BX22" s="132"/>
      <c r="BY22" s="132"/>
      <c r="BZ22" s="132"/>
      <c r="CA22" s="132"/>
      <c r="CB22" s="132"/>
      <c r="CC22" s="23">
        <v>4520055042</v>
      </c>
      <c r="CG22" s="24" t="s">
        <v>105</v>
      </c>
      <c r="CH22" s="24"/>
      <c r="CI22" s="24"/>
      <c r="CJ22" s="24"/>
    </row>
    <row r="23" spans="1:88" ht="15" customHeight="1">
      <c r="A23" s="18">
        <v>2017</v>
      </c>
      <c r="B23" s="18" t="str">
        <f>+INDEX(BDD!F:F,MATCH(P23,BDD!D:D,0))&amp;"-"&amp;INDEX(BDD!E:E,MATCH(P23,BDD!D:D,0))</f>
        <v>G-S</v>
      </c>
      <c r="C23" s="125" t="s">
        <v>484</v>
      </c>
      <c r="D23" s="126" t="s">
        <v>77</v>
      </c>
      <c r="E23" s="135"/>
      <c r="F23" s="24"/>
      <c r="G23" s="346">
        <v>8000000008</v>
      </c>
      <c r="H23" s="125" t="s">
        <v>557</v>
      </c>
      <c r="I23" s="329"/>
      <c r="J23" s="346">
        <v>8000000008</v>
      </c>
      <c r="K23" s="24"/>
      <c r="L23" s="24"/>
      <c r="M23" s="24"/>
      <c r="N23" s="340" t="s">
        <v>486</v>
      </c>
      <c r="O23" s="333">
        <v>207951</v>
      </c>
      <c r="P23" s="25" t="s">
        <v>354</v>
      </c>
      <c r="Q23" s="127" t="s">
        <v>163</v>
      </c>
      <c r="R23" s="128" t="s">
        <v>544</v>
      </c>
      <c r="S23" s="24">
        <v>42863</v>
      </c>
      <c r="T23" s="36" t="s">
        <v>19</v>
      </c>
      <c r="U23" s="125"/>
      <c r="V23" s="88" t="s">
        <v>558</v>
      </c>
      <c r="W23" s="129"/>
      <c r="X23" s="88">
        <v>42881</v>
      </c>
      <c r="Y23" s="130" t="s">
        <v>20</v>
      </c>
      <c r="Z23" s="133" t="s">
        <v>60</v>
      </c>
      <c r="AA23" s="133"/>
      <c r="AB23" s="148">
        <v>1000</v>
      </c>
      <c r="AC23" s="134">
        <v>259</v>
      </c>
      <c r="AD23" s="134"/>
      <c r="AE23" s="403">
        <f t="shared" si="0"/>
        <v>259000</v>
      </c>
      <c r="AF23" s="132" t="str">
        <f>IF(W23=BDD!$P$1,IMPORTS!AB23/25,IF(W23=BDD!$P$2,IMPORTS!AB23/25,IF(W23=BDD!$P$4,AB23/27,IF(IMPORTS!W23=BDD!$P$5,IMPORTS!AB23/26.6,IF(AND(U23=BDD!$N$1,W23=BDD!$P$8),AB23/25,"--")))))</f>
        <v>--</v>
      </c>
      <c r="AG23" s="130" t="s">
        <v>46</v>
      </c>
      <c r="AH23" s="130"/>
      <c r="AI23" s="130" t="s">
        <v>100</v>
      </c>
      <c r="AJ23" s="130"/>
      <c r="AK23" s="130"/>
      <c r="AL23" s="24" t="s">
        <v>489</v>
      </c>
      <c r="AM23" s="314"/>
      <c r="AN23" s="26"/>
      <c r="AO23" s="26"/>
      <c r="AP23" s="26"/>
      <c r="AQ23" s="26">
        <v>42897</v>
      </c>
      <c r="AR23" s="24"/>
      <c r="AS23" s="24"/>
      <c r="AT23" s="24">
        <v>42907</v>
      </c>
      <c r="AU23" s="418">
        <f t="shared" si="1"/>
        <v>6</v>
      </c>
      <c r="AV23" s="418">
        <f t="shared" si="2"/>
        <v>2017</v>
      </c>
      <c r="AW23" s="24"/>
      <c r="AX23" s="28"/>
      <c r="AY23" s="28" t="s">
        <v>269</v>
      </c>
      <c r="AZ23" s="132" t="s">
        <v>25</v>
      </c>
      <c r="BA23" s="132"/>
      <c r="BB23" s="24"/>
      <c r="BC23" s="135">
        <v>4</v>
      </c>
      <c r="BD23" s="24">
        <v>42867</v>
      </c>
      <c r="BE23" s="24" t="s">
        <v>546</v>
      </c>
      <c r="BF23" s="24" t="s">
        <v>546</v>
      </c>
      <c r="BG23" s="135" t="s">
        <v>52</v>
      </c>
      <c r="BH23" s="135"/>
      <c r="BI23" s="314"/>
      <c r="BJ23" s="314"/>
      <c r="BK23" s="24"/>
      <c r="BL23" s="24"/>
      <c r="BM23" s="24"/>
      <c r="BN23" s="24"/>
      <c r="BO23" s="24"/>
      <c r="BP23" s="24"/>
      <c r="BQ23" s="24"/>
      <c r="BR23" s="43"/>
      <c r="BS23" s="24"/>
      <c r="BT23" s="24"/>
      <c r="BU23" s="24"/>
      <c r="BV23" s="128" t="e">
        <f>IF(#REF!="COMPLETO","OK","PENDIENTES")</f>
        <v>#REF!</v>
      </c>
      <c r="BW23" s="128"/>
      <c r="BX23" s="128"/>
      <c r="BY23" s="128"/>
      <c r="BZ23" s="128"/>
      <c r="CA23" s="128"/>
      <c r="CB23" s="128"/>
      <c r="CC23" s="19">
        <v>4520055043</v>
      </c>
      <c r="CG23" s="24" t="s">
        <v>105</v>
      </c>
      <c r="CH23" s="24"/>
      <c r="CI23" s="24"/>
      <c r="CJ23" s="24"/>
    </row>
    <row r="24" spans="1:88" ht="15" customHeight="1">
      <c r="A24" s="18">
        <v>2017</v>
      </c>
      <c r="B24" s="18" t="str">
        <f>+INDEX(BDD!F:F,MATCH(P24,BDD!D:D,0))&amp;"-"&amp;INDEX(BDD!E:E,MATCH(P24,BDD!D:D,0))</f>
        <v>G-S</v>
      </c>
      <c r="C24" s="125" t="s">
        <v>484</v>
      </c>
      <c r="D24" s="126" t="s">
        <v>77</v>
      </c>
      <c r="E24" s="135"/>
      <c r="F24" s="24"/>
      <c r="G24" s="346">
        <v>8000000025</v>
      </c>
      <c r="H24" s="125" t="s">
        <v>559</v>
      </c>
      <c r="I24" s="329"/>
      <c r="J24" s="346">
        <v>8000000025</v>
      </c>
      <c r="K24" s="24"/>
      <c r="L24" s="24"/>
      <c r="M24" s="24"/>
      <c r="N24" s="340" t="s">
        <v>486</v>
      </c>
      <c r="O24" s="333">
        <v>207951</v>
      </c>
      <c r="P24" s="25" t="s">
        <v>354</v>
      </c>
      <c r="Q24" s="127" t="s">
        <v>163</v>
      </c>
      <c r="R24" s="128" t="s">
        <v>544</v>
      </c>
      <c r="S24" s="24">
        <v>42863</v>
      </c>
      <c r="T24" s="36" t="s">
        <v>19</v>
      </c>
      <c r="U24" s="125"/>
      <c r="V24" s="88" t="s">
        <v>560</v>
      </c>
      <c r="W24" s="129"/>
      <c r="X24" s="88">
        <v>42881</v>
      </c>
      <c r="Y24" s="130" t="s">
        <v>20</v>
      </c>
      <c r="Z24" s="133" t="s">
        <v>60</v>
      </c>
      <c r="AA24" s="133"/>
      <c r="AB24" s="148">
        <v>1550</v>
      </c>
      <c r="AC24" s="134">
        <v>259</v>
      </c>
      <c r="AD24" s="134"/>
      <c r="AE24" s="403">
        <f t="shared" si="0"/>
        <v>401450</v>
      </c>
      <c r="AF24" s="132" t="str">
        <f>IF(W24=BDD!$P$1,IMPORTS!AB24/25,IF(W24=BDD!$P$2,IMPORTS!AB24/25,IF(W24=BDD!$P$4,AB24/27,IF(IMPORTS!W24=BDD!$P$5,IMPORTS!AB24/26.6,IF(AND(U24=BDD!$N$1,W24=BDD!$P$8),AB24/25,"--")))))</f>
        <v>--</v>
      </c>
      <c r="AG24" s="130" t="s">
        <v>46</v>
      </c>
      <c r="AH24" s="130"/>
      <c r="AI24" s="130" t="s">
        <v>100</v>
      </c>
      <c r="AJ24" s="130"/>
      <c r="AK24" s="130"/>
      <c r="AL24" s="24" t="s">
        <v>489</v>
      </c>
      <c r="AM24" s="314"/>
      <c r="AN24" s="26"/>
      <c r="AO24" s="26"/>
      <c r="AP24" s="26"/>
      <c r="AQ24" s="26">
        <v>42908</v>
      </c>
      <c r="AR24" s="24"/>
      <c r="AS24" s="24"/>
      <c r="AT24" s="24">
        <v>42914</v>
      </c>
      <c r="AU24" s="418">
        <f t="shared" si="1"/>
        <v>6</v>
      </c>
      <c r="AV24" s="418">
        <f t="shared" si="2"/>
        <v>2017</v>
      </c>
      <c r="AW24" s="24"/>
      <c r="AX24" s="28"/>
      <c r="AY24" s="28" t="s">
        <v>269</v>
      </c>
      <c r="AZ24" s="132" t="s">
        <v>37</v>
      </c>
      <c r="BA24" s="132"/>
      <c r="BB24" s="24"/>
      <c r="BC24" s="135">
        <v>6</v>
      </c>
      <c r="BD24" s="24">
        <v>42867</v>
      </c>
      <c r="BE24" s="132" t="s">
        <v>546</v>
      </c>
      <c r="BF24" s="132" t="s">
        <v>546</v>
      </c>
      <c r="BG24" s="135" t="s">
        <v>52</v>
      </c>
      <c r="BH24" s="135"/>
      <c r="BI24" s="314"/>
      <c r="BJ24" s="314"/>
      <c r="BK24" s="24"/>
      <c r="BL24" s="24"/>
      <c r="BM24" s="24"/>
      <c r="BN24" s="24"/>
      <c r="BO24" s="24"/>
      <c r="BP24" s="24"/>
      <c r="BQ24" s="24"/>
      <c r="BR24" s="43"/>
      <c r="BS24" s="24"/>
      <c r="BT24" s="24"/>
      <c r="BU24" s="24"/>
      <c r="BV24" s="132" t="e">
        <f>IF(#REF!="COMPLETO","OK","PENDIENTES")</f>
        <v>#REF!</v>
      </c>
      <c r="BW24" s="132"/>
      <c r="BX24" s="132"/>
      <c r="BY24" s="132"/>
      <c r="BZ24" s="132"/>
      <c r="CA24" s="132"/>
      <c r="CB24" s="132"/>
      <c r="CC24" s="19">
        <v>4520055044</v>
      </c>
      <c r="CG24" s="24" t="s">
        <v>105</v>
      </c>
      <c r="CH24" s="24"/>
      <c r="CI24" s="24"/>
      <c r="CJ24" s="24"/>
    </row>
    <row r="25" spans="1:88" ht="15" customHeight="1">
      <c r="A25" s="18">
        <v>2017</v>
      </c>
      <c r="B25" s="18" t="str">
        <f>+INDEX(BDD!F:F,MATCH(P25,BDD!D:D,0))&amp;"-"&amp;INDEX(BDD!E:E,MATCH(P25,BDD!D:D,0))</f>
        <v>G-S</v>
      </c>
      <c r="C25" s="125" t="s">
        <v>484</v>
      </c>
      <c r="D25" s="126" t="s">
        <v>77</v>
      </c>
      <c r="E25" s="135"/>
      <c r="F25" s="24"/>
      <c r="G25" s="346">
        <v>8000000026</v>
      </c>
      <c r="H25" s="125" t="s">
        <v>561</v>
      </c>
      <c r="I25" s="329"/>
      <c r="J25" s="346">
        <v>8000000026</v>
      </c>
      <c r="K25" s="24"/>
      <c r="L25" s="24"/>
      <c r="M25" s="24"/>
      <c r="N25" s="340" t="s">
        <v>486</v>
      </c>
      <c r="O25" s="333">
        <v>207951</v>
      </c>
      <c r="P25" s="25" t="s">
        <v>354</v>
      </c>
      <c r="Q25" s="127" t="s">
        <v>163</v>
      </c>
      <c r="R25" s="128" t="s">
        <v>544</v>
      </c>
      <c r="S25" s="24">
        <v>42863</v>
      </c>
      <c r="T25" s="36" t="s">
        <v>19</v>
      </c>
      <c r="U25" s="125"/>
      <c r="V25" s="88" t="s">
        <v>562</v>
      </c>
      <c r="W25" s="129"/>
      <c r="X25" s="88">
        <v>42881</v>
      </c>
      <c r="Y25" s="130" t="s">
        <v>20</v>
      </c>
      <c r="Z25" s="133" t="s">
        <v>60</v>
      </c>
      <c r="AA25" s="133"/>
      <c r="AB25" s="148">
        <v>280</v>
      </c>
      <c r="AC25" s="134">
        <v>259</v>
      </c>
      <c r="AD25" s="134"/>
      <c r="AE25" s="403">
        <f t="shared" si="0"/>
        <v>72520</v>
      </c>
      <c r="AF25" s="132" t="str">
        <f>IF(W25=BDD!$P$1,IMPORTS!AB25/25,IF(W25=BDD!$P$2,IMPORTS!AB25/25,IF(W25=BDD!$P$4,AB25/27,IF(IMPORTS!W25=BDD!$P$5,IMPORTS!AB25/26.6,IF(AND(U25=BDD!$N$1,W25=BDD!$P$8),AB25/25,"--")))))</f>
        <v>--</v>
      </c>
      <c r="AG25" s="130" t="s">
        <v>46</v>
      </c>
      <c r="AH25" s="130"/>
      <c r="AI25" s="130" t="s">
        <v>100</v>
      </c>
      <c r="AJ25" s="130"/>
      <c r="AK25" s="130"/>
      <c r="AL25" s="135" t="s">
        <v>489</v>
      </c>
      <c r="AM25" s="314"/>
      <c r="AN25" s="26"/>
      <c r="AO25" s="26"/>
      <c r="AP25" s="26"/>
      <c r="AQ25" s="26">
        <v>42915</v>
      </c>
      <c r="AR25" s="24"/>
      <c r="AS25" s="24"/>
      <c r="AT25" s="24">
        <v>42915</v>
      </c>
      <c r="AU25" s="418">
        <f t="shared" si="1"/>
        <v>6</v>
      </c>
      <c r="AV25" s="418">
        <f t="shared" si="2"/>
        <v>2017</v>
      </c>
      <c r="AW25" s="140"/>
      <c r="AX25" s="142"/>
      <c r="AY25" s="28" t="s">
        <v>269</v>
      </c>
      <c r="AZ25" s="143" t="s">
        <v>50</v>
      </c>
      <c r="BA25" s="143"/>
      <c r="BB25" s="24"/>
      <c r="BC25" s="135">
        <v>8</v>
      </c>
      <c r="BD25" s="24">
        <v>42867</v>
      </c>
      <c r="BE25" s="132" t="s">
        <v>546</v>
      </c>
      <c r="BF25" s="132" t="s">
        <v>546</v>
      </c>
      <c r="BG25" s="135" t="s">
        <v>52</v>
      </c>
      <c r="BH25" s="135"/>
      <c r="BI25" s="314"/>
      <c r="BJ25" s="314"/>
      <c r="BK25" s="24"/>
      <c r="BL25" s="24"/>
      <c r="BM25" s="24"/>
      <c r="BN25" s="24"/>
      <c r="BO25" s="24"/>
      <c r="BP25" s="24"/>
      <c r="BQ25" s="24"/>
      <c r="BR25" s="43"/>
      <c r="BS25" s="24"/>
      <c r="BT25" s="24"/>
      <c r="BU25" s="24"/>
      <c r="BV25" s="132" t="e">
        <f>IF(#REF!="COMPLETO","OK","PENDIENTES")</f>
        <v>#REF!</v>
      </c>
      <c r="BW25" s="132"/>
      <c r="BX25" s="132"/>
      <c r="BY25" s="132"/>
      <c r="BZ25" s="132"/>
      <c r="CA25" s="132"/>
      <c r="CB25" s="132"/>
      <c r="CC25" s="19">
        <v>4520055045</v>
      </c>
      <c r="CG25" s="24" t="s">
        <v>105</v>
      </c>
      <c r="CH25" s="24"/>
      <c r="CI25" s="24"/>
      <c r="CJ25" s="24"/>
    </row>
    <row r="26" spans="1:88" ht="15" customHeight="1">
      <c r="A26" s="18">
        <v>2017</v>
      </c>
      <c r="B26" s="18" t="str">
        <f>+INDEX(BDD!F:F,MATCH(P26,BDD!D:D,0))&amp;"-"&amp;INDEX(BDD!E:E,MATCH(P26,BDD!D:D,0))</f>
        <v>G-S</v>
      </c>
      <c r="C26" s="125" t="s">
        <v>484</v>
      </c>
      <c r="D26" s="126" t="s">
        <v>77</v>
      </c>
      <c r="E26" s="135"/>
      <c r="F26" s="24"/>
      <c r="G26" s="346">
        <v>8000000027</v>
      </c>
      <c r="H26" s="125" t="s">
        <v>563</v>
      </c>
      <c r="I26" s="329"/>
      <c r="J26" s="346">
        <v>8000000027</v>
      </c>
      <c r="K26" s="24"/>
      <c r="L26" s="24"/>
      <c r="M26" s="24"/>
      <c r="N26" s="340" t="s">
        <v>486</v>
      </c>
      <c r="O26" s="333">
        <v>207951</v>
      </c>
      <c r="P26" s="25" t="s">
        <v>354</v>
      </c>
      <c r="Q26" s="127" t="s">
        <v>163</v>
      </c>
      <c r="R26" s="128" t="s">
        <v>544</v>
      </c>
      <c r="S26" s="24">
        <v>42863</v>
      </c>
      <c r="T26" s="36" t="s">
        <v>19</v>
      </c>
      <c r="U26" s="125"/>
      <c r="V26" s="88" t="s">
        <v>564</v>
      </c>
      <c r="W26" s="129"/>
      <c r="X26" s="88">
        <v>42881</v>
      </c>
      <c r="Y26" s="130" t="s">
        <v>20</v>
      </c>
      <c r="Z26" s="133" t="s">
        <v>60</v>
      </c>
      <c r="AA26" s="133"/>
      <c r="AB26" s="148">
        <v>525.64</v>
      </c>
      <c r="AC26" s="134">
        <v>259</v>
      </c>
      <c r="AD26" s="134"/>
      <c r="AE26" s="403">
        <f t="shared" si="0"/>
        <v>136140.76</v>
      </c>
      <c r="AF26" s="132" t="str">
        <f>IF(W26=BDD!$P$1,IMPORTS!AB26/25,IF(W26=BDD!$P$2,IMPORTS!AB26/25,IF(W26=BDD!$P$4,AB26/27,IF(IMPORTS!W26=BDD!$P$5,IMPORTS!AB26/26.6,IF(AND(U26=BDD!$N$1,W26=BDD!$P$8),AB26/25,"--")))))</f>
        <v>--</v>
      </c>
      <c r="AG26" s="130" t="s">
        <v>46</v>
      </c>
      <c r="AH26" s="130"/>
      <c r="AI26" s="130" t="s">
        <v>100</v>
      </c>
      <c r="AJ26" s="130"/>
      <c r="AK26" s="130"/>
      <c r="AL26" s="135" t="s">
        <v>489</v>
      </c>
      <c r="AM26" s="314"/>
      <c r="AN26" s="26"/>
      <c r="AO26" s="26"/>
      <c r="AP26" s="26"/>
      <c r="AQ26" s="26">
        <v>42917</v>
      </c>
      <c r="AR26" s="24"/>
      <c r="AS26" s="24"/>
      <c r="AT26" s="24">
        <v>42918</v>
      </c>
      <c r="AU26" s="418">
        <f t="shared" si="1"/>
        <v>7</v>
      </c>
      <c r="AV26" s="418">
        <f t="shared" si="2"/>
        <v>2017</v>
      </c>
      <c r="AW26" s="140"/>
      <c r="AX26" s="142"/>
      <c r="AY26" s="28" t="s">
        <v>269</v>
      </c>
      <c r="AZ26" s="143" t="s">
        <v>62</v>
      </c>
      <c r="BA26" s="143"/>
      <c r="BB26" s="24"/>
      <c r="BC26" s="135">
        <v>10</v>
      </c>
      <c r="BD26" s="24">
        <v>42867</v>
      </c>
      <c r="BE26" s="132" t="s">
        <v>546</v>
      </c>
      <c r="BF26" s="132" t="s">
        <v>546</v>
      </c>
      <c r="BG26" s="135" t="s">
        <v>52</v>
      </c>
      <c r="BH26" s="135"/>
      <c r="BI26" s="314"/>
      <c r="BJ26" s="314"/>
      <c r="BK26" s="24"/>
      <c r="BL26" s="24"/>
      <c r="BM26" s="24"/>
      <c r="BN26" s="24"/>
      <c r="BO26" s="24"/>
      <c r="BP26" s="24"/>
      <c r="BQ26" s="24"/>
      <c r="BR26" s="43"/>
      <c r="BS26" s="24"/>
      <c r="BT26" s="24"/>
      <c r="BU26" s="24"/>
      <c r="BV26" s="132" t="e">
        <f>IF(#REF!="COMPLETO","OK","PENDIENTES")</f>
        <v>#REF!</v>
      </c>
      <c r="BW26" s="132"/>
      <c r="BX26" s="132"/>
      <c r="BY26" s="132"/>
      <c r="BZ26" s="132"/>
      <c r="CA26" s="132"/>
      <c r="CB26" s="132"/>
      <c r="CC26" s="23">
        <v>4520055046</v>
      </c>
      <c r="CG26" s="24" t="s">
        <v>105</v>
      </c>
      <c r="CH26" s="24"/>
      <c r="CI26" s="24"/>
      <c r="CJ26" s="24"/>
    </row>
    <row r="27" spans="1:88" ht="15" customHeight="1">
      <c r="A27" s="18">
        <v>2017</v>
      </c>
      <c r="B27" s="18" t="str">
        <f>+INDEX(BDD!F:F,MATCH(P27,BDD!D:D,0))&amp;"-"&amp;INDEX(BDD!E:E,MATCH(P27,BDD!D:D,0))</f>
        <v>G-S</v>
      </c>
      <c r="C27" s="125" t="s">
        <v>484</v>
      </c>
      <c r="D27" s="126" t="s">
        <v>77</v>
      </c>
      <c r="E27" s="135"/>
      <c r="F27" s="24"/>
      <c r="G27" s="346">
        <v>8000000041</v>
      </c>
      <c r="H27" s="125" t="s">
        <v>565</v>
      </c>
      <c r="I27" s="329"/>
      <c r="J27" s="346">
        <v>8000000041</v>
      </c>
      <c r="K27" s="24"/>
      <c r="L27" s="24"/>
      <c r="M27" s="24"/>
      <c r="N27" s="340" t="s">
        <v>486</v>
      </c>
      <c r="O27" s="333">
        <v>206599</v>
      </c>
      <c r="P27" s="25" t="s">
        <v>339</v>
      </c>
      <c r="Q27" s="127" t="s">
        <v>300</v>
      </c>
      <c r="R27" s="128" t="s">
        <v>566</v>
      </c>
      <c r="S27" s="24">
        <v>42773</v>
      </c>
      <c r="T27" s="36" t="s">
        <v>19</v>
      </c>
      <c r="U27" s="125"/>
      <c r="V27" s="88" t="s">
        <v>567</v>
      </c>
      <c r="W27" s="129"/>
      <c r="X27" s="88">
        <v>42849</v>
      </c>
      <c r="Y27" s="130" t="s">
        <v>20</v>
      </c>
      <c r="Z27" s="133" t="s">
        <v>60</v>
      </c>
      <c r="AA27" s="133"/>
      <c r="AB27" s="148">
        <v>120</v>
      </c>
      <c r="AC27" s="134">
        <v>485</v>
      </c>
      <c r="AD27" s="134"/>
      <c r="AE27" s="403">
        <f t="shared" si="0"/>
        <v>58200</v>
      </c>
      <c r="AF27" s="132">
        <v>5</v>
      </c>
      <c r="AG27" s="130" t="s">
        <v>5</v>
      </c>
      <c r="AH27" s="130"/>
      <c r="AI27" s="130" t="s">
        <v>71</v>
      </c>
      <c r="AJ27" s="130"/>
      <c r="AK27" s="130"/>
      <c r="AL27" s="149" t="s">
        <v>503</v>
      </c>
      <c r="AM27" s="314"/>
      <c r="AN27" s="26"/>
      <c r="AO27" s="26"/>
      <c r="AP27" s="26"/>
      <c r="AQ27" s="26">
        <v>42915</v>
      </c>
      <c r="AR27" s="24"/>
      <c r="AS27" s="24"/>
      <c r="AT27" s="24">
        <v>42916</v>
      </c>
      <c r="AU27" s="418">
        <f t="shared" si="1"/>
        <v>6</v>
      </c>
      <c r="AV27" s="418">
        <f t="shared" si="2"/>
        <v>2017</v>
      </c>
      <c r="AW27" s="24"/>
      <c r="AX27" s="28"/>
      <c r="AY27" s="28" t="s">
        <v>239</v>
      </c>
      <c r="AZ27" s="132" t="s">
        <v>37</v>
      </c>
      <c r="BA27" s="132"/>
      <c r="BB27" s="24"/>
      <c r="BC27" s="135" t="s">
        <v>568</v>
      </c>
      <c r="BD27" s="24">
        <v>42835</v>
      </c>
      <c r="BE27" s="135" t="s">
        <v>504</v>
      </c>
      <c r="BF27" s="135" t="s">
        <v>569</v>
      </c>
      <c r="BG27" s="135" t="s">
        <v>150</v>
      </c>
      <c r="BH27" s="135"/>
      <c r="BI27" s="314"/>
      <c r="BJ27" s="314"/>
      <c r="BK27" s="24"/>
      <c r="BL27" s="24"/>
      <c r="BM27" s="24"/>
      <c r="BN27" s="24"/>
      <c r="BO27" s="24">
        <f>+AQ27+14</f>
        <v>42929</v>
      </c>
      <c r="BP27" s="24"/>
      <c r="BQ27" s="24"/>
      <c r="BR27" s="43"/>
      <c r="BS27" s="24"/>
      <c r="BT27" s="24"/>
      <c r="BU27" s="24"/>
      <c r="BV27" s="132" t="e">
        <f>IF(#REF!="COMPLETO","OK","PENDIENTES")</f>
        <v>#REF!</v>
      </c>
      <c r="BW27" s="132"/>
      <c r="BX27" s="132"/>
      <c r="BY27" s="132"/>
      <c r="BZ27" s="132"/>
      <c r="CA27" s="132"/>
      <c r="CB27" s="132"/>
      <c r="CC27" s="19">
        <v>4520054825</v>
      </c>
      <c r="CG27" s="24" t="s">
        <v>105</v>
      </c>
      <c r="CH27" s="24"/>
      <c r="CI27" s="24"/>
      <c r="CJ27" s="24"/>
    </row>
    <row r="28" spans="1:88" ht="15" customHeight="1">
      <c r="A28" s="18">
        <v>2017</v>
      </c>
      <c r="B28" s="18" t="str">
        <f>+INDEX(BDD!F:F,MATCH(P28,BDD!D:D,0))&amp;"-"&amp;INDEX(BDD!E:E,MATCH(P28,BDD!D:D,0))</f>
        <v>G-S</v>
      </c>
      <c r="C28" s="125" t="s">
        <v>484</v>
      </c>
      <c r="D28" s="126" t="s">
        <v>77</v>
      </c>
      <c r="E28" s="135"/>
      <c r="F28" s="24"/>
      <c r="G28" s="346">
        <v>8000000033</v>
      </c>
      <c r="H28" s="125" t="s">
        <v>570</v>
      </c>
      <c r="I28" s="329"/>
      <c r="J28" s="346">
        <v>8000000033</v>
      </c>
      <c r="K28" s="24"/>
      <c r="L28" s="24"/>
      <c r="M28" s="24"/>
      <c r="N28" s="340" t="s">
        <v>486</v>
      </c>
      <c r="O28" s="333">
        <v>207791</v>
      </c>
      <c r="P28" s="25" t="s">
        <v>98</v>
      </c>
      <c r="Q28" s="127" t="s">
        <v>306</v>
      </c>
      <c r="R28" s="128" t="s">
        <v>571</v>
      </c>
      <c r="S28" s="24">
        <v>42866</v>
      </c>
      <c r="T28" s="36" t="s">
        <v>19</v>
      </c>
      <c r="U28" s="125"/>
      <c r="V28" s="88" t="s">
        <v>572</v>
      </c>
      <c r="W28" s="129"/>
      <c r="X28" s="88">
        <v>42873</v>
      </c>
      <c r="Y28" s="130" t="s">
        <v>20</v>
      </c>
      <c r="Z28" s="133" t="s">
        <v>60</v>
      </c>
      <c r="AA28" s="133"/>
      <c r="AB28" s="148">
        <v>340</v>
      </c>
      <c r="AC28" s="134">
        <v>243</v>
      </c>
      <c r="AD28" s="134"/>
      <c r="AE28" s="403">
        <f t="shared" si="0"/>
        <v>82620</v>
      </c>
      <c r="AF28" s="132" t="str">
        <f>IF(W28=BDD!$P$1,IMPORTS!AB28/25,IF(W28=BDD!$P$2,IMPORTS!AB28/25,IF(W28=BDD!$P$4,AB28/27,IF(IMPORTS!W28=BDD!$P$5,IMPORTS!AB28/26.6,IF(AND(U28=BDD!$N$1,W28=BDD!$P$8),AB28/25,"--")))))</f>
        <v>--</v>
      </c>
      <c r="AG28" s="130" t="s">
        <v>46</v>
      </c>
      <c r="AH28" s="130"/>
      <c r="AI28" s="130" t="s">
        <v>100</v>
      </c>
      <c r="AJ28" s="130"/>
      <c r="AK28" s="130"/>
      <c r="AL28" s="149" t="s">
        <v>489</v>
      </c>
      <c r="AM28" s="314"/>
      <c r="AN28" s="26"/>
      <c r="AO28" s="26"/>
      <c r="AP28" s="26"/>
      <c r="AQ28" s="26">
        <v>42900</v>
      </c>
      <c r="AR28" s="24"/>
      <c r="AS28" s="24"/>
      <c r="AT28" s="24">
        <v>42905</v>
      </c>
      <c r="AU28" s="418">
        <f t="shared" si="1"/>
        <v>6</v>
      </c>
      <c r="AV28" s="418">
        <f t="shared" si="2"/>
        <v>2017</v>
      </c>
      <c r="AW28" s="24"/>
      <c r="AX28" s="28"/>
      <c r="AY28" s="28" t="s">
        <v>281</v>
      </c>
      <c r="AZ28" s="132" t="s">
        <v>9</v>
      </c>
      <c r="BA28" s="132"/>
      <c r="BB28" s="24"/>
      <c r="BC28" s="135">
        <v>21</v>
      </c>
      <c r="BD28" s="24">
        <v>42867</v>
      </c>
      <c r="BE28" s="132" t="s">
        <v>491</v>
      </c>
      <c r="BF28" s="132" t="s">
        <v>491</v>
      </c>
      <c r="BG28" s="135" t="s">
        <v>52</v>
      </c>
      <c r="BH28" s="135"/>
      <c r="BI28" s="314"/>
      <c r="BJ28" s="314"/>
      <c r="BK28" s="24"/>
      <c r="BL28" s="24"/>
      <c r="BM28" s="24"/>
      <c r="BN28" s="24"/>
      <c r="BO28" s="24"/>
      <c r="BP28" s="24"/>
      <c r="BQ28" s="24"/>
      <c r="BR28" s="43"/>
      <c r="BS28" s="24"/>
      <c r="BT28" s="24"/>
      <c r="BU28" s="24"/>
      <c r="BV28" s="132" t="e">
        <f>IF(#REF!="COMPLETO","OK","PENDIENTES")</f>
        <v>#REF!</v>
      </c>
      <c r="BW28" s="132"/>
      <c r="BX28" s="132"/>
      <c r="BY28" s="132"/>
      <c r="BZ28" s="132"/>
      <c r="CA28" s="132"/>
      <c r="CB28" s="132"/>
      <c r="CC28" s="19">
        <v>4520055015</v>
      </c>
      <c r="CG28" s="24" t="s">
        <v>105</v>
      </c>
      <c r="CH28" s="24"/>
      <c r="CI28" s="24"/>
      <c r="CJ28" s="24"/>
    </row>
    <row r="29" spans="1:88" ht="14.25" customHeight="1">
      <c r="A29" s="18">
        <v>2017</v>
      </c>
      <c r="B29" s="18" t="str">
        <f>+INDEX(BDD!F:F,MATCH(P29,BDD!D:D,0))&amp;"-"&amp;INDEX(BDD!E:E,MATCH(P29,BDD!D:D,0))</f>
        <v>G-S</v>
      </c>
      <c r="C29" s="125" t="s">
        <v>484</v>
      </c>
      <c r="D29" s="126" t="s">
        <v>77</v>
      </c>
      <c r="E29" s="135"/>
      <c r="F29" s="24"/>
      <c r="G29" s="346">
        <v>8000000034</v>
      </c>
      <c r="H29" s="125" t="s">
        <v>573</v>
      </c>
      <c r="I29" s="329"/>
      <c r="J29" s="346">
        <v>8000000034</v>
      </c>
      <c r="K29" s="24"/>
      <c r="L29" s="24"/>
      <c r="M29" s="24"/>
      <c r="N29" s="340" t="s">
        <v>486</v>
      </c>
      <c r="O29" s="333">
        <v>207791</v>
      </c>
      <c r="P29" s="25" t="s">
        <v>98</v>
      </c>
      <c r="Q29" s="127" t="s">
        <v>306</v>
      </c>
      <c r="R29" s="128" t="s">
        <v>571</v>
      </c>
      <c r="S29" s="24">
        <v>42866</v>
      </c>
      <c r="T29" s="36" t="s">
        <v>19</v>
      </c>
      <c r="U29" s="125"/>
      <c r="V29" s="88" t="s">
        <v>574</v>
      </c>
      <c r="W29" s="129"/>
      <c r="X29" s="88">
        <v>42873</v>
      </c>
      <c r="Y29" s="130" t="s">
        <v>20</v>
      </c>
      <c r="Z29" s="133" t="s">
        <v>60</v>
      </c>
      <c r="AA29" s="133"/>
      <c r="AB29" s="148">
        <v>970</v>
      </c>
      <c r="AC29" s="134">
        <v>243</v>
      </c>
      <c r="AD29" s="134"/>
      <c r="AE29" s="403">
        <f t="shared" si="0"/>
        <v>235710</v>
      </c>
      <c r="AF29" s="132" t="str">
        <f>IF(W29=BDD!$P$1,IMPORTS!AB29/25,IF(W29=BDD!$P$2,IMPORTS!AB29/25,IF(W29=BDD!$P$4,AB29/27,IF(IMPORTS!W29=BDD!$P$5,IMPORTS!AB29/26.6,IF(AND(U29=BDD!$N$1,W29=BDD!$P$8),AB29/25,"--")))))</f>
        <v>--</v>
      </c>
      <c r="AG29" s="130" t="s">
        <v>46</v>
      </c>
      <c r="AH29" s="130"/>
      <c r="AI29" s="130" t="s">
        <v>100</v>
      </c>
      <c r="AJ29" s="130"/>
      <c r="AK29" s="130"/>
      <c r="AL29" s="149" t="s">
        <v>489</v>
      </c>
      <c r="AM29" s="314"/>
      <c r="AN29" s="26"/>
      <c r="AO29" s="26"/>
      <c r="AP29" s="26"/>
      <c r="AQ29" s="26">
        <v>42907</v>
      </c>
      <c r="AR29" s="24"/>
      <c r="AS29" s="24"/>
      <c r="AT29" s="24">
        <v>42908</v>
      </c>
      <c r="AU29" s="418">
        <f t="shared" si="1"/>
        <v>6</v>
      </c>
      <c r="AV29" s="418">
        <f t="shared" si="2"/>
        <v>2017</v>
      </c>
      <c r="AW29" s="24"/>
      <c r="AX29" s="28"/>
      <c r="AY29" s="28" t="s">
        <v>281</v>
      </c>
      <c r="AZ29" s="132" t="s">
        <v>25</v>
      </c>
      <c r="BA29" s="132"/>
      <c r="BB29" s="24"/>
      <c r="BC29" s="135">
        <v>22</v>
      </c>
      <c r="BD29" s="24">
        <v>42867</v>
      </c>
      <c r="BE29" s="132" t="s">
        <v>491</v>
      </c>
      <c r="BF29" s="132" t="s">
        <v>491</v>
      </c>
      <c r="BG29" s="135" t="s">
        <v>52</v>
      </c>
      <c r="BH29" s="135"/>
      <c r="BI29" s="314"/>
      <c r="BJ29" s="314"/>
      <c r="BK29" s="24"/>
      <c r="BL29" s="24"/>
      <c r="BM29" s="24"/>
      <c r="BN29" s="24"/>
      <c r="BO29" s="24"/>
      <c r="BP29" s="24"/>
      <c r="BQ29" s="24"/>
      <c r="BR29" s="43"/>
      <c r="BS29" s="24"/>
      <c r="BT29" s="24"/>
      <c r="BU29" s="24"/>
      <c r="BV29" s="132" t="e">
        <f>IF(#REF!="COMPLETO","OK","PENDIENTES")</f>
        <v>#REF!</v>
      </c>
      <c r="BW29" s="132"/>
      <c r="BX29" s="132"/>
      <c r="BY29" s="132"/>
      <c r="BZ29" s="132"/>
      <c r="CA29" s="132"/>
      <c r="CB29" s="132"/>
      <c r="CC29" s="19">
        <v>4520055016</v>
      </c>
      <c r="CG29" s="24" t="s">
        <v>105</v>
      </c>
      <c r="CH29" s="24"/>
      <c r="CI29" s="24"/>
      <c r="CJ29" s="24"/>
    </row>
    <row r="30" spans="1:88" ht="15" customHeight="1">
      <c r="A30" s="18">
        <v>2017</v>
      </c>
      <c r="B30" s="18" t="str">
        <f>+INDEX(BDD!F:F,MATCH(P30,BDD!D:D,0))&amp;"-"&amp;INDEX(BDD!E:E,MATCH(P30,BDD!D:D,0))</f>
        <v>G-S</v>
      </c>
      <c r="C30" s="125" t="s">
        <v>484</v>
      </c>
      <c r="D30" s="126" t="s">
        <v>77</v>
      </c>
      <c r="E30" s="135"/>
      <c r="F30" s="24"/>
      <c r="G30" s="346">
        <v>8000000035</v>
      </c>
      <c r="H30" s="125" t="s">
        <v>575</v>
      </c>
      <c r="I30" s="329"/>
      <c r="J30" s="346">
        <v>8000000035</v>
      </c>
      <c r="K30" s="24"/>
      <c r="L30" s="24"/>
      <c r="M30" s="24"/>
      <c r="N30" s="340" t="s">
        <v>486</v>
      </c>
      <c r="O30" s="333">
        <v>207791</v>
      </c>
      <c r="P30" s="25" t="s">
        <v>98</v>
      </c>
      <c r="Q30" s="127" t="s">
        <v>306</v>
      </c>
      <c r="R30" s="128" t="s">
        <v>571</v>
      </c>
      <c r="S30" s="24">
        <v>42866</v>
      </c>
      <c r="T30" s="36" t="s">
        <v>19</v>
      </c>
      <c r="U30" s="125"/>
      <c r="V30" s="88" t="s">
        <v>576</v>
      </c>
      <c r="W30" s="129"/>
      <c r="X30" s="88">
        <v>42873</v>
      </c>
      <c r="Y30" s="130" t="s">
        <v>20</v>
      </c>
      <c r="Z30" s="146" t="s">
        <v>60</v>
      </c>
      <c r="AA30" s="146"/>
      <c r="AB30" s="148">
        <v>140</v>
      </c>
      <c r="AC30" s="134">
        <v>243</v>
      </c>
      <c r="AD30" s="134"/>
      <c r="AE30" s="403">
        <f t="shared" si="0"/>
        <v>34020</v>
      </c>
      <c r="AF30" s="132" t="str">
        <f>IF(W30=BDD!$P$1,IMPORTS!AB30/25,IF(W30=BDD!$P$2,IMPORTS!AB30/25,IF(W30=BDD!$P$4,AB30/27,IF(IMPORTS!W30=BDD!$P$5,IMPORTS!AB30/26.6,IF(AND(U30=BDD!$N$1,W30=BDD!$P$8),AB30/25,"--")))))</f>
        <v>--</v>
      </c>
      <c r="AG30" s="130" t="s">
        <v>46</v>
      </c>
      <c r="AH30" s="130"/>
      <c r="AI30" s="130" t="s">
        <v>100</v>
      </c>
      <c r="AJ30" s="130"/>
      <c r="AK30" s="130"/>
      <c r="AL30" s="24" t="s">
        <v>489</v>
      </c>
      <c r="AM30" s="314"/>
      <c r="AN30" s="26"/>
      <c r="AO30" s="26"/>
      <c r="AP30" s="26"/>
      <c r="AQ30" s="26">
        <v>42917</v>
      </c>
      <c r="AR30" s="24"/>
      <c r="AS30" s="24"/>
      <c r="AT30" s="24">
        <v>42918</v>
      </c>
      <c r="AU30" s="418">
        <f t="shared" si="1"/>
        <v>7</v>
      </c>
      <c r="AV30" s="418">
        <f t="shared" si="2"/>
        <v>2017</v>
      </c>
      <c r="AW30" s="140"/>
      <c r="AX30" s="140"/>
      <c r="AY30" s="24" t="s">
        <v>281</v>
      </c>
      <c r="AZ30" s="143" t="s">
        <v>62</v>
      </c>
      <c r="BA30" s="143"/>
      <c r="BB30" s="24"/>
      <c r="BC30" s="135">
        <v>23</v>
      </c>
      <c r="BD30" s="24">
        <v>42867</v>
      </c>
      <c r="BE30" s="135" t="s">
        <v>491</v>
      </c>
      <c r="BF30" s="135" t="s">
        <v>491</v>
      </c>
      <c r="BG30" s="135" t="s">
        <v>52</v>
      </c>
      <c r="BH30" s="135"/>
      <c r="BI30" s="314"/>
      <c r="BJ30" s="314"/>
      <c r="BK30" s="24"/>
      <c r="BL30" s="24"/>
      <c r="BM30" s="24"/>
      <c r="BN30" s="24"/>
      <c r="BO30" s="24"/>
      <c r="BP30" s="24"/>
      <c r="BQ30" s="24"/>
      <c r="BR30" s="43"/>
      <c r="BS30" s="24"/>
      <c r="BT30" s="24"/>
      <c r="BU30" s="24"/>
      <c r="BV30" s="132" t="e">
        <f>IF(#REF!="COMPLETO","OK","PENDIENTES")</f>
        <v>#REF!</v>
      </c>
      <c r="BW30" s="132"/>
      <c r="BX30" s="132"/>
      <c r="BY30" s="132"/>
      <c r="BZ30" s="132"/>
      <c r="CA30" s="132"/>
      <c r="CB30" s="132"/>
      <c r="CC30" s="19">
        <v>4520055018</v>
      </c>
      <c r="CG30" s="24" t="s">
        <v>105</v>
      </c>
      <c r="CH30" s="24"/>
      <c r="CI30" s="24"/>
      <c r="CJ30" s="24"/>
    </row>
    <row r="31" spans="1:88" ht="15" customHeight="1">
      <c r="A31" s="18">
        <v>2017</v>
      </c>
      <c r="B31" s="18" t="str">
        <f>+INDEX(BDD!F:F,MATCH(P31,BDD!D:D,0))&amp;"-"&amp;INDEX(BDD!E:E,MATCH(P31,BDD!D:D,0))</f>
        <v>G-S</v>
      </c>
      <c r="C31" s="360" t="s">
        <v>484</v>
      </c>
      <c r="D31" s="150" t="s">
        <v>77</v>
      </c>
      <c r="E31" s="132"/>
      <c r="F31" s="24"/>
      <c r="G31" s="346">
        <v>8000000001</v>
      </c>
      <c r="H31" s="25" t="s">
        <v>577</v>
      </c>
      <c r="I31" s="329"/>
      <c r="J31" s="346">
        <v>8000000001</v>
      </c>
      <c r="K31" s="24"/>
      <c r="L31" s="24"/>
      <c r="M31" s="24"/>
      <c r="N31" s="340" t="s">
        <v>486</v>
      </c>
      <c r="O31" s="333">
        <v>206599</v>
      </c>
      <c r="P31" s="25" t="s">
        <v>339</v>
      </c>
      <c r="Q31" s="127" t="s">
        <v>207</v>
      </c>
      <c r="R31" s="128">
        <v>4000637283</v>
      </c>
      <c r="S31" s="24">
        <v>42867</v>
      </c>
      <c r="T31" s="36" t="s">
        <v>19</v>
      </c>
      <c r="U31" s="125"/>
      <c r="V31" s="128">
        <v>4200559328</v>
      </c>
      <c r="W31" s="151"/>
      <c r="X31" s="88">
        <v>42928</v>
      </c>
      <c r="Y31" s="130" t="s">
        <v>20</v>
      </c>
      <c r="Z31" s="146" t="s">
        <v>72</v>
      </c>
      <c r="AA31" s="146"/>
      <c r="AB31" s="148">
        <v>112.006</v>
      </c>
      <c r="AC31" s="134">
        <v>510</v>
      </c>
      <c r="AD31" s="134"/>
      <c r="AE31" s="403">
        <f t="shared" si="0"/>
        <v>57123.06</v>
      </c>
      <c r="AF31" s="132" t="str">
        <f>IF(W31=BDD!$P$1,IMPORTS!AB31/25,IF(W31=BDD!$P$2,IMPORTS!AB31/25,IF(W31=BDD!$P$4,AB31/27,IF(IMPORTS!W31=BDD!$P$5,IMPORTS!AB31/26.6,IF(AND(U31=BDD!$N$1,W31=BDD!$P$8),AB31/25,"--")))))</f>
        <v>--</v>
      </c>
      <c r="AG31" s="130" t="s">
        <v>5</v>
      </c>
      <c r="AH31" s="130"/>
      <c r="AI31" s="130" t="s">
        <v>100</v>
      </c>
      <c r="AJ31" s="130"/>
      <c r="AK31" s="130"/>
      <c r="AL31" s="24" t="s">
        <v>489</v>
      </c>
      <c r="AM31" s="314"/>
      <c r="AN31" s="26"/>
      <c r="AO31" s="26"/>
      <c r="AP31" s="26"/>
      <c r="AQ31" s="26">
        <v>42913</v>
      </c>
      <c r="AR31" s="24"/>
      <c r="AS31" s="24"/>
      <c r="AT31" s="24">
        <v>42929</v>
      </c>
      <c r="AU31" s="418">
        <f t="shared" si="1"/>
        <v>7</v>
      </c>
      <c r="AV31" s="418">
        <f t="shared" si="2"/>
        <v>2017</v>
      </c>
      <c r="AW31" s="24"/>
      <c r="AX31" s="24"/>
      <c r="AY31" s="24" t="s">
        <v>162</v>
      </c>
      <c r="AZ31" s="132" t="s">
        <v>9</v>
      </c>
      <c r="BA31" s="132"/>
      <c r="BB31" s="24"/>
      <c r="BC31" s="135" t="s">
        <v>578</v>
      </c>
      <c r="BD31" s="24">
        <v>42884</v>
      </c>
      <c r="BE31" s="135" t="s">
        <v>579</v>
      </c>
      <c r="BF31" s="135" t="s">
        <v>580</v>
      </c>
      <c r="BG31" s="135" t="s">
        <v>29</v>
      </c>
      <c r="BH31" s="135"/>
      <c r="BI31" s="314"/>
      <c r="BJ31" s="314"/>
      <c r="BK31" s="24"/>
      <c r="BL31" s="24"/>
      <c r="BM31" s="24"/>
      <c r="BN31" s="24"/>
      <c r="BO31" s="24">
        <v>42931</v>
      </c>
      <c r="BP31" s="24"/>
      <c r="BQ31" s="24"/>
      <c r="BR31" s="43"/>
      <c r="BS31" s="24"/>
      <c r="BT31" s="24"/>
      <c r="BU31" s="24"/>
      <c r="BV31" s="132" t="e">
        <f>IF(#REF!="COMPLETO","OK","PENDIENTES")</f>
        <v>#REF!</v>
      </c>
      <c r="BW31" s="132"/>
      <c r="BX31" s="132"/>
      <c r="BY31" s="132"/>
      <c r="BZ31" s="132"/>
      <c r="CA31" s="132"/>
      <c r="CB31" s="132"/>
      <c r="CC31" s="23"/>
      <c r="CG31" s="24" t="s">
        <v>105</v>
      </c>
      <c r="CH31" s="24"/>
      <c r="CI31" s="24"/>
      <c r="CJ31" s="24"/>
    </row>
    <row r="32" spans="1:88" ht="15" customHeight="1">
      <c r="A32" s="18">
        <v>2017</v>
      </c>
      <c r="B32" s="18" t="str">
        <f>+INDEX(BDD!F:F,MATCH(P32,BDD!D:D,0))&amp;"-"&amp;INDEX(BDD!E:E,MATCH(P32,BDD!D:D,0))</f>
        <v>S-S</v>
      </c>
      <c r="C32" s="360" t="s">
        <v>484</v>
      </c>
      <c r="D32" s="150" t="s">
        <v>77</v>
      </c>
      <c r="E32" s="132"/>
      <c r="F32" s="24"/>
      <c r="G32" s="346">
        <v>8000000002</v>
      </c>
      <c r="H32" s="25" t="s">
        <v>581</v>
      </c>
      <c r="I32" s="329"/>
      <c r="J32" s="346">
        <v>8000000002</v>
      </c>
      <c r="K32" s="24"/>
      <c r="L32" s="24"/>
      <c r="M32" s="24"/>
      <c r="N32" s="340" t="s">
        <v>486</v>
      </c>
      <c r="O32" s="333">
        <v>206971</v>
      </c>
      <c r="P32" s="25" t="s">
        <v>340</v>
      </c>
      <c r="Q32" s="127" t="s">
        <v>203</v>
      </c>
      <c r="R32" s="128">
        <v>4000635599</v>
      </c>
      <c r="S32" s="24"/>
      <c r="T32" s="36" t="s">
        <v>19</v>
      </c>
      <c r="U32" s="125"/>
      <c r="V32" s="128">
        <v>4610000641</v>
      </c>
      <c r="W32" s="151"/>
      <c r="X32" s="88">
        <v>42906</v>
      </c>
      <c r="Y32" s="130" t="s">
        <v>20</v>
      </c>
      <c r="Z32" s="146" t="s">
        <v>72</v>
      </c>
      <c r="AA32" s="146"/>
      <c r="AB32" s="148">
        <v>24</v>
      </c>
      <c r="AC32" s="134">
        <v>500</v>
      </c>
      <c r="AD32" s="134"/>
      <c r="AE32" s="403">
        <f t="shared" si="0"/>
        <v>12000</v>
      </c>
      <c r="AF32" s="132" t="str">
        <f>IF(W32=BDD!$P$1,IMPORTS!AB32/25,IF(W32=BDD!$P$2,IMPORTS!AB32/25,IF(IMPORTS!W32=BDD!$P$4,IMPORTS!AB32/25.5,"--")))</f>
        <v>--</v>
      </c>
      <c r="AG32" s="130" t="s">
        <v>5</v>
      </c>
      <c r="AH32" s="130"/>
      <c r="AI32" s="130" t="s">
        <v>34</v>
      </c>
      <c r="AJ32" s="130"/>
      <c r="AK32" s="130"/>
      <c r="AL32" s="24" t="s">
        <v>582</v>
      </c>
      <c r="AM32" s="314"/>
      <c r="AN32" s="26"/>
      <c r="AO32" s="26"/>
      <c r="AP32" s="26"/>
      <c r="AQ32" s="26">
        <v>42946</v>
      </c>
      <c r="AR32" s="24"/>
      <c r="AS32" s="24"/>
      <c r="AT32" s="24">
        <v>42956</v>
      </c>
      <c r="AU32" s="418">
        <f t="shared" si="1"/>
        <v>8</v>
      </c>
      <c r="AV32" s="418">
        <f t="shared" si="2"/>
        <v>2017</v>
      </c>
      <c r="AW32" s="24"/>
      <c r="AX32" s="24"/>
      <c r="AY32" s="24" t="s">
        <v>185</v>
      </c>
      <c r="AZ32" s="132" t="s">
        <v>37</v>
      </c>
      <c r="BA32" s="132"/>
      <c r="BB32" s="24"/>
      <c r="BC32" s="135" t="s">
        <v>583</v>
      </c>
      <c r="BD32" s="24">
        <v>42896</v>
      </c>
      <c r="BE32" s="135" t="s">
        <v>584</v>
      </c>
      <c r="BF32" s="135" t="s">
        <v>585</v>
      </c>
      <c r="BG32" s="135" t="s">
        <v>14</v>
      </c>
      <c r="BH32" s="135"/>
      <c r="BI32" s="314"/>
      <c r="BJ32" s="314"/>
      <c r="BK32" s="24"/>
      <c r="BL32" s="24"/>
      <c r="BM32" s="24"/>
      <c r="BN32" s="24"/>
      <c r="BO32" s="24">
        <f>+AQ32+21</f>
        <v>42967</v>
      </c>
      <c r="BP32" s="24"/>
      <c r="BQ32" s="24"/>
      <c r="BR32" s="43"/>
      <c r="BS32" s="24"/>
      <c r="BT32" s="24"/>
      <c r="BU32" s="24"/>
      <c r="BV32" s="132" t="e">
        <f>IF(#REF!="COMPLETO","OK","PENDIENTES")</f>
        <v>#REF!</v>
      </c>
      <c r="BW32" s="132"/>
      <c r="BX32" s="132"/>
      <c r="BY32" s="132"/>
      <c r="BZ32" s="132"/>
      <c r="CA32" s="132"/>
      <c r="CB32" s="132"/>
      <c r="CC32" s="23"/>
      <c r="CG32" s="24" t="s">
        <v>105</v>
      </c>
      <c r="CH32" s="24"/>
      <c r="CI32" s="24"/>
      <c r="CJ32" s="24"/>
    </row>
    <row r="33" spans="1:88" ht="15.75" customHeight="1">
      <c r="A33" s="18">
        <v>2017</v>
      </c>
      <c r="B33" s="18" t="str">
        <f>+INDEX(BDD!F:F,MATCH(P33,BDD!D:D,0))&amp;"-"&amp;INDEX(BDD!E:E,MATCH(P33,BDD!D:D,0))</f>
        <v>S-S</v>
      </c>
      <c r="C33" s="360" t="s">
        <v>484</v>
      </c>
      <c r="D33" s="150" t="s">
        <v>77</v>
      </c>
      <c r="E33" s="132"/>
      <c r="F33" s="24"/>
      <c r="G33" s="346">
        <v>8000000003</v>
      </c>
      <c r="H33" s="25" t="s">
        <v>586</v>
      </c>
      <c r="I33" s="329"/>
      <c r="J33" s="346">
        <v>8000000003</v>
      </c>
      <c r="K33" s="24"/>
      <c r="L33" s="24"/>
      <c r="M33" s="24"/>
      <c r="N33" s="340" t="s">
        <v>486</v>
      </c>
      <c r="O33" s="333">
        <v>206971</v>
      </c>
      <c r="P33" s="25" t="s">
        <v>340</v>
      </c>
      <c r="Q33" s="127" t="s">
        <v>203</v>
      </c>
      <c r="R33" s="128">
        <v>4000635601</v>
      </c>
      <c r="S33" s="24"/>
      <c r="T33" s="36" t="s">
        <v>19</v>
      </c>
      <c r="U33" s="125"/>
      <c r="V33" s="128">
        <v>4610000688</v>
      </c>
      <c r="W33" s="151"/>
      <c r="X33" s="88">
        <v>42906</v>
      </c>
      <c r="Y33" s="130" t="s">
        <v>20</v>
      </c>
      <c r="Z33" s="146" t="s">
        <v>72</v>
      </c>
      <c r="AA33" s="146"/>
      <c r="AB33" s="148">
        <v>24</v>
      </c>
      <c r="AC33" s="134">
        <v>500</v>
      </c>
      <c r="AD33" s="134"/>
      <c r="AE33" s="403">
        <f t="shared" si="0"/>
        <v>12000</v>
      </c>
      <c r="AF33" s="132" t="str">
        <f>IF(W33=BDD!$P$1,IMPORTS!AB33/25,IF(W33=BDD!$P$2,IMPORTS!AB33/25,IF(IMPORTS!W33=BDD!$P$4,IMPORTS!AB33/25.5,"--")))</f>
        <v>--</v>
      </c>
      <c r="AG33" s="130" t="s">
        <v>5</v>
      </c>
      <c r="AH33" s="130"/>
      <c r="AI33" s="130" t="s">
        <v>34</v>
      </c>
      <c r="AJ33" s="130"/>
      <c r="AK33" s="130"/>
      <c r="AL33" s="24" t="s">
        <v>582</v>
      </c>
      <c r="AM33" s="314"/>
      <c r="AN33" s="26"/>
      <c r="AO33" s="26"/>
      <c r="AP33" s="26"/>
      <c r="AQ33" s="26">
        <v>42954</v>
      </c>
      <c r="AR33" s="24"/>
      <c r="AS33" s="24"/>
      <c r="AT33" s="24">
        <v>42959</v>
      </c>
      <c r="AU33" s="418">
        <f t="shared" si="1"/>
        <v>8</v>
      </c>
      <c r="AV33" s="418">
        <f t="shared" si="2"/>
        <v>2017</v>
      </c>
      <c r="AW33" s="24"/>
      <c r="AX33" s="24"/>
      <c r="AY33" s="24" t="s">
        <v>185</v>
      </c>
      <c r="AZ33" s="132" t="s">
        <v>9</v>
      </c>
      <c r="BA33" s="132"/>
      <c r="BB33" s="24"/>
      <c r="BC33" s="135" t="s">
        <v>587</v>
      </c>
      <c r="BD33" s="24">
        <v>42898</v>
      </c>
      <c r="BE33" s="135" t="s">
        <v>588</v>
      </c>
      <c r="BF33" s="135" t="s">
        <v>589</v>
      </c>
      <c r="BG33" s="135" t="s">
        <v>14</v>
      </c>
      <c r="BH33" s="135"/>
      <c r="BI33" s="314"/>
      <c r="BJ33" s="314"/>
      <c r="BK33" s="24"/>
      <c r="BL33" s="24"/>
      <c r="BM33" s="24"/>
      <c r="BN33" s="24"/>
      <c r="BO33" s="24">
        <v>42977</v>
      </c>
      <c r="BP33" s="24"/>
      <c r="BQ33" s="24"/>
      <c r="BR33" s="43"/>
      <c r="BS33" s="24"/>
      <c r="BT33" s="24"/>
      <c r="BU33" s="24"/>
      <c r="BV33" s="132" t="e">
        <f>IF(#REF!="COMPLETO","OK","PENDIENTES")</f>
        <v>#REF!</v>
      </c>
      <c r="BW33" s="132"/>
      <c r="BX33" s="132"/>
      <c r="BY33" s="132"/>
      <c r="BZ33" s="132"/>
      <c r="CA33" s="132"/>
      <c r="CB33" s="132"/>
      <c r="CC33" s="23"/>
      <c r="CG33" s="24" t="s">
        <v>105</v>
      </c>
      <c r="CH33" s="24"/>
      <c r="CI33" s="24"/>
      <c r="CJ33" s="24"/>
    </row>
    <row r="34" spans="1:88" ht="15" customHeight="1">
      <c r="A34" s="18">
        <v>2017</v>
      </c>
      <c r="B34" s="18" t="str">
        <f>+INDEX(BDD!F:F,MATCH(P34,BDD!D:D,0))&amp;"-"&amp;INDEX(BDD!E:E,MATCH(P34,BDD!D:D,0))</f>
        <v>S-S</v>
      </c>
      <c r="C34" s="360" t="s">
        <v>484</v>
      </c>
      <c r="D34" s="150" t="s">
        <v>77</v>
      </c>
      <c r="E34" s="132"/>
      <c r="F34" s="24"/>
      <c r="G34" s="346">
        <v>8000000076</v>
      </c>
      <c r="H34" s="25" t="s">
        <v>590</v>
      </c>
      <c r="I34" s="329"/>
      <c r="J34" s="346">
        <v>8000000076</v>
      </c>
      <c r="K34" s="24"/>
      <c r="L34" s="24"/>
      <c r="M34" s="24"/>
      <c r="N34" s="340" t="s">
        <v>486</v>
      </c>
      <c r="O34" s="333">
        <v>206971</v>
      </c>
      <c r="P34" s="25" t="s">
        <v>340</v>
      </c>
      <c r="Q34" s="127" t="s">
        <v>213</v>
      </c>
      <c r="R34" s="128" t="s">
        <v>591</v>
      </c>
      <c r="S34" s="24">
        <v>42782</v>
      </c>
      <c r="T34" s="36" t="s">
        <v>19</v>
      </c>
      <c r="U34" s="125"/>
      <c r="V34" s="128">
        <v>20170756</v>
      </c>
      <c r="W34" s="151"/>
      <c r="X34" s="88">
        <v>42898</v>
      </c>
      <c r="Y34" s="130" t="s">
        <v>20</v>
      </c>
      <c r="Z34" s="146" t="s">
        <v>72</v>
      </c>
      <c r="AA34" s="146"/>
      <c r="AB34" s="148">
        <v>375</v>
      </c>
      <c r="AC34" s="134">
        <v>505</v>
      </c>
      <c r="AD34" s="134"/>
      <c r="AE34" s="403">
        <f t="shared" si="0"/>
        <v>189375</v>
      </c>
      <c r="AF34" s="132" t="str">
        <f>IF(W34=BDD!$P$1,IMPORTS!AB34/25,IF(W34=BDD!$P$2,IMPORTS!AB34/25,IF(IMPORTS!W34=BDD!$P$4,IMPORTS!AB34/25.5,"--")))</f>
        <v>--</v>
      </c>
      <c r="AG34" s="130" t="s">
        <v>5</v>
      </c>
      <c r="AH34" s="130"/>
      <c r="AI34" s="130" t="s">
        <v>34</v>
      </c>
      <c r="AJ34" s="130"/>
      <c r="AK34" s="130"/>
      <c r="AL34" s="24" t="s">
        <v>489</v>
      </c>
      <c r="AM34" s="314"/>
      <c r="AN34" s="26"/>
      <c r="AO34" s="26"/>
      <c r="AP34" s="26"/>
      <c r="AQ34" s="26">
        <v>42929</v>
      </c>
      <c r="AR34" s="24"/>
      <c r="AS34" s="24"/>
      <c r="AT34" s="24">
        <v>42933</v>
      </c>
      <c r="AU34" s="418">
        <f t="shared" si="1"/>
        <v>7</v>
      </c>
      <c r="AV34" s="418">
        <f t="shared" si="2"/>
        <v>2017</v>
      </c>
      <c r="AW34" s="24"/>
      <c r="AX34" s="24"/>
      <c r="AY34" s="24" t="s">
        <v>193</v>
      </c>
      <c r="AZ34" s="132" t="s">
        <v>9</v>
      </c>
      <c r="BA34" s="132"/>
      <c r="BB34" s="24"/>
      <c r="BC34" s="135" t="s">
        <v>592</v>
      </c>
      <c r="BD34" s="24">
        <v>42886</v>
      </c>
      <c r="BE34" s="135" t="s">
        <v>593</v>
      </c>
      <c r="BF34" s="135" t="s">
        <v>594</v>
      </c>
      <c r="BG34" s="135" t="s">
        <v>65</v>
      </c>
      <c r="BH34" s="135"/>
      <c r="BI34" s="314"/>
      <c r="BJ34" s="314"/>
      <c r="BK34" s="24"/>
      <c r="BL34" s="24"/>
      <c r="BM34" s="24"/>
      <c r="BN34" s="24"/>
      <c r="BO34" s="24">
        <f>+AQ34+14</f>
        <v>42943</v>
      </c>
      <c r="BP34" s="24"/>
      <c r="BQ34" s="24"/>
      <c r="BR34" s="43"/>
      <c r="BS34" s="24"/>
      <c r="BT34" s="24"/>
      <c r="BU34" s="24"/>
      <c r="BV34" s="132" t="e">
        <f>IF(#REF!="COMPLETO","OK","PENDIENTES")</f>
        <v>#REF!</v>
      </c>
      <c r="BW34" s="132"/>
      <c r="BX34" s="132"/>
      <c r="BY34" s="132"/>
      <c r="BZ34" s="132"/>
      <c r="CA34" s="132"/>
      <c r="CB34" s="132"/>
      <c r="CC34" s="22"/>
      <c r="CG34" s="24" t="s">
        <v>105</v>
      </c>
      <c r="CH34" s="24"/>
      <c r="CI34" s="24"/>
      <c r="CJ34" s="24"/>
    </row>
    <row r="35" spans="1:88" ht="15" customHeight="1">
      <c r="A35" s="18">
        <v>2017</v>
      </c>
      <c r="B35" s="18" t="str">
        <f>+INDEX(BDD!F:F,MATCH(P35,BDD!D:D,0))&amp;"-"&amp;INDEX(BDD!E:E,MATCH(P35,BDD!D:D,0))</f>
        <v>S-S</v>
      </c>
      <c r="C35" s="360" t="s">
        <v>484</v>
      </c>
      <c r="D35" s="150" t="s">
        <v>77</v>
      </c>
      <c r="E35" s="132"/>
      <c r="F35" s="24"/>
      <c r="G35" s="346">
        <v>8000000077</v>
      </c>
      <c r="H35" s="25" t="s">
        <v>595</v>
      </c>
      <c r="I35" s="329"/>
      <c r="J35" s="346">
        <v>8000000077</v>
      </c>
      <c r="K35" s="24"/>
      <c r="L35" s="24"/>
      <c r="M35" s="24"/>
      <c r="N35" s="340" t="s">
        <v>486</v>
      </c>
      <c r="O35" s="333">
        <v>206971</v>
      </c>
      <c r="P35" s="25" t="s">
        <v>340</v>
      </c>
      <c r="Q35" s="127" t="s">
        <v>213</v>
      </c>
      <c r="R35" s="128" t="s">
        <v>596</v>
      </c>
      <c r="S35" s="24">
        <v>42782</v>
      </c>
      <c r="T35" s="36" t="s">
        <v>19</v>
      </c>
      <c r="U35" s="125"/>
      <c r="V35" s="88" t="s">
        <v>597</v>
      </c>
      <c r="W35" s="129"/>
      <c r="X35" s="88">
        <v>42902</v>
      </c>
      <c r="Y35" s="130" t="s">
        <v>20</v>
      </c>
      <c r="Z35" s="146" t="s">
        <v>72</v>
      </c>
      <c r="AA35" s="146"/>
      <c r="AB35" s="148">
        <v>475</v>
      </c>
      <c r="AC35" s="134">
        <v>505</v>
      </c>
      <c r="AD35" s="134"/>
      <c r="AE35" s="403">
        <f t="shared" si="0"/>
        <v>239875</v>
      </c>
      <c r="AF35" s="132" t="str">
        <f>IF(W35=BDD!$P$1,IMPORTS!AB35/25,IF(W35=BDD!$P$2,IMPORTS!AB35/25,IF(IMPORTS!W35=BDD!$P$4,IMPORTS!AB35/25.5,"--")))</f>
        <v>--</v>
      </c>
      <c r="AG35" s="130" t="s">
        <v>5</v>
      </c>
      <c r="AH35" s="130"/>
      <c r="AI35" s="130" t="s">
        <v>34</v>
      </c>
      <c r="AJ35" s="130"/>
      <c r="AK35" s="130"/>
      <c r="AL35" s="24" t="s">
        <v>582</v>
      </c>
      <c r="AM35" s="314"/>
      <c r="AN35" s="26"/>
      <c r="AO35" s="26"/>
      <c r="AP35" s="26"/>
      <c r="AQ35" s="26">
        <v>42964</v>
      </c>
      <c r="AR35" s="24"/>
      <c r="AS35" s="24"/>
      <c r="AT35" s="26">
        <v>42965</v>
      </c>
      <c r="AU35" s="418">
        <f t="shared" si="1"/>
        <v>8</v>
      </c>
      <c r="AV35" s="418">
        <f t="shared" si="2"/>
        <v>2017</v>
      </c>
      <c r="AW35" s="26"/>
      <c r="AX35" s="24"/>
      <c r="AY35" s="24" t="s">
        <v>193</v>
      </c>
      <c r="AZ35" s="132" t="s">
        <v>9</v>
      </c>
      <c r="BA35" s="132"/>
      <c r="BB35" s="26"/>
      <c r="BC35" s="135" t="s">
        <v>598</v>
      </c>
      <c r="BD35" s="24">
        <v>42915</v>
      </c>
      <c r="BE35" s="135" t="s">
        <v>599</v>
      </c>
      <c r="BF35" s="135" t="s">
        <v>600</v>
      </c>
      <c r="BG35" s="135" t="s">
        <v>65</v>
      </c>
      <c r="BH35" s="135"/>
      <c r="BI35" s="314"/>
      <c r="BJ35" s="314"/>
      <c r="BK35" s="24"/>
      <c r="BL35" s="24"/>
      <c r="BM35" s="24"/>
      <c r="BN35" s="24"/>
      <c r="BO35" s="24">
        <v>42977</v>
      </c>
      <c r="BP35" s="24"/>
      <c r="BQ35" s="24"/>
      <c r="BR35" s="43"/>
      <c r="BS35" s="24"/>
      <c r="BT35" s="24"/>
      <c r="BU35" s="24"/>
      <c r="BV35" s="132" t="e">
        <f>IF(#REF!="COMPLETO","OK","PENDIENTES")</f>
        <v>#REF!</v>
      </c>
      <c r="BW35" s="132"/>
      <c r="BX35" s="132"/>
      <c r="BY35" s="132"/>
      <c r="BZ35" s="132"/>
      <c r="CA35" s="132"/>
      <c r="CB35" s="132"/>
      <c r="CC35" s="22"/>
      <c r="CG35" s="24" t="s">
        <v>105</v>
      </c>
      <c r="CH35" s="24"/>
      <c r="CI35" s="26"/>
      <c r="CJ35" s="26"/>
    </row>
    <row r="36" spans="1:88" ht="15" customHeight="1">
      <c r="A36" s="18">
        <v>2017</v>
      </c>
      <c r="B36" s="18" t="str">
        <f>+INDEX(BDD!F:F,MATCH(P36,BDD!D:D,0))&amp;"-"&amp;INDEX(BDD!E:E,MATCH(P36,BDD!D:D,0))</f>
        <v>S-P</v>
      </c>
      <c r="C36" s="360" t="s">
        <v>484</v>
      </c>
      <c r="D36" s="152" t="s">
        <v>20</v>
      </c>
      <c r="E36" s="132" t="s">
        <v>1622</v>
      </c>
      <c r="F36" s="24"/>
      <c r="G36" s="346"/>
      <c r="H36" s="25" t="s">
        <v>601</v>
      </c>
      <c r="I36" s="329"/>
      <c r="J36" s="346"/>
      <c r="K36" s="24"/>
      <c r="L36" s="24"/>
      <c r="M36" s="24"/>
      <c r="N36" s="340"/>
      <c r="O36" s="334"/>
      <c r="P36" s="25" t="s">
        <v>343</v>
      </c>
      <c r="Q36" s="127" t="s">
        <v>75</v>
      </c>
      <c r="R36" s="128"/>
      <c r="S36" s="24"/>
      <c r="T36" s="36"/>
      <c r="U36" s="125"/>
      <c r="V36" s="88"/>
      <c r="W36" s="129"/>
      <c r="X36" s="88"/>
      <c r="Y36" s="130"/>
      <c r="Z36" s="146"/>
      <c r="AA36" s="146"/>
      <c r="AB36" s="148"/>
      <c r="AC36" s="134"/>
      <c r="AD36" s="134"/>
      <c r="AE36" s="403">
        <f t="shared" si="0"/>
        <v>0</v>
      </c>
      <c r="AF36" s="132"/>
      <c r="AG36" s="130"/>
      <c r="AH36" s="130"/>
      <c r="AI36" s="130"/>
      <c r="AJ36" s="130"/>
      <c r="AK36" s="130"/>
      <c r="AL36" s="24"/>
      <c r="AM36" s="314"/>
      <c r="AN36" s="26"/>
      <c r="AO36" s="26"/>
      <c r="AP36" s="26"/>
      <c r="AQ36" s="26"/>
      <c r="AR36" s="24"/>
      <c r="AS36" s="24"/>
      <c r="AT36" s="24"/>
      <c r="AU36" s="418">
        <f t="shared" si="1"/>
        <v>1</v>
      </c>
      <c r="AV36" s="418">
        <f t="shared" si="2"/>
        <v>1900</v>
      </c>
      <c r="AW36" s="24"/>
      <c r="AX36" s="24"/>
      <c r="AY36" s="24"/>
      <c r="AZ36" s="132"/>
      <c r="BA36" s="132"/>
      <c r="BB36" s="24"/>
      <c r="BC36" s="135"/>
      <c r="BD36" s="24"/>
      <c r="BE36" s="135"/>
      <c r="BF36" s="135"/>
      <c r="BG36" s="135"/>
      <c r="BH36" s="135"/>
      <c r="BI36" s="314"/>
      <c r="BJ36" s="314"/>
      <c r="BK36" s="24"/>
      <c r="BL36" s="24"/>
      <c r="BM36" s="24"/>
      <c r="BN36" s="24"/>
      <c r="BO36" s="24"/>
      <c r="BP36" s="24"/>
      <c r="BQ36" s="24"/>
      <c r="BR36" s="43"/>
      <c r="BS36" s="24"/>
      <c r="BT36" s="24"/>
      <c r="BU36" s="24"/>
      <c r="BV36" s="132"/>
      <c r="BW36" s="132"/>
      <c r="BX36" s="132"/>
      <c r="BY36" s="132"/>
      <c r="BZ36" s="132"/>
      <c r="CA36" s="132"/>
      <c r="CB36" s="132"/>
      <c r="CC36" s="22"/>
      <c r="CD36" s="22"/>
      <c r="CE36" s="22"/>
      <c r="CF36" s="22"/>
      <c r="CG36" s="24"/>
      <c r="CH36" s="24"/>
      <c r="CI36" s="24"/>
      <c r="CJ36" s="24"/>
    </row>
    <row r="37" spans="1:88" ht="15" customHeight="1">
      <c r="A37" s="18">
        <v>2017</v>
      </c>
      <c r="B37" s="18" t="str">
        <f>+INDEX(BDD!F:F,MATCH(P37,BDD!D:D,0))&amp;"-"&amp;INDEX(BDD!E:E,MATCH(P37,BDD!D:D,0))</f>
        <v>S-S</v>
      </c>
      <c r="C37" s="360" t="s">
        <v>484</v>
      </c>
      <c r="D37" s="150" t="s">
        <v>77</v>
      </c>
      <c r="E37" s="132"/>
      <c r="F37" s="24"/>
      <c r="G37" s="346">
        <v>8000000078</v>
      </c>
      <c r="H37" s="25" t="s">
        <v>602</v>
      </c>
      <c r="I37" s="329"/>
      <c r="J37" s="346">
        <v>8000000078</v>
      </c>
      <c r="K37" s="24"/>
      <c r="L37" s="24"/>
      <c r="M37" s="24"/>
      <c r="N37" s="340" t="s">
        <v>486</v>
      </c>
      <c r="O37" s="333">
        <v>207578</v>
      </c>
      <c r="P37" s="25" t="s">
        <v>316</v>
      </c>
      <c r="Q37" s="127" t="s">
        <v>213</v>
      </c>
      <c r="R37" s="128" t="s">
        <v>603</v>
      </c>
      <c r="S37" s="24">
        <v>42978</v>
      </c>
      <c r="T37" s="36" t="s">
        <v>19</v>
      </c>
      <c r="U37" s="125"/>
      <c r="V37" s="88" t="s">
        <v>604</v>
      </c>
      <c r="W37" s="129"/>
      <c r="X37" s="88">
        <v>43045</v>
      </c>
      <c r="Y37" s="130" t="s">
        <v>20</v>
      </c>
      <c r="Z37" s="146" t="s">
        <v>72</v>
      </c>
      <c r="AA37" s="146"/>
      <c r="AB37" s="148">
        <v>180</v>
      </c>
      <c r="AC37" s="153">
        <v>255</v>
      </c>
      <c r="AD37" s="153"/>
      <c r="AE37" s="403">
        <f t="shared" si="0"/>
        <v>45900</v>
      </c>
      <c r="AF37" s="132" t="str">
        <f>IF(W37=BDD!$P$1,IMPORTS!AB37/25,IF(W37=BDD!$P$2,IMPORTS!AB37/25,IF(IMPORTS!W37=BDD!$P$4,IMPORTS!AB37/25.5,"--")))</f>
        <v>--</v>
      </c>
      <c r="AG37" s="130" t="s">
        <v>58</v>
      </c>
      <c r="AH37" s="130"/>
      <c r="AI37" s="130" t="s">
        <v>34</v>
      </c>
      <c r="AJ37" s="130"/>
      <c r="AK37" s="130"/>
      <c r="AL37" s="24" t="s">
        <v>605</v>
      </c>
      <c r="AM37" s="314"/>
      <c r="AN37" s="26"/>
      <c r="AO37" s="26"/>
      <c r="AP37" s="26"/>
      <c r="AQ37" s="26">
        <v>43076</v>
      </c>
      <c r="AR37" s="24"/>
      <c r="AS37" s="24"/>
      <c r="AT37" s="24">
        <v>43083</v>
      </c>
      <c r="AU37" s="418">
        <f t="shared" si="1"/>
        <v>12</v>
      </c>
      <c r="AV37" s="418">
        <f t="shared" si="2"/>
        <v>2017</v>
      </c>
      <c r="AW37" s="24"/>
      <c r="AX37" s="24"/>
      <c r="AY37" s="24" t="s">
        <v>607</v>
      </c>
      <c r="AZ37" s="132" t="s">
        <v>37</v>
      </c>
      <c r="BA37" s="132"/>
      <c r="BB37" s="24"/>
      <c r="BC37" s="135" t="s">
        <v>606</v>
      </c>
      <c r="BD37" s="24">
        <v>43033</v>
      </c>
      <c r="BE37" s="135" t="s">
        <v>608</v>
      </c>
      <c r="BF37" s="135" t="s">
        <v>608</v>
      </c>
      <c r="BG37" s="135" t="s">
        <v>52</v>
      </c>
      <c r="BH37" s="135"/>
      <c r="BI37" s="314"/>
      <c r="BJ37" s="314"/>
      <c r="BK37" s="24"/>
      <c r="BL37" s="24"/>
      <c r="BM37" s="24"/>
      <c r="BN37" s="24"/>
      <c r="BO37" s="24"/>
      <c r="BP37" s="24"/>
      <c r="BQ37" s="24"/>
      <c r="BR37" s="43"/>
      <c r="BS37" s="24"/>
      <c r="BT37" s="24"/>
      <c r="BU37" s="24"/>
      <c r="BV37" s="132" t="e">
        <f>IF(#REF!="COMPLETO","OK","PENDIENTES")</f>
        <v>#REF!</v>
      </c>
      <c r="BW37" s="132"/>
      <c r="BX37" s="132"/>
      <c r="BY37" s="132"/>
      <c r="BZ37" s="132"/>
      <c r="CA37" s="132"/>
      <c r="CB37" s="132"/>
      <c r="CC37" s="22"/>
      <c r="CG37" s="24" t="s">
        <v>105</v>
      </c>
      <c r="CH37" s="24"/>
      <c r="CI37" s="24"/>
      <c r="CJ37" s="24"/>
    </row>
    <row r="38" spans="1:88" ht="15" customHeight="1">
      <c r="A38" s="18">
        <v>2017</v>
      </c>
      <c r="B38" s="18" t="str">
        <f>+INDEX(BDD!F:F,MATCH(P38,BDD!D:D,0))&amp;"-"&amp;INDEX(BDD!E:E,MATCH(P38,BDD!D:D,0))</f>
        <v>S-S</v>
      </c>
      <c r="C38" s="360" t="s">
        <v>484</v>
      </c>
      <c r="D38" s="150" t="s">
        <v>77</v>
      </c>
      <c r="E38" s="132"/>
      <c r="F38" s="24"/>
      <c r="G38" s="346">
        <v>8000000079</v>
      </c>
      <c r="H38" s="25" t="s">
        <v>609</v>
      </c>
      <c r="I38" s="329"/>
      <c r="J38" s="346">
        <v>8000000079</v>
      </c>
      <c r="K38" s="24"/>
      <c r="L38" s="24"/>
      <c r="M38" s="24"/>
      <c r="N38" s="340" t="s">
        <v>486</v>
      </c>
      <c r="O38" s="333">
        <v>207578</v>
      </c>
      <c r="P38" s="25" t="s">
        <v>316</v>
      </c>
      <c r="Q38" s="127" t="s">
        <v>213</v>
      </c>
      <c r="R38" s="128" t="s">
        <v>610</v>
      </c>
      <c r="S38" s="24">
        <v>42978</v>
      </c>
      <c r="T38" s="36" t="s">
        <v>19</v>
      </c>
      <c r="U38" s="125"/>
      <c r="V38" s="88" t="s">
        <v>604</v>
      </c>
      <c r="W38" s="129"/>
      <c r="X38" s="88">
        <v>43045</v>
      </c>
      <c r="Y38" s="130" t="s">
        <v>20</v>
      </c>
      <c r="Z38" s="146" t="s">
        <v>72</v>
      </c>
      <c r="AA38" s="146"/>
      <c r="AB38" s="148">
        <v>180</v>
      </c>
      <c r="AC38" s="153">
        <v>255</v>
      </c>
      <c r="AD38" s="153"/>
      <c r="AE38" s="403">
        <f t="shared" si="0"/>
        <v>45900</v>
      </c>
      <c r="AF38" s="132" t="str">
        <f>IF(W38=BDD!$P$1,IMPORTS!AB38/25,IF(W38=BDD!$P$2,IMPORTS!AB38/25,IF(IMPORTS!W38=BDD!$P$4,IMPORTS!AB38/25.5,"--")))</f>
        <v>--</v>
      </c>
      <c r="AG38" s="130" t="s">
        <v>58</v>
      </c>
      <c r="AH38" s="130"/>
      <c r="AI38" s="130" t="s">
        <v>34</v>
      </c>
      <c r="AJ38" s="130"/>
      <c r="AK38" s="130"/>
      <c r="AL38" s="24" t="s">
        <v>605</v>
      </c>
      <c r="AM38" s="314"/>
      <c r="AN38" s="26"/>
      <c r="AO38" s="26"/>
      <c r="AP38" s="26"/>
      <c r="AQ38" s="26">
        <v>43076</v>
      </c>
      <c r="AR38" s="24"/>
      <c r="AS38" s="24"/>
      <c r="AT38" s="24">
        <v>43083</v>
      </c>
      <c r="AU38" s="418">
        <f t="shared" si="1"/>
        <v>12</v>
      </c>
      <c r="AV38" s="418">
        <f t="shared" si="2"/>
        <v>2017</v>
      </c>
      <c r="AW38" s="24"/>
      <c r="AX38" s="24"/>
      <c r="AY38" s="24" t="s">
        <v>607</v>
      </c>
      <c r="AZ38" s="132" t="s">
        <v>37</v>
      </c>
      <c r="BA38" s="132"/>
      <c r="BB38" s="24"/>
      <c r="BC38" s="135" t="s">
        <v>606</v>
      </c>
      <c r="BD38" s="24">
        <v>43033</v>
      </c>
      <c r="BE38" s="135" t="s">
        <v>608</v>
      </c>
      <c r="BF38" s="135" t="s">
        <v>608</v>
      </c>
      <c r="BG38" s="135" t="s">
        <v>52</v>
      </c>
      <c r="BH38" s="135"/>
      <c r="BI38" s="314"/>
      <c r="BJ38" s="314"/>
      <c r="BK38" s="24"/>
      <c r="BL38" s="24"/>
      <c r="BM38" s="24"/>
      <c r="BN38" s="24"/>
      <c r="BO38" s="24"/>
      <c r="BP38" s="24"/>
      <c r="BQ38" s="24"/>
      <c r="BR38" s="43"/>
      <c r="BS38" s="24"/>
      <c r="BT38" s="24"/>
      <c r="BU38" s="24"/>
      <c r="BV38" s="132" t="e">
        <f>IF(#REF!="COMPLETO","OK","PENDIENTES")</f>
        <v>#REF!</v>
      </c>
      <c r="BW38" s="132"/>
      <c r="BX38" s="132"/>
      <c r="BY38" s="132"/>
      <c r="BZ38" s="132"/>
      <c r="CA38" s="132"/>
      <c r="CB38" s="132"/>
      <c r="CC38" s="22"/>
      <c r="CG38" s="24" t="s">
        <v>105</v>
      </c>
      <c r="CH38" s="24"/>
      <c r="CI38" s="24"/>
      <c r="CJ38" s="24"/>
    </row>
    <row r="39" spans="1:88" ht="15" customHeight="1">
      <c r="A39" s="18">
        <v>2017</v>
      </c>
      <c r="B39" s="18" t="str">
        <f>+INDEX(BDD!F:F,MATCH(P39,BDD!D:D,0))&amp;"-"&amp;INDEX(BDD!E:E,MATCH(P39,BDD!D:D,0))</f>
        <v>S-S</v>
      </c>
      <c r="C39" s="360" t="s">
        <v>484</v>
      </c>
      <c r="D39" s="150" t="s">
        <v>77</v>
      </c>
      <c r="E39" s="132"/>
      <c r="F39" s="24"/>
      <c r="G39" s="346">
        <v>8000000080</v>
      </c>
      <c r="H39" s="25" t="s">
        <v>611</v>
      </c>
      <c r="I39" s="329"/>
      <c r="J39" s="346">
        <v>8000000080</v>
      </c>
      <c r="K39" s="24"/>
      <c r="L39" s="24"/>
      <c r="M39" s="24"/>
      <c r="N39" s="340" t="s">
        <v>486</v>
      </c>
      <c r="O39" s="333">
        <v>207578</v>
      </c>
      <c r="P39" s="25" t="s">
        <v>316</v>
      </c>
      <c r="Q39" s="127" t="s">
        <v>213</v>
      </c>
      <c r="R39" s="128" t="s">
        <v>612</v>
      </c>
      <c r="S39" s="24">
        <v>42978</v>
      </c>
      <c r="T39" s="36" t="s">
        <v>19</v>
      </c>
      <c r="U39" s="125"/>
      <c r="V39" s="88" t="s">
        <v>604</v>
      </c>
      <c r="W39" s="129"/>
      <c r="X39" s="88">
        <v>43045</v>
      </c>
      <c r="Y39" s="130" t="s">
        <v>20</v>
      </c>
      <c r="Z39" s="146" t="s">
        <v>72</v>
      </c>
      <c r="AA39" s="146"/>
      <c r="AB39" s="148">
        <v>180</v>
      </c>
      <c r="AC39" s="153">
        <v>255</v>
      </c>
      <c r="AD39" s="153"/>
      <c r="AE39" s="403">
        <f t="shared" si="0"/>
        <v>45900</v>
      </c>
      <c r="AF39" s="132" t="str">
        <f>IF(W39=BDD!$P$1,IMPORTS!AB39/25,IF(W39=BDD!$P$2,IMPORTS!AB39/25,IF(IMPORTS!W39=BDD!$P$4,IMPORTS!AB39/25.5,"--")))</f>
        <v>--</v>
      </c>
      <c r="AG39" s="130" t="s">
        <v>58</v>
      </c>
      <c r="AH39" s="130"/>
      <c r="AI39" s="130" t="s">
        <v>34</v>
      </c>
      <c r="AJ39" s="130"/>
      <c r="AK39" s="130"/>
      <c r="AL39" s="24" t="s">
        <v>605</v>
      </c>
      <c r="AM39" s="314"/>
      <c r="AN39" s="26"/>
      <c r="AO39" s="26"/>
      <c r="AP39" s="26"/>
      <c r="AQ39" s="26">
        <v>43076</v>
      </c>
      <c r="AR39" s="24"/>
      <c r="AS39" s="24"/>
      <c r="AT39" s="24">
        <v>43083</v>
      </c>
      <c r="AU39" s="418">
        <f t="shared" si="1"/>
        <v>12</v>
      </c>
      <c r="AV39" s="418">
        <f t="shared" si="2"/>
        <v>2017</v>
      </c>
      <c r="AW39" s="24"/>
      <c r="AX39" s="24"/>
      <c r="AY39" s="24" t="s">
        <v>607</v>
      </c>
      <c r="AZ39" s="132" t="s">
        <v>37</v>
      </c>
      <c r="BA39" s="132"/>
      <c r="BB39" s="24"/>
      <c r="BC39" s="135" t="s">
        <v>606</v>
      </c>
      <c r="BD39" s="24">
        <v>43033</v>
      </c>
      <c r="BE39" s="135" t="s">
        <v>608</v>
      </c>
      <c r="BF39" s="135" t="s">
        <v>608</v>
      </c>
      <c r="BG39" s="135" t="s">
        <v>52</v>
      </c>
      <c r="BH39" s="135"/>
      <c r="BI39" s="314"/>
      <c r="BJ39" s="314"/>
      <c r="BK39" s="24"/>
      <c r="BL39" s="24"/>
      <c r="BM39" s="24"/>
      <c r="BN39" s="24"/>
      <c r="BO39" s="24"/>
      <c r="BP39" s="24"/>
      <c r="BQ39" s="24"/>
      <c r="BR39" s="43"/>
      <c r="BS39" s="24"/>
      <c r="BT39" s="24"/>
      <c r="BU39" s="24"/>
      <c r="BV39" s="132" t="e">
        <f>IF(#REF!="COMPLETO","OK","PENDIENTES")</f>
        <v>#REF!</v>
      </c>
      <c r="BW39" s="132"/>
      <c r="BX39" s="132"/>
      <c r="BY39" s="132"/>
      <c r="BZ39" s="132"/>
      <c r="CA39" s="132"/>
      <c r="CB39" s="132"/>
      <c r="CC39" s="22"/>
      <c r="CG39" s="24" t="s">
        <v>105</v>
      </c>
      <c r="CH39" s="24"/>
      <c r="CI39" s="24"/>
      <c r="CJ39" s="24"/>
    </row>
    <row r="40" spans="1:88" ht="15" customHeight="1">
      <c r="A40" s="18">
        <v>2017</v>
      </c>
      <c r="B40" s="18" t="str">
        <f>+INDEX(BDD!F:F,MATCH(P40,BDD!D:D,0))&amp;"-"&amp;INDEX(BDD!E:E,MATCH(P40,BDD!D:D,0))</f>
        <v>S-S</v>
      </c>
      <c r="C40" s="360" t="s">
        <v>484</v>
      </c>
      <c r="D40" s="150" t="s">
        <v>77</v>
      </c>
      <c r="E40" s="132"/>
      <c r="F40" s="24"/>
      <c r="G40" s="346">
        <v>8000000081</v>
      </c>
      <c r="H40" s="25" t="s">
        <v>613</v>
      </c>
      <c r="I40" s="329"/>
      <c r="J40" s="346">
        <v>8000000081</v>
      </c>
      <c r="K40" s="24"/>
      <c r="L40" s="24"/>
      <c r="M40" s="24"/>
      <c r="N40" s="340" t="s">
        <v>486</v>
      </c>
      <c r="O40" s="333">
        <v>207578</v>
      </c>
      <c r="P40" s="25" t="s">
        <v>316</v>
      </c>
      <c r="Q40" s="127" t="s">
        <v>213</v>
      </c>
      <c r="R40" s="128" t="s">
        <v>614</v>
      </c>
      <c r="S40" s="24">
        <v>42978</v>
      </c>
      <c r="T40" s="36" t="s">
        <v>19</v>
      </c>
      <c r="U40" s="125"/>
      <c r="V40" s="88" t="s">
        <v>615</v>
      </c>
      <c r="W40" s="129"/>
      <c r="X40" s="88">
        <v>43045</v>
      </c>
      <c r="Y40" s="130" t="s">
        <v>20</v>
      </c>
      <c r="Z40" s="146" t="s">
        <v>72</v>
      </c>
      <c r="AA40" s="146"/>
      <c r="AB40" s="148">
        <v>202.5</v>
      </c>
      <c r="AC40" s="153">
        <v>215</v>
      </c>
      <c r="AD40" s="153"/>
      <c r="AE40" s="403">
        <f t="shared" si="0"/>
        <v>43537.5</v>
      </c>
      <c r="AF40" s="132" t="str">
        <f>IF(W40=BDD!$P$1,IMPORTS!AB40/25,IF(W40=BDD!$P$2,IMPORTS!AB40/25,IF(IMPORTS!W40=BDD!$P$4,IMPORTS!AB40/25.5,"--")))</f>
        <v>--</v>
      </c>
      <c r="AG40" s="130" t="s">
        <v>58</v>
      </c>
      <c r="AH40" s="130"/>
      <c r="AI40" s="130" t="s">
        <v>34</v>
      </c>
      <c r="AJ40" s="130"/>
      <c r="AK40" s="130"/>
      <c r="AL40" s="24" t="s">
        <v>605</v>
      </c>
      <c r="AM40" s="314"/>
      <c r="AN40" s="26"/>
      <c r="AO40" s="26"/>
      <c r="AP40" s="26"/>
      <c r="AQ40" s="26">
        <v>43076</v>
      </c>
      <c r="AR40" s="24"/>
      <c r="AS40" s="24"/>
      <c r="AT40" s="24">
        <v>43083</v>
      </c>
      <c r="AU40" s="418">
        <f t="shared" si="1"/>
        <v>12</v>
      </c>
      <c r="AV40" s="418">
        <f t="shared" si="2"/>
        <v>2017</v>
      </c>
      <c r="AW40" s="24"/>
      <c r="AX40" s="24"/>
      <c r="AY40" s="24" t="s">
        <v>607</v>
      </c>
      <c r="AZ40" s="132" t="s">
        <v>37</v>
      </c>
      <c r="BA40" s="132"/>
      <c r="BB40" s="24"/>
      <c r="BC40" s="135" t="s">
        <v>606</v>
      </c>
      <c r="BD40" s="24">
        <v>43033</v>
      </c>
      <c r="BE40" s="135" t="s">
        <v>608</v>
      </c>
      <c r="BF40" s="135" t="s">
        <v>608</v>
      </c>
      <c r="BG40" s="135" t="s">
        <v>52</v>
      </c>
      <c r="BH40" s="135"/>
      <c r="BI40" s="314"/>
      <c r="BJ40" s="314"/>
      <c r="BK40" s="24"/>
      <c r="BL40" s="24"/>
      <c r="BM40" s="24"/>
      <c r="BN40" s="24"/>
      <c r="BO40" s="24"/>
      <c r="BP40" s="24"/>
      <c r="BQ40" s="24"/>
      <c r="BR40" s="43"/>
      <c r="BS40" s="24"/>
      <c r="BT40" s="24"/>
      <c r="BU40" s="24"/>
      <c r="BV40" s="132" t="e">
        <f>IF(#REF!="COMPLETO","OK","PENDIENTES")</f>
        <v>#REF!</v>
      </c>
      <c r="BW40" s="132"/>
      <c r="BX40" s="132"/>
      <c r="BY40" s="132"/>
      <c r="BZ40" s="132"/>
      <c r="CA40" s="132"/>
      <c r="CB40" s="132"/>
      <c r="CC40" s="22"/>
      <c r="CG40" s="24" t="s">
        <v>105</v>
      </c>
      <c r="CH40" s="24"/>
      <c r="CI40" s="24"/>
      <c r="CJ40" s="24"/>
    </row>
    <row r="41" spans="1:88" ht="15" customHeight="1">
      <c r="A41" s="18">
        <v>2017</v>
      </c>
      <c r="B41" s="18" t="str">
        <f>+INDEX(BDD!F:F,MATCH(P41,BDD!D:D,0))&amp;"-"&amp;INDEX(BDD!E:E,MATCH(P41,BDD!D:D,0))</f>
        <v>S-S</v>
      </c>
      <c r="C41" s="360" t="s">
        <v>484</v>
      </c>
      <c r="D41" s="150" t="s">
        <v>77</v>
      </c>
      <c r="E41" s="132" t="s">
        <v>51</v>
      </c>
      <c r="F41" s="24"/>
      <c r="G41" s="346">
        <v>8000000082</v>
      </c>
      <c r="H41" s="25" t="s">
        <v>616</v>
      </c>
      <c r="I41" s="329"/>
      <c r="J41" s="346">
        <v>8000000082</v>
      </c>
      <c r="K41" s="24"/>
      <c r="L41" s="24"/>
      <c r="M41" s="24"/>
      <c r="N41" s="340" t="s">
        <v>486</v>
      </c>
      <c r="O41" s="333">
        <v>207579</v>
      </c>
      <c r="P41" s="25" t="s">
        <v>238</v>
      </c>
      <c r="Q41" s="127" t="s">
        <v>213</v>
      </c>
      <c r="R41" s="128" t="s">
        <v>617</v>
      </c>
      <c r="S41" s="24">
        <v>42821</v>
      </c>
      <c r="T41" s="36" t="s">
        <v>19</v>
      </c>
      <c r="U41" s="125"/>
      <c r="V41" s="88" t="s">
        <v>618</v>
      </c>
      <c r="W41" s="129"/>
      <c r="X41" s="88">
        <v>42929</v>
      </c>
      <c r="Y41" s="130" t="s">
        <v>20</v>
      </c>
      <c r="Z41" s="146" t="s">
        <v>72</v>
      </c>
      <c r="AA41" s="146"/>
      <c r="AB41" s="148">
        <v>150</v>
      </c>
      <c r="AC41" s="134">
        <v>260</v>
      </c>
      <c r="AD41" s="134"/>
      <c r="AE41" s="403">
        <f t="shared" si="0"/>
        <v>39000</v>
      </c>
      <c r="AF41" s="132" t="str">
        <f>IF(W41=BDD!$P$1,IMPORTS!AB41/25,IF(W41=BDD!$P$2,IMPORTS!AB41/25,IF(IMPORTS!W41=BDD!$P$4,IMPORTS!AB41/25.5,"--")))</f>
        <v>--</v>
      </c>
      <c r="AG41" s="130" t="s">
        <v>5</v>
      </c>
      <c r="AH41" s="130"/>
      <c r="AI41" s="130" t="s">
        <v>34</v>
      </c>
      <c r="AJ41" s="130"/>
      <c r="AK41" s="130"/>
      <c r="AL41" s="24" t="s">
        <v>582</v>
      </c>
      <c r="AM41" s="314"/>
      <c r="AN41" s="26"/>
      <c r="AO41" s="26"/>
      <c r="AP41" s="26"/>
      <c r="AQ41" s="26">
        <v>42961</v>
      </c>
      <c r="AR41" s="24"/>
      <c r="AS41" s="24"/>
      <c r="AT41" s="24">
        <v>42962</v>
      </c>
      <c r="AU41" s="418">
        <f t="shared" si="1"/>
        <v>8</v>
      </c>
      <c r="AV41" s="418">
        <f t="shared" si="2"/>
        <v>2017</v>
      </c>
      <c r="AW41" s="24"/>
      <c r="AX41" s="24"/>
      <c r="AY41" s="24" t="s">
        <v>311</v>
      </c>
      <c r="AZ41" s="132" t="s">
        <v>37</v>
      </c>
      <c r="BA41" s="132"/>
      <c r="BB41" s="24"/>
      <c r="BC41" s="154" t="s">
        <v>619</v>
      </c>
      <c r="BD41" s="24">
        <v>42915</v>
      </c>
      <c r="BE41" s="135" t="s">
        <v>620</v>
      </c>
      <c r="BF41" s="135" t="s">
        <v>621</v>
      </c>
      <c r="BG41" s="135" t="s">
        <v>65</v>
      </c>
      <c r="BH41" s="135"/>
      <c r="BI41" s="314"/>
      <c r="BJ41" s="314"/>
      <c r="BK41" s="24"/>
      <c r="BL41" s="24"/>
      <c r="BM41" s="24"/>
      <c r="BN41" s="24"/>
      <c r="BO41" s="24">
        <f>+AQ41+14</f>
        <v>42975</v>
      </c>
      <c r="BP41" s="24"/>
      <c r="BQ41" s="24"/>
      <c r="BR41" s="43"/>
      <c r="BS41" s="24"/>
      <c r="BT41" s="24"/>
      <c r="BU41" s="24"/>
      <c r="BV41" s="132" t="e">
        <f>IF(#REF!="COMPLETO","OK","PENDIENTES")</f>
        <v>#REF!</v>
      </c>
      <c r="BW41" s="132"/>
      <c r="BX41" s="132"/>
      <c r="BY41" s="132"/>
      <c r="BZ41" s="132"/>
      <c r="CA41" s="132"/>
      <c r="CB41" s="132"/>
      <c r="CC41" s="22"/>
      <c r="CG41" s="24" t="s">
        <v>105</v>
      </c>
      <c r="CH41" s="24"/>
      <c r="CI41" s="24"/>
      <c r="CJ41" s="24"/>
    </row>
    <row r="42" spans="1:88" ht="15" customHeight="1">
      <c r="A42" s="18">
        <v>2017</v>
      </c>
      <c r="B42" s="18" t="str">
        <f>+INDEX(BDD!F:F,MATCH(P42,BDD!D:D,0))&amp;"-"&amp;INDEX(BDD!E:E,MATCH(P42,BDD!D:D,0))</f>
        <v>S-S</v>
      </c>
      <c r="C42" s="360" t="s">
        <v>484</v>
      </c>
      <c r="D42" s="150" t="s">
        <v>77</v>
      </c>
      <c r="E42" s="132"/>
      <c r="F42" s="24"/>
      <c r="G42" s="346">
        <v>8000000083</v>
      </c>
      <c r="H42" s="25" t="s">
        <v>622</v>
      </c>
      <c r="I42" s="329"/>
      <c r="J42" s="346">
        <v>8000000083</v>
      </c>
      <c r="K42" s="24"/>
      <c r="L42" s="24"/>
      <c r="M42" s="24"/>
      <c r="N42" s="340" t="s">
        <v>486</v>
      </c>
      <c r="O42" s="333">
        <v>206971</v>
      </c>
      <c r="P42" s="25" t="s">
        <v>340</v>
      </c>
      <c r="Q42" s="127" t="s">
        <v>213</v>
      </c>
      <c r="R42" s="128" t="s">
        <v>623</v>
      </c>
      <c r="S42" s="24">
        <v>42850</v>
      </c>
      <c r="T42" s="36">
        <v>90</v>
      </c>
      <c r="U42" s="125" t="s">
        <v>118</v>
      </c>
      <c r="V42" s="128">
        <v>20171109</v>
      </c>
      <c r="W42" s="151"/>
      <c r="X42" s="88">
        <f>IF(RIGHT(U42,3)="ETA",AQ42+T42,IF(RIGHT(U42,2)="BL",BD42+T42," "))</f>
        <v>43073</v>
      </c>
      <c r="Y42" s="130" t="s">
        <v>20</v>
      </c>
      <c r="Z42" s="146" t="s">
        <v>72</v>
      </c>
      <c r="AA42" s="146"/>
      <c r="AB42" s="148">
        <v>250</v>
      </c>
      <c r="AC42" s="134">
        <v>505</v>
      </c>
      <c r="AD42" s="134"/>
      <c r="AE42" s="403">
        <f t="shared" si="0"/>
        <v>126250</v>
      </c>
      <c r="AF42" s="132" t="str">
        <f>IF(W42=BDD!$P$1,IMPORTS!AB42/25,IF(W42=BDD!$P$2,IMPORTS!AB42/25,IF(IMPORTS!W42=BDD!$P$4,IMPORTS!AB42/25.5,"--")))</f>
        <v>--</v>
      </c>
      <c r="AG42" s="130" t="s">
        <v>5</v>
      </c>
      <c r="AH42" s="130"/>
      <c r="AI42" s="130" t="s">
        <v>34</v>
      </c>
      <c r="AJ42" s="130"/>
      <c r="AK42" s="130"/>
      <c r="AL42" s="24" t="s">
        <v>624</v>
      </c>
      <c r="AM42" s="314"/>
      <c r="AN42" s="26"/>
      <c r="AO42" s="26"/>
      <c r="AP42" s="26"/>
      <c r="AQ42" s="26">
        <v>43015</v>
      </c>
      <c r="AR42" s="24"/>
      <c r="AS42" s="24"/>
      <c r="AT42" s="24">
        <v>43017</v>
      </c>
      <c r="AU42" s="418">
        <f t="shared" si="1"/>
        <v>10</v>
      </c>
      <c r="AV42" s="418">
        <f t="shared" si="2"/>
        <v>2017</v>
      </c>
      <c r="AW42" s="24"/>
      <c r="AX42" s="24"/>
      <c r="AY42" s="24" t="s">
        <v>197</v>
      </c>
      <c r="AZ42" s="132" t="s">
        <v>37</v>
      </c>
      <c r="BA42" s="132"/>
      <c r="BB42" s="24"/>
      <c r="BC42" s="135" t="s">
        <v>625</v>
      </c>
      <c r="BD42" s="24">
        <v>42983</v>
      </c>
      <c r="BE42" s="135" t="s">
        <v>626</v>
      </c>
      <c r="BF42" s="135" t="s">
        <v>627</v>
      </c>
      <c r="BG42" s="135" t="s">
        <v>29</v>
      </c>
      <c r="BH42" s="135"/>
      <c r="BI42" s="314"/>
      <c r="BJ42" s="314"/>
      <c r="BK42" s="24"/>
      <c r="BL42" s="24"/>
      <c r="BM42" s="24"/>
      <c r="BN42" s="24"/>
      <c r="BO42" s="24">
        <f>+AQ42+14</f>
        <v>43029</v>
      </c>
      <c r="BP42" s="24"/>
      <c r="BQ42" s="24"/>
      <c r="BR42" s="43"/>
      <c r="BS42" s="24"/>
      <c r="BT42" s="24"/>
      <c r="BU42" s="24"/>
      <c r="BV42" s="132" t="e">
        <f>IF(#REF!="COMPLETO","OK","PENDIENTES")</f>
        <v>#REF!</v>
      </c>
      <c r="BW42" s="132"/>
      <c r="BX42" s="132"/>
      <c r="BY42" s="132"/>
      <c r="BZ42" s="132"/>
      <c r="CA42" s="132"/>
      <c r="CB42" s="132"/>
      <c r="CC42" s="22"/>
      <c r="CG42" s="24" t="s">
        <v>105</v>
      </c>
      <c r="CH42" s="24"/>
      <c r="CI42" s="24"/>
      <c r="CJ42" s="24"/>
    </row>
    <row r="43" spans="1:88" ht="15" customHeight="1">
      <c r="A43" s="18">
        <v>2017</v>
      </c>
      <c r="B43" s="18" t="str">
        <f>+INDEX(BDD!F:F,MATCH(P43,BDD!D:D,0))&amp;"-"&amp;INDEX(BDD!E:E,MATCH(P43,BDD!D:D,0))</f>
        <v>S-S</v>
      </c>
      <c r="C43" s="360" t="s">
        <v>484</v>
      </c>
      <c r="D43" s="150" t="s">
        <v>77</v>
      </c>
      <c r="E43" s="132"/>
      <c r="F43" s="24"/>
      <c r="G43" s="346">
        <v>8000000084</v>
      </c>
      <c r="H43" s="25" t="s">
        <v>628</v>
      </c>
      <c r="I43" s="329"/>
      <c r="J43" s="346">
        <v>8000000084</v>
      </c>
      <c r="K43" s="24"/>
      <c r="L43" s="24"/>
      <c r="M43" s="24"/>
      <c r="N43" s="340" t="s">
        <v>486</v>
      </c>
      <c r="O43" s="334">
        <v>206971</v>
      </c>
      <c r="P43" s="25" t="s">
        <v>340</v>
      </c>
      <c r="Q43" s="127" t="s">
        <v>213</v>
      </c>
      <c r="R43" s="128" t="s">
        <v>623</v>
      </c>
      <c r="S43" s="24">
        <v>42850</v>
      </c>
      <c r="T43" s="36">
        <v>90</v>
      </c>
      <c r="U43" s="125" t="s">
        <v>118</v>
      </c>
      <c r="V43" s="88" t="s">
        <v>629</v>
      </c>
      <c r="W43" s="129"/>
      <c r="X43" s="88">
        <v>43090</v>
      </c>
      <c r="Y43" s="130" t="s">
        <v>20</v>
      </c>
      <c r="Z43" s="133" t="s">
        <v>72</v>
      </c>
      <c r="AA43" s="133"/>
      <c r="AB43" s="148">
        <v>250</v>
      </c>
      <c r="AC43" s="134">
        <v>505</v>
      </c>
      <c r="AD43" s="134"/>
      <c r="AE43" s="403">
        <f t="shared" si="0"/>
        <v>126250</v>
      </c>
      <c r="AF43" s="132" t="str">
        <f>IF(W43=BDD!$P$1,IMPORTS!AB43/25,IF(W43=BDD!$P$2,IMPORTS!AB43/25,IF(IMPORTS!W43=BDD!$P$4,IMPORTS!AB43/25.5,"--")))</f>
        <v>--</v>
      </c>
      <c r="AG43" s="130" t="s">
        <v>5</v>
      </c>
      <c r="AH43" s="130"/>
      <c r="AI43" s="130" t="s">
        <v>34</v>
      </c>
      <c r="AJ43" s="130"/>
      <c r="AK43" s="130"/>
      <c r="AL43" s="24" t="s">
        <v>624</v>
      </c>
      <c r="AM43" s="314"/>
      <c r="AN43" s="26"/>
      <c r="AO43" s="26"/>
      <c r="AP43" s="26"/>
      <c r="AQ43" s="26">
        <v>43035</v>
      </c>
      <c r="AR43" s="24"/>
      <c r="AS43" s="24"/>
      <c r="AT43" s="24">
        <v>43038</v>
      </c>
      <c r="AU43" s="418">
        <f t="shared" si="1"/>
        <v>10</v>
      </c>
      <c r="AV43" s="418">
        <f t="shared" si="2"/>
        <v>2017</v>
      </c>
      <c r="AW43" s="24"/>
      <c r="AX43" s="28"/>
      <c r="AY43" s="28" t="s">
        <v>193</v>
      </c>
      <c r="AZ43" s="132" t="s">
        <v>37</v>
      </c>
      <c r="BA43" s="132"/>
      <c r="BB43" s="24"/>
      <c r="BC43" s="135" t="s">
        <v>630</v>
      </c>
      <c r="BD43" s="24">
        <v>43000</v>
      </c>
      <c r="BE43" s="135" t="s">
        <v>631</v>
      </c>
      <c r="BF43" s="132" t="s">
        <v>632</v>
      </c>
      <c r="BG43" s="135" t="s">
        <v>65</v>
      </c>
      <c r="BH43" s="135"/>
      <c r="BI43" s="314"/>
      <c r="BJ43" s="314"/>
      <c r="BK43" s="24"/>
      <c r="BL43" s="24"/>
      <c r="BM43" s="24"/>
      <c r="BN43" s="24"/>
      <c r="BO43" s="24">
        <f>+AQ43+14</f>
        <v>43049</v>
      </c>
      <c r="BP43" s="24"/>
      <c r="BQ43" s="24"/>
      <c r="BR43" s="43"/>
      <c r="BS43" s="24"/>
      <c r="BT43" s="24"/>
      <c r="BU43" s="24"/>
      <c r="BV43" s="132" t="e">
        <f>IF(#REF!="COMPLETO","OK","PENDIENTES")</f>
        <v>#REF!</v>
      </c>
      <c r="BW43" s="132"/>
      <c r="BX43" s="132"/>
      <c r="BY43" s="132"/>
      <c r="BZ43" s="132"/>
      <c r="CA43" s="132"/>
      <c r="CB43" s="132"/>
      <c r="CC43" s="22"/>
      <c r="CG43" s="24" t="s">
        <v>105</v>
      </c>
      <c r="CH43" s="24"/>
      <c r="CI43" s="24"/>
      <c r="CJ43" s="24"/>
    </row>
    <row r="44" spans="1:88" ht="15.75" customHeight="1">
      <c r="A44" s="18">
        <v>2017</v>
      </c>
      <c r="B44" s="18" t="str">
        <f>+INDEX(BDD!F:F,MATCH(P44,BDD!D:D,0))&amp;"-"&amp;INDEX(BDD!E:E,MATCH(P44,BDD!D:D,0))</f>
        <v>S-S</v>
      </c>
      <c r="C44" s="360" t="s">
        <v>484</v>
      </c>
      <c r="D44" s="150" t="s">
        <v>77</v>
      </c>
      <c r="E44" s="132"/>
      <c r="F44" s="24"/>
      <c r="G44" s="346">
        <v>8000000085</v>
      </c>
      <c r="H44" s="25" t="s">
        <v>633</v>
      </c>
      <c r="I44" s="329"/>
      <c r="J44" s="346">
        <v>8000000085</v>
      </c>
      <c r="K44" s="24"/>
      <c r="L44" s="24"/>
      <c r="M44" s="24"/>
      <c r="N44" s="340" t="s">
        <v>486</v>
      </c>
      <c r="O44" s="334">
        <v>206971</v>
      </c>
      <c r="P44" s="25" t="s">
        <v>340</v>
      </c>
      <c r="Q44" s="127" t="s">
        <v>213</v>
      </c>
      <c r="R44" s="128" t="s">
        <v>634</v>
      </c>
      <c r="S44" s="24">
        <v>42850</v>
      </c>
      <c r="T44" s="36">
        <v>90</v>
      </c>
      <c r="U44" s="125" t="s">
        <v>118</v>
      </c>
      <c r="V44" s="155">
        <v>20171226</v>
      </c>
      <c r="W44" s="129"/>
      <c r="X44" s="88">
        <f>IF(RIGHT(U44,3)="ETA",AQ44+T44,IF(RIGHT(U44,2)="BL",BD44+T44," "))</f>
        <v>43109</v>
      </c>
      <c r="Y44" s="130" t="s">
        <v>20</v>
      </c>
      <c r="Z44" s="133" t="s">
        <v>72</v>
      </c>
      <c r="AA44" s="133"/>
      <c r="AB44" s="148">
        <v>250</v>
      </c>
      <c r="AC44" s="134">
        <v>505</v>
      </c>
      <c r="AD44" s="134"/>
      <c r="AE44" s="403">
        <f t="shared" si="0"/>
        <v>126250</v>
      </c>
      <c r="AF44" s="132" t="str">
        <f>IF(W44=BDD!$P$1,IMPORTS!AB44/25,IF(W44=BDD!$P$2,IMPORTS!AB44/25,IF(IMPORTS!W44=BDD!$P$4,IMPORTS!AB44/25.5,"--")))</f>
        <v>--</v>
      </c>
      <c r="AG44" s="130" t="s">
        <v>5</v>
      </c>
      <c r="AH44" s="130"/>
      <c r="AI44" s="130" t="s">
        <v>34</v>
      </c>
      <c r="AJ44" s="130"/>
      <c r="AK44" s="130"/>
      <c r="AL44" s="135" t="s">
        <v>605</v>
      </c>
      <c r="AM44" s="314"/>
      <c r="AN44" s="26"/>
      <c r="AO44" s="26"/>
      <c r="AP44" s="26"/>
      <c r="AQ44" s="26">
        <v>43061</v>
      </c>
      <c r="AR44" s="24"/>
      <c r="AS44" s="24"/>
      <c r="AT44" s="24">
        <v>43064</v>
      </c>
      <c r="AU44" s="418">
        <f t="shared" si="1"/>
        <v>11</v>
      </c>
      <c r="AV44" s="418">
        <f t="shared" si="2"/>
        <v>2017</v>
      </c>
      <c r="AW44" s="24"/>
      <c r="AX44" s="28"/>
      <c r="AY44" s="28" t="s">
        <v>193</v>
      </c>
      <c r="AZ44" s="132" t="s">
        <v>9</v>
      </c>
      <c r="BA44" s="132"/>
      <c r="BB44" s="24"/>
      <c r="BC44" s="135" t="s">
        <v>635</v>
      </c>
      <c r="BD44" s="24">
        <v>43019</v>
      </c>
      <c r="BE44" s="132" t="s">
        <v>636</v>
      </c>
      <c r="BF44" s="132" t="s">
        <v>516</v>
      </c>
      <c r="BG44" s="135" t="s">
        <v>65</v>
      </c>
      <c r="BH44" s="135"/>
      <c r="BI44" s="314"/>
      <c r="BJ44" s="314"/>
      <c r="BK44" s="24"/>
      <c r="BL44" s="24"/>
      <c r="BM44" s="24"/>
      <c r="BN44" s="24"/>
      <c r="BO44" s="24">
        <f>+AQ44+14</f>
        <v>43075</v>
      </c>
      <c r="BP44" s="24"/>
      <c r="BQ44" s="24"/>
      <c r="BR44" s="43"/>
      <c r="BS44" s="24"/>
      <c r="BT44" s="24"/>
      <c r="BU44" s="24"/>
      <c r="BV44" s="132" t="e">
        <f>IF(#REF!="COMPLETO","OK","PENDIENTES")</f>
        <v>#REF!</v>
      </c>
      <c r="BW44" s="132"/>
      <c r="BX44" s="132"/>
      <c r="BY44" s="132"/>
      <c r="BZ44" s="132"/>
      <c r="CA44" s="132"/>
      <c r="CB44" s="132"/>
      <c r="CC44" s="22"/>
      <c r="CG44" s="24" t="s">
        <v>105</v>
      </c>
      <c r="CH44" s="24"/>
      <c r="CI44" s="24"/>
      <c r="CJ44" s="24"/>
    </row>
    <row r="45" spans="1:88" ht="15" customHeight="1">
      <c r="A45" s="18">
        <v>2017</v>
      </c>
      <c r="B45" s="18" t="str">
        <f>+INDEX(BDD!F:F,MATCH(P45,BDD!D:D,0))&amp;"-"&amp;INDEX(BDD!E:E,MATCH(P45,BDD!D:D,0))</f>
        <v>S-S</v>
      </c>
      <c r="C45" s="360" t="s">
        <v>484</v>
      </c>
      <c r="D45" s="150" t="s">
        <v>77</v>
      </c>
      <c r="E45" s="132"/>
      <c r="F45" s="24"/>
      <c r="G45" s="346">
        <v>8000000086</v>
      </c>
      <c r="H45" s="25" t="s">
        <v>637</v>
      </c>
      <c r="I45" s="329"/>
      <c r="J45" s="346">
        <v>8000000086</v>
      </c>
      <c r="K45" s="24"/>
      <c r="L45" s="24"/>
      <c r="M45" s="24"/>
      <c r="N45" s="340" t="s">
        <v>486</v>
      </c>
      <c r="O45" s="333">
        <v>206971</v>
      </c>
      <c r="P45" s="25" t="s">
        <v>340</v>
      </c>
      <c r="Q45" s="127" t="s">
        <v>213</v>
      </c>
      <c r="R45" s="128" t="s">
        <v>638</v>
      </c>
      <c r="S45" s="24">
        <v>42850</v>
      </c>
      <c r="T45" s="36">
        <v>90</v>
      </c>
      <c r="U45" s="125" t="s">
        <v>118</v>
      </c>
      <c r="V45" s="88" t="s">
        <v>639</v>
      </c>
      <c r="W45" s="129"/>
      <c r="X45" s="88">
        <v>43130</v>
      </c>
      <c r="Y45" s="130" t="s">
        <v>20</v>
      </c>
      <c r="Z45" s="133" t="s">
        <v>72</v>
      </c>
      <c r="AA45" s="133"/>
      <c r="AB45" s="148">
        <v>250</v>
      </c>
      <c r="AC45" s="134">
        <v>505</v>
      </c>
      <c r="AD45" s="134"/>
      <c r="AE45" s="403">
        <f t="shared" si="0"/>
        <v>126250</v>
      </c>
      <c r="AF45" s="132" t="str">
        <f>IF(W45=BDD!$P$1,IMPORTS!AB45/25,IF(W45=BDD!$P$2,IMPORTS!AB45/25,IF(IMPORTS!W45=BDD!$P$4,IMPORTS!AB45/25.5,"--")))</f>
        <v>--</v>
      </c>
      <c r="AG45" s="130" t="s">
        <v>5</v>
      </c>
      <c r="AH45" s="130"/>
      <c r="AI45" s="130" t="s">
        <v>34</v>
      </c>
      <c r="AJ45" s="130"/>
      <c r="AK45" s="130"/>
      <c r="AL45" s="135" t="s">
        <v>640</v>
      </c>
      <c r="AM45" s="314"/>
      <c r="AN45" s="26"/>
      <c r="AO45" s="26"/>
      <c r="AP45" s="26"/>
      <c r="AQ45" s="26">
        <v>43080</v>
      </c>
      <c r="AR45" s="24"/>
      <c r="AS45" s="24"/>
      <c r="AT45" s="24">
        <v>43082</v>
      </c>
      <c r="AU45" s="418">
        <f t="shared" si="1"/>
        <v>12</v>
      </c>
      <c r="AV45" s="418">
        <f t="shared" si="2"/>
        <v>2017</v>
      </c>
      <c r="AW45" s="24"/>
      <c r="AX45" s="28"/>
      <c r="AY45" s="28" t="s">
        <v>193</v>
      </c>
      <c r="AZ45" s="132" t="s">
        <v>9</v>
      </c>
      <c r="BA45" s="132"/>
      <c r="BB45" s="24"/>
      <c r="BC45" s="135" t="s">
        <v>641</v>
      </c>
      <c r="BD45" s="24">
        <v>43040</v>
      </c>
      <c r="BE45" s="132" t="s">
        <v>642</v>
      </c>
      <c r="BF45" s="132" t="s">
        <v>580</v>
      </c>
      <c r="BG45" s="135" t="s">
        <v>29</v>
      </c>
      <c r="BH45" s="135"/>
      <c r="BI45" s="314"/>
      <c r="BJ45" s="314"/>
      <c r="BK45" s="24"/>
      <c r="BL45" s="24"/>
      <c r="BM45" s="24"/>
      <c r="BN45" s="24"/>
      <c r="BO45" s="24">
        <v>43093</v>
      </c>
      <c r="BP45" s="24"/>
      <c r="BQ45" s="24"/>
      <c r="BR45" s="43"/>
      <c r="BS45" s="24"/>
      <c r="BT45" s="24"/>
      <c r="BU45" s="24"/>
      <c r="BV45" s="132" t="e">
        <f>IF(#REF!="COMPLETO","OK","PENDIENTES")</f>
        <v>#REF!</v>
      </c>
      <c r="BW45" s="132"/>
      <c r="BX45" s="132"/>
      <c r="BY45" s="132"/>
      <c r="BZ45" s="132"/>
      <c r="CA45" s="132"/>
      <c r="CB45" s="132"/>
      <c r="CC45" s="22"/>
      <c r="CG45" s="24" t="s">
        <v>105</v>
      </c>
      <c r="CH45" s="24"/>
      <c r="CI45" s="24"/>
      <c r="CJ45" s="24"/>
    </row>
    <row r="46" spans="1:88" ht="15" customHeight="1">
      <c r="A46" s="18">
        <v>2017</v>
      </c>
      <c r="B46" s="18" t="str">
        <f>+INDEX(BDD!F:F,MATCH(P46,BDD!D:D,0))&amp;"-"&amp;INDEX(BDD!E:E,MATCH(P46,BDD!D:D,0))</f>
        <v>S-S</v>
      </c>
      <c r="C46" s="360" t="s">
        <v>484</v>
      </c>
      <c r="D46" s="150" t="s">
        <v>77</v>
      </c>
      <c r="E46" s="132"/>
      <c r="F46" s="24"/>
      <c r="G46" s="346">
        <v>8000000087</v>
      </c>
      <c r="H46" s="25" t="s">
        <v>643</v>
      </c>
      <c r="I46" s="329"/>
      <c r="J46" s="346">
        <v>8000000087</v>
      </c>
      <c r="K46" s="24"/>
      <c r="L46" s="24"/>
      <c r="M46" s="24"/>
      <c r="N46" s="340" t="s">
        <v>486</v>
      </c>
      <c r="O46" s="334">
        <v>206971</v>
      </c>
      <c r="P46" s="25" t="s">
        <v>340</v>
      </c>
      <c r="Q46" s="127" t="s">
        <v>213</v>
      </c>
      <c r="R46" s="156">
        <v>44060</v>
      </c>
      <c r="S46" s="24">
        <v>42850</v>
      </c>
      <c r="T46" s="36">
        <v>90</v>
      </c>
      <c r="U46" s="125" t="s">
        <v>118</v>
      </c>
      <c r="V46" s="88" t="s">
        <v>644</v>
      </c>
      <c r="W46" s="129"/>
      <c r="X46" s="88">
        <f>IF(RIGHT(U46,3)="ETA",AQ46+T46,IF(RIGHT(U46,2)="BL",BD46+T46," "))</f>
        <v>43136</v>
      </c>
      <c r="Y46" s="130" t="s">
        <v>20</v>
      </c>
      <c r="Z46" s="133" t="s">
        <v>72</v>
      </c>
      <c r="AA46" s="133"/>
      <c r="AB46" s="148">
        <v>250</v>
      </c>
      <c r="AC46" s="134">
        <v>505</v>
      </c>
      <c r="AD46" s="134"/>
      <c r="AE46" s="403">
        <f t="shared" si="0"/>
        <v>126250</v>
      </c>
      <c r="AF46" s="132" t="str">
        <f>IF(W46=BDD!$P$1,IMPORTS!AB46/25,IF(W46=BDD!$P$2,IMPORTS!AB46/25,IF(IMPORTS!W46=BDD!$P$4,IMPORTS!AB46/25.5,"--")))</f>
        <v>--</v>
      </c>
      <c r="AG46" s="130" t="s">
        <v>5</v>
      </c>
      <c r="AH46" s="130"/>
      <c r="AI46" s="130" t="s">
        <v>34</v>
      </c>
      <c r="AJ46" s="130"/>
      <c r="AK46" s="130"/>
      <c r="AL46" s="135" t="s">
        <v>640</v>
      </c>
      <c r="AM46" s="314"/>
      <c r="AN46" s="26"/>
      <c r="AO46" s="26"/>
      <c r="AP46" s="26"/>
      <c r="AQ46" s="26">
        <v>43080</v>
      </c>
      <c r="AR46" s="24"/>
      <c r="AS46" s="24"/>
      <c r="AT46" s="24">
        <v>43084</v>
      </c>
      <c r="AU46" s="418">
        <f t="shared" si="1"/>
        <v>12</v>
      </c>
      <c r="AV46" s="418">
        <f t="shared" si="2"/>
        <v>2017</v>
      </c>
      <c r="AW46" s="24"/>
      <c r="AX46" s="28"/>
      <c r="AY46" s="28" t="s">
        <v>193</v>
      </c>
      <c r="AZ46" s="132" t="s">
        <v>9</v>
      </c>
      <c r="BA46" s="132"/>
      <c r="BB46" s="24"/>
      <c r="BC46" s="135" t="s">
        <v>645</v>
      </c>
      <c r="BD46" s="24">
        <v>43046</v>
      </c>
      <c r="BE46" s="132" t="s">
        <v>646</v>
      </c>
      <c r="BF46" s="132" t="s">
        <v>580</v>
      </c>
      <c r="BG46" s="135" t="s">
        <v>29</v>
      </c>
      <c r="BH46" s="135"/>
      <c r="BI46" s="314"/>
      <c r="BJ46" s="314"/>
      <c r="BK46" s="24"/>
      <c r="BL46" s="24"/>
      <c r="BM46" s="24"/>
      <c r="BN46" s="24"/>
      <c r="BO46" s="24">
        <f>+AQ46+14</f>
        <v>43094</v>
      </c>
      <c r="BP46" s="24"/>
      <c r="BQ46" s="24"/>
      <c r="BR46" s="43"/>
      <c r="BS46" s="24"/>
      <c r="BT46" s="24"/>
      <c r="BU46" s="24"/>
      <c r="BV46" s="132" t="e">
        <f>IF(#REF!="COMPLETO","OK","PENDIENTES")</f>
        <v>#REF!</v>
      </c>
      <c r="BW46" s="132"/>
      <c r="BX46" s="132"/>
      <c r="BY46" s="132"/>
      <c r="BZ46" s="132"/>
      <c r="CA46" s="132"/>
      <c r="CB46" s="132"/>
      <c r="CC46" s="22"/>
      <c r="CG46" s="24" t="s">
        <v>105</v>
      </c>
      <c r="CH46" s="24"/>
      <c r="CI46" s="24"/>
      <c r="CJ46" s="24"/>
    </row>
    <row r="47" spans="1:88" ht="15" customHeight="1">
      <c r="A47" s="18">
        <v>2017</v>
      </c>
      <c r="B47" s="18" t="str">
        <f>+INDEX(BDD!F:F,MATCH(P47,BDD!D:D,0))&amp;"-"&amp;INDEX(BDD!E:E,MATCH(P47,BDD!D:D,0))</f>
        <v>S-P</v>
      </c>
      <c r="C47" s="360" t="s">
        <v>484</v>
      </c>
      <c r="D47" s="150" t="s">
        <v>77</v>
      </c>
      <c r="E47" s="132"/>
      <c r="F47" s="24"/>
      <c r="G47" s="346">
        <v>8000000088</v>
      </c>
      <c r="H47" s="25" t="s">
        <v>647</v>
      </c>
      <c r="I47" s="329"/>
      <c r="J47" s="346">
        <v>8000000088</v>
      </c>
      <c r="K47" s="24"/>
      <c r="L47" s="24"/>
      <c r="M47" s="24"/>
      <c r="N47" s="340" t="s">
        <v>486</v>
      </c>
      <c r="O47" s="333">
        <v>206766</v>
      </c>
      <c r="P47" s="25" t="s">
        <v>2</v>
      </c>
      <c r="Q47" s="127" t="s">
        <v>213</v>
      </c>
      <c r="R47" s="128" t="s">
        <v>648</v>
      </c>
      <c r="S47" s="24">
        <v>42851</v>
      </c>
      <c r="T47" s="36" t="s">
        <v>19</v>
      </c>
      <c r="U47" s="125"/>
      <c r="V47" s="88" t="s">
        <v>649</v>
      </c>
      <c r="W47" s="129"/>
      <c r="X47" s="88">
        <v>42898</v>
      </c>
      <c r="Y47" s="130" t="s">
        <v>20</v>
      </c>
      <c r="Z47" s="133" t="s">
        <v>72</v>
      </c>
      <c r="AA47" s="133"/>
      <c r="AB47" s="148">
        <v>153.9</v>
      </c>
      <c r="AC47" s="134">
        <v>909</v>
      </c>
      <c r="AD47" s="134"/>
      <c r="AE47" s="403">
        <f t="shared" si="0"/>
        <v>139895.1</v>
      </c>
      <c r="AF47" s="132">
        <v>6</v>
      </c>
      <c r="AG47" s="130" t="s">
        <v>5</v>
      </c>
      <c r="AH47" s="130"/>
      <c r="AI47" s="130" t="s">
        <v>86</v>
      </c>
      <c r="AJ47" s="130"/>
      <c r="AK47" s="130"/>
      <c r="AL47" s="135" t="s">
        <v>582</v>
      </c>
      <c r="AM47" s="314"/>
      <c r="AN47" s="26"/>
      <c r="AO47" s="26"/>
      <c r="AP47" s="26"/>
      <c r="AQ47" s="26">
        <v>42916</v>
      </c>
      <c r="AR47" s="24"/>
      <c r="AS47" s="24"/>
      <c r="AT47" s="24">
        <v>42924</v>
      </c>
      <c r="AU47" s="418">
        <f t="shared" si="1"/>
        <v>7</v>
      </c>
      <c r="AV47" s="418">
        <f t="shared" si="2"/>
        <v>2017</v>
      </c>
      <c r="AW47" s="24"/>
      <c r="AX47" s="28"/>
      <c r="AY47" s="28" t="s">
        <v>302</v>
      </c>
      <c r="AZ47" s="132" t="s">
        <v>37</v>
      </c>
      <c r="BA47" s="132"/>
      <c r="BB47" s="24"/>
      <c r="BC47" s="135" t="s">
        <v>650</v>
      </c>
      <c r="BD47" s="24">
        <v>42896</v>
      </c>
      <c r="BE47" s="132" t="s">
        <v>651</v>
      </c>
      <c r="BF47" s="132" t="s">
        <v>652</v>
      </c>
      <c r="BG47" s="135" t="s">
        <v>41</v>
      </c>
      <c r="BH47" s="135"/>
      <c r="BI47" s="314"/>
      <c r="BJ47" s="314"/>
      <c r="BK47" s="24"/>
      <c r="BL47" s="24"/>
      <c r="BM47" s="24"/>
      <c r="BN47" s="24"/>
      <c r="BO47" s="24">
        <f>+AQ47+14</f>
        <v>42930</v>
      </c>
      <c r="BP47" s="24"/>
      <c r="BQ47" s="24"/>
      <c r="BR47" s="43"/>
      <c r="BS47" s="24"/>
      <c r="BT47" s="24"/>
      <c r="BU47" s="24"/>
      <c r="BV47" s="132" t="e">
        <f>IF(#REF!="COMPLETO","OK","PENDIENTES")</f>
        <v>#REF!</v>
      </c>
      <c r="BW47" s="132"/>
      <c r="BX47" s="132"/>
      <c r="BY47" s="132"/>
      <c r="BZ47" s="132"/>
      <c r="CA47" s="132"/>
      <c r="CB47" s="132"/>
      <c r="CC47" s="22"/>
      <c r="CG47" s="24" t="s">
        <v>105</v>
      </c>
      <c r="CH47" s="24"/>
      <c r="CI47" s="24"/>
      <c r="CJ47" s="24"/>
    </row>
    <row r="48" spans="1:88" ht="15" customHeight="1">
      <c r="A48" s="18">
        <v>2017</v>
      </c>
      <c r="B48" s="18" t="str">
        <f>+INDEX(BDD!F:F,MATCH(P48,BDD!D:D,0))&amp;"-"&amp;INDEX(BDD!E:E,MATCH(P48,BDD!D:D,0))</f>
        <v>S-P</v>
      </c>
      <c r="C48" s="360" t="s">
        <v>484</v>
      </c>
      <c r="D48" s="150" t="s">
        <v>77</v>
      </c>
      <c r="E48" s="132"/>
      <c r="F48" s="24"/>
      <c r="G48" s="346">
        <v>8000000090</v>
      </c>
      <c r="H48" s="25" t="s">
        <v>653</v>
      </c>
      <c r="I48" s="329"/>
      <c r="J48" s="346">
        <v>8000000090</v>
      </c>
      <c r="K48" s="24"/>
      <c r="L48" s="24"/>
      <c r="M48" s="24"/>
      <c r="N48" s="340" t="s">
        <v>486</v>
      </c>
      <c r="O48" s="333">
        <v>206766</v>
      </c>
      <c r="P48" s="25" t="s">
        <v>2</v>
      </c>
      <c r="Q48" s="127" t="s">
        <v>213</v>
      </c>
      <c r="R48" s="128" t="s">
        <v>654</v>
      </c>
      <c r="S48" s="24">
        <v>42851</v>
      </c>
      <c r="T48" s="36" t="s">
        <v>19</v>
      </c>
      <c r="U48" s="125"/>
      <c r="V48" s="88" t="s">
        <v>655</v>
      </c>
      <c r="W48" s="129"/>
      <c r="X48" s="88">
        <v>42902</v>
      </c>
      <c r="Y48" s="130" t="s">
        <v>20</v>
      </c>
      <c r="Z48" s="133" t="s">
        <v>72</v>
      </c>
      <c r="AA48" s="133"/>
      <c r="AB48" s="148">
        <v>153.9</v>
      </c>
      <c r="AC48" s="134">
        <v>914</v>
      </c>
      <c r="AD48" s="134"/>
      <c r="AE48" s="403">
        <f t="shared" si="0"/>
        <v>140664.6</v>
      </c>
      <c r="AF48" s="132">
        <v>6</v>
      </c>
      <c r="AG48" s="130" t="s">
        <v>5</v>
      </c>
      <c r="AH48" s="130"/>
      <c r="AI48" s="130" t="s">
        <v>86</v>
      </c>
      <c r="AJ48" s="130"/>
      <c r="AK48" s="130"/>
      <c r="AL48" s="135" t="s">
        <v>582</v>
      </c>
      <c r="AM48" s="314"/>
      <c r="AN48" s="26"/>
      <c r="AO48" s="26"/>
      <c r="AP48" s="26"/>
      <c r="AQ48" s="26">
        <v>42919</v>
      </c>
      <c r="AR48" s="24"/>
      <c r="AS48" s="24"/>
      <c r="AT48" s="24">
        <v>42923</v>
      </c>
      <c r="AU48" s="418">
        <f t="shared" si="1"/>
        <v>7</v>
      </c>
      <c r="AV48" s="418">
        <f t="shared" si="2"/>
        <v>2017</v>
      </c>
      <c r="AW48" s="24"/>
      <c r="AX48" s="28"/>
      <c r="AY48" s="28" t="s">
        <v>302</v>
      </c>
      <c r="AZ48" s="132" t="s">
        <v>9</v>
      </c>
      <c r="BA48" s="132"/>
      <c r="BB48" s="24"/>
      <c r="BC48" s="135" t="s">
        <v>656</v>
      </c>
      <c r="BD48" s="24">
        <v>42896</v>
      </c>
      <c r="BE48" s="132" t="s">
        <v>651</v>
      </c>
      <c r="BF48" s="132"/>
      <c r="BG48" s="135" t="s">
        <v>41</v>
      </c>
      <c r="BH48" s="135"/>
      <c r="BI48" s="314"/>
      <c r="BJ48" s="314"/>
      <c r="BK48" s="24"/>
      <c r="BL48" s="24"/>
      <c r="BM48" s="24"/>
      <c r="BN48" s="24"/>
      <c r="BO48" s="24">
        <f>+AQ48+14</f>
        <v>42933</v>
      </c>
      <c r="BP48" s="24"/>
      <c r="BQ48" s="24"/>
      <c r="BR48" s="43"/>
      <c r="BS48" s="24"/>
      <c r="BT48" s="24"/>
      <c r="BU48" s="24"/>
      <c r="BV48" s="132" t="e">
        <f>IF(#REF!="COMPLETO","OK","PENDIENTES")</f>
        <v>#REF!</v>
      </c>
      <c r="BW48" s="132"/>
      <c r="BX48" s="132"/>
      <c r="BY48" s="132"/>
      <c r="BZ48" s="132"/>
      <c r="CA48" s="132"/>
      <c r="CB48" s="132"/>
      <c r="CC48" s="22"/>
      <c r="CG48" s="24" t="s">
        <v>105</v>
      </c>
      <c r="CH48" s="24"/>
      <c r="CI48" s="24"/>
      <c r="CJ48" s="24"/>
    </row>
    <row r="49" spans="1:88" ht="15" customHeight="1">
      <c r="A49" s="18">
        <v>2017</v>
      </c>
      <c r="B49" s="18" t="str">
        <f>+INDEX(BDD!F:F,MATCH(P49,BDD!D:D,0))&amp;"-"&amp;INDEX(BDD!E:E,MATCH(P49,BDD!D:D,0))</f>
        <v>E-S</v>
      </c>
      <c r="C49" s="360" t="s">
        <v>484</v>
      </c>
      <c r="D49" s="150" t="s">
        <v>77</v>
      </c>
      <c r="E49" s="132"/>
      <c r="F49" s="24"/>
      <c r="G49" s="346">
        <v>8000000089</v>
      </c>
      <c r="H49" s="25" t="s">
        <v>657</v>
      </c>
      <c r="I49" s="329"/>
      <c r="J49" s="346">
        <v>8000000089</v>
      </c>
      <c r="K49" s="24"/>
      <c r="L49" s="24"/>
      <c r="M49" s="24"/>
      <c r="N49" s="340" t="s">
        <v>486</v>
      </c>
      <c r="O49" s="333">
        <v>207522</v>
      </c>
      <c r="P49" s="25" t="s">
        <v>298</v>
      </c>
      <c r="Q49" s="127" t="s">
        <v>183</v>
      </c>
      <c r="R49" s="128" t="s">
        <v>658</v>
      </c>
      <c r="S49" s="24">
        <v>42859</v>
      </c>
      <c r="T49" s="36">
        <v>90</v>
      </c>
      <c r="U49" s="125" t="s">
        <v>118</v>
      </c>
      <c r="V49" s="88" t="s">
        <v>659</v>
      </c>
      <c r="W49" s="129"/>
      <c r="X49" s="88">
        <f>IF(RIGHT(U49,3)="ETA",AQ49+T49,IF(RIGHT(U49,2)="BL",BD49+T49," "))</f>
        <v>42977</v>
      </c>
      <c r="Y49" s="130" t="s">
        <v>20</v>
      </c>
      <c r="Z49" s="133" t="s">
        <v>60</v>
      </c>
      <c r="AA49" s="133"/>
      <c r="AB49" s="148">
        <v>111.28</v>
      </c>
      <c r="AC49" s="134">
        <v>280</v>
      </c>
      <c r="AD49" s="134"/>
      <c r="AE49" s="403">
        <f t="shared" si="0"/>
        <v>31158.400000000001</v>
      </c>
      <c r="AF49" s="132">
        <v>4</v>
      </c>
      <c r="AG49" s="130" t="s">
        <v>5</v>
      </c>
      <c r="AH49" s="130"/>
      <c r="AI49" s="130" t="s">
        <v>86</v>
      </c>
      <c r="AJ49" s="130"/>
      <c r="AK49" s="130"/>
      <c r="AL49" s="135" t="s">
        <v>489</v>
      </c>
      <c r="AM49" s="314"/>
      <c r="AN49" s="26"/>
      <c r="AO49" s="26"/>
      <c r="AP49" s="26"/>
      <c r="AQ49" s="26">
        <v>42909</v>
      </c>
      <c r="AR49" s="24"/>
      <c r="AS49" s="24"/>
      <c r="AT49" s="24">
        <v>42914</v>
      </c>
      <c r="AU49" s="418">
        <f t="shared" si="1"/>
        <v>6</v>
      </c>
      <c r="AV49" s="418">
        <f t="shared" si="2"/>
        <v>2017</v>
      </c>
      <c r="AW49" s="24"/>
      <c r="AX49" s="28"/>
      <c r="AY49" s="28" t="s">
        <v>8</v>
      </c>
      <c r="AZ49" s="132" t="s">
        <v>37</v>
      </c>
      <c r="BA49" s="132"/>
      <c r="BB49" s="24"/>
      <c r="BC49" s="135" t="s">
        <v>660</v>
      </c>
      <c r="BD49" s="24">
        <v>42887</v>
      </c>
      <c r="BE49" s="132" t="s">
        <v>661</v>
      </c>
      <c r="BF49" s="132" t="s">
        <v>661</v>
      </c>
      <c r="BG49" s="135" t="s">
        <v>41</v>
      </c>
      <c r="BH49" s="135"/>
      <c r="BI49" s="314"/>
      <c r="BJ49" s="314"/>
      <c r="BK49" s="24"/>
      <c r="BL49" s="24"/>
      <c r="BM49" s="24"/>
      <c r="BN49" s="24"/>
      <c r="BO49" s="24">
        <f>+AQ49+14</f>
        <v>42923</v>
      </c>
      <c r="BP49" s="24"/>
      <c r="BQ49" s="24"/>
      <c r="BR49" s="43"/>
      <c r="BS49" s="24"/>
      <c r="BT49" s="24"/>
      <c r="BU49" s="24"/>
      <c r="BV49" s="132" t="e">
        <f>IF(#REF!="COMPLETO","OK","PENDIENTES")</f>
        <v>#REF!</v>
      </c>
      <c r="BW49" s="132"/>
      <c r="BX49" s="132"/>
      <c r="BY49" s="132"/>
      <c r="BZ49" s="132"/>
      <c r="CA49" s="132"/>
      <c r="CB49" s="132"/>
      <c r="CC49" s="22"/>
      <c r="CG49" s="24" t="s">
        <v>105</v>
      </c>
      <c r="CH49" s="24"/>
      <c r="CI49" s="24"/>
      <c r="CJ49" s="24"/>
    </row>
    <row r="50" spans="1:88" ht="14.25" customHeight="1">
      <c r="A50" s="18">
        <v>2017</v>
      </c>
      <c r="B50" s="18" t="str">
        <f>+INDEX(BDD!F:F,MATCH(P50,BDD!D:D,0))&amp;"-"&amp;INDEX(BDD!E:E,MATCH(P50,BDD!D:D,0))</f>
        <v>E-S</v>
      </c>
      <c r="C50" s="360" t="s">
        <v>484</v>
      </c>
      <c r="D50" s="150" t="s">
        <v>77</v>
      </c>
      <c r="E50" s="132"/>
      <c r="F50" s="24"/>
      <c r="G50" s="346">
        <v>8000000091</v>
      </c>
      <c r="H50" s="25" t="s">
        <v>662</v>
      </c>
      <c r="I50" s="329"/>
      <c r="J50" s="346">
        <v>8000000091</v>
      </c>
      <c r="K50" s="24"/>
      <c r="L50" s="24"/>
      <c r="M50" s="24"/>
      <c r="N50" s="340" t="s">
        <v>486</v>
      </c>
      <c r="O50" s="333">
        <v>207522</v>
      </c>
      <c r="P50" s="25" t="s">
        <v>298</v>
      </c>
      <c r="Q50" s="127" t="s">
        <v>183</v>
      </c>
      <c r="R50" s="128" t="s">
        <v>663</v>
      </c>
      <c r="S50" s="24">
        <v>42859</v>
      </c>
      <c r="T50" s="36">
        <v>90</v>
      </c>
      <c r="U50" s="125" t="s">
        <v>118</v>
      </c>
      <c r="V50" s="88" t="s">
        <v>664</v>
      </c>
      <c r="W50" s="129"/>
      <c r="X50" s="88">
        <f>IF(RIGHT(U50,3)="ETA",AQ50+T50,IF(RIGHT(U50,2)="BL",BD50+T50," "))</f>
        <v>42977</v>
      </c>
      <c r="Y50" s="130" t="s">
        <v>20</v>
      </c>
      <c r="Z50" s="133" t="s">
        <v>60</v>
      </c>
      <c r="AA50" s="133"/>
      <c r="AB50" s="148">
        <v>55.94</v>
      </c>
      <c r="AC50" s="134">
        <v>280</v>
      </c>
      <c r="AD50" s="134"/>
      <c r="AE50" s="403">
        <f t="shared" si="0"/>
        <v>15663.199999999999</v>
      </c>
      <c r="AF50" s="132">
        <v>2</v>
      </c>
      <c r="AG50" s="130" t="s">
        <v>5</v>
      </c>
      <c r="AH50" s="130"/>
      <c r="AI50" s="130" t="s">
        <v>86</v>
      </c>
      <c r="AJ50" s="130"/>
      <c r="AK50" s="130"/>
      <c r="AL50" s="135" t="s">
        <v>489</v>
      </c>
      <c r="AM50" s="314"/>
      <c r="AN50" s="26"/>
      <c r="AO50" s="26"/>
      <c r="AP50" s="26"/>
      <c r="AQ50" s="26">
        <v>42913</v>
      </c>
      <c r="AR50" s="24"/>
      <c r="AS50" s="24"/>
      <c r="AT50" s="24">
        <v>42916</v>
      </c>
      <c r="AU50" s="418">
        <f t="shared" si="1"/>
        <v>6</v>
      </c>
      <c r="AV50" s="418">
        <f t="shared" si="2"/>
        <v>2017</v>
      </c>
      <c r="AW50" s="24"/>
      <c r="AX50" s="28"/>
      <c r="AY50" s="28" t="s">
        <v>8</v>
      </c>
      <c r="AZ50" s="132" t="s">
        <v>9</v>
      </c>
      <c r="BA50" s="132"/>
      <c r="BB50" s="24"/>
      <c r="BC50" s="135" t="s">
        <v>665</v>
      </c>
      <c r="BD50" s="24">
        <v>42887</v>
      </c>
      <c r="BE50" s="132" t="s">
        <v>661</v>
      </c>
      <c r="BF50" s="132" t="s">
        <v>580</v>
      </c>
      <c r="BG50" s="135" t="s">
        <v>41</v>
      </c>
      <c r="BH50" s="135"/>
      <c r="BI50" s="314"/>
      <c r="BJ50" s="314"/>
      <c r="BK50" s="24"/>
      <c r="BL50" s="24"/>
      <c r="BM50" s="24"/>
      <c r="BN50" s="24"/>
      <c r="BO50" s="24">
        <v>42928</v>
      </c>
      <c r="BP50" s="24"/>
      <c r="BQ50" s="24"/>
      <c r="BR50" s="43"/>
      <c r="BS50" s="24"/>
      <c r="BT50" s="24"/>
      <c r="BU50" s="24"/>
      <c r="BV50" s="132" t="e">
        <f>IF(#REF!="COMPLETO","OK","PENDIENTES")</f>
        <v>#REF!</v>
      </c>
      <c r="BW50" s="132"/>
      <c r="BX50" s="132"/>
      <c r="BY50" s="132"/>
      <c r="BZ50" s="132"/>
      <c r="CA50" s="132"/>
      <c r="CB50" s="132"/>
      <c r="CC50" s="22"/>
      <c r="CG50" s="24" t="s">
        <v>105</v>
      </c>
      <c r="CH50" s="24"/>
      <c r="CI50" s="24"/>
      <c r="CJ50" s="24"/>
    </row>
    <row r="51" spans="1:88" ht="15" customHeight="1">
      <c r="A51" s="18">
        <v>2017</v>
      </c>
      <c r="B51" s="18" t="str">
        <f>+INDEX(BDD!F:F,MATCH(P51,BDD!D:D,0))&amp;"-"&amp;INDEX(BDD!E:E,MATCH(P51,BDD!D:D,0))</f>
        <v>S-S</v>
      </c>
      <c r="C51" s="360" t="s">
        <v>484</v>
      </c>
      <c r="D51" s="150" t="s">
        <v>77</v>
      </c>
      <c r="E51" s="132"/>
      <c r="F51" s="24"/>
      <c r="G51" s="346">
        <v>8000000015</v>
      </c>
      <c r="H51" s="25" t="s">
        <v>666</v>
      </c>
      <c r="I51" s="329"/>
      <c r="J51" s="346">
        <v>8000000015</v>
      </c>
      <c r="K51" s="24"/>
      <c r="L51" s="24"/>
      <c r="M51" s="24"/>
      <c r="N51" s="340" t="s">
        <v>486</v>
      </c>
      <c r="O51" s="333">
        <v>206914</v>
      </c>
      <c r="P51" s="25" t="s">
        <v>335</v>
      </c>
      <c r="Q51" s="127" t="s">
        <v>234</v>
      </c>
      <c r="R51" s="128">
        <v>17020218</v>
      </c>
      <c r="S51" s="24">
        <v>42857</v>
      </c>
      <c r="T51" s="36">
        <v>30</v>
      </c>
      <c r="U51" s="125" t="s">
        <v>118</v>
      </c>
      <c r="V51" s="128">
        <v>17020218</v>
      </c>
      <c r="W51" s="151"/>
      <c r="X51" s="88">
        <v>42947</v>
      </c>
      <c r="Y51" s="130" t="s">
        <v>20</v>
      </c>
      <c r="Z51" s="133" t="s">
        <v>81</v>
      </c>
      <c r="AA51" s="133"/>
      <c r="AB51" s="148">
        <v>400</v>
      </c>
      <c r="AC51" s="134">
        <v>135</v>
      </c>
      <c r="AD51" s="134"/>
      <c r="AE51" s="403">
        <f t="shared" si="0"/>
        <v>54000</v>
      </c>
      <c r="AF51" s="132" t="str">
        <f>IF(W51=BDD!$P$1,IMPORTS!AB51/25,IF(W51=BDD!$P$2,IMPORTS!AB51/25,IF(IMPORTS!W51=BDD!$P$4,IMPORTS!AB51/25.5,"--")))</f>
        <v>--</v>
      </c>
      <c r="AG51" s="130" t="s">
        <v>58</v>
      </c>
      <c r="AH51" s="130"/>
      <c r="AI51" s="130" t="s">
        <v>34</v>
      </c>
      <c r="AJ51" s="130"/>
      <c r="AK51" s="130"/>
      <c r="AL51" s="135" t="s">
        <v>582</v>
      </c>
      <c r="AM51" s="314"/>
      <c r="AN51" s="26"/>
      <c r="AO51" s="26"/>
      <c r="AP51" s="26"/>
      <c r="AQ51" s="26">
        <v>42958</v>
      </c>
      <c r="AR51" s="24"/>
      <c r="AS51" s="24"/>
      <c r="AT51" s="26">
        <v>42968</v>
      </c>
      <c r="AU51" s="418">
        <f t="shared" si="1"/>
        <v>8</v>
      </c>
      <c r="AV51" s="418">
        <f t="shared" si="2"/>
        <v>2017</v>
      </c>
      <c r="AW51" s="26"/>
      <c r="AX51" s="28"/>
      <c r="AY51" s="28" t="s">
        <v>607</v>
      </c>
      <c r="AZ51" s="132" t="s">
        <v>37</v>
      </c>
      <c r="BA51" s="132"/>
      <c r="BB51" s="26"/>
      <c r="BC51" s="135" t="s">
        <v>667</v>
      </c>
      <c r="BD51" s="24">
        <v>42919</v>
      </c>
      <c r="BE51" s="132" t="s">
        <v>668</v>
      </c>
      <c r="BF51" s="132" t="s">
        <v>668</v>
      </c>
      <c r="BG51" s="135" t="s">
        <v>52</v>
      </c>
      <c r="BH51" s="135"/>
      <c r="BI51" s="314"/>
      <c r="BJ51" s="314"/>
      <c r="BK51" s="24"/>
      <c r="BL51" s="24"/>
      <c r="BM51" s="24"/>
      <c r="BN51" s="24"/>
      <c r="BO51" s="24">
        <f>+AQ51+14</f>
        <v>42972</v>
      </c>
      <c r="BP51" s="24"/>
      <c r="BQ51" s="24"/>
      <c r="BR51" s="43"/>
      <c r="BS51" s="24"/>
      <c r="BT51" s="24"/>
      <c r="BU51" s="24"/>
      <c r="BV51" s="132" t="e">
        <f>IF(#REF!="COMPLETO","OK","PENDIENTES")</f>
        <v>#REF!</v>
      </c>
      <c r="BW51" s="132"/>
      <c r="BX51" s="132"/>
      <c r="BY51" s="132"/>
      <c r="BZ51" s="132"/>
      <c r="CA51" s="132"/>
      <c r="CB51" s="132"/>
      <c r="CC51" s="22"/>
      <c r="CG51" s="24" t="s">
        <v>105</v>
      </c>
      <c r="CH51" s="24"/>
      <c r="CI51" s="26"/>
      <c r="CJ51" s="26"/>
    </row>
    <row r="52" spans="1:88" ht="15" customHeight="1">
      <c r="A52" s="18">
        <v>2017</v>
      </c>
      <c r="B52" s="18" t="str">
        <f>+INDEX(BDD!F:F,MATCH(P52,BDD!D:D,0))&amp;"-"&amp;INDEX(BDD!E:E,MATCH(P52,BDD!D:D,0))</f>
        <v>S-S</v>
      </c>
      <c r="C52" s="360" t="s">
        <v>484</v>
      </c>
      <c r="D52" s="150" t="s">
        <v>77</v>
      </c>
      <c r="E52" s="132"/>
      <c r="F52" s="24"/>
      <c r="G52" s="346">
        <v>8000000092</v>
      </c>
      <c r="H52" s="25" t="s">
        <v>669</v>
      </c>
      <c r="I52" s="329"/>
      <c r="J52" s="346">
        <v>8000000092</v>
      </c>
      <c r="K52" s="24"/>
      <c r="L52" s="24"/>
      <c r="M52" s="24"/>
      <c r="N52" s="340" t="s">
        <v>486</v>
      </c>
      <c r="O52" s="333">
        <v>206914</v>
      </c>
      <c r="P52" s="25" t="s">
        <v>335</v>
      </c>
      <c r="Q52" s="127" t="s">
        <v>234</v>
      </c>
      <c r="R52" s="128">
        <v>17020219</v>
      </c>
      <c r="S52" s="24">
        <v>42857</v>
      </c>
      <c r="T52" s="36">
        <v>30</v>
      </c>
      <c r="U52" s="125" t="s">
        <v>118</v>
      </c>
      <c r="V52" s="128" t="s">
        <v>670</v>
      </c>
      <c r="W52" s="151"/>
      <c r="X52" s="88">
        <v>42970</v>
      </c>
      <c r="Y52" s="130" t="s">
        <v>20</v>
      </c>
      <c r="Z52" s="133" t="s">
        <v>81</v>
      </c>
      <c r="AA52" s="133"/>
      <c r="AB52" s="148">
        <v>400</v>
      </c>
      <c r="AC52" s="134">
        <v>135</v>
      </c>
      <c r="AD52" s="134"/>
      <c r="AE52" s="403">
        <f t="shared" si="0"/>
        <v>54000</v>
      </c>
      <c r="AF52" s="132" t="str">
        <f>IF(W52=BDD!$P$1,IMPORTS!AB52/25,IF(W52=BDD!$P$2,IMPORTS!AB52/25,IF(IMPORTS!W52=BDD!$P$4,IMPORTS!AB52/25.5,"--")))</f>
        <v>--</v>
      </c>
      <c r="AG52" s="130" t="s">
        <v>58</v>
      </c>
      <c r="AH52" s="130"/>
      <c r="AI52" s="130" t="s">
        <v>34</v>
      </c>
      <c r="AJ52" s="130"/>
      <c r="AK52" s="130"/>
      <c r="AL52" s="135" t="s">
        <v>671</v>
      </c>
      <c r="AM52" s="314"/>
      <c r="AN52" s="26"/>
      <c r="AO52" s="26"/>
      <c r="AP52" s="26"/>
      <c r="AQ52" s="26">
        <v>42997</v>
      </c>
      <c r="AR52" s="24"/>
      <c r="AS52" s="24"/>
      <c r="AT52" s="24">
        <v>43005</v>
      </c>
      <c r="AU52" s="418">
        <f t="shared" si="1"/>
        <v>9</v>
      </c>
      <c r="AV52" s="418">
        <f t="shared" si="2"/>
        <v>2017</v>
      </c>
      <c r="AW52" s="24"/>
      <c r="AX52" s="28"/>
      <c r="AY52" s="28" t="s">
        <v>311</v>
      </c>
      <c r="AZ52" s="132" t="s">
        <v>37</v>
      </c>
      <c r="BA52" s="132"/>
      <c r="BB52" s="24"/>
      <c r="BC52" s="135" t="s">
        <v>672</v>
      </c>
      <c r="BD52" s="24">
        <v>42943</v>
      </c>
      <c r="BE52" s="132" t="s">
        <v>673</v>
      </c>
      <c r="BF52" s="132" t="s">
        <v>673</v>
      </c>
      <c r="BG52" s="135" t="s">
        <v>114</v>
      </c>
      <c r="BH52" s="135"/>
      <c r="BI52" s="314"/>
      <c r="BJ52" s="314"/>
      <c r="BK52" s="24"/>
      <c r="BL52" s="24"/>
      <c r="BM52" s="24"/>
      <c r="BN52" s="24"/>
      <c r="BO52" s="24">
        <f>+AQ52+14</f>
        <v>43011</v>
      </c>
      <c r="BP52" s="24"/>
      <c r="BQ52" s="24"/>
      <c r="BR52" s="43"/>
      <c r="BS52" s="24"/>
      <c r="BT52" s="24"/>
      <c r="BU52" s="24"/>
      <c r="BV52" s="132" t="e">
        <f>IF(#REF!="COMPLETO","OK","PENDIENTES")</f>
        <v>#REF!</v>
      </c>
      <c r="BW52" s="132"/>
      <c r="BX52" s="132"/>
      <c r="BY52" s="132"/>
      <c r="BZ52" s="132"/>
      <c r="CA52" s="132"/>
      <c r="CB52" s="132"/>
      <c r="CC52" s="22"/>
      <c r="CG52" s="24" t="s">
        <v>105</v>
      </c>
      <c r="CH52" s="24"/>
      <c r="CI52" s="24"/>
      <c r="CJ52" s="24"/>
    </row>
    <row r="53" spans="1:88" ht="15" customHeight="1">
      <c r="A53" s="18">
        <v>2017</v>
      </c>
      <c r="B53" s="18" t="str">
        <f>+INDEX(BDD!F:F,MATCH(P53,BDD!D:D,0))&amp;"-"&amp;INDEX(BDD!E:E,MATCH(P53,BDD!D:D,0))</f>
        <v>G-S</v>
      </c>
      <c r="C53" s="360" t="s">
        <v>484</v>
      </c>
      <c r="D53" s="150" t="s">
        <v>77</v>
      </c>
      <c r="E53" s="132"/>
      <c r="F53" s="24"/>
      <c r="G53" s="346">
        <v>8000000093</v>
      </c>
      <c r="H53" s="25" t="s">
        <v>674</v>
      </c>
      <c r="I53" s="329"/>
      <c r="J53" s="346">
        <v>8000000093</v>
      </c>
      <c r="K53" s="24"/>
      <c r="L53" s="24"/>
      <c r="M53" s="24"/>
      <c r="N53" s="340" t="s">
        <v>486</v>
      </c>
      <c r="O53" s="333">
        <v>206599</v>
      </c>
      <c r="P53" s="25" t="s">
        <v>339</v>
      </c>
      <c r="Q53" s="127" t="s">
        <v>300</v>
      </c>
      <c r="R53" s="128">
        <v>5579</v>
      </c>
      <c r="S53" s="24">
        <v>42865</v>
      </c>
      <c r="T53" s="36" t="s">
        <v>19</v>
      </c>
      <c r="U53" s="125"/>
      <c r="V53" s="88" t="s">
        <v>675</v>
      </c>
      <c r="W53" s="129"/>
      <c r="X53" s="88">
        <v>42895</v>
      </c>
      <c r="Y53" s="130" t="s">
        <v>20</v>
      </c>
      <c r="Z53" s="133" t="s">
        <v>60</v>
      </c>
      <c r="AA53" s="133"/>
      <c r="AB53" s="148">
        <v>288</v>
      </c>
      <c r="AC53" s="134">
        <v>489</v>
      </c>
      <c r="AD53" s="134"/>
      <c r="AE53" s="403">
        <f t="shared" si="0"/>
        <v>140832</v>
      </c>
      <c r="AF53" s="132">
        <v>12</v>
      </c>
      <c r="AG53" s="130" t="s">
        <v>5</v>
      </c>
      <c r="AH53" s="130"/>
      <c r="AI53" s="130" t="s">
        <v>71</v>
      </c>
      <c r="AJ53" s="130"/>
      <c r="AK53" s="130"/>
      <c r="AL53" s="135" t="s">
        <v>489</v>
      </c>
      <c r="AM53" s="314"/>
      <c r="AN53" s="26"/>
      <c r="AO53" s="26"/>
      <c r="AP53" s="26"/>
      <c r="AQ53" s="26">
        <v>42937</v>
      </c>
      <c r="AR53" s="24"/>
      <c r="AS53" s="24"/>
      <c r="AT53" s="24">
        <v>42940</v>
      </c>
      <c r="AU53" s="418">
        <f t="shared" si="1"/>
        <v>7</v>
      </c>
      <c r="AV53" s="418">
        <f t="shared" si="2"/>
        <v>2017</v>
      </c>
      <c r="AW53" s="24"/>
      <c r="AX53" s="28"/>
      <c r="AY53" s="28" t="s">
        <v>239</v>
      </c>
      <c r="AZ53" s="132" t="s">
        <v>37</v>
      </c>
      <c r="BA53" s="132"/>
      <c r="BB53" s="24"/>
      <c r="BC53" s="135" t="s">
        <v>676</v>
      </c>
      <c r="BD53" s="24">
        <v>42879</v>
      </c>
      <c r="BE53" s="132" t="s">
        <v>677</v>
      </c>
      <c r="BF53" s="132" t="s">
        <v>678</v>
      </c>
      <c r="BG53" s="135" t="s">
        <v>14</v>
      </c>
      <c r="BH53" s="135"/>
      <c r="BI53" s="314"/>
      <c r="BJ53" s="314"/>
      <c r="BK53" s="24"/>
      <c r="BL53" s="24"/>
      <c r="BM53" s="24"/>
      <c r="BN53" s="24"/>
      <c r="BO53" s="24">
        <f>+AQ53+14</f>
        <v>42951</v>
      </c>
      <c r="BP53" s="24"/>
      <c r="BQ53" s="24"/>
      <c r="BR53" s="43"/>
      <c r="BS53" s="24"/>
      <c r="BT53" s="24"/>
      <c r="BU53" s="24"/>
      <c r="BV53" s="132" t="e">
        <f>IF(#REF!="COMPLETO","OK","PENDIENTES")</f>
        <v>#REF!</v>
      </c>
      <c r="BW53" s="132"/>
      <c r="BX53" s="132"/>
      <c r="BY53" s="132"/>
      <c r="BZ53" s="132"/>
      <c r="CA53" s="132"/>
      <c r="CB53" s="132"/>
      <c r="CC53" s="22"/>
      <c r="CG53" s="24" t="s">
        <v>105</v>
      </c>
      <c r="CH53" s="24"/>
      <c r="CI53" s="24"/>
      <c r="CJ53" s="24"/>
    </row>
    <row r="54" spans="1:88" ht="15" customHeight="1">
      <c r="A54" s="18">
        <v>2017</v>
      </c>
      <c r="B54" s="18" t="str">
        <f>+INDEX(BDD!F:F,MATCH(P54,BDD!D:D,0))&amp;"-"&amp;INDEX(BDD!E:E,MATCH(P54,BDD!D:D,0))</f>
        <v>G-S</v>
      </c>
      <c r="C54" s="360" t="s">
        <v>484</v>
      </c>
      <c r="D54" s="150" t="s">
        <v>77</v>
      </c>
      <c r="E54" s="132"/>
      <c r="F54" s="24"/>
      <c r="G54" s="346">
        <v>8000000094</v>
      </c>
      <c r="H54" s="25" t="s">
        <v>679</v>
      </c>
      <c r="I54" s="329"/>
      <c r="J54" s="346">
        <v>8000000094</v>
      </c>
      <c r="K54" s="24"/>
      <c r="L54" s="24"/>
      <c r="M54" s="24"/>
      <c r="N54" s="340" t="s">
        <v>486</v>
      </c>
      <c r="O54" s="333">
        <v>207951</v>
      </c>
      <c r="P54" s="25" t="s">
        <v>354</v>
      </c>
      <c r="Q54" s="127" t="s">
        <v>167</v>
      </c>
      <c r="R54" s="128" t="s">
        <v>680</v>
      </c>
      <c r="S54" s="24">
        <v>42891</v>
      </c>
      <c r="T54" s="36" t="s">
        <v>19</v>
      </c>
      <c r="U54" s="125"/>
      <c r="V54" s="88" t="s">
        <v>681</v>
      </c>
      <c r="W54" s="129"/>
      <c r="X54" s="88">
        <v>42906</v>
      </c>
      <c r="Y54" s="130" t="s">
        <v>20</v>
      </c>
      <c r="Z54" s="133" t="s">
        <v>60</v>
      </c>
      <c r="AA54" s="133"/>
      <c r="AB54" s="148">
        <v>3100</v>
      </c>
      <c r="AC54" s="134">
        <v>220</v>
      </c>
      <c r="AD54" s="134"/>
      <c r="AE54" s="403">
        <f t="shared" si="0"/>
        <v>682000</v>
      </c>
      <c r="AF54" s="132" t="str">
        <f>IF(W54=BDD!$P$1,IMPORTS!AB54/25,IF(W54=BDD!$P$2,IMPORTS!AB54/25,IF(IMPORTS!W54=BDD!$P$4,IMPORTS!AB54/25.5,"--")))</f>
        <v>--</v>
      </c>
      <c r="AG54" s="130" t="s">
        <v>46</v>
      </c>
      <c r="AH54" s="130"/>
      <c r="AI54" s="130" t="s">
        <v>100</v>
      </c>
      <c r="AJ54" s="130"/>
      <c r="AK54" s="130"/>
      <c r="AL54" s="135" t="s">
        <v>582</v>
      </c>
      <c r="AM54" s="314"/>
      <c r="AN54" s="26"/>
      <c r="AO54" s="26"/>
      <c r="AP54" s="26"/>
      <c r="AQ54" s="26">
        <v>42929</v>
      </c>
      <c r="AR54" s="24"/>
      <c r="AS54" s="24"/>
      <c r="AT54" s="24">
        <v>42930</v>
      </c>
      <c r="AU54" s="418">
        <f t="shared" si="1"/>
        <v>7</v>
      </c>
      <c r="AV54" s="418">
        <f t="shared" si="2"/>
        <v>2017</v>
      </c>
      <c r="AW54" s="24"/>
      <c r="AX54" s="28"/>
      <c r="AY54" s="28" t="s">
        <v>205</v>
      </c>
      <c r="AZ54" s="132" t="s">
        <v>9</v>
      </c>
      <c r="BA54" s="132"/>
      <c r="BB54" s="24"/>
      <c r="BC54" s="135">
        <v>6</v>
      </c>
      <c r="BD54" s="24">
        <v>42903</v>
      </c>
      <c r="BE54" s="135" t="s">
        <v>682</v>
      </c>
      <c r="BF54" s="135" t="s">
        <v>682</v>
      </c>
      <c r="BG54" s="135" t="s">
        <v>52</v>
      </c>
      <c r="BH54" s="135"/>
      <c r="BI54" s="314"/>
      <c r="BJ54" s="314"/>
      <c r="BK54" s="24"/>
      <c r="BL54" s="24"/>
      <c r="BM54" s="24"/>
      <c r="BN54" s="24"/>
      <c r="BO54" s="24"/>
      <c r="BP54" s="24"/>
      <c r="BQ54" s="24"/>
      <c r="BR54" s="43"/>
      <c r="BS54" s="24"/>
      <c r="BT54" s="24"/>
      <c r="BU54" s="24"/>
      <c r="BV54" s="132" t="e">
        <f>IF(#REF!="COMPLETO","OK","PENDIENTES")</f>
        <v>#REF!</v>
      </c>
      <c r="BW54" s="132"/>
      <c r="BX54" s="132"/>
      <c r="BY54" s="132"/>
      <c r="BZ54" s="132"/>
      <c r="CA54" s="132"/>
      <c r="CB54" s="132"/>
      <c r="CC54" s="22"/>
      <c r="CG54" s="24" t="s">
        <v>105</v>
      </c>
      <c r="CH54" s="24"/>
      <c r="CI54" s="24"/>
      <c r="CJ54" s="24"/>
    </row>
    <row r="55" spans="1:88" ht="15" customHeight="1">
      <c r="A55" s="18">
        <v>2017</v>
      </c>
      <c r="B55" s="18" t="str">
        <f>+INDEX(BDD!F:F,MATCH(P55,BDD!D:D,0))&amp;"-"&amp;INDEX(BDD!E:E,MATCH(P55,BDD!D:D,0))</f>
        <v>G-S</v>
      </c>
      <c r="C55" s="360" t="s">
        <v>484</v>
      </c>
      <c r="D55" s="150" t="s">
        <v>77</v>
      </c>
      <c r="E55" s="132"/>
      <c r="F55" s="24"/>
      <c r="G55" s="346">
        <v>8000000095</v>
      </c>
      <c r="H55" s="25" t="s">
        <v>683</v>
      </c>
      <c r="I55" s="329"/>
      <c r="J55" s="346">
        <v>8000000095</v>
      </c>
      <c r="K55" s="24"/>
      <c r="L55" s="24"/>
      <c r="M55" s="24"/>
      <c r="N55" s="340" t="s">
        <v>486</v>
      </c>
      <c r="O55" s="333">
        <v>207951</v>
      </c>
      <c r="P55" s="25" t="s">
        <v>354</v>
      </c>
      <c r="Q55" s="127" t="s">
        <v>167</v>
      </c>
      <c r="R55" s="128" t="s">
        <v>680</v>
      </c>
      <c r="S55" s="24">
        <v>42891</v>
      </c>
      <c r="T55" s="36" t="s">
        <v>19</v>
      </c>
      <c r="U55" s="125"/>
      <c r="V55" s="88" t="s">
        <v>684</v>
      </c>
      <c r="W55" s="129"/>
      <c r="X55" s="88">
        <v>42906</v>
      </c>
      <c r="Y55" s="130" t="s">
        <v>20</v>
      </c>
      <c r="Z55" s="133" t="s">
        <v>60</v>
      </c>
      <c r="AA55" s="133"/>
      <c r="AB55" s="148">
        <v>4990</v>
      </c>
      <c r="AC55" s="134">
        <v>220</v>
      </c>
      <c r="AD55" s="134"/>
      <c r="AE55" s="403">
        <f t="shared" si="0"/>
        <v>1097800</v>
      </c>
      <c r="AF55" s="132" t="str">
        <f>IF(W55=BDD!$P$1,IMPORTS!AB55/25,IF(W55=BDD!$P$2,IMPORTS!AB55/25,IF(IMPORTS!W55=BDD!$P$4,IMPORTS!AB55/25.5,"--")))</f>
        <v>--</v>
      </c>
      <c r="AG55" s="130" t="s">
        <v>46</v>
      </c>
      <c r="AH55" s="130"/>
      <c r="AI55" s="130" t="s">
        <v>100</v>
      </c>
      <c r="AJ55" s="130"/>
      <c r="AK55" s="130"/>
      <c r="AL55" s="135" t="s">
        <v>582</v>
      </c>
      <c r="AM55" s="314"/>
      <c r="AN55" s="26"/>
      <c r="AO55" s="26"/>
      <c r="AP55" s="26"/>
      <c r="AQ55" s="26">
        <v>42931</v>
      </c>
      <c r="AR55" s="24"/>
      <c r="AS55" s="24"/>
      <c r="AT55" s="24">
        <v>42938</v>
      </c>
      <c r="AU55" s="418">
        <f t="shared" si="1"/>
        <v>7</v>
      </c>
      <c r="AV55" s="418">
        <f t="shared" si="2"/>
        <v>2017</v>
      </c>
      <c r="AW55" s="24"/>
      <c r="AX55" s="28"/>
      <c r="AY55" s="28" t="s">
        <v>205</v>
      </c>
      <c r="AZ55" s="132" t="s">
        <v>25</v>
      </c>
      <c r="BA55" s="132"/>
      <c r="BB55" s="24"/>
      <c r="BC55" s="135">
        <v>7</v>
      </c>
      <c r="BD55" s="24">
        <v>42903</v>
      </c>
      <c r="BE55" s="135" t="s">
        <v>682</v>
      </c>
      <c r="BF55" s="135" t="s">
        <v>682</v>
      </c>
      <c r="BG55" s="135" t="s">
        <v>52</v>
      </c>
      <c r="BH55" s="135"/>
      <c r="BI55" s="314"/>
      <c r="BJ55" s="314"/>
      <c r="BK55" s="24"/>
      <c r="BL55" s="24"/>
      <c r="BM55" s="24"/>
      <c r="BN55" s="24"/>
      <c r="BO55" s="24"/>
      <c r="BP55" s="24"/>
      <c r="BQ55" s="24"/>
      <c r="BR55" s="43"/>
      <c r="BS55" s="24"/>
      <c r="BT55" s="24"/>
      <c r="BU55" s="24"/>
      <c r="BV55" s="132" t="e">
        <f>IF(#REF!="COMPLETO","OK","PENDIENTES")</f>
        <v>#REF!</v>
      </c>
      <c r="BW55" s="132"/>
      <c r="BX55" s="132"/>
      <c r="BY55" s="132"/>
      <c r="BZ55" s="132"/>
      <c r="CA55" s="132"/>
      <c r="CB55" s="132"/>
      <c r="CC55" s="22"/>
      <c r="CG55" s="24" t="s">
        <v>105</v>
      </c>
      <c r="CH55" s="24"/>
      <c r="CI55" s="24"/>
      <c r="CJ55" s="24"/>
    </row>
    <row r="56" spans="1:88" ht="15" customHeight="1">
      <c r="A56" s="18">
        <v>2017</v>
      </c>
      <c r="B56" s="18" t="str">
        <f>+INDEX(BDD!F:F,MATCH(P56,BDD!D:D,0))&amp;"-"&amp;INDEX(BDD!E:E,MATCH(P56,BDD!D:D,0))</f>
        <v>G-S</v>
      </c>
      <c r="C56" s="360" t="s">
        <v>484</v>
      </c>
      <c r="D56" s="150" t="s">
        <v>77</v>
      </c>
      <c r="E56" s="132"/>
      <c r="F56" s="24"/>
      <c r="G56" s="346">
        <v>8000000096</v>
      </c>
      <c r="H56" s="25" t="s">
        <v>685</v>
      </c>
      <c r="I56" s="329"/>
      <c r="J56" s="346">
        <v>8000000096</v>
      </c>
      <c r="K56" s="24"/>
      <c r="L56" s="24"/>
      <c r="M56" s="24"/>
      <c r="N56" s="340" t="s">
        <v>486</v>
      </c>
      <c r="O56" s="333">
        <v>207951</v>
      </c>
      <c r="P56" s="25" t="s">
        <v>354</v>
      </c>
      <c r="Q56" s="127" t="s">
        <v>167</v>
      </c>
      <c r="R56" s="128" t="s">
        <v>680</v>
      </c>
      <c r="S56" s="24">
        <v>42891</v>
      </c>
      <c r="T56" s="36" t="s">
        <v>19</v>
      </c>
      <c r="U56" s="125"/>
      <c r="V56" s="88" t="s">
        <v>686</v>
      </c>
      <c r="W56" s="129"/>
      <c r="X56" s="88">
        <v>42906</v>
      </c>
      <c r="Y56" s="130" t="s">
        <v>20</v>
      </c>
      <c r="Z56" s="133" t="s">
        <v>60</v>
      </c>
      <c r="AA56" s="133"/>
      <c r="AB56" s="148">
        <v>3080</v>
      </c>
      <c r="AC56" s="134">
        <v>220</v>
      </c>
      <c r="AD56" s="134"/>
      <c r="AE56" s="403">
        <f t="shared" si="0"/>
        <v>677600</v>
      </c>
      <c r="AF56" s="132" t="str">
        <f>IF(W56=BDD!$P$1,IMPORTS!AB56/25,IF(W56=BDD!$P$2,IMPORTS!AB56/25,IF(IMPORTS!W56=BDD!$P$4,IMPORTS!AB56/25.5,"--")))</f>
        <v>--</v>
      </c>
      <c r="AG56" s="130" t="s">
        <v>46</v>
      </c>
      <c r="AH56" s="130"/>
      <c r="AI56" s="130" t="s">
        <v>100</v>
      </c>
      <c r="AJ56" s="130"/>
      <c r="AK56" s="130"/>
      <c r="AL56" s="135" t="s">
        <v>582</v>
      </c>
      <c r="AM56" s="314"/>
      <c r="AN56" s="26"/>
      <c r="AO56" s="26"/>
      <c r="AP56" s="26"/>
      <c r="AQ56" s="26">
        <v>42939</v>
      </c>
      <c r="AR56" s="24"/>
      <c r="AS56" s="24"/>
      <c r="AT56" s="24">
        <v>42942</v>
      </c>
      <c r="AU56" s="418">
        <f t="shared" si="1"/>
        <v>7</v>
      </c>
      <c r="AV56" s="418">
        <f t="shared" si="2"/>
        <v>2017</v>
      </c>
      <c r="AW56" s="24"/>
      <c r="AX56" s="28"/>
      <c r="AY56" s="28" t="s">
        <v>205</v>
      </c>
      <c r="AZ56" s="132" t="s">
        <v>37</v>
      </c>
      <c r="BA56" s="132"/>
      <c r="BB56" s="24"/>
      <c r="BC56" s="135">
        <v>8</v>
      </c>
      <c r="BD56" s="24">
        <v>42903</v>
      </c>
      <c r="BE56" s="135" t="s">
        <v>682</v>
      </c>
      <c r="BF56" s="135" t="s">
        <v>682</v>
      </c>
      <c r="BG56" s="135" t="s">
        <v>52</v>
      </c>
      <c r="BH56" s="135"/>
      <c r="BI56" s="314"/>
      <c r="BJ56" s="314"/>
      <c r="BK56" s="24"/>
      <c r="BL56" s="24"/>
      <c r="BM56" s="24"/>
      <c r="BN56" s="24"/>
      <c r="BO56" s="24"/>
      <c r="BP56" s="24"/>
      <c r="BQ56" s="24"/>
      <c r="BR56" s="43"/>
      <c r="BS56" s="24"/>
      <c r="BT56" s="24"/>
      <c r="BU56" s="24"/>
      <c r="BV56" s="132" t="e">
        <f>IF(#REF!="COMPLETO","OK","PENDIENTES")</f>
        <v>#REF!</v>
      </c>
      <c r="BW56" s="132"/>
      <c r="BX56" s="132"/>
      <c r="BY56" s="132"/>
      <c r="BZ56" s="132"/>
      <c r="CA56" s="132"/>
      <c r="CB56" s="132"/>
      <c r="CC56" s="22"/>
      <c r="CG56" s="24" t="s">
        <v>105</v>
      </c>
      <c r="CH56" s="24"/>
      <c r="CI56" s="24"/>
      <c r="CJ56" s="24"/>
    </row>
    <row r="57" spans="1:88" ht="15" customHeight="1">
      <c r="A57" s="18">
        <v>2017</v>
      </c>
      <c r="B57" s="18" t="str">
        <f>+INDEX(BDD!F:F,MATCH(P57,BDD!D:D,0))&amp;"-"&amp;INDEX(BDD!E:E,MATCH(P57,BDD!D:D,0))</f>
        <v>G-S</v>
      </c>
      <c r="C57" s="360" t="s">
        <v>484</v>
      </c>
      <c r="D57" s="150" t="s">
        <v>77</v>
      </c>
      <c r="E57" s="132"/>
      <c r="F57" s="24"/>
      <c r="G57" s="346">
        <v>8000000097</v>
      </c>
      <c r="H57" s="25" t="s">
        <v>687</v>
      </c>
      <c r="I57" s="329"/>
      <c r="J57" s="346">
        <v>8000000097</v>
      </c>
      <c r="K57" s="24"/>
      <c r="L57" s="24"/>
      <c r="M57" s="24"/>
      <c r="N57" s="340" t="s">
        <v>486</v>
      </c>
      <c r="O57" s="333">
        <v>207951</v>
      </c>
      <c r="P57" s="25" t="s">
        <v>354</v>
      </c>
      <c r="Q57" s="127" t="s">
        <v>167</v>
      </c>
      <c r="R57" s="128" t="s">
        <v>680</v>
      </c>
      <c r="S57" s="24">
        <v>42891</v>
      </c>
      <c r="T57" s="36" t="s">
        <v>19</v>
      </c>
      <c r="U57" s="125"/>
      <c r="V57" s="88" t="s">
        <v>688</v>
      </c>
      <c r="W57" s="129"/>
      <c r="X57" s="88">
        <v>42906</v>
      </c>
      <c r="Y57" s="130" t="s">
        <v>20</v>
      </c>
      <c r="Z57" s="133" t="s">
        <v>60</v>
      </c>
      <c r="AA57" s="133"/>
      <c r="AB57" s="148">
        <v>1630</v>
      </c>
      <c r="AC57" s="134">
        <v>220</v>
      </c>
      <c r="AD57" s="134"/>
      <c r="AE57" s="403">
        <f t="shared" si="0"/>
        <v>358600</v>
      </c>
      <c r="AF57" s="132" t="str">
        <f>IF(W57=BDD!$P$1,IMPORTS!AB57/25,IF(W57=BDD!$P$2,IMPORTS!AB57/25,IF(IMPORTS!W57=BDD!$P$4,IMPORTS!AB57/25.5,"--")))</f>
        <v>--</v>
      </c>
      <c r="AG57" s="130" t="s">
        <v>46</v>
      </c>
      <c r="AH57" s="130"/>
      <c r="AI57" s="130" t="s">
        <v>100</v>
      </c>
      <c r="AJ57" s="130"/>
      <c r="AK57" s="130"/>
      <c r="AL57" s="135" t="s">
        <v>582</v>
      </c>
      <c r="AM57" s="314"/>
      <c r="AN57" s="26"/>
      <c r="AO57" s="26"/>
      <c r="AP57" s="26"/>
      <c r="AQ57" s="26">
        <v>42942</v>
      </c>
      <c r="AR57" s="24"/>
      <c r="AS57" s="24"/>
      <c r="AT57" s="24">
        <v>42945</v>
      </c>
      <c r="AU57" s="418">
        <f t="shared" si="1"/>
        <v>7</v>
      </c>
      <c r="AV57" s="418">
        <f t="shared" si="2"/>
        <v>2017</v>
      </c>
      <c r="AW57" s="24"/>
      <c r="AX57" s="28"/>
      <c r="AY57" s="28" t="s">
        <v>205</v>
      </c>
      <c r="AZ57" s="132" t="s">
        <v>50</v>
      </c>
      <c r="BA57" s="132"/>
      <c r="BB57" s="24"/>
      <c r="BC57" s="135">
        <v>9</v>
      </c>
      <c r="BD57" s="24">
        <v>42903</v>
      </c>
      <c r="BE57" s="135" t="s">
        <v>682</v>
      </c>
      <c r="BF57" s="135" t="s">
        <v>682</v>
      </c>
      <c r="BG57" s="135" t="s">
        <v>52</v>
      </c>
      <c r="BH57" s="135"/>
      <c r="BI57" s="314"/>
      <c r="BJ57" s="314"/>
      <c r="BK57" s="24"/>
      <c r="BL57" s="24"/>
      <c r="BM57" s="24"/>
      <c r="BN57" s="24"/>
      <c r="BO57" s="24"/>
      <c r="BP57" s="24"/>
      <c r="BQ57" s="24"/>
      <c r="BR57" s="43"/>
      <c r="BS57" s="24"/>
      <c r="BT57" s="24"/>
      <c r="BU57" s="24"/>
      <c r="BV57" s="132" t="e">
        <f>IF(#REF!="COMPLETO","OK","PENDIENTES")</f>
        <v>#REF!</v>
      </c>
      <c r="BW57" s="132"/>
      <c r="BX57" s="132"/>
      <c r="BY57" s="132"/>
      <c r="BZ57" s="132"/>
      <c r="CA57" s="132"/>
      <c r="CB57" s="132"/>
      <c r="CC57" s="22"/>
      <c r="CG57" s="24" t="s">
        <v>105</v>
      </c>
      <c r="CH57" s="24"/>
      <c r="CI57" s="24"/>
      <c r="CJ57" s="24"/>
    </row>
    <row r="58" spans="1:88" ht="15" customHeight="1">
      <c r="A58" s="18">
        <v>2017</v>
      </c>
      <c r="B58" s="18" t="str">
        <f>+INDEX(BDD!F:F,MATCH(P58,BDD!D:D,0))&amp;"-"&amp;INDEX(BDD!E:E,MATCH(P58,BDD!D:D,0))</f>
        <v>G-S</v>
      </c>
      <c r="C58" s="360" t="s">
        <v>484</v>
      </c>
      <c r="D58" s="150" t="s">
        <v>77</v>
      </c>
      <c r="E58" s="132"/>
      <c r="F58" s="24"/>
      <c r="G58" s="346">
        <v>8000000098</v>
      </c>
      <c r="H58" s="25" t="s">
        <v>689</v>
      </c>
      <c r="I58" s="329"/>
      <c r="J58" s="346">
        <v>8000000098</v>
      </c>
      <c r="K58" s="24"/>
      <c r="L58" s="24"/>
      <c r="M58" s="24"/>
      <c r="N58" s="340" t="s">
        <v>486</v>
      </c>
      <c r="O58" s="333">
        <v>207951</v>
      </c>
      <c r="P58" s="25" t="s">
        <v>354</v>
      </c>
      <c r="Q58" s="127" t="s">
        <v>167</v>
      </c>
      <c r="R58" s="128" t="s">
        <v>680</v>
      </c>
      <c r="S58" s="24">
        <v>42891</v>
      </c>
      <c r="T58" s="36" t="s">
        <v>19</v>
      </c>
      <c r="U58" s="125"/>
      <c r="V58" s="88" t="s">
        <v>690</v>
      </c>
      <c r="W58" s="129"/>
      <c r="X58" s="88">
        <v>42906</v>
      </c>
      <c r="Y58" s="130" t="s">
        <v>20</v>
      </c>
      <c r="Z58" s="133" t="s">
        <v>60</v>
      </c>
      <c r="AA58" s="133"/>
      <c r="AB58" s="148">
        <v>700</v>
      </c>
      <c r="AC58" s="134">
        <v>220</v>
      </c>
      <c r="AD58" s="134"/>
      <c r="AE58" s="403">
        <f t="shared" si="0"/>
        <v>154000</v>
      </c>
      <c r="AF58" s="132" t="str">
        <f>IF(W58=BDD!$P$1,IMPORTS!AB58/25,IF(W58=BDD!$P$2,IMPORTS!AB58/25,IF(IMPORTS!W58=BDD!$P$4,IMPORTS!AB58/25.5,"--")))</f>
        <v>--</v>
      </c>
      <c r="AG58" s="130" t="s">
        <v>46</v>
      </c>
      <c r="AH58" s="130"/>
      <c r="AI58" s="130" t="s">
        <v>100</v>
      </c>
      <c r="AJ58" s="130"/>
      <c r="AK58" s="130"/>
      <c r="AL58" s="135" t="s">
        <v>582</v>
      </c>
      <c r="AM58" s="314"/>
      <c r="AN58" s="26"/>
      <c r="AO58" s="26"/>
      <c r="AP58" s="26"/>
      <c r="AQ58" s="26">
        <v>42944</v>
      </c>
      <c r="AR58" s="24"/>
      <c r="AS58" s="24"/>
      <c r="AT58" s="24">
        <v>42946</v>
      </c>
      <c r="AU58" s="418">
        <f t="shared" si="1"/>
        <v>7</v>
      </c>
      <c r="AV58" s="418">
        <f t="shared" si="2"/>
        <v>2017</v>
      </c>
      <c r="AW58" s="24"/>
      <c r="AX58" s="28"/>
      <c r="AY58" s="28" t="s">
        <v>205</v>
      </c>
      <c r="AZ58" s="132" t="s">
        <v>62</v>
      </c>
      <c r="BA58" s="132"/>
      <c r="BB58" s="24"/>
      <c r="BC58" s="135">
        <v>10</v>
      </c>
      <c r="BD58" s="24">
        <v>42903</v>
      </c>
      <c r="BE58" s="135" t="s">
        <v>682</v>
      </c>
      <c r="BF58" s="135" t="s">
        <v>682</v>
      </c>
      <c r="BG58" s="135" t="s">
        <v>52</v>
      </c>
      <c r="BH58" s="135"/>
      <c r="BI58" s="314"/>
      <c r="BJ58" s="314"/>
      <c r="BK58" s="24"/>
      <c r="BL58" s="24"/>
      <c r="BM58" s="24"/>
      <c r="BN58" s="24"/>
      <c r="BO58" s="24"/>
      <c r="BP58" s="24"/>
      <c r="BQ58" s="24"/>
      <c r="BR58" s="43"/>
      <c r="BS58" s="24"/>
      <c r="BT58" s="24"/>
      <c r="BU58" s="24"/>
      <c r="BV58" s="132" t="e">
        <f>IF(#REF!="COMPLETO","OK","PENDIENTES")</f>
        <v>#REF!</v>
      </c>
      <c r="BW58" s="132"/>
      <c r="BX58" s="132"/>
      <c r="BY58" s="132"/>
      <c r="BZ58" s="132"/>
      <c r="CA58" s="132"/>
      <c r="CB58" s="132"/>
      <c r="CC58" s="22"/>
      <c r="CG58" s="24" t="s">
        <v>105</v>
      </c>
      <c r="CH58" s="24"/>
      <c r="CI58" s="24"/>
      <c r="CJ58" s="24"/>
    </row>
    <row r="59" spans="1:88" ht="15" customHeight="1">
      <c r="A59" s="18">
        <v>2017</v>
      </c>
      <c r="B59" s="18" t="str">
        <f>+INDEX(BDD!F:F,MATCH(P59,BDD!D:D,0))&amp;"-"&amp;INDEX(BDD!E:E,MATCH(P59,BDD!D:D,0))</f>
        <v>G-S</v>
      </c>
      <c r="C59" s="360" t="s">
        <v>484</v>
      </c>
      <c r="D59" s="150" t="s">
        <v>77</v>
      </c>
      <c r="E59" s="132"/>
      <c r="F59" s="24"/>
      <c r="G59" s="346">
        <v>8000000099</v>
      </c>
      <c r="H59" s="25" t="s">
        <v>691</v>
      </c>
      <c r="I59" s="329"/>
      <c r="J59" s="346">
        <v>8000000099</v>
      </c>
      <c r="K59" s="24"/>
      <c r="L59" s="24"/>
      <c r="M59" s="24"/>
      <c r="N59" s="340" t="s">
        <v>486</v>
      </c>
      <c r="O59" s="333">
        <v>207485</v>
      </c>
      <c r="P59" s="25" t="s">
        <v>353</v>
      </c>
      <c r="Q59" s="127" t="s">
        <v>306</v>
      </c>
      <c r="R59" s="128" t="s">
        <v>692</v>
      </c>
      <c r="S59" s="24">
        <v>42878</v>
      </c>
      <c r="T59" s="36" t="s">
        <v>19</v>
      </c>
      <c r="U59" s="125"/>
      <c r="V59" s="88" t="s">
        <v>693</v>
      </c>
      <c r="W59" s="129"/>
      <c r="X59" s="88">
        <v>42951</v>
      </c>
      <c r="Y59" s="130" t="s">
        <v>20</v>
      </c>
      <c r="Z59" s="133" t="s">
        <v>60</v>
      </c>
      <c r="AA59" s="133"/>
      <c r="AB59" s="148">
        <v>1540</v>
      </c>
      <c r="AC59" s="134">
        <v>240</v>
      </c>
      <c r="AD59" s="134"/>
      <c r="AE59" s="403">
        <f t="shared" si="0"/>
        <v>369600</v>
      </c>
      <c r="AF59" s="132" t="str">
        <f>IF(W59=BDD!$P$1,IMPORTS!AB59/25,IF(W59=BDD!$P$2,IMPORTS!AB59/25,IF(IMPORTS!W59=BDD!$P$4,IMPORTS!AB59/25.5,"--")))</f>
        <v>--</v>
      </c>
      <c r="AG59" s="130" t="s">
        <v>46</v>
      </c>
      <c r="AH59" s="130"/>
      <c r="AI59" s="130" t="s">
        <v>100</v>
      </c>
      <c r="AJ59" s="130"/>
      <c r="AK59" s="130"/>
      <c r="AL59" s="135" t="s">
        <v>671</v>
      </c>
      <c r="AM59" s="314"/>
      <c r="AN59" s="26"/>
      <c r="AO59" s="26"/>
      <c r="AP59" s="26"/>
      <c r="AQ59" s="26">
        <v>42977</v>
      </c>
      <c r="AR59" s="24"/>
      <c r="AS59" s="24"/>
      <c r="AT59" s="24">
        <v>42978</v>
      </c>
      <c r="AU59" s="418">
        <f t="shared" si="1"/>
        <v>8</v>
      </c>
      <c r="AV59" s="418">
        <f t="shared" si="2"/>
        <v>2017</v>
      </c>
      <c r="AW59" s="24"/>
      <c r="AX59" s="28"/>
      <c r="AY59" s="28" t="s">
        <v>230</v>
      </c>
      <c r="AZ59" s="132" t="s">
        <v>9</v>
      </c>
      <c r="BA59" s="132"/>
      <c r="BB59" s="24"/>
      <c r="BC59" s="135" t="s">
        <v>694</v>
      </c>
      <c r="BD59" s="24">
        <v>42937</v>
      </c>
      <c r="BE59" s="135" t="s">
        <v>695</v>
      </c>
      <c r="BF59" s="135" t="s">
        <v>695</v>
      </c>
      <c r="BG59" s="135" t="s">
        <v>52</v>
      </c>
      <c r="BH59" s="135"/>
      <c r="BI59" s="314"/>
      <c r="BJ59" s="314"/>
      <c r="BK59" s="24"/>
      <c r="BL59" s="24"/>
      <c r="BM59" s="24"/>
      <c r="BN59" s="24"/>
      <c r="BO59" s="24"/>
      <c r="BP59" s="24"/>
      <c r="BQ59" s="24"/>
      <c r="BR59" s="43"/>
      <c r="BS59" s="24"/>
      <c r="BT59" s="24"/>
      <c r="BU59" s="24"/>
      <c r="BV59" s="132" t="e">
        <f>IF(#REF!="COMPLETO","OK","PENDIENTES")</f>
        <v>#REF!</v>
      </c>
      <c r="BW59" s="132"/>
      <c r="BX59" s="132"/>
      <c r="BY59" s="132"/>
      <c r="BZ59" s="132"/>
      <c r="CA59" s="132"/>
      <c r="CB59" s="132"/>
      <c r="CC59" s="22"/>
      <c r="CG59" s="24" t="s">
        <v>105</v>
      </c>
      <c r="CH59" s="24"/>
      <c r="CI59" s="24"/>
      <c r="CJ59" s="24"/>
    </row>
    <row r="60" spans="1:88" ht="15" customHeight="1">
      <c r="A60" s="18">
        <v>2017</v>
      </c>
      <c r="B60" s="18" t="str">
        <f>+INDEX(BDD!F:F,MATCH(P60,BDD!D:D,0))&amp;"-"&amp;INDEX(BDD!E:E,MATCH(P60,BDD!D:D,0))</f>
        <v>G-S</v>
      </c>
      <c r="C60" s="360" t="s">
        <v>484</v>
      </c>
      <c r="D60" s="150" t="s">
        <v>77</v>
      </c>
      <c r="E60" s="132"/>
      <c r="F60" s="24"/>
      <c r="G60" s="346">
        <v>8000000100</v>
      </c>
      <c r="H60" s="25" t="s">
        <v>696</v>
      </c>
      <c r="I60" s="329"/>
      <c r="J60" s="346">
        <v>8000000100</v>
      </c>
      <c r="K60" s="24"/>
      <c r="L60" s="24"/>
      <c r="M60" s="24"/>
      <c r="N60" s="340" t="s">
        <v>486</v>
      </c>
      <c r="O60" s="333">
        <v>207485</v>
      </c>
      <c r="P60" s="25" t="s">
        <v>353</v>
      </c>
      <c r="Q60" s="127" t="s">
        <v>306</v>
      </c>
      <c r="R60" s="128" t="s">
        <v>692</v>
      </c>
      <c r="S60" s="24">
        <v>42878</v>
      </c>
      <c r="T60" s="36" t="s">
        <v>19</v>
      </c>
      <c r="U60" s="125"/>
      <c r="V60" s="88" t="s">
        <v>697</v>
      </c>
      <c r="W60" s="129"/>
      <c r="X60" s="88">
        <v>42951</v>
      </c>
      <c r="Y60" s="130" t="s">
        <v>20</v>
      </c>
      <c r="Z60" s="133" t="s">
        <v>60</v>
      </c>
      <c r="AA60" s="133"/>
      <c r="AB60" s="148">
        <v>1100</v>
      </c>
      <c r="AC60" s="134">
        <v>240</v>
      </c>
      <c r="AD60" s="134"/>
      <c r="AE60" s="403">
        <f t="shared" si="0"/>
        <v>264000</v>
      </c>
      <c r="AF60" s="132" t="str">
        <f>IF(W60=BDD!$P$1,IMPORTS!AB60/25,IF(W60=BDD!$P$2,IMPORTS!AB60/25,IF(IMPORTS!W60=BDD!$P$4,IMPORTS!AB60/25.5,"--")))</f>
        <v>--</v>
      </c>
      <c r="AG60" s="130" t="s">
        <v>46</v>
      </c>
      <c r="AH60" s="130"/>
      <c r="AI60" s="130" t="s">
        <v>100</v>
      </c>
      <c r="AJ60" s="130"/>
      <c r="AK60" s="130"/>
      <c r="AL60" s="135" t="s">
        <v>671</v>
      </c>
      <c r="AM60" s="314"/>
      <c r="AN60" s="26"/>
      <c r="AO60" s="26"/>
      <c r="AP60" s="26"/>
      <c r="AQ60" s="26">
        <f>+AQ59+2</f>
        <v>42979</v>
      </c>
      <c r="AR60" s="24"/>
      <c r="AS60" s="24"/>
      <c r="AT60" s="24">
        <v>42982</v>
      </c>
      <c r="AU60" s="418">
        <f t="shared" si="1"/>
        <v>9</v>
      </c>
      <c r="AV60" s="418">
        <f t="shared" si="2"/>
        <v>2017</v>
      </c>
      <c r="AW60" s="24"/>
      <c r="AX60" s="28"/>
      <c r="AY60" s="28" t="s">
        <v>230</v>
      </c>
      <c r="AZ60" s="132" t="s">
        <v>25</v>
      </c>
      <c r="BA60" s="132"/>
      <c r="BB60" s="24"/>
      <c r="BC60" s="135" t="s">
        <v>698</v>
      </c>
      <c r="BD60" s="24">
        <v>42937</v>
      </c>
      <c r="BE60" s="135" t="s">
        <v>695</v>
      </c>
      <c r="BF60" s="135" t="s">
        <v>695</v>
      </c>
      <c r="BG60" s="135" t="s">
        <v>52</v>
      </c>
      <c r="BH60" s="135"/>
      <c r="BI60" s="314"/>
      <c r="BJ60" s="314"/>
      <c r="BK60" s="24"/>
      <c r="BL60" s="24"/>
      <c r="BM60" s="24"/>
      <c r="BN60" s="24"/>
      <c r="BO60" s="24"/>
      <c r="BP60" s="24"/>
      <c r="BQ60" s="24"/>
      <c r="BR60" s="43"/>
      <c r="BS60" s="24"/>
      <c r="BT60" s="24"/>
      <c r="BU60" s="24"/>
      <c r="BV60" s="132" t="e">
        <f>IF(#REF!="COMPLETO","OK","PENDIENTES")</f>
        <v>#REF!</v>
      </c>
      <c r="BW60" s="132"/>
      <c r="BX60" s="132"/>
      <c r="BY60" s="132"/>
      <c r="BZ60" s="132"/>
      <c r="CA60" s="132"/>
      <c r="CB60" s="132"/>
      <c r="CC60" s="22"/>
      <c r="CG60" s="24" t="s">
        <v>105</v>
      </c>
      <c r="CH60" s="24"/>
      <c r="CI60" s="24"/>
      <c r="CJ60" s="24"/>
    </row>
    <row r="61" spans="1:88" ht="15" customHeight="1">
      <c r="A61" s="18">
        <v>2017</v>
      </c>
      <c r="B61" s="18" t="str">
        <f>+INDEX(BDD!F:F,MATCH(P61,BDD!D:D,0))&amp;"-"&amp;INDEX(BDD!E:E,MATCH(P61,BDD!D:D,0))</f>
        <v>G-S</v>
      </c>
      <c r="C61" s="360" t="s">
        <v>484</v>
      </c>
      <c r="D61" s="150" t="s">
        <v>77</v>
      </c>
      <c r="E61" s="132"/>
      <c r="F61" s="24"/>
      <c r="G61" s="346">
        <v>8000000101</v>
      </c>
      <c r="H61" s="25" t="s">
        <v>699</v>
      </c>
      <c r="I61" s="329"/>
      <c r="J61" s="346">
        <v>8000000101</v>
      </c>
      <c r="K61" s="24"/>
      <c r="L61" s="24"/>
      <c r="M61" s="24"/>
      <c r="N61" s="340" t="s">
        <v>486</v>
      </c>
      <c r="O61" s="333">
        <v>207485</v>
      </c>
      <c r="P61" s="25" t="s">
        <v>353</v>
      </c>
      <c r="Q61" s="127" t="s">
        <v>306</v>
      </c>
      <c r="R61" s="128" t="s">
        <v>692</v>
      </c>
      <c r="S61" s="24">
        <v>42878</v>
      </c>
      <c r="T61" s="36" t="s">
        <v>19</v>
      </c>
      <c r="U61" s="125"/>
      <c r="V61" s="88" t="s">
        <v>700</v>
      </c>
      <c r="W61" s="129"/>
      <c r="X61" s="88">
        <v>42951</v>
      </c>
      <c r="Y61" s="130" t="s">
        <v>20</v>
      </c>
      <c r="Z61" s="133" t="s">
        <v>60</v>
      </c>
      <c r="AA61" s="133"/>
      <c r="AB61" s="148">
        <v>440</v>
      </c>
      <c r="AC61" s="134">
        <v>240</v>
      </c>
      <c r="AD61" s="134"/>
      <c r="AE61" s="403">
        <f t="shared" si="0"/>
        <v>105600</v>
      </c>
      <c r="AF61" s="132" t="str">
        <f>IF(W61=BDD!$P$1,IMPORTS!AB61/25,IF(W61=BDD!$P$2,IMPORTS!AB61/25,IF(IMPORTS!W61=BDD!$P$4,IMPORTS!AB61/25.5,"--")))</f>
        <v>--</v>
      </c>
      <c r="AG61" s="130" t="s">
        <v>46</v>
      </c>
      <c r="AH61" s="130"/>
      <c r="AI61" s="130" t="s">
        <v>100</v>
      </c>
      <c r="AJ61" s="130"/>
      <c r="AK61" s="130"/>
      <c r="AL61" s="135" t="s">
        <v>671</v>
      </c>
      <c r="AM61" s="314"/>
      <c r="AN61" s="26"/>
      <c r="AO61" s="26"/>
      <c r="AP61" s="26"/>
      <c r="AQ61" s="26">
        <v>42983</v>
      </c>
      <c r="AR61" s="24"/>
      <c r="AS61" s="24"/>
      <c r="AT61" s="24">
        <v>42984</v>
      </c>
      <c r="AU61" s="418">
        <f t="shared" si="1"/>
        <v>9</v>
      </c>
      <c r="AV61" s="418">
        <f t="shared" si="2"/>
        <v>2017</v>
      </c>
      <c r="AW61" s="24"/>
      <c r="AX61" s="28"/>
      <c r="AY61" s="28" t="s">
        <v>230</v>
      </c>
      <c r="AZ61" s="132" t="s">
        <v>37</v>
      </c>
      <c r="BA61" s="132"/>
      <c r="BB61" s="24"/>
      <c r="BC61" s="135" t="s">
        <v>701</v>
      </c>
      <c r="BD61" s="24">
        <v>42937</v>
      </c>
      <c r="BE61" s="135" t="s">
        <v>695</v>
      </c>
      <c r="BF61" s="135" t="s">
        <v>695</v>
      </c>
      <c r="BG61" s="135" t="s">
        <v>52</v>
      </c>
      <c r="BH61" s="135"/>
      <c r="BI61" s="314"/>
      <c r="BJ61" s="314"/>
      <c r="BK61" s="24"/>
      <c r="BL61" s="24"/>
      <c r="BM61" s="24"/>
      <c r="BN61" s="24"/>
      <c r="BO61" s="24"/>
      <c r="BP61" s="24"/>
      <c r="BQ61" s="24"/>
      <c r="BR61" s="43"/>
      <c r="BS61" s="24"/>
      <c r="BT61" s="24"/>
      <c r="BU61" s="24"/>
      <c r="BV61" s="132" t="e">
        <f>IF(#REF!="COMPLETO","OK","PENDIENTES")</f>
        <v>#REF!</v>
      </c>
      <c r="BW61" s="132"/>
      <c r="BX61" s="132"/>
      <c r="BY61" s="132"/>
      <c r="BZ61" s="132"/>
      <c r="CA61" s="132"/>
      <c r="CB61" s="132"/>
      <c r="CC61" s="22"/>
      <c r="CG61" s="24" t="s">
        <v>105</v>
      </c>
      <c r="CH61" s="24"/>
      <c r="CI61" s="24"/>
      <c r="CJ61" s="24"/>
    </row>
    <row r="62" spans="1:88" ht="15" customHeight="1">
      <c r="A62" s="18">
        <v>2017</v>
      </c>
      <c r="B62" s="18" t="str">
        <f>+INDEX(BDD!F:F,MATCH(P62,BDD!D:D,0))&amp;"-"&amp;INDEX(BDD!E:E,MATCH(P62,BDD!D:D,0))</f>
        <v>G-S</v>
      </c>
      <c r="C62" s="360" t="s">
        <v>484</v>
      </c>
      <c r="D62" s="150" t="s">
        <v>77</v>
      </c>
      <c r="E62" s="132"/>
      <c r="F62" s="24"/>
      <c r="G62" s="346">
        <v>8000000102</v>
      </c>
      <c r="H62" s="25" t="s">
        <v>702</v>
      </c>
      <c r="I62" s="329"/>
      <c r="J62" s="346">
        <v>8000000102</v>
      </c>
      <c r="K62" s="24"/>
      <c r="L62" s="24"/>
      <c r="M62" s="24"/>
      <c r="N62" s="340" t="s">
        <v>486</v>
      </c>
      <c r="O62" s="333">
        <v>207485</v>
      </c>
      <c r="P62" s="25" t="s">
        <v>353</v>
      </c>
      <c r="Q62" s="127" t="s">
        <v>306</v>
      </c>
      <c r="R62" s="128" t="s">
        <v>692</v>
      </c>
      <c r="S62" s="24">
        <v>42878</v>
      </c>
      <c r="T62" s="36" t="s">
        <v>19</v>
      </c>
      <c r="U62" s="125"/>
      <c r="V62" s="88" t="s">
        <v>703</v>
      </c>
      <c r="W62" s="129"/>
      <c r="X62" s="88">
        <v>42951</v>
      </c>
      <c r="Y62" s="130" t="s">
        <v>20</v>
      </c>
      <c r="Z62" s="133" t="s">
        <v>60</v>
      </c>
      <c r="AA62" s="133"/>
      <c r="AB62" s="148">
        <v>1320</v>
      </c>
      <c r="AC62" s="134">
        <v>240</v>
      </c>
      <c r="AD62" s="134"/>
      <c r="AE62" s="403">
        <f t="shared" si="0"/>
        <v>316800</v>
      </c>
      <c r="AF62" s="132" t="str">
        <f>IF(W62=BDD!$P$1,IMPORTS!AB62/25,IF(W62=BDD!$P$2,IMPORTS!AB62/25,IF(IMPORTS!W62=BDD!$P$4,IMPORTS!AB62/25.5,"--")))</f>
        <v>--</v>
      </c>
      <c r="AG62" s="130" t="s">
        <v>46</v>
      </c>
      <c r="AH62" s="130"/>
      <c r="AI62" s="130" t="s">
        <v>100</v>
      </c>
      <c r="AJ62" s="130"/>
      <c r="AK62" s="130"/>
      <c r="AL62" s="135" t="s">
        <v>671</v>
      </c>
      <c r="AM62" s="314"/>
      <c r="AN62" s="26"/>
      <c r="AO62" s="26"/>
      <c r="AP62" s="26"/>
      <c r="AQ62" s="26">
        <v>42988</v>
      </c>
      <c r="AR62" s="24"/>
      <c r="AS62" s="24"/>
      <c r="AT62" s="24">
        <v>42989</v>
      </c>
      <c r="AU62" s="418">
        <f t="shared" si="1"/>
        <v>9</v>
      </c>
      <c r="AV62" s="418">
        <f t="shared" si="2"/>
        <v>2017</v>
      </c>
      <c r="AW62" s="24"/>
      <c r="AX62" s="28"/>
      <c r="AY62" s="28" t="s">
        <v>230</v>
      </c>
      <c r="AZ62" s="132" t="s">
        <v>62</v>
      </c>
      <c r="BA62" s="132"/>
      <c r="BB62" s="24"/>
      <c r="BC62" s="135" t="s">
        <v>704</v>
      </c>
      <c r="BD62" s="24">
        <v>42937</v>
      </c>
      <c r="BE62" s="135" t="s">
        <v>695</v>
      </c>
      <c r="BF62" s="135" t="s">
        <v>695</v>
      </c>
      <c r="BG62" s="135" t="s">
        <v>52</v>
      </c>
      <c r="BH62" s="135"/>
      <c r="BI62" s="314"/>
      <c r="BJ62" s="314"/>
      <c r="BK62" s="24"/>
      <c r="BL62" s="24"/>
      <c r="BM62" s="24"/>
      <c r="BN62" s="24"/>
      <c r="BO62" s="24"/>
      <c r="BP62" s="24"/>
      <c r="BQ62" s="24"/>
      <c r="BR62" s="43"/>
      <c r="BS62" s="24"/>
      <c r="BT62" s="24"/>
      <c r="BU62" s="24"/>
      <c r="BV62" s="132" t="e">
        <f>IF(#REF!="COMPLETO","OK","PENDIENTES")</f>
        <v>#REF!</v>
      </c>
      <c r="BW62" s="132"/>
      <c r="BX62" s="132"/>
      <c r="BY62" s="132"/>
      <c r="BZ62" s="132"/>
      <c r="CA62" s="132"/>
      <c r="CB62" s="132"/>
      <c r="CC62" s="22"/>
      <c r="CG62" s="24" t="s">
        <v>105</v>
      </c>
      <c r="CH62" s="24"/>
      <c r="CI62" s="24"/>
      <c r="CJ62" s="24"/>
    </row>
    <row r="63" spans="1:88" ht="15" customHeight="1">
      <c r="A63" s="18">
        <v>2017</v>
      </c>
      <c r="B63" s="18" t="str">
        <f>+INDEX(BDD!F:F,MATCH(P63,BDD!D:D,0))&amp;"-"&amp;INDEX(BDD!E:E,MATCH(P63,BDD!D:D,0))</f>
        <v>G-S</v>
      </c>
      <c r="C63" s="360" t="s">
        <v>484</v>
      </c>
      <c r="D63" s="150" t="s">
        <v>77</v>
      </c>
      <c r="E63" s="132"/>
      <c r="F63" s="24"/>
      <c r="G63" s="346">
        <v>8000000105</v>
      </c>
      <c r="H63" s="25" t="s">
        <v>705</v>
      </c>
      <c r="I63" s="329"/>
      <c r="J63" s="346">
        <v>8000000105</v>
      </c>
      <c r="K63" s="24"/>
      <c r="L63" s="24"/>
      <c r="M63" s="24"/>
      <c r="N63" s="340" t="s">
        <v>486</v>
      </c>
      <c r="O63" s="333">
        <v>206569</v>
      </c>
      <c r="P63" s="25" t="s">
        <v>142</v>
      </c>
      <c r="Q63" s="127" t="s">
        <v>306</v>
      </c>
      <c r="R63" s="128" t="s">
        <v>706</v>
      </c>
      <c r="S63" s="24">
        <v>42878</v>
      </c>
      <c r="T63" s="36" t="s">
        <v>19</v>
      </c>
      <c r="U63" s="125"/>
      <c r="V63" s="88" t="s">
        <v>707</v>
      </c>
      <c r="W63" s="129"/>
      <c r="X63" s="88">
        <v>42951</v>
      </c>
      <c r="Y63" s="130" t="s">
        <v>20</v>
      </c>
      <c r="Z63" s="133" t="s">
        <v>60</v>
      </c>
      <c r="AA63" s="133"/>
      <c r="AB63" s="148">
        <v>880</v>
      </c>
      <c r="AC63" s="134">
        <v>378</v>
      </c>
      <c r="AD63" s="134"/>
      <c r="AE63" s="403">
        <f t="shared" si="0"/>
        <v>332640</v>
      </c>
      <c r="AF63" s="132" t="str">
        <f>IF(W63=BDD!$P$1,IMPORTS!AB63/25,IF(W63=BDD!$P$2,IMPORTS!AB63/25,IF(IMPORTS!W63=BDD!$P$4,IMPORTS!AB63/25.5,"--")))</f>
        <v>--</v>
      </c>
      <c r="AG63" s="130" t="s">
        <v>46</v>
      </c>
      <c r="AH63" s="130"/>
      <c r="AI63" s="130" t="s">
        <v>100</v>
      </c>
      <c r="AJ63" s="130"/>
      <c r="AK63" s="130"/>
      <c r="AL63" s="135" t="s">
        <v>671</v>
      </c>
      <c r="AM63" s="314"/>
      <c r="AN63" s="26"/>
      <c r="AO63" s="26"/>
      <c r="AP63" s="26"/>
      <c r="AQ63" s="26">
        <v>42977</v>
      </c>
      <c r="AR63" s="24"/>
      <c r="AS63" s="24"/>
      <c r="AT63" s="24">
        <v>42978</v>
      </c>
      <c r="AU63" s="418">
        <f t="shared" si="1"/>
        <v>8</v>
      </c>
      <c r="AV63" s="418">
        <f t="shared" si="2"/>
        <v>2017</v>
      </c>
      <c r="AW63" s="24"/>
      <c r="AX63" s="28"/>
      <c r="AY63" s="28" t="s">
        <v>230</v>
      </c>
      <c r="AZ63" s="132" t="s">
        <v>9</v>
      </c>
      <c r="BA63" s="132"/>
      <c r="BB63" s="24"/>
      <c r="BC63" s="135">
        <v>1</v>
      </c>
      <c r="BD63" s="24">
        <v>42942</v>
      </c>
      <c r="BE63" s="135" t="s">
        <v>695</v>
      </c>
      <c r="BF63" s="135" t="s">
        <v>695</v>
      </c>
      <c r="BG63" s="135" t="s">
        <v>52</v>
      </c>
      <c r="BH63" s="135"/>
      <c r="BI63" s="314"/>
      <c r="BJ63" s="314"/>
      <c r="BK63" s="24"/>
      <c r="BL63" s="24"/>
      <c r="BM63" s="24"/>
      <c r="BN63" s="24"/>
      <c r="BO63" s="24"/>
      <c r="BP63" s="24"/>
      <c r="BQ63" s="24"/>
      <c r="BR63" s="43"/>
      <c r="BS63" s="24"/>
      <c r="BT63" s="24"/>
      <c r="BU63" s="24"/>
      <c r="BV63" s="132" t="e">
        <f>IF(#REF!="COMPLETO","OK","PENDIENTES")</f>
        <v>#REF!</v>
      </c>
      <c r="BW63" s="132"/>
      <c r="BX63" s="132"/>
      <c r="BY63" s="132"/>
      <c r="BZ63" s="132"/>
      <c r="CA63" s="132"/>
      <c r="CB63" s="132"/>
      <c r="CC63" s="22"/>
      <c r="CG63" s="24" t="s">
        <v>105</v>
      </c>
      <c r="CH63" s="24"/>
      <c r="CI63" s="24"/>
      <c r="CJ63" s="24"/>
    </row>
    <row r="64" spans="1:88" ht="15" customHeight="1">
      <c r="A64" s="18">
        <v>2017</v>
      </c>
      <c r="B64" s="18" t="str">
        <f>+INDEX(BDD!F:F,MATCH(P64,BDD!D:D,0))&amp;"-"&amp;INDEX(BDD!E:E,MATCH(P64,BDD!D:D,0))</f>
        <v>G-S</v>
      </c>
      <c r="C64" s="360" t="s">
        <v>484</v>
      </c>
      <c r="D64" s="150" t="s">
        <v>77</v>
      </c>
      <c r="E64" s="132"/>
      <c r="F64" s="24"/>
      <c r="G64" s="346">
        <v>8000000104</v>
      </c>
      <c r="H64" s="25" t="s">
        <v>708</v>
      </c>
      <c r="I64" s="329"/>
      <c r="J64" s="346">
        <v>8000000104</v>
      </c>
      <c r="K64" s="24"/>
      <c r="L64" s="24"/>
      <c r="M64" s="24"/>
      <c r="N64" s="340" t="s">
        <v>486</v>
      </c>
      <c r="O64" s="333">
        <v>206569</v>
      </c>
      <c r="P64" s="25" t="s">
        <v>142</v>
      </c>
      <c r="Q64" s="127" t="s">
        <v>306</v>
      </c>
      <c r="R64" s="128" t="s">
        <v>706</v>
      </c>
      <c r="S64" s="24">
        <v>42878</v>
      </c>
      <c r="T64" s="36" t="s">
        <v>19</v>
      </c>
      <c r="U64" s="125"/>
      <c r="V64" s="88" t="s">
        <v>709</v>
      </c>
      <c r="W64" s="129"/>
      <c r="X64" s="88">
        <v>42951</v>
      </c>
      <c r="Y64" s="130" t="s">
        <v>20</v>
      </c>
      <c r="Z64" s="133" t="s">
        <v>60</v>
      </c>
      <c r="AA64" s="133"/>
      <c r="AB64" s="148">
        <v>1155</v>
      </c>
      <c r="AC64" s="134">
        <v>378</v>
      </c>
      <c r="AD64" s="134"/>
      <c r="AE64" s="403">
        <f t="shared" si="0"/>
        <v>436590</v>
      </c>
      <c r="AF64" s="132" t="str">
        <f>IF(W64=BDD!$P$1,IMPORTS!AB64/25,IF(W64=BDD!$P$2,IMPORTS!AB64/25,IF(IMPORTS!W64=BDD!$P$4,IMPORTS!AB64/25.5,"--")))</f>
        <v>--</v>
      </c>
      <c r="AG64" s="130" t="s">
        <v>46</v>
      </c>
      <c r="AH64" s="130"/>
      <c r="AI64" s="130" t="s">
        <v>100</v>
      </c>
      <c r="AJ64" s="130"/>
      <c r="AK64" s="130"/>
      <c r="AL64" s="135" t="s">
        <v>671</v>
      </c>
      <c r="AM64" s="314"/>
      <c r="AN64" s="26"/>
      <c r="AO64" s="26"/>
      <c r="AP64" s="26"/>
      <c r="AQ64" s="26">
        <f>+AQ63+2</f>
        <v>42979</v>
      </c>
      <c r="AR64" s="24"/>
      <c r="AS64" s="24"/>
      <c r="AT64" s="24">
        <v>42982</v>
      </c>
      <c r="AU64" s="418">
        <f t="shared" si="1"/>
        <v>9</v>
      </c>
      <c r="AV64" s="418">
        <f t="shared" si="2"/>
        <v>2017</v>
      </c>
      <c r="AW64" s="24"/>
      <c r="AX64" s="28"/>
      <c r="AY64" s="28" t="s">
        <v>230</v>
      </c>
      <c r="AZ64" s="132" t="s">
        <v>25</v>
      </c>
      <c r="BA64" s="132"/>
      <c r="BB64" s="24"/>
      <c r="BC64" s="135">
        <v>2</v>
      </c>
      <c r="BD64" s="24">
        <v>42942</v>
      </c>
      <c r="BE64" s="135" t="s">
        <v>695</v>
      </c>
      <c r="BF64" s="135" t="s">
        <v>695</v>
      </c>
      <c r="BG64" s="135" t="s">
        <v>52</v>
      </c>
      <c r="BH64" s="135"/>
      <c r="BI64" s="314"/>
      <c r="BJ64" s="314"/>
      <c r="BK64" s="24"/>
      <c r="BL64" s="24"/>
      <c r="BM64" s="24"/>
      <c r="BN64" s="24"/>
      <c r="BO64" s="24"/>
      <c r="BP64" s="24"/>
      <c r="BQ64" s="24"/>
      <c r="BR64" s="43"/>
      <c r="BS64" s="24"/>
      <c r="BT64" s="24"/>
      <c r="BU64" s="24"/>
      <c r="BV64" s="132" t="e">
        <f>IF(#REF!="COMPLETO","OK","PENDIENTES")</f>
        <v>#REF!</v>
      </c>
      <c r="BW64" s="132"/>
      <c r="BX64" s="132"/>
      <c r="BY64" s="132"/>
      <c r="BZ64" s="132"/>
      <c r="CA64" s="132"/>
      <c r="CB64" s="132"/>
      <c r="CC64" s="22"/>
      <c r="CG64" s="24" t="s">
        <v>105</v>
      </c>
      <c r="CH64" s="24"/>
      <c r="CI64" s="24"/>
      <c r="CJ64" s="24"/>
    </row>
    <row r="65" spans="1:88" ht="15" customHeight="1">
      <c r="A65" s="18">
        <v>2017</v>
      </c>
      <c r="B65" s="18" t="str">
        <f>+INDEX(BDD!F:F,MATCH(P65,BDD!D:D,0))&amp;"-"&amp;INDEX(BDD!E:E,MATCH(P65,BDD!D:D,0))</f>
        <v>G-S</v>
      </c>
      <c r="C65" s="360" t="s">
        <v>484</v>
      </c>
      <c r="D65" s="150" t="s">
        <v>77</v>
      </c>
      <c r="E65" s="132"/>
      <c r="F65" s="24"/>
      <c r="G65" s="346">
        <v>8000000106</v>
      </c>
      <c r="H65" s="25" t="s">
        <v>710</v>
      </c>
      <c r="I65" s="329"/>
      <c r="J65" s="346">
        <v>8000000106</v>
      </c>
      <c r="K65" s="24"/>
      <c r="L65" s="24"/>
      <c r="M65" s="24"/>
      <c r="N65" s="340" t="s">
        <v>486</v>
      </c>
      <c r="O65" s="333">
        <v>206569</v>
      </c>
      <c r="P65" s="25" t="s">
        <v>142</v>
      </c>
      <c r="Q65" s="127" t="s">
        <v>306</v>
      </c>
      <c r="R65" s="128" t="s">
        <v>706</v>
      </c>
      <c r="S65" s="24">
        <v>42878</v>
      </c>
      <c r="T65" s="36" t="s">
        <v>19</v>
      </c>
      <c r="U65" s="125"/>
      <c r="V65" s="88" t="s">
        <v>711</v>
      </c>
      <c r="W65" s="129"/>
      <c r="X65" s="88">
        <v>42951</v>
      </c>
      <c r="Y65" s="130" t="s">
        <v>20</v>
      </c>
      <c r="Z65" s="133" t="s">
        <v>60</v>
      </c>
      <c r="AA65" s="133"/>
      <c r="AB65" s="148">
        <v>1870</v>
      </c>
      <c r="AC65" s="134">
        <v>378</v>
      </c>
      <c r="AD65" s="134"/>
      <c r="AE65" s="403">
        <f t="shared" si="0"/>
        <v>706860</v>
      </c>
      <c r="AF65" s="132" t="str">
        <f>IF(W65=BDD!$P$1,IMPORTS!AB65/25,IF(W65=BDD!$P$2,IMPORTS!AB65/25,IF(IMPORTS!W65=BDD!$P$4,IMPORTS!AB65/25.5,"--")))</f>
        <v>--</v>
      </c>
      <c r="AG65" s="130" t="s">
        <v>46</v>
      </c>
      <c r="AH65" s="130"/>
      <c r="AI65" s="130" t="s">
        <v>100</v>
      </c>
      <c r="AJ65" s="130"/>
      <c r="AK65" s="130"/>
      <c r="AL65" s="135" t="s">
        <v>671</v>
      </c>
      <c r="AM65" s="314"/>
      <c r="AN65" s="26"/>
      <c r="AO65" s="26"/>
      <c r="AP65" s="26"/>
      <c r="AQ65" s="26">
        <v>42983</v>
      </c>
      <c r="AR65" s="24"/>
      <c r="AS65" s="24"/>
      <c r="AT65" s="24">
        <v>42984</v>
      </c>
      <c r="AU65" s="418">
        <f t="shared" si="1"/>
        <v>9</v>
      </c>
      <c r="AV65" s="418">
        <f t="shared" si="2"/>
        <v>2017</v>
      </c>
      <c r="AW65" s="24"/>
      <c r="AX65" s="28"/>
      <c r="AY65" s="28" t="s">
        <v>230</v>
      </c>
      <c r="AZ65" s="132" t="s">
        <v>37</v>
      </c>
      <c r="BA65" s="132"/>
      <c r="BB65" s="24"/>
      <c r="BC65" s="135">
        <v>3</v>
      </c>
      <c r="BD65" s="24">
        <v>42942</v>
      </c>
      <c r="BE65" s="135" t="s">
        <v>695</v>
      </c>
      <c r="BF65" s="135" t="s">
        <v>695</v>
      </c>
      <c r="BG65" s="135" t="s">
        <v>52</v>
      </c>
      <c r="BH65" s="135"/>
      <c r="BI65" s="314"/>
      <c r="BJ65" s="314"/>
      <c r="BK65" s="24"/>
      <c r="BL65" s="24"/>
      <c r="BM65" s="24"/>
      <c r="BN65" s="24"/>
      <c r="BO65" s="24"/>
      <c r="BP65" s="24"/>
      <c r="BQ65" s="24"/>
      <c r="BR65" s="43"/>
      <c r="BS65" s="24"/>
      <c r="BT65" s="24"/>
      <c r="BU65" s="24"/>
      <c r="BV65" s="132" t="e">
        <f>IF(#REF!="COMPLETO","OK","PENDIENTES")</f>
        <v>#REF!</v>
      </c>
      <c r="BW65" s="132"/>
      <c r="BX65" s="132"/>
      <c r="BY65" s="132"/>
      <c r="BZ65" s="132"/>
      <c r="CA65" s="132"/>
      <c r="CB65" s="132"/>
      <c r="CC65" s="22"/>
      <c r="CG65" s="24" t="s">
        <v>105</v>
      </c>
      <c r="CH65" s="24"/>
      <c r="CI65" s="24"/>
      <c r="CJ65" s="24"/>
    </row>
    <row r="66" spans="1:88" ht="15" customHeight="1">
      <c r="A66" s="18">
        <v>2017</v>
      </c>
      <c r="B66" s="18" t="str">
        <f>+INDEX(BDD!F:F,MATCH(P66,BDD!D:D,0))&amp;"-"&amp;INDEX(BDD!E:E,MATCH(P66,BDD!D:D,0))</f>
        <v>G-S</v>
      </c>
      <c r="C66" s="360" t="s">
        <v>484</v>
      </c>
      <c r="D66" s="150" t="s">
        <v>77</v>
      </c>
      <c r="E66" s="132"/>
      <c r="F66" s="24"/>
      <c r="G66" s="346">
        <v>8000000107</v>
      </c>
      <c r="H66" s="25" t="s">
        <v>712</v>
      </c>
      <c r="I66" s="329"/>
      <c r="J66" s="346">
        <v>8000000107</v>
      </c>
      <c r="K66" s="24"/>
      <c r="L66" s="24"/>
      <c r="M66" s="24"/>
      <c r="N66" s="340" t="s">
        <v>486</v>
      </c>
      <c r="O66" s="333">
        <v>206569</v>
      </c>
      <c r="P66" s="25" t="s">
        <v>142</v>
      </c>
      <c r="Q66" s="127" t="s">
        <v>306</v>
      </c>
      <c r="R66" s="128" t="s">
        <v>706</v>
      </c>
      <c r="S66" s="24">
        <v>42878</v>
      </c>
      <c r="T66" s="36" t="s">
        <v>19</v>
      </c>
      <c r="U66" s="125"/>
      <c r="V66" s="88" t="s">
        <v>713</v>
      </c>
      <c r="W66" s="129"/>
      <c r="X66" s="88">
        <v>42951</v>
      </c>
      <c r="Y66" s="130" t="s">
        <v>20</v>
      </c>
      <c r="Z66" s="133" t="s">
        <v>60</v>
      </c>
      <c r="AA66" s="133"/>
      <c r="AB66" s="148">
        <v>715</v>
      </c>
      <c r="AC66" s="134">
        <v>378</v>
      </c>
      <c r="AD66" s="134"/>
      <c r="AE66" s="403">
        <f t="shared" ref="AE66:AE129" si="3">AB66*AC66</f>
        <v>270270</v>
      </c>
      <c r="AF66" s="132" t="str">
        <f>IF(W66=BDD!$P$1,IMPORTS!AB66/25,IF(W66=BDD!$P$2,IMPORTS!AB66/25,IF(IMPORTS!W66=BDD!$P$4,IMPORTS!AB66/25.5,"--")))</f>
        <v>--</v>
      </c>
      <c r="AG66" s="130" t="s">
        <v>46</v>
      </c>
      <c r="AH66" s="130"/>
      <c r="AI66" s="130" t="s">
        <v>100</v>
      </c>
      <c r="AJ66" s="130"/>
      <c r="AK66" s="130"/>
      <c r="AL66" s="135" t="s">
        <v>671</v>
      </c>
      <c r="AM66" s="314"/>
      <c r="AN66" s="26"/>
      <c r="AO66" s="26"/>
      <c r="AP66" s="26"/>
      <c r="AQ66" s="26">
        <v>42986</v>
      </c>
      <c r="AR66" s="24"/>
      <c r="AS66" s="24"/>
      <c r="AT66" s="24">
        <v>42986</v>
      </c>
      <c r="AU66" s="418">
        <f t="shared" si="1"/>
        <v>9</v>
      </c>
      <c r="AV66" s="418">
        <f t="shared" si="2"/>
        <v>2017</v>
      </c>
      <c r="AW66" s="24"/>
      <c r="AX66" s="28"/>
      <c r="AY66" s="28" t="s">
        <v>230</v>
      </c>
      <c r="AZ66" s="132" t="s">
        <v>50</v>
      </c>
      <c r="BA66" s="132"/>
      <c r="BB66" s="24"/>
      <c r="BC66" s="135">
        <v>4</v>
      </c>
      <c r="BD66" s="24">
        <v>42942</v>
      </c>
      <c r="BE66" s="135" t="s">
        <v>695</v>
      </c>
      <c r="BF66" s="135" t="s">
        <v>695</v>
      </c>
      <c r="BG66" s="135" t="s">
        <v>52</v>
      </c>
      <c r="BH66" s="135"/>
      <c r="BI66" s="314"/>
      <c r="BJ66" s="314"/>
      <c r="BK66" s="24"/>
      <c r="BL66" s="24"/>
      <c r="BM66" s="24"/>
      <c r="BN66" s="24"/>
      <c r="BO66" s="24"/>
      <c r="BP66" s="24"/>
      <c r="BQ66" s="24"/>
      <c r="BR66" s="43"/>
      <c r="BS66" s="24"/>
      <c r="BT66" s="24"/>
      <c r="BU66" s="24"/>
      <c r="BV66" s="132" t="e">
        <f>IF(#REF!="COMPLETO","OK","PENDIENTES")</f>
        <v>#REF!</v>
      </c>
      <c r="BW66" s="132"/>
      <c r="BX66" s="132"/>
      <c r="BY66" s="132"/>
      <c r="BZ66" s="132"/>
      <c r="CA66" s="132"/>
      <c r="CB66" s="132"/>
      <c r="CC66" s="22"/>
      <c r="CG66" s="24" t="s">
        <v>105</v>
      </c>
      <c r="CH66" s="24"/>
      <c r="CI66" s="24"/>
      <c r="CJ66" s="24"/>
    </row>
    <row r="67" spans="1:88" ht="15" customHeight="1">
      <c r="A67" s="18">
        <v>2017</v>
      </c>
      <c r="B67" s="18" t="str">
        <f>+INDEX(BDD!F:F,MATCH(P67,BDD!D:D,0))&amp;"-"&amp;INDEX(BDD!E:E,MATCH(P67,BDD!D:D,0))</f>
        <v>G-S</v>
      </c>
      <c r="C67" s="360" t="s">
        <v>484</v>
      </c>
      <c r="D67" s="150" t="s">
        <v>77</v>
      </c>
      <c r="E67" s="132"/>
      <c r="F67" s="24"/>
      <c r="G67" s="346">
        <v>8000000108</v>
      </c>
      <c r="H67" s="25" t="s">
        <v>714</v>
      </c>
      <c r="I67" s="329"/>
      <c r="J67" s="346">
        <v>8000000108</v>
      </c>
      <c r="K67" s="24"/>
      <c r="L67" s="24"/>
      <c r="M67" s="24"/>
      <c r="N67" s="340" t="s">
        <v>486</v>
      </c>
      <c r="O67" s="333">
        <v>206569</v>
      </c>
      <c r="P67" s="25" t="s">
        <v>142</v>
      </c>
      <c r="Q67" s="127" t="s">
        <v>306</v>
      </c>
      <c r="R67" s="128" t="s">
        <v>706</v>
      </c>
      <c r="S67" s="24">
        <v>42878</v>
      </c>
      <c r="T67" s="36" t="s">
        <v>19</v>
      </c>
      <c r="U67" s="125"/>
      <c r="V67" s="88" t="s">
        <v>715</v>
      </c>
      <c r="W67" s="129"/>
      <c r="X67" s="88">
        <v>42951</v>
      </c>
      <c r="Y67" s="130" t="s">
        <v>20</v>
      </c>
      <c r="Z67" s="133" t="s">
        <v>60</v>
      </c>
      <c r="AA67" s="133"/>
      <c r="AB67" s="148">
        <v>1980</v>
      </c>
      <c r="AC67" s="134">
        <v>378</v>
      </c>
      <c r="AD67" s="134"/>
      <c r="AE67" s="403">
        <f t="shared" si="3"/>
        <v>748440</v>
      </c>
      <c r="AF67" s="132" t="str">
        <f>IF(W67=BDD!$P$1,IMPORTS!AB67/25,IF(W67=BDD!$P$2,IMPORTS!AB67/25,IF(IMPORTS!W67=BDD!$P$4,IMPORTS!AB67/25.5,"--")))</f>
        <v>--</v>
      </c>
      <c r="AG67" s="130" t="s">
        <v>46</v>
      </c>
      <c r="AH67" s="130"/>
      <c r="AI67" s="130" t="s">
        <v>100</v>
      </c>
      <c r="AJ67" s="130"/>
      <c r="AK67" s="130"/>
      <c r="AL67" s="135" t="s">
        <v>671</v>
      </c>
      <c r="AM67" s="314"/>
      <c r="AN67" s="26"/>
      <c r="AO67" s="26"/>
      <c r="AP67" s="26"/>
      <c r="AQ67" s="26">
        <f>+AQ66+2</f>
        <v>42988</v>
      </c>
      <c r="AR67" s="24"/>
      <c r="AS67" s="24"/>
      <c r="AT67" s="24">
        <v>42989</v>
      </c>
      <c r="AU67" s="418">
        <f t="shared" ref="AU67:AU130" si="4">MONTH(AT67)</f>
        <v>9</v>
      </c>
      <c r="AV67" s="418">
        <f t="shared" ref="AV67:AV130" si="5">YEAR(AT67)</f>
        <v>2017</v>
      </c>
      <c r="AW67" s="24"/>
      <c r="AX67" s="28"/>
      <c r="AY67" s="28" t="s">
        <v>230</v>
      </c>
      <c r="AZ67" s="132" t="s">
        <v>62</v>
      </c>
      <c r="BA67" s="132"/>
      <c r="BB67" s="24"/>
      <c r="BC67" s="135">
        <v>5</v>
      </c>
      <c r="BD67" s="24">
        <v>42942</v>
      </c>
      <c r="BE67" s="135" t="s">
        <v>695</v>
      </c>
      <c r="BF67" s="135" t="s">
        <v>695</v>
      </c>
      <c r="BG67" s="135" t="s">
        <v>52</v>
      </c>
      <c r="BH67" s="135"/>
      <c r="BI67" s="314"/>
      <c r="BJ67" s="314"/>
      <c r="BK67" s="24"/>
      <c r="BL67" s="24"/>
      <c r="BM67" s="24"/>
      <c r="BN67" s="24"/>
      <c r="BO67" s="24"/>
      <c r="BP67" s="24"/>
      <c r="BQ67" s="24"/>
      <c r="BR67" s="43"/>
      <c r="BS67" s="24"/>
      <c r="BT67" s="24"/>
      <c r="BU67" s="24"/>
      <c r="BV67" s="132" t="e">
        <f>IF(#REF!="COMPLETO","OK","PENDIENTES")</f>
        <v>#REF!</v>
      </c>
      <c r="BW67" s="132"/>
      <c r="BX67" s="132"/>
      <c r="BY67" s="132"/>
      <c r="BZ67" s="132"/>
      <c r="CA67" s="132"/>
      <c r="CB67" s="132"/>
      <c r="CC67" s="22"/>
      <c r="CG67" s="24" t="s">
        <v>105</v>
      </c>
      <c r="CH67" s="24"/>
      <c r="CI67" s="24"/>
      <c r="CJ67" s="24"/>
    </row>
    <row r="68" spans="1:88" ht="15" customHeight="1">
      <c r="A68" s="18">
        <v>2017</v>
      </c>
      <c r="B68" s="18" t="str">
        <f>+INDEX(BDD!F:F,MATCH(P68,BDD!D:D,0))&amp;"-"&amp;INDEX(BDD!E:E,MATCH(P68,BDD!D:D,0))</f>
        <v>G-S</v>
      </c>
      <c r="C68" s="360" t="s">
        <v>484</v>
      </c>
      <c r="D68" s="150" t="s">
        <v>77</v>
      </c>
      <c r="E68" s="132"/>
      <c r="F68" s="24"/>
      <c r="G68" s="346">
        <v>8000000109</v>
      </c>
      <c r="H68" s="25" t="s">
        <v>716</v>
      </c>
      <c r="I68" s="329"/>
      <c r="J68" s="346">
        <v>8000000109</v>
      </c>
      <c r="K68" s="24"/>
      <c r="L68" s="24"/>
      <c r="M68" s="24"/>
      <c r="N68" s="340" t="s">
        <v>486</v>
      </c>
      <c r="O68" s="333">
        <v>206571</v>
      </c>
      <c r="P68" s="25" t="s">
        <v>357</v>
      </c>
      <c r="Q68" s="127" t="s">
        <v>306</v>
      </c>
      <c r="R68" s="128" t="s">
        <v>717</v>
      </c>
      <c r="S68" s="24">
        <v>42878</v>
      </c>
      <c r="T68" s="36" t="s">
        <v>19</v>
      </c>
      <c r="U68" s="125"/>
      <c r="V68" s="88" t="s">
        <v>718</v>
      </c>
      <c r="W68" s="129"/>
      <c r="X68" s="88">
        <v>42951</v>
      </c>
      <c r="Y68" s="130" t="s">
        <v>20</v>
      </c>
      <c r="Z68" s="133" t="s">
        <v>60</v>
      </c>
      <c r="AA68" s="133"/>
      <c r="AB68" s="148">
        <v>4345</v>
      </c>
      <c r="AC68" s="134">
        <v>132.375</v>
      </c>
      <c r="AD68" s="134"/>
      <c r="AE68" s="403">
        <f t="shared" si="3"/>
        <v>575169.375</v>
      </c>
      <c r="AF68" s="132" t="str">
        <f>IF(W68=BDD!$P$1,IMPORTS!AB68/25,IF(W68=BDD!$P$2,IMPORTS!AB68/25,IF(IMPORTS!W68=BDD!$P$4,IMPORTS!AB68/25.5,"--")))</f>
        <v>--</v>
      </c>
      <c r="AG68" s="130" t="s">
        <v>46</v>
      </c>
      <c r="AH68" s="130"/>
      <c r="AI68" s="130" t="s">
        <v>100</v>
      </c>
      <c r="AJ68" s="130"/>
      <c r="AK68" s="130"/>
      <c r="AL68" s="135" t="s">
        <v>671</v>
      </c>
      <c r="AM68" s="314"/>
      <c r="AN68" s="26"/>
      <c r="AO68" s="26"/>
      <c r="AP68" s="26"/>
      <c r="AQ68" s="26">
        <v>42977</v>
      </c>
      <c r="AR68" s="24"/>
      <c r="AS68" s="24"/>
      <c r="AT68" s="24">
        <v>42978</v>
      </c>
      <c r="AU68" s="418">
        <f t="shared" si="4"/>
        <v>8</v>
      </c>
      <c r="AV68" s="418">
        <f t="shared" si="5"/>
        <v>2017</v>
      </c>
      <c r="AW68" s="24"/>
      <c r="AX68" s="28"/>
      <c r="AY68" s="28" t="s">
        <v>230</v>
      </c>
      <c r="AZ68" s="132" t="s">
        <v>9</v>
      </c>
      <c r="BA68" s="132"/>
      <c r="BB68" s="24"/>
      <c r="BC68" s="135" t="s">
        <v>719</v>
      </c>
      <c r="BD68" s="24">
        <v>42939</v>
      </c>
      <c r="BE68" s="135" t="s">
        <v>695</v>
      </c>
      <c r="BF68" s="135" t="s">
        <v>695</v>
      </c>
      <c r="BG68" s="135" t="s">
        <v>52</v>
      </c>
      <c r="BH68" s="135"/>
      <c r="BI68" s="314"/>
      <c r="BJ68" s="314"/>
      <c r="BK68" s="24"/>
      <c r="BL68" s="24"/>
      <c r="BM68" s="24"/>
      <c r="BN68" s="24"/>
      <c r="BO68" s="24"/>
      <c r="BP68" s="24"/>
      <c r="BQ68" s="24"/>
      <c r="BR68" s="43"/>
      <c r="BS68" s="24"/>
      <c r="BT68" s="24"/>
      <c r="BU68" s="24"/>
      <c r="BV68" s="132" t="e">
        <f>IF(#REF!="COMPLETO","OK","PENDIENTES")</f>
        <v>#REF!</v>
      </c>
      <c r="BW68" s="132"/>
      <c r="BX68" s="132"/>
      <c r="BY68" s="132"/>
      <c r="BZ68" s="132"/>
      <c r="CA68" s="132"/>
      <c r="CB68" s="132"/>
      <c r="CC68" s="22"/>
      <c r="CG68" s="24" t="s">
        <v>105</v>
      </c>
      <c r="CH68" s="24"/>
      <c r="CI68" s="24"/>
      <c r="CJ68" s="24"/>
    </row>
    <row r="69" spans="1:88" ht="15" customHeight="1">
      <c r="A69" s="18">
        <v>2017</v>
      </c>
      <c r="B69" s="18" t="str">
        <f>+INDEX(BDD!F:F,MATCH(P69,BDD!D:D,0))&amp;"-"&amp;INDEX(BDD!E:E,MATCH(P69,BDD!D:D,0))</f>
        <v>G-S</v>
      </c>
      <c r="C69" s="360" t="s">
        <v>484</v>
      </c>
      <c r="D69" s="150" t="s">
        <v>77</v>
      </c>
      <c r="E69" s="132"/>
      <c r="F69" s="24"/>
      <c r="G69" s="346">
        <v>8000000110</v>
      </c>
      <c r="H69" s="25" t="s">
        <v>720</v>
      </c>
      <c r="I69" s="329"/>
      <c r="J69" s="346">
        <v>8000000110</v>
      </c>
      <c r="K69" s="24"/>
      <c r="L69" s="24"/>
      <c r="M69" s="24"/>
      <c r="N69" s="340" t="s">
        <v>486</v>
      </c>
      <c r="O69" s="333">
        <v>203616</v>
      </c>
      <c r="P69" s="25" t="s">
        <v>357</v>
      </c>
      <c r="Q69" s="127" t="s">
        <v>306</v>
      </c>
      <c r="R69" s="128" t="s">
        <v>717</v>
      </c>
      <c r="S69" s="24">
        <v>42878</v>
      </c>
      <c r="T69" s="36" t="s">
        <v>19</v>
      </c>
      <c r="U69" s="125"/>
      <c r="V69" s="88" t="s">
        <v>721</v>
      </c>
      <c r="W69" s="129"/>
      <c r="X69" s="88">
        <v>42951</v>
      </c>
      <c r="Y69" s="130" t="s">
        <v>20</v>
      </c>
      <c r="Z69" s="133" t="s">
        <v>60</v>
      </c>
      <c r="AA69" s="133"/>
      <c r="AB69" s="148">
        <v>3300</v>
      </c>
      <c r="AC69" s="134">
        <v>132.375</v>
      </c>
      <c r="AD69" s="134"/>
      <c r="AE69" s="403">
        <f t="shared" si="3"/>
        <v>436837.5</v>
      </c>
      <c r="AF69" s="132" t="str">
        <f>IF(W69=BDD!$P$1,IMPORTS!AB69/25,IF(W69=BDD!$P$2,IMPORTS!AB69/25,IF(IMPORTS!W69=BDD!$P$4,IMPORTS!AB69/25.5,"--")))</f>
        <v>--</v>
      </c>
      <c r="AG69" s="130" t="s">
        <v>46</v>
      </c>
      <c r="AH69" s="130"/>
      <c r="AI69" s="130" t="s">
        <v>100</v>
      </c>
      <c r="AJ69" s="130"/>
      <c r="AK69" s="130"/>
      <c r="AL69" s="135" t="s">
        <v>671</v>
      </c>
      <c r="AM69" s="314"/>
      <c r="AN69" s="26"/>
      <c r="AO69" s="26"/>
      <c r="AP69" s="26"/>
      <c r="AQ69" s="26">
        <f>+AQ68+2</f>
        <v>42979</v>
      </c>
      <c r="AR69" s="24"/>
      <c r="AS69" s="24"/>
      <c r="AT69" s="24">
        <v>42982</v>
      </c>
      <c r="AU69" s="418">
        <f t="shared" si="4"/>
        <v>9</v>
      </c>
      <c r="AV69" s="418">
        <f t="shared" si="5"/>
        <v>2017</v>
      </c>
      <c r="AW69" s="24"/>
      <c r="AX69" s="28"/>
      <c r="AY69" s="28" t="s">
        <v>230</v>
      </c>
      <c r="AZ69" s="132" t="s">
        <v>25</v>
      </c>
      <c r="BA69" s="132"/>
      <c r="BB69" s="24"/>
      <c r="BC69" s="135" t="s">
        <v>722</v>
      </c>
      <c r="BD69" s="24">
        <v>42939</v>
      </c>
      <c r="BE69" s="135" t="s">
        <v>695</v>
      </c>
      <c r="BF69" s="135" t="s">
        <v>695</v>
      </c>
      <c r="BG69" s="135" t="s">
        <v>52</v>
      </c>
      <c r="BH69" s="135"/>
      <c r="BI69" s="314"/>
      <c r="BJ69" s="314"/>
      <c r="BK69" s="24"/>
      <c r="BL69" s="24"/>
      <c r="BM69" s="24"/>
      <c r="BN69" s="24"/>
      <c r="BO69" s="24"/>
      <c r="BP69" s="24"/>
      <c r="BQ69" s="24"/>
      <c r="BR69" s="43"/>
      <c r="BS69" s="24"/>
      <c r="BT69" s="24"/>
      <c r="BU69" s="24"/>
      <c r="BV69" s="132" t="e">
        <f>IF(#REF!="COMPLETO","OK","PENDIENTES")</f>
        <v>#REF!</v>
      </c>
      <c r="BW69" s="132"/>
      <c r="BX69" s="132"/>
      <c r="BY69" s="132"/>
      <c r="BZ69" s="132"/>
      <c r="CA69" s="132"/>
      <c r="CB69" s="132"/>
      <c r="CC69" s="22"/>
      <c r="CG69" s="24" t="s">
        <v>105</v>
      </c>
      <c r="CH69" s="24"/>
      <c r="CI69" s="24"/>
      <c r="CJ69" s="24"/>
    </row>
    <row r="70" spans="1:88" ht="15" customHeight="1">
      <c r="A70" s="18">
        <v>2017</v>
      </c>
      <c r="B70" s="18" t="str">
        <f>+INDEX(BDD!F:F,MATCH(P70,BDD!D:D,0))&amp;"-"&amp;INDEX(BDD!E:E,MATCH(P70,BDD!D:D,0))</f>
        <v>G-S</v>
      </c>
      <c r="C70" s="360" t="s">
        <v>484</v>
      </c>
      <c r="D70" s="150" t="s">
        <v>77</v>
      </c>
      <c r="E70" s="132"/>
      <c r="F70" s="24"/>
      <c r="G70" s="346">
        <v>8000000111</v>
      </c>
      <c r="H70" s="25" t="s">
        <v>723</v>
      </c>
      <c r="I70" s="329"/>
      <c r="J70" s="346">
        <v>8000000111</v>
      </c>
      <c r="K70" s="24"/>
      <c r="L70" s="24"/>
      <c r="M70" s="24"/>
      <c r="N70" s="340" t="s">
        <v>486</v>
      </c>
      <c r="O70" s="334">
        <v>203616</v>
      </c>
      <c r="P70" s="25" t="s">
        <v>357</v>
      </c>
      <c r="Q70" s="127" t="s">
        <v>306</v>
      </c>
      <c r="R70" s="128" t="s">
        <v>717</v>
      </c>
      <c r="S70" s="24">
        <v>42878</v>
      </c>
      <c r="T70" s="36" t="s">
        <v>19</v>
      </c>
      <c r="U70" s="125"/>
      <c r="V70" s="88" t="s">
        <v>724</v>
      </c>
      <c r="W70" s="129"/>
      <c r="X70" s="88">
        <v>42951</v>
      </c>
      <c r="Y70" s="130" t="s">
        <v>20</v>
      </c>
      <c r="Z70" s="133" t="s">
        <v>60</v>
      </c>
      <c r="AA70" s="133"/>
      <c r="AB70" s="148">
        <v>605</v>
      </c>
      <c r="AC70" s="134">
        <v>132.375</v>
      </c>
      <c r="AD70" s="134"/>
      <c r="AE70" s="403">
        <f t="shared" si="3"/>
        <v>80086.875</v>
      </c>
      <c r="AF70" s="132" t="str">
        <f>IF(W70=BDD!$P$1,IMPORTS!AB70/25,IF(W70=BDD!$P$2,IMPORTS!AB70/25,IF(IMPORTS!W70=BDD!$P$4,IMPORTS!AB70/25.5,"--")))</f>
        <v>--</v>
      </c>
      <c r="AG70" s="130" t="s">
        <v>46</v>
      </c>
      <c r="AH70" s="130"/>
      <c r="AI70" s="130" t="s">
        <v>100</v>
      </c>
      <c r="AJ70" s="130"/>
      <c r="AK70" s="130"/>
      <c r="AL70" s="135" t="s">
        <v>671</v>
      </c>
      <c r="AM70" s="314"/>
      <c r="AN70" s="26"/>
      <c r="AO70" s="26"/>
      <c r="AP70" s="26"/>
      <c r="AQ70" s="26">
        <v>42983</v>
      </c>
      <c r="AR70" s="24"/>
      <c r="AS70" s="24"/>
      <c r="AT70" s="24">
        <v>42984</v>
      </c>
      <c r="AU70" s="418">
        <f t="shared" si="4"/>
        <v>9</v>
      </c>
      <c r="AV70" s="418">
        <f t="shared" si="5"/>
        <v>2017</v>
      </c>
      <c r="AW70" s="24"/>
      <c r="AX70" s="28"/>
      <c r="AY70" s="28" t="s">
        <v>230</v>
      </c>
      <c r="AZ70" s="132" t="s">
        <v>37</v>
      </c>
      <c r="BA70" s="132"/>
      <c r="BB70" s="24"/>
      <c r="BC70" s="135" t="s">
        <v>725</v>
      </c>
      <c r="BD70" s="24">
        <v>42939</v>
      </c>
      <c r="BE70" s="135" t="s">
        <v>695</v>
      </c>
      <c r="BF70" s="135" t="s">
        <v>695</v>
      </c>
      <c r="BG70" s="135" t="s">
        <v>52</v>
      </c>
      <c r="BH70" s="135"/>
      <c r="BI70" s="314"/>
      <c r="BJ70" s="314"/>
      <c r="BK70" s="24"/>
      <c r="BL70" s="24"/>
      <c r="BM70" s="24"/>
      <c r="BN70" s="24"/>
      <c r="BO70" s="24"/>
      <c r="BP70" s="24"/>
      <c r="BQ70" s="24"/>
      <c r="BR70" s="43"/>
      <c r="BS70" s="24"/>
      <c r="BT70" s="24"/>
      <c r="BU70" s="24"/>
      <c r="BV70" s="132" t="e">
        <f>IF(#REF!="COMPLETO","OK","PENDIENTES")</f>
        <v>#REF!</v>
      </c>
      <c r="BW70" s="132"/>
      <c r="BX70" s="132"/>
      <c r="BY70" s="132"/>
      <c r="BZ70" s="132"/>
      <c r="CA70" s="132"/>
      <c r="CB70" s="132"/>
      <c r="CC70" s="22"/>
      <c r="CG70" s="24" t="s">
        <v>105</v>
      </c>
      <c r="CH70" s="24"/>
      <c r="CI70" s="24"/>
      <c r="CJ70" s="24"/>
    </row>
    <row r="71" spans="1:88" ht="15" customHeight="1">
      <c r="A71" s="18">
        <v>2017</v>
      </c>
      <c r="B71" s="18" t="str">
        <f>+INDEX(BDD!F:F,MATCH(P71,BDD!D:D,0))&amp;"-"&amp;INDEX(BDD!E:E,MATCH(P71,BDD!D:D,0))</f>
        <v>G-S</v>
      </c>
      <c r="C71" s="360" t="s">
        <v>484</v>
      </c>
      <c r="D71" s="150" t="s">
        <v>77</v>
      </c>
      <c r="E71" s="132"/>
      <c r="F71" s="24"/>
      <c r="G71" s="346">
        <v>8000000112</v>
      </c>
      <c r="H71" s="25" t="s">
        <v>726</v>
      </c>
      <c r="I71" s="329"/>
      <c r="J71" s="346">
        <v>8000000112</v>
      </c>
      <c r="K71" s="24"/>
      <c r="L71" s="24"/>
      <c r="M71" s="24"/>
      <c r="N71" s="340" t="s">
        <v>486</v>
      </c>
      <c r="O71" s="335">
        <v>203616</v>
      </c>
      <c r="P71" s="25" t="s">
        <v>357</v>
      </c>
      <c r="Q71" s="127" t="s">
        <v>306</v>
      </c>
      <c r="R71" s="128" t="s">
        <v>717</v>
      </c>
      <c r="S71" s="24">
        <v>42878</v>
      </c>
      <c r="T71" s="36" t="s">
        <v>19</v>
      </c>
      <c r="U71" s="125"/>
      <c r="V71" s="88" t="s">
        <v>727</v>
      </c>
      <c r="W71" s="129"/>
      <c r="X71" s="88">
        <v>42951</v>
      </c>
      <c r="Y71" s="130" t="s">
        <v>20</v>
      </c>
      <c r="Z71" s="133" t="s">
        <v>60</v>
      </c>
      <c r="AA71" s="133"/>
      <c r="AB71" s="148">
        <v>220</v>
      </c>
      <c r="AC71" s="134">
        <v>132.375</v>
      </c>
      <c r="AD71" s="134"/>
      <c r="AE71" s="403">
        <f t="shared" si="3"/>
        <v>29122.5</v>
      </c>
      <c r="AF71" s="132" t="str">
        <f>IF(W71=BDD!$P$1,IMPORTS!AB71/25,IF(W71=BDD!$P$2,IMPORTS!AB71/25,IF(IMPORTS!W71=BDD!$P$4,IMPORTS!AB71/25.5,"--")))</f>
        <v>--</v>
      </c>
      <c r="AG71" s="130" t="s">
        <v>46</v>
      </c>
      <c r="AH71" s="130"/>
      <c r="AI71" s="130" t="s">
        <v>100</v>
      </c>
      <c r="AJ71" s="130"/>
      <c r="AK71" s="130"/>
      <c r="AL71" s="135" t="s">
        <v>671</v>
      </c>
      <c r="AM71" s="314"/>
      <c r="AN71" s="26"/>
      <c r="AO71" s="26"/>
      <c r="AP71" s="26"/>
      <c r="AQ71" s="26">
        <v>42986</v>
      </c>
      <c r="AR71" s="24"/>
      <c r="AS71" s="24"/>
      <c r="AT71" s="24">
        <v>42986</v>
      </c>
      <c r="AU71" s="418">
        <f t="shared" si="4"/>
        <v>9</v>
      </c>
      <c r="AV71" s="418">
        <f t="shared" si="5"/>
        <v>2017</v>
      </c>
      <c r="AW71" s="24"/>
      <c r="AX71" s="28"/>
      <c r="AY71" s="28" t="s">
        <v>230</v>
      </c>
      <c r="AZ71" s="132" t="s">
        <v>50</v>
      </c>
      <c r="BA71" s="132"/>
      <c r="BB71" s="24"/>
      <c r="BC71" s="135" t="s">
        <v>728</v>
      </c>
      <c r="BD71" s="24">
        <v>42939</v>
      </c>
      <c r="BE71" s="135" t="s">
        <v>695</v>
      </c>
      <c r="BF71" s="135" t="s">
        <v>695</v>
      </c>
      <c r="BG71" s="135" t="s">
        <v>52</v>
      </c>
      <c r="BH71" s="135"/>
      <c r="BI71" s="314"/>
      <c r="BJ71" s="314"/>
      <c r="BK71" s="24"/>
      <c r="BL71" s="24"/>
      <c r="BM71" s="24"/>
      <c r="BN71" s="24"/>
      <c r="BO71" s="24"/>
      <c r="BP71" s="24"/>
      <c r="BQ71" s="24"/>
      <c r="BR71" s="43"/>
      <c r="BS71" s="24"/>
      <c r="BT71" s="24"/>
      <c r="BU71" s="24"/>
      <c r="BV71" s="132" t="e">
        <f>IF(#REF!="COMPLETO","OK","PENDIENTES")</f>
        <v>#REF!</v>
      </c>
      <c r="BW71" s="132"/>
      <c r="BX71" s="132"/>
      <c r="BY71" s="132"/>
      <c r="BZ71" s="132"/>
      <c r="CA71" s="132"/>
      <c r="CB71" s="132"/>
      <c r="CC71" s="22"/>
      <c r="CG71" s="24" t="s">
        <v>105</v>
      </c>
      <c r="CH71" s="24"/>
      <c r="CI71" s="24"/>
      <c r="CJ71" s="24"/>
    </row>
    <row r="72" spans="1:88" ht="15" customHeight="1">
      <c r="A72" s="18">
        <v>2017</v>
      </c>
      <c r="B72" s="18" t="str">
        <f>+INDEX(BDD!F:F,MATCH(P72,BDD!D:D,0))&amp;"-"&amp;INDEX(BDD!E:E,MATCH(P72,BDD!D:D,0))</f>
        <v>G-S</v>
      </c>
      <c r="C72" s="360" t="s">
        <v>484</v>
      </c>
      <c r="D72" s="150" t="s">
        <v>77</v>
      </c>
      <c r="E72" s="132"/>
      <c r="F72" s="24"/>
      <c r="G72" s="346">
        <v>8000000113</v>
      </c>
      <c r="H72" s="25" t="s">
        <v>729</v>
      </c>
      <c r="I72" s="329"/>
      <c r="J72" s="346">
        <v>8000000113</v>
      </c>
      <c r="K72" s="24"/>
      <c r="L72" s="24"/>
      <c r="M72" s="24"/>
      <c r="N72" s="340" t="s">
        <v>486</v>
      </c>
      <c r="O72" s="333">
        <v>203616</v>
      </c>
      <c r="P72" s="25" t="s">
        <v>357</v>
      </c>
      <c r="Q72" s="127" t="s">
        <v>306</v>
      </c>
      <c r="R72" s="128" t="s">
        <v>717</v>
      </c>
      <c r="S72" s="24">
        <v>42878</v>
      </c>
      <c r="T72" s="36" t="s">
        <v>19</v>
      </c>
      <c r="U72" s="125"/>
      <c r="V72" s="88" t="s">
        <v>730</v>
      </c>
      <c r="W72" s="129"/>
      <c r="X72" s="88">
        <v>42951</v>
      </c>
      <c r="Y72" s="130" t="s">
        <v>20</v>
      </c>
      <c r="Z72" s="133" t="s">
        <v>60</v>
      </c>
      <c r="AA72" s="133"/>
      <c r="AB72" s="148">
        <v>330</v>
      </c>
      <c r="AC72" s="134">
        <v>132.375</v>
      </c>
      <c r="AD72" s="134"/>
      <c r="AE72" s="403">
        <f t="shared" si="3"/>
        <v>43683.75</v>
      </c>
      <c r="AF72" s="132" t="str">
        <f>IF(W72=BDD!$P$1,IMPORTS!AB72/25,IF(W72=BDD!$P$2,IMPORTS!AB72/25,IF(IMPORTS!W72=BDD!$P$4,IMPORTS!AB72/25.5,"--")))</f>
        <v>--</v>
      </c>
      <c r="AG72" s="130" t="s">
        <v>46</v>
      </c>
      <c r="AH72" s="130"/>
      <c r="AI72" s="130" t="s">
        <v>100</v>
      </c>
      <c r="AJ72" s="130"/>
      <c r="AK72" s="130"/>
      <c r="AL72" s="135" t="s">
        <v>671</v>
      </c>
      <c r="AM72" s="314"/>
      <c r="AN72" s="26"/>
      <c r="AO72" s="26"/>
      <c r="AP72" s="26"/>
      <c r="AQ72" s="26">
        <f>+AQ71+2</f>
        <v>42988</v>
      </c>
      <c r="AR72" s="24"/>
      <c r="AS72" s="24"/>
      <c r="AT72" s="24">
        <v>42989</v>
      </c>
      <c r="AU72" s="418">
        <f t="shared" si="4"/>
        <v>9</v>
      </c>
      <c r="AV72" s="418">
        <f t="shared" si="5"/>
        <v>2017</v>
      </c>
      <c r="AW72" s="24"/>
      <c r="AX72" s="28"/>
      <c r="AY72" s="28" t="s">
        <v>230</v>
      </c>
      <c r="AZ72" s="132" t="s">
        <v>62</v>
      </c>
      <c r="BA72" s="132"/>
      <c r="BB72" s="24"/>
      <c r="BC72" s="135" t="s">
        <v>731</v>
      </c>
      <c r="BD72" s="24">
        <v>42939</v>
      </c>
      <c r="BE72" s="135" t="s">
        <v>695</v>
      </c>
      <c r="BF72" s="135" t="s">
        <v>695</v>
      </c>
      <c r="BG72" s="135" t="s">
        <v>52</v>
      </c>
      <c r="BH72" s="135"/>
      <c r="BI72" s="314"/>
      <c r="BJ72" s="314"/>
      <c r="BK72" s="24"/>
      <c r="BL72" s="24"/>
      <c r="BM72" s="24"/>
      <c r="BN72" s="24"/>
      <c r="BO72" s="24"/>
      <c r="BP72" s="24"/>
      <c r="BQ72" s="24"/>
      <c r="BR72" s="43"/>
      <c r="BS72" s="24"/>
      <c r="BT72" s="24"/>
      <c r="BU72" s="24"/>
      <c r="BV72" s="132" t="e">
        <f>IF(#REF!="COMPLETO","OK","PENDIENTES")</f>
        <v>#REF!</v>
      </c>
      <c r="BW72" s="132"/>
      <c r="BX72" s="132"/>
      <c r="BY72" s="132"/>
      <c r="BZ72" s="132"/>
      <c r="CA72" s="132"/>
      <c r="CB72" s="132"/>
      <c r="CC72" s="22"/>
      <c r="CG72" s="24" t="s">
        <v>105</v>
      </c>
      <c r="CH72" s="24"/>
      <c r="CI72" s="24"/>
      <c r="CJ72" s="24"/>
    </row>
    <row r="73" spans="1:88" ht="15" customHeight="1">
      <c r="A73" s="18">
        <v>2017</v>
      </c>
      <c r="B73" s="18" t="str">
        <f>+INDEX(BDD!F:F,MATCH(P73,BDD!D:D,0))&amp;"-"&amp;INDEX(BDD!E:E,MATCH(P73,BDD!D:D,0))</f>
        <v>S-P</v>
      </c>
      <c r="C73" s="360" t="s">
        <v>484</v>
      </c>
      <c r="D73" s="150" t="s">
        <v>77</v>
      </c>
      <c r="E73" s="132"/>
      <c r="F73" s="24"/>
      <c r="G73" s="346">
        <v>8000000114</v>
      </c>
      <c r="H73" s="25" t="s">
        <v>732</v>
      </c>
      <c r="I73" s="329"/>
      <c r="J73" s="346">
        <v>8000000114</v>
      </c>
      <c r="K73" s="24"/>
      <c r="L73" s="24"/>
      <c r="M73" s="24"/>
      <c r="N73" s="340" t="s">
        <v>486</v>
      </c>
      <c r="O73" s="334">
        <v>206766</v>
      </c>
      <c r="P73" s="25" t="s">
        <v>2</v>
      </c>
      <c r="Q73" s="127" t="s">
        <v>306</v>
      </c>
      <c r="R73" s="128" t="s">
        <v>733</v>
      </c>
      <c r="S73" s="24">
        <v>42885</v>
      </c>
      <c r="T73" s="36" t="s">
        <v>19</v>
      </c>
      <c r="U73" s="125"/>
      <c r="V73" s="157">
        <v>9296</v>
      </c>
      <c r="W73" s="129"/>
      <c r="X73" s="88">
        <v>42919</v>
      </c>
      <c r="Y73" s="130" t="s">
        <v>20</v>
      </c>
      <c r="Z73" s="133" t="s">
        <v>60</v>
      </c>
      <c r="AA73" s="133"/>
      <c r="AB73" s="148">
        <v>153.9</v>
      </c>
      <c r="AC73" s="134">
        <v>878</v>
      </c>
      <c r="AD73" s="134"/>
      <c r="AE73" s="403">
        <f t="shared" si="3"/>
        <v>135124.20000000001</v>
      </c>
      <c r="AF73" s="132">
        <v>6</v>
      </c>
      <c r="AG73" s="130" t="s">
        <v>5</v>
      </c>
      <c r="AH73" s="130"/>
      <c r="AI73" s="130" t="s">
        <v>86</v>
      </c>
      <c r="AJ73" s="130"/>
      <c r="AK73" s="130"/>
      <c r="AL73" s="135" t="s">
        <v>582</v>
      </c>
      <c r="AM73" s="314"/>
      <c r="AN73" s="26"/>
      <c r="AO73" s="26"/>
      <c r="AP73" s="26"/>
      <c r="AQ73" s="26">
        <v>42951</v>
      </c>
      <c r="AR73" s="24"/>
      <c r="AS73" s="24"/>
      <c r="AT73" s="24">
        <v>42951</v>
      </c>
      <c r="AU73" s="418">
        <f t="shared" si="4"/>
        <v>8</v>
      </c>
      <c r="AV73" s="418">
        <f t="shared" si="5"/>
        <v>2017</v>
      </c>
      <c r="AW73" s="24"/>
      <c r="AX73" s="28"/>
      <c r="AY73" s="28" t="s">
        <v>302</v>
      </c>
      <c r="AZ73" s="132" t="s">
        <v>62</v>
      </c>
      <c r="BA73" s="132"/>
      <c r="BB73" s="24"/>
      <c r="BC73" s="135" t="s">
        <v>734</v>
      </c>
      <c r="BD73" s="24">
        <v>42909</v>
      </c>
      <c r="BE73" s="135" t="s">
        <v>735</v>
      </c>
      <c r="BF73" s="135" t="s">
        <v>736</v>
      </c>
      <c r="BG73" s="135" t="s">
        <v>29</v>
      </c>
      <c r="BH73" s="135"/>
      <c r="BI73" s="314"/>
      <c r="BJ73" s="314"/>
      <c r="BK73" s="24"/>
      <c r="BL73" s="24"/>
      <c r="BM73" s="24"/>
      <c r="BN73" s="24"/>
      <c r="BO73" s="24">
        <f>+AQ73+14</f>
        <v>42965</v>
      </c>
      <c r="BP73" s="24"/>
      <c r="BQ73" s="24"/>
      <c r="BR73" s="43"/>
      <c r="BS73" s="24"/>
      <c r="BT73" s="24"/>
      <c r="BU73" s="24"/>
      <c r="BV73" s="132" t="e">
        <f>IF(#REF!="COMPLETO","OK","PENDIENTES")</f>
        <v>#REF!</v>
      </c>
      <c r="BW73" s="132"/>
      <c r="BX73" s="132"/>
      <c r="BY73" s="132"/>
      <c r="BZ73" s="132"/>
      <c r="CA73" s="132"/>
      <c r="CB73" s="132"/>
      <c r="CC73" s="22"/>
      <c r="CG73" s="24" t="s">
        <v>105</v>
      </c>
      <c r="CH73" s="24"/>
      <c r="CI73" s="24"/>
      <c r="CJ73" s="24"/>
    </row>
    <row r="74" spans="1:88" ht="15" customHeight="1">
      <c r="A74" s="18">
        <v>2017</v>
      </c>
      <c r="B74" s="18" t="str">
        <f>+INDEX(BDD!F:F,MATCH(P74,BDD!D:D,0))&amp;"-"&amp;INDEX(BDD!E:E,MATCH(P74,BDD!D:D,0))</f>
        <v>S-P</v>
      </c>
      <c r="C74" s="360" t="s">
        <v>484</v>
      </c>
      <c r="D74" s="150" t="s">
        <v>77</v>
      </c>
      <c r="E74" s="132"/>
      <c r="F74" s="24"/>
      <c r="G74" s="346">
        <v>8000000115</v>
      </c>
      <c r="H74" s="25" t="s">
        <v>737</v>
      </c>
      <c r="I74" s="329"/>
      <c r="J74" s="346">
        <v>8000000115</v>
      </c>
      <c r="K74" s="24"/>
      <c r="L74" s="24"/>
      <c r="M74" s="24"/>
      <c r="N74" s="340" t="s">
        <v>486</v>
      </c>
      <c r="O74" s="333">
        <v>207578</v>
      </c>
      <c r="P74" s="25" t="s">
        <v>343</v>
      </c>
      <c r="Q74" s="127" t="s">
        <v>66</v>
      </c>
      <c r="R74" s="128">
        <v>740.20280000000002</v>
      </c>
      <c r="S74" s="24">
        <v>42885</v>
      </c>
      <c r="T74" s="36">
        <v>90</v>
      </c>
      <c r="U74" s="125" t="s">
        <v>118</v>
      </c>
      <c r="V74" s="157">
        <v>709196</v>
      </c>
      <c r="W74" s="129"/>
      <c r="X74" s="88">
        <v>43017</v>
      </c>
      <c r="Y74" s="130" t="s">
        <v>20</v>
      </c>
      <c r="Z74" s="133" t="s">
        <v>60</v>
      </c>
      <c r="AA74" s="133"/>
      <c r="AB74" s="148">
        <v>110.4</v>
      </c>
      <c r="AC74" s="134">
        <v>237</v>
      </c>
      <c r="AD74" s="134"/>
      <c r="AE74" s="403">
        <f t="shared" si="3"/>
        <v>26164.800000000003</v>
      </c>
      <c r="AF74" s="132">
        <v>4</v>
      </c>
      <c r="AG74" s="130" t="s">
        <v>5</v>
      </c>
      <c r="AH74" s="130"/>
      <c r="AI74" s="130" t="s">
        <v>34</v>
      </c>
      <c r="AJ74" s="130"/>
      <c r="AK74" s="130"/>
      <c r="AL74" s="135" t="s">
        <v>582</v>
      </c>
      <c r="AM74" s="314"/>
      <c r="AN74" s="26"/>
      <c r="AO74" s="26"/>
      <c r="AP74" s="26"/>
      <c r="AQ74" s="26">
        <v>42968</v>
      </c>
      <c r="AR74" s="24"/>
      <c r="AS74" s="24"/>
      <c r="AT74" s="24">
        <v>42971</v>
      </c>
      <c r="AU74" s="418">
        <f t="shared" si="4"/>
        <v>8</v>
      </c>
      <c r="AV74" s="418">
        <f t="shared" si="5"/>
        <v>2017</v>
      </c>
      <c r="AW74" s="24"/>
      <c r="AX74" s="28"/>
      <c r="AY74" s="28" t="s">
        <v>313</v>
      </c>
      <c r="AZ74" s="132" t="s">
        <v>37</v>
      </c>
      <c r="BA74" s="132"/>
      <c r="BB74" s="24"/>
      <c r="BC74" s="135" t="s">
        <v>738</v>
      </c>
      <c r="BD74" s="24">
        <v>42927</v>
      </c>
      <c r="BE74" s="135" t="s">
        <v>739</v>
      </c>
      <c r="BF74" s="135" t="s">
        <v>515</v>
      </c>
      <c r="BG74" s="135" t="s">
        <v>65</v>
      </c>
      <c r="BH74" s="135"/>
      <c r="BI74" s="314"/>
      <c r="BJ74" s="314"/>
      <c r="BK74" s="24"/>
      <c r="BL74" s="24"/>
      <c r="BM74" s="24"/>
      <c r="BN74" s="24"/>
      <c r="BO74" s="24">
        <f>+AQ74+15</f>
        <v>42983</v>
      </c>
      <c r="BP74" s="24"/>
      <c r="BQ74" s="24"/>
      <c r="BR74" s="43"/>
      <c r="BS74" s="24"/>
      <c r="BT74" s="24"/>
      <c r="BU74" s="24"/>
      <c r="BV74" s="132" t="e">
        <f>IF(#REF!="COMPLETO","OK","PENDIENTES")</f>
        <v>#REF!</v>
      </c>
      <c r="BW74" s="132"/>
      <c r="BX74" s="132"/>
      <c r="BY74" s="132"/>
      <c r="BZ74" s="132"/>
      <c r="CA74" s="132"/>
      <c r="CB74" s="132"/>
      <c r="CC74" s="22"/>
      <c r="CG74" s="24" t="s">
        <v>105</v>
      </c>
      <c r="CH74" s="24"/>
      <c r="CI74" s="24"/>
      <c r="CJ74" s="24"/>
    </row>
    <row r="75" spans="1:88" ht="15" customHeight="1">
      <c r="A75" s="18">
        <v>2017</v>
      </c>
      <c r="B75" s="18" t="str">
        <f>+INDEX(BDD!F:F,MATCH(P75,BDD!D:D,0))&amp;"-"&amp;INDEX(BDD!E:E,MATCH(P75,BDD!D:D,0))</f>
        <v>S-S</v>
      </c>
      <c r="C75" s="360" t="s">
        <v>484</v>
      </c>
      <c r="D75" s="150" t="s">
        <v>77</v>
      </c>
      <c r="E75" s="132"/>
      <c r="F75" s="24"/>
      <c r="G75" s="346">
        <v>8000000116</v>
      </c>
      <c r="H75" s="25" t="s">
        <v>740</v>
      </c>
      <c r="I75" s="329"/>
      <c r="J75" s="346">
        <v>8000000116</v>
      </c>
      <c r="K75" s="24"/>
      <c r="L75" s="24"/>
      <c r="M75" s="24"/>
      <c r="N75" s="340" t="s">
        <v>486</v>
      </c>
      <c r="O75" s="334">
        <v>206966</v>
      </c>
      <c r="P75" s="25" t="s">
        <v>152</v>
      </c>
      <c r="Q75" s="127" t="s">
        <v>225</v>
      </c>
      <c r="R75" s="128" t="s">
        <v>741</v>
      </c>
      <c r="S75" s="24">
        <v>42881</v>
      </c>
      <c r="T75" s="36">
        <v>90</v>
      </c>
      <c r="U75" s="125" t="s">
        <v>118</v>
      </c>
      <c r="V75" s="88" t="s">
        <v>742</v>
      </c>
      <c r="W75" s="129"/>
      <c r="X75" s="88"/>
      <c r="Y75" s="130" t="s">
        <v>20</v>
      </c>
      <c r="Z75" s="133" t="s">
        <v>60</v>
      </c>
      <c r="AA75" s="133"/>
      <c r="AB75" s="148">
        <v>24</v>
      </c>
      <c r="AC75" s="134">
        <v>605</v>
      </c>
      <c r="AD75" s="134"/>
      <c r="AE75" s="403">
        <f t="shared" si="3"/>
        <v>14520</v>
      </c>
      <c r="AF75" s="132" t="str">
        <f>IF(W75=BDD!$P$1,IMPORTS!AB75/25,IF(W75=BDD!$P$2,IMPORTS!AB75/25,IF(IMPORTS!W75=BDD!$P$4,IMPORTS!AB75/25.5,"--")))</f>
        <v>--</v>
      </c>
      <c r="AG75" s="130" t="s">
        <v>5</v>
      </c>
      <c r="AH75" s="130"/>
      <c r="AI75" s="130" t="s">
        <v>34</v>
      </c>
      <c r="AJ75" s="130"/>
      <c r="AK75" s="130"/>
      <c r="AL75" s="135" t="s">
        <v>743</v>
      </c>
      <c r="AM75" s="314"/>
      <c r="AN75" s="26"/>
      <c r="AO75" s="26"/>
      <c r="AP75" s="26"/>
      <c r="AQ75" s="26">
        <v>43021</v>
      </c>
      <c r="AR75" s="24"/>
      <c r="AS75" s="24"/>
      <c r="AT75" s="24">
        <v>43024</v>
      </c>
      <c r="AU75" s="418">
        <f t="shared" si="4"/>
        <v>10</v>
      </c>
      <c r="AV75" s="418">
        <f t="shared" si="5"/>
        <v>2017</v>
      </c>
      <c r="AW75" s="24"/>
      <c r="AX75" s="28"/>
      <c r="AY75" s="28" t="s">
        <v>230</v>
      </c>
      <c r="AZ75" s="132" t="s">
        <v>37</v>
      </c>
      <c r="BA75" s="132"/>
      <c r="BB75" s="24"/>
      <c r="BC75" s="135" t="s">
        <v>744</v>
      </c>
      <c r="BD75" s="24">
        <v>42971</v>
      </c>
      <c r="BE75" s="135" t="s">
        <v>745</v>
      </c>
      <c r="BF75" s="135" t="s">
        <v>746</v>
      </c>
      <c r="BG75" s="135" t="s">
        <v>65</v>
      </c>
      <c r="BH75" s="135"/>
      <c r="BI75" s="314"/>
      <c r="BJ75" s="314"/>
      <c r="BK75" s="24"/>
      <c r="BL75" s="24"/>
      <c r="BM75" s="24"/>
      <c r="BN75" s="24"/>
      <c r="BO75" s="24">
        <f>+AQ75+14</f>
        <v>43035</v>
      </c>
      <c r="BP75" s="24"/>
      <c r="BQ75" s="24"/>
      <c r="BR75" s="43"/>
      <c r="BS75" s="24"/>
      <c r="BT75" s="24"/>
      <c r="BU75" s="24"/>
      <c r="BV75" s="132" t="e">
        <f>IF(#REF!="COMPLETO","OK","PENDIENTES")</f>
        <v>#REF!</v>
      </c>
      <c r="BW75" s="132"/>
      <c r="BX75" s="132"/>
      <c r="BY75" s="132"/>
      <c r="BZ75" s="132"/>
      <c r="CA75" s="132"/>
      <c r="CB75" s="132"/>
      <c r="CC75" s="22"/>
      <c r="CG75" s="24" t="s">
        <v>105</v>
      </c>
      <c r="CH75" s="24"/>
      <c r="CI75" s="24"/>
      <c r="CJ75" s="24"/>
    </row>
    <row r="76" spans="1:88" ht="15" customHeight="1">
      <c r="A76" s="18">
        <v>2017</v>
      </c>
      <c r="B76" s="18" t="str">
        <f>+INDEX(BDD!F:F,MATCH(P76,BDD!D:D,0))&amp;"-"&amp;INDEX(BDD!E:E,MATCH(P76,BDD!D:D,0))</f>
        <v>S-S</v>
      </c>
      <c r="C76" s="360" t="s">
        <v>484</v>
      </c>
      <c r="D76" s="150" t="s">
        <v>77</v>
      </c>
      <c r="E76" s="132"/>
      <c r="F76" s="24"/>
      <c r="G76" s="346">
        <v>8000000006</v>
      </c>
      <c r="H76" s="25" t="s">
        <v>747</v>
      </c>
      <c r="I76" s="329"/>
      <c r="J76" s="346">
        <v>8000000006</v>
      </c>
      <c r="K76" s="24"/>
      <c r="L76" s="24"/>
      <c r="M76" s="24"/>
      <c r="N76" s="340" t="s">
        <v>486</v>
      </c>
      <c r="O76" s="334">
        <v>206971</v>
      </c>
      <c r="P76" s="25" t="s">
        <v>340</v>
      </c>
      <c r="Q76" s="127" t="s">
        <v>175</v>
      </c>
      <c r="R76" s="128">
        <v>4602</v>
      </c>
      <c r="S76" s="24">
        <v>42902</v>
      </c>
      <c r="T76" s="36" t="s">
        <v>19</v>
      </c>
      <c r="U76" s="125"/>
      <c r="V76" s="155">
        <v>17090009</v>
      </c>
      <c r="W76" s="129"/>
      <c r="X76" s="88">
        <v>42922</v>
      </c>
      <c r="Y76" s="130" t="s">
        <v>20</v>
      </c>
      <c r="Z76" s="133" t="s">
        <v>81</v>
      </c>
      <c r="AA76" s="133"/>
      <c r="AB76" s="148">
        <v>100</v>
      </c>
      <c r="AC76" s="134">
        <v>504</v>
      </c>
      <c r="AD76" s="134"/>
      <c r="AE76" s="403">
        <f t="shared" si="3"/>
        <v>50400</v>
      </c>
      <c r="AF76" s="132">
        <v>4</v>
      </c>
      <c r="AG76" s="130" t="s">
        <v>5</v>
      </c>
      <c r="AH76" s="130"/>
      <c r="AI76" s="130" t="s">
        <v>34</v>
      </c>
      <c r="AJ76" s="130"/>
      <c r="AK76" s="130"/>
      <c r="AL76" s="135" t="s">
        <v>624</v>
      </c>
      <c r="AM76" s="314"/>
      <c r="AN76" s="26"/>
      <c r="AO76" s="26"/>
      <c r="AP76" s="26"/>
      <c r="AQ76" s="26">
        <v>43047</v>
      </c>
      <c r="AR76" s="24"/>
      <c r="AS76" s="24"/>
      <c r="AT76" s="26">
        <v>43048</v>
      </c>
      <c r="AU76" s="418">
        <f t="shared" si="4"/>
        <v>11</v>
      </c>
      <c r="AV76" s="418">
        <f t="shared" si="5"/>
        <v>2017</v>
      </c>
      <c r="AW76" s="26"/>
      <c r="AX76" s="28"/>
      <c r="AY76" s="28" t="s">
        <v>239</v>
      </c>
      <c r="AZ76" s="132" t="s">
        <v>62</v>
      </c>
      <c r="BA76" s="132"/>
      <c r="BB76" s="26"/>
      <c r="BC76" s="128" t="s">
        <v>748</v>
      </c>
      <c r="BD76" s="24">
        <v>42984</v>
      </c>
      <c r="BE76" s="135" t="s">
        <v>749</v>
      </c>
      <c r="BF76" s="135" t="s">
        <v>750</v>
      </c>
      <c r="BG76" s="135" t="s">
        <v>53</v>
      </c>
      <c r="BH76" s="135"/>
      <c r="BI76" s="314"/>
      <c r="BJ76" s="314"/>
      <c r="BK76" s="24"/>
      <c r="BL76" s="24"/>
      <c r="BM76" s="24"/>
      <c r="BN76" s="24"/>
      <c r="BO76" s="24">
        <f>+AQ76+14</f>
        <v>43061</v>
      </c>
      <c r="BP76" s="24"/>
      <c r="BQ76" s="24"/>
      <c r="BR76" s="43"/>
      <c r="BS76" s="24"/>
      <c r="BT76" s="24"/>
      <c r="BU76" s="24"/>
      <c r="BV76" s="132" t="e">
        <f>IF(#REF!="COMPLETO","OK","PENDIENTES")</f>
        <v>#REF!</v>
      </c>
      <c r="BW76" s="132"/>
      <c r="BX76" s="132"/>
      <c r="BY76" s="132"/>
      <c r="BZ76" s="132"/>
      <c r="CA76" s="132"/>
      <c r="CB76" s="132"/>
      <c r="CC76" s="22"/>
      <c r="CG76" s="24" t="s">
        <v>105</v>
      </c>
      <c r="CH76" s="24"/>
      <c r="CI76" s="26"/>
      <c r="CJ76" s="26"/>
    </row>
    <row r="77" spans="1:88" ht="15" customHeight="1">
      <c r="A77" s="18">
        <v>2017</v>
      </c>
      <c r="B77" s="18" t="str">
        <f>+INDEX(BDD!F:F,MATCH(P77,BDD!D:D,0))&amp;"-"&amp;INDEX(BDD!E:E,MATCH(P77,BDD!D:D,0))</f>
        <v>S-P</v>
      </c>
      <c r="C77" s="360" t="s">
        <v>484</v>
      </c>
      <c r="D77" s="150" t="s">
        <v>77</v>
      </c>
      <c r="E77" s="132"/>
      <c r="F77" s="24"/>
      <c r="G77" s="346">
        <v>8000000013</v>
      </c>
      <c r="H77" s="25" t="s">
        <v>751</v>
      </c>
      <c r="I77" s="329"/>
      <c r="J77" s="346">
        <v>8000000013</v>
      </c>
      <c r="K77" s="24"/>
      <c r="L77" s="24"/>
      <c r="M77" s="24"/>
      <c r="N77" s="340" t="s">
        <v>486</v>
      </c>
      <c r="O77" s="334">
        <v>206766</v>
      </c>
      <c r="P77" s="25" t="s">
        <v>2</v>
      </c>
      <c r="Q77" s="127" t="s">
        <v>213</v>
      </c>
      <c r="R77" s="128" t="s">
        <v>752</v>
      </c>
      <c r="S77" s="24">
        <v>42893</v>
      </c>
      <c r="T77" s="36" t="s">
        <v>19</v>
      </c>
      <c r="U77" s="125"/>
      <c r="V77" s="88" t="s">
        <v>753</v>
      </c>
      <c r="W77" s="129"/>
      <c r="X77" s="88">
        <v>42940</v>
      </c>
      <c r="Y77" s="130" t="s">
        <v>20</v>
      </c>
      <c r="Z77" s="133" t="s">
        <v>72</v>
      </c>
      <c r="AA77" s="133"/>
      <c r="AB77" s="148">
        <v>76.95</v>
      </c>
      <c r="AC77" s="134">
        <v>858</v>
      </c>
      <c r="AD77" s="134"/>
      <c r="AE77" s="403">
        <f t="shared" si="3"/>
        <v>66023.100000000006</v>
      </c>
      <c r="AF77" s="132">
        <v>3</v>
      </c>
      <c r="AG77" s="130" t="s">
        <v>5</v>
      </c>
      <c r="AH77" s="130"/>
      <c r="AI77" s="130" t="s">
        <v>86</v>
      </c>
      <c r="AJ77" s="130"/>
      <c r="AK77" s="130"/>
      <c r="AL77" s="135" t="s">
        <v>671</v>
      </c>
      <c r="AM77" s="314"/>
      <c r="AN77" s="26"/>
      <c r="AO77" s="26"/>
      <c r="AP77" s="26"/>
      <c r="AQ77" s="26">
        <v>42965</v>
      </c>
      <c r="AR77" s="24"/>
      <c r="AS77" s="24"/>
      <c r="AT77" s="26">
        <v>42968</v>
      </c>
      <c r="AU77" s="418">
        <f t="shared" si="4"/>
        <v>8</v>
      </c>
      <c r="AV77" s="418">
        <f t="shared" si="5"/>
        <v>2017</v>
      </c>
      <c r="AW77" s="26"/>
      <c r="AX77" s="28"/>
      <c r="AY77" s="28" t="s">
        <v>302</v>
      </c>
      <c r="AZ77" s="132" t="s">
        <v>37</v>
      </c>
      <c r="BA77" s="132"/>
      <c r="BB77" s="26"/>
      <c r="BC77" s="135" t="s">
        <v>754</v>
      </c>
      <c r="BD77" s="24">
        <v>42930</v>
      </c>
      <c r="BE77" s="135" t="s">
        <v>755</v>
      </c>
      <c r="BF77" s="135" t="s">
        <v>756</v>
      </c>
      <c r="BG77" s="135" t="s">
        <v>41</v>
      </c>
      <c r="BH77" s="135"/>
      <c r="BI77" s="314"/>
      <c r="BJ77" s="314"/>
      <c r="BK77" s="24"/>
      <c r="BL77" s="24"/>
      <c r="BM77" s="24"/>
      <c r="BN77" s="24"/>
      <c r="BO77" s="24">
        <f>+AQ77+14</f>
        <v>42979</v>
      </c>
      <c r="BP77" s="24"/>
      <c r="BQ77" s="24"/>
      <c r="BR77" s="43"/>
      <c r="BS77" s="24"/>
      <c r="BT77" s="24"/>
      <c r="BU77" s="24"/>
      <c r="BV77" s="132" t="e">
        <f>IF(#REF!="COMPLETO","OK","PENDIENTES")</f>
        <v>#REF!</v>
      </c>
      <c r="BW77" s="132"/>
      <c r="BX77" s="132"/>
      <c r="BY77" s="132"/>
      <c r="BZ77" s="132"/>
      <c r="CA77" s="132"/>
      <c r="CB77" s="132"/>
      <c r="CC77" s="22"/>
      <c r="CG77" s="24" t="s">
        <v>105</v>
      </c>
      <c r="CH77" s="24"/>
      <c r="CI77" s="26"/>
      <c r="CJ77" s="26"/>
    </row>
    <row r="78" spans="1:88" ht="15" customHeight="1">
      <c r="A78" s="18">
        <v>2017</v>
      </c>
      <c r="B78" s="18" t="str">
        <f>+INDEX(BDD!F:F,MATCH(P78,BDD!D:D,0))&amp;"-"&amp;INDEX(BDD!E:E,MATCH(P78,BDD!D:D,0))</f>
        <v>S-P</v>
      </c>
      <c r="C78" s="360" t="s">
        <v>484</v>
      </c>
      <c r="D78" s="150" t="s">
        <v>77</v>
      </c>
      <c r="E78" s="132"/>
      <c r="F78" s="24"/>
      <c r="G78" s="346">
        <v>8000000014</v>
      </c>
      <c r="H78" s="25" t="s">
        <v>757</v>
      </c>
      <c r="I78" s="329"/>
      <c r="J78" s="346">
        <v>8000000014</v>
      </c>
      <c r="K78" s="24"/>
      <c r="L78" s="24"/>
      <c r="M78" s="24"/>
      <c r="N78" s="340" t="s">
        <v>486</v>
      </c>
      <c r="O78" s="334">
        <v>206766</v>
      </c>
      <c r="P78" s="25" t="s">
        <v>2</v>
      </c>
      <c r="Q78" s="127" t="s">
        <v>213</v>
      </c>
      <c r="R78" s="128" t="s">
        <v>758</v>
      </c>
      <c r="S78" s="24">
        <v>42893</v>
      </c>
      <c r="T78" s="36" t="s">
        <v>19</v>
      </c>
      <c r="U78" s="125"/>
      <c r="V78" s="88" t="s">
        <v>759</v>
      </c>
      <c r="W78" s="129"/>
      <c r="X78" s="88">
        <v>42940</v>
      </c>
      <c r="Y78" s="130" t="s">
        <v>20</v>
      </c>
      <c r="Z78" s="133" t="s">
        <v>72</v>
      </c>
      <c r="AA78" s="133"/>
      <c r="AB78" s="148">
        <v>128.25</v>
      </c>
      <c r="AC78" s="134">
        <v>863</v>
      </c>
      <c r="AD78" s="134"/>
      <c r="AE78" s="403">
        <f t="shared" si="3"/>
        <v>110679.75</v>
      </c>
      <c r="AF78" s="132">
        <v>5</v>
      </c>
      <c r="AG78" s="130" t="s">
        <v>5</v>
      </c>
      <c r="AH78" s="130"/>
      <c r="AI78" s="130" t="s">
        <v>86</v>
      </c>
      <c r="AJ78" s="130"/>
      <c r="AK78" s="130"/>
      <c r="AL78" s="135" t="s">
        <v>671</v>
      </c>
      <c r="AM78" s="314"/>
      <c r="AN78" s="26"/>
      <c r="AO78" s="26"/>
      <c r="AP78" s="26"/>
      <c r="AQ78" s="26">
        <v>42961</v>
      </c>
      <c r="AR78" s="24"/>
      <c r="AS78" s="24"/>
      <c r="AT78" s="26">
        <v>42965</v>
      </c>
      <c r="AU78" s="418">
        <f t="shared" si="4"/>
        <v>8</v>
      </c>
      <c r="AV78" s="418">
        <f t="shared" si="5"/>
        <v>2017</v>
      </c>
      <c r="AW78" s="26"/>
      <c r="AX78" s="28"/>
      <c r="AY78" s="28" t="s">
        <v>302</v>
      </c>
      <c r="AZ78" s="132" t="s">
        <v>9</v>
      </c>
      <c r="BA78" s="132"/>
      <c r="BB78" s="26"/>
      <c r="BC78" s="135" t="s">
        <v>760</v>
      </c>
      <c r="BD78" s="24">
        <v>42930</v>
      </c>
      <c r="BE78" s="135" t="s">
        <v>755</v>
      </c>
      <c r="BF78" s="135" t="s">
        <v>756</v>
      </c>
      <c r="BG78" s="135" t="s">
        <v>41</v>
      </c>
      <c r="BH78" s="135"/>
      <c r="BI78" s="314"/>
      <c r="BJ78" s="314"/>
      <c r="BK78" s="24"/>
      <c r="BL78" s="24"/>
      <c r="BM78" s="24"/>
      <c r="BN78" s="24"/>
      <c r="BO78" s="24">
        <v>42979</v>
      </c>
      <c r="BP78" s="24"/>
      <c r="BQ78" s="24"/>
      <c r="BR78" s="43"/>
      <c r="BS78" s="24"/>
      <c r="BT78" s="24"/>
      <c r="BU78" s="24"/>
      <c r="BV78" s="132" t="e">
        <f>IF(#REF!="COMPLETO","OK","PENDIENTES")</f>
        <v>#REF!</v>
      </c>
      <c r="BW78" s="132"/>
      <c r="BX78" s="132"/>
      <c r="BY78" s="132"/>
      <c r="BZ78" s="132"/>
      <c r="CA78" s="132"/>
      <c r="CB78" s="132"/>
      <c r="CC78" s="22"/>
      <c r="CG78" s="24" t="s">
        <v>105</v>
      </c>
      <c r="CH78" s="24"/>
      <c r="CI78" s="26"/>
      <c r="CJ78" s="26"/>
    </row>
    <row r="79" spans="1:88" ht="15" customHeight="1">
      <c r="A79" s="18">
        <v>2017</v>
      </c>
      <c r="B79" s="18" t="str">
        <f>+INDEX(BDD!F:F,MATCH(P79,BDD!D:D,0))&amp;"-"&amp;INDEX(BDD!E:E,MATCH(P79,BDD!D:D,0))</f>
        <v>S-P</v>
      </c>
      <c r="C79" s="360" t="s">
        <v>484</v>
      </c>
      <c r="D79" s="150" t="s">
        <v>77</v>
      </c>
      <c r="E79" s="132"/>
      <c r="F79" s="24"/>
      <c r="G79" s="346">
        <v>8000000004</v>
      </c>
      <c r="H79" s="25" t="s">
        <v>761</v>
      </c>
      <c r="I79" s="329"/>
      <c r="J79" s="346">
        <v>8000000004</v>
      </c>
      <c r="K79" s="24"/>
      <c r="L79" s="24"/>
      <c r="M79" s="24"/>
      <c r="N79" s="340" t="s">
        <v>486</v>
      </c>
      <c r="O79" s="334">
        <v>207374</v>
      </c>
      <c r="P79" s="25" t="s">
        <v>232</v>
      </c>
      <c r="Q79" s="127" t="s">
        <v>288</v>
      </c>
      <c r="R79" s="128" t="s">
        <v>762</v>
      </c>
      <c r="S79" s="24">
        <v>42892</v>
      </c>
      <c r="T79" s="36" t="s">
        <v>19</v>
      </c>
      <c r="U79" s="125"/>
      <c r="V79" s="88" t="s">
        <v>763</v>
      </c>
      <c r="W79" s="129"/>
      <c r="X79" s="88">
        <v>42940</v>
      </c>
      <c r="Y79" s="130" t="s">
        <v>20</v>
      </c>
      <c r="Z79" s="133" t="s">
        <v>60</v>
      </c>
      <c r="AA79" s="133"/>
      <c r="AB79" s="148">
        <v>96</v>
      </c>
      <c r="AC79" s="134">
        <v>315</v>
      </c>
      <c r="AD79" s="134"/>
      <c r="AE79" s="403">
        <f t="shared" si="3"/>
        <v>30240</v>
      </c>
      <c r="AF79" s="132">
        <v>4</v>
      </c>
      <c r="AG79" s="130" t="s">
        <v>5</v>
      </c>
      <c r="AH79" s="130"/>
      <c r="AI79" s="130" t="s">
        <v>86</v>
      </c>
      <c r="AJ79" s="130"/>
      <c r="AK79" s="130"/>
      <c r="AL79" s="135" t="s">
        <v>671</v>
      </c>
      <c r="AM79" s="314"/>
      <c r="AN79" s="26"/>
      <c r="AO79" s="26"/>
      <c r="AP79" s="26"/>
      <c r="AQ79" s="26">
        <v>42971</v>
      </c>
      <c r="AR79" s="24"/>
      <c r="AS79" s="24"/>
      <c r="AT79" s="24">
        <v>42975</v>
      </c>
      <c r="AU79" s="418">
        <f t="shared" si="4"/>
        <v>8</v>
      </c>
      <c r="AV79" s="418">
        <f t="shared" si="5"/>
        <v>2017</v>
      </c>
      <c r="AW79" s="24"/>
      <c r="AX79" s="28"/>
      <c r="AY79" s="28" t="s">
        <v>287</v>
      </c>
      <c r="AZ79" s="132" t="s">
        <v>37</v>
      </c>
      <c r="BA79" s="132"/>
      <c r="BB79" s="24"/>
      <c r="BC79" s="135" t="s">
        <v>764</v>
      </c>
      <c r="BD79" s="24">
        <v>42937</v>
      </c>
      <c r="BE79" s="135" t="s">
        <v>765</v>
      </c>
      <c r="BF79" s="135" t="s">
        <v>531</v>
      </c>
      <c r="BG79" s="135" t="s">
        <v>14</v>
      </c>
      <c r="BH79" s="135"/>
      <c r="BI79" s="314"/>
      <c r="BJ79" s="314"/>
      <c r="BK79" s="24"/>
      <c r="BL79" s="24"/>
      <c r="BM79" s="24"/>
      <c r="BN79" s="24"/>
      <c r="BO79" s="24">
        <f>+AQ79+21</f>
        <v>42992</v>
      </c>
      <c r="BP79" s="24"/>
      <c r="BQ79" s="24"/>
      <c r="BR79" s="43"/>
      <c r="BS79" s="24"/>
      <c r="BT79" s="24"/>
      <c r="BU79" s="24"/>
      <c r="BV79" s="132" t="e">
        <f>IF(#REF!="COMPLETO","OK","PENDIENTES")</f>
        <v>#REF!</v>
      </c>
      <c r="BW79" s="132"/>
      <c r="BX79" s="132"/>
      <c r="BY79" s="132"/>
      <c r="BZ79" s="132"/>
      <c r="CA79" s="132"/>
      <c r="CB79" s="132"/>
      <c r="CC79" s="22"/>
      <c r="CG79" s="24" t="s">
        <v>105</v>
      </c>
      <c r="CH79" s="24"/>
      <c r="CI79" s="24"/>
      <c r="CJ79" s="24"/>
    </row>
    <row r="80" spans="1:88" ht="15" customHeight="1">
      <c r="A80" s="18">
        <v>2017</v>
      </c>
      <c r="B80" s="18" t="str">
        <f>+INDEX(BDD!F:F,MATCH(P80,BDD!D:D,0))&amp;"-"&amp;INDEX(BDD!E:E,MATCH(P80,BDD!D:D,0))</f>
        <v>S-P</v>
      </c>
      <c r="C80" s="360" t="s">
        <v>484</v>
      </c>
      <c r="D80" s="150" t="s">
        <v>77</v>
      </c>
      <c r="E80" s="132"/>
      <c r="F80" s="24"/>
      <c r="G80" s="346">
        <v>8000000005</v>
      </c>
      <c r="H80" s="25" t="s">
        <v>766</v>
      </c>
      <c r="I80" s="329"/>
      <c r="J80" s="346">
        <v>8000000005</v>
      </c>
      <c r="K80" s="24"/>
      <c r="L80" s="24"/>
      <c r="M80" s="24"/>
      <c r="N80" s="340" t="s">
        <v>486</v>
      </c>
      <c r="O80" s="335">
        <v>207374</v>
      </c>
      <c r="P80" s="25" t="s">
        <v>232</v>
      </c>
      <c r="Q80" s="127" t="s">
        <v>288</v>
      </c>
      <c r="R80" s="128" t="s">
        <v>762</v>
      </c>
      <c r="S80" s="24">
        <v>42892</v>
      </c>
      <c r="T80" s="36" t="s">
        <v>19</v>
      </c>
      <c r="U80" s="125"/>
      <c r="V80" s="88" t="s">
        <v>767</v>
      </c>
      <c r="W80" s="129"/>
      <c r="X80" s="88">
        <v>42940</v>
      </c>
      <c r="Y80" s="130" t="s">
        <v>20</v>
      </c>
      <c r="Z80" s="133" t="s">
        <v>60</v>
      </c>
      <c r="AA80" s="133"/>
      <c r="AB80" s="148">
        <v>288</v>
      </c>
      <c r="AC80" s="134">
        <v>320</v>
      </c>
      <c r="AD80" s="134"/>
      <c r="AE80" s="403">
        <f t="shared" si="3"/>
        <v>92160</v>
      </c>
      <c r="AF80" s="132">
        <v>12</v>
      </c>
      <c r="AG80" s="130" t="s">
        <v>5</v>
      </c>
      <c r="AH80" s="130"/>
      <c r="AI80" s="130" t="s">
        <v>86</v>
      </c>
      <c r="AJ80" s="130"/>
      <c r="AK80" s="130"/>
      <c r="AL80" s="135" t="s">
        <v>671</v>
      </c>
      <c r="AM80" s="314"/>
      <c r="AN80" s="26"/>
      <c r="AO80" s="26"/>
      <c r="AP80" s="26"/>
      <c r="AQ80" s="26">
        <v>42977</v>
      </c>
      <c r="AR80" s="24"/>
      <c r="AS80" s="24"/>
      <c r="AT80" s="24">
        <v>42979</v>
      </c>
      <c r="AU80" s="418">
        <f t="shared" si="4"/>
        <v>9</v>
      </c>
      <c r="AV80" s="418">
        <f t="shared" si="5"/>
        <v>2017</v>
      </c>
      <c r="AW80" s="24"/>
      <c r="AX80" s="28"/>
      <c r="AY80" s="28" t="s">
        <v>287</v>
      </c>
      <c r="AZ80" s="132" t="s">
        <v>9</v>
      </c>
      <c r="BA80" s="132"/>
      <c r="BB80" s="24"/>
      <c r="BC80" s="135" t="s">
        <v>768</v>
      </c>
      <c r="BD80" s="24">
        <v>42937</v>
      </c>
      <c r="BE80" s="135" t="s">
        <v>765</v>
      </c>
      <c r="BF80" s="135" t="s">
        <v>769</v>
      </c>
      <c r="BG80" s="135" t="s">
        <v>14</v>
      </c>
      <c r="BH80" s="135"/>
      <c r="BI80" s="314"/>
      <c r="BJ80" s="314"/>
      <c r="BK80" s="24"/>
      <c r="BL80" s="24"/>
      <c r="BM80" s="24"/>
      <c r="BN80" s="24"/>
      <c r="BO80" s="24">
        <f>+AQ80+21</f>
        <v>42998</v>
      </c>
      <c r="BP80" s="24"/>
      <c r="BQ80" s="24"/>
      <c r="BR80" s="43"/>
      <c r="BS80" s="24"/>
      <c r="BT80" s="24"/>
      <c r="BU80" s="24"/>
      <c r="BV80" s="132" t="e">
        <f>IF(#REF!="COMPLETO","OK","PENDIENTES")</f>
        <v>#REF!</v>
      </c>
      <c r="BW80" s="132"/>
      <c r="BX80" s="132"/>
      <c r="BY80" s="132"/>
      <c r="BZ80" s="132"/>
      <c r="CA80" s="132"/>
      <c r="CB80" s="132"/>
      <c r="CC80" s="22"/>
      <c r="CG80" s="24" t="s">
        <v>105</v>
      </c>
      <c r="CH80" s="24"/>
      <c r="CI80" s="24"/>
      <c r="CJ80" s="24"/>
    </row>
    <row r="81" spans="1:88" ht="15" customHeight="1">
      <c r="A81" s="18">
        <v>2017</v>
      </c>
      <c r="B81" s="18" t="str">
        <f>+INDEX(BDD!F:F,MATCH(P81,BDD!D:D,0))&amp;"-"&amp;INDEX(BDD!E:E,MATCH(P81,BDD!D:D,0))</f>
        <v>S-P</v>
      </c>
      <c r="C81" s="360" t="s">
        <v>484</v>
      </c>
      <c r="D81" s="150" t="s">
        <v>77</v>
      </c>
      <c r="E81" s="132"/>
      <c r="F81" s="24"/>
      <c r="G81" s="346">
        <v>8000000009</v>
      </c>
      <c r="H81" s="25" t="s">
        <v>770</v>
      </c>
      <c r="I81" s="329"/>
      <c r="J81" s="346">
        <v>8000000009</v>
      </c>
      <c r="K81" s="24"/>
      <c r="L81" s="24"/>
      <c r="M81" s="24"/>
      <c r="N81" s="340" t="s">
        <v>486</v>
      </c>
      <c r="O81" s="335">
        <v>207374</v>
      </c>
      <c r="P81" s="25" t="s">
        <v>232</v>
      </c>
      <c r="Q81" s="127" t="s">
        <v>288</v>
      </c>
      <c r="R81" s="128" t="s">
        <v>771</v>
      </c>
      <c r="S81" s="24">
        <v>42892</v>
      </c>
      <c r="T81" s="36" t="s">
        <v>19</v>
      </c>
      <c r="U81" s="125"/>
      <c r="V81" s="88" t="s">
        <v>772</v>
      </c>
      <c r="W81" s="129"/>
      <c r="X81" s="88">
        <v>42972</v>
      </c>
      <c r="Y81" s="130" t="s">
        <v>20</v>
      </c>
      <c r="Z81" s="133" t="s">
        <v>60</v>
      </c>
      <c r="AA81" s="133"/>
      <c r="AB81" s="158">
        <v>192</v>
      </c>
      <c r="AC81" s="134">
        <v>315</v>
      </c>
      <c r="AD81" s="134"/>
      <c r="AE81" s="403">
        <f t="shared" si="3"/>
        <v>60480</v>
      </c>
      <c r="AF81" s="132" t="str">
        <f>IF(W81=BDD!$P$1,IMPORTS!AB81/25,IF(W81=BDD!$P$2,IMPORTS!AB81/25,IF(IMPORTS!W81=BDD!$P$4,IMPORTS!AB81/25.5,"--")))</f>
        <v>--</v>
      </c>
      <c r="AG81" s="130" t="s">
        <v>5</v>
      </c>
      <c r="AH81" s="130"/>
      <c r="AI81" s="130" t="s">
        <v>34</v>
      </c>
      <c r="AJ81" s="130"/>
      <c r="AK81" s="130"/>
      <c r="AL81" s="24" t="s">
        <v>624</v>
      </c>
      <c r="AM81" s="314"/>
      <c r="AN81" s="26"/>
      <c r="AO81" s="26"/>
      <c r="AP81" s="26"/>
      <c r="AQ81" s="26">
        <v>43035</v>
      </c>
      <c r="AR81" s="24"/>
      <c r="AS81" s="24"/>
      <c r="AT81" s="26">
        <v>43042</v>
      </c>
      <c r="AU81" s="418">
        <f t="shared" si="4"/>
        <v>11</v>
      </c>
      <c r="AV81" s="418">
        <f t="shared" si="5"/>
        <v>2017</v>
      </c>
      <c r="AW81" s="26"/>
      <c r="AX81" s="28"/>
      <c r="AY81" s="28" t="s">
        <v>269</v>
      </c>
      <c r="AZ81" s="132" t="s">
        <v>37</v>
      </c>
      <c r="BA81" s="132"/>
      <c r="BB81" s="26"/>
      <c r="BC81" s="135" t="s">
        <v>773</v>
      </c>
      <c r="BD81" s="24">
        <v>42994</v>
      </c>
      <c r="BE81" s="135" t="s">
        <v>774</v>
      </c>
      <c r="BF81" s="135" t="s">
        <v>579</v>
      </c>
      <c r="BG81" s="135" t="s">
        <v>29</v>
      </c>
      <c r="BH81" s="135"/>
      <c r="BI81" s="314"/>
      <c r="BJ81" s="314"/>
      <c r="BK81" s="24"/>
      <c r="BL81" s="24"/>
      <c r="BM81" s="24"/>
      <c r="BN81" s="24"/>
      <c r="BO81" s="24">
        <f>+AQ81+14</f>
        <v>43049</v>
      </c>
      <c r="BP81" s="24"/>
      <c r="BQ81" s="24"/>
      <c r="BR81" s="43"/>
      <c r="BS81" s="24"/>
      <c r="BT81" s="24"/>
      <c r="BU81" s="24"/>
      <c r="BV81" s="132" t="e">
        <f>IF(#REF!="COMPLETO","OK","PENDIENTES")</f>
        <v>#REF!</v>
      </c>
      <c r="BW81" s="132"/>
      <c r="BX81" s="132"/>
      <c r="BY81" s="132"/>
      <c r="BZ81" s="132"/>
      <c r="CA81" s="132"/>
      <c r="CB81" s="132"/>
      <c r="CC81" s="22"/>
      <c r="CG81" s="24" t="s">
        <v>105</v>
      </c>
      <c r="CH81" s="24"/>
      <c r="CI81" s="26"/>
      <c r="CJ81" s="26"/>
    </row>
    <row r="82" spans="1:88" ht="15" customHeight="1">
      <c r="A82" s="18">
        <v>2017</v>
      </c>
      <c r="B82" s="18" t="str">
        <f>+INDEX(BDD!F:F,MATCH(P82,BDD!D:D,0))&amp;"-"&amp;INDEX(BDD!E:E,MATCH(P82,BDD!D:D,0))</f>
        <v>S-P</v>
      </c>
      <c r="C82" s="360" t="s">
        <v>484</v>
      </c>
      <c r="D82" s="150" t="s">
        <v>77</v>
      </c>
      <c r="E82" s="132"/>
      <c r="F82" s="24"/>
      <c r="G82" s="346">
        <v>8000000010</v>
      </c>
      <c r="H82" s="25" t="s">
        <v>775</v>
      </c>
      <c r="I82" s="329"/>
      <c r="J82" s="346">
        <v>8000000010</v>
      </c>
      <c r="K82" s="24"/>
      <c r="L82" s="24"/>
      <c r="M82" s="24"/>
      <c r="N82" s="340" t="s">
        <v>486</v>
      </c>
      <c r="O82" s="335">
        <v>207374</v>
      </c>
      <c r="P82" s="25" t="s">
        <v>232</v>
      </c>
      <c r="Q82" s="127" t="s">
        <v>288</v>
      </c>
      <c r="R82" s="128" t="s">
        <v>776</v>
      </c>
      <c r="S82" s="24">
        <v>42892</v>
      </c>
      <c r="T82" s="36" t="s">
        <v>19</v>
      </c>
      <c r="U82" s="125"/>
      <c r="V82" s="88" t="s">
        <v>777</v>
      </c>
      <c r="W82" s="129"/>
      <c r="X82" s="88">
        <v>42972</v>
      </c>
      <c r="Y82" s="130" t="s">
        <v>20</v>
      </c>
      <c r="Z82" s="133" t="s">
        <v>60</v>
      </c>
      <c r="AA82" s="133"/>
      <c r="AB82" s="160">
        <v>312</v>
      </c>
      <c r="AC82" s="134">
        <v>320</v>
      </c>
      <c r="AD82" s="134"/>
      <c r="AE82" s="403">
        <f t="shared" si="3"/>
        <v>99840</v>
      </c>
      <c r="AF82" s="132">
        <v>13</v>
      </c>
      <c r="AG82" s="130" t="s">
        <v>5</v>
      </c>
      <c r="AH82" s="130"/>
      <c r="AI82" s="130" t="s">
        <v>34</v>
      </c>
      <c r="AJ82" s="159"/>
      <c r="AK82" s="159"/>
      <c r="AL82" s="24" t="s">
        <v>624</v>
      </c>
      <c r="AM82" s="314"/>
      <c r="AN82" s="26"/>
      <c r="AO82" s="26"/>
      <c r="AP82" s="26"/>
      <c r="AQ82" s="26">
        <v>43038</v>
      </c>
      <c r="AR82" s="24"/>
      <c r="AS82" s="24"/>
      <c r="AT82" s="24">
        <v>43043</v>
      </c>
      <c r="AU82" s="418">
        <f t="shared" si="4"/>
        <v>11</v>
      </c>
      <c r="AV82" s="418">
        <f t="shared" si="5"/>
        <v>2017</v>
      </c>
      <c r="AW82" s="24"/>
      <c r="AX82" s="28"/>
      <c r="AY82" s="28" t="s">
        <v>269</v>
      </c>
      <c r="AZ82" s="132" t="s">
        <v>9</v>
      </c>
      <c r="BA82" s="132"/>
      <c r="BB82" s="24"/>
      <c r="BC82" s="135" t="s">
        <v>778</v>
      </c>
      <c r="BD82" s="24">
        <v>42994</v>
      </c>
      <c r="BE82" s="135" t="s">
        <v>774</v>
      </c>
      <c r="BF82" s="135" t="s">
        <v>580</v>
      </c>
      <c r="BG82" s="135" t="s">
        <v>29</v>
      </c>
      <c r="BH82" s="135"/>
      <c r="BI82" s="314"/>
      <c r="BJ82" s="314"/>
      <c r="BK82" s="24"/>
      <c r="BL82" s="24"/>
      <c r="BM82" s="24"/>
      <c r="BN82" s="24"/>
      <c r="BO82" s="24">
        <v>43058</v>
      </c>
      <c r="BP82" s="24"/>
      <c r="BQ82" s="24"/>
      <c r="BR82" s="43"/>
      <c r="BS82" s="24"/>
      <c r="BT82" s="24"/>
      <c r="BU82" s="24"/>
      <c r="BV82" s="132" t="e">
        <f>IF(#REF!="COMPLETO","OK","PENDIENTES")</f>
        <v>#REF!</v>
      </c>
      <c r="BW82" s="132"/>
      <c r="BX82" s="132"/>
      <c r="BY82" s="132"/>
      <c r="BZ82" s="132"/>
      <c r="CA82" s="132"/>
      <c r="CB82" s="132"/>
      <c r="CC82" s="22"/>
      <c r="CG82" s="24" t="s">
        <v>105</v>
      </c>
      <c r="CH82" s="24"/>
      <c r="CI82" s="24"/>
      <c r="CJ82" s="24"/>
    </row>
    <row r="83" spans="1:88" ht="15" customHeight="1">
      <c r="A83" s="18">
        <v>2017</v>
      </c>
      <c r="B83" s="18" t="str">
        <f>+INDEX(BDD!F:F,MATCH(P83,BDD!D:D,0))&amp;"-"&amp;INDEX(BDD!E:E,MATCH(P83,BDD!D:D,0))</f>
        <v>S-P</v>
      </c>
      <c r="C83" s="360" t="s">
        <v>484</v>
      </c>
      <c r="D83" s="150" t="s">
        <v>77</v>
      </c>
      <c r="E83" s="132"/>
      <c r="F83" s="24"/>
      <c r="G83" s="346">
        <v>8000000011</v>
      </c>
      <c r="H83" s="25" t="s">
        <v>779</v>
      </c>
      <c r="I83" s="329"/>
      <c r="J83" s="346">
        <v>8000000011</v>
      </c>
      <c r="K83" s="24"/>
      <c r="L83" s="24"/>
      <c r="M83" s="24"/>
      <c r="N83" s="340" t="s">
        <v>486</v>
      </c>
      <c r="O83" s="334">
        <v>206766</v>
      </c>
      <c r="P83" s="25" t="s">
        <v>2</v>
      </c>
      <c r="Q83" s="127" t="s">
        <v>213</v>
      </c>
      <c r="R83" s="128" t="s">
        <v>780</v>
      </c>
      <c r="S83" s="24">
        <v>42926</v>
      </c>
      <c r="T83" s="36" t="s">
        <v>19</v>
      </c>
      <c r="U83" s="125"/>
      <c r="V83" s="161">
        <v>20171013</v>
      </c>
      <c r="W83" s="162"/>
      <c r="X83" s="88">
        <v>42961</v>
      </c>
      <c r="Y83" s="130" t="s">
        <v>20</v>
      </c>
      <c r="Z83" s="133" t="s">
        <v>72</v>
      </c>
      <c r="AA83" s="133"/>
      <c r="AB83" s="163">
        <v>179.55</v>
      </c>
      <c r="AC83" s="134">
        <v>835</v>
      </c>
      <c r="AD83" s="134"/>
      <c r="AE83" s="403">
        <f t="shared" si="3"/>
        <v>149924.25</v>
      </c>
      <c r="AF83" s="132">
        <v>7</v>
      </c>
      <c r="AG83" s="130" t="s">
        <v>5</v>
      </c>
      <c r="AH83" s="130"/>
      <c r="AI83" s="130" t="s">
        <v>86</v>
      </c>
      <c r="AJ83" s="130"/>
      <c r="AK83" s="130"/>
      <c r="AL83" s="135" t="s">
        <v>743</v>
      </c>
      <c r="AM83" s="314"/>
      <c r="AN83" s="26"/>
      <c r="AO83" s="26"/>
      <c r="AP83" s="26"/>
      <c r="AQ83" s="26">
        <v>42988</v>
      </c>
      <c r="AR83" s="24"/>
      <c r="AS83" s="24"/>
      <c r="AT83" s="24">
        <v>42991</v>
      </c>
      <c r="AU83" s="418">
        <f t="shared" si="4"/>
        <v>9</v>
      </c>
      <c r="AV83" s="418">
        <f t="shared" si="5"/>
        <v>2017</v>
      </c>
      <c r="AW83" s="24"/>
      <c r="AX83" s="28"/>
      <c r="AY83" s="28" t="s">
        <v>302</v>
      </c>
      <c r="AZ83" s="132" t="s">
        <v>37</v>
      </c>
      <c r="BA83" s="132"/>
      <c r="BB83" s="24"/>
      <c r="BC83" s="135" t="s">
        <v>781</v>
      </c>
      <c r="BD83" s="24">
        <v>42958</v>
      </c>
      <c r="BE83" s="135" t="s">
        <v>782</v>
      </c>
      <c r="BF83" s="135" t="s">
        <v>783</v>
      </c>
      <c r="BG83" s="135" t="s">
        <v>41</v>
      </c>
      <c r="BH83" s="135"/>
      <c r="BI83" s="314"/>
      <c r="BJ83" s="314"/>
      <c r="BK83" s="24"/>
      <c r="BL83" s="24"/>
      <c r="BM83" s="24"/>
      <c r="BN83" s="24"/>
      <c r="BO83" s="24">
        <f>+AQ83+14</f>
        <v>43002</v>
      </c>
      <c r="BP83" s="24"/>
      <c r="BQ83" s="24"/>
      <c r="BR83" s="43"/>
      <c r="BS83" s="24"/>
      <c r="BT83" s="24"/>
      <c r="BU83" s="24"/>
      <c r="BV83" s="132" t="e">
        <f>IF(#REF!="COMPLETO","OK","PENDIENTES")</f>
        <v>#REF!</v>
      </c>
      <c r="BW83" s="132"/>
      <c r="BX83" s="132"/>
      <c r="BY83" s="132"/>
      <c r="BZ83" s="132"/>
      <c r="CA83" s="132"/>
      <c r="CB83" s="132"/>
      <c r="CC83" s="22"/>
      <c r="CG83" s="24" t="s">
        <v>105</v>
      </c>
      <c r="CH83" s="24"/>
      <c r="CI83" s="24"/>
      <c r="CJ83" s="24"/>
    </row>
    <row r="84" spans="1:88" ht="15" customHeight="1">
      <c r="A84" s="18">
        <v>2017</v>
      </c>
      <c r="B84" s="18" t="str">
        <f>+INDEX(BDD!F:F,MATCH(P84,BDD!D:D,0))&amp;"-"&amp;INDEX(BDD!E:E,MATCH(P84,BDD!D:D,0))</f>
        <v>S-P</v>
      </c>
      <c r="C84" s="360" t="s">
        <v>484</v>
      </c>
      <c r="D84" s="150" t="s">
        <v>77</v>
      </c>
      <c r="E84" s="132"/>
      <c r="F84" s="24"/>
      <c r="G84" s="346">
        <v>8000000012</v>
      </c>
      <c r="H84" s="25" t="s">
        <v>784</v>
      </c>
      <c r="I84" s="329"/>
      <c r="J84" s="346">
        <v>8000000012</v>
      </c>
      <c r="K84" s="24"/>
      <c r="L84" s="24"/>
      <c r="M84" s="24"/>
      <c r="N84" s="340" t="s">
        <v>486</v>
      </c>
      <c r="O84" s="334">
        <v>206766</v>
      </c>
      <c r="P84" s="25" t="s">
        <v>2</v>
      </c>
      <c r="Q84" s="127" t="s">
        <v>213</v>
      </c>
      <c r="R84" s="128" t="s">
        <v>785</v>
      </c>
      <c r="S84" s="24">
        <v>42926</v>
      </c>
      <c r="T84" s="36" t="s">
        <v>19</v>
      </c>
      <c r="U84" s="125"/>
      <c r="V84" s="161">
        <v>20171014</v>
      </c>
      <c r="W84" s="162"/>
      <c r="X84" s="88">
        <v>42972</v>
      </c>
      <c r="Y84" s="130" t="s">
        <v>20</v>
      </c>
      <c r="Z84" s="133" t="s">
        <v>72</v>
      </c>
      <c r="AA84" s="133"/>
      <c r="AB84" s="163">
        <v>333.45</v>
      </c>
      <c r="AC84" s="134">
        <v>840</v>
      </c>
      <c r="AD84" s="134"/>
      <c r="AE84" s="403">
        <f t="shared" si="3"/>
        <v>280098</v>
      </c>
      <c r="AF84" s="132">
        <v>13</v>
      </c>
      <c r="AG84" s="130" t="s">
        <v>5</v>
      </c>
      <c r="AH84" s="130"/>
      <c r="AI84" s="130" t="s">
        <v>86</v>
      </c>
      <c r="AJ84" s="130"/>
      <c r="AK84" s="130"/>
      <c r="AL84" s="135" t="s">
        <v>743</v>
      </c>
      <c r="AM84" s="314"/>
      <c r="AN84" s="26"/>
      <c r="AO84" s="26"/>
      <c r="AP84" s="26"/>
      <c r="AQ84" s="26">
        <v>42981</v>
      </c>
      <c r="AR84" s="24"/>
      <c r="AS84" s="24"/>
      <c r="AT84" s="24">
        <v>42984</v>
      </c>
      <c r="AU84" s="418">
        <f t="shared" si="4"/>
        <v>9</v>
      </c>
      <c r="AV84" s="418">
        <f t="shared" si="5"/>
        <v>2017</v>
      </c>
      <c r="AW84" s="24"/>
      <c r="AX84" s="28"/>
      <c r="AY84" s="28" t="s">
        <v>302</v>
      </c>
      <c r="AZ84" s="132" t="s">
        <v>9</v>
      </c>
      <c r="BA84" s="132"/>
      <c r="BB84" s="24"/>
      <c r="BC84" s="135" t="s">
        <v>786</v>
      </c>
      <c r="BD84" s="24">
        <v>42958</v>
      </c>
      <c r="BE84" s="135" t="s">
        <v>782</v>
      </c>
      <c r="BF84" s="135" t="s">
        <v>652</v>
      </c>
      <c r="BG84" s="135" t="s">
        <v>41</v>
      </c>
      <c r="BH84" s="135"/>
      <c r="BI84" s="314"/>
      <c r="BJ84" s="314"/>
      <c r="BK84" s="24"/>
      <c r="BL84" s="24"/>
      <c r="BM84" s="24"/>
      <c r="BN84" s="24"/>
      <c r="BO84" s="24">
        <v>43000</v>
      </c>
      <c r="BP84" s="24"/>
      <c r="BQ84" s="24"/>
      <c r="BR84" s="43"/>
      <c r="BS84" s="24"/>
      <c r="BT84" s="24"/>
      <c r="BU84" s="24"/>
      <c r="BV84" s="132" t="e">
        <f>IF(#REF!="COMPLETO","OK","PENDIENTES")</f>
        <v>#REF!</v>
      </c>
      <c r="BW84" s="132"/>
      <c r="BX84" s="132"/>
      <c r="BY84" s="132"/>
      <c r="BZ84" s="132"/>
      <c r="CA84" s="132"/>
      <c r="CB84" s="132"/>
      <c r="CC84" s="22"/>
      <c r="CG84" s="24" t="s">
        <v>105</v>
      </c>
      <c r="CH84" s="24"/>
      <c r="CI84" s="24"/>
      <c r="CJ84" s="24"/>
    </row>
    <row r="85" spans="1:88" ht="15" customHeight="1">
      <c r="A85" s="18">
        <v>2017</v>
      </c>
      <c r="B85" s="18" t="str">
        <f>+INDEX(BDD!F:F,MATCH(P85,BDD!D:D,0))&amp;"-"&amp;INDEX(BDD!E:E,MATCH(P85,BDD!D:D,0))</f>
        <v>S-S</v>
      </c>
      <c r="C85" s="360" t="s">
        <v>484</v>
      </c>
      <c r="D85" s="150" t="s">
        <v>77</v>
      </c>
      <c r="E85" s="132"/>
      <c r="F85" s="24"/>
      <c r="G85" s="346">
        <v>8000000117</v>
      </c>
      <c r="H85" s="25" t="s">
        <v>787</v>
      </c>
      <c r="I85" s="329"/>
      <c r="J85" s="346">
        <v>8000000117</v>
      </c>
      <c r="K85" s="24"/>
      <c r="L85" s="24"/>
      <c r="M85" s="24"/>
      <c r="N85" s="340" t="s">
        <v>486</v>
      </c>
      <c r="O85" s="334">
        <v>206966</v>
      </c>
      <c r="P85" s="25" t="s">
        <v>152</v>
      </c>
      <c r="Q85" s="127" t="s">
        <v>225</v>
      </c>
      <c r="R85" s="128" t="s">
        <v>741</v>
      </c>
      <c r="S85" s="24">
        <v>42881</v>
      </c>
      <c r="T85" s="36">
        <v>90</v>
      </c>
      <c r="U85" s="125" t="s">
        <v>118</v>
      </c>
      <c r="V85" s="88" t="s">
        <v>788</v>
      </c>
      <c r="W85" s="129"/>
      <c r="X85" s="88"/>
      <c r="Y85" s="130" t="s">
        <v>20</v>
      </c>
      <c r="Z85" s="133" t="s">
        <v>60</v>
      </c>
      <c r="AA85" s="133"/>
      <c r="AB85" s="148">
        <v>72</v>
      </c>
      <c r="AC85" s="134">
        <v>625</v>
      </c>
      <c r="AD85" s="134"/>
      <c r="AE85" s="403">
        <f t="shared" si="3"/>
        <v>45000</v>
      </c>
      <c r="AF85" s="132" t="str">
        <f>IF(W85=BDD!$P$1,IMPORTS!AB85/25,IF(W85=BDD!$P$2,IMPORTS!AB85/25,IF(IMPORTS!W85=BDD!$P$4,IMPORTS!AB85/25.5,"--")))</f>
        <v>--</v>
      </c>
      <c r="AG85" s="130" t="s">
        <v>5</v>
      </c>
      <c r="AH85" s="130"/>
      <c r="AI85" s="130" t="s">
        <v>34</v>
      </c>
      <c r="AJ85" s="130"/>
      <c r="AK85" s="130"/>
      <c r="AL85" s="135" t="s">
        <v>743</v>
      </c>
      <c r="AM85" s="314"/>
      <c r="AN85" s="26"/>
      <c r="AO85" s="26"/>
      <c r="AP85" s="26"/>
      <c r="AQ85" s="26">
        <v>43027</v>
      </c>
      <c r="AR85" s="24"/>
      <c r="AS85" s="24"/>
      <c r="AT85" s="24">
        <v>43028</v>
      </c>
      <c r="AU85" s="418">
        <f t="shared" si="4"/>
        <v>10</v>
      </c>
      <c r="AV85" s="418">
        <f t="shared" si="5"/>
        <v>2017</v>
      </c>
      <c r="AW85" s="24"/>
      <c r="AX85" s="28"/>
      <c r="AY85" s="28" t="s">
        <v>230</v>
      </c>
      <c r="AZ85" s="132" t="s">
        <v>9</v>
      </c>
      <c r="BA85" s="132"/>
      <c r="BB85" s="24"/>
      <c r="BC85" s="135" t="s">
        <v>789</v>
      </c>
      <c r="BD85" s="24">
        <v>42971</v>
      </c>
      <c r="BE85" s="135" t="s">
        <v>745</v>
      </c>
      <c r="BF85" s="135" t="s">
        <v>790</v>
      </c>
      <c r="BG85" s="135" t="s">
        <v>65</v>
      </c>
      <c r="BH85" s="135"/>
      <c r="BI85" s="314"/>
      <c r="BJ85" s="314"/>
      <c r="BK85" s="24"/>
      <c r="BL85" s="24"/>
      <c r="BM85" s="24"/>
      <c r="BN85" s="24"/>
      <c r="BO85" s="24">
        <v>43056</v>
      </c>
      <c r="BP85" s="24"/>
      <c r="BQ85" s="24"/>
      <c r="BR85" s="43"/>
      <c r="BS85" s="24"/>
      <c r="BT85" s="24"/>
      <c r="BU85" s="24"/>
      <c r="BV85" s="132" t="e">
        <f>IF(#REF!="COMPLETO","OK","PENDIENTES")</f>
        <v>#REF!</v>
      </c>
      <c r="BW85" s="132"/>
      <c r="BX85" s="132"/>
      <c r="BY85" s="132"/>
      <c r="BZ85" s="132"/>
      <c r="CA85" s="132"/>
      <c r="CB85" s="132"/>
      <c r="CC85" s="22"/>
      <c r="CG85" s="24" t="s">
        <v>105</v>
      </c>
      <c r="CH85" s="24"/>
      <c r="CI85" s="24"/>
      <c r="CJ85" s="24"/>
    </row>
    <row r="86" spans="1:88" ht="15" customHeight="1">
      <c r="A86" s="18">
        <v>2017</v>
      </c>
      <c r="B86" s="18" t="str">
        <f>+INDEX(BDD!F:F,MATCH(P86,BDD!D:D,0))&amp;"-"&amp;INDEX(BDD!E:E,MATCH(P86,BDD!D:D,0))</f>
        <v>S-S</v>
      </c>
      <c r="C86" s="360" t="s">
        <v>484</v>
      </c>
      <c r="D86" s="150" t="s">
        <v>77</v>
      </c>
      <c r="E86" s="132"/>
      <c r="F86" s="24"/>
      <c r="G86" s="346">
        <v>8000000043</v>
      </c>
      <c r="H86" s="25" t="s">
        <v>791</v>
      </c>
      <c r="I86" s="329"/>
      <c r="J86" s="346">
        <v>8000000043</v>
      </c>
      <c r="K86" s="24"/>
      <c r="L86" s="24"/>
      <c r="M86" s="24"/>
      <c r="N86" s="340" t="s">
        <v>486</v>
      </c>
      <c r="O86" s="333">
        <v>206914</v>
      </c>
      <c r="P86" s="25" t="s">
        <v>335</v>
      </c>
      <c r="Q86" s="127" t="s">
        <v>261</v>
      </c>
      <c r="R86" s="128" t="s">
        <v>792</v>
      </c>
      <c r="S86" s="24">
        <v>42964</v>
      </c>
      <c r="T86" s="36" t="s">
        <v>19</v>
      </c>
      <c r="U86" s="125"/>
      <c r="V86" s="161">
        <v>293953</v>
      </c>
      <c r="W86" s="162"/>
      <c r="X86" s="88"/>
      <c r="Y86" s="130" t="s">
        <v>20</v>
      </c>
      <c r="Z86" s="133" t="s">
        <v>60</v>
      </c>
      <c r="AA86" s="133"/>
      <c r="AB86" s="158">
        <v>300</v>
      </c>
      <c r="AC86" s="134">
        <v>115</v>
      </c>
      <c r="AD86" s="134"/>
      <c r="AE86" s="403">
        <f t="shared" si="3"/>
        <v>34500</v>
      </c>
      <c r="AF86" s="132" t="str">
        <f>IF(W86=BDD!$P$1,IMPORTS!AB86/25,IF(W86=BDD!$P$2,IMPORTS!AB86/25,IF(IMPORTS!W86=BDD!$P$4,IMPORTS!AB86/25.5,"--")))</f>
        <v>--</v>
      </c>
      <c r="AG86" s="130" t="s">
        <v>58</v>
      </c>
      <c r="AH86" s="130"/>
      <c r="AI86" s="130" t="s">
        <v>34</v>
      </c>
      <c r="AJ86" s="130"/>
      <c r="AK86" s="130"/>
      <c r="AL86" s="24" t="s">
        <v>624</v>
      </c>
      <c r="AM86" s="314"/>
      <c r="AN86" s="26"/>
      <c r="AO86" s="26"/>
      <c r="AP86" s="26"/>
      <c r="AQ86" s="26">
        <v>43041</v>
      </c>
      <c r="AR86" s="24"/>
      <c r="AS86" s="24"/>
      <c r="AT86" s="26">
        <v>43048</v>
      </c>
      <c r="AU86" s="418">
        <f t="shared" si="4"/>
        <v>11</v>
      </c>
      <c r="AV86" s="418">
        <f t="shared" si="5"/>
        <v>2017</v>
      </c>
      <c r="AW86" s="26"/>
      <c r="AX86" s="28"/>
      <c r="AY86" s="28" t="s">
        <v>607</v>
      </c>
      <c r="AZ86" s="132" t="s">
        <v>37</v>
      </c>
      <c r="BA86" s="132"/>
      <c r="BB86" s="26"/>
      <c r="BC86" s="128" t="s">
        <v>793</v>
      </c>
      <c r="BD86" s="24">
        <v>42997</v>
      </c>
      <c r="BE86" s="135" t="s">
        <v>794</v>
      </c>
      <c r="BF86" s="135" t="s">
        <v>794</v>
      </c>
      <c r="BG86" s="135"/>
      <c r="BH86" s="135"/>
      <c r="BI86" s="314"/>
      <c r="BJ86" s="314"/>
      <c r="BK86" s="24"/>
      <c r="BL86" s="24"/>
      <c r="BM86" s="24"/>
      <c r="BN86" s="24"/>
      <c r="BO86" s="24"/>
      <c r="BP86" s="24"/>
      <c r="BQ86" s="24"/>
      <c r="BR86" s="43"/>
      <c r="BS86" s="24"/>
      <c r="BT86" s="24"/>
      <c r="BU86" s="24"/>
      <c r="BV86" s="132" t="e">
        <f>IF(#REF!="COMPLETO","OK","PENDIENTES")</f>
        <v>#REF!</v>
      </c>
      <c r="BW86" s="132"/>
      <c r="BX86" s="132"/>
      <c r="BY86" s="132"/>
      <c r="BZ86" s="132"/>
      <c r="CA86" s="132"/>
      <c r="CB86" s="132"/>
      <c r="CC86" s="22"/>
      <c r="CG86" s="24" t="s">
        <v>105</v>
      </c>
      <c r="CH86" s="24"/>
      <c r="CI86" s="26"/>
      <c r="CJ86" s="26"/>
    </row>
    <row r="87" spans="1:88" ht="15" customHeight="1">
      <c r="A87" s="18">
        <v>2017</v>
      </c>
      <c r="B87" s="18" t="str">
        <f>+INDEX(BDD!F:F,MATCH(P87,BDD!D:D,0))&amp;"-"&amp;INDEX(BDD!E:E,MATCH(P87,BDD!D:D,0))</f>
        <v>G-S</v>
      </c>
      <c r="C87" s="360" t="s">
        <v>484</v>
      </c>
      <c r="D87" s="150" t="s">
        <v>77</v>
      </c>
      <c r="E87" s="132"/>
      <c r="F87" s="24"/>
      <c r="G87" s="346">
        <v>8000000044</v>
      </c>
      <c r="H87" s="25" t="s">
        <v>795</v>
      </c>
      <c r="I87" s="329"/>
      <c r="J87" s="346">
        <v>8000000044</v>
      </c>
      <c r="K87" s="24"/>
      <c r="L87" s="24"/>
      <c r="M87" s="24"/>
      <c r="N87" s="340" t="s">
        <v>486</v>
      </c>
      <c r="O87" s="333">
        <v>209979</v>
      </c>
      <c r="P87" s="25" t="s">
        <v>339</v>
      </c>
      <c r="Q87" s="127" t="s">
        <v>207</v>
      </c>
      <c r="R87" s="128">
        <v>4000645812</v>
      </c>
      <c r="S87" s="24">
        <v>42949</v>
      </c>
      <c r="T87" s="36" t="s">
        <v>19</v>
      </c>
      <c r="U87" s="125"/>
      <c r="V87" s="161">
        <v>4200567071</v>
      </c>
      <c r="W87" s="162"/>
      <c r="X87" s="88">
        <v>42982</v>
      </c>
      <c r="Y87" s="130" t="s">
        <v>20</v>
      </c>
      <c r="Z87" s="133" t="s">
        <v>72</v>
      </c>
      <c r="AA87" s="133"/>
      <c r="AB87" s="158">
        <v>308</v>
      </c>
      <c r="AC87" s="134">
        <v>510</v>
      </c>
      <c r="AD87" s="134"/>
      <c r="AE87" s="403">
        <f t="shared" si="3"/>
        <v>157080</v>
      </c>
      <c r="AF87" s="132">
        <v>11</v>
      </c>
      <c r="AG87" s="130" t="s">
        <v>5</v>
      </c>
      <c r="AH87" s="130"/>
      <c r="AI87" s="130" t="s">
        <v>100</v>
      </c>
      <c r="AJ87" s="130"/>
      <c r="AK87" s="130"/>
      <c r="AL87" s="135" t="s">
        <v>743</v>
      </c>
      <c r="AM87" s="314"/>
      <c r="AN87" s="26"/>
      <c r="AO87" s="26"/>
      <c r="AP87" s="26"/>
      <c r="AQ87" s="26">
        <v>43002</v>
      </c>
      <c r="AR87" s="24"/>
      <c r="AS87" s="24"/>
      <c r="AT87" s="24">
        <v>43007</v>
      </c>
      <c r="AU87" s="418">
        <f t="shared" si="4"/>
        <v>9</v>
      </c>
      <c r="AV87" s="418">
        <f t="shared" si="5"/>
        <v>2017</v>
      </c>
      <c r="AW87" s="24"/>
      <c r="AX87" s="28"/>
      <c r="AY87" s="28" t="s">
        <v>162</v>
      </c>
      <c r="AZ87" s="132" t="s">
        <v>9</v>
      </c>
      <c r="BA87" s="132"/>
      <c r="BB87" s="24"/>
      <c r="BC87" s="135" t="s">
        <v>796</v>
      </c>
      <c r="BD87" s="24">
        <v>42974</v>
      </c>
      <c r="BE87" s="135" t="s">
        <v>797</v>
      </c>
      <c r="BF87" s="135" t="s">
        <v>580</v>
      </c>
      <c r="BG87" s="135" t="s">
        <v>29</v>
      </c>
      <c r="BH87" s="135"/>
      <c r="BI87" s="314"/>
      <c r="BJ87" s="314"/>
      <c r="BK87" s="24"/>
      <c r="BL87" s="24"/>
      <c r="BM87" s="24"/>
      <c r="BN87" s="24"/>
      <c r="BO87" s="24">
        <f>+AQ87+20</f>
        <v>43022</v>
      </c>
      <c r="BP87" s="24"/>
      <c r="BQ87" s="24"/>
      <c r="BR87" s="43"/>
      <c r="BS87" s="24"/>
      <c r="BT87" s="24"/>
      <c r="BU87" s="24"/>
      <c r="BV87" s="132" t="e">
        <f>IF(#REF!="COMPLETO","OK","PENDIENTES")</f>
        <v>#REF!</v>
      </c>
      <c r="BW87" s="132"/>
      <c r="BX87" s="132"/>
      <c r="BY87" s="132"/>
      <c r="BZ87" s="132"/>
      <c r="CA87" s="132"/>
      <c r="CB87" s="132"/>
      <c r="CC87" s="22"/>
      <c r="CG87" s="24" t="s">
        <v>105</v>
      </c>
      <c r="CH87" s="24"/>
      <c r="CI87" s="24"/>
      <c r="CJ87" s="24"/>
    </row>
    <row r="88" spans="1:88" ht="15" customHeight="1">
      <c r="A88" s="18">
        <v>2017</v>
      </c>
      <c r="B88" s="18" t="str">
        <f>+INDEX(BDD!F:F,MATCH(P88,BDD!D:D,0))&amp;"-"&amp;INDEX(BDD!E:E,MATCH(P88,BDD!D:D,0))</f>
        <v>G-S</v>
      </c>
      <c r="C88" s="360" t="s">
        <v>484</v>
      </c>
      <c r="D88" s="150" t="s">
        <v>77</v>
      </c>
      <c r="E88" s="132"/>
      <c r="F88" s="24"/>
      <c r="G88" s="346">
        <v>8000000045</v>
      </c>
      <c r="H88" s="25" t="s">
        <v>798</v>
      </c>
      <c r="I88" s="329"/>
      <c r="J88" s="346">
        <v>8000000045</v>
      </c>
      <c r="K88" s="24"/>
      <c r="L88" s="24"/>
      <c r="M88" s="24"/>
      <c r="N88" s="340" t="s">
        <v>486</v>
      </c>
      <c r="O88" s="334">
        <v>206599</v>
      </c>
      <c r="P88" s="25" t="s">
        <v>339</v>
      </c>
      <c r="Q88" s="127" t="s">
        <v>267</v>
      </c>
      <c r="R88" s="128">
        <v>143274791</v>
      </c>
      <c r="S88" s="24">
        <v>42951</v>
      </c>
      <c r="T88" s="36">
        <v>60</v>
      </c>
      <c r="U88" s="125" t="s">
        <v>118</v>
      </c>
      <c r="V88" s="155">
        <v>3300007923</v>
      </c>
      <c r="W88" s="129"/>
      <c r="X88" s="88">
        <v>43065</v>
      </c>
      <c r="Y88" s="130" t="s">
        <v>20</v>
      </c>
      <c r="Z88" s="133" t="s">
        <v>81</v>
      </c>
      <c r="AA88" s="133"/>
      <c r="AB88" s="158">
        <v>307.64499999999998</v>
      </c>
      <c r="AC88" s="134">
        <v>505</v>
      </c>
      <c r="AD88" s="134"/>
      <c r="AE88" s="403">
        <f t="shared" si="3"/>
        <v>155360.72499999998</v>
      </c>
      <c r="AF88" s="132">
        <v>11</v>
      </c>
      <c r="AG88" s="130" t="s">
        <v>5</v>
      </c>
      <c r="AH88" s="130"/>
      <c r="AI88" s="130" t="s">
        <v>100</v>
      </c>
      <c r="AJ88" s="130"/>
      <c r="AK88" s="130"/>
      <c r="AL88" s="24" t="s">
        <v>624</v>
      </c>
      <c r="AM88" s="314"/>
      <c r="AN88" s="26"/>
      <c r="AO88" s="26"/>
      <c r="AP88" s="26"/>
      <c r="AQ88" s="26">
        <v>43027</v>
      </c>
      <c r="AR88" s="24"/>
      <c r="AS88" s="24"/>
      <c r="AT88" s="24">
        <v>43032</v>
      </c>
      <c r="AU88" s="418">
        <f t="shared" si="4"/>
        <v>10</v>
      </c>
      <c r="AV88" s="418">
        <f t="shared" si="5"/>
        <v>2017</v>
      </c>
      <c r="AW88" s="24"/>
      <c r="AX88" s="28"/>
      <c r="AY88" s="28" t="s">
        <v>8</v>
      </c>
      <c r="AZ88" s="132" t="s">
        <v>37</v>
      </c>
      <c r="BA88" s="132"/>
      <c r="BB88" s="24"/>
      <c r="BC88" s="135" t="s">
        <v>799</v>
      </c>
      <c r="BD88" s="26">
        <v>43006</v>
      </c>
      <c r="BE88" s="135" t="s">
        <v>800</v>
      </c>
      <c r="BF88" s="135" t="s">
        <v>800</v>
      </c>
      <c r="BG88" s="135" t="s">
        <v>14</v>
      </c>
      <c r="BH88" s="135"/>
      <c r="BI88" s="314"/>
      <c r="BJ88" s="314"/>
      <c r="BK88" s="24"/>
      <c r="BL88" s="24"/>
      <c r="BM88" s="24"/>
      <c r="BN88" s="24"/>
      <c r="BO88" s="24">
        <f>+AQ88+15</f>
        <v>43042</v>
      </c>
      <c r="BP88" s="24"/>
      <c r="BQ88" s="24"/>
      <c r="BR88" s="43"/>
      <c r="BS88" s="24"/>
      <c r="BT88" s="24"/>
      <c r="BU88" s="24"/>
      <c r="BV88" s="132" t="e">
        <f>IF(#REF!="COMPLETO","OK","PENDIENTES")</f>
        <v>#REF!</v>
      </c>
      <c r="BW88" s="132"/>
      <c r="BX88" s="132"/>
      <c r="BY88" s="132"/>
      <c r="BZ88" s="132"/>
      <c r="CA88" s="132"/>
      <c r="CB88" s="132"/>
      <c r="CC88" s="22"/>
      <c r="CG88" s="24" t="s">
        <v>105</v>
      </c>
      <c r="CH88" s="24"/>
      <c r="CI88" s="24"/>
      <c r="CJ88" s="24"/>
    </row>
    <row r="89" spans="1:88" ht="15" customHeight="1">
      <c r="A89" s="18">
        <v>2017</v>
      </c>
      <c r="B89" s="18" t="str">
        <f>+INDEX(BDD!F:F,MATCH(P89,BDD!D:D,0))&amp;"-"&amp;INDEX(BDD!E:E,MATCH(P89,BDD!D:D,0))</f>
        <v>E-S</v>
      </c>
      <c r="C89" s="360" t="s">
        <v>484</v>
      </c>
      <c r="D89" s="150" t="s">
        <v>77</v>
      </c>
      <c r="E89" s="132"/>
      <c r="F89" s="24"/>
      <c r="G89" s="346">
        <v>8000000046</v>
      </c>
      <c r="H89" s="25" t="s">
        <v>801</v>
      </c>
      <c r="I89" s="329"/>
      <c r="J89" s="346">
        <v>8000000046</v>
      </c>
      <c r="K89" s="24"/>
      <c r="L89" s="24"/>
      <c r="M89" s="24"/>
      <c r="N89" s="340" t="s">
        <v>486</v>
      </c>
      <c r="O89" s="333">
        <v>207522</v>
      </c>
      <c r="P89" s="25" t="s">
        <v>298</v>
      </c>
      <c r="Q89" s="127" t="s">
        <v>183</v>
      </c>
      <c r="R89" s="128" t="s">
        <v>802</v>
      </c>
      <c r="S89" s="24">
        <v>42961</v>
      </c>
      <c r="T89" s="36">
        <v>90</v>
      </c>
      <c r="U89" s="125" t="s">
        <v>118</v>
      </c>
      <c r="V89" s="155">
        <v>300002291</v>
      </c>
      <c r="W89" s="129"/>
      <c r="X89" s="88">
        <f>IF(RIGHT(U89,3)="ETA",AQ89+T89,IF(RIGHT(U89,2)="BL",BD89+T89," "))</f>
        <v>43073</v>
      </c>
      <c r="Y89" s="130" t="s">
        <v>20</v>
      </c>
      <c r="Z89" s="133" t="s">
        <v>60</v>
      </c>
      <c r="AA89" s="133"/>
      <c r="AB89" s="148">
        <v>195.84</v>
      </c>
      <c r="AC89" s="134">
        <v>280</v>
      </c>
      <c r="AD89" s="134"/>
      <c r="AE89" s="403">
        <f t="shared" si="3"/>
        <v>54835.200000000004</v>
      </c>
      <c r="AF89" s="132">
        <v>7</v>
      </c>
      <c r="AG89" s="130" t="s">
        <v>5</v>
      </c>
      <c r="AH89" s="130"/>
      <c r="AI89" s="130" t="s">
        <v>100</v>
      </c>
      <c r="AJ89" s="130"/>
      <c r="AK89" s="130"/>
      <c r="AL89" s="135" t="s">
        <v>743</v>
      </c>
      <c r="AM89" s="314"/>
      <c r="AN89" s="26"/>
      <c r="AO89" s="26"/>
      <c r="AP89" s="26"/>
      <c r="AQ89" s="26">
        <v>43007</v>
      </c>
      <c r="AR89" s="24"/>
      <c r="AS89" s="24"/>
      <c r="AT89" s="164">
        <v>43012</v>
      </c>
      <c r="AU89" s="418">
        <f t="shared" si="4"/>
        <v>10</v>
      </c>
      <c r="AV89" s="418">
        <f t="shared" si="5"/>
        <v>2017</v>
      </c>
      <c r="AW89" s="164"/>
      <c r="AX89" s="28"/>
      <c r="AY89" s="28" t="s">
        <v>8</v>
      </c>
      <c r="AZ89" s="132" t="s">
        <v>37</v>
      </c>
      <c r="BA89" s="132"/>
      <c r="BB89" s="164"/>
      <c r="BC89" s="135" t="s">
        <v>803</v>
      </c>
      <c r="BD89" s="24">
        <v>42983</v>
      </c>
      <c r="BE89" s="135" t="s">
        <v>804</v>
      </c>
      <c r="BF89" s="135" t="s">
        <v>804</v>
      </c>
      <c r="BG89" s="135" t="s">
        <v>41</v>
      </c>
      <c r="BH89" s="135"/>
      <c r="BI89" s="314"/>
      <c r="BJ89" s="314"/>
      <c r="BK89" s="24"/>
      <c r="BL89" s="24"/>
      <c r="BM89" s="24"/>
      <c r="BN89" s="24"/>
      <c r="BO89" s="24">
        <f>+AQ89+15</f>
        <v>43022</v>
      </c>
      <c r="BP89" s="24"/>
      <c r="BQ89" s="24"/>
      <c r="BR89" s="43"/>
      <c r="BS89" s="24"/>
      <c r="BT89" s="24"/>
      <c r="BU89" s="24"/>
      <c r="BV89" s="132" t="e">
        <f>IF(#REF!="COMPLETO","OK","PENDIENTES")</f>
        <v>#REF!</v>
      </c>
      <c r="BW89" s="132"/>
      <c r="BX89" s="132"/>
      <c r="BY89" s="132"/>
      <c r="BZ89" s="132"/>
      <c r="CA89" s="132"/>
      <c r="CB89" s="132"/>
      <c r="CC89" s="22"/>
      <c r="CG89" s="24" t="s">
        <v>105</v>
      </c>
      <c r="CH89" s="24"/>
      <c r="CI89" s="164"/>
      <c r="CJ89" s="164"/>
    </row>
    <row r="90" spans="1:88" ht="15" customHeight="1">
      <c r="A90" s="18">
        <v>2017</v>
      </c>
      <c r="B90" s="18" t="str">
        <f>+INDEX(BDD!F:F,MATCH(P90,BDD!D:D,0))&amp;"-"&amp;INDEX(BDD!E:E,MATCH(P90,BDD!D:D,0))</f>
        <v>E-S</v>
      </c>
      <c r="C90" s="360" t="s">
        <v>484</v>
      </c>
      <c r="D90" s="150" t="s">
        <v>77</v>
      </c>
      <c r="E90" s="132"/>
      <c r="F90" s="24"/>
      <c r="G90" s="346">
        <v>8000000047</v>
      </c>
      <c r="H90" s="25" t="s">
        <v>805</v>
      </c>
      <c r="I90" s="329"/>
      <c r="J90" s="346">
        <v>8000000047</v>
      </c>
      <c r="K90" s="24"/>
      <c r="L90" s="24"/>
      <c r="M90" s="24"/>
      <c r="N90" s="340" t="s">
        <v>486</v>
      </c>
      <c r="O90" s="333">
        <v>207522</v>
      </c>
      <c r="P90" s="25" t="s">
        <v>298</v>
      </c>
      <c r="Q90" s="127" t="s">
        <v>183</v>
      </c>
      <c r="R90" s="128" t="s">
        <v>806</v>
      </c>
      <c r="S90" s="24">
        <v>42961</v>
      </c>
      <c r="T90" s="36">
        <v>90</v>
      </c>
      <c r="U90" s="125" t="s">
        <v>118</v>
      </c>
      <c r="V90" s="155">
        <v>300002290</v>
      </c>
      <c r="W90" s="129"/>
      <c r="X90" s="88">
        <f>IF(RIGHT(U90,3)="ETA",AQ90+T90,IF(RIGHT(U90,2)="BL",BD90+T90," "))</f>
        <v>43073</v>
      </c>
      <c r="Y90" s="130" t="s">
        <v>20</v>
      </c>
      <c r="Z90" s="133" t="s">
        <v>60</v>
      </c>
      <c r="AA90" s="133"/>
      <c r="AB90" s="148">
        <v>111.86</v>
      </c>
      <c r="AC90" s="134">
        <v>280</v>
      </c>
      <c r="AD90" s="134"/>
      <c r="AE90" s="403">
        <f t="shared" si="3"/>
        <v>31320.799999999999</v>
      </c>
      <c r="AF90" s="132">
        <v>4</v>
      </c>
      <c r="AG90" s="130" t="s">
        <v>5</v>
      </c>
      <c r="AH90" s="130"/>
      <c r="AI90" s="130" t="s">
        <v>100</v>
      </c>
      <c r="AJ90" s="130"/>
      <c r="AK90" s="130"/>
      <c r="AL90" s="135" t="s">
        <v>743</v>
      </c>
      <c r="AM90" s="314"/>
      <c r="AN90" s="26"/>
      <c r="AO90" s="26"/>
      <c r="AP90" s="26"/>
      <c r="AQ90" s="26">
        <v>43009</v>
      </c>
      <c r="AR90" s="24"/>
      <c r="AS90" s="24"/>
      <c r="AT90" s="164">
        <v>43012</v>
      </c>
      <c r="AU90" s="418">
        <f t="shared" si="4"/>
        <v>10</v>
      </c>
      <c r="AV90" s="418">
        <f t="shared" si="5"/>
        <v>2017</v>
      </c>
      <c r="AW90" s="164"/>
      <c r="AX90" s="28"/>
      <c r="AY90" s="28" t="s">
        <v>8</v>
      </c>
      <c r="AZ90" s="132" t="s">
        <v>9</v>
      </c>
      <c r="BA90" s="132"/>
      <c r="BB90" s="164"/>
      <c r="BC90" s="135" t="s">
        <v>807</v>
      </c>
      <c r="BD90" s="24">
        <v>42983</v>
      </c>
      <c r="BE90" s="135" t="s">
        <v>804</v>
      </c>
      <c r="BF90" s="135" t="s">
        <v>580</v>
      </c>
      <c r="BG90" s="135" t="s">
        <v>41</v>
      </c>
      <c r="BH90" s="135"/>
      <c r="BI90" s="314"/>
      <c r="BJ90" s="314"/>
      <c r="BK90" s="24"/>
      <c r="BL90" s="24"/>
      <c r="BM90" s="24"/>
      <c r="BN90" s="24"/>
      <c r="BO90" s="24">
        <f>+AQ90+15</f>
        <v>43024</v>
      </c>
      <c r="BP90" s="24"/>
      <c r="BQ90" s="24"/>
      <c r="BR90" s="43"/>
      <c r="BS90" s="24"/>
      <c r="BT90" s="24"/>
      <c r="BU90" s="24"/>
      <c r="BV90" s="132" t="e">
        <f>IF(#REF!="COMPLETO","OK","PENDIENTES")</f>
        <v>#REF!</v>
      </c>
      <c r="BW90" s="132"/>
      <c r="BX90" s="132"/>
      <c r="BY90" s="132"/>
      <c r="BZ90" s="132"/>
      <c r="CA90" s="132"/>
      <c r="CB90" s="132"/>
      <c r="CC90" s="22"/>
      <c r="CG90" s="24" t="s">
        <v>105</v>
      </c>
      <c r="CH90" s="24"/>
      <c r="CI90" s="164"/>
      <c r="CJ90" s="164"/>
    </row>
    <row r="91" spans="1:88" ht="15" customHeight="1">
      <c r="A91" s="18">
        <v>2017</v>
      </c>
      <c r="B91" s="18" t="str">
        <f>+INDEX(BDD!F:F,MATCH(P91,BDD!D:D,0))&amp;"-"&amp;INDEX(BDD!E:E,MATCH(P91,BDD!D:D,0))</f>
        <v>E-S</v>
      </c>
      <c r="C91" s="360" t="s">
        <v>484</v>
      </c>
      <c r="D91" s="150" t="s">
        <v>77</v>
      </c>
      <c r="E91" s="132"/>
      <c r="F91" s="24"/>
      <c r="G91" s="346">
        <v>8000000053</v>
      </c>
      <c r="H91" s="25" t="s">
        <v>808</v>
      </c>
      <c r="I91" s="329"/>
      <c r="J91" s="346">
        <v>8000000053</v>
      </c>
      <c r="K91" s="24"/>
      <c r="L91" s="24"/>
      <c r="M91" s="24"/>
      <c r="N91" s="340" t="s">
        <v>486</v>
      </c>
      <c r="O91" s="333">
        <v>209971</v>
      </c>
      <c r="P91" s="25" t="s">
        <v>301</v>
      </c>
      <c r="Q91" s="127" t="s">
        <v>183</v>
      </c>
      <c r="R91" s="128" t="s">
        <v>809</v>
      </c>
      <c r="S91" s="24">
        <v>42961</v>
      </c>
      <c r="T91" s="36">
        <v>90</v>
      </c>
      <c r="U91" s="125" t="s">
        <v>118</v>
      </c>
      <c r="V91" s="155">
        <v>300002289</v>
      </c>
      <c r="W91" s="129"/>
      <c r="X91" s="88">
        <f>IF(RIGHT(U91,3)="ETA",AQ91+T91,IF(RIGHT(U91,2)="BL",BD91+T91," "))</f>
        <v>43073</v>
      </c>
      <c r="Y91" s="130" t="s">
        <v>20</v>
      </c>
      <c r="Z91" s="133" t="s">
        <v>60</v>
      </c>
      <c r="AA91" s="133"/>
      <c r="AB91" s="148">
        <v>27.94</v>
      </c>
      <c r="AC91" s="134">
        <v>270</v>
      </c>
      <c r="AD91" s="134"/>
      <c r="AE91" s="403">
        <f t="shared" si="3"/>
        <v>7543.8</v>
      </c>
      <c r="AF91" s="132">
        <v>1</v>
      </c>
      <c r="AG91" s="130" t="s">
        <v>5</v>
      </c>
      <c r="AH91" s="130"/>
      <c r="AI91" s="130" t="s">
        <v>100</v>
      </c>
      <c r="AJ91" s="130"/>
      <c r="AK91" s="130"/>
      <c r="AL91" s="135" t="s">
        <v>743</v>
      </c>
      <c r="AM91" s="314"/>
      <c r="AN91" s="26"/>
      <c r="AO91" s="26"/>
      <c r="AP91" s="26"/>
      <c r="AQ91" s="26">
        <v>43007</v>
      </c>
      <c r="AR91" s="24"/>
      <c r="AS91" s="24"/>
      <c r="AT91" s="164">
        <v>43012</v>
      </c>
      <c r="AU91" s="418">
        <f t="shared" si="4"/>
        <v>10</v>
      </c>
      <c r="AV91" s="418">
        <f t="shared" si="5"/>
        <v>2017</v>
      </c>
      <c r="AW91" s="164"/>
      <c r="AX91" s="28"/>
      <c r="AY91" s="28" t="s">
        <v>8</v>
      </c>
      <c r="AZ91" s="132" t="s">
        <v>37</v>
      </c>
      <c r="BA91" s="132"/>
      <c r="BB91" s="164"/>
      <c r="BC91" s="135" t="s">
        <v>810</v>
      </c>
      <c r="BD91" s="24">
        <v>42983</v>
      </c>
      <c r="BE91" s="135" t="s">
        <v>804</v>
      </c>
      <c r="BF91" s="135" t="s">
        <v>804</v>
      </c>
      <c r="BG91" s="135" t="s">
        <v>41</v>
      </c>
      <c r="BH91" s="135"/>
      <c r="BI91" s="314"/>
      <c r="BJ91" s="314"/>
      <c r="BK91" s="24"/>
      <c r="BL91" s="24"/>
      <c r="BM91" s="24"/>
      <c r="BN91" s="24"/>
      <c r="BO91" s="24">
        <f>+AQ91+15</f>
        <v>43022</v>
      </c>
      <c r="BP91" s="24"/>
      <c r="BQ91" s="24"/>
      <c r="BR91" s="43"/>
      <c r="BS91" s="24"/>
      <c r="BT91" s="24"/>
      <c r="BU91" s="24"/>
      <c r="BV91" s="132" t="e">
        <f>IF(#REF!="COMPLETO","OK","PENDIENTES")</f>
        <v>#REF!</v>
      </c>
      <c r="BW91" s="132"/>
      <c r="BX91" s="132"/>
      <c r="BY91" s="132"/>
      <c r="BZ91" s="132"/>
      <c r="CA91" s="132"/>
      <c r="CB91" s="132"/>
      <c r="CC91" s="22"/>
      <c r="CG91" s="24" t="s">
        <v>105</v>
      </c>
      <c r="CH91" s="24"/>
      <c r="CI91" s="164"/>
      <c r="CJ91" s="164"/>
    </row>
    <row r="92" spans="1:88" ht="15" customHeight="1">
      <c r="A92" s="18">
        <v>2017</v>
      </c>
      <c r="B92" s="18" t="str">
        <f>+INDEX(BDD!F:F,MATCH(P92,BDD!D:D,0))&amp;"-"&amp;INDEX(BDD!E:E,MATCH(P92,BDD!D:D,0))</f>
        <v>E-S</v>
      </c>
      <c r="C92" s="360" t="s">
        <v>484</v>
      </c>
      <c r="D92" s="150" t="s">
        <v>77</v>
      </c>
      <c r="E92" s="132"/>
      <c r="F92" s="24"/>
      <c r="G92" s="346">
        <v>8000000052</v>
      </c>
      <c r="H92" s="25" t="s">
        <v>811</v>
      </c>
      <c r="I92" s="329"/>
      <c r="J92" s="346">
        <v>8000000052</v>
      </c>
      <c r="K92" s="24"/>
      <c r="L92" s="24"/>
      <c r="M92" s="24"/>
      <c r="N92" s="340" t="s">
        <v>486</v>
      </c>
      <c r="O92" s="333">
        <v>209971</v>
      </c>
      <c r="P92" s="25" t="s">
        <v>301</v>
      </c>
      <c r="Q92" s="127" t="s">
        <v>183</v>
      </c>
      <c r="R92" s="128" t="s">
        <v>812</v>
      </c>
      <c r="S92" s="24">
        <v>42961</v>
      </c>
      <c r="T92" s="36">
        <v>90</v>
      </c>
      <c r="U92" s="125" t="s">
        <v>118</v>
      </c>
      <c r="V92" s="155">
        <v>300002365</v>
      </c>
      <c r="W92" s="129"/>
      <c r="X92" s="88">
        <f>IF(RIGHT(U92,3)="ETA",AQ92+T92,IF(RIGHT(U92,2)="BL",BD92+T92," "))</f>
        <v>43080</v>
      </c>
      <c r="Y92" s="130" t="s">
        <v>20</v>
      </c>
      <c r="Z92" s="133" t="s">
        <v>60</v>
      </c>
      <c r="AA92" s="133"/>
      <c r="AB92" s="148">
        <v>28</v>
      </c>
      <c r="AC92" s="134">
        <v>270</v>
      </c>
      <c r="AD92" s="134"/>
      <c r="AE92" s="403">
        <f t="shared" si="3"/>
        <v>7560</v>
      </c>
      <c r="AF92" s="132">
        <v>1</v>
      </c>
      <c r="AG92" s="130" t="s">
        <v>5</v>
      </c>
      <c r="AH92" s="130"/>
      <c r="AI92" s="130" t="s">
        <v>100</v>
      </c>
      <c r="AJ92" s="130"/>
      <c r="AK92" s="130"/>
      <c r="AL92" s="135" t="s">
        <v>743</v>
      </c>
      <c r="AM92" s="314"/>
      <c r="AN92" s="26"/>
      <c r="AO92" s="26"/>
      <c r="AP92" s="26"/>
      <c r="AQ92" s="26">
        <v>43017</v>
      </c>
      <c r="AR92" s="24"/>
      <c r="AS92" s="24"/>
      <c r="AT92" s="26">
        <v>43019</v>
      </c>
      <c r="AU92" s="418">
        <f t="shared" si="4"/>
        <v>10</v>
      </c>
      <c r="AV92" s="418">
        <f t="shared" si="5"/>
        <v>2017</v>
      </c>
      <c r="AW92" s="26"/>
      <c r="AX92" s="28"/>
      <c r="AY92" s="28" t="s">
        <v>8</v>
      </c>
      <c r="AZ92" s="132" t="s">
        <v>9</v>
      </c>
      <c r="BA92" s="132"/>
      <c r="BB92" s="26"/>
      <c r="BC92" s="135" t="s">
        <v>813</v>
      </c>
      <c r="BD92" s="24">
        <v>42990</v>
      </c>
      <c r="BE92" s="135" t="s">
        <v>814</v>
      </c>
      <c r="BF92" s="135" t="s">
        <v>580</v>
      </c>
      <c r="BG92" s="135" t="s">
        <v>41</v>
      </c>
      <c r="BH92" s="135"/>
      <c r="BI92" s="314"/>
      <c r="BJ92" s="314"/>
      <c r="BK92" s="24"/>
      <c r="BL92" s="24"/>
      <c r="BM92" s="24"/>
      <c r="BN92" s="24"/>
      <c r="BO92" s="24">
        <v>43028</v>
      </c>
      <c r="BP92" s="24"/>
      <c r="BQ92" s="24"/>
      <c r="BR92" s="43"/>
      <c r="BS92" s="24"/>
      <c r="BT92" s="24"/>
      <c r="BU92" s="24"/>
      <c r="BV92" s="132" t="e">
        <f>IF(#REF!="COMPLETO","OK","PENDIENTES")</f>
        <v>#REF!</v>
      </c>
      <c r="BW92" s="132"/>
      <c r="BX92" s="132"/>
      <c r="BY92" s="132"/>
      <c r="BZ92" s="132"/>
      <c r="CA92" s="132"/>
      <c r="CB92" s="132"/>
      <c r="CC92" s="22"/>
      <c r="CG92" s="24" t="s">
        <v>105</v>
      </c>
      <c r="CH92" s="24"/>
      <c r="CI92" s="26"/>
      <c r="CJ92" s="26"/>
    </row>
    <row r="93" spans="1:88" ht="15" customHeight="1">
      <c r="A93" s="18">
        <v>2017</v>
      </c>
      <c r="B93" s="18" t="str">
        <f>+INDEX(BDD!F:F,MATCH(P93,BDD!D:D,0))&amp;"-"&amp;INDEX(BDD!E:E,MATCH(P93,BDD!D:D,0))</f>
        <v>G-C</v>
      </c>
      <c r="C93" s="360" t="s">
        <v>484</v>
      </c>
      <c r="D93" s="150" t="s">
        <v>77</v>
      </c>
      <c r="E93" s="132"/>
      <c r="F93" s="24"/>
      <c r="G93" s="346">
        <v>8000000048</v>
      </c>
      <c r="H93" s="25" t="s">
        <v>815</v>
      </c>
      <c r="I93" s="329"/>
      <c r="J93" s="346">
        <v>8000000048</v>
      </c>
      <c r="K93" s="24"/>
      <c r="L93" s="24"/>
      <c r="M93" s="24"/>
      <c r="N93" s="340" t="s">
        <v>486</v>
      </c>
      <c r="O93" s="334">
        <v>206573</v>
      </c>
      <c r="P93" s="25" t="s">
        <v>226</v>
      </c>
      <c r="Q93" s="127" t="s">
        <v>533</v>
      </c>
      <c r="R93" s="128" t="s">
        <v>544</v>
      </c>
      <c r="S93" s="24">
        <v>42958</v>
      </c>
      <c r="T93" s="36">
        <v>30</v>
      </c>
      <c r="U93" s="125" t="s">
        <v>118</v>
      </c>
      <c r="V93" s="88" t="s">
        <v>816</v>
      </c>
      <c r="W93" s="129"/>
      <c r="X93" s="88">
        <v>42993</v>
      </c>
      <c r="Y93" s="130" t="s">
        <v>20</v>
      </c>
      <c r="Z93" s="165" t="s">
        <v>60</v>
      </c>
      <c r="AA93" s="165"/>
      <c r="AB93" s="148">
        <v>500</v>
      </c>
      <c r="AC93" s="134">
        <v>231</v>
      </c>
      <c r="AD93" s="134"/>
      <c r="AE93" s="403">
        <f t="shared" si="3"/>
        <v>115500</v>
      </c>
      <c r="AF93" s="132" t="str">
        <f>IF(W93=BDD!$P$1,IMPORTS!AB93/25,IF(W93=BDD!$P$2,IMPORTS!AB93/25,IF(IMPORTS!W93=BDD!$P$4,IMPORTS!AB93/25.5,"--")))</f>
        <v>--</v>
      </c>
      <c r="AG93" s="130" t="s">
        <v>46</v>
      </c>
      <c r="AH93" s="130"/>
      <c r="AI93" s="130" t="s">
        <v>100</v>
      </c>
      <c r="AJ93" s="130"/>
      <c r="AK93" s="130"/>
      <c r="AL93" s="135" t="s">
        <v>743</v>
      </c>
      <c r="AM93" s="314"/>
      <c r="AN93" s="26"/>
      <c r="AO93" s="26"/>
      <c r="AP93" s="26"/>
      <c r="AQ93" s="26">
        <v>42988</v>
      </c>
      <c r="AR93" s="24"/>
      <c r="AS93" s="24"/>
      <c r="AT93" s="24">
        <v>42990</v>
      </c>
      <c r="AU93" s="418">
        <f t="shared" si="4"/>
        <v>9</v>
      </c>
      <c r="AV93" s="418">
        <f t="shared" si="5"/>
        <v>2017</v>
      </c>
      <c r="AW93" s="24"/>
      <c r="AX93" s="132"/>
      <c r="AY93" s="132" t="s">
        <v>269</v>
      </c>
      <c r="AZ93" s="132" t="s">
        <v>9</v>
      </c>
      <c r="BA93" s="132"/>
      <c r="BB93" s="24"/>
      <c r="BC93" s="135">
        <v>1</v>
      </c>
      <c r="BD93" s="24">
        <v>42964</v>
      </c>
      <c r="BE93" s="135" t="s">
        <v>817</v>
      </c>
      <c r="BF93" s="135" t="s">
        <v>817</v>
      </c>
      <c r="BG93" s="135" t="s">
        <v>52</v>
      </c>
      <c r="BH93" s="135"/>
      <c r="BI93" s="314"/>
      <c r="BJ93" s="314"/>
      <c r="BK93" s="24"/>
      <c r="BL93" s="24"/>
      <c r="BM93" s="24"/>
      <c r="BN93" s="24"/>
      <c r="BO93" s="24"/>
      <c r="BP93" s="24"/>
      <c r="BQ93" s="24"/>
      <c r="BR93" s="43"/>
      <c r="BS93" s="24"/>
      <c r="BT93" s="24"/>
      <c r="BU93" s="24"/>
      <c r="BV93" s="132" t="e">
        <f>IF(#REF!="COMPLETO","OK","PENDIENTES")</f>
        <v>#REF!</v>
      </c>
      <c r="BW93" s="132"/>
      <c r="BX93" s="132"/>
      <c r="BY93" s="132"/>
      <c r="BZ93" s="132"/>
      <c r="CA93" s="132"/>
      <c r="CB93" s="132"/>
      <c r="CC93" s="22"/>
      <c r="CG93" s="24" t="s">
        <v>105</v>
      </c>
      <c r="CH93" s="24"/>
      <c r="CI93" s="24"/>
      <c r="CJ93" s="24"/>
    </row>
    <row r="94" spans="1:88" ht="15" customHeight="1">
      <c r="A94" s="18">
        <v>2017</v>
      </c>
      <c r="B94" s="18" t="str">
        <f>+INDEX(BDD!F:F,MATCH(P94,BDD!D:D,0))&amp;"-"&amp;INDEX(BDD!E:E,MATCH(P94,BDD!D:D,0))</f>
        <v>G-C</v>
      </c>
      <c r="C94" s="360" t="s">
        <v>484</v>
      </c>
      <c r="D94" s="150" t="s">
        <v>77</v>
      </c>
      <c r="E94" s="132"/>
      <c r="F94" s="24"/>
      <c r="G94" s="346">
        <v>8000000049</v>
      </c>
      <c r="H94" s="25" t="s">
        <v>818</v>
      </c>
      <c r="I94" s="329"/>
      <c r="J94" s="346">
        <v>8000000049</v>
      </c>
      <c r="K94" s="24"/>
      <c r="L94" s="24"/>
      <c r="M94" s="24"/>
      <c r="N94" s="340" t="s">
        <v>486</v>
      </c>
      <c r="O94" s="334">
        <v>206573</v>
      </c>
      <c r="P94" s="25" t="s">
        <v>226</v>
      </c>
      <c r="Q94" s="127" t="s">
        <v>533</v>
      </c>
      <c r="R94" s="128" t="s">
        <v>544</v>
      </c>
      <c r="S94" s="24">
        <v>42958</v>
      </c>
      <c r="T94" s="36">
        <v>30</v>
      </c>
      <c r="U94" s="125" t="s">
        <v>131</v>
      </c>
      <c r="V94" s="88" t="s">
        <v>819</v>
      </c>
      <c r="W94" s="129"/>
      <c r="X94" s="88">
        <v>42993</v>
      </c>
      <c r="Y94" s="130" t="s">
        <v>20</v>
      </c>
      <c r="Z94" s="165" t="s">
        <v>60</v>
      </c>
      <c r="AA94" s="165"/>
      <c r="AB94" s="148">
        <v>1100</v>
      </c>
      <c r="AC94" s="134">
        <v>231</v>
      </c>
      <c r="AD94" s="134"/>
      <c r="AE94" s="403">
        <f t="shared" si="3"/>
        <v>254100</v>
      </c>
      <c r="AF94" s="132" t="str">
        <f>IF(W94=BDD!$P$1,IMPORTS!AB94/25,IF(W94=BDD!$P$2,IMPORTS!AB94/25,IF(IMPORTS!W94=BDD!$P$4,IMPORTS!AB94/25.5,"--")))</f>
        <v>--</v>
      </c>
      <c r="AG94" s="130" t="s">
        <v>46</v>
      </c>
      <c r="AH94" s="130"/>
      <c r="AI94" s="130" t="s">
        <v>100</v>
      </c>
      <c r="AJ94" s="130"/>
      <c r="AK94" s="130"/>
      <c r="AL94" s="135" t="s">
        <v>743</v>
      </c>
      <c r="AM94" s="314"/>
      <c r="AN94" s="26"/>
      <c r="AO94" s="26"/>
      <c r="AP94" s="26"/>
      <c r="AQ94" s="26">
        <v>42992</v>
      </c>
      <c r="AR94" s="24"/>
      <c r="AS94" s="24"/>
      <c r="AT94" s="24">
        <v>42996</v>
      </c>
      <c r="AU94" s="418">
        <f t="shared" si="4"/>
        <v>9</v>
      </c>
      <c r="AV94" s="418">
        <f t="shared" si="5"/>
        <v>2017</v>
      </c>
      <c r="AW94" s="24"/>
      <c r="AX94" s="132"/>
      <c r="AY94" s="132" t="s">
        <v>269</v>
      </c>
      <c r="AZ94" s="132" t="s">
        <v>25</v>
      </c>
      <c r="BA94" s="132"/>
      <c r="BB94" s="24"/>
      <c r="BC94" s="135">
        <v>2</v>
      </c>
      <c r="BD94" s="24">
        <v>42964</v>
      </c>
      <c r="BE94" s="135" t="s">
        <v>817</v>
      </c>
      <c r="BF94" s="135" t="s">
        <v>817</v>
      </c>
      <c r="BG94" s="135" t="s">
        <v>52</v>
      </c>
      <c r="BH94" s="135"/>
      <c r="BI94" s="314"/>
      <c r="BJ94" s="314"/>
      <c r="BK94" s="24"/>
      <c r="BL94" s="24"/>
      <c r="BM94" s="24"/>
      <c r="BN94" s="24"/>
      <c r="BO94" s="24"/>
      <c r="BP94" s="24"/>
      <c r="BQ94" s="24"/>
      <c r="BR94" s="43"/>
      <c r="BS94" s="24"/>
      <c r="BT94" s="24"/>
      <c r="BU94" s="24"/>
      <c r="BV94" s="132" t="e">
        <f>IF(#REF!="COMPLETO","OK","PENDIENTES")</f>
        <v>#REF!</v>
      </c>
      <c r="BW94" s="132"/>
      <c r="BX94" s="132"/>
      <c r="BY94" s="132"/>
      <c r="BZ94" s="132"/>
      <c r="CA94" s="132"/>
      <c r="CB94" s="132"/>
      <c r="CC94" s="22"/>
      <c r="CG94" s="24" t="s">
        <v>105</v>
      </c>
      <c r="CH94" s="24"/>
      <c r="CI94" s="24"/>
      <c r="CJ94" s="24"/>
    </row>
    <row r="95" spans="1:88" ht="15" customHeight="1">
      <c r="A95" s="18">
        <v>2017</v>
      </c>
      <c r="B95" s="18" t="str">
        <f>+INDEX(BDD!F:F,MATCH(P95,BDD!D:D,0))&amp;"-"&amp;INDEX(BDD!E:E,MATCH(P95,BDD!D:D,0))</f>
        <v>G-C</v>
      </c>
      <c r="C95" s="360" t="s">
        <v>484</v>
      </c>
      <c r="D95" s="150" t="s">
        <v>77</v>
      </c>
      <c r="E95" s="132"/>
      <c r="F95" s="24"/>
      <c r="G95" s="346">
        <v>8000000050</v>
      </c>
      <c r="H95" s="25" t="s">
        <v>820</v>
      </c>
      <c r="I95" s="329"/>
      <c r="J95" s="346">
        <v>8000000050</v>
      </c>
      <c r="K95" s="24"/>
      <c r="L95" s="24"/>
      <c r="M95" s="24"/>
      <c r="N95" s="340" t="s">
        <v>486</v>
      </c>
      <c r="O95" s="334">
        <v>206573</v>
      </c>
      <c r="P95" s="25" t="s">
        <v>226</v>
      </c>
      <c r="Q95" s="127" t="s">
        <v>533</v>
      </c>
      <c r="R95" s="128" t="s">
        <v>544</v>
      </c>
      <c r="S95" s="24">
        <v>42958</v>
      </c>
      <c r="T95" s="36">
        <v>30</v>
      </c>
      <c r="U95" s="125" t="s">
        <v>131</v>
      </c>
      <c r="V95" s="88" t="s">
        <v>821</v>
      </c>
      <c r="W95" s="129"/>
      <c r="X95" s="88">
        <v>42993</v>
      </c>
      <c r="Y95" s="130" t="s">
        <v>20</v>
      </c>
      <c r="Z95" s="165" t="s">
        <v>60</v>
      </c>
      <c r="AA95" s="165"/>
      <c r="AB95" s="148">
        <v>200</v>
      </c>
      <c r="AC95" s="134">
        <v>231</v>
      </c>
      <c r="AD95" s="134"/>
      <c r="AE95" s="403">
        <f t="shared" si="3"/>
        <v>46200</v>
      </c>
      <c r="AF95" s="132" t="str">
        <f>IF(W95=BDD!$P$1,IMPORTS!AB95/25,IF(W95=BDD!$P$2,IMPORTS!AB95/25,IF(IMPORTS!W95=BDD!$P$4,IMPORTS!AB95/25.5,"--")))</f>
        <v>--</v>
      </c>
      <c r="AG95" s="130" t="s">
        <v>46</v>
      </c>
      <c r="AH95" s="130"/>
      <c r="AI95" s="130" t="s">
        <v>100</v>
      </c>
      <c r="AJ95" s="130"/>
      <c r="AK95" s="130"/>
      <c r="AL95" s="135" t="s">
        <v>743</v>
      </c>
      <c r="AM95" s="314"/>
      <c r="AN95" s="26"/>
      <c r="AO95" s="26"/>
      <c r="AP95" s="26"/>
      <c r="AQ95" s="26">
        <v>42997</v>
      </c>
      <c r="AR95" s="24"/>
      <c r="AS95" s="24"/>
      <c r="AT95" s="24">
        <v>42999</v>
      </c>
      <c r="AU95" s="418">
        <f t="shared" si="4"/>
        <v>9</v>
      </c>
      <c r="AV95" s="418">
        <f t="shared" si="5"/>
        <v>2017</v>
      </c>
      <c r="AW95" s="24"/>
      <c r="AX95" s="132"/>
      <c r="AY95" s="132" t="s">
        <v>269</v>
      </c>
      <c r="AZ95" s="132" t="s">
        <v>37</v>
      </c>
      <c r="BA95" s="132"/>
      <c r="BB95" s="24"/>
      <c r="BC95" s="135">
        <v>3</v>
      </c>
      <c r="BD95" s="24">
        <v>42964</v>
      </c>
      <c r="BE95" s="135" t="s">
        <v>817</v>
      </c>
      <c r="BF95" s="135" t="s">
        <v>817</v>
      </c>
      <c r="BG95" s="135" t="s">
        <v>52</v>
      </c>
      <c r="BH95" s="135"/>
      <c r="BI95" s="314"/>
      <c r="BJ95" s="314"/>
      <c r="BK95" s="24"/>
      <c r="BL95" s="24"/>
      <c r="BM95" s="24"/>
      <c r="BN95" s="24"/>
      <c r="BO95" s="24"/>
      <c r="BP95" s="24"/>
      <c r="BQ95" s="24"/>
      <c r="BR95" s="43"/>
      <c r="BS95" s="24"/>
      <c r="BT95" s="24"/>
      <c r="BU95" s="24"/>
      <c r="BV95" s="132" t="e">
        <f>IF(#REF!="COMPLETO","OK","PENDIENTES")</f>
        <v>#REF!</v>
      </c>
      <c r="BW95" s="132"/>
      <c r="BX95" s="132"/>
      <c r="BY95" s="132"/>
      <c r="BZ95" s="132"/>
      <c r="CA95" s="132"/>
      <c r="CB95" s="132"/>
      <c r="CC95" s="22"/>
      <c r="CG95" s="24" t="s">
        <v>105</v>
      </c>
      <c r="CH95" s="24"/>
      <c r="CI95" s="24"/>
      <c r="CJ95" s="24"/>
    </row>
    <row r="96" spans="1:88" ht="15" customHeight="1">
      <c r="A96" s="18">
        <v>2017</v>
      </c>
      <c r="B96" s="18" t="str">
        <f>+INDEX(BDD!F:F,MATCH(P96,BDD!D:D,0))&amp;"-"&amp;INDEX(BDD!E:E,MATCH(P96,BDD!D:D,0))</f>
        <v>G-C</v>
      </c>
      <c r="C96" s="360" t="s">
        <v>484</v>
      </c>
      <c r="D96" s="150" t="s">
        <v>77</v>
      </c>
      <c r="E96" s="132"/>
      <c r="F96" s="24"/>
      <c r="G96" s="346">
        <v>8000000051</v>
      </c>
      <c r="H96" s="25" t="s">
        <v>822</v>
      </c>
      <c r="I96" s="329"/>
      <c r="J96" s="346">
        <v>8000000051</v>
      </c>
      <c r="K96" s="24"/>
      <c r="L96" s="24"/>
      <c r="M96" s="24"/>
      <c r="N96" s="340" t="s">
        <v>486</v>
      </c>
      <c r="O96" s="334">
        <v>206573</v>
      </c>
      <c r="P96" s="25" t="s">
        <v>226</v>
      </c>
      <c r="Q96" s="127" t="s">
        <v>533</v>
      </c>
      <c r="R96" s="128" t="s">
        <v>544</v>
      </c>
      <c r="S96" s="24">
        <v>42958</v>
      </c>
      <c r="T96" s="36">
        <v>30</v>
      </c>
      <c r="U96" s="125" t="s">
        <v>131</v>
      </c>
      <c r="V96" s="88" t="s">
        <v>823</v>
      </c>
      <c r="W96" s="129"/>
      <c r="X96" s="88">
        <v>42993</v>
      </c>
      <c r="Y96" s="130" t="s">
        <v>20</v>
      </c>
      <c r="Z96" s="165" t="s">
        <v>60</v>
      </c>
      <c r="AA96" s="165"/>
      <c r="AB96" s="148">
        <v>400</v>
      </c>
      <c r="AC96" s="134">
        <v>231</v>
      </c>
      <c r="AD96" s="134"/>
      <c r="AE96" s="403">
        <f t="shared" si="3"/>
        <v>92400</v>
      </c>
      <c r="AF96" s="132" t="str">
        <f>IF(W96=BDD!$P$1,IMPORTS!AB96/25,IF(W96=BDD!$P$2,IMPORTS!AB96/25,IF(IMPORTS!W96=BDD!$P$4,IMPORTS!AB96/25.5,"--")))</f>
        <v>--</v>
      </c>
      <c r="AG96" s="130" t="s">
        <v>46</v>
      </c>
      <c r="AH96" s="130"/>
      <c r="AI96" s="130" t="s">
        <v>100</v>
      </c>
      <c r="AJ96" s="130"/>
      <c r="AK96" s="130"/>
      <c r="AL96" s="135" t="s">
        <v>743</v>
      </c>
      <c r="AM96" s="314"/>
      <c r="AN96" s="26"/>
      <c r="AO96" s="26"/>
      <c r="AP96" s="26"/>
      <c r="AQ96" s="26">
        <v>43000</v>
      </c>
      <c r="AR96" s="24"/>
      <c r="AS96" s="24"/>
      <c r="AT96" s="24">
        <v>43001</v>
      </c>
      <c r="AU96" s="418">
        <f t="shared" si="4"/>
        <v>9</v>
      </c>
      <c r="AV96" s="418">
        <f t="shared" si="5"/>
        <v>2017</v>
      </c>
      <c r="AW96" s="24"/>
      <c r="AX96" s="132"/>
      <c r="AY96" s="132" t="s">
        <v>269</v>
      </c>
      <c r="AZ96" s="132" t="s">
        <v>50</v>
      </c>
      <c r="BA96" s="132"/>
      <c r="BB96" s="24"/>
      <c r="BC96" s="135">
        <v>4</v>
      </c>
      <c r="BD96" s="24">
        <v>42964</v>
      </c>
      <c r="BE96" s="135" t="s">
        <v>817</v>
      </c>
      <c r="BF96" s="135" t="s">
        <v>817</v>
      </c>
      <c r="BG96" s="135" t="s">
        <v>52</v>
      </c>
      <c r="BH96" s="135"/>
      <c r="BI96" s="314"/>
      <c r="BJ96" s="314"/>
      <c r="BK96" s="24"/>
      <c r="BL96" s="24"/>
      <c r="BM96" s="24"/>
      <c r="BN96" s="24"/>
      <c r="BO96" s="24"/>
      <c r="BP96" s="24"/>
      <c r="BQ96" s="24"/>
      <c r="BR96" s="43"/>
      <c r="BS96" s="24"/>
      <c r="BT96" s="24"/>
      <c r="BU96" s="24"/>
      <c r="BV96" s="132" t="e">
        <f>IF(#REF!="COMPLETO","OK","PENDIENTES")</f>
        <v>#REF!</v>
      </c>
      <c r="BW96" s="132"/>
      <c r="BX96" s="132"/>
      <c r="BY96" s="132"/>
      <c r="BZ96" s="132"/>
      <c r="CA96" s="132"/>
      <c r="CB96" s="132"/>
      <c r="CC96" s="22"/>
      <c r="CG96" s="24" t="s">
        <v>105</v>
      </c>
      <c r="CH96" s="24"/>
      <c r="CI96" s="24"/>
      <c r="CJ96" s="24"/>
    </row>
    <row r="97" spans="1:283" ht="15.75" customHeight="1">
      <c r="A97" s="18">
        <v>2017</v>
      </c>
      <c r="B97" s="18" t="str">
        <f>+INDEX(BDD!F:F,MATCH(P97,BDD!D:D,0))&amp;"-"&amp;INDEX(BDD!E:E,MATCH(P97,BDD!D:D,0))</f>
        <v>G-S</v>
      </c>
      <c r="C97" s="360" t="s">
        <v>484</v>
      </c>
      <c r="D97" s="150" t="s">
        <v>77</v>
      </c>
      <c r="E97" s="132"/>
      <c r="F97" s="24"/>
      <c r="G97" s="346">
        <v>8000000118</v>
      </c>
      <c r="H97" s="25" t="s">
        <v>824</v>
      </c>
      <c r="I97" s="329"/>
      <c r="J97" s="346">
        <v>8000000118</v>
      </c>
      <c r="K97" s="24"/>
      <c r="L97" s="24"/>
      <c r="M97" s="24"/>
      <c r="N97" s="340" t="s">
        <v>486</v>
      </c>
      <c r="O97" s="333">
        <v>209973</v>
      </c>
      <c r="P97" s="25" t="s">
        <v>147</v>
      </c>
      <c r="Q97" s="127" t="s">
        <v>252</v>
      </c>
      <c r="R97" s="128" t="s">
        <v>825</v>
      </c>
      <c r="S97" s="24">
        <v>42958</v>
      </c>
      <c r="T97" s="36" t="s">
        <v>19</v>
      </c>
      <c r="U97" s="125"/>
      <c r="V97" s="88" t="s">
        <v>826</v>
      </c>
      <c r="W97" s="129"/>
      <c r="X97" s="88">
        <v>43018</v>
      </c>
      <c r="Y97" s="130" t="s">
        <v>20</v>
      </c>
      <c r="Z97" s="133" t="s">
        <v>60</v>
      </c>
      <c r="AA97" s="133"/>
      <c r="AB97" s="148">
        <v>990</v>
      </c>
      <c r="AC97" s="134">
        <v>367</v>
      </c>
      <c r="AD97" s="134"/>
      <c r="AE97" s="403">
        <f t="shared" si="3"/>
        <v>363330</v>
      </c>
      <c r="AF97" s="132">
        <v>33</v>
      </c>
      <c r="AG97" s="130" t="s">
        <v>21</v>
      </c>
      <c r="AH97" s="130"/>
      <c r="AI97" s="130" t="s">
        <v>71</v>
      </c>
      <c r="AJ97" s="130"/>
      <c r="AK97" s="130"/>
      <c r="AL97" s="24" t="s">
        <v>624</v>
      </c>
      <c r="AM97" s="314"/>
      <c r="AN97" s="26"/>
      <c r="AO97" s="26"/>
      <c r="AP97" s="26"/>
      <c r="AQ97" s="26">
        <v>43042</v>
      </c>
      <c r="AR97" s="24"/>
      <c r="AS97" s="24"/>
      <c r="AT97" s="26">
        <v>43048</v>
      </c>
      <c r="AU97" s="418">
        <f t="shared" si="4"/>
        <v>11</v>
      </c>
      <c r="AV97" s="418">
        <f t="shared" si="5"/>
        <v>2017</v>
      </c>
      <c r="AW97" s="26"/>
      <c r="AX97" s="28"/>
      <c r="AY97" s="28" t="s">
        <v>281</v>
      </c>
      <c r="AZ97" s="132" t="s">
        <v>37</v>
      </c>
      <c r="BA97" s="132"/>
      <c r="BB97" s="26"/>
      <c r="BC97" s="135" t="s">
        <v>827</v>
      </c>
      <c r="BD97" s="24">
        <v>43009</v>
      </c>
      <c r="BE97" s="135" t="s">
        <v>828</v>
      </c>
      <c r="BF97" s="135" t="s">
        <v>652</v>
      </c>
      <c r="BG97" s="135" t="s">
        <v>41</v>
      </c>
      <c r="BH97" s="135"/>
      <c r="BI97" s="314"/>
      <c r="BJ97" s="314"/>
      <c r="BK97" s="24"/>
      <c r="BL97" s="24"/>
      <c r="BM97" s="24"/>
      <c r="BN97" s="24"/>
      <c r="BO97" s="24">
        <f>+AQ97+14</f>
        <v>43056</v>
      </c>
      <c r="BP97" s="24"/>
      <c r="BQ97" s="24"/>
      <c r="BR97" s="43"/>
      <c r="BS97" s="24"/>
      <c r="BT97" s="24"/>
      <c r="BU97" s="24"/>
      <c r="BV97" s="132" t="e">
        <f>IF(#REF!="COMPLETO","OK","PENDIENTES")</f>
        <v>#REF!</v>
      </c>
      <c r="BW97" s="132"/>
      <c r="BX97" s="132"/>
      <c r="BY97" s="132"/>
      <c r="BZ97" s="132"/>
      <c r="CA97" s="132"/>
      <c r="CB97" s="132"/>
      <c r="CC97" s="22"/>
      <c r="CG97" s="24" t="s">
        <v>105</v>
      </c>
      <c r="CH97" s="24"/>
      <c r="CI97" s="26"/>
      <c r="CJ97" s="26"/>
    </row>
    <row r="98" spans="1:283" ht="15" customHeight="1">
      <c r="A98" s="18">
        <v>2017</v>
      </c>
      <c r="B98" s="18" t="str">
        <f>+INDEX(BDD!F:F,MATCH(P98,BDD!D:D,0))&amp;"-"&amp;INDEX(BDD!E:E,MATCH(P98,BDD!D:D,0))</f>
        <v>G-S</v>
      </c>
      <c r="C98" s="360" t="s">
        <v>484</v>
      </c>
      <c r="D98" s="150" t="s">
        <v>77</v>
      </c>
      <c r="E98" s="132"/>
      <c r="F98" s="24"/>
      <c r="G98" s="346">
        <v>8000000119</v>
      </c>
      <c r="H98" s="25" t="s">
        <v>829</v>
      </c>
      <c r="I98" s="329"/>
      <c r="J98" s="346">
        <v>8000000119</v>
      </c>
      <c r="K98" s="24"/>
      <c r="L98" s="24"/>
      <c r="M98" s="24"/>
      <c r="N98" s="340" t="s">
        <v>486</v>
      </c>
      <c r="O98" s="333">
        <v>209973</v>
      </c>
      <c r="P98" s="25" t="s">
        <v>147</v>
      </c>
      <c r="Q98" s="127" t="s">
        <v>252</v>
      </c>
      <c r="R98" s="128" t="s">
        <v>825</v>
      </c>
      <c r="S98" s="24">
        <v>42958</v>
      </c>
      <c r="T98" s="36" t="s">
        <v>19</v>
      </c>
      <c r="U98" s="125"/>
      <c r="V98" s="88" t="s">
        <v>830</v>
      </c>
      <c r="W98" s="129"/>
      <c r="X98" s="88">
        <v>43017</v>
      </c>
      <c r="Y98" s="130" t="s">
        <v>20</v>
      </c>
      <c r="Z98" s="133" t="s">
        <v>60</v>
      </c>
      <c r="AA98" s="133"/>
      <c r="AB98" s="148">
        <v>609</v>
      </c>
      <c r="AC98" s="134">
        <v>367</v>
      </c>
      <c r="AD98" s="134"/>
      <c r="AE98" s="403">
        <f t="shared" si="3"/>
        <v>223503</v>
      </c>
      <c r="AF98" s="132">
        <v>21</v>
      </c>
      <c r="AG98" s="130" t="s">
        <v>21</v>
      </c>
      <c r="AH98" s="130"/>
      <c r="AI98" s="130" t="s">
        <v>71</v>
      </c>
      <c r="AJ98" s="130"/>
      <c r="AK98" s="130"/>
      <c r="AL98" s="24" t="s">
        <v>624</v>
      </c>
      <c r="AM98" s="314"/>
      <c r="AN98" s="26"/>
      <c r="AO98" s="26"/>
      <c r="AP98" s="26"/>
      <c r="AQ98" s="26">
        <v>43052</v>
      </c>
      <c r="AR98" s="24"/>
      <c r="AS98" s="24"/>
      <c r="AT98" s="24">
        <v>43055</v>
      </c>
      <c r="AU98" s="418">
        <f t="shared" si="4"/>
        <v>11</v>
      </c>
      <c r="AV98" s="418">
        <f t="shared" si="5"/>
        <v>2017</v>
      </c>
      <c r="AW98" s="24"/>
      <c r="AX98" s="28"/>
      <c r="AY98" s="28" t="s">
        <v>281</v>
      </c>
      <c r="AZ98" s="132" t="s">
        <v>9</v>
      </c>
      <c r="BA98" s="132"/>
      <c r="BB98" s="24"/>
      <c r="BC98" s="128" t="s">
        <v>831</v>
      </c>
      <c r="BD98" s="24">
        <v>43007</v>
      </c>
      <c r="BE98" s="135" t="s">
        <v>832</v>
      </c>
      <c r="BF98" s="135" t="s">
        <v>580</v>
      </c>
      <c r="BG98" s="135" t="s">
        <v>64</v>
      </c>
      <c r="BH98" s="135"/>
      <c r="BI98" s="314"/>
      <c r="BJ98" s="314"/>
      <c r="BK98" s="24"/>
      <c r="BL98" s="24"/>
      <c r="BM98" s="24"/>
      <c r="BN98" s="24"/>
      <c r="BO98" s="24">
        <f>+AQ98+14</f>
        <v>43066</v>
      </c>
      <c r="BP98" s="24"/>
      <c r="BQ98" s="24"/>
      <c r="BR98" s="43"/>
      <c r="BS98" s="24"/>
      <c r="BT98" s="24"/>
      <c r="BU98" s="24"/>
      <c r="BV98" s="132" t="e">
        <f>IF(#REF!="COMPLETO","OK","PENDIENTES")</f>
        <v>#REF!</v>
      </c>
      <c r="BW98" s="132"/>
      <c r="BX98" s="132"/>
      <c r="BY98" s="132"/>
      <c r="BZ98" s="132"/>
      <c r="CA98" s="132"/>
      <c r="CB98" s="132"/>
      <c r="CC98" s="22"/>
      <c r="CG98" s="24" t="s">
        <v>105</v>
      </c>
      <c r="CH98" s="24"/>
      <c r="CI98" s="24"/>
      <c r="CJ98" s="24"/>
    </row>
    <row r="99" spans="1:283" ht="15" customHeight="1">
      <c r="A99" s="18">
        <v>2017</v>
      </c>
      <c r="B99" s="18" t="str">
        <f>+INDEX(BDD!F:F,MATCH(P99,BDD!D:D,0))&amp;"-"&amp;INDEX(BDD!E:E,MATCH(P99,BDD!D:D,0))</f>
        <v>E-S</v>
      </c>
      <c r="C99" s="360" t="s">
        <v>484</v>
      </c>
      <c r="D99" s="150" t="s">
        <v>77</v>
      </c>
      <c r="E99" s="132"/>
      <c r="F99" s="24"/>
      <c r="G99" s="346">
        <v>8000000121</v>
      </c>
      <c r="H99" s="25" t="s">
        <v>833</v>
      </c>
      <c r="I99" s="329"/>
      <c r="J99" s="346">
        <v>8000000121</v>
      </c>
      <c r="K99" s="24"/>
      <c r="L99" s="24"/>
      <c r="M99" s="24"/>
      <c r="N99" s="340" t="s">
        <v>486</v>
      </c>
      <c r="O99" s="333">
        <v>209974</v>
      </c>
      <c r="P99" s="25" t="s">
        <v>247</v>
      </c>
      <c r="Q99" s="127" t="s">
        <v>252</v>
      </c>
      <c r="R99" s="128" t="s">
        <v>825</v>
      </c>
      <c r="S99" s="24">
        <v>42958</v>
      </c>
      <c r="T99" s="36" t="s">
        <v>19</v>
      </c>
      <c r="U99" s="125"/>
      <c r="V99" s="88" t="s">
        <v>834</v>
      </c>
      <c r="W99" s="129"/>
      <c r="X99" s="88">
        <v>43047</v>
      </c>
      <c r="Y99" s="130" t="s">
        <v>20</v>
      </c>
      <c r="Z99" s="133" t="s">
        <v>60</v>
      </c>
      <c r="AA99" s="133"/>
      <c r="AB99" s="148">
        <v>360</v>
      </c>
      <c r="AC99" s="134">
        <v>257</v>
      </c>
      <c r="AD99" s="134"/>
      <c r="AE99" s="403">
        <f t="shared" si="3"/>
        <v>92520</v>
      </c>
      <c r="AF99" s="132">
        <v>12</v>
      </c>
      <c r="AG99" s="130" t="s">
        <v>21</v>
      </c>
      <c r="AH99" s="130"/>
      <c r="AI99" s="130" t="s">
        <v>71</v>
      </c>
      <c r="AJ99" s="130"/>
      <c r="AK99" s="130"/>
      <c r="AL99" s="135" t="s">
        <v>605</v>
      </c>
      <c r="AM99" s="314"/>
      <c r="AN99" s="26"/>
      <c r="AO99" s="26"/>
      <c r="AP99" s="26"/>
      <c r="AQ99" s="26">
        <v>43070</v>
      </c>
      <c r="AR99" s="24"/>
      <c r="AS99" s="24"/>
      <c r="AT99" s="24">
        <v>43074</v>
      </c>
      <c r="AU99" s="418">
        <f t="shared" si="4"/>
        <v>12</v>
      </c>
      <c r="AV99" s="418">
        <f t="shared" si="5"/>
        <v>2017</v>
      </c>
      <c r="AW99" s="24"/>
      <c r="AX99" s="28"/>
      <c r="AY99" s="28" t="s">
        <v>281</v>
      </c>
      <c r="AZ99" s="132" t="s">
        <v>37</v>
      </c>
      <c r="BA99" s="132"/>
      <c r="BB99" s="24"/>
      <c r="BC99" s="128" t="s">
        <v>835</v>
      </c>
      <c r="BD99" s="24">
        <v>43037</v>
      </c>
      <c r="BE99" s="135" t="s">
        <v>836</v>
      </c>
      <c r="BF99" s="135" t="s">
        <v>804</v>
      </c>
      <c r="BG99" s="135" t="s">
        <v>41</v>
      </c>
      <c r="BH99" s="135"/>
      <c r="BI99" s="314"/>
      <c r="BJ99" s="314"/>
      <c r="BK99" s="24"/>
      <c r="BL99" s="24"/>
      <c r="BM99" s="24"/>
      <c r="BN99" s="24"/>
      <c r="BO99" s="24">
        <f>+AQ99+14</f>
        <v>43084</v>
      </c>
      <c r="BP99" s="24"/>
      <c r="BQ99" s="24"/>
      <c r="BR99" s="43"/>
      <c r="BS99" s="24"/>
      <c r="BT99" s="24"/>
      <c r="BU99" s="24"/>
      <c r="BV99" s="132" t="e">
        <f>IF(#REF!="COMPLETO","OK","PENDIENTES")</f>
        <v>#REF!</v>
      </c>
      <c r="BW99" s="132"/>
      <c r="BX99" s="132"/>
      <c r="BY99" s="132"/>
      <c r="BZ99" s="132"/>
      <c r="CA99" s="132"/>
      <c r="CB99" s="132"/>
      <c r="CC99" s="22"/>
      <c r="CG99" s="24" t="s">
        <v>105</v>
      </c>
      <c r="CH99" s="24"/>
      <c r="CI99" s="24"/>
      <c r="CJ99" s="24"/>
    </row>
    <row r="100" spans="1:283" ht="15" customHeight="1">
      <c r="A100" s="166">
        <v>2017</v>
      </c>
      <c r="B100" s="18" t="str">
        <f>+INDEX(BDD!F:F,MATCH(P100,BDD!D:D,0))&amp;"-"&amp;INDEX(BDD!E:E,MATCH(P100,BDD!D:D,0))</f>
        <v>E-S</v>
      </c>
      <c r="C100" s="360" t="s">
        <v>484</v>
      </c>
      <c r="D100" s="150" t="s">
        <v>77</v>
      </c>
      <c r="E100" s="132"/>
      <c r="F100" s="164"/>
      <c r="G100" s="346">
        <v>8000000120</v>
      </c>
      <c r="H100" s="167" t="s">
        <v>837</v>
      </c>
      <c r="I100" s="329"/>
      <c r="J100" s="346">
        <v>8000000120</v>
      </c>
      <c r="K100" s="24"/>
      <c r="L100" s="24"/>
      <c r="M100" s="24"/>
      <c r="N100" s="340" t="s">
        <v>486</v>
      </c>
      <c r="O100" s="333">
        <v>209974</v>
      </c>
      <c r="P100" s="167" t="s">
        <v>247</v>
      </c>
      <c r="Q100" s="168" t="s">
        <v>252</v>
      </c>
      <c r="R100" s="128" t="s">
        <v>825</v>
      </c>
      <c r="S100" s="164">
        <v>42958</v>
      </c>
      <c r="T100" s="169" t="s">
        <v>19</v>
      </c>
      <c r="U100" s="170"/>
      <c r="V100" s="171" t="s">
        <v>838</v>
      </c>
      <c r="W100" s="172"/>
      <c r="X100" s="171">
        <v>43047</v>
      </c>
      <c r="Y100" s="173" t="s">
        <v>20</v>
      </c>
      <c r="Z100" s="176" t="s">
        <v>60</v>
      </c>
      <c r="AA100" s="176"/>
      <c r="AB100" s="174">
        <v>145</v>
      </c>
      <c r="AC100" s="177">
        <v>257</v>
      </c>
      <c r="AD100" s="177"/>
      <c r="AE100" s="403">
        <f t="shared" si="3"/>
        <v>37265</v>
      </c>
      <c r="AF100" s="175">
        <v>5</v>
      </c>
      <c r="AG100" s="173" t="s">
        <v>21</v>
      </c>
      <c r="AH100" s="173"/>
      <c r="AI100" s="173" t="s">
        <v>71</v>
      </c>
      <c r="AJ100" s="173"/>
      <c r="AK100" s="173"/>
      <c r="AL100" s="178" t="s">
        <v>605</v>
      </c>
      <c r="AM100" s="314"/>
      <c r="AN100" s="26"/>
      <c r="AO100" s="26"/>
      <c r="AP100" s="26"/>
      <c r="AQ100" s="26">
        <v>43080</v>
      </c>
      <c r="AR100" s="164"/>
      <c r="AS100" s="164"/>
      <c r="AT100" s="164">
        <v>43082</v>
      </c>
      <c r="AU100" s="418">
        <f t="shared" si="4"/>
        <v>12</v>
      </c>
      <c r="AV100" s="418">
        <f t="shared" si="5"/>
        <v>2017</v>
      </c>
      <c r="AW100" s="164"/>
      <c r="AX100" s="180"/>
      <c r="AY100" s="180" t="s">
        <v>281</v>
      </c>
      <c r="AZ100" s="132" t="s">
        <v>9</v>
      </c>
      <c r="BA100" s="132"/>
      <c r="BB100" s="164"/>
      <c r="BC100" s="169" t="s">
        <v>839</v>
      </c>
      <c r="BD100" s="164">
        <v>43037</v>
      </c>
      <c r="BE100" s="178" t="s">
        <v>840</v>
      </c>
      <c r="BF100" s="178" t="s">
        <v>580</v>
      </c>
      <c r="BG100" s="178" t="s">
        <v>64</v>
      </c>
      <c r="BH100" s="178"/>
      <c r="BI100" s="314"/>
      <c r="BJ100" s="314"/>
      <c r="BK100" s="164"/>
      <c r="BL100" s="164"/>
      <c r="BM100" s="164"/>
      <c r="BN100" s="164"/>
      <c r="BO100" s="164">
        <f>+AQ100+21</f>
        <v>43101</v>
      </c>
      <c r="BP100" s="164"/>
      <c r="BQ100" s="164"/>
      <c r="BR100" s="179"/>
      <c r="BS100" s="164"/>
      <c r="BT100" s="164"/>
      <c r="BU100" s="164"/>
      <c r="BV100" s="132" t="e">
        <f>IF(#REF!="COMPLETO","OK","PENDIENTES")</f>
        <v>#REF!</v>
      </c>
      <c r="BW100" s="132"/>
      <c r="BX100" s="132"/>
      <c r="BY100" s="132"/>
      <c r="BZ100" s="132"/>
      <c r="CA100" s="132"/>
      <c r="CB100" s="132"/>
      <c r="CC100" s="22"/>
      <c r="CG100" s="164" t="s">
        <v>105</v>
      </c>
      <c r="CH100" s="164"/>
      <c r="CI100" s="164"/>
      <c r="CJ100" s="164"/>
    </row>
    <row r="101" spans="1:283" ht="15" customHeight="1">
      <c r="A101" s="18">
        <v>2017</v>
      </c>
      <c r="B101" s="18" t="str">
        <f>+INDEX(BDD!F:F,MATCH(P101,BDD!D:D,0))&amp;"-"&amp;INDEX(BDD!E:E,MATCH(P101,BDD!D:D,0))</f>
        <v>E-S</v>
      </c>
      <c r="C101" s="360" t="s">
        <v>484</v>
      </c>
      <c r="D101" s="150" t="s">
        <v>77</v>
      </c>
      <c r="E101" s="132"/>
      <c r="F101" s="24"/>
      <c r="G101" s="346">
        <v>8000000122</v>
      </c>
      <c r="H101" s="25" t="s">
        <v>841</v>
      </c>
      <c r="I101" s="329"/>
      <c r="J101" s="346">
        <v>8000000122</v>
      </c>
      <c r="K101" s="24"/>
      <c r="L101" s="24"/>
      <c r="M101" s="24"/>
      <c r="N101" s="340" t="s">
        <v>486</v>
      </c>
      <c r="O101" s="334">
        <v>209976</v>
      </c>
      <c r="P101" s="25" t="s">
        <v>256</v>
      </c>
      <c r="Q101" s="127" t="s">
        <v>252</v>
      </c>
      <c r="R101" s="128" t="s">
        <v>842</v>
      </c>
      <c r="S101" s="24">
        <v>42958</v>
      </c>
      <c r="T101" s="36" t="s">
        <v>19</v>
      </c>
      <c r="U101" s="125"/>
      <c r="V101" s="88" t="s">
        <v>843</v>
      </c>
      <c r="W101" s="129"/>
      <c r="X101" s="88">
        <v>42992</v>
      </c>
      <c r="Y101" s="130" t="s">
        <v>20</v>
      </c>
      <c r="Z101" s="133" t="s">
        <v>60</v>
      </c>
      <c r="AA101" s="133"/>
      <c r="AB101" s="148">
        <v>165.8</v>
      </c>
      <c r="AC101" s="134">
        <v>312</v>
      </c>
      <c r="AD101" s="134"/>
      <c r="AE101" s="403">
        <f t="shared" si="3"/>
        <v>51729.600000000006</v>
      </c>
      <c r="AF101" s="132">
        <v>6</v>
      </c>
      <c r="AG101" s="130" t="s">
        <v>21</v>
      </c>
      <c r="AH101" s="130"/>
      <c r="AI101" s="130" t="s">
        <v>71</v>
      </c>
      <c r="AJ101" s="130"/>
      <c r="AK101" s="130"/>
      <c r="AL101" s="24" t="s">
        <v>624</v>
      </c>
      <c r="AM101" s="314"/>
      <c r="AN101" s="26"/>
      <c r="AO101" s="26"/>
      <c r="AP101" s="26"/>
      <c r="AQ101" s="26">
        <v>43014</v>
      </c>
      <c r="AR101" s="24"/>
      <c r="AS101" s="24"/>
      <c r="AT101" s="24">
        <v>43019</v>
      </c>
      <c r="AU101" s="418">
        <f t="shared" si="4"/>
        <v>10</v>
      </c>
      <c r="AV101" s="418">
        <f t="shared" si="5"/>
        <v>2017</v>
      </c>
      <c r="AW101" s="24"/>
      <c r="AX101" s="28"/>
      <c r="AY101" s="28" t="s">
        <v>281</v>
      </c>
      <c r="AZ101" s="132" t="s">
        <v>37</v>
      </c>
      <c r="BA101" s="132"/>
      <c r="BB101" s="24"/>
      <c r="BC101" s="128" t="s">
        <v>844</v>
      </c>
      <c r="BD101" s="24">
        <v>42982</v>
      </c>
      <c r="BE101" s="135" t="s">
        <v>814</v>
      </c>
      <c r="BF101" s="135" t="s">
        <v>814</v>
      </c>
      <c r="BG101" s="135" t="s">
        <v>41</v>
      </c>
      <c r="BH101" s="135"/>
      <c r="BI101" s="314"/>
      <c r="BJ101" s="314"/>
      <c r="BK101" s="24"/>
      <c r="BL101" s="24"/>
      <c r="BM101" s="24"/>
      <c r="BN101" s="24"/>
      <c r="BO101" s="24">
        <f>+AQ101+14</f>
        <v>43028</v>
      </c>
      <c r="BP101" s="24"/>
      <c r="BQ101" s="24"/>
      <c r="BR101" s="43"/>
      <c r="BS101" s="24"/>
      <c r="BT101" s="24"/>
      <c r="BU101" s="24"/>
      <c r="BV101" s="132" t="e">
        <f>IF(#REF!="COMPLETO","OK","PENDIENTES")</f>
        <v>#REF!</v>
      </c>
      <c r="BW101" s="132"/>
      <c r="BX101" s="132"/>
      <c r="BY101" s="132"/>
      <c r="BZ101" s="132"/>
      <c r="CA101" s="132"/>
      <c r="CB101" s="132"/>
      <c r="CC101" s="22"/>
      <c r="CG101" s="24" t="s">
        <v>105</v>
      </c>
      <c r="CH101" s="24"/>
      <c r="CI101" s="24"/>
      <c r="CJ101" s="24"/>
    </row>
    <row r="102" spans="1:283" ht="15" customHeight="1">
      <c r="A102" s="18">
        <v>2017</v>
      </c>
      <c r="B102" s="18" t="str">
        <f>+INDEX(BDD!F:F,MATCH(P102,BDD!D:D,0))&amp;"-"&amp;INDEX(BDD!E:E,MATCH(P102,BDD!D:D,0))</f>
        <v>E-S</v>
      </c>
      <c r="C102" s="360" t="s">
        <v>484</v>
      </c>
      <c r="D102" s="150" t="s">
        <v>77</v>
      </c>
      <c r="E102" s="132"/>
      <c r="F102" s="24"/>
      <c r="G102" s="346">
        <v>8000000123</v>
      </c>
      <c r="H102" s="25" t="s">
        <v>845</v>
      </c>
      <c r="I102" s="329"/>
      <c r="J102" s="346">
        <v>8000000123</v>
      </c>
      <c r="K102" s="24"/>
      <c r="L102" s="24"/>
      <c r="M102" s="24"/>
      <c r="N102" s="340" t="s">
        <v>486</v>
      </c>
      <c r="O102" s="334">
        <v>209976</v>
      </c>
      <c r="P102" s="25" t="s">
        <v>256</v>
      </c>
      <c r="Q102" s="127" t="s">
        <v>252</v>
      </c>
      <c r="R102" s="128" t="s">
        <v>842</v>
      </c>
      <c r="S102" s="24">
        <v>42958</v>
      </c>
      <c r="T102" s="36" t="s">
        <v>19</v>
      </c>
      <c r="U102" s="125"/>
      <c r="V102" s="88" t="s">
        <v>846</v>
      </c>
      <c r="W102" s="129"/>
      <c r="X102" s="88">
        <v>43011</v>
      </c>
      <c r="Y102" s="130" t="s">
        <v>20</v>
      </c>
      <c r="Z102" s="133" t="s">
        <v>60</v>
      </c>
      <c r="AA102" s="133"/>
      <c r="AB102" s="148">
        <v>113</v>
      </c>
      <c r="AC102" s="134">
        <v>312</v>
      </c>
      <c r="AD102" s="134"/>
      <c r="AE102" s="403">
        <f t="shared" si="3"/>
        <v>35256</v>
      </c>
      <c r="AF102" s="132">
        <v>4</v>
      </c>
      <c r="AG102" s="130" t="s">
        <v>21</v>
      </c>
      <c r="AH102" s="130"/>
      <c r="AI102" s="130" t="s">
        <v>71</v>
      </c>
      <c r="AJ102" s="130"/>
      <c r="AK102" s="130"/>
      <c r="AL102" s="24" t="s">
        <v>624</v>
      </c>
      <c r="AM102" s="314"/>
      <c r="AN102" s="26"/>
      <c r="AO102" s="26"/>
      <c r="AP102" s="26"/>
      <c r="AQ102" s="26">
        <v>43038</v>
      </c>
      <c r="AR102" s="24"/>
      <c r="AS102" s="24"/>
      <c r="AT102" s="24">
        <v>43045</v>
      </c>
      <c r="AU102" s="418">
        <f t="shared" si="4"/>
        <v>11</v>
      </c>
      <c r="AV102" s="418">
        <f t="shared" si="5"/>
        <v>2017</v>
      </c>
      <c r="AW102" s="24"/>
      <c r="AX102" s="28"/>
      <c r="AY102" s="28" t="s">
        <v>281</v>
      </c>
      <c r="AZ102" s="132" t="s">
        <v>9</v>
      </c>
      <c r="BA102" s="132"/>
      <c r="BB102" s="24"/>
      <c r="BC102" s="128" t="s">
        <v>847</v>
      </c>
      <c r="BD102" s="24">
        <v>43002</v>
      </c>
      <c r="BE102" s="135" t="s">
        <v>848</v>
      </c>
      <c r="BF102" s="135" t="s">
        <v>580</v>
      </c>
      <c r="BG102" s="135" t="s">
        <v>64</v>
      </c>
      <c r="BH102" s="135"/>
      <c r="BI102" s="314"/>
      <c r="BJ102" s="314"/>
      <c r="BK102" s="24"/>
      <c r="BL102" s="24"/>
      <c r="BM102" s="24"/>
      <c r="BN102" s="24"/>
      <c r="BO102" s="24">
        <f>+AQ102+21</f>
        <v>43059</v>
      </c>
      <c r="BP102" s="24"/>
      <c r="BQ102" s="24"/>
      <c r="BR102" s="43"/>
      <c r="BS102" s="24"/>
      <c r="BT102" s="24"/>
      <c r="BU102" s="24"/>
      <c r="BV102" s="132" t="e">
        <f>IF(#REF!="COMPLETO","OK","PENDIENTES")</f>
        <v>#REF!</v>
      </c>
      <c r="BW102" s="132"/>
      <c r="BX102" s="132"/>
      <c r="BY102" s="132"/>
      <c r="BZ102" s="132"/>
      <c r="CA102" s="132"/>
      <c r="CB102" s="132"/>
      <c r="CC102" s="22"/>
      <c r="CG102" s="24" t="s">
        <v>105</v>
      </c>
      <c r="CH102" s="24"/>
      <c r="CI102" s="24"/>
      <c r="CJ102" s="24"/>
    </row>
    <row r="103" spans="1:283" ht="15" customHeight="1">
      <c r="A103" s="18">
        <v>2017</v>
      </c>
      <c r="B103" s="18" t="str">
        <f>+INDEX(BDD!F:F,MATCH(P103,BDD!D:D,0))&amp;"-"&amp;INDEX(BDD!E:E,MATCH(P103,BDD!D:D,0))</f>
        <v>S-S</v>
      </c>
      <c r="C103" s="360" t="s">
        <v>484</v>
      </c>
      <c r="D103" s="150" t="s">
        <v>77</v>
      </c>
      <c r="E103" s="132"/>
      <c r="F103" s="24"/>
      <c r="G103" s="346">
        <v>8000000124</v>
      </c>
      <c r="H103" s="25" t="s">
        <v>849</v>
      </c>
      <c r="I103" s="329"/>
      <c r="J103" s="346">
        <v>8000000124</v>
      </c>
      <c r="K103" s="24"/>
      <c r="L103" s="24"/>
      <c r="M103" s="24"/>
      <c r="N103" s="340" t="s">
        <v>486</v>
      </c>
      <c r="O103" s="333">
        <v>206914</v>
      </c>
      <c r="P103" s="25" t="s">
        <v>335</v>
      </c>
      <c r="Q103" s="127" t="s">
        <v>264</v>
      </c>
      <c r="R103" s="128" t="s">
        <v>850</v>
      </c>
      <c r="S103" s="24">
        <v>42969</v>
      </c>
      <c r="T103" s="36">
        <v>60</v>
      </c>
      <c r="U103" s="125" t="s">
        <v>118</v>
      </c>
      <c r="V103" s="88" t="s">
        <v>850</v>
      </c>
      <c r="W103" s="129"/>
      <c r="X103" s="88">
        <f>+BD103+T103</f>
        <v>43068</v>
      </c>
      <c r="Y103" s="130" t="s">
        <v>20</v>
      </c>
      <c r="Z103" s="133" t="s">
        <v>60</v>
      </c>
      <c r="AA103" s="133"/>
      <c r="AB103" s="148">
        <v>199.5</v>
      </c>
      <c r="AC103" s="134">
        <v>165</v>
      </c>
      <c r="AD103" s="134"/>
      <c r="AE103" s="403">
        <f t="shared" si="3"/>
        <v>32917.5</v>
      </c>
      <c r="AF103" s="132">
        <v>7</v>
      </c>
      <c r="AG103" s="130" t="s">
        <v>21</v>
      </c>
      <c r="AH103" s="130"/>
      <c r="AI103" s="130" t="s">
        <v>34</v>
      </c>
      <c r="AJ103" s="130"/>
      <c r="AK103" s="130"/>
      <c r="AL103" s="135" t="s">
        <v>851</v>
      </c>
      <c r="AM103" s="314"/>
      <c r="AN103" s="26"/>
      <c r="AO103" s="26"/>
      <c r="AP103" s="26"/>
      <c r="AQ103" s="26">
        <v>43047</v>
      </c>
      <c r="AR103" s="24"/>
      <c r="AS103" s="24"/>
      <c r="AT103" s="24">
        <v>43050</v>
      </c>
      <c r="AU103" s="418">
        <f t="shared" si="4"/>
        <v>11</v>
      </c>
      <c r="AV103" s="418">
        <f t="shared" si="5"/>
        <v>2017</v>
      </c>
      <c r="AW103" s="24"/>
      <c r="AX103" s="28"/>
      <c r="AY103" s="28" t="s">
        <v>139</v>
      </c>
      <c r="AZ103" s="132" t="s">
        <v>9</v>
      </c>
      <c r="BA103" s="132"/>
      <c r="BB103" s="24"/>
      <c r="BC103" s="128" t="s">
        <v>852</v>
      </c>
      <c r="BD103" s="24">
        <v>43008</v>
      </c>
      <c r="BE103" s="135" t="s">
        <v>853</v>
      </c>
      <c r="BF103" s="135" t="s">
        <v>854</v>
      </c>
      <c r="BG103" s="135" t="s">
        <v>65</v>
      </c>
      <c r="BH103" s="135"/>
      <c r="BI103" s="314"/>
      <c r="BJ103" s="314"/>
      <c r="BK103" s="24"/>
      <c r="BL103" s="24"/>
      <c r="BM103" s="24"/>
      <c r="BN103" s="24"/>
      <c r="BO103" s="24">
        <v>43062</v>
      </c>
      <c r="BP103" s="24"/>
      <c r="BQ103" s="24"/>
      <c r="BR103" s="43"/>
      <c r="BS103" s="24"/>
      <c r="BT103" s="24"/>
      <c r="BU103" s="24"/>
      <c r="BV103" s="132" t="e">
        <f>IF(#REF!="COMPLETO","OK","PENDIENTES")</f>
        <v>#REF!</v>
      </c>
      <c r="BW103" s="132"/>
      <c r="BX103" s="132"/>
      <c r="BY103" s="132"/>
      <c r="BZ103" s="132"/>
      <c r="CA103" s="132"/>
      <c r="CB103" s="132"/>
      <c r="CC103" s="22"/>
      <c r="CG103" s="24" t="s">
        <v>105</v>
      </c>
      <c r="CH103" s="24"/>
      <c r="CI103" s="24"/>
      <c r="CJ103" s="24"/>
    </row>
    <row r="104" spans="1:283" ht="15" customHeight="1">
      <c r="A104" s="18">
        <v>2017</v>
      </c>
      <c r="B104" s="18" t="str">
        <f>+INDEX(BDD!F:F,MATCH(P104,BDD!D:D,0))&amp;"-"&amp;INDEX(BDD!E:E,MATCH(P104,BDD!D:D,0))</f>
        <v>G-S</v>
      </c>
      <c r="C104" s="360" t="s">
        <v>484</v>
      </c>
      <c r="D104" s="150" t="s">
        <v>77</v>
      </c>
      <c r="E104" s="132"/>
      <c r="F104" s="24"/>
      <c r="G104" s="346">
        <v>8000000125</v>
      </c>
      <c r="H104" s="25" t="s">
        <v>855</v>
      </c>
      <c r="I104" s="329"/>
      <c r="J104" s="346">
        <v>8000000125</v>
      </c>
      <c r="K104" s="24"/>
      <c r="L104" s="24"/>
      <c r="M104" s="24"/>
      <c r="N104" s="340" t="s">
        <v>486</v>
      </c>
      <c r="O104" s="333">
        <v>209977</v>
      </c>
      <c r="P104" s="25" t="s">
        <v>345</v>
      </c>
      <c r="Q104" s="127" t="s">
        <v>306</v>
      </c>
      <c r="R104" s="128" t="s">
        <v>856</v>
      </c>
      <c r="S104" s="24">
        <v>42970</v>
      </c>
      <c r="T104" s="36" t="s">
        <v>19</v>
      </c>
      <c r="U104" s="125"/>
      <c r="V104" s="155">
        <v>10597</v>
      </c>
      <c r="W104" s="129"/>
      <c r="X104" s="88">
        <v>43049</v>
      </c>
      <c r="Y104" s="130" t="s">
        <v>20</v>
      </c>
      <c r="Z104" s="133" t="s">
        <v>60</v>
      </c>
      <c r="AA104" s="133"/>
      <c r="AB104" s="148">
        <v>110</v>
      </c>
      <c r="AC104" s="134">
        <v>375</v>
      </c>
      <c r="AD104" s="134"/>
      <c r="AE104" s="403">
        <f t="shared" si="3"/>
        <v>41250</v>
      </c>
      <c r="AF104" s="132">
        <v>4</v>
      </c>
      <c r="AG104" s="130" t="s">
        <v>5</v>
      </c>
      <c r="AH104" s="130"/>
      <c r="AI104" s="130" t="s">
        <v>47</v>
      </c>
      <c r="AJ104" s="130"/>
      <c r="AK104" s="130"/>
      <c r="AL104" s="135" t="s">
        <v>605</v>
      </c>
      <c r="AM104" s="314"/>
      <c r="AN104" s="26"/>
      <c r="AO104" s="26"/>
      <c r="AP104" s="26"/>
      <c r="AQ104" s="26">
        <v>43083</v>
      </c>
      <c r="AR104" s="24"/>
      <c r="AS104" s="24"/>
      <c r="AT104" s="24">
        <v>43087</v>
      </c>
      <c r="AU104" s="418">
        <f t="shared" si="4"/>
        <v>12</v>
      </c>
      <c r="AV104" s="418">
        <f t="shared" si="5"/>
        <v>2017</v>
      </c>
      <c r="AW104" s="24"/>
      <c r="AX104" s="28"/>
      <c r="AY104" s="28" t="s">
        <v>149</v>
      </c>
      <c r="AZ104" s="132" t="s">
        <v>37</v>
      </c>
      <c r="BA104" s="132"/>
      <c r="BB104" s="24"/>
      <c r="BC104" s="128" t="s">
        <v>857</v>
      </c>
      <c r="BD104" s="24">
        <v>43035</v>
      </c>
      <c r="BE104" s="135" t="s">
        <v>858</v>
      </c>
      <c r="BF104" s="135"/>
      <c r="BG104" s="135" t="s">
        <v>178</v>
      </c>
      <c r="BH104" s="135"/>
      <c r="BI104" s="314"/>
      <c r="BJ104" s="314"/>
      <c r="BK104" s="24"/>
      <c r="BL104" s="24"/>
      <c r="BM104" s="24"/>
      <c r="BN104" s="24"/>
      <c r="BO104" s="24">
        <f>+AQ104+14</f>
        <v>43097</v>
      </c>
      <c r="BP104" s="24"/>
      <c r="BQ104" s="24"/>
      <c r="BR104" s="43"/>
      <c r="BS104" s="24"/>
      <c r="BT104" s="24"/>
      <c r="BU104" s="24"/>
      <c r="BV104" s="132" t="e">
        <f>IF(#REF!="COMPLETO","OK","PENDIENTES")</f>
        <v>#REF!</v>
      </c>
      <c r="BW104" s="132"/>
      <c r="BX104" s="132"/>
      <c r="BY104" s="132"/>
      <c r="BZ104" s="132"/>
      <c r="CA104" s="132"/>
      <c r="CB104" s="132"/>
      <c r="CC104" s="22"/>
      <c r="CG104" s="24" t="s">
        <v>105</v>
      </c>
      <c r="CH104" s="24"/>
      <c r="CI104" s="24"/>
      <c r="CJ104" s="24"/>
    </row>
    <row r="105" spans="1:283" ht="15" customHeight="1">
      <c r="A105" s="18">
        <v>2017</v>
      </c>
      <c r="B105" s="18" t="str">
        <f>+INDEX(BDD!F:F,MATCH(P105,BDD!D:D,0))&amp;"-"&amp;INDEX(BDD!E:E,MATCH(P105,BDD!D:D,0))</f>
        <v>G-S</v>
      </c>
      <c r="C105" s="360" t="s">
        <v>484</v>
      </c>
      <c r="D105" s="150" t="s">
        <v>77</v>
      </c>
      <c r="E105" s="132"/>
      <c r="F105" s="24"/>
      <c r="G105" s="346">
        <v>8000000126</v>
      </c>
      <c r="H105" s="25" t="s">
        <v>859</v>
      </c>
      <c r="I105" s="329"/>
      <c r="J105" s="346">
        <v>8000000126</v>
      </c>
      <c r="K105" s="24"/>
      <c r="L105" s="24"/>
      <c r="M105" s="24"/>
      <c r="N105" s="340" t="s">
        <v>486</v>
      </c>
      <c r="O105" s="333">
        <v>209977</v>
      </c>
      <c r="P105" s="25" t="s">
        <v>345</v>
      </c>
      <c r="Q105" s="127" t="s">
        <v>306</v>
      </c>
      <c r="R105" s="128" t="s">
        <v>856</v>
      </c>
      <c r="S105" s="24">
        <v>42970</v>
      </c>
      <c r="T105" s="36" t="s">
        <v>19</v>
      </c>
      <c r="U105" s="125"/>
      <c r="V105" s="155">
        <v>10598</v>
      </c>
      <c r="W105" s="129"/>
      <c r="X105" s="88">
        <v>43056</v>
      </c>
      <c r="Y105" s="130" t="s">
        <v>20</v>
      </c>
      <c r="Z105" s="133" t="s">
        <v>60</v>
      </c>
      <c r="AA105" s="133"/>
      <c r="AB105" s="148">
        <v>220</v>
      </c>
      <c r="AC105" s="134">
        <v>380</v>
      </c>
      <c r="AD105" s="134"/>
      <c r="AE105" s="403">
        <f t="shared" si="3"/>
        <v>83600</v>
      </c>
      <c r="AF105" s="132">
        <v>8</v>
      </c>
      <c r="AG105" s="130" t="s">
        <v>5</v>
      </c>
      <c r="AH105" s="130"/>
      <c r="AI105" s="130" t="s">
        <v>47</v>
      </c>
      <c r="AJ105" s="130"/>
      <c r="AK105" s="130"/>
      <c r="AL105" s="135" t="s">
        <v>605</v>
      </c>
      <c r="AM105" s="314"/>
      <c r="AN105" s="26"/>
      <c r="AO105" s="26"/>
      <c r="AP105" s="26"/>
      <c r="AQ105" s="26">
        <v>43081</v>
      </c>
      <c r="AR105" s="24"/>
      <c r="AS105" s="24"/>
      <c r="AT105" s="24">
        <v>43088</v>
      </c>
      <c r="AU105" s="418">
        <f t="shared" si="4"/>
        <v>12</v>
      </c>
      <c r="AV105" s="418">
        <f t="shared" si="5"/>
        <v>2017</v>
      </c>
      <c r="AW105" s="24"/>
      <c r="AX105" s="28"/>
      <c r="AY105" s="28" t="s">
        <v>149</v>
      </c>
      <c r="AZ105" s="132" t="s">
        <v>9</v>
      </c>
      <c r="BA105" s="132"/>
      <c r="BB105" s="24"/>
      <c r="BC105" s="128" t="s">
        <v>860</v>
      </c>
      <c r="BD105" s="24">
        <v>43040</v>
      </c>
      <c r="BE105" s="135" t="s">
        <v>861</v>
      </c>
      <c r="BF105" s="135" t="s">
        <v>580</v>
      </c>
      <c r="BG105" s="135" t="s">
        <v>29</v>
      </c>
      <c r="BH105" s="135"/>
      <c r="BI105" s="314"/>
      <c r="BJ105" s="314"/>
      <c r="BK105" s="24"/>
      <c r="BL105" s="24"/>
      <c r="BM105" s="24"/>
      <c r="BN105" s="24"/>
      <c r="BO105" s="24">
        <f>+AQ105+14</f>
        <v>43095</v>
      </c>
      <c r="BP105" s="24"/>
      <c r="BQ105" s="24"/>
      <c r="BR105" s="43"/>
      <c r="BS105" s="24"/>
      <c r="BT105" s="24"/>
      <c r="BU105" s="24"/>
      <c r="BV105" s="132" t="e">
        <f>IF(#REF!="COMPLETO","OK","PENDIENTES")</f>
        <v>#REF!</v>
      </c>
      <c r="BW105" s="132"/>
      <c r="BX105" s="132"/>
      <c r="BY105" s="132"/>
      <c r="BZ105" s="132"/>
      <c r="CA105" s="132"/>
      <c r="CB105" s="132"/>
      <c r="CC105" s="22"/>
      <c r="CG105" s="24" t="s">
        <v>105</v>
      </c>
      <c r="CH105" s="24"/>
      <c r="CI105" s="24"/>
      <c r="CJ105" s="24"/>
    </row>
    <row r="106" spans="1:283" ht="15" customHeight="1">
      <c r="A106" s="18">
        <v>2017</v>
      </c>
      <c r="B106" s="18" t="str">
        <f>+INDEX(BDD!F:F,MATCH(P106,BDD!D:D,0))&amp;"-"&amp;INDEX(BDD!E:E,MATCH(P106,BDD!D:D,0))</f>
        <v>E-S</v>
      </c>
      <c r="C106" s="360" t="s">
        <v>484</v>
      </c>
      <c r="D106" s="150" t="s">
        <v>77</v>
      </c>
      <c r="E106" s="132"/>
      <c r="F106" s="24"/>
      <c r="G106" s="346">
        <v>8000000054</v>
      </c>
      <c r="H106" s="25" t="s">
        <v>862</v>
      </c>
      <c r="I106" s="329"/>
      <c r="J106" s="346">
        <v>8000000054</v>
      </c>
      <c r="K106" s="24"/>
      <c r="L106" s="24"/>
      <c r="M106" s="24"/>
      <c r="N106" s="340" t="s">
        <v>486</v>
      </c>
      <c r="O106" s="333">
        <v>207522</v>
      </c>
      <c r="P106" s="25" t="s">
        <v>298</v>
      </c>
      <c r="Q106" s="127" t="s">
        <v>183</v>
      </c>
      <c r="R106" s="128" t="s">
        <v>863</v>
      </c>
      <c r="S106" s="24">
        <v>42982</v>
      </c>
      <c r="T106" s="36">
        <v>90</v>
      </c>
      <c r="U106" s="125" t="s">
        <v>118</v>
      </c>
      <c r="V106" s="155">
        <v>300002954</v>
      </c>
      <c r="W106" s="129"/>
      <c r="X106" s="88">
        <f t="shared" ref="X106:X112" si="6">IF(RIGHT(U106,3)="ETA",AQ106+T106,IF(RIGHT(U106,2)="BL",BD106+T106," "))</f>
        <v>43115</v>
      </c>
      <c r="Y106" s="130" t="s">
        <v>20</v>
      </c>
      <c r="Z106" s="133" t="s">
        <v>60</v>
      </c>
      <c r="AA106" s="133"/>
      <c r="AB106" s="148">
        <v>195.84</v>
      </c>
      <c r="AC106" s="134">
        <v>280</v>
      </c>
      <c r="AD106" s="134"/>
      <c r="AE106" s="403">
        <f t="shared" si="3"/>
        <v>54835.200000000004</v>
      </c>
      <c r="AF106" s="132">
        <v>7</v>
      </c>
      <c r="AG106" s="130" t="s">
        <v>5</v>
      </c>
      <c r="AH106" s="130"/>
      <c r="AI106" s="130" t="s">
        <v>100</v>
      </c>
      <c r="AJ106" s="130"/>
      <c r="AK106" s="130"/>
      <c r="AL106" s="135" t="s">
        <v>605</v>
      </c>
      <c r="AM106" s="314"/>
      <c r="AN106" s="26"/>
      <c r="AO106" s="26"/>
      <c r="AP106" s="26"/>
      <c r="AQ106" s="26">
        <v>43049</v>
      </c>
      <c r="AR106" s="24"/>
      <c r="AS106" s="24"/>
      <c r="AT106" s="24">
        <v>43054</v>
      </c>
      <c r="AU106" s="418">
        <f t="shared" si="4"/>
        <v>11</v>
      </c>
      <c r="AV106" s="418">
        <f t="shared" si="5"/>
        <v>2017</v>
      </c>
      <c r="AW106" s="24"/>
      <c r="AX106" s="28"/>
      <c r="AY106" s="28" t="s">
        <v>8</v>
      </c>
      <c r="AZ106" s="132" t="s">
        <v>37</v>
      </c>
      <c r="BA106" s="132"/>
      <c r="BB106" s="24"/>
      <c r="BC106" s="128" t="s">
        <v>864</v>
      </c>
      <c r="BD106" s="24">
        <v>43025</v>
      </c>
      <c r="BE106" s="135" t="s">
        <v>865</v>
      </c>
      <c r="BF106" s="135" t="s">
        <v>865</v>
      </c>
      <c r="BG106" s="135" t="s">
        <v>29</v>
      </c>
      <c r="BH106" s="135"/>
      <c r="BI106" s="314"/>
      <c r="BJ106" s="314"/>
      <c r="BK106" s="24"/>
      <c r="BL106" s="24"/>
      <c r="BM106" s="24"/>
      <c r="BN106" s="24"/>
      <c r="BO106" s="24">
        <f>+AQ106+14</f>
        <v>43063</v>
      </c>
      <c r="BP106" s="24"/>
      <c r="BQ106" s="24"/>
      <c r="BR106" s="43"/>
      <c r="BS106" s="24"/>
      <c r="BT106" s="24"/>
      <c r="BU106" s="24"/>
      <c r="BV106" s="132" t="e">
        <f>IF(#REF!="COMPLETO","OK","PENDIENTES")</f>
        <v>#REF!</v>
      </c>
      <c r="BW106" s="132"/>
      <c r="BX106" s="132"/>
      <c r="BY106" s="132"/>
      <c r="BZ106" s="132"/>
      <c r="CA106" s="132"/>
      <c r="CB106" s="132"/>
      <c r="CC106" s="22"/>
      <c r="CG106" s="24" t="s">
        <v>105</v>
      </c>
      <c r="CH106" s="24"/>
      <c r="CI106" s="24"/>
      <c r="CJ106" s="24"/>
      <c r="JW106" s="15" t="s">
        <v>866</v>
      </c>
    </row>
    <row r="107" spans="1:283" ht="15" customHeight="1">
      <c r="A107" s="18">
        <v>2017</v>
      </c>
      <c r="B107" s="18" t="str">
        <f>+INDEX(BDD!F:F,MATCH(P107,BDD!D:D,0))&amp;"-"&amp;INDEX(BDD!E:E,MATCH(P107,BDD!D:D,0))</f>
        <v>E-S</v>
      </c>
      <c r="C107" s="360" t="s">
        <v>484</v>
      </c>
      <c r="D107" s="150" t="s">
        <v>77</v>
      </c>
      <c r="E107" s="132"/>
      <c r="F107" s="24"/>
      <c r="G107" s="346">
        <v>8000000055</v>
      </c>
      <c r="H107" s="25" t="s">
        <v>867</v>
      </c>
      <c r="I107" s="329"/>
      <c r="J107" s="346">
        <v>8000000055</v>
      </c>
      <c r="K107" s="24"/>
      <c r="L107" s="24"/>
      <c r="M107" s="24"/>
      <c r="N107" s="340" t="s">
        <v>486</v>
      </c>
      <c r="O107" s="333">
        <v>207522</v>
      </c>
      <c r="P107" s="25" t="s">
        <v>298</v>
      </c>
      <c r="Q107" s="127" t="s">
        <v>183</v>
      </c>
      <c r="R107" s="128" t="s">
        <v>868</v>
      </c>
      <c r="S107" s="24">
        <v>42982</v>
      </c>
      <c r="T107" s="36">
        <v>90</v>
      </c>
      <c r="U107" s="125" t="s">
        <v>118</v>
      </c>
      <c r="V107" s="155">
        <v>300003215</v>
      </c>
      <c r="W107" s="129"/>
      <c r="X107" s="88">
        <f t="shared" si="6"/>
        <v>43122</v>
      </c>
      <c r="Y107" s="130" t="s">
        <v>20</v>
      </c>
      <c r="Z107" s="133" t="s">
        <v>60</v>
      </c>
      <c r="AA107" s="133"/>
      <c r="AB107" s="148">
        <v>99.88</v>
      </c>
      <c r="AC107" s="134">
        <v>280</v>
      </c>
      <c r="AD107" s="134"/>
      <c r="AE107" s="403">
        <f t="shared" si="3"/>
        <v>27966.399999999998</v>
      </c>
      <c r="AF107" s="132">
        <v>4</v>
      </c>
      <c r="AG107" s="130" t="s">
        <v>5</v>
      </c>
      <c r="AH107" s="130"/>
      <c r="AI107" s="130" t="s">
        <v>100</v>
      </c>
      <c r="AJ107" s="130"/>
      <c r="AK107" s="130"/>
      <c r="AL107" s="135" t="s">
        <v>605</v>
      </c>
      <c r="AM107" s="314"/>
      <c r="AN107" s="26"/>
      <c r="AO107" s="26"/>
      <c r="AP107" s="26"/>
      <c r="AQ107" s="26">
        <v>43059</v>
      </c>
      <c r="AR107" s="24"/>
      <c r="AS107" s="24"/>
      <c r="AT107" s="24">
        <v>43062</v>
      </c>
      <c r="AU107" s="418">
        <f t="shared" si="4"/>
        <v>11</v>
      </c>
      <c r="AV107" s="418">
        <f t="shared" si="5"/>
        <v>2017</v>
      </c>
      <c r="AW107" s="24"/>
      <c r="AX107" s="28"/>
      <c r="AY107" s="28" t="s">
        <v>8</v>
      </c>
      <c r="AZ107" s="132" t="s">
        <v>9</v>
      </c>
      <c r="BA107" s="132"/>
      <c r="BB107" s="24"/>
      <c r="BC107" s="135" t="s">
        <v>869</v>
      </c>
      <c r="BD107" s="24">
        <v>43032</v>
      </c>
      <c r="BE107" s="135" t="s">
        <v>870</v>
      </c>
      <c r="BF107" s="135" t="s">
        <v>580</v>
      </c>
      <c r="BG107" s="135" t="s">
        <v>29</v>
      </c>
      <c r="BH107" s="135"/>
      <c r="BI107" s="314"/>
      <c r="BJ107" s="314"/>
      <c r="BK107" s="24"/>
      <c r="BL107" s="24"/>
      <c r="BM107" s="24"/>
      <c r="BN107" s="24"/>
      <c r="BO107" s="24">
        <f>+AQ107+14</f>
        <v>43073</v>
      </c>
      <c r="BP107" s="24"/>
      <c r="BQ107" s="24"/>
      <c r="BR107" s="43"/>
      <c r="BS107" s="24"/>
      <c r="BT107" s="24"/>
      <c r="BU107" s="24"/>
      <c r="BV107" s="132" t="e">
        <f>IF(#REF!="COMPLETO","OK","PENDIENTES")</f>
        <v>#REF!</v>
      </c>
      <c r="BW107" s="132"/>
      <c r="BX107" s="132"/>
      <c r="BY107" s="132"/>
      <c r="BZ107" s="132"/>
      <c r="CA107" s="132"/>
      <c r="CB107" s="132"/>
      <c r="CC107" s="22"/>
      <c r="CG107" s="24" t="s">
        <v>105</v>
      </c>
      <c r="CH107" s="24"/>
      <c r="CI107" s="24"/>
      <c r="CJ107" s="24"/>
    </row>
    <row r="108" spans="1:283" ht="12.75" customHeight="1">
      <c r="A108" s="18">
        <v>2017</v>
      </c>
      <c r="B108" s="18" t="str">
        <f>+INDEX(BDD!F:F,MATCH(P108,BDD!D:D,0))&amp;"-"&amp;INDEX(BDD!E:E,MATCH(P108,BDD!D:D,0))</f>
        <v>S-S</v>
      </c>
      <c r="C108" s="360" t="s">
        <v>484</v>
      </c>
      <c r="D108" s="150" t="s">
        <v>77</v>
      </c>
      <c r="E108" s="132"/>
      <c r="F108" s="24"/>
      <c r="G108" s="346">
        <v>8000000127</v>
      </c>
      <c r="H108" s="25" t="s">
        <v>871</v>
      </c>
      <c r="I108" s="329"/>
      <c r="J108" s="346">
        <v>8000000127</v>
      </c>
      <c r="K108" s="24"/>
      <c r="L108" s="24"/>
      <c r="M108" s="24"/>
      <c r="N108" s="340" t="s">
        <v>486</v>
      </c>
      <c r="O108" s="333">
        <v>207578</v>
      </c>
      <c r="P108" s="25" t="s">
        <v>316</v>
      </c>
      <c r="Q108" s="127" t="s">
        <v>213</v>
      </c>
      <c r="R108" s="128" t="s">
        <v>872</v>
      </c>
      <c r="S108" s="24">
        <v>42975</v>
      </c>
      <c r="T108" s="36">
        <v>90</v>
      </c>
      <c r="U108" s="125" t="s">
        <v>118</v>
      </c>
      <c r="V108" s="88" t="s">
        <v>873</v>
      </c>
      <c r="W108" s="129"/>
      <c r="X108" s="88">
        <f t="shared" si="6"/>
        <v>43123</v>
      </c>
      <c r="Y108" s="130" t="s">
        <v>20</v>
      </c>
      <c r="Z108" s="146" t="s">
        <v>60</v>
      </c>
      <c r="AA108" s="146"/>
      <c r="AB108" s="148">
        <v>540</v>
      </c>
      <c r="AC108" s="134">
        <v>285</v>
      </c>
      <c r="AD108" s="134"/>
      <c r="AE108" s="403">
        <f t="shared" si="3"/>
        <v>153900</v>
      </c>
      <c r="AF108" s="132" t="str">
        <f>IF(W108=BDD!$P$1,IMPORTS!AB108/25,IF(W108=BDD!$P$2,IMPORTS!AB108/25,IF(IMPORTS!W108=BDD!$P$4,IMPORTS!AB108/25.5,"--")))</f>
        <v>--</v>
      </c>
      <c r="AG108" s="130" t="s">
        <v>58</v>
      </c>
      <c r="AH108" s="130"/>
      <c r="AI108" s="130" t="s">
        <v>34</v>
      </c>
      <c r="AJ108" s="130"/>
      <c r="AK108" s="130"/>
      <c r="AL108" s="24" t="s">
        <v>605</v>
      </c>
      <c r="AM108" s="314"/>
      <c r="AN108" s="26"/>
      <c r="AO108" s="26"/>
      <c r="AP108" s="26"/>
      <c r="AQ108" s="26">
        <v>43076</v>
      </c>
      <c r="AR108" s="24"/>
      <c r="AS108" s="24"/>
      <c r="AT108" s="24">
        <v>43083</v>
      </c>
      <c r="AU108" s="418">
        <f t="shared" si="4"/>
        <v>12</v>
      </c>
      <c r="AV108" s="418">
        <f t="shared" si="5"/>
        <v>2017</v>
      </c>
      <c r="AW108" s="24"/>
      <c r="AX108" s="24"/>
      <c r="AY108" s="24" t="s">
        <v>607</v>
      </c>
      <c r="AZ108" s="132" t="s">
        <v>37</v>
      </c>
      <c r="BA108" s="132"/>
      <c r="BB108" s="24"/>
      <c r="BC108" s="135" t="s">
        <v>874</v>
      </c>
      <c r="BD108" s="24">
        <v>43033</v>
      </c>
      <c r="BE108" s="135" t="s">
        <v>608</v>
      </c>
      <c r="BF108" s="135" t="s">
        <v>608</v>
      </c>
      <c r="BG108" s="135" t="s">
        <v>52</v>
      </c>
      <c r="BH108" s="135"/>
      <c r="BI108" s="314"/>
      <c r="BJ108" s="314"/>
      <c r="BK108" s="24"/>
      <c r="BL108" s="24"/>
      <c r="BM108" s="24"/>
      <c r="BN108" s="24"/>
      <c r="BO108" s="24"/>
      <c r="BP108" s="24"/>
      <c r="BQ108" s="24"/>
      <c r="BR108" s="43"/>
      <c r="BS108" s="24"/>
      <c r="BT108" s="24"/>
      <c r="BU108" s="24"/>
      <c r="BV108" s="132" t="e">
        <f>IF(#REF!="COMPLETO","OK","PENDIENTES")</f>
        <v>#REF!</v>
      </c>
      <c r="BW108" s="132"/>
      <c r="BX108" s="132"/>
      <c r="BY108" s="132"/>
      <c r="BZ108" s="132"/>
      <c r="CA108" s="132"/>
      <c r="CB108" s="132"/>
      <c r="CC108" s="22"/>
      <c r="CG108" s="24" t="s">
        <v>105</v>
      </c>
      <c r="CH108" s="24"/>
      <c r="CI108" s="24"/>
      <c r="CJ108" s="24"/>
    </row>
    <row r="109" spans="1:283" ht="12.75" customHeight="1">
      <c r="A109" s="18">
        <v>2017</v>
      </c>
      <c r="B109" s="18" t="str">
        <f>+INDEX(BDD!F:F,MATCH(P109,BDD!D:D,0))&amp;"-"&amp;INDEX(BDD!E:E,MATCH(P109,BDD!D:D,0))</f>
        <v>E-S</v>
      </c>
      <c r="C109" s="360" t="s">
        <v>484</v>
      </c>
      <c r="D109" s="150" t="s">
        <v>77</v>
      </c>
      <c r="E109" s="132"/>
      <c r="F109" s="24"/>
      <c r="G109" s="346">
        <v>8000000056</v>
      </c>
      <c r="H109" s="25" t="s">
        <v>875</v>
      </c>
      <c r="I109" s="329"/>
      <c r="J109" s="346">
        <v>8000000056</v>
      </c>
      <c r="K109" s="24"/>
      <c r="L109" s="24"/>
      <c r="M109" s="24"/>
      <c r="N109" s="340" t="s">
        <v>486</v>
      </c>
      <c r="O109" s="334">
        <v>204383</v>
      </c>
      <c r="P109" s="25" t="s">
        <v>271</v>
      </c>
      <c r="Q109" s="127" t="s">
        <v>183</v>
      </c>
      <c r="R109" s="128"/>
      <c r="S109" s="24"/>
      <c r="T109" s="36">
        <v>90</v>
      </c>
      <c r="U109" s="125" t="s">
        <v>118</v>
      </c>
      <c r="V109" s="181">
        <v>201775387</v>
      </c>
      <c r="W109" s="182"/>
      <c r="X109" s="88">
        <f t="shared" si="6"/>
        <v>43097</v>
      </c>
      <c r="Y109" s="130" t="s">
        <v>20</v>
      </c>
      <c r="Z109" s="133" t="s">
        <v>81</v>
      </c>
      <c r="AA109" s="133"/>
      <c r="AB109" s="148">
        <v>6</v>
      </c>
      <c r="AC109" s="134">
        <v>1820</v>
      </c>
      <c r="AD109" s="134"/>
      <c r="AE109" s="403">
        <f t="shared" si="3"/>
        <v>10920</v>
      </c>
      <c r="AF109" s="132" t="str">
        <f>IF(W109=BDD!$P$1,IMPORTS!AB109/25,IF(W109=BDD!$P$2,IMPORTS!AB109/25,IF(IMPORTS!W109=BDD!$P$4,IMPORTS!AB109/25.5,"--")))</f>
        <v>--</v>
      </c>
      <c r="AG109" s="130" t="s">
        <v>5</v>
      </c>
      <c r="AH109" s="130"/>
      <c r="AI109" s="130" t="s">
        <v>34</v>
      </c>
      <c r="AJ109" s="130"/>
      <c r="AK109" s="130"/>
      <c r="AL109" s="24" t="s">
        <v>624</v>
      </c>
      <c r="AM109" s="314"/>
      <c r="AN109" s="26"/>
      <c r="AO109" s="26"/>
      <c r="AP109" s="26"/>
      <c r="AQ109" s="26">
        <v>43070</v>
      </c>
      <c r="AR109" s="24"/>
      <c r="AS109" s="24"/>
      <c r="AT109" s="24">
        <v>43073</v>
      </c>
      <c r="AU109" s="418">
        <f t="shared" si="4"/>
        <v>12</v>
      </c>
      <c r="AV109" s="418">
        <f t="shared" si="5"/>
        <v>2017</v>
      </c>
      <c r="AW109" s="24"/>
      <c r="AX109" s="28"/>
      <c r="AY109" s="28" t="s">
        <v>157</v>
      </c>
      <c r="AZ109" s="132" t="s">
        <v>37</v>
      </c>
      <c r="BA109" s="132"/>
      <c r="BB109" s="24"/>
      <c r="BC109" s="128" t="s">
        <v>876</v>
      </c>
      <c r="BD109" s="24">
        <v>43007</v>
      </c>
      <c r="BE109" s="135" t="s">
        <v>877</v>
      </c>
      <c r="BF109" s="135" t="s">
        <v>804</v>
      </c>
      <c r="BG109" s="135" t="s">
        <v>41</v>
      </c>
      <c r="BH109" s="135"/>
      <c r="BI109" s="314"/>
      <c r="BJ109" s="314"/>
      <c r="BK109" s="24"/>
      <c r="BL109" s="24"/>
      <c r="BM109" s="24"/>
      <c r="BN109" s="24"/>
      <c r="BO109" s="24">
        <f>+AQ109+14</f>
        <v>43084</v>
      </c>
      <c r="BP109" s="24"/>
      <c r="BQ109" s="24"/>
      <c r="BR109" s="43"/>
      <c r="BS109" s="24"/>
      <c r="BT109" s="24"/>
      <c r="BU109" s="24"/>
      <c r="BV109" s="132" t="e">
        <f>IF(#REF!="COMPLETO","OK","PENDIENTES")</f>
        <v>#REF!</v>
      </c>
      <c r="BW109" s="132"/>
      <c r="BX109" s="132"/>
      <c r="BY109" s="132"/>
      <c r="BZ109" s="132"/>
      <c r="CA109" s="132"/>
      <c r="CB109" s="132"/>
      <c r="CC109" s="22"/>
      <c r="CG109" s="24" t="s">
        <v>105</v>
      </c>
      <c r="CH109" s="24"/>
      <c r="CI109" s="24"/>
      <c r="CJ109" s="24"/>
    </row>
    <row r="110" spans="1:283" ht="15" customHeight="1">
      <c r="A110" s="18">
        <v>2017</v>
      </c>
      <c r="B110" s="18" t="str">
        <f>+INDEX(BDD!F:F,MATCH(P110,BDD!D:D,0))&amp;"-"&amp;INDEX(BDD!E:E,MATCH(P110,BDD!D:D,0))</f>
        <v>E-S</v>
      </c>
      <c r="C110" s="360" t="s">
        <v>484</v>
      </c>
      <c r="D110" s="150" t="s">
        <v>77</v>
      </c>
      <c r="E110" s="132"/>
      <c r="F110" s="24"/>
      <c r="G110" s="346">
        <v>8000000057</v>
      </c>
      <c r="H110" s="25" t="s">
        <v>878</v>
      </c>
      <c r="I110" s="329"/>
      <c r="J110" s="346">
        <v>8000000057</v>
      </c>
      <c r="K110" s="24"/>
      <c r="L110" s="24"/>
      <c r="M110" s="24"/>
      <c r="N110" s="340" t="s">
        <v>486</v>
      </c>
      <c r="O110" s="334">
        <v>204386</v>
      </c>
      <c r="P110" s="25" t="s">
        <v>274</v>
      </c>
      <c r="Q110" s="127" t="s">
        <v>183</v>
      </c>
      <c r="R110" s="128"/>
      <c r="S110" s="24"/>
      <c r="T110" s="36">
        <v>90</v>
      </c>
      <c r="U110" s="125" t="s">
        <v>118</v>
      </c>
      <c r="V110" s="181">
        <v>201775387</v>
      </c>
      <c r="W110" s="182"/>
      <c r="X110" s="88">
        <f t="shared" si="6"/>
        <v>43097</v>
      </c>
      <c r="Y110" s="130" t="s">
        <v>20</v>
      </c>
      <c r="Z110" s="133" t="s">
        <v>81</v>
      </c>
      <c r="AA110" s="133"/>
      <c r="AB110" s="148">
        <v>6</v>
      </c>
      <c r="AC110" s="134">
        <v>1810</v>
      </c>
      <c r="AD110" s="134"/>
      <c r="AE110" s="403">
        <f t="shared" si="3"/>
        <v>10860</v>
      </c>
      <c r="AF110" s="132" t="str">
        <f>IF(W110=BDD!$P$1,IMPORTS!AB110/25,IF(W110=BDD!$P$2,IMPORTS!AB110/25,IF(IMPORTS!W110=BDD!$P$4,IMPORTS!AB110/25.5,"--")))</f>
        <v>--</v>
      </c>
      <c r="AG110" s="130" t="s">
        <v>5</v>
      </c>
      <c r="AH110" s="130"/>
      <c r="AI110" s="130" t="s">
        <v>34</v>
      </c>
      <c r="AJ110" s="130"/>
      <c r="AK110" s="130"/>
      <c r="AL110" s="24" t="s">
        <v>624</v>
      </c>
      <c r="AM110" s="314"/>
      <c r="AN110" s="26"/>
      <c r="AO110" s="26"/>
      <c r="AP110" s="26"/>
      <c r="AQ110" s="26">
        <v>43070</v>
      </c>
      <c r="AR110" s="24"/>
      <c r="AS110" s="24"/>
      <c r="AT110" s="24">
        <v>43073</v>
      </c>
      <c r="AU110" s="418">
        <f t="shared" si="4"/>
        <v>12</v>
      </c>
      <c r="AV110" s="418">
        <f t="shared" si="5"/>
        <v>2017</v>
      </c>
      <c r="AW110" s="24"/>
      <c r="AX110" s="28"/>
      <c r="AY110" s="28" t="s">
        <v>157</v>
      </c>
      <c r="AZ110" s="132" t="s">
        <v>37</v>
      </c>
      <c r="BA110" s="132"/>
      <c r="BB110" s="24"/>
      <c r="BC110" s="128" t="s">
        <v>876</v>
      </c>
      <c r="BD110" s="24">
        <v>43007</v>
      </c>
      <c r="BE110" s="135" t="s">
        <v>877</v>
      </c>
      <c r="BF110" s="135" t="s">
        <v>804</v>
      </c>
      <c r="BG110" s="135" t="s">
        <v>41</v>
      </c>
      <c r="BH110" s="135"/>
      <c r="BI110" s="314"/>
      <c r="BJ110" s="314"/>
      <c r="BK110" s="24"/>
      <c r="BL110" s="24"/>
      <c r="BM110" s="24"/>
      <c r="BN110" s="24"/>
      <c r="BO110" s="24">
        <f>+AQ110+14</f>
        <v>43084</v>
      </c>
      <c r="BP110" s="24"/>
      <c r="BQ110" s="24"/>
      <c r="BR110" s="43"/>
      <c r="BS110" s="24"/>
      <c r="BT110" s="24"/>
      <c r="BU110" s="24"/>
      <c r="BV110" s="132" t="e">
        <f>IF(#REF!="COMPLETO","OK","PENDIENTES")</f>
        <v>#REF!</v>
      </c>
      <c r="BW110" s="132"/>
      <c r="BX110" s="132"/>
      <c r="BY110" s="132"/>
      <c r="BZ110" s="132"/>
      <c r="CA110" s="132"/>
      <c r="CB110" s="132"/>
      <c r="CC110" s="22"/>
      <c r="CG110" s="24" t="s">
        <v>105</v>
      </c>
      <c r="CH110" s="24"/>
      <c r="CI110" s="24"/>
      <c r="CJ110" s="24"/>
    </row>
    <row r="111" spans="1:283" ht="15" customHeight="1">
      <c r="A111" s="18">
        <v>2017</v>
      </c>
      <c r="B111" s="18" t="str">
        <f>+INDEX(BDD!F:F,MATCH(P111,BDD!D:D,0))&amp;"-"&amp;INDEX(BDD!E:E,MATCH(P111,BDD!D:D,0))</f>
        <v>E-S</v>
      </c>
      <c r="C111" s="360" t="s">
        <v>484</v>
      </c>
      <c r="D111" s="150" t="s">
        <v>77</v>
      </c>
      <c r="E111" s="132"/>
      <c r="F111" s="24"/>
      <c r="G111" s="346">
        <v>8000000058</v>
      </c>
      <c r="H111" s="25" t="s">
        <v>879</v>
      </c>
      <c r="I111" s="329"/>
      <c r="J111" s="346">
        <v>8000000058</v>
      </c>
      <c r="K111" s="24"/>
      <c r="L111" s="24"/>
      <c r="M111" s="24"/>
      <c r="N111" s="340" t="s">
        <v>486</v>
      </c>
      <c r="O111" s="334">
        <v>204382</v>
      </c>
      <c r="P111" s="25" t="s">
        <v>265</v>
      </c>
      <c r="Q111" s="127" t="s">
        <v>183</v>
      </c>
      <c r="R111" s="128"/>
      <c r="S111" s="24"/>
      <c r="T111" s="36">
        <v>90</v>
      </c>
      <c r="U111" s="125" t="s">
        <v>118</v>
      </c>
      <c r="V111" s="181">
        <v>201775387</v>
      </c>
      <c r="W111" s="182"/>
      <c r="X111" s="88">
        <f t="shared" si="6"/>
        <v>43097</v>
      </c>
      <c r="Y111" s="130" t="s">
        <v>20</v>
      </c>
      <c r="Z111" s="133" t="s">
        <v>81</v>
      </c>
      <c r="AA111" s="133"/>
      <c r="AB111" s="148">
        <v>6</v>
      </c>
      <c r="AC111" s="134">
        <v>1890</v>
      </c>
      <c r="AD111" s="134"/>
      <c r="AE111" s="403">
        <f t="shared" si="3"/>
        <v>11340</v>
      </c>
      <c r="AF111" s="132" t="str">
        <f>IF(W111=BDD!$P$1,IMPORTS!AB111/25,IF(W111=BDD!$P$2,IMPORTS!AB111/25,IF(IMPORTS!W111=BDD!$P$4,IMPORTS!AB111/25.5,"--")))</f>
        <v>--</v>
      </c>
      <c r="AG111" s="130" t="s">
        <v>5</v>
      </c>
      <c r="AH111" s="130"/>
      <c r="AI111" s="130" t="s">
        <v>34</v>
      </c>
      <c r="AJ111" s="130"/>
      <c r="AK111" s="130"/>
      <c r="AL111" s="24" t="s">
        <v>624</v>
      </c>
      <c r="AM111" s="314"/>
      <c r="AN111" s="26"/>
      <c r="AO111" s="26"/>
      <c r="AP111" s="26"/>
      <c r="AQ111" s="26">
        <v>43070</v>
      </c>
      <c r="AR111" s="24"/>
      <c r="AS111" s="24"/>
      <c r="AT111" s="24">
        <v>43073</v>
      </c>
      <c r="AU111" s="418">
        <f t="shared" si="4"/>
        <v>12</v>
      </c>
      <c r="AV111" s="418">
        <f t="shared" si="5"/>
        <v>2017</v>
      </c>
      <c r="AW111" s="24"/>
      <c r="AX111" s="28"/>
      <c r="AY111" s="28" t="s">
        <v>157</v>
      </c>
      <c r="AZ111" s="132" t="s">
        <v>37</v>
      </c>
      <c r="BA111" s="132"/>
      <c r="BB111" s="24"/>
      <c r="BC111" s="128" t="s">
        <v>876</v>
      </c>
      <c r="BD111" s="24">
        <v>43007</v>
      </c>
      <c r="BE111" s="135" t="s">
        <v>877</v>
      </c>
      <c r="BF111" s="135" t="s">
        <v>804</v>
      </c>
      <c r="BG111" s="135" t="s">
        <v>41</v>
      </c>
      <c r="BH111" s="135"/>
      <c r="BI111" s="314"/>
      <c r="BJ111" s="314"/>
      <c r="BK111" s="24"/>
      <c r="BL111" s="24"/>
      <c r="BM111" s="24"/>
      <c r="BN111" s="24"/>
      <c r="BO111" s="24">
        <f>+AQ111+14</f>
        <v>43084</v>
      </c>
      <c r="BP111" s="24"/>
      <c r="BQ111" s="24"/>
      <c r="BR111" s="43"/>
      <c r="BS111" s="24"/>
      <c r="BT111" s="24"/>
      <c r="BU111" s="24"/>
      <c r="BV111" s="132" t="e">
        <f>IF(#REF!="COMPLETO","OK","PENDIENTES")</f>
        <v>#REF!</v>
      </c>
      <c r="BW111" s="132"/>
      <c r="BX111" s="132"/>
      <c r="BY111" s="132"/>
      <c r="BZ111" s="132"/>
      <c r="CA111" s="132"/>
      <c r="CB111" s="132"/>
      <c r="CC111" s="22"/>
      <c r="CG111" s="24" t="s">
        <v>105</v>
      </c>
      <c r="CH111" s="24"/>
      <c r="CI111" s="24"/>
      <c r="CJ111" s="24"/>
    </row>
    <row r="112" spans="1:283" ht="15" customHeight="1">
      <c r="A112" s="18">
        <v>2017</v>
      </c>
      <c r="B112" s="18" t="str">
        <f>+INDEX(BDD!F:F,MATCH(P112,BDD!D:D,0))&amp;"-"&amp;INDEX(BDD!E:E,MATCH(P112,BDD!D:D,0))</f>
        <v>E-S</v>
      </c>
      <c r="C112" s="360" t="s">
        <v>484</v>
      </c>
      <c r="D112" s="150" t="s">
        <v>77</v>
      </c>
      <c r="E112" s="132"/>
      <c r="F112" s="24"/>
      <c r="G112" s="346">
        <v>8000000059</v>
      </c>
      <c r="H112" s="25" t="s">
        <v>880</v>
      </c>
      <c r="I112" s="329"/>
      <c r="J112" s="346">
        <v>8000000059</v>
      </c>
      <c r="K112" s="24"/>
      <c r="L112" s="24"/>
      <c r="M112" s="24"/>
      <c r="N112" s="340" t="s">
        <v>486</v>
      </c>
      <c r="O112" s="334">
        <v>204384</v>
      </c>
      <c r="P112" s="25" t="s">
        <v>268</v>
      </c>
      <c r="Q112" s="127" t="s">
        <v>183</v>
      </c>
      <c r="R112" s="128"/>
      <c r="S112" s="24"/>
      <c r="T112" s="36">
        <v>90</v>
      </c>
      <c r="U112" s="125" t="s">
        <v>118</v>
      </c>
      <c r="V112" s="57">
        <v>201775387</v>
      </c>
      <c r="W112" s="129"/>
      <c r="X112" s="88">
        <f t="shared" si="6"/>
        <v>43097</v>
      </c>
      <c r="Y112" s="130" t="s">
        <v>20</v>
      </c>
      <c r="Z112" s="133" t="s">
        <v>81</v>
      </c>
      <c r="AA112" s="133"/>
      <c r="AB112" s="148">
        <v>6</v>
      </c>
      <c r="AC112" s="134">
        <v>1530</v>
      </c>
      <c r="AD112" s="134"/>
      <c r="AE112" s="403">
        <f t="shared" si="3"/>
        <v>9180</v>
      </c>
      <c r="AF112" s="132" t="str">
        <f>IF(W112=BDD!$P$1,IMPORTS!AB112/25,IF(W112=BDD!$P$2,IMPORTS!AB112/25,IF(IMPORTS!W112=BDD!$P$4,IMPORTS!AB112/25.5,"--")))</f>
        <v>--</v>
      </c>
      <c r="AG112" s="130" t="s">
        <v>5</v>
      </c>
      <c r="AH112" s="130"/>
      <c r="AI112" s="130" t="s">
        <v>34</v>
      </c>
      <c r="AJ112" s="130"/>
      <c r="AK112" s="130"/>
      <c r="AL112" s="24" t="s">
        <v>624</v>
      </c>
      <c r="AM112" s="314"/>
      <c r="AN112" s="26"/>
      <c r="AO112" s="26"/>
      <c r="AP112" s="26"/>
      <c r="AQ112" s="26">
        <v>43070</v>
      </c>
      <c r="AR112" s="24"/>
      <c r="AS112" s="24"/>
      <c r="AT112" s="24">
        <v>43073</v>
      </c>
      <c r="AU112" s="418">
        <f t="shared" si="4"/>
        <v>12</v>
      </c>
      <c r="AV112" s="418">
        <f t="shared" si="5"/>
        <v>2017</v>
      </c>
      <c r="AW112" s="24"/>
      <c r="AX112" s="28"/>
      <c r="AY112" s="28" t="s">
        <v>157</v>
      </c>
      <c r="AZ112" s="132" t="s">
        <v>37</v>
      </c>
      <c r="BA112" s="132"/>
      <c r="BB112" s="24"/>
      <c r="BC112" s="128" t="s">
        <v>876</v>
      </c>
      <c r="BD112" s="24">
        <v>43007</v>
      </c>
      <c r="BE112" s="135" t="s">
        <v>877</v>
      </c>
      <c r="BF112" s="135" t="s">
        <v>804</v>
      </c>
      <c r="BG112" s="135" t="s">
        <v>41</v>
      </c>
      <c r="BH112" s="135"/>
      <c r="BI112" s="314"/>
      <c r="BJ112" s="314"/>
      <c r="BK112" s="24"/>
      <c r="BL112" s="24"/>
      <c r="BM112" s="24"/>
      <c r="BN112" s="24"/>
      <c r="BO112" s="24">
        <f>+AQ112+14</f>
        <v>43084</v>
      </c>
      <c r="BP112" s="24"/>
      <c r="BQ112" s="24"/>
      <c r="BR112" s="43"/>
      <c r="BS112" s="24"/>
      <c r="BT112" s="24"/>
      <c r="BU112" s="24"/>
      <c r="BV112" s="132" t="e">
        <f>IF(#REF!="COMPLETO","OK","PENDIENTES")</f>
        <v>#REF!</v>
      </c>
      <c r="BW112" s="132"/>
      <c r="BX112" s="132"/>
      <c r="BY112" s="132"/>
      <c r="BZ112" s="132"/>
      <c r="CA112" s="132"/>
      <c r="CB112" s="132"/>
      <c r="CC112" s="22"/>
      <c r="CG112" s="24" t="s">
        <v>105</v>
      </c>
      <c r="CH112" s="24"/>
      <c r="CI112" s="24"/>
      <c r="CJ112" s="24"/>
    </row>
    <row r="113" spans="1:88" ht="15" customHeight="1">
      <c r="A113" s="18">
        <v>2017</v>
      </c>
      <c r="B113" s="18" t="str">
        <f>+INDEX(BDD!F:F,MATCH(P113,BDD!D:D,0))&amp;"-"&amp;INDEX(BDD!E:E,MATCH(P113,BDD!D:D,0))</f>
        <v>G-S</v>
      </c>
      <c r="C113" s="360" t="s">
        <v>484</v>
      </c>
      <c r="D113" s="150" t="s">
        <v>77</v>
      </c>
      <c r="E113" s="132"/>
      <c r="F113" s="24"/>
      <c r="G113" s="346">
        <v>8000000060</v>
      </c>
      <c r="H113" s="25" t="s">
        <v>881</v>
      </c>
      <c r="I113" s="329"/>
      <c r="J113" s="346">
        <v>8000000060</v>
      </c>
      <c r="K113" s="24"/>
      <c r="L113" s="24"/>
      <c r="M113" s="24"/>
      <c r="N113" s="340" t="s">
        <v>486</v>
      </c>
      <c r="O113" s="333">
        <v>209979</v>
      </c>
      <c r="P113" s="25" t="s">
        <v>339</v>
      </c>
      <c r="Q113" s="127" t="s">
        <v>207</v>
      </c>
      <c r="R113" s="128">
        <v>4000648684</v>
      </c>
      <c r="S113" s="24">
        <v>42977</v>
      </c>
      <c r="T113" s="36" t="s">
        <v>19</v>
      </c>
      <c r="U113" s="125"/>
      <c r="V113" s="161">
        <v>4200569168</v>
      </c>
      <c r="W113" s="162"/>
      <c r="X113" s="88">
        <v>43010</v>
      </c>
      <c r="Y113" s="130" t="s">
        <v>20</v>
      </c>
      <c r="Z113" s="133" t="s">
        <v>72</v>
      </c>
      <c r="AA113" s="133"/>
      <c r="AB113" s="148">
        <v>392.06200000000001</v>
      </c>
      <c r="AC113" s="134">
        <v>501</v>
      </c>
      <c r="AD113" s="134"/>
      <c r="AE113" s="403">
        <f t="shared" si="3"/>
        <v>196423.06200000001</v>
      </c>
      <c r="AF113" s="132">
        <v>14</v>
      </c>
      <c r="AG113" s="130" t="s">
        <v>5</v>
      </c>
      <c r="AH113" s="130"/>
      <c r="AI113" s="130" t="s">
        <v>100</v>
      </c>
      <c r="AJ113" s="130"/>
      <c r="AK113" s="130"/>
      <c r="AL113" s="135" t="s">
        <v>624</v>
      </c>
      <c r="AM113" s="314"/>
      <c r="AN113" s="26"/>
      <c r="AO113" s="26"/>
      <c r="AP113" s="26"/>
      <c r="AQ113" s="26">
        <v>43027</v>
      </c>
      <c r="AR113" s="24"/>
      <c r="AS113" s="24"/>
      <c r="AT113" s="24">
        <v>43032</v>
      </c>
      <c r="AU113" s="418">
        <f t="shared" si="4"/>
        <v>10</v>
      </c>
      <c r="AV113" s="418">
        <f t="shared" si="5"/>
        <v>2017</v>
      </c>
      <c r="AW113" s="24"/>
      <c r="AX113" s="28"/>
      <c r="AY113" s="28" t="s">
        <v>162</v>
      </c>
      <c r="AZ113" s="132" t="s">
        <v>37</v>
      </c>
      <c r="BA113" s="132"/>
      <c r="BB113" s="24"/>
      <c r="BC113" s="135" t="s">
        <v>882</v>
      </c>
      <c r="BD113" s="26">
        <v>43007</v>
      </c>
      <c r="BE113" s="135" t="s">
        <v>800</v>
      </c>
      <c r="BF113" s="135" t="s">
        <v>800</v>
      </c>
      <c r="BG113" s="135" t="s">
        <v>14</v>
      </c>
      <c r="BH113" s="135"/>
      <c r="BI113" s="314"/>
      <c r="BJ113" s="314"/>
      <c r="BK113" s="24"/>
      <c r="BL113" s="24"/>
      <c r="BM113" s="24"/>
      <c r="BN113" s="24"/>
      <c r="BO113" s="24">
        <f>+AQ113+20</f>
        <v>43047</v>
      </c>
      <c r="BP113" s="24"/>
      <c r="BQ113" s="24"/>
      <c r="BR113" s="43"/>
      <c r="BS113" s="24"/>
      <c r="BT113" s="24"/>
      <c r="BU113" s="24"/>
      <c r="BV113" s="132" t="e">
        <f>IF(#REF!="COMPLETO","OK","PENDIENTES")</f>
        <v>#REF!</v>
      </c>
      <c r="BW113" s="132"/>
      <c r="BX113" s="132"/>
      <c r="BY113" s="132"/>
      <c r="BZ113" s="132"/>
      <c r="CA113" s="132"/>
      <c r="CB113" s="132"/>
      <c r="CC113" s="22"/>
      <c r="CG113" s="24" t="s">
        <v>105</v>
      </c>
      <c r="CH113" s="24"/>
      <c r="CI113" s="24"/>
      <c r="CJ113" s="24"/>
    </row>
    <row r="114" spans="1:88" ht="15" customHeight="1">
      <c r="A114" s="18">
        <v>2017</v>
      </c>
      <c r="B114" s="18" t="str">
        <f>+INDEX(BDD!F:F,MATCH(P114,BDD!D:D,0))&amp;"-"&amp;INDEX(BDD!E:E,MATCH(P114,BDD!D:D,0))</f>
        <v>G-S</v>
      </c>
      <c r="C114" s="360" t="s">
        <v>484</v>
      </c>
      <c r="D114" s="150" t="s">
        <v>77</v>
      </c>
      <c r="E114" s="132"/>
      <c r="F114" s="24"/>
      <c r="G114" s="346">
        <v>8000000061</v>
      </c>
      <c r="H114" s="25" t="s">
        <v>883</v>
      </c>
      <c r="I114" s="329"/>
      <c r="J114" s="346">
        <v>8000000061</v>
      </c>
      <c r="K114" s="24"/>
      <c r="L114" s="24"/>
      <c r="M114" s="24"/>
      <c r="N114" s="340" t="s">
        <v>486</v>
      </c>
      <c r="O114" s="333">
        <v>209979</v>
      </c>
      <c r="P114" s="25" t="s">
        <v>339</v>
      </c>
      <c r="Q114" s="127" t="s">
        <v>207</v>
      </c>
      <c r="R114" s="128">
        <v>3099069295</v>
      </c>
      <c r="S114" s="24">
        <v>42977</v>
      </c>
      <c r="T114" s="36" t="s">
        <v>19</v>
      </c>
      <c r="U114" s="125"/>
      <c r="V114" s="161">
        <v>4200569416</v>
      </c>
      <c r="W114" s="162"/>
      <c r="X114" s="88">
        <v>43017</v>
      </c>
      <c r="Y114" s="130" t="s">
        <v>20</v>
      </c>
      <c r="Z114" s="133" t="s">
        <v>72</v>
      </c>
      <c r="AA114" s="133"/>
      <c r="AB114" s="148">
        <v>392.07600000000002</v>
      </c>
      <c r="AC114" s="134">
        <v>506</v>
      </c>
      <c r="AD114" s="134"/>
      <c r="AE114" s="403">
        <f t="shared" si="3"/>
        <v>198390.45600000001</v>
      </c>
      <c r="AF114" s="132">
        <v>14</v>
      </c>
      <c r="AG114" s="130" t="s">
        <v>5</v>
      </c>
      <c r="AH114" s="130"/>
      <c r="AI114" s="130" t="s">
        <v>100</v>
      </c>
      <c r="AJ114" s="130"/>
      <c r="AK114" s="130"/>
      <c r="AL114" s="135" t="s">
        <v>624</v>
      </c>
      <c r="AM114" s="314"/>
      <c r="AN114" s="26"/>
      <c r="AO114" s="26"/>
      <c r="AP114" s="26"/>
      <c r="AQ114" s="26">
        <v>43031</v>
      </c>
      <c r="AR114" s="24"/>
      <c r="AS114" s="24"/>
      <c r="AT114" s="24">
        <v>43034</v>
      </c>
      <c r="AU114" s="418">
        <f t="shared" si="4"/>
        <v>10</v>
      </c>
      <c r="AV114" s="418">
        <f t="shared" si="5"/>
        <v>2017</v>
      </c>
      <c r="AW114" s="24"/>
      <c r="AX114" s="28"/>
      <c r="AY114" s="28" t="s">
        <v>162</v>
      </c>
      <c r="AZ114" s="132" t="s">
        <v>9</v>
      </c>
      <c r="BA114" s="132"/>
      <c r="BB114" s="24"/>
      <c r="BC114" s="135" t="s">
        <v>884</v>
      </c>
      <c r="BD114" s="26">
        <v>43003</v>
      </c>
      <c r="BE114" s="135" t="s">
        <v>885</v>
      </c>
      <c r="BF114" s="135" t="s">
        <v>580</v>
      </c>
      <c r="BG114" s="135" t="s">
        <v>29</v>
      </c>
      <c r="BH114" s="135"/>
      <c r="BI114" s="314"/>
      <c r="BJ114" s="314"/>
      <c r="BK114" s="24"/>
      <c r="BL114" s="24"/>
      <c r="BM114" s="24"/>
      <c r="BN114" s="24"/>
      <c r="BO114" s="24">
        <v>43050</v>
      </c>
      <c r="BP114" s="24"/>
      <c r="BQ114" s="24"/>
      <c r="BR114" s="43"/>
      <c r="BS114" s="24"/>
      <c r="BT114" s="24"/>
      <c r="BU114" s="24"/>
      <c r="BV114" s="132" t="e">
        <f>IF(#REF!="COMPLETO","OK","PENDIENTES")</f>
        <v>#REF!</v>
      </c>
      <c r="BW114" s="132"/>
      <c r="BX114" s="132"/>
      <c r="BY114" s="132"/>
      <c r="BZ114" s="132"/>
      <c r="CA114" s="132"/>
      <c r="CB114" s="132"/>
      <c r="CC114" s="22"/>
      <c r="CG114" s="24" t="s">
        <v>105</v>
      </c>
      <c r="CH114" s="24"/>
      <c r="CI114" s="24"/>
      <c r="CJ114" s="24"/>
    </row>
    <row r="115" spans="1:88" ht="15" customHeight="1">
      <c r="A115" s="18">
        <v>2017</v>
      </c>
      <c r="B115" s="18" t="str">
        <f>+INDEX(BDD!F:F,MATCH(P115,BDD!D:D,0))&amp;"-"&amp;INDEX(BDD!E:E,MATCH(P115,BDD!D:D,0))</f>
        <v>S-S</v>
      </c>
      <c r="C115" s="360" t="s">
        <v>484</v>
      </c>
      <c r="D115" s="150" t="s">
        <v>77</v>
      </c>
      <c r="E115" s="132" t="s">
        <v>51</v>
      </c>
      <c r="F115" s="24"/>
      <c r="G115" s="346">
        <v>8000000128</v>
      </c>
      <c r="H115" s="25" t="s">
        <v>886</v>
      </c>
      <c r="I115" s="329"/>
      <c r="J115" s="346">
        <v>8000000128</v>
      </c>
      <c r="K115" s="24"/>
      <c r="L115" s="24"/>
      <c r="M115" s="24"/>
      <c r="N115" s="340" t="s">
        <v>486</v>
      </c>
      <c r="O115" s="334">
        <v>207579</v>
      </c>
      <c r="P115" s="25" t="s">
        <v>238</v>
      </c>
      <c r="Q115" s="127" t="s">
        <v>213</v>
      </c>
      <c r="R115" s="128" t="s">
        <v>887</v>
      </c>
      <c r="S115" s="24">
        <v>42985</v>
      </c>
      <c r="T115" s="36" t="s">
        <v>19</v>
      </c>
      <c r="U115" s="125"/>
      <c r="V115" s="88" t="s">
        <v>888</v>
      </c>
      <c r="W115" s="129"/>
      <c r="X115" s="88">
        <v>43045</v>
      </c>
      <c r="Y115" s="130" t="s">
        <v>20</v>
      </c>
      <c r="Z115" s="133" t="s">
        <v>60</v>
      </c>
      <c r="AA115" s="133"/>
      <c r="AB115" s="148">
        <v>200</v>
      </c>
      <c r="AC115" s="134">
        <v>300</v>
      </c>
      <c r="AD115" s="134"/>
      <c r="AE115" s="403">
        <f t="shared" si="3"/>
        <v>60000</v>
      </c>
      <c r="AF115" s="132" t="str">
        <f>IF(W115=BDD!$P$1,IMPORTS!AB115/25,IF(W115=BDD!$P$2,IMPORTS!AB115/25,IF(IMPORTS!W115=BDD!$P$4,IMPORTS!AB115/25.5,"--")))</f>
        <v>--</v>
      </c>
      <c r="AG115" s="130" t="s">
        <v>58</v>
      </c>
      <c r="AH115" s="130"/>
      <c r="AI115" s="130" t="s">
        <v>34</v>
      </c>
      <c r="AJ115" s="130"/>
      <c r="AK115" s="130"/>
      <c r="AL115" s="24" t="s">
        <v>605</v>
      </c>
      <c r="AM115" s="314"/>
      <c r="AN115" s="26"/>
      <c r="AO115" s="26"/>
      <c r="AP115" s="26"/>
      <c r="AQ115" s="26">
        <v>43076</v>
      </c>
      <c r="AR115" s="24"/>
      <c r="AS115" s="24"/>
      <c r="AT115" s="24">
        <v>43083</v>
      </c>
      <c r="AU115" s="418">
        <f t="shared" si="4"/>
        <v>12</v>
      </c>
      <c r="AV115" s="418">
        <f t="shared" si="5"/>
        <v>2017</v>
      </c>
      <c r="AW115" s="24"/>
      <c r="AX115" s="24"/>
      <c r="AY115" s="24" t="s">
        <v>607</v>
      </c>
      <c r="AZ115" s="132" t="s">
        <v>37</v>
      </c>
      <c r="BA115" s="132"/>
      <c r="BB115" s="24"/>
      <c r="BC115" s="135" t="s">
        <v>889</v>
      </c>
      <c r="BD115" s="24">
        <v>43033</v>
      </c>
      <c r="BE115" s="135" t="s">
        <v>608</v>
      </c>
      <c r="BF115" s="135" t="s">
        <v>608</v>
      </c>
      <c r="BG115" s="135" t="s">
        <v>52</v>
      </c>
      <c r="BH115" s="135"/>
      <c r="BI115" s="314"/>
      <c r="BJ115" s="314"/>
      <c r="BK115" s="24"/>
      <c r="BL115" s="24"/>
      <c r="BM115" s="24"/>
      <c r="BN115" s="24"/>
      <c r="BO115" s="24">
        <f>+AQ115+14</f>
        <v>43090</v>
      </c>
      <c r="BP115" s="24"/>
      <c r="BQ115" s="24"/>
      <c r="BR115" s="43"/>
      <c r="BS115" s="24"/>
      <c r="BT115" s="24"/>
      <c r="BU115" s="24"/>
      <c r="BV115" s="132" t="e">
        <f>IF(#REF!="COMPLETO","OK","PENDIENTES")</f>
        <v>#REF!</v>
      </c>
      <c r="BW115" s="132"/>
      <c r="BX115" s="132"/>
      <c r="BY115" s="132"/>
      <c r="BZ115" s="132"/>
      <c r="CA115" s="132"/>
      <c r="CB115" s="132"/>
      <c r="CC115" s="22"/>
      <c r="CG115" s="24" t="s">
        <v>105</v>
      </c>
      <c r="CH115" s="24"/>
      <c r="CI115" s="24"/>
      <c r="CJ115" s="24"/>
    </row>
    <row r="116" spans="1:88" ht="15" customHeight="1">
      <c r="A116" s="18">
        <v>2017</v>
      </c>
      <c r="B116" s="18" t="str">
        <f>+INDEX(BDD!F:F,MATCH(P116,BDD!D:D,0))&amp;"-"&amp;INDEX(BDD!E:E,MATCH(P116,BDD!D:D,0))</f>
        <v>S-P</v>
      </c>
      <c r="C116" s="360" t="s">
        <v>484</v>
      </c>
      <c r="D116" s="150" t="s">
        <v>77</v>
      </c>
      <c r="E116" s="132"/>
      <c r="F116" s="24"/>
      <c r="G116" s="346">
        <v>8000000129</v>
      </c>
      <c r="H116" s="25" t="s">
        <v>890</v>
      </c>
      <c r="I116" s="329"/>
      <c r="J116" s="346">
        <v>8000000129</v>
      </c>
      <c r="K116" s="24"/>
      <c r="L116" s="24"/>
      <c r="M116" s="24"/>
      <c r="N116" s="340" t="s">
        <v>486</v>
      </c>
      <c r="O116" s="334">
        <v>206766</v>
      </c>
      <c r="P116" s="25" t="s">
        <v>2</v>
      </c>
      <c r="Q116" s="127" t="s">
        <v>306</v>
      </c>
      <c r="R116" s="128" t="s">
        <v>891</v>
      </c>
      <c r="S116" s="24">
        <v>42979</v>
      </c>
      <c r="T116" s="36" t="s">
        <v>19</v>
      </c>
      <c r="U116" s="125"/>
      <c r="V116" s="157">
        <v>10454</v>
      </c>
      <c r="W116" s="129"/>
      <c r="X116" s="88">
        <v>43032</v>
      </c>
      <c r="Y116" s="130" t="s">
        <v>20</v>
      </c>
      <c r="Z116" s="133" t="s">
        <v>60</v>
      </c>
      <c r="AA116" s="133"/>
      <c r="AB116" s="148">
        <v>307.8</v>
      </c>
      <c r="AC116" s="134">
        <v>810</v>
      </c>
      <c r="AD116" s="134"/>
      <c r="AE116" s="403">
        <f t="shared" si="3"/>
        <v>249318</v>
      </c>
      <c r="AF116" s="132">
        <v>12</v>
      </c>
      <c r="AG116" s="130" t="s">
        <v>5</v>
      </c>
      <c r="AH116" s="130"/>
      <c r="AI116" s="130" t="s">
        <v>86</v>
      </c>
      <c r="AJ116" s="130"/>
      <c r="AK116" s="130"/>
      <c r="AL116" s="135" t="s">
        <v>605</v>
      </c>
      <c r="AM116" s="314"/>
      <c r="AN116" s="26"/>
      <c r="AO116" s="26"/>
      <c r="AP116" s="26"/>
      <c r="AQ116" s="26">
        <v>43035</v>
      </c>
      <c r="AR116" s="24"/>
      <c r="AS116" s="24"/>
      <c r="AT116" s="24">
        <v>43042</v>
      </c>
      <c r="AU116" s="418">
        <f t="shared" si="4"/>
        <v>11</v>
      </c>
      <c r="AV116" s="418">
        <f t="shared" si="5"/>
        <v>2017</v>
      </c>
      <c r="AW116" s="24"/>
      <c r="AX116" s="28"/>
      <c r="AY116" s="28" t="s">
        <v>302</v>
      </c>
      <c r="AZ116" s="132" t="s">
        <v>37</v>
      </c>
      <c r="BA116" s="132"/>
      <c r="BB116" s="24"/>
      <c r="BC116" s="128" t="s">
        <v>892</v>
      </c>
      <c r="BD116" s="24">
        <v>43032</v>
      </c>
      <c r="BE116" s="135" t="s">
        <v>735</v>
      </c>
      <c r="BF116" s="135" t="s">
        <v>579</v>
      </c>
      <c r="BG116" s="135" t="s">
        <v>29</v>
      </c>
      <c r="BH116" s="135"/>
      <c r="BI116" s="314"/>
      <c r="BJ116" s="314"/>
      <c r="BK116" s="24"/>
      <c r="BL116" s="24"/>
      <c r="BM116" s="24"/>
      <c r="BN116" s="24"/>
      <c r="BO116" s="24">
        <f>+AQ116+14</f>
        <v>43049</v>
      </c>
      <c r="BP116" s="24"/>
      <c r="BQ116" s="24"/>
      <c r="BR116" s="43"/>
      <c r="BS116" s="24"/>
      <c r="BT116" s="24"/>
      <c r="BU116" s="24"/>
      <c r="BV116" s="132" t="e">
        <f>IF(#REF!="COMPLETO","OK","PENDIENTES")</f>
        <v>#REF!</v>
      </c>
      <c r="BW116" s="132"/>
      <c r="BX116" s="132"/>
      <c r="BY116" s="132"/>
      <c r="BZ116" s="132"/>
      <c r="CA116" s="132"/>
      <c r="CB116" s="132"/>
      <c r="CC116" s="22"/>
      <c r="CG116" s="24" t="s">
        <v>105</v>
      </c>
      <c r="CH116" s="24"/>
      <c r="CI116" s="24"/>
      <c r="CJ116" s="24"/>
    </row>
    <row r="117" spans="1:88" ht="15" customHeight="1">
      <c r="A117" s="18">
        <v>2017</v>
      </c>
      <c r="B117" s="18" t="str">
        <f>+INDEX(BDD!F:F,MATCH(P117,BDD!D:D,0))&amp;"-"&amp;INDEX(BDD!E:E,MATCH(P117,BDD!D:D,0))</f>
        <v>S-P</v>
      </c>
      <c r="C117" s="360" t="s">
        <v>484</v>
      </c>
      <c r="D117" s="150" t="s">
        <v>77</v>
      </c>
      <c r="E117" s="132"/>
      <c r="F117" s="24"/>
      <c r="G117" s="346">
        <v>8000000130</v>
      </c>
      <c r="H117" s="25" t="s">
        <v>893</v>
      </c>
      <c r="I117" s="329"/>
      <c r="J117" s="346">
        <v>8000000130</v>
      </c>
      <c r="K117" s="24"/>
      <c r="L117" s="24"/>
      <c r="M117" s="24"/>
      <c r="N117" s="340" t="s">
        <v>486</v>
      </c>
      <c r="O117" s="334">
        <v>206766</v>
      </c>
      <c r="P117" s="25" t="s">
        <v>2</v>
      </c>
      <c r="Q117" s="127" t="s">
        <v>306</v>
      </c>
      <c r="R117" s="128" t="s">
        <v>891</v>
      </c>
      <c r="S117" s="24">
        <v>42979</v>
      </c>
      <c r="T117" s="36" t="s">
        <v>19</v>
      </c>
      <c r="U117" s="125"/>
      <c r="V117" s="157">
        <v>10453</v>
      </c>
      <c r="W117" s="129"/>
      <c r="X117" s="88">
        <v>43032</v>
      </c>
      <c r="Y117" s="130" t="s">
        <v>20</v>
      </c>
      <c r="Z117" s="133" t="s">
        <v>60</v>
      </c>
      <c r="AA117" s="133"/>
      <c r="AB117" s="148">
        <v>307.8</v>
      </c>
      <c r="AC117" s="134">
        <v>820</v>
      </c>
      <c r="AD117" s="134"/>
      <c r="AE117" s="403">
        <f t="shared" si="3"/>
        <v>252396</v>
      </c>
      <c r="AF117" s="132">
        <v>12</v>
      </c>
      <c r="AG117" s="130" t="s">
        <v>5</v>
      </c>
      <c r="AH117" s="130"/>
      <c r="AI117" s="130" t="s">
        <v>86</v>
      </c>
      <c r="AJ117" s="130"/>
      <c r="AK117" s="130"/>
      <c r="AL117" s="135" t="s">
        <v>605</v>
      </c>
      <c r="AM117" s="314"/>
      <c r="AN117" s="26"/>
      <c r="AO117" s="26"/>
      <c r="AP117" s="26"/>
      <c r="AQ117" s="26">
        <v>43044</v>
      </c>
      <c r="AR117" s="24"/>
      <c r="AS117" s="24"/>
      <c r="AT117" s="24">
        <v>43047</v>
      </c>
      <c r="AU117" s="418">
        <f t="shared" si="4"/>
        <v>11</v>
      </c>
      <c r="AV117" s="418">
        <f t="shared" si="5"/>
        <v>2017</v>
      </c>
      <c r="AW117" s="24"/>
      <c r="AX117" s="28"/>
      <c r="AY117" s="28" t="s">
        <v>302</v>
      </c>
      <c r="AZ117" s="132" t="s">
        <v>9</v>
      </c>
      <c r="BA117" s="132"/>
      <c r="BB117" s="24"/>
      <c r="BC117" s="135" t="s">
        <v>894</v>
      </c>
      <c r="BD117" s="24">
        <v>43014</v>
      </c>
      <c r="BE117" s="135" t="s">
        <v>895</v>
      </c>
      <c r="BF117" s="135" t="s">
        <v>652</v>
      </c>
      <c r="BG117" s="135" t="s">
        <v>41</v>
      </c>
      <c r="BH117" s="135"/>
      <c r="BI117" s="314"/>
      <c r="BJ117" s="314"/>
      <c r="BK117" s="24"/>
      <c r="BL117" s="24"/>
      <c r="BM117" s="24"/>
      <c r="BN117" s="24"/>
      <c r="BO117" s="24">
        <f>+AQ117+14</f>
        <v>43058</v>
      </c>
      <c r="BP117" s="24"/>
      <c r="BQ117" s="24"/>
      <c r="BR117" s="43"/>
      <c r="BS117" s="24"/>
      <c r="BT117" s="24"/>
      <c r="BU117" s="24"/>
      <c r="BV117" s="132" t="e">
        <f>IF(#REF!="COMPLETO","OK","PENDIENTES")</f>
        <v>#REF!</v>
      </c>
      <c r="BW117" s="132"/>
      <c r="BX117" s="132"/>
      <c r="BY117" s="132"/>
      <c r="BZ117" s="132"/>
      <c r="CA117" s="132"/>
      <c r="CB117" s="132"/>
      <c r="CC117" s="22"/>
      <c r="CG117" s="24" t="s">
        <v>105</v>
      </c>
      <c r="CH117" s="24"/>
      <c r="CI117" s="24"/>
      <c r="CJ117" s="24"/>
    </row>
    <row r="118" spans="1:88" ht="15" customHeight="1">
      <c r="A118" s="18">
        <v>2017</v>
      </c>
      <c r="B118" s="18" t="str">
        <f>+INDEX(BDD!F:F,MATCH(P118,BDD!D:D,0))&amp;"-"&amp;INDEX(BDD!E:E,MATCH(P118,BDD!D:D,0))</f>
        <v>S-P</v>
      </c>
      <c r="C118" s="360" t="s">
        <v>484</v>
      </c>
      <c r="D118" s="150" t="s">
        <v>77</v>
      </c>
      <c r="E118" s="132"/>
      <c r="F118" s="24"/>
      <c r="G118" s="346">
        <v>8000000131</v>
      </c>
      <c r="H118" s="25" t="s">
        <v>896</v>
      </c>
      <c r="I118" s="329"/>
      <c r="J118" s="346">
        <v>8000000131</v>
      </c>
      <c r="K118" s="24"/>
      <c r="L118" s="24"/>
      <c r="M118" s="24"/>
      <c r="N118" s="340" t="s">
        <v>486</v>
      </c>
      <c r="O118" s="334">
        <v>206766</v>
      </c>
      <c r="P118" s="25" t="s">
        <v>2</v>
      </c>
      <c r="Q118" s="127" t="s">
        <v>306</v>
      </c>
      <c r="R118" s="128" t="s">
        <v>891</v>
      </c>
      <c r="S118" s="24">
        <v>42979</v>
      </c>
      <c r="T118" s="36" t="s">
        <v>19</v>
      </c>
      <c r="U118" s="125"/>
      <c r="V118" s="157">
        <v>10547</v>
      </c>
      <c r="W118" s="129"/>
      <c r="X118" s="88">
        <v>43035</v>
      </c>
      <c r="Y118" s="130" t="s">
        <v>20</v>
      </c>
      <c r="Z118" s="133" t="s">
        <v>60</v>
      </c>
      <c r="AA118" s="133"/>
      <c r="AB118" s="148">
        <v>179.55</v>
      </c>
      <c r="AC118" s="134">
        <v>810</v>
      </c>
      <c r="AD118" s="134"/>
      <c r="AE118" s="403">
        <f t="shared" si="3"/>
        <v>145435.5</v>
      </c>
      <c r="AF118" s="132">
        <v>7</v>
      </c>
      <c r="AG118" s="130" t="s">
        <v>5</v>
      </c>
      <c r="AH118" s="130"/>
      <c r="AI118" s="130" t="s">
        <v>86</v>
      </c>
      <c r="AJ118" s="130"/>
      <c r="AK118" s="130"/>
      <c r="AL118" s="135" t="s">
        <v>605</v>
      </c>
      <c r="AM118" s="314"/>
      <c r="AN118" s="26"/>
      <c r="AO118" s="26"/>
      <c r="AP118" s="26"/>
      <c r="AQ118" s="26">
        <v>43056</v>
      </c>
      <c r="AR118" s="24"/>
      <c r="AS118" s="24"/>
      <c r="AT118" s="24">
        <v>43060</v>
      </c>
      <c r="AU118" s="418">
        <f t="shared" si="4"/>
        <v>11</v>
      </c>
      <c r="AV118" s="418">
        <f t="shared" si="5"/>
        <v>2017</v>
      </c>
      <c r="AW118" s="24"/>
      <c r="AX118" s="28"/>
      <c r="AY118" s="28" t="s">
        <v>302</v>
      </c>
      <c r="AZ118" s="132" t="s">
        <v>37</v>
      </c>
      <c r="BA118" s="132"/>
      <c r="BB118" s="24"/>
      <c r="BC118" s="135" t="s">
        <v>897</v>
      </c>
      <c r="BD118" s="24">
        <v>43028</v>
      </c>
      <c r="BE118" s="135" t="s">
        <v>755</v>
      </c>
      <c r="BF118" s="135" t="s">
        <v>870</v>
      </c>
      <c r="BG118" s="135" t="s">
        <v>41</v>
      </c>
      <c r="BH118" s="135"/>
      <c r="BI118" s="314"/>
      <c r="BJ118" s="314"/>
      <c r="BK118" s="24"/>
      <c r="BL118" s="24"/>
      <c r="BM118" s="24"/>
      <c r="BN118" s="24"/>
      <c r="BO118" s="24">
        <f>+AQ118+14</f>
        <v>43070</v>
      </c>
      <c r="BP118" s="24"/>
      <c r="BQ118" s="24"/>
      <c r="BR118" s="43"/>
      <c r="BS118" s="24"/>
      <c r="BT118" s="24"/>
      <c r="BU118" s="24"/>
      <c r="BV118" s="132" t="e">
        <f>IF(#REF!="COMPLETO","OK","PENDIENTES")</f>
        <v>#REF!</v>
      </c>
      <c r="BW118" s="132"/>
      <c r="BX118" s="132"/>
      <c r="BY118" s="132"/>
      <c r="BZ118" s="132"/>
      <c r="CA118" s="132"/>
      <c r="CB118" s="132"/>
      <c r="CC118" s="22"/>
      <c r="CG118" s="24" t="s">
        <v>105</v>
      </c>
      <c r="CH118" s="24"/>
      <c r="CI118" s="24"/>
      <c r="CJ118" s="24"/>
    </row>
    <row r="119" spans="1:88" ht="15" customHeight="1">
      <c r="A119" s="18">
        <v>2017</v>
      </c>
      <c r="B119" s="18" t="str">
        <f>+INDEX(BDD!F:F,MATCH(P119,BDD!D:D,0))&amp;"-"&amp;INDEX(BDD!E:E,MATCH(P119,BDD!D:D,0))</f>
        <v>S-P</v>
      </c>
      <c r="C119" s="360" t="s">
        <v>484</v>
      </c>
      <c r="D119" s="150" t="s">
        <v>77</v>
      </c>
      <c r="E119" s="132"/>
      <c r="F119" s="24"/>
      <c r="G119" s="346">
        <v>8000000132</v>
      </c>
      <c r="H119" s="25" t="s">
        <v>898</v>
      </c>
      <c r="I119" s="329"/>
      <c r="J119" s="346">
        <v>8000000132</v>
      </c>
      <c r="K119" s="24"/>
      <c r="L119" s="24"/>
      <c r="M119" s="24"/>
      <c r="N119" s="340" t="s">
        <v>486</v>
      </c>
      <c r="O119" s="334">
        <v>206766</v>
      </c>
      <c r="P119" s="25" t="s">
        <v>2</v>
      </c>
      <c r="Q119" s="127" t="s">
        <v>306</v>
      </c>
      <c r="R119" s="128" t="s">
        <v>891</v>
      </c>
      <c r="S119" s="24">
        <v>42979</v>
      </c>
      <c r="T119" s="36" t="s">
        <v>19</v>
      </c>
      <c r="U119" s="125"/>
      <c r="V119" s="157">
        <v>10548</v>
      </c>
      <c r="W119" s="129"/>
      <c r="X119" s="88">
        <v>43035</v>
      </c>
      <c r="Y119" s="130" t="s">
        <v>20</v>
      </c>
      <c r="Z119" s="133" t="s">
        <v>60</v>
      </c>
      <c r="AA119" s="133"/>
      <c r="AB119" s="148">
        <v>230.85</v>
      </c>
      <c r="AC119" s="134">
        <v>820</v>
      </c>
      <c r="AD119" s="134"/>
      <c r="AE119" s="403">
        <f t="shared" si="3"/>
        <v>189297</v>
      </c>
      <c r="AF119" s="132">
        <v>9</v>
      </c>
      <c r="AG119" s="130" t="s">
        <v>5</v>
      </c>
      <c r="AH119" s="130"/>
      <c r="AI119" s="130" t="s">
        <v>86</v>
      </c>
      <c r="AJ119" s="130"/>
      <c r="AK119" s="130"/>
      <c r="AL119" s="135" t="s">
        <v>605</v>
      </c>
      <c r="AM119" s="314"/>
      <c r="AN119" s="26"/>
      <c r="AO119" s="26"/>
      <c r="AP119" s="26"/>
      <c r="AQ119" s="26">
        <v>43051</v>
      </c>
      <c r="AR119" s="24"/>
      <c r="AS119" s="24"/>
      <c r="AT119" s="24">
        <v>43056</v>
      </c>
      <c r="AU119" s="418">
        <f t="shared" si="4"/>
        <v>11</v>
      </c>
      <c r="AV119" s="418">
        <f t="shared" si="5"/>
        <v>2017</v>
      </c>
      <c r="AW119" s="24"/>
      <c r="AX119" s="28"/>
      <c r="AY119" s="28" t="s">
        <v>302</v>
      </c>
      <c r="AZ119" s="132" t="s">
        <v>9</v>
      </c>
      <c r="BA119" s="132"/>
      <c r="BB119" s="24"/>
      <c r="BC119" s="135" t="s">
        <v>899</v>
      </c>
      <c r="BD119" s="24">
        <v>43028</v>
      </c>
      <c r="BE119" s="135" t="s">
        <v>755</v>
      </c>
      <c r="BF119" s="135" t="s">
        <v>865</v>
      </c>
      <c r="BG119" s="135" t="s">
        <v>41</v>
      </c>
      <c r="BH119" s="135"/>
      <c r="BI119" s="314"/>
      <c r="BJ119" s="314"/>
      <c r="BK119" s="24"/>
      <c r="BL119" s="24"/>
      <c r="BM119" s="24"/>
      <c r="BN119" s="24"/>
      <c r="BO119" s="24">
        <v>43074</v>
      </c>
      <c r="BP119" s="24"/>
      <c r="BQ119" s="24"/>
      <c r="BR119" s="43"/>
      <c r="BS119" s="24"/>
      <c r="BT119" s="24"/>
      <c r="BU119" s="24"/>
      <c r="BV119" s="132" t="e">
        <f>IF(#REF!="COMPLETO","OK","PENDIENTES")</f>
        <v>#REF!</v>
      </c>
      <c r="BW119" s="132"/>
      <c r="BX119" s="132"/>
      <c r="BY119" s="132"/>
      <c r="BZ119" s="132"/>
      <c r="CA119" s="132"/>
      <c r="CB119" s="132"/>
      <c r="CC119" s="22"/>
      <c r="CG119" s="24" t="s">
        <v>105</v>
      </c>
      <c r="CH119" s="24"/>
      <c r="CI119" s="24"/>
      <c r="CJ119" s="24"/>
    </row>
    <row r="120" spans="1:88" ht="15.75" customHeight="1">
      <c r="A120" s="18">
        <v>2017</v>
      </c>
      <c r="B120" s="18" t="str">
        <f>+INDEX(BDD!F:F,MATCH(P120,BDD!D:D,0))&amp;"-"&amp;INDEX(BDD!E:E,MATCH(P120,BDD!D:D,0))</f>
        <v>S-S</v>
      </c>
      <c r="C120" s="360" t="s">
        <v>484</v>
      </c>
      <c r="D120" s="150" t="s">
        <v>77</v>
      </c>
      <c r="E120" s="132"/>
      <c r="F120" s="24"/>
      <c r="G120" s="346">
        <v>8000000133</v>
      </c>
      <c r="H120" s="25" t="s">
        <v>900</v>
      </c>
      <c r="I120" s="329"/>
      <c r="J120" s="346">
        <v>8000000133</v>
      </c>
      <c r="K120" s="24"/>
      <c r="L120" s="24"/>
      <c r="M120" s="24"/>
      <c r="N120" s="340" t="s">
        <v>486</v>
      </c>
      <c r="O120" s="334">
        <v>206966</v>
      </c>
      <c r="P120" s="25" t="s">
        <v>152</v>
      </c>
      <c r="Q120" s="127" t="s">
        <v>306</v>
      </c>
      <c r="R120" s="128" t="s">
        <v>901</v>
      </c>
      <c r="S120" s="24">
        <v>42979</v>
      </c>
      <c r="T120" s="36" t="s">
        <v>19</v>
      </c>
      <c r="U120" s="125"/>
      <c r="V120" s="157">
        <v>10673</v>
      </c>
      <c r="W120" s="129"/>
      <c r="X120" s="88">
        <v>43055</v>
      </c>
      <c r="Y120" s="130" t="s">
        <v>20</v>
      </c>
      <c r="Z120" s="133" t="s">
        <v>60</v>
      </c>
      <c r="AA120" s="133"/>
      <c r="AB120" s="148">
        <v>200</v>
      </c>
      <c r="AC120" s="134">
        <v>653</v>
      </c>
      <c r="AD120" s="134"/>
      <c r="AE120" s="403">
        <f t="shared" si="3"/>
        <v>130600</v>
      </c>
      <c r="AF120" s="132">
        <v>8</v>
      </c>
      <c r="AG120" s="130" t="s">
        <v>5</v>
      </c>
      <c r="AH120" s="130"/>
      <c r="AI120" s="130" t="s">
        <v>34</v>
      </c>
      <c r="AJ120" s="130"/>
      <c r="AK120" s="130"/>
      <c r="AL120" s="135" t="s">
        <v>902</v>
      </c>
      <c r="AM120" s="314"/>
      <c r="AN120" s="26"/>
      <c r="AO120" s="26"/>
      <c r="AP120" s="26"/>
      <c r="AQ120" s="26">
        <v>43090</v>
      </c>
      <c r="AR120" s="24"/>
      <c r="AS120" s="24"/>
      <c r="AT120" s="24">
        <v>43095</v>
      </c>
      <c r="AU120" s="418">
        <f t="shared" si="4"/>
        <v>12</v>
      </c>
      <c r="AV120" s="418">
        <f t="shared" si="5"/>
        <v>2017</v>
      </c>
      <c r="AW120" s="24"/>
      <c r="AX120" s="28"/>
      <c r="AY120" s="28" t="s">
        <v>319</v>
      </c>
      <c r="AZ120" s="132" t="s">
        <v>37</v>
      </c>
      <c r="BA120" s="132"/>
      <c r="BB120" s="24"/>
      <c r="BC120" s="135" t="s">
        <v>903</v>
      </c>
      <c r="BD120" s="24">
        <v>43039</v>
      </c>
      <c r="BE120" s="135" t="s">
        <v>904</v>
      </c>
      <c r="BF120" s="135" t="s">
        <v>905</v>
      </c>
      <c r="BG120" s="135" t="s">
        <v>178</v>
      </c>
      <c r="BH120" s="135"/>
      <c r="BI120" s="314"/>
      <c r="BJ120" s="314"/>
      <c r="BK120" s="24"/>
      <c r="BL120" s="24"/>
      <c r="BM120" s="24"/>
      <c r="BN120" s="24"/>
      <c r="BO120" s="24">
        <f>+AQ120+21</f>
        <v>43111</v>
      </c>
      <c r="BP120" s="24"/>
      <c r="BQ120" s="24"/>
      <c r="BR120" s="43"/>
      <c r="BS120" s="24"/>
      <c r="BT120" s="24"/>
      <c r="BU120" s="24"/>
      <c r="BV120" s="132" t="e">
        <f>IF(#REF!="COMPLETO","OK","PENDIENTES")</f>
        <v>#REF!</v>
      </c>
      <c r="BW120" s="132"/>
      <c r="BX120" s="132"/>
      <c r="BY120" s="132"/>
      <c r="BZ120" s="132"/>
      <c r="CA120" s="132"/>
      <c r="CB120" s="132"/>
      <c r="CC120" s="22"/>
      <c r="CG120" s="24" t="s">
        <v>105</v>
      </c>
      <c r="CH120" s="24"/>
      <c r="CI120" s="24"/>
      <c r="CJ120" s="24"/>
    </row>
    <row r="121" spans="1:88" ht="15" customHeight="1">
      <c r="A121" s="18">
        <v>2017</v>
      </c>
      <c r="B121" s="18" t="str">
        <f>+INDEX(BDD!F:F,MATCH(P121,BDD!D:D,0))&amp;"-"&amp;INDEX(BDD!E:E,MATCH(P121,BDD!D:D,0))</f>
        <v>S-S</v>
      </c>
      <c r="C121" s="360" t="s">
        <v>484</v>
      </c>
      <c r="D121" s="150" t="s">
        <v>77</v>
      </c>
      <c r="E121" s="132"/>
      <c r="F121" s="24"/>
      <c r="G121" s="346">
        <v>8000000134</v>
      </c>
      <c r="H121" s="25" t="s">
        <v>906</v>
      </c>
      <c r="I121" s="329"/>
      <c r="J121" s="346">
        <v>8000000134</v>
      </c>
      <c r="K121" s="24"/>
      <c r="L121" s="24"/>
      <c r="M121" s="24"/>
      <c r="N121" s="340" t="s">
        <v>486</v>
      </c>
      <c r="O121" s="334">
        <v>206966</v>
      </c>
      <c r="P121" s="25" t="s">
        <v>152</v>
      </c>
      <c r="Q121" s="127" t="s">
        <v>306</v>
      </c>
      <c r="R121" s="128" t="s">
        <v>901</v>
      </c>
      <c r="S121" s="24">
        <v>42979</v>
      </c>
      <c r="T121" s="36" t="s">
        <v>19</v>
      </c>
      <c r="U121" s="125"/>
      <c r="V121" s="157">
        <v>10723</v>
      </c>
      <c r="W121" s="129"/>
      <c r="X121" s="88">
        <v>43062</v>
      </c>
      <c r="Y121" s="130" t="s">
        <v>20</v>
      </c>
      <c r="Z121" s="133" t="s">
        <v>60</v>
      </c>
      <c r="AA121" s="133"/>
      <c r="AB121" s="148">
        <v>200</v>
      </c>
      <c r="AC121" s="134">
        <v>653</v>
      </c>
      <c r="AD121" s="134"/>
      <c r="AE121" s="403">
        <f t="shared" si="3"/>
        <v>130600</v>
      </c>
      <c r="AF121" s="132" t="str">
        <f>IF(W121=BDD!$P$1,IMPORTS!AB121/25,IF(W121=BDD!$P$2,IMPORTS!AB121/25,IF(IMPORTS!W121=BDD!$P$4,IMPORTS!AB121/25.5,"--")))</f>
        <v>--</v>
      </c>
      <c r="AG121" s="130" t="s">
        <v>5</v>
      </c>
      <c r="AH121" s="130"/>
      <c r="AI121" s="130" t="s">
        <v>34</v>
      </c>
      <c r="AJ121" s="130"/>
      <c r="AK121" s="130"/>
      <c r="AL121" s="135" t="s">
        <v>902</v>
      </c>
      <c r="AM121" s="314"/>
      <c r="AN121" s="26"/>
      <c r="AO121" s="26"/>
      <c r="AP121" s="26"/>
      <c r="AQ121" s="26">
        <v>43089</v>
      </c>
      <c r="AR121" s="24"/>
      <c r="AS121" s="24"/>
      <c r="AT121" s="24">
        <v>43091</v>
      </c>
      <c r="AU121" s="418">
        <f t="shared" si="4"/>
        <v>12</v>
      </c>
      <c r="AV121" s="418">
        <f t="shared" si="5"/>
        <v>2017</v>
      </c>
      <c r="AW121" s="24"/>
      <c r="AX121" s="28"/>
      <c r="AY121" s="28" t="s">
        <v>319</v>
      </c>
      <c r="AZ121" s="132" t="s">
        <v>9</v>
      </c>
      <c r="BA121" s="132"/>
      <c r="BB121" s="24"/>
      <c r="BC121" s="135" t="s">
        <v>907</v>
      </c>
      <c r="BD121" s="24">
        <v>43035</v>
      </c>
      <c r="BE121" s="135" t="s">
        <v>908</v>
      </c>
      <c r="BF121" s="135" t="s">
        <v>854</v>
      </c>
      <c r="BG121" s="135" t="s">
        <v>65</v>
      </c>
      <c r="BH121" s="135"/>
      <c r="BI121" s="314"/>
      <c r="BJ121" s="314"/>
      <c r="BK121" s="24"/>
      <c r="BL121" s="24"/>
      <c r="BM121" s="24"/>
      <c r="BN121" s="24"/>
      <c r="BO121" s="24">
        <f>+AQ121+14</f>
        <v>43103</v>
      </c>
      <c r="BP121" s="24"/>
      <c r="BQ121" s="24"/>
      <c r="BR121" s="43"/>
      <c r="BS121" s="24"/>
      <c r="BT121" s="24"/>
      <c r="BU121" s="24"/>
      <c r="BV121" s="132" t="e">
        <f>IF(#REF!="COMPLETO","OK","PENDIENTES")</f>
        <v>#REF!</v>
      </c>
      <c r="BW121" s="132"/>
      <c r="BX121" s="132"/>
      <c r="BY121" s="132"/>
      <c r="BZ121" s="132"/>
      <c r="CA121" s="132"/>
      <c r="CB121" s="132"/>
      <c r="CC121" s="22"/>
      <c r="CG121" s="24" t="s">
        <v>105</v>
      </c>
      <c r="CH121" s="24"/>
      <c r="CI121" s="24"/>
      <c r="CJ121" s="24"/>
    </row>
    <row r="122" spans="1:88" ht="15" customHeight="1">
      <c r="A122" s="18">
        <v>2017</v>
      </c>
      <c r="B122" s="18" t="str">
        <f>+INDEX(BDD!F:F,MATCH(P122,BDD!D:D,0))&amp;"-"&amp;INDEX(BDD!E:E,MATCH(P122,BDD!D:D,0))</f>
        <v>S-C</v>
      </c>
      <c r="C122" s="360" t="s">
        <v>484</v>
      </c>
      <c r="D122" s="150" t="s">
        <v>77</v>
      </c>
      <c r="E122" s="132"/>
      <c r="F122" s="24"/>
      <c r="G122" s="346">
        <v>8000000062</v>
      </c>
      <c r="H122" s="25" t="s">
        <v>909</v>
      </c>
      <c r="I122" s="329"/>
      <c r="J122" s="346">
        <v>8000000062</v>
      </c>
      <c r="K122" s="24"/>
      <c r="L122" s="24"/>
      <c r="M122" s="24"/>
      <c r="N122" s="340" t="s">
        <v>486</v>
      </c>
      <c r="O122" s="334">
        <v>209975</v>
      </c>
      <c r="P122" s="25" t="s">
        <v>244</v>
      </c>
      <c r="Q122" s="127" t="s">
        <v>42</v>
      </c>
      <c r="R122" s="128"/>
      <c r="S122" s="24"/>
      <c r="T122" s="36" t="s">
        <v>19</v>
      </c>
      <c r="U122" s="125"/>
      <c r="V122" s="147" t="s">
        <v>910</v>
      </c>
      <c r="W122" s="129"/>
      <c r="X122" s="88">
        <v>43000</v>
      </c>
      <c r="Y122" s="130" t="s">
        <v>20</v>
      </c>
      <c r="Z122" s="133" t="s">
        <v>60</v>
      </c>
      <c r="AA122" s="133"/>
      <c r="AB122" s="148">
        <v>100</v>
      </c>
      <c r="AC122" s="134">
        <v>760</v>
      </c>
      <c r="AD122" s="134"/>
      <c r="AE122" s="403">
        <f t="shared" si="3"/>
        <v>76000</v>
      </c>
      <c r="AF122" s="132">
        <v>4</v>
      </c>
      <c r="AG122" s="130" t="s">
        <v>5</v>
      </c>
      <c r="AH122" s="130"/>
      <c r="AI122" s="130" t="s">
        <v>71</v>
      </c>
      <c r="AJ122" s="130"/>
      <c r="AK122" s="130"/>
      <c r="AL122" s="135" t="s">
        <v>624</v>
      </c>
      <c r="AM122" s="314"/>
      <c r="AN122" s="26"/>
      <c r="AO122" s="26"/>
      <c r="AP122" s="26"/>
      <c r="AQ122" s="26">
        <v>43005</v>
      </c>
      <c r="AR122" s="24"/>
      <c r="AS122" s="24"/>
      <c r="AT122" s="24">
        <v>43007</v>
      </c>
      <c r="AU122" s="418">
        <f t="shared" si="4"/>
        <v>9</v>
      </c>
      <c r="AV122" s="418">
        <f t="shared" si="5"/>
        <v>2017</v>
      </c>
      <c r="AW122" s="24"/>
      <c r="AX122" s="28"/>
      <c r="AY122" s="28" t="s">
        <v>181</v>
      </c>
      <c r="AZ122" s="132" t="s">
        <v>37</v>
      </c>
      <c r="BA122" s="132"/>
      <c r="BB122" s="24"/>
      <c r="BC122" s="154" t="s">
        <v>911</v>
      </c>
      <c r="BD122" s="24">
        <v>42999</v>
      </c>
      <c r="BE122" s="135" t="s">
        <v>912</v>
      </c>
      <c r="BF122" s="135"/>
      <c r="BG122" s="135" t="s">
        <v>190</v>
      </c>
      <c r="BH122" s="135"/>
      <c r="BI122" s="314"/>
      <c r="BJ122" s="314"/>
      <c r="BK122" s="24"/>
      <c r="BL122" s="24"/>
      <c r="BM122" s="24"/>
      <c r="BN122" s="24"/>
      <c r="BO122" s="24">
        <f>+AQ122+14</f>
        <v>43019</v>
      </c>
      <c r="BP122" s="24"/>
      <c r="BQ122" s="24"/>
      <c r="BR122" s="43"/>
      <c r="BS122" s="24"/>
      <c r="BT122" s="24"/>
      <c r="BU122" s="24"/>
      <c r="BV122" s="132" t="e">
        <f>IF(#REF!="COMPLETO","OK","PENDIENTES")</f>
        <v>#REF!</v>
      </c>
      <c r="BW122" s="132"/>
      <c r="BX122" s="132"/>
      <c r="BY122" s="132"/>
      <c r="BZ122" s="132"/>
      <c r="CA122" s="132"/>
      <c r="CB122" s="132"/>
      <c r="CC122" s="22"/>
      <c r="CG122" s="24" t="s">
        <v>105</v>
      </c>
      <c r="CH122" s="24"/>
      <c r="CI122" s="24"/>
      <c r="CJ122" s="24"/>
    </row>
    <row r="123" spans="1:88" ht="15.75" customHeight="1">
      <c r="A123" s="18">
        <v>2017</v>
      </c>
      <c r="B123" s="18" t="str">
        <f>+INDEX(BDD!F:F,MATCH(P123,BDD!D:D,0))&amp;"-"&amp;INDEX(BDD!E:E,MATCH(P123,BDD!D:D,0))</f>
        <v>S-P</v>
      </c>
      <c r="C123" s="360" t="s">
        <v>484</v>
      </c>
      <c r="D123" s="150" t="s">
        <v>77</v>
      </c>
      <c r="E123" s="132"/>
      <c r="F123" s="24"/>
      <c r="G123" s="346">
        <v>8000000135</v>
      </c>
      <c r="H123" s="25" t="s">
        <v>913</v>
      </c>
      <c r="I123" s="329"/>
      <c r="J123" s="346">
        <v>8000000135</v>
      </c>
      <c r="K123" s="24"/>
      <c r="L123" s="24"/>
      <c r="M123" s="24"/>
      <c r="N123" s="340" t="s">
        <v>486</v>
      </c>
      <c r="O123" s="334">
        <v>207374</v>
      </c>
      <c r="P123" s="25" t="s">
        <v>232</v>
      </c>
      <c r="Q123" s="127" t="s">
        <v>288</v>
      </c>
      <c r="R123" s="128" t="s">
        <v>914</v>
      </c>
      <c r="S123" s="24">
        <v>42990</v>
      </c>
      <c r="T123" s="36" t="s">
        <v>19</v>
      </c>
      <c r="U123" s="125"/>
      <c r="V123" s="88" t="s">
        <v>915</v>
      </c>
      <c r="W123" s="129"/>
      <c r="X123" s="88">
        <v>43011</v>
      </c>
      <c r="Y123" s="130" t="s">
        <v>20</v>
      </c>
      <c r="Z123" s="133" t="s">
        <v>60</v>
      </c>
      <c r="AA123" s="133"/>
      <c r="AB123" s="148">
        <v>240</v>
      </c>
      <c r="AC123" s="134">
        <v>315</v>
      </c>
      <c r="AD123" s="134"/>
      <c r="AE123" s="403">
        <f t="shared" si="3"/>
        <v>75600</v>
      </c>
      <c r="AF123" s="132" t="str">
        <f>IF(W123=BDD!$P$1,IMPORTS!AB123/25,IF(W123=BDD!$P$2,IMPORTS!AB123/25,IF(IMPORTS!W123=BDD!$P$4,IMPORTS!AB123/25.5,"--")))</f>
        <v>--</v>
      </c>
      <c r="AG123" s="130" t="s">
        <v>5</v>
      </c>
      <c r="AH123" s="130"/>
      <c r="AI123" s="130" t="s">
        <v>34</v>
      </c>
      <c r="AJ123" s="130"/>
      <c r="AK123" s="130"/>
      <c r="AL123" s="24" t="s">
        <v>624</v>
      </c>
      <c r="AM123" s="314"/>
      <c r="AN123" s="26"/>
      <c r="AO123" s="26"/>
      <c r="AP123" s="26"/>
      <c r="AQ123" s="26">
        <v>43063</v>
      </c>
      <c r="AR123" s="24"/>
      <c r="AS123" s="24"/>
      <c r="AT123" s="26">
        <v>43068</v>
      </c>
      <c r="AU123" s="418">
        <f t="shared" si="4"/>
        <v>11</v>
      </c>
      <c r="AV123" s="418">
        <f t="shared" si="5"/>
        <v>2017</v>
      </c>
      <c r="AW123" s="26"/>
      <c r="AX123" s="28"/>
      <c r="AY123" s="28" t="s">
        <v>287</v>
      </c>
      <c r="AZ123" s="132" t="s">
        <v>37</v>
      </c>
      <c r="BA123" s="132"/>
      <c r="BB123" s="26"/>
      <c r="BC123" s="135" t="s">
        <v>916</v>
      </c>
      <c r="BD123" s="24">
        <v>43025</v>
      </c>
      <c r="BE123" s="135" t="s">
        <v>774</v>
      </c>
      <c r="BF123" s="135"/>
      <c r="BG123" s="135" t="s">
        <v>29</v>
      </c>
      <c r="BH123" s="135"/>
      <c r="BI123" s="314"/>
      <c r="BJ123" s="314"/>
      <c r="BK123" s="24"/>
      <c r="BL123" s="24"/>
      <c r="BM123" s="24"/>
      <c r="BN123" s="24"/>
      <c r="BO123" s="24">
        <f>+AQ123+21</f>
        <v>43084</v>
      </c>
      <c r="BP123" s="24"/>
      <c r="BQ123" s="24"/>
      <c r="BR123" s="43"/>
      <c r="BS123" s="24"/>
      <c r="BT123" s="24"/>
      <c r="BU123" s="24"/>
      <c r="BV123" s="132" t="e">
        <f>IF(#REF!="COMPLETO","OK","PENDIENTES")</f>
        <v>#REF!</v>
      </c>
      <c r="BW123" s="132"/>
      <c r="BX123" s="132"/>
      <c r="BY123" s="132"/>
      <c r="BZ123" s="132"/>
      <c r="CA123" s="132"/>
      <c r="CB123" s="132"/>
      <c r="CC123" s="22"/>
      <c r="CG123" s="24" t="s">
        <v>105</v>
      </c>
      <c r="CH123" s="24"/>
      <c r="CI123" s="26"/>
      <c r="CJ123" s="26"/>
    </row>
    <row r="124" spans="1:88" ht="15.75" customHeight="1">
      <c r="A124" s="18">
        <v>2017</v>
      </c>
      <c r="B124" s="18" t="str">
        <f>+INDEX(BDD!F:F,MATCH(P124,BDD!D:D,0))&amp;"-"&amp;INDEX(BDD!E:E,MATCH(P124,BDD!D:D,0))</f>
        <v>S-P</v>
      </c>
      <c r="C124" s="360" t="s">
        <v>484</v>
      </c>
      <c r="D124" s="152" t="s">
        <v>92</v>
      </c>
      <c r="E124" s="132"/>
      <c r="F124" s="24"/>
      <c r="G124" s="346"/>
      <c r="H124" s="25" t="s">
        <v>917</v>
      </c>
      <c r="I124" s="329"/>
      <c r="J124" s="346"/>
      <c r="K124" s="24"/>
      <c r="L124" s="24"/>
      <c r="M124" s="24"/>
      <c r="N124" s="340"/>
      <c r="O124" s="334"/>
      <c r="P124" s="25" t="s">
        <v>232</v>
      </c>
      <c r="Q124" s="127" t="s">
        <v>288</v>
      </c>
      <c r="R124" s="128"/>
      <c r="S124" s="24"/>
      <c r="T124" s="36"/>
      <c r="U124" s="125"/>
      <c r="V124" s="88"/>
      <c r="W124" s="129"/>
      <c r="X124" s="88"/>
      <c r="Y124" s="130"/>
      <c r="Z124" s="133"/>
      <c r="AA124" s="133"/>
      <c r="AB124" s="148"/>
      <c r="AC124" s="134"/>
      <c r="AD124" s="134"/>
      <c r="AE124" s="403">
        <f t="shared" si="3"/>
        <v>0</v>
      </c>
      <c r="AF124" s="132"/>
      <c r="AG124" s="130"/>
      <c r="AH124" s="130"/>
      <c r="AI124" s="130"/>
      <c r="AJ124" s="130"/>
      <c r="AK124" s="130"/>
      <c r="AL124" s="135"/>
      <c r="AM124" s="314"/>
      <c r="AN124" s="26"/>
      <c r="AO124" s="26"/>
      <c r="AP124" s="26"/>
      <c r="AQ124" s="26"/>
      <c r="AR124" s="24"/>
      <c r="AS124" s="24"/>
      <c r="AT124" s="24"/>
      <c r="AU124" s="418">
        <f t="shared" si="4"/>
        <v>1</v>
      </c>
      <c r="AV124" s="418">
        <f t="shared" si="5"/>
        <v>1900</v>
      </c>
      <c r="AW124" s="24"/>
      <c r="AX124" s="28"/>
      <c r="AY124" s="28"/>
      <c r="AZ124" s="132"/>
      <c r="BA124" s="132"/>
      <c r="BB124" s="24"/>
      <c r="BC124" s="135"/>
      <c r="BD124" s="26"/>
      <c r="BE124" s="135"/>
      <c r="BF124" s="135"/>
      <c r="BG124" s="135"/>
      <c r="BH124" s="135"/>
      <c r="BI124" s="314"/>
      <c r="BJ124" s="314"/>
      <c r="BK124" s="24"/>
      <c r="BL124" s="24"/>
      <c r="BM124" s="24"/>
      <c r="BN124" s="24"/>
      <c r="BO124" s="24"/>
      <c r="BP124" s="24"/>
      <c r="BQ124" s="24"/>
      <c r="BR124" s="43"/>
      <c r="BS124" s="24"/>
      <c r="BT124" s="24"/>
      <c r="BU124" s="24"/>
      <c r="BV124" s="132"/>
      <c r="BW124" s="132"/>
      <c r="BX124" s="132"/>
      <c r="BY124" s="132"/>
      <c r="BZ124" s="132"/>
      <c r="CA124" s="132"/>
      <c r="CB124" s="132"/>
      <c r="CC124" s="22"/>
      <c r="CD124" s="22"/>
      <c r="CE124" s="22"/>
      <c r="CF124" s="22"/>
      <c r="CG124" s="24"/>
      <c r="CH124" s="24"/>
      <c r="CI124" s="24"/>
      <c r="CJ124" s="24"/>
    </row>
    <row r="125" spans="1:88" ht="15.75" customHeight="1">
      <c r="A125" s="18">
        <v>2017</v>
      </c>
      <c r="B125" s="18" t="str">
        <f>+INDEX(BDD!F:F,MATCH(P125,BDD!D:D,0))&amp;"-"&amp;INDEX(BDD!E:E,MATCH(P125,BDD!D:D,0))</f>
        <v>S-P</v>
      </c>
      <c r="C125" s="360" t="s">
        <v>484</v>
      </c>
      <c r="D125" s="150" t="s">
        <v>77</v>
      </c>
      <c r="E125" s="132"/>
      <c r="F125" s="24"/>
      <c r="G125" s="346"/>
      <c r="H125" s="25" t="s">
        <v>918</v>
      </c>
      <c r="I125" s="329"/>
      <c r="J125" s="346"/>
      <c r="K125" s="24"/>
      <c r="L125" s="24"/>
      <c r="M125" s="24"/>
      <c r="N125" s="340"/>
      <c r="O125" s="334">
        <v>207374</v>
      </c>
      <c r="P125" s="25" t="s">
        <v>232</v>
      </c>
      <c r="Q125" s="127" t="s">
        <v>288</v>
      </c>
      <c r="R125" s="128" t="s">
        <v>919</v>
      </c>
      <c r="S125" s="24">
        <v>42990</v>
      </c>
      <c r="T125" s="36" t="s">
        <v>19</v>
      </c>
      <c r="U125" s="125"/>
      <c r="V125" s="88" t="s">
        <v>920</v>
      </c>
      <c r="W125" s="129"/>
      <c r="X125" s="88">
        <v>43011</v>
      </c>
      <c r="Y125" s="130" t="s">
        <v>20</v>
      </c>
      <c r="Z125" s="133" t="s">
        <v>60</v>
      </c>
      <c r="AA125" s="133"/>
      <c r="AB125" s="148">
        <v>95.75</v>
      </c>
      <c r="AC125" s="134">
        <v>320</v>
      </c>
      <c r="AD125" s="134"/>
      <c r="AE125" s="403">
        <f t="shared" si="3"/>
        <v>30640</v>
      </c>
      <c r="AF125" s="132">
        <v>4</v>
      </c>
      <c r="AG125" s="130" t="s">
        <v>5</v>
      </c>
      <c r="AH125" s="130"/>
      <c r="AI125" s="130" t="s">
        <v>34</v>
      </c>
      <c r="AJ125" s="130"/>
      <c r="AK125" s="130"/>
      <c r="AL125" s="135" t="s">
        <v>921</v>
      </c>
      <c r="AM125" s="314"/>
      <c r="AN125" s="26"/>
      <c r="AO125" s="26"/>
      <c r="AP125" s="26"/>
      <c r="AQ125" s="26">
        <v>43136</v>
      </c>
      <c r="AR125" s="24"/>
      <c r="AS125" s="24"/>
      <c r="AT125" s="24">
        <v>43138</v>
      </c>
      <c r="AU125" s="418">
        <f t="shared" si="4"/>
        <v>2</v>
      </c>
      <c r="AV125" s="418">
        <f t="shared" si="5"/>
        <v>2018</v>
      </c>
      <c r="AW125" s="24"/>
      <c r="AX125" s="28"/>
      <c r="AY125" s="28" t="s">
        <v>269</v>
      </c>
      <c r="AZ125" s="132" t="s">
        <v>9</v>
      </c>
      <c r="BA125" s="132"/>
      <c r="BB125" s="24"/>
      <c r="BC125" s="135" t="s">
        <v>922</v>
      </c>
      <c r="BD125" s="26">
        <v>43094</v>
      </c>
      <c r="BE125" s="135" t="s">
        <v>774</v>
      </c>
      <c r="BF125" s="135" t="s">
        <v>923</v>
      </c>
      <c r="BG125" s="135" t="s">
        <v>29</v>
      </c>
      <c r="BH125" s="135"/>
      <c r="BI125" s="314"/>
      <c r="BJ125" s="314"/>
      <c r="BK125" s="24"/>
      <c r="BL125" s="24"/>
      <c r="BM125" s="24"/>
      <c r="BN125" s="24"/>
      <c r="BO125" s="24">
        <v>43153</v>
      </c>
      <c r="BP125" s="24"/>
      <c r="BQ125" s="24"/>
      <c r="BR125" s="43"/>
      <c r="BS125" s="24"/>
      <c r="BT125" s="24"/>
      <c r="BU125" s="24"/>
      <c r="BV125" s="132" t="e">
        <f>IF(#REF!="COMPLETO","OK","PENDIENTES")</f>
        <v>#REF!</v>
      </c>
      <c r="BW125" s="132"/>
      <c r="BX125" s="132"/>
      <c r="BY125" s="132"/>
      <c r="BZ125" s="132"/>
      <c r="CA125" s="132"/>
      <c r="CB125" s="132"/>
      <c r="CC125" s="22"/>
      <c r="CG125" s="24" t="s">
        <v>105</v>
      </c>
      <c r="CH125" s="24"/>
      <c r="CI125" s="24"/>
      <c r="CJ125" s="24"/>
    </row>
    <row r="126" spans="1:88" ht="15.75" customHeight="1">
      <c r="A126" s="18">
        <v>2017</v>
      </c>
      <c r="B126" s="18" t="str">
        <f>+INDEX(BDD!F:F,MATCH(P126,BDD!D:D,0))&amp;"-"&amp;INDEX(BDD!E:E,MATCH(P126,BDD!D:D,0))</f>
        <v>S-P</v>
      </c>
      <c r="C126" s="360" t="s">
        <v>484</v>
      </c>
      <c r="D126" s="150" t="s">
        <v>77</v>
      </c>
      <c r="E126" s="132"/>
      <c r="F126" s="24"/>
      <c r="G126" s="346"/>
      <c r="H126" s="25" t="s">
        <v>924</v>
      </c>
      <c r="I126" s="329"/>
      <c r="J126" s="346"/>
      <c r="K126" s="24"/>
      <c r="L126" s="24"/>
      <c r="M126" s="24"/>
      <c r="N126" s="340"/>
      <c r="O126" s="334">
        <v>207374</v>
      </c>
      <c r="P126" s="25" t="s">
        <v>232</v>
      </c>
      <c r="Q126" s="127" t="s">
        <v>288</v>
      </c>
      <c r="R126" s="128" t="s">
        <v>925</v>
      </c>
      <c r="S126" s="24">
        <v>42990</v>
      </c>
      <c r="T126" s="36" t="s">
        <v>19</v>
      </c>
      <c r="U126" s="125"/>
      <c r="V126" s="88" t="s">
        <v>926</v>
      </c>
      <c r="W126" s="129"/>
      <c r="X126" s="88">
        <v>43011</v>
      </c>
      <c r="Y126" s="130" t="s">
        <v>20</v>
      </c>
      <c r="Z126" s="133" t="s">
        <v>60</v>
      </c>
      <c r="AA126" s="133"/>
      <c r="AB126" s="148">
        <v>263.95</v>
      </c>
      <c r="AC126" s="134">
        <v>315</v>
      </c>
      <c r="AD126" s="134"/>
      <c r="AE126" s="403">
        <f t="shared" si="3"/>
        <v>83144.25</v>
      </c>
      <c r="AF126" s="132">
        <v>11</v>
      </c>
      <c r="AG126" s="130" t="s">
        <v>5</v>
      </c>
      <c r="AH126" s="130"/>
      <c r="AI126" s="130" t="s">
        <v>34</v>
      </c>
      <c r="AJ126" s="130"/>
      <c r="AK126" s="130"/>
      <c r="AL126" s="135" t="s">
        <v>921</v>
      </c>
      <c r="AM126" s="314"/>
      <c r="AN126" s="26"/>
      <c r="AO126" s="26"/>
      <c r="AP126" s="26"/>
      <c r="AQ126" s="26">
        <v>43133</v>
      </c>
      <c r="AR126" s="24"/>
      <c r="AS126" s="24"/>
      <c r="AT126" s="24">
        <v>43137</v>
      </c>
      <c r="AU126" s="418">
        <f t="shared" si="4"/>
        <v>2</v>
      </c>
      <c r="AV126" s="418">
        <f t="shared" si="5"/>
        <v>2018</v>
      </c>
      <c r="AW126" s="24"/>
      <c r="AX126" s="28"/>
      <c r="AY126" s="28" t="s">
        <v>269</v>
      </c>
      <c r="AZ126" s="132" t="s">
        <v>37</v>
      </c>
      <c r="BA126" s="132"/>
      <c r="BB126" s="24"/>
      <c r="BC126" s="135" t="s">
        <v>927</v>
      </c>
      <c r="BD126" s="26">
        <v>43098</v>
      </c>
      <c r="BE126" s="135" t="s">
        <v>774</v>
      </c>
      <c r="BF126" s="135" t="s">
        <v>804</v>
      </c>
      <c r="BG126" s="135" t="s">
        <v>29</v>
      </c>
      <c r="BH126" s="135"/>
      <c r="BI126" s="314"/>
      <c r="BJ126" s="314"/>
      <c r="BK126" s="24"/>
      <c r="BL126" s="24"/>
      <c r="BM126" s="24"/>
      <c r="BN126" s="24"/>
      <c r="BO126" s="24"/>
      <c r="BP126" s="24"/>
      <c r="BQ126" s="24"/>
      <c r="BR126" s="43"/>
      <c r="BS126" s="24"/>
      <c r="BT126" s="24"/>
      <c r="BU126" s="24"/>
      <c r="BV126" s="132" t="e">
        <f>IF(#REF!="COMPLETO","OK","PENDIENTES")</f>
        <v>#REF!</v>
      </c>
      <c r="BW126" s="132"/>
      <c r="BX126" s="132"/>
      <c r="BY126" s="132"/>
      <c r="BZ126" s="132"/>
      <c r="CA126" s="132"/>
      <c r="CB126" s="132"/>
      <c r="CC126" s="22"/>
      <c r="CG126" s="24" t="s">
        <v>105</v>
      </c>
      <c r="CH126" s="24"/>
      <c r="CI126" s="24"/>
      <c r="CJ126" s="24"/>
    </row>
    <row r="127" spans="1:88" ht="15" customHeight="1">
      <c r="A127" s="18">
        <v>2017</v>
      </c>
      <c r="B127" s="18" t="str">
        <f>+INDEX(BDD!F:F,MATCH(P127,BDD!D:D,0))&amp;"-"&amp;INDEX(BDD!E:E,MATCH(P127,BDD!D:D,0))</f>
        <v>S-P</v>
      </c>
      <c r="C127" s="360" t="s">
        <v>484</v>
      </c>
      <c r="D127" s="150" t="s">
        <v>77</v>
      </c>
      <c r="E127" s="132"/>
      <c r="F127" s="24"/>
      <c r="G127" s="346"/>
      <c r="H127" s="25" t="s">
        <v>928</v>
      </c>
      <c r="I127" s="329"/>
      <c r="J127" s="346"/>
      <c r="K127" s="24"/>
      <c r="L127" s="24"/>
      <c r="M127" s="24"/>
      <c r="N127" s="340"/>
      <c r="O127" s="334">
        <v>207374</v>
      </c>
      <c r="P127" s="25" t="s">
        <v>232</v>
      </c>
      <c r="Q127" s="127" t="s">
        <v>288</v>
      </c>
      <c r="R127" s="128" t="s">
        <v>919</v>
      </c>
      <c r="S127" s="24">
        <v>42990</v>
      </c>
      <c r="T127" s="36" t="s">
        <v>19</v>
      </c>
      <c r="U127" s="125"/>
      <c r="V127" s="88" t="s">
        <v>929</v>
      </c>
      <c r="W127" s="129"/>
      <c r="X127" s="88">
        <v>43011</v>
      </c>
      <c r="Y127" s="130" t="s">
        <v>20</v>
      </c>
      <c r="Z127" s="133" t="s">
        <v>60</v>
      </c>
      <c r="AA127" s="133"/>
      <c r="AB127" s="148">
        <v>144</v>
      </c>
      <c r="AC127" s="134">
        <v>320</v>
      </c>
      <c r="AD127" s="134"/>
      <c r="AE127" s="403">
        <f t="shared" si="3"/>
        <v>46080</v>
      </c>
      <c r="AF127" s="132">
        <v>6</v>
      </c>
      <c r="AG127" s="130" t="s">
        <v>5</v>
      </c>
      <c r="AH127" s="130"/>
      <c r="AI127" s="130" t="s">
        <v>34</v>
      </c>
      <c r="AJ127" s="130"/>
      <c r="AK127" s="130"/>
      <c r="AL127" s="24" t="s">
        <v>640</v>
      </c>
      <c r="AM127" s="314"/>
      <c r="AN127" s="26"/>
      <c r="AO127" s="26"/>
      <c r="AP127" s="26"/>
      <c r="AQ127" s="26">
        <v>43157</v>
      </c>
      <c r="AR127" s="24"/>
      <c r="AS127" s="24"/>
      <c r="AT127" s="24">
        <v>43160</v>
      </c>
      <c r="AU127" s="418">
        <f t="shared" si="4"/>
        <v>3</v>
      </c>
      <c r="AV127" s="418">
        <f t="shared" si="5"/>
        <v>2018</v>
      </c>
      <c r="AW127" s="24"/>
      <c r="AX127" s="28"/>
      <c r="AY127" s="28" t="s">
        <v>269</v>
      </c>
      <c r="AZ127" s="132" t="s">
        <v>9</v>
      </c>
      <c r="BA127" s="132"/>
      <c r="BB127" s="24"/>
      <c r="BC127" s="135" t="s">
        <v>930</v>
      </c>
      <c r="BD127" s="24">
        <v>43112</v>
      </c>
      <c r="BE127" s="135" t="s">
        <v>931</v>
      </c>
      <c r="BF127" s="135" t="s">
        <v>932</v>
      </c>
      <c r="BG127" s="135" t="s">
        <v>29</v>
      </c>
      <c r="BH127" s="135"/>
      <c r="BI127" s="314"/>
      <c r="BJ127" s="314"/>
      <c r="BK127" s="24"/>
      <c r="BL127" s="24"/>
      <c r="BM127" s="24"/>
      <c r="BN127" s="24"/>
      <c r="BO127" s="24">
        <v>43177</v>
      </c>
      <c r="BP127" s="24"/>
      <c r="BQ127" s="24"/>
      <c r="BR127" s="43"/>
      <c r="BS127" s="24"/>
      <c r="BT127" s="24"/>
      <c r="BU127" s="24"/>
      <c r="BV127" s="132" t="e">
        <f>IF(#REF!="COMPLETO","OK","PENDIENTES")</f>
        <v>#REF!</v>
      </c>
      <c r="BW127" s="132"/>
      <c r="BX127" s="132"/>
      <c r="BY127" s="132"/>
      <c r="BZ127" s="132"/>
      <c r="CA127" s="132"/>
      <c r="CB127" s="132"/>
      <c r="CC127" s="22"/>
      <c r="CG127" s="24" t="s">
        <v>105</v>
      </c>
      <c r="CH127" s="24"/>
      <c r="CI127" s="24"/>
      <c r="CJ127" s="24"/>
    </row>
    <row r="128" spans="1:88" ht="15" customHeight="1">
      <c r="A128" s="18">
        <v>2017</v>
      </c>
      <c r="B128" s="18" t="str">
        <f>+INDEX(BDD!F:F,MATCH(P128,BDD!D:D,0))&amp;"-"&amp;INDEX(BDD!E:E,MATCH(P128,BDD!D:D,0))</f>
        <v>S-S</v>
      </c>
      <c r="C128" s="360" t="s">
        <v>484</v>
      </c>
      <c r="D128" s="150" t="s">
        <v>77</v>
      </c>
      <c r="E128" s="132"/>
      <c r="F128" s="24"/>
      <c r="G128" s="346"/>
      <c r="H128" s="25" t="s">
        <v>933</v>
      </c>
      <c r="I128" s="329"/>
      <c r="J128" s="346"/>
      <c r="K128" s="24"/>
      <c r="L128" s="24"/>
      <c r="M128" s="24"/>
      <c r="N128" s="340"/>
      <c r="O128" s="334">
        <v>206971</v>
      </c>
      <c r="P128" s="25" t="s">
        <v>340</v>
      </c>
      <c r="Q128" s="127" t="s">
        <v>213</v>
      </c>
      <c r="R128" s="128" t="s">
        <v>934</v>
      </c>
      <c r="S128" s="24">
        <v>42992</v>
      </c>
      <c r="T128" s="36" t="s">
        <v>19</v>
      </c>
      <c r="U128" s="125"/>
      <c r="V128" s="88" t="s">
        <v>935</v>
      </c>
      <c r="W128" s="129"/>
      <c r="X128" s="88">
        <v>43055</v>
      </c>
      <c r="Y128" s="130" t="s">
        <v>20</v>
      </c>
      <c r="Z128" s="133" t="s">
        <v>60</v>
      </c>
      <c r="AA128" s="133"/>
      <c r="AB128" s="148">
        <v>1000</v>
      </c>
      <c r="AC128" s="134">
        <v>505</v>
      </c>
      <c r="AD128" s="134"/>
      <c r="AE128" s="403">
        <f t="shared" si="3"/>
        <v>505000</v>
      </c>
      <c r="AF128" s="132" t="str">
        <f>IF(W128=BDD!$P$1,IMPORTS!AB128/25,IF(W128=BDD!$P$2,IMPORTS!AB128/25,IF(IMPORTS!W128=BDD!$P$4,IMPORTS!AB128/25.5,"--")))</f>
        <v>--</v>
      </c>
      <c r="AG128" s="130" t="s">
        <v>58</v>
      </c>
      <c r="AH128" s="130"/>
      <c r="AI128" s="130" t="s">
        <v>34</v>
      </c>
      <c r="AJ128" s="130"/>
      <c r="AK128" s="130"/>
      <c r="AL128" s="135" t="s">
        <v>605</v>
      </c>
      <c r="AM128" s="314"/>
      <c r="AN128" s="26"/>
      <c r="AO128" s="26"/>
      <c r="AP128" s="26"/>
      <c r="AQ128" s="26">
        <v>43118</v>
      </c>
      <c r="AR128" s="24"/>
      <c r="AS128" s="24"/>
      <c r="AT128" s="26">
        <v>43131</v>
      </c>
      <c r="AU128" s="418">
        <f t="shared" si="4"/>
        <v>1</v>
      </c>
      <c r="AV128" s="418">
        <f t="shared" si="5"/>
        <v>2018</v>
      </c>
      <c r="AW128" s="26"/>
      <c r="AX128" s="28"/>
      <c r="AY128" s="28" t="s">
        <v>193</v>
      </c>
      <c r="AZ128" s="132" t="s">
        <v>37</v>
      </c>
      <c r="BA128" s="132"/>
      <c r="BB128" s="26"/>
      <c r="BC128" s="135" t="s">
        <v>936</v>
      </c>
      <c r="BD128" s="24">
        <v>43044</v>
      </c>
      <c r="BE128" s="135" t="s">
        <v>937</v>
      </c>
      <c r="BF128" s="135" t="s">
        <v>937</v>
      </c>
      <c r="BG128" s="135" t="s">
        <v>52</v>
      </c>
      <c r="BH128" s="135"/>
      <c r="BI128" s="314"/>
      <c r="BJ128" s="314"/>
      <c r="BK128" s="24"/>
      <c r="BL128" s="24"/>
      <c r="BM128" s="24"/>
      <c r="BN128" s="24"/>
      <c r="BO128" s="24"/>
      <c r="BP128" s="24"/>
      <c r="BQ128" s="24"/>
      <c r="BR128" s="43"/>
      <c r="BS128" s="24"/>
      <c r="BT128" s="24"/>
      <c r="BU128" s="24"/>
      <c r="BV128" s="132" t="e">
        <f>IF(#REF!="COMPLETO","OK","PENDIENTES")</f>
        <v>#REF!</v>
      </c>
      <c r="BW128" s="132"/>
      <c r="BX128" s="132"/>
      <c r="BY128" s="132"/>
      <c r="BZ128" s="132"/>
      <c r="CA128" s="132"/>
      <c r="CB128" s="132"/>
      <c r="CC128" s="22"/>
      <c r="CG128" s="24" t="s">
        <v>105</v>
      </c>
      <c r="CH128" s="24"/>
      <c r="CI128" s="26"/>
      <c r="CJ128" s="26"/>
    </row>
    <row r="129" spans="1:88" ht="15.75" customHeight="1">
      <c r="A129" s="18">
        <v>2017</v>
      </c>
      <c r="B129" s="18" t="str">
        <f>+INDEX(BDD!F:F,MATCH(P129,BDD!D:D,0))&amp;"-"&amp;INDEX(BDD!E:E,MATCH(P129,BDD!D:D,0))</f>
        <v>S-S</v>
      </c>
      <c r="C129" s="360" t="s">
        <v>484</v>
      </c>
      <c r="D129" s="150" t="s">
        <v>77</v>
      </c>
      <c r="E129" s="132" t="s">
        <v>51</v>
      </c>
      <c r="F129" s="24"/>
      <c r="G129" s="346">
        <v>8000000136</v>
      </c>
      <c r="H129" s="25" t="s">
        <v>938</v>
      </c>
      <c r="I129" s="329"/>
      <c r="J129" s="346">
        <v>8000000136</v>
      </c>
      <c r="K129" s="24"/>
      <c r="L129" s="24"/>
      <c r="M129" s="24"/>
      <c r="N129" s="340" t="s">
        <v>486</v>
      </c>
      <c r="O129" s="334">
        <v>207579</v>
      </c>
      <c r="P129" s="25" t="s">
        <v>238</v>
      </c>
      <c r="Q129" s="127" t="s">
        <v>261</v>
      </c>
      <c r="R129" s="128" t="s">
        <v>939</v>
      </c>
      <c r="S129" s="24">
        <v>43003</v>
      </c>
      <c r="T129" s="36" t="s">
        <v>19</v>
      </c>
      <c r="U129" s="125"/>
      <c r="V129" s="88" t="s">
        <v>940</v>
      </c>
      <c r="W129" s="129"/>
      <c r="X129" s="88">
        <v>43055</v>
      </c>
      <c r="Y129" s="130" t="s">
        <v>20</v>
      </c>
      <c r="Z129" s="133" t="s">
        <v>60</v>
      </c>
      <c r="AA129" s="133"/>
      <c r="AB129" s="148">
        <v>400.8</v>
      </c>
      <c r="AC129" s="134">
        <v>282</v>
      </c>
      <c r="AD129" s="134"/>
      <c r="AE129" s="403">
        <f t="shared" si="3"/>
        <v>113025.60000000001</v>
      </c>
      <c r="AF129" s="132" t="str">
        <f>IF(W129=BDD!$P$1,IMPORTS!AB129/25,IF(W129=BDD!$P$2,IMPORTS!AB129/25,IF(IMPORTS!W129=BDD!$P$4,IMPORTS!AB129/25.5,"--")))</f>
        <v>--</v>
      </c>
      <c r="AG129" s="130" t="s">
        <v>58</v>
      </c>
      <c r="AH129" s="130"/>
      <c r="AI129" s="130" t="s">
        <v>34</v>
      </c>
      <c r="AJ129" s="130"/>
      <c r="AK129" s="130"/>
      <c r="AL129" s="24" t="s">
        <v>640</v>
      </c>
      <c r="AM129" s="314"/>
      <c r="AN129" s="26"/>
      <c r="AO129" s="26"/>
      <c r="AP129" s="26"/>
      <c r="AQ129" s="26">
        <v>43090</v>
      </c>
      <c r="AR129" s="24"/>
      <c r="AS129" s="24"/>
      <c r="AT129" s="24">
        <v>43104</v>
      </c>
      <c r="AU129" s="418">
        <f t="shared" si="4"/>
        <v>1</v>
      </c>
      <c r="AV129" s="418">
        <f t="shared" si="5"/>
        <v>2018</v>
      </c>
      <c r="AW129" s="24"/>
      <c r="AX129" s="28"/>
      <c r="AY129" s="28" t="s">
        <v>607</v>
      </c>
      <c r="AZ129" s="132" t="s">
        <v>37</v>
      </c>
      <c r="BA129" s="132"/>
      <c r="BB129" s="24"/>
      <c r="BC129" s="132" t="s">
        <v>941</v>
      </c>
      <c r="BD129" s="24">
        <v>43047</v>
      </c>
      <c r="BE129" s="135" t="s">
        <v>942</v>
      </c>
      <c r="BF129" s="135" t="s">
        <v>942</v>
      </c>
      <c r="BG129" s="135" t="s">
        <v>52</v>
      </c>
      <c r="BH129" s="135"/>
      <c r="BI129" s="314"/>
      <c r="BJ129" s="314"/>
      <c r="BK129" s="24"/>
      <c r="BL129" s="24"/>
      <c r="BM129" s="24"/>
      <c r="BN129" s="24"/>
      <c r="BO129" s="24"/>
      <c r="BP129" s="24"/>
      <c r="BQ129" s="24"/>
      <c r="BR129" s="43"/>
      <c r="BS129" s="24"/>
      <c r="BT129" s="24"/>
      <c r="BU129" s="24"/>
      <c r="BV129" s="132" t="e">
        <f>IF(#REF!="COMPLETO","OK","PENDIENTES")</f>
        <v>#REF!</v>
      </c>
      <c r="BW129" s="132"/>
      <c r="BX129" s="132"/>
      <c r="BY129" s="132"/>
      <c r="BZ129" s="132"/>
      <c r="CA129" s="132"/>
      <c r="CB129" s="132"/>
      <c r="CC129" s="22"/>
      <c r="CG129" s="24" t="s">
        <v>105</v>
      </c>
      <c r="CH129" s="24"/>
      <c r="CI129" s="24"/>
      <c r="CJ129" s="24"/>
    </row>
    <row r="130" spans="1:88" ht="15" customHeight="1">
      <c r="A130" s="18">
        <v>2017</v>
      </c>
      <c r="B130" s="18" t="str">
        <f>+INDEX(BDD!F:F,MATCH(P130,BDD!D:D,0))&amp;"-"&amp;INDEX(BDD!E:E,MATCH(P130,BDD!D:D,0))</f>
        <v>E-S</v>
      </c>
      <c r="C130" s="360" t="s">
        <v>484</v>
      </c>
      <c r="D130" s="150" t="s">
        <v>77</v>
      </c>
      <c r="E130" s="132"/>
      <c r="F130" s="24"/>
      <c r="G130" s="346">
        <v>8000000066</v>
      </c>
      <c r="H130" s="25" t="s">
        <v>943</v>
      </c>
      <c r="I130" s="329"/>
      <c r="J130" s="346">
        <v>8000000066</v>
      </c>
      <c r="K130" s="24"/>
      <c r="L130" s="24"/>
      <c r="M130" s="24"/>
      <c r="N130" s="340" t="s">
        <v>486</v>
      </c>
      <c r="O130" s="334">
        <v>204582</v>
      </c>
      <c r="P130" s="25" t="s">
        <v>120</v>
      </c>
      <c r="Q130" s="127" t="s">
        <v>84</v>
      </c>
      <c r="R130" s="128" t="s">
        <v>944</v>
      </c>
      <c r="S130" s="24">
        <v>42989</v>
      </c>
      <c r="T130" s="36">
        <v>90</v>
      </c>
      <c r="U130" s="125" t="s">
        <v>118</v>
      </c>
      <c r="V130" s="88" t="s">
        <v>945</v>
      </c>
      <c r="W130" s="129"/>
      <c r="X130" s="88">
        <f>IF(RIGHT(U130,3)="ETA",AQ130+T130,IF(RIGHT(U130,2)="BL",BD130+T130," "))</f>
        <v>43114</v>
      </c>
      <c r="Y130" s="130" t="s">
        <v>20</v>
      </c>
      <c r="Z130" s="133" t="s">
        <v>60</v>
      </c>
      <c r="AA130" s="133"/>
      <c r="AB130" s="148">
        <v>96</v>
      </c>
      <c r="AC130" s="134">
        <v>486</v>
      </c>
      <c r="AD130" s="134"/>
      <c r="AE130" s="403">
        <f t="shared" ref="AE130:AE193" si="7">AB130*AC130</f>
        <v>46656</v>
      </c>
      <c r="AF130" s="132">
        <v>4</v>
      </c>
      <c r="AG130" s="130" t="s">
        <v>5</v>
      </c>
      <c r="AH130" s="130"/>
      <c r="AI130" s="130" t="s">
        <v>71</v>
      </c>
      <c r="AJ130" s="130"/>
      <c r="AK130" s="130"/>
      <c r="AL130" s="135" t="s">
        <v>605</v>
      </c>
      <c r="AM130" s="314"/>
      <c r="AN130" s="26"/>
      <c r="AO130" s="26"/>
      <c r="AP130" s="26"/>
      <c r="AQ130" s="26">
        <v>43046</v>
      </c>
      <c r="AR130" s="24"/>
      <c r="AS130" s="24"/>
      <c r="AT130" s="24">
        <v>43050</v>
      </c>
      <c r="AU130" s="418">
        <f t="shared" si="4"/>
        <v>11</v>
      </c>
      <c r="AV130" s="418">
        <f t="shared" si="5"/>
        <v>2017</v>
      </c>
      <c r="AW130" s="24"/>
      <c r="AX130" s="28"/>
      <c r="AY130" s="28" t="s">
        <v>299</v>
      </c>
      <c r="AZ130" s="132" t="s">
        <v>37</v>
      </c>
      <c r="BA130" s="132"/>
      <c r="BB130" s="24"/>
      <c r="BC130" s="128" t="s">
        <v>946</v>
      </c>
      <c r="BD130" s="24">
        <v>43024</v>
      </c>
      <c r="BE130" s="135" t="s">
        <v>947</v>
      </c>
      <c r="BF130" s="135"/>
      <c r="BG130" s="135" t="s">
        <v>948</v>
      </c>
      <c r="BH130" s="135"/>
      <c r="BI130" s="314"/>
      <c r="BJ130" s="314"/>
      <c r="BK130" s="24"/>
      <c r="BL130" s="24"/>
      <c r="BM130" s="24"/>
      <c r="BN130" s="24"/>
      <c r="BO130" s="24">
        <f>+AQ130+14</f>
        <v>43060</v>
      </c>
      <c r="BP130" s="24"/>
      <c r="BQ130" s="24"/>
      <c r="BR130" s="43"/>
      <c r="BS130" s="24"/>
      <c r="BT130" s="24"/>
      <c r="BU130" s="24"/>
      <c r="BV130" s="132" t="e">
        <f>IF(#REF!="COMPLETO","OK","PENDIENTES")</f>
        <v>#REF!</v>
      </c>
      <c r="BW130" s="132"/>
      <c r="BX130" s="132"/>
      <c r="BY130" s="132"/>
      <c r="BZ130" s="132"/>
      <c r="CA130" s="132"/>
      <c r="CB130" s="132"/>
      <c r="CC130" s="22"/>
      <c r="CG130" s="24" t="s">
        <v>105</v>
      </c>
      <c r="CH130" s="24"/>
      <c r="CI130" s="24"/>
      <c r="CJ130" s="24"/>
    </row>
    <row r="131" spans="1:88" ht="15" customHeight="1">
      <c r="A131" s="18">
        <v>2017</v>
      </c>
      <c r="B131" s="18" t="str">
        <f>+INDEX(BDD!F:F,MATCH(P131,BDD!D:D,0))&amp;"-"&amp;INDEX(BDD!E:E,MATCH(P131,BDD!D:D,0))</f>
        <v>E-S</v>
      </c>
      <c r="C131" s="360" t="s">
        <v>484</v>
      </c>
      <c r="D131" s="150" t="s">
        <v>77</v>
      </c>
      <c r="E131" s="132"/>
      <c r="F131" s="24"/>
      <c r="G131" s="346">
        <v>8000000063</v>
      </c>
      <c r="H131" s="25" t="s">
        <v>949</v>
      </c>
      <c r="I131" s="329"/>
      <c r="J131" s="346">
        <v>8000000063</v>
      </c>
      <c r="K131" s="24"/>
      <c r="L131" s="24"/>
      <c r="M131" s="24"/>
      <c r="N131" s="340" t="s">
        <v>486</v>
      </c>
      <c r="O131" s="334">
        <v>209980</v>
      </c>
      <c r="P131" s="25" t="s">
        <v>310</v>
      </c>
      <c r="Q131" s="127" t="s">
        <v>187</v>
      </c>
      <c r="R131" s="128">
        <v>1384459</v>
      </c>
      <c r="S131" s="24">
        <v>42986</v>
      </c>
      <c r="T131" s="36">
        <v>30</v>
      </c>
      <c r="U131" s="125" t="s">
        <v>118</v>
      </c>
      <c r="V131" s="155">
        <v>50414960</v>
      </c>
      <c r="W131" s="129"/>
      <c r="X131" s="88">
        <v>43222</v>
      </c>
      <c r="Y131" s="130" t="s">
        <v>20</v>
      </c>
      <c r="Z131" s="133" t="s">
        <v>81</v>
      </c>
      <c r="AA131" s="133"/>
      <c r="AB131" s="148">
        <v>4.2</v>
      </c>
      <c r="AC131" s="134">
        <v>12970</v>
      </c>
      <c r="AD131" s="134"/>
      <c r="AE131" s="403">
        <f t="shared" si="7"/>
        <v>54474</v>
      </c>
      <c r="AF131" s="132" t="s">
        <v>944</v>
      </c>
      <c r="AG131" s="130" t="s">
        <v>5</v>
      </c>
      <c r="AH131" s="130"/>
      <c r="AI131" s="130" t="s">
        <v>6</v>
      </c>
      <c r="AJ131" s="130"/>
      <c r="AK131" s="130"/>
      <c r="AL131" s="24" t="s">
        <v>624</v>
      </c>
      <c r="AM131" s="314"/>
      <c r="AN131" s="26"/>
      <c r="AO131" s="26"/>
      <c r="AP131" s="26"/>
      <c r="AQ131" s="26">
        <v>43168</v>
      </c>
      <c r="AR131" s="24"/>
      <c r="AS131" s="24"/>
      <c r="AT131" s="24">
        <v>43169</v>
      </c>
      <c r="AU131" s="418">
        <f t="shared" ref="AU131:AU194" si="8">MONTH(AT131)</f>
        <v>3</v>
      </c>
      <c r="AV131" s="418">
        <f t="shared" ref="AV131:AV194" si="9">YEAR(AT131)</f>
        <v>2018</v>
      </c>
      <c r="AW131" s="24"/>
      <c r="AX131" s="28"/>
      <c r="AY131" s="28" t="s">
        <v>153</v>
      </c>
      <c r="AZ131" s="132" t="s">
        <v>37</v>
      </c>
      <c r="BA131" s="132"/>
      <c r="BB131" s="24"/>
      <c r="BC131" s="135" t="s">
        <v>950</v>
      </c>
      <c r="BD131" s="26">
        <v>43132</v>
      </c>
      <c r="BE131" s="135" t="s">
        <v>951</v>
      </c>
      <c r="BF131" s="135" t="s">
        <v>652</v>
      </c>
      <c r="BG131" s="135" t="s">
        <v>29</v>
      </c>
      <c r="BH131" s="135"/>
      <c r="BI131" s="314"/>
      <c r="BJ131" s="314"/>
      <c r="BK131" s="26"/>
      <c r="BL131" s="26"/>
      <c r="BM131" s="26"/>
      <c r="BN131" s="26"/>
      <c r="BO131" s="24"/>
      <c r="BP131" s="24"/>
      <c r="BQ131" s="24"/>
      <c r="BR131" s="43"/>
      <c r="BS131" s="24"/>
      <c r="BT131" s="24"/>
      <c r="BU131" s="24"/>
      <c r="BV131" s="132" t="e">
        <f>IF(#REF!="COMPLETO","OK","PENDIENTES")</f>
        <v>#REF!</v>
      </c>
      <c r="BW131" s="132"/>
      <c r="BX131" s="132"/>
      <c r="BY131" s="132"/>
      <c r="BZ131" s="132"/>
      <c r="CA131" s="132"/>
      <c r="CB131" s="132"/>
      <c r="CC131" s="22"/>
      <c r="CG131" s="24" t="s">
        <v>105</v>
      </c>
      <c r="CH131" s="24"/>
      <c r="CI131" s="24"/>
      <c r="CJ131" s="24"/>
    </row>
    <row r="132" spans="1:88" ht="15" customHeight="1">
      <c r="A132" s="18">
        <v>2017</v>
      </c>
      <c r="B132" s="18" t="str">
        <f>+INDEX(BDD!F:F,MATCH(P132,BDD!D:D,0))&amp;"-"&amp;INDEX(BDD!E:E,MATCH(P132,BDD!D:D,0))</f>
        <v>E-S</v>
      </c>
      <c r="C132" s="360" t="s">
        <v>484</v>
      </c>
      <c r="D132" s="150" t="s">
        <v>77</v>
      </c>
      <c r="E132" s="132"/>
      <c r="F132" s="24"/>
      <c r="G132" s="346">
        <v>8000000064</v>
      </c>
      <c r="H132" s="25" t="s">
        <v>952</v>
      </c>
      <c r="I132" s="329"/>
      <c r="J132" s="346">
        <v>8000000064</v>
      </c>
      <c r="K132" s="24"/>
      <c r="L132" s="24"/>
      <c r="M132" s="24"/>
      <c r="N132" s="340" t="s">
        <v>486</v>
      </c>
      <c r="O132" s="334">
        <v>209981</v>
      </c>
      <c r="P132" s="25" t="s">
        <v>312</v>
      </c>
      <c r="Q132" s="127" t="s">
        <v>187</v>
      </c>
      <c r="R132" s="128">
        <v>1384459</v>
      </c>
      <c r="S132" s="24">
        <v>42986</v>
      </c>
      <c r="T132" s="36">
        <v>30</v>
      </c>
      <c r="U132" s="125" t="s">
        <v>118</v>
      </c>
      <c r="V132" s="155">
        <v>50414960</v>
      </c>
      <c r="W132" s="129"/>
      <c r="X132" s="88">
        <v>43222</v>
      </c>
      <c r="Y132" s="130" t="s">
        <v>20</v>
      </c>
      <c r="Z132" s="133" t="s">
        <v>81</v>
      </c>
      <c r="AA132" s="133"/>
      <c r="AB132" s="148">
        <v>2.1</v>
      </c>
      <c r="AC132" s="134">
        <v>5450</v>
      </c>
      <c r="AD132" s="134"/>
      <c r="AE132" s="403">
        <f t="shared" si="7"/>
        <v>11445</v>
      </c>
      <c r="AF132" s="132" t="s">
        <v>944</v>
      </c>
      <c r="AG132" s="130" t="s">
        <v>5</v>
      </c>
      <c r="AH132" s="130"/>
      <c r="AI132" s="130" t="s">
        <v>6</v>
      </c>
      <c r="AJ132" s="130"/>
      <c r="AK132" s="130"/>
      <c r="AL132" s="24" t="s">
        <v>624</v>
      </c>
      <c r="AM132" s="314"/>
      <c r="AN132" s="26"/>
      <c r="AO132" s="26"/>
      <c r="AP132" s="26"/>
      <c r="AQ132" s="26">
        <v>43168</v>
      </c>
      <c r="AR132" s="24"/>
      <c r="AS132" s="24"/>
      <c r="AT132" s="24">
        <v>43169</v>
      </c>
      <c r="AU132" s="418">
        <f t="shared" si="8"/>
        <v>3</v>
      </c>
      <c r="AV132" s="418">
        <f t="shared" si="9"/>
        <v>2018</v>
      </c>
      <c r="AW132" s="24"/>
      <c r="AX132" s="28"/>
      <c r="AY132" s="28" t="s">
        <v>153</v>
      </c>
      <c r="AZ132" s="132" t="s">
        <v>37</v>
      </c>
      <c r="BA132" s="132"/>
      <c r="BB132" s="24"/>
      <c r="BC132" s="135" t="s">
        <v>950</v>
      </c>
      <c r="BD132" s="26">
        <v>43132</v>
      </c>
      <c r="BE132" s="135" t="s">
        <v>951</v>
      </c>
      <c r="BF132" s="135" t="s">
        <v>652</v>
      </c>
      <c r="BG132" s="135" t="s">
        <v>29</v>
      </c>
      <c r="BH132" s="135"/>
      <c r="BI132" s="314"/>
      <c r="BJ132" s="314"/>
      <c r="BK132" s="26"/>
      <c r="BL132" s="26"/>
      <c r="BM132" s="26"/>
      <c r="BN132" s="26"/>
      <c r="BO132" s="24"/>
      <c r="BP132" s="24"/>
      <c r="BQ132" s="24"/>
      <c r="BR132" s="43"/>
      <c r="BS132" s="24"/>
      <c r="BT132" s="24"/>
      <c r="BU132" s="24"/>
      <c r="BV132" s="132" t="e">
        <f>IF(#REF!="COMPLETO","OK","PENDIENTES")</f>
        <v>#REF!</v>
      </c>
      <c r="BW132" s="132"/>
      <c r="BX132" s="132"/>
      <c r="BY132" s="132"/>
      <c r="BZ132" s="132"/>
      <c r="CA132" s="132"/>
      <c r="CB132" s="132"/>
      <c r="CC132" s="22"/>
      <c r="CG132" s="24" t="s">
        <v>105</v>
      </c>
      <c r="CH132" s="24"/>
      <c r="CI132" s="24"/>
      <c r="CJ132" s="24"/>
    </row>
    <row r="133" spans="1:88" ht="15" customHeight="1">
      <c r="A133" s="18">
        <v>2017</v>
      </c>
      <c r="B133" s="18" t="str">
        <f>+INDEX(BDD!F:F,MATCH(P133,BDD!D:D,0))&amp;"-"&amp;INDEX(BDD!E:E,MATCH(P133,BDD!D:D,0))</f>
        <v>E-S</v>
      </c>
      <c r="C133" s="360" t="s">
        <v>484</v>
      </c>
      <c r="D133" s="150" t="s">
        <v>77</v>
      </c>
      <c r="E133" s="132"/>
      <c r="F133" s="24"/>
      <c r="G133" s="346">
        <v>8000000065</v>
      </c>
      <c r="H133" s="25" t="s">
        <v>953</v>
      </c>
      <c r="I133" s="329"/>
      <c r="J133" s="346">
        <v>8000000065</v>
      </c>
      <c r="K133" s="24"/>
      <c r="L133" s="24"/>
      <c r="M133" s="24"/>
      <c r="N133" s="340" t="s">
        <v>486</v>
      </c>
      <c r="O133" s="334">
        <v>209982</v>
      </c>
      <c r="P133" s="25" t="s">
        <v>314</v>
      </c>
      <c r="Q133" s="127" t="s">
        <v>187</v>
      </c>
      <c r="R133" s="128">
        <v>1384459</v>
      </c>
      <c r="S133" s="24">
        <v>42986</v>
      </c>
      <c r="T133" s="36">
        <v>30</v>
      </c>
      <c r="U133" s="125" t="s">
        <v>118</v>
      </c>
      <c r="V133" s="155">
        <v>50414960</v>
      </c>
      <c r="W133" s="129"/>
      <c r="X133" s="88">
        <v>43222</v>
      </c>
      <c r="Y133" s="130" t="s">
        <v>20</v>
      </c>
      <c r="Z133" s="133" t="s">
        <v>81</v>
      </c>
      <c r="AA133" s="133"/>
      <c r="AB133" s="148">
        <v>2.1</v>
      </c>
      <c r="AC133" s="134">
        <v>5450</v>
      </c>
      <c r="AD133" s="134"/>
      <c r="AE133" s="403">
        <f t="shared" si="7"/>
        <v>11445</v>
      </c>
      <c r="AF133" s="132" t="s">
        <v>944</v>
      </c>
      <c r="AG133" s="130" t="s">
        <v>5</v>
      </c>
      <c r="AH133" s="130"/>
      <c r="AI133" s="130" t="s">
        <v>6</v>
      </c>
      <c r="AJ133" s="130"/>
      <c r="AK133" s="130"/>
      <c r="AL133" s="24" t="s">
        <v>624</v>
      </c>
      <c r="AM133" s="314"/>
      <c r="AN133" s="26"/>
      <c r="AO133" s="26"/>
      <c r="AP133" s="26"/>
      <c r="AQ133" s="26">
        <v>43168</v>
      </c>
      <c r="AR133" s="24"/>
      <c r="AS133" s="24"/>
      <c r="AT133" s="24">
        <v>43169</v>
      </c>
      <c r="AU133" s="418">
        <f t="shared" si="8"/>
        <v>3</v>
      </c>
      <c r="AV133" s="418">
        <f t="shared" si="9"/>
        <v>2018</v>
      </c>
      <c r="AW133" s="24"/>
      <c r="AX133" s="28"/>
      <c r="AY133" s="28" t="s">
        <v>153</v>
      </c>
      <c r="AZ133" s="132" t="s">
        <v>37</v>
      </c>
      <c r="BA133" s="132"/>
      <c r="BB133" s="24"/>
      <c r="BC133" s="128" t="s">
        <v>950</v>
      </c>
      <c r="BD133" s="26">
        <v>43132</v>
      </c>
      <c r="BE133" s="135" t="s">
        <v>951</v>
      </c>
      <c r="BF133" s="135" t="s">
        <v>652</v>
      </c>
      <c r="BG133" s="135" t="s">
        <v>29</v>
      </c>
      <c r="BH133" s="135"/>
      <c r="BI133" s="314"/>
      <c r="BJ133" s="314"/>
      <c r="BK133" s="26"/>
      <c r="BL133" s="26"/>
      <c r="BM133" s="26"/>
      <c r="BN133" s="26"/>
      <c r="BO133" s="24"/>
      <c r="BP133" s="24"/>
      <c r="BQ133" s="24"/>
      <c r="BR133" s="43"/>
      <c r="BS133" s="24"/>
      <c r="BT133" s="24"/>
      <c r="BU133" s="24"/>
      <c r="BV133" s="132" t="e">
        <f>IF(#REF!="COMPLETO","OK","PENDIENTES")</f>
        <v>#REF!</v>
      </c>
      <c r="BW133" s="132"/>
      <c r="BX133" s="132"/>
      <c r="BY133" s="132"/>
      <c r="BZ133" s="132"/>
      <c r="CA133" s="132"/>
      <c r="CB133" s="132"/>
      <c r="CC133" s="22"/>
      <c r="CG133" s="24" t="s">
        <v>105</v>
      </c>
      <c r="CH133" s="24"/>
      <c r="CI133" s="24"/>
      <c r="CJ133" s="24"/>
    </row>
    <row r="134" spans="1:88" ht="15" customHeight="1">
      <c r="A134" s="18">
        <v>2017</v>
      </c>
      <c r="B134" s="18" t="str">
        <f>+INDEX(BDD!F:F,MATCH(P134,BDD!D:D,0))&amp;"-"&amp;INDEX(BDD!E:E,MATCH(P134,BDD!D:D,0))</f>
        <v>S-S</v>
      </c>
      <c r="C134" s="360" t="s">
        <v>484</v>
      </c>
      <c r="D134" s="150" t="s">
        <v>77</v>
      </c>
      <c r="E134" s="132"/>
      <c r="F134" s="24"/>
      <c r="G134" s="346">
        <v>8000000067</v>
      </c>
      <c r="H134" s="25" t="s">
        <v>954</v>
      </c>
      <c r="I134" s="329"/>
      <c r="J134" s="346">
        <v>8000000067</v>
      </c>
      <c r="K134" s="24"/>
      <c r="L134" s="24"/>
      <c r="M134" s="24"/>
      <c r="N134" s="340" t="s">
        <v>486</v>
      </c>
      <c r="O134" s="334">
        <v>206971</v>
      </c>
      <c r="P134" s="25" t="s">
        <v>340</v>
      </c>
      <c r="Q134" s="127" t="s">
        <v>175</v>
      </c>
      <c r="R134" s="128">
        <v>4765</v>
      </c>
      <c r="S134" s="24">
        <v>43000</v>
      </c>
      <c r="T134" s="36" t="s">
        <v>19</v>
      </c>
      <c r="U134" s="125"/>
      <c r="V134" s="155">
        <v>17100034</v>
      </c>
      <c r="W134" s="129"/>
      <c r="X134" s="88">
        <v>43048</v>
      </c>
      <c r="Y134" s="130" t="s">
        <v>20</v>
      </c>
      <c r="Z134" s="133" t="s">
        <v>81</v>
      </c>
      <c r="AA134" s="133"/>
      <c r="AB134" s="148">
        <v>500</v>
      </c>
      <c r="AC134" s="134">
        <v>510</v>
      </c>
      <c r="AD134" s="134"/>
      <c r="AE134" s="403">
        <f t="shared" si="7"/>
        <v>255000</v>
      </c>
      <c r="AF134" s="132" t="str">
        <f>IF(W134=BDD!$P$1,IMPORTS!AB134/25,IF(W134=BDD!$P$2,IMPORTS!AB134/25,IF(IMPORTS!W134=BDD!$P$4,IMPORTS!AB134/25.5,"--")))</f>
        <v>--</v>
      </c>
      <c r="AG134" s="130" t="s">
        <v>5</v>
      </c>
      <c r="AH134" s="130"/>
      <c r="AI134" s="130" t="s">
        <v>34</v>
      </c>
      <c r="AJ134" s="130"/>
      <c r="AK134" s="130"/>
      <c r="AL134" s="135" t="s">
        <v>605</v>
      </c>
      <c r="AM134" s="314"/>
      <c r="AN134" s="26"/>
      <c r="AO134" s="26"/>
      <c r="AP134" s="26"/>
      <c r="AQ134" s="26">
        <v>43096</v>
      </c>
      <c r="AR134" s="24"/>
      <c r="AS134" s="24"/>
      <c r="AT134" s="24">
        <v>43098</v>
      </c>
      <c r="AU134" s="418">
        <f t="shared" si="8"/>
        <v>12</v>
      </c>
      <c r="AV134" s="418">
        <f t="shared" si="9"/>
        <v>2017</v>
      </c>
      <c r="AW134" s="24"/>
      <c r="AX134" s="28"/>
      <c r="AY134" s="28" t="s">
        <v>239</v>
      </c>
      <c r="AZ134" s="132" t="s">
        <v>9</v>
      </c>
      <c r="BA134" s="132"/>
      <c r="BB134" s="24"/>
      <c r="BC134" s="128" t="s">
        <v>955</v>
      </c>
      <c r="BD134" s="24">
        <v>43032</v>
      </c>
      <c r="BE134" s="135" t="s">
        <v>956</v>
      </c>
      <c r="BF134" s="135" t="s">
        <v>594</v>
      </c>
      <c r="BG134" s="135" t="s">
        <v>14</v>
      </c>
      <c r="BH134" s="135"/>
      <c r="BI134" s="314"/>
      <c r="BJ134" s="314"/>
      <c r="BK134" s="24"/>
      <c r="BL134" s="24"/>
      <c r="BM134" s="24"/>
      <c r="BN134" s="24"/>
      <c r="BO134" s="24">
        <f>+AQ134+14</f>
        <v>43110</v>
      </c>
      <c r="BP134" s="24"/>
      <c r="BQ134" s="24"/>
      <c r="BR134" s="43"/>
      <c r="BS134" s="24"/>
      <c r="BT134" s="24"/>
      <c r="BU134" s="24"/>
      <c r="BV134" s="132" t="e">
        <f>IF(#REF!="COMPLETO","OK","PENDIENTES")</f>
        <v>#REF!</v>
      </c>
      <c r="BW134" s="132"/>
      <c r="BX134" s="132"/>
      <c r="BY134" s="132"/>
      <c r="BZ134" s="132"/>
      <c r="CA134" s="132"/>
      <c r="CB134" s="132"/>
      <c r="CC134" s="22"/>
      <c r="CG134" s="24" t="s">
        <v>105</v>
      </c>
      <c r="CH134" s="24"/>
      <c r="CI134" s="24"/>
      <c r="CJ134" s="24"/>
    </row>
    <row r="135" spans="1:88" ht="15" customHeight="1">
      <c r="A135" s="18">
        <v>2017</v>
      </c>
      <c r="B135" s="18" t="str">
        <f>+INDEX(BDD!F:F,MATCH(P135,BDD!D:D,0))&amp;"-"&amp;INDEX(BDD!E:E,MATCH(P135,BDD!D:D,0))</f>
        <v>S-C</v>
      </c>
      <c r="C135" s="360" t="s">
        <v>484</v>
      </c>
      <c r="D135" s="150" t="s">
        <v>77</v>
      </c>
      <c r="E135" s="132"/>
      <c r="F135" s="24"/>
      <c r="G135" s="346"/>
      <c r="H135" s="25" t="s">
        <v>957</v>
      </c>
      <c r="I135" s="329"/>
      <c r="J135" s="346"/>
      <c r="K135" s="24"/>
      <c r="L135" s="24"/>
      <c r="M135" s="24"/>
      <c r="N135" s="340"/>
      <c r="O135" s="334">
        <v>207580</v>
      </c>
      <c r="P135" s="183" t="s">
        <v>241</v>
      </c>
      <c r="Q135" s="127" t="s">
        <v>213</v>
      </c>
      <c r="R135" s="128" t="s">
        <v>958</v>
      </c>
      <c r="S135" s="24">
        <v>42993</v>
      </c>
      <c r="T135" s="36" t="s">
        <v>19</v>
      </c>
      <c r="U135" s="125"/>
      <c r="V135" s="155">
        <v>20171315</v>
      </c>
      <c r="W135" s="129"/>
      <c r="X135" s="88">
        <v>43056</v>
      </c>
      <c r="Y135" s="130" t="s">
        <v>20</v>
      </c>
      <c r="Z135" s="133" t="s">
        <v>72</v>
      </c>
      <c r="AA135" s="133"/>
      <c r="AB135" s="148">
        <v>125</v>
      </c>
      <c r="AC135" s="134">
        <v>825</v>
      </c>
      <c r="AD135" s="134"/>
      <c r="AE135" s="403">
        <f t="shared" si="7"/>
        <v>103125</v>
      </c>
      <c r="AF135" s="132">
        <v>5</v>
      </c>
      <c r="AG135" s="130" t="s">
        <v>5</v>
      </c>
      <c r="AH135" s="130"/>
      <c r="AI135" s="130" t="s">
        <v>34</v>
      </c>
      <c r="AJ135" s="130"/>
      <c r="AK135" s="130"/>
      <c r="AL135" s="24" t="s">
        <v>605</v>
      </c>
      <c r="AM135" s="314"/>
      <c r="AN135" s="26"/>
      <c r="AO135" s="26"/>
      <c r="AP135" s="26"/>
      <c r="AQ135" s="26">
        <v>43100</v>
      </c>
      <c r="AR135" s="24"/>
      <c r="AS135" s="24"/>
      <c r="AT135" s="24">
        <v>43103</v>
      </c>
      <c r="AU135" s="418">
        <f t="shared" si="8"/>
        <v>1</v>
      </c>
      <c r="AV135" s="418">
        <f t="shared" si="9"/>
        <v>2018</v>
      </c>
      <c r="AW135" s="24"/>
      <c r="AX135" s="28"/>
      <c r="AY135" s="28" t="s">
        <v>49</v>
      </c>
      <c r="AZ135" s="132" t="s">
        <v>37</v>
      </c>
      <c r="BA135" s="132"/>
      <c r="BB135" s="24"/>
      <c r="BC135" s="128" t="s">
        <v>959</v>
      </c>
      <c r="BD135" s="24">
        <v>43044</v>
      </c>
      <c r="BE135" s="135" t="s">
        <v>960</v>
      </c>
      <c r="BF135" s="135" t="s">
        <v>961</v>
      </c>
      <c r="BG135" s="135" t="s">
        <v>65</v>
      </c>
      <c r="BH135" s="135"/>
      <c r="BI135" s="314"/>
      <c r="BJ135" s="314"/>
      <c r="BK135" s="24"/>
      <c r="BL135" s="24"/>
      <c r="BM135" s="24"/>
      <c r="BN135" s="24"/>
      <c r="BO135" s="24">
        <f>+AQ135+14</f>
        <v>43114</v>
      </c>
      <c r="BP135" s="24"/>
      <c r="BQ135" s="24"/>
      <c r="BR135" s="43"/>
      <c r="BS135" s="24"/>
      <c r="BT135" s="24"/>
      <c r="BU135" s="24"/>
      <c r="BV135" s="132" t="e">
        <f>IF(#REF!="COMPLETO","OK","PENDIENTES")</f>
        <v>#REF!</v>
      </c>
      <c r="BW135" s="132"/>
      <c r="BX135" s="132"/>
      <c r="BY135" s="132"/>
      <c r="BZ135" s="132"/>
      <c r="CA135" s="132"/>
      <c r="CB135" s="132"/>
      <c r="CC135" s="22"/>
      <c r="CG135" s="24" t="s">
        <v>105</v>
      </c>
      <c r="CH135" s="24"/>
      <c r="CI135" s="24"/>
      <c r="CJ135" s="24"/>
    </row>
    <row r="136" spans="1:88" ht="15" customHeight="1">
      <c r="A136" s="18">
        <v>2017</v>
      </c>
      <c r="B136" s="18" t="str">
        <f>+INDEX(BDD!F:F,MATCH(P136,BDD!D:D,0))&amp;"-"&amp;INDEX(BDD!E:E,MATCH(P136,BDD!D:D,0))</f>
        <v>S-C</v>
      </c>
      <c r="C136" s="360" t="s">
        <v>484</v>
      </c>
      <c r="D136" s="150" t="s">
        <v>77</v>
      </c>
      <c r="E136" s="132"/>
      <c r="F136" s="24"/>
      <c r="G136" s="346"/>
      <c r="H136" s="25" t="s">
        <v>962</v>
      </c>
      <c r="I136" s="329"/>
      <c r="J136" s="346"/>
      <c r="K136" s="24"/>
      <c r="L136" s="24"/>
      <c r="M136" s="24"/>
      <c r="N136" s="340"/>
      <c r="O136" s="334">
        <v>207580</v>
      </c>
      <c r="P136" s="25" t="s">
        <v>241</v>
      </c>
      <c r="Q136" s="127" t="s">
        <v>213</v>
      </c>
      <c r="R136" s="128" t="s">
        <v>963</v>
      </c>
      <c r="S136" s="24">
        <v>42993</v>
      </c>
      <c r="T136" s="36" t="s">
        <v>19</v>
      </c>
      <c r="U136" s="125"/>
      <c r="V136" s="155">
        <v>20171295</v>
      </c>
      <c r="W136" s="129"/>
      <c r="X136" s="88">
        <v>43047</v>
      </c>
      <c r="Y136" s="130" t="s">
        <v>20</v>
      </c>
      <c r="Z136" s="133" t="s">
        <v>72</v>
      </c>
      <c r="AA136" s="133"/>
      <c r="AB136" s="148">
        <v>75</v>
      </c>
      <c r="AC136" s="134">
        <v>830</v>
      </c>
      <c r="AD136" s="134"/>
      <c r="AE136" s="403">
        <f t="shared" si="7"/>
        <v>62250</v>
      </c>
      <c r="AF136" s="132" t="str">
        <f>IF(W136=BDD!$P$1,IMPORTS!AB136/25,IF(W136=BDD!$P$2,IMPORTS!AB136/25,IF(IMPORTS!W136=BDD!$P$4,IMPORTS!AB136/25.5,"--")))</f>
        <v>--</v>
      </c>
      <c r="AG136" s="130" t="s">
        <v>5</v>
      </c>
      <c r="AH136" s="130"/>
      <c r="AI136" s="130" t="s">
        <v>34</v>
      </c>
      <c r="AJ136" s="130"/>
      <c r="AK136" s="130"/>
      <c r="AL136" s="24" t="s">
        <v>605</v>
      </c>
      <c r="AM136" s="314"/>
      <c r="AN136" s="26"/>
      <c r="AO136" s="26"/>
      <c r="AP136" s="26"/>
      <c r="AQ136" s="26">
        <v>43096</v>
      </c>
      <c r="AR136" s="24"/>
      <c r="AS136" s="24"/>
      <c r="AT136" s="164">
        <v>43098</v>
      </c>
      <c r="AU136" s="418">
        <f t="shared" si="8"/>
        <v>12</v>
      </c>
      <c r="AV136" s="418">
        <f t="shared" si="9"/>
        <v>2017</v>
      </c>
      <c r="AW136" s="164"/>
      <c r="AX136" s="28"/>
      <c r="AY136" s="28" t="s">
        <v>49</v>
      </c>
      <c r="AZ136" s="132" t="s">
        <v>9</v>
      </c>
      <c r="BA136" s="132"/>
      <c r="BB136" s="164"/>
      <c r="BC136" s="135" t="s">
        <v>964</v>
      </c>
      <c r="BD136" s="24">
        <v>43030</v>
      </c>
      <c r="BE136" s="135" t="s">
        <v>965</v>
      </c>
      <c r="BF136" s="135" t="s">
        <v>594</v>
      </c>
      <c r="BG136" s="135" t="s">
        <v>65</v>
      </c>
      <c r="BH136" s="135"/>
      <c r="BI136" s="314"/>
      <c r="BJ136" s="314"/>
      <c r="BK136" s="24"/>
      <c r="BL136" s="24"/>
      <c r="BM136" s="24"/>
      <c r="BN136" s="24"/>
      <c r="BO136" s="24">
        <f>+AQ136+14</f>
        <v>43110</v>
      </c>
      <c r="BP136" s="24"/>
      <c r="BQ136" s="24"/>
      <c r="BR136" s="43"/>
      <c r="BS136" s="24"/>
      <c r="BT136" s="24"/>
      <c r="BU136" s="24"/>
      <c r="BV136" s="132" t="e">
        <f>IF(#REF!="COMPLETO","OK","PENDIENTES")</f>
        <v>#REF!</v>
      </c>
      <c r="BW136" s="132"/>
      <c r="BX136" s="132"/>
      <c r="BY136" s="132"/>
      <c r="BZ136" s="132"/>
      <c r="CA136" s="132"/>
      <c r="CB136" s="132"/>
      <c r="CC136" s="22"/>
      <c r="CG136" s="24" t="s">
        <v>105</v>
      </c>
      <c r="CH136" s="24"/>
      <c r="CI136" s="164"/>
      <c r="CJ136" s="164"/>
    </row>
    <row r="137" spans="1:88" ht="15" customHeight="1">
      <c r="A137" s="18">
        <v>2017</v>
      </c>
      <c r="B137" s="18" t="str">
        <f>+INDEX(BDD!F:F,MATCH(P137,BDD!D:D,0))&amp;"-"&amp;INDEX(BDD!E:E,MATCH(P137,BDD!D:D,0))</f>
        <v>S-S</v>
      </c>
      <c r="C137" s="360" t="s">
        <v>484</v>
      </c>
      <c r="D137" s="150" t="s">
        <v>77</v>
      </c>
      <c r="E137" s="132"/>
      <c r="F137" s="24"/>
      <c r="G137" s="346"/>
      <c r="H137" s="25" t="s">
        <v>966</v>
      </c>
      <c r="I137" s="329"/>
      <c r="J137" s="346"/>
      <c r="K137" s="24"/>
      <c r="L137" s="24"/>
      <c r="M137" s="24"/>
      <c r="N137" s="340"/>
      <c r="O137" s="334">
        <v>206971</v>
      </c>
      <c r="P137" s="25" t="s">
        <v>340</v>
      </c>
      <c r="Q137" s="127" t="s">
        <v>213</v>
      </c>
      <c r="R137" s="128" t="s">
        <v>967</v>
      </c>
      <c r="S137" s="24">
        <v>43005</v>
      </c>
      <c r="T137" s="36" t="s">
        <v>19</v>
      </c>
      <c r="U137" s="125"/>
      <c r="V137" s="155">
        <v>20171400</v>
      </c>
      <c r="W137" s="129"/>
      <c r="X137" s="88">
        <v>43084</v>
      </c>
      <c r="Y137" s="130" t="s">
        <v>20</v>
      </c>
      <c r="Z137" s="133" t="s">
        <v>60</v>
      </c>
      <c r="AA137" s="133"/>
      <c r="AB137" s="148">
        <v>1500</v>
      </c>
      <c r="AC137" s="134">
        <v>505</v>
      </c>
      <c r="AD137" s="134"/>
      <c r="AE137" s="403">
        <f t="shared" si="7"/>
        <v>757500</v>
      </c>
      <c r="AF137" s="132">
        <v>60</v>
      </c>
      <c r="AG137" s="130" t="s">
        <v>5</v>
      </c>
      <c r="AH137" s="130"/>
      <c r="AI137" s="130" t="s">
        <v>34</v>
      </c>
      <c r="AJ137" s="130"/>
      <c r="AK137" s="130"/>
      <c r="AL137" s="135" t="s">
        <v>921</v>
      </c>
      <c r="AM137" s="315"/>
      <c r="AN137" s="184"/>
      <c r="AO137" s="184"/>
      <c r="AP137" s="184"/>
      <c r="AQ137" s="26">
        <v>43108</v>
      </c>
      <c r="AR137" s="24"/>
      <c r="AS137" s="24"/>
      <c r="AT137" s="184">
        <v>43112</v>
      </c>
      <c r="AU137" s="418">
        <f t="shared" si="8"/>
        <v>1</v>
      </c>
      <c r="AV137" s="418">
        <f t="shared" si="9"/>
        <v>2018</v>
      </c>
      <c r="AW137" s="184"/>
      <c r="AX137" s="28"/>
      <c r="AY137" s="28" t="s">
        <v>193</v>
      </c>
      <c r="AZ137" s="132" t="s">
        <v>9</v>
      </c>
      <c r="BA137" s="132"/>
      <c r="BB137" s="184"/>
      <c r="BC137" s="135" t="s">
        <v>968</v>
      </c>
      <c r="BD137" s="27">
        <v>43074</v>
      </c>
      <c r="BE137" s="135" t="s">
        <v>969</v>
      </c>
      <c r="BF137" s="135"/>
      <c r="BG137" s="135" t="s">
        <v>29</v>
      </c>
      <c r="BH137" s="135"/>
      <c r="BI137" s="315"/>
      <c r="BJ137" s="315"/>
      <c r="BK137" s="24"/>
      <c r="BL137" s="24"/>
      <c r="BM137" s="24"/>
      <c r="BN137" s="24"/>
      <c r="BO137" s="24">
        <f>+AQ137+14</f>
        <v>43122</v>
      </c>
      <c r="BP137" s="24"/>
      <c r="BQ137" s="24"/>
      <c r="BR137" s="43"/>
      <c r="BS137" s="24"/>
      <c r="BT137" s="24"/>
      <c r="BU137" s="24"/>
      <c r="BV137" s="132" t="e">
        <f>IF(#REF!="COMPLETO","OK","PENDIENTES")</f>
        <v>#REF!</v>
      </c>
      <c r="BW137" s="132"/>
      <c r="BX137" s="132"/>
      <c r="BY137" s="132"/>
      <c r="BZ137" s="132"/>
      <c r="CA137" s="132"/>
      <c r="CB137" s="132"/>
      <c r="CC137" s="22"/>
      <c r="CG137" s="24" t="s">
        <v>105</v>
      </c>
      <c r="CH137" s="24"/>
      <c r="CI137" s="184"/>
      <c r="CJ137" s="184"/>
    </row>
    <row r="138" spans="1:88" ht="15" customHeight="1">
      <c r="A138" s="18">
        <v>2017</v>
      </c>
      <c r="B138" s="18" t="str">
        <f>+INDEX(BDD!F:F,MATCH(P138,BDD!D:D,0))&amp;"-"&amp;INDEX(BDD!E:E,MATCH(P138,BDD!D:D,0))</f>
        <v>G-C</v>
      </c>
      <c r="C138" s="360" t="s">
        <v>484</v>
      </c>
      <c r="D138" s="150" t="s">
        <v>77</v>
      </c>
      <c r="E138" s="132"/>
      <c r="F138" s="24"/>
      <c r="G138" s="346">
        <v>8000000137</v>
      </c>
      <c r="H138" s="25" t="s">
        <v>970</v>
      </c>
      <c r="I138" s="329"/>
      <c r="J138" s="346">
        <v>8000000137</v>
      </c>
      <c r="K138" s="24"/>
      <c r="L138" s="24"/>
      <c r="M138" s="24"/>
      <c r="N138" s="340" t="s">
        <v>486</v>
      </c>
      <c r="O138" s="334">
        <v>206573</v>
      </c>
      <c r="P138" s="25" t="s">
        <v>226</v>
      </c>
      <c r="Q138" s="127" t="s">
        <v>163</v>
      </c>
      <c r="R138" s="128" t="s">
        <v>544</v>
      </c>
      <c r="S138" s="24">
        <v>43005</v>
      </c>
      <c r="T138" s="36" t="s">
        <v>19</v>
      </c>
      <c r="U138" s="125"/>
      <c r="V138" s="88" t="s">
        <v>971</v>
      </c>
      <c r="W138" s="129"/>
      <c r="X138" s="88">
        <v>43048</v>
      </c>
      <c r="Y138" s="130" t="s">
        <v>20</v>
      </c>
      <c r="Z138" s="133" t="s">
        <v>60</v>
      </c>
      <c r="AA138" s="133"/>
      <c r="AB138" s="148">
        <v>340</v>
      </c>
      <c r="AC138" s="134">
        <v>303</v>
      </c>
      <c r="AD138" s="134"/>
      <c r="AE138" s="403">
        <f t="shared" si="7"/>
        <v>103020</v>
      </c>
      <c r="AF138" s="132" t="str">
        <f>IF(W138=BDD!$P$1,IMPORTS!AB138/25,IF(W138=BDD!$P$2,IMPORTS!AB138/25,IF(IMPORTS!W138=BDD!$P$4,IMPORTS!AB138/25.5,"--")))</f>
        <v>--</v>
      </c>
      <c r="AG138" s="130" t="s">
        <v>46</v>
      </c>
      <c r="AH138" s="130"/>
      <c r="AI138" s="130" t="s">
        <v>100</v>
      </c>
      <c r="AJ138" s="130"/>
      <c r="AK138" s="130"/>
      <c r="AL138" s="135" t="s">
        <v>605</v>
      </c>
      <c r="AM138" s="314"/>
      <c r="AN138" s="26"/>
      <c r="AO138" s="26"/>
      <c r="AP138" s="26"/>
      <c r="AQ138" s="26">
        <v>43063</v>
      </c>
      <c r="AR138" s="24"/>
      <c r="AS138" s="24"/>
      <c r="AT138" s="24">
        <v>43064</v>
      </c>
      <c r="AU138" s="418">
        <f t="shared" si="8"/>
        <v>11</v>
      </c>
      <c r="AV138" s="418">
        <f t="shared" si="9"/>
        <v>2017</v>
      </c>
      <c r="AW138" s="24"/>
      <c r="AX138" s="28"/>
      <c r="AY138" s="28" t="s">
        <v>269</v>
      </c>
      <c r="AZ138" s="132" t="s">
        <v>9</v>
      </c>
      <c r="BA138" s="132"/>
      <c r="BB138" s="24"/>
      <c r="BC138" s="135">
        <v>11</v>
      </c>
      <c r="BD138" s="24">
        <v>43032</v>
      </c>
      <c r="BE138" s="135" t="s">
        <v>972</v>
      </c>
      <c r="BF138" s="135" t="s">
        <v>972</v>
      </c>
      <c r="BG138" s="135" t="s">
        <v>52</v>
      </c>
      <c r="BH138" s="135"/>
      <c r="BI138" s="314"/>
      <c r="BJ138" s="314"/>
      <c r="BK138" s="24"/>
      <c r="BL138" s="24"/>
      <c r="BM138" s="24"/>
      <c r="BN138" s="24"/>
      <c r="BO138" s="24"/>
      <c r="BP138" s="24"/>
      <c r="BQ138" s="24"/>
      <c r="BR138" s="43"/>
      <c r="BS138" s="24"/>
      <c r="BT138" s="24"/>
      <c r="BU138" s="24"/>
      <c r="BV138" s="132" t="e">
        <f>IF(#REF!="COMPLETO","OK","PENDIENTES")</f>
        <v>#REF!</v>
      </c>
      <c r="BW138" s="132"/>
      <c r="BX138" s="132"/>
      <c r="BY138" s="132"/>
      <c r="BZ138" s="132"/>
      <c r="CA138" s="132"/>
      <c r="CB138" s="132"/>
      <c r="CC138" s="22"/>
      <c r="CG138" s="24" t="s">
        <v>105</v>
      </c>
      <c r="CH138" s="24"/>
      <c r="CI138" s="24"/>
      <c r="CJ138" s="24"/>
    </row>
    <row r="139" spans="1:88" ht="15" customHeight="1">
      <c r="A139" s="18">
        <v>2017</v>
      </c>
      <c r="B139" s="18" t="str">
        <f>+INDEX(BDD!F:F,MATCH(P139,BDD!D:D,0))&amp;"-"&amp;INDEX(BDD!E:E,MATCH(P139,BDD!D:D,0))</f>
        <v>G-C</v>
      </c>
      <c r="C139" s="360" t="s">
        <v>484</v>
      </c>
      <c r="D139" s="150" t="s">
        <v>77</v>
      </c>
      <c r="E139" s="132"/>
      <c r="F139" s="24"/>
      <c r="G139" s="346">
        <v>8000000138</v>
      </c>
      <c r="H139" s="25" t="s">
        <v>973</v>
      </c>
      <c r="I139" s="329"/>
      <c r="J139" s="346">
        <v>8000000138</v>
      </c>
      <c r="K139" s="24"/>
      <c r="L139" s="24"/>
      <c r="M139" s="24"/>
      <c r="N139" s="340" t="s">
        <v>486</v>
      </c>
      <c r="O139" s="334">
        <v>206573</v>
      </c>
      <c r="P139" s="25" t="s">
        <v>226</v>
      </c>
      <c r="Q139" s="127" t="s">
        <v>163</v>
      </c>
      <c r="R139" s="128" t="s">
        <v>544</v>
      </c>
      <c r="S139" s="24">
        <v>43005</v>
      </c>
      <c r="T139" s="36" t="s">
        <v>19</v>
      </c>
      <c r="U139" s="125"/>
      <c r="V139" s="88" t="s">
        <v>974</v>
      </c>
      <c r="W139" s="129"/>
      <c r="X139" s="88">
        <v>43048</v>
      </c>
      <c r="Y139" s="130" t="s">
        <v>20</v>
      </c>
      <c r="Z139" s="133" t="s">
        <v>60</v>
      </c>
      <c r="AA139" s="133"/>
      <c r="AB139" s="148">
        <v>1100</v>
      </c>
      <c r="AC139" s="134">
        <v>303</v>
      </c>
      <c r="AD139" s="134"/>
      <c r="AE139" s="403">
        <f t="shared" si="7"/>
        <v>333300</v>
      </c>
      <c r="AF139" s="132" t="str">
        <f>IF(W139=BDD!$P$1,IMPORTS!AB139/25,IF(W139=BDD!$P$2,IMPORTS!AB139/25,IF(IMPORTS!W139=BDD!$P$4,IMPORTS!AB139/25.5,"--")))</f>
        <v>--</v>
      </c>
      <c r="AG139" s="130" t="s">
        <v>46</v>
      </c>
      <c r="AH139" s="130"/>
      <c r="AI139" s="130" t="s">
        <v>100</v>
      </c>
      <c r="AJ139" s="130"/>
      <c r="AK139" s="130"/>
      <c r="AL139" s="135" t="s">
        <v>605</v>
      </c>
      <c r="AM139" s="314"/>
      <c r="AN139" s="26"/>
      <c r="AO139" s="26"/>
      <c r="AP139" s="26"/>
      <c r="AQ139" s="26">
        <f>+AQ138+2</f>
        <v>43065</v>
      </c>
      <c r="AR139" s="24"/>
      <c r="AS139" s="24"/>
      <c r="AT139" s="24">
        <v>43068</v>
      </c>
      <c r="AU139" s="418">
        <f t="shared" si="8"/>
        <v>11</v>
      </c>
      <c r="AV139" s="418">
        <f t="shared" si="9"/>
        <v>2017</v>
      </c>
      <c r="AW139" s="24"/>
      <c r="AX139" s="28"/>
      <c r="AY139" s="28" t="s">
        <v>269</v>
      </c>
      <c r="AZ139" s="132" t="s">
        <v>25</v>
      </c>
      <c r="BA139" s="132"/>
      <c r="BB139" s="24"/>
      <c r="BC139" s="135">
        <v>12</v>
      </c>
      <c r="BD139" s="24">
        <v>43032</v>
      </c>
      <c r="BE139" s="135" t="s">
        <v>972</v>
      </c>
      <c r="BF139" s="135" t="s">
        <v>972</v>
      </c>
      <c r="BG139" s="135" t="s">
        <v>52</v>
      </c>
      <c r="BH139" s="135"/>
      <c r="BI139" s="314"/>
      <c r="BJ139" s="314"/>
      <c r="BK139" s="24"/>
      <c r="BL139" s="24"/>
      <c r="BM139" s="24"/>
      <c r="BN139" s="24"/>
      <c r="BO139" s="24"/>
      <c r="BP139" s="24"/>
      <c r="BQ139" s="24"/>
      <c r="BR139" s="43"/>
      <c r="BS139" s="24"/>
      <c r="BT139" s="24"/>
      <c r="BU139" s="24"/>
      <c r="BV139" s="132" t="e">
        <f>IF(#REF!="COMPLETO","OK","PENDIENTES")</f>
        <v>#REF!</v>
      </c>
      <c r="BW139" s="132"/>
      <c r="BX139" s="132"/>
      <c r="BY139" s="132"/>
      <c r="BZ139" s="132"/>
      <c r="CA139" s="132"/>
      <c r="CB139" s="132"/>
      <c r="CC139" s="22"/>
      <c r="CG139" s="24" t="s">
        <v>105</v>
      </c>
      <c r="CH139" s="24"/>
      <c r="CI139" s="24"/>
      <c r="CJ139" s="24"/>
    </row>
    <row r="140" spans="1:88" ht="15" customHeight="1">
      <c r="A140" s="18">
        <v>2017</v>
      </c>
      <c r="B140" s="18" t="str">
        <f>+INDEX(BDD!F:F,MATCH(P140,BDD!D:D,0))&amp;"-"&amp;INDEX(BDD!E:E,MATCH(P140,BDD!D:D,0))</f>
        <v>G-C</v>
      </c>
      <c r="C140" s="360" t="s">
        <v>484</v>
      </c>
      <c r="D140" s="150" t="s">
        <v>77</v>
      </c>
      <c r="E140" s="132"/>
      <c r="F140" s="24"/>
      <c r="G140" s="346">
        <v>8000000139</v>
      </c>
      <c r="H140" s="25" t="s">
        <v>975</v>
      </c>
      <c r="I140" s="329"/>
      <c r="J140" s="346">
        <v>8000000139</v>
      </c>
      <c r="K140" s="24"/>
      <c r="L140" s="24"/>
      <c r="M140" s="24"/>
      <c r="N140" s="340" t="s">
        <v>486</v>
      </c>
      <c r="O140" s="334">
        <v>206573</v>
      </c>
      <c r="P140" s="25" t="s">
        <v>226</v>
      </c>
      <c r="Q140" s="127" t="s">
        <v>163</v>
      </c>
      <c r="R140" s="128" t="s">
        <v>544</v>
      </c>
      <c r="S140" s="24">
        <v>43005</v>
      </c>
      <c r="T140" s="36" t="s">
        <v>19</v>
      </c>
      <c r="U140" s="125"/>
      <c r="V140" s="88" t="s">
        <v>976</v>
      </c>
      <c r="W140" s="129"/>
      <c r="X140" s="88">
        <v>43048</v>
      </c>
      <c r="Y140" s="130" t="s">
        <v>20</v>
      </c>
      <c r="Z140" s="133" t="s">
        <v>60</v>
      </c>
      <c r="AA140" s="133"/>
      <c r="AB140" s="148">
        <v>1130</v>
      </c>
      <c r="AC140" s="134">
        <v>303</v>
      </c>
      <c r="AD140" s="134"/>
      <c r="AE140" s="403">
        <f t="shared" si="7"/>
        <v>342390</v>
      </c>
      <c r="AF140" s="132" t="str">
        <f>IF(W140=BDD!$P$1,IMPORTS!AB140/25,IF(W140=BDD!$P$2,IMPORTS!AB140/25,IF(IMPORTS!W140=BDD!$P$4,IMPORTS!AB140/25.5,"--")))</f>
        <v>--</v>
      </c>
      <c r="AG140" s="130" t="s">
        <v>46</v>
      </c>
      <c r="AH140" s="130"/>
      <c r="AI140" s="130" t="s">
        <v>100</v>
      </c>
      <c r="AJ140" s="130"/>
      <c r="AK140" s="130"/>
      <c r="AL140" s="135" t="s">
        <v>605</v>
      </c>
      <c r="AM140" s="314"/>
      <c r="AN140" s="26"/>
      <c r="AO140" s="26"/>
      <c r="AP140" s="26"/>
      <c r="AQ140" s="26">
        <v>43070</v>
      </c>
      <c r="AR140" s="24"/>
      <c r="AS140" s="24"/>
      <c r="AT140" s="24">
        <v>43072</v>
      </c>
      <c r="AU140" s="418">
        <f t="shared" si="8"/>
        <v>12</v>
      </c>
      <c r="AV140" s="418">
        <f t="shared" si="9"/>
        <v>2017</v>
      </c>
      <c r="AW140" s="24"/>
      <c r="AX140" s="28"/>
      <c r="AY140" s="28" t="s">
        <v>269</v>
      </c>
      <c r="AZ140" s="132" t="s">
        <v>37</v>
      </c>
      <c r="BA140" s="132"/>
      <c r="BB140" s="24"/>
      <c r="BC140" s="135">
        <v>13</v>
      </c>
      <c r="BD140" s="24">
        <v>43032</v>
      </c>
      <c r="BE140" s="135" t="s">
        <v>972</v>
      </c>
      <c r="BF140" s="135" t="s">
        <v>972</v>
      </c>
      <c r="BG140" s="135" t="s">
        <v>52</v>
      </c>
      <c r="BH140" s="135"/>
      <c r="BI140" s="314"/>
      <c r="BJ140" s="314"/>
      <c r="BK140" s="24"/>
      <c r="BL140" s="24"/>
      <c r="BM140" s="24"/>
      <c r="BN140" s="24"/>
      <c r="BO140" s="24"/>
      <c r="BP140" s="24"/>
      <c r="BQ140" s="24"/>
      <c r="BR140" s="43"/>
      <c r="BS140" s="24"/>
      <c r="BT140" s="24"/>
      <c r="BU140" s="24"/>
      <c r="BV140" s="132" t="e">
        <f>IF(#REF!="COMPLETO","OK","PENDIENTES")</f>
        <v>#REF!</v>
      </c>
      <c r="BW140" s="132"/>
      <c r="BX140" s="132"/>
      <c r="BY140" s="132"/>
      <c r="BZ140" s="132"/>
      <c r="CA140" s="132"/>
      <c r="CB140" s="132"/>
      <c r="CC140" s="22"/>
      <c r="CG140" s="24" t="s">
        <v>105</v>
      </c>
      <c r="CH140" s="24"/>
      <c r="CI140" s="24"/>
      <c r="CJ140" s="24"/>
    </row>
    <row r="141" spans="1:88" ht="15" customHeight="1">
      <c r="A141" s="18">
        <v>2017</v>
      </c>
      <c r="B141" s="18" t="str">
        <f>+INDEX(BDD!F:F,MATCH(P141,BDD!D:D,0))&amp;"-"&amp;INDEX(BDD!E:E,MATCH(P141,BDD!D:D,0))</f>
        <v>G-C</v>
      </c>
      <c r="C141" s="360" t="s">
        <v>484</v>
      </c>
      <c r="D141" s="150" t="s">
        <v>77</v>
      </c>
      <c r="E141" s="132"/>
      <c r="F141" s="24"/>
      <c r="G141" s="346">
        <v>8000000140</v>
      </c>
      <c r="H141" s="25" t="s">
        <v>977</v>
      </c>
      <c r="I141" s="329"/>
      <c r="J141" s="346">
        <v>8000000140</v>
      </c>
      <c r="K141" s="24"/>
      <c r="L141" s="24"/>
      <c r="M141" s="24"/>
      <c r="N141" s="340" t="s">
        <v>486</v>
      </c>
      <c r="O141" s="335">
        <v>206573</v>
      </c>
      <c r="P141" s="25" t="s">
        <v>226</v>
      </c>
      <c r="Q141" s="127" t="s">
        <v>163</v>
      </c>
      <c r="R141" s="128" t="s">
        <v>544</v>
      </c>
      <c r="S141" s="24">
        <v>43005</v>
      </c>
      <c r="T141" s="36" t="s">
        <v>19</v>
      </c>
      <c r="U141" s="125"/>
      <c r="V141" s="88" t="s">
        <v>978</v>
      </c>
      <c r="W141" s="129"/>
      <c r="X141" s="88">
        <v>43048</v>
      </c>
      <c r="Y141" s="130" t="s">
        <v>20</v>
      </c>
      <c r="Z141" s="133" t="s">
        <v>60</v>
      </c>
      <c r="AA141" s="133"/>
      <c r="AB141" s="148">
        <v>400</v>
      </c>
      <c r="AC141" s="134">
        <v>303</v>
      </c>
      <c r="AD141" s="134"/>
      <c r="AE141" s="403">
        <f t="shared" si="7"/>
        <v>121200</v>
      </c>
      <c r="AF141" s="132" t="str">
        <f>IF(W141=BDD!$P$1,IMPORTS!AB141/25,IF(W141=BDD!$P$2,IMPORTS!AB141/25,IF(IMPORTS!W141=BDD!$P$4,IMPORTS!AB141/25.5,"--")))</f>
        <v>--</v>
      </c>
      <c r="AG141" s="130" t="s">
        <v>46</v>
      </c>
      <c r="AH141" s="130"/>
      <c r="AI141" s="130" t="s">
        <v>100</v>
      </c>
      <c r="AJ141" s="130"/>
      <c r="AK141" s="130"/>
      <c r="AL141" s="135" t="s">
        <v>605</v>
      </c>
      <c r="AM141" s="314"/>
      <c r="AN141" s="26"/>
      <c r="AO141" s="26"/>
      <c r="AP141" s="26"/>
      <c r="AQ141" s="26">
        <f>+AQ140+2</f>
        <v>43072</v>
      </c>
      <c r="AR141" s="24"/>
      <c r="AS141" s="24"/>
      <c r="AT141" s="24">
        <v>43073</v>
      </c>
      <c r="AU141" s="418">
        <f t="shared" si="8"/>
        <v>12</v>
      </c>
      <c r="AV141" s="418">
        <f t="shared" si="9"/>
        <v>2017</v>
      </c>
      <c r="AW141" s="24"/>
      <c r="AX141" s="28"/>
      <c r="AY141" s="28" t="s">
        <v>269</v>
      </c>
      <c r="AZ141" s="132" t="s">
        <v>50</v>
      </c>
      <c r="BA141" s="132"/>
      <c r="BB141" s="24"/>
      <c r="BC141" s="128">
        <v>14</v>
      </c>
      <c r="BD141" s="24">
        <v>43032</v>
      </c>
      <c r="BE141" s="135" t="s">
        <v>972</v>
      </c>
      <c r="BF141" s="135" t="s">
        <v>972</v>
      </c>
      <c r="BG141" s="135" t="s">
        <v>52</v>
      </c>
      <c r="BH141" s="135"/>
      <c r="BI141" s="314"/>
      <c r="BJ141" s="314"/>
      <c r="BK141" s="24"/>
      <c r="BL141" s="24"/>
      <c r="BM141" s="24"/>
      <c r="BN141" s="24"/>
      <c r="BO141" s="24"/>
      <c r="BP141" s="24"/>
      <c r="BQ141" s="24"/>
      <c r="BR141" s="43"/>
      <c r="BS141" s="24"/>
      <c r="BT141" s="24"/>
      <c r="BU141" s="24"/>
      <c r="BV141" s="132" t="e">
        <f>IF(#REF!="COMPLETO","OK","PENDIENTES")</f>
        <v>#REF!</v>
      </c>
      <c r="BW141" s="132"/>
      <c r="BX141" s="132"/>
      <c r="BY141" s="132"/>
      <c r="BZ141" s="132"/>
      <c r="CA141" s="132"/>
      <c r="CB141" s="132"/>
      <c r="CC141" s="22"/>
      <c r="CG141" s="24" t="s">
        <v>105</v>
      </c>
      <c r="CH141" s="24"/>
      <c r="CI141" s="24"/>
      <c r="CJ141" s="24"/>
    </row>
    <row r="142" spans="1:88" ht="15" customHeight="1">
      <c r="A142" s="18">
        <v>2017</v>
      </c>
      <c r="B142" s="18" t="str">
        <f>+INDEX(BDD!F:F,MATCH(P142,BDD!D:D,0))&amp;"-"&amp;INDEX(BDD!E:E,MATCH(P142,BDD!D:D,0))</f>
        <v>G-C</v>
      </c>
      <c r="C142" s="360" t="s">
        <v>484</v>
      </c>
      <c r="D142" s="150" t="s">
        <v>77</v>
      </c>
      <c r="E142" s="132"/>
      <c r="F142" s="24"/>
      <c r="G142" s="346">
        <v>8000000141</v>
      </c>
      <c r="H142" s="25" t="s">
        <v>979</v>
      </c>
      <c r="I142" s="329"/>
      <c r="J142" s="346">
        <v>8000000141</v>
      </c>
      <c r="K142" s="24"/>
      <c r="L142" s="24"/>
      <c r="M142" s="24"/>
      <c r="N142" s="340" t="s">
        <v>486</v>
      </c>
      <c r="O142" s="335">
        <v>206573</v>
      </c>
      <c r="P142" s="25" t="s">
        <v>226</v>
      </c>
      <c r="Q142" s="127" t="s">
        <v>163</v>
      </c>
      <c r="R142" s="128" t="s">
        <v>544</v>
      </c>
      <c r="S142" s="24">
        <v>43005</v>
      </c>
      <c r="T142" s="36" t="s">
        <v>19</v>
      </c>
      <c r="U142" s="125"/>
      <c r="V142" s="88" t="s">
        <v>980</v>
      </c>
      <c r="W142" s="129"/>
      <c r="X142" s="88">
        <v>43048</v>
      </c>
      <c r="Y142" s="130" t="s">
        <v>20</v>
      </c>
      <c r="Z142" s="133" t="s">
        <v>60</v>
      </c>
      <c r="AA142" s="133"/>
      <c r="AB142" s="148">
        <v>1030</v>
      </c>
      <c r="AC142" s="134">
        <v>303</v>
      </c>
      <c r="AD142" s="134"/>
      <c r="AE142" s="403">
        <f t="shared" si="7"/>
        <v>312090</v>
      </c>
      <c r="AF142" s="132" t="str">
        <f>IF(W142=BDD!$P$1,IMPORTS!AB142/25,IF(W142=BDD!$P$2,IMPORTS!AB142/25,IF(IMPORTS!W142=BDD!$P$4,IMPORTS!AB142/25.5,"--")))</f>
        <v>--</v>
      </c>
      <c r="AG142" s="130" t="s">
        <v>46</v>
      </c>
      <c r="AH142" s="130"/>
      <c r="AI142" s="130" t="s">
        <v>100</v>
      </c>
      <c r="AJ142" s="130"/>
      <c r="AK142" s="130"/>
      <c r="AL142" s="135" t="s">
        <v>605</v>
      </c>
      <c r="AM142" s="314"/>
      <c r="AN142" s="26"/>
      <c r="AO142" s="26"/>
      <c r="AP142" s="26"/>
      <c r="AQ142" s="26">
        <f>+AQ141+2</f>
        <v>43074</v>
      </c>
      <c r="AR142" s="24"/>
      <c r="AS142" s="24"/>
      <c r="AT142" s="24">
        <v>43076</v>
      </c>
      <c r="AU142" s="418">
        <f t="shared" si="8"/>
        <v>12</v>
      </c>
      <c r="AV142" s="418">
        <f t="shared" si="9"/>
        <v>2017</v>
      </c>
      <c r="AW142" s="24"/>
      <c r="AX142" s="28"/>
      <c r="AY142" s="28" t="s">
        <v>269</v>
      </c>
      <c r="AZ142" s="132" t="s">
        <v>62</v>
      </c>
      <c r="BA142" s="132"/>
      <c r="BB142" s="24"/>
      <c r="BC142" s="135">
        <v>15</v>
      </c>
      <c r="BD142" s="24">
        <v>43032</v>
      </c>
      <c r="BE142" s="135" t="s">
        <v>972</v>
      </c>
      <c r="BF142" s="135" t="s">
        <v>972</v>
      </c>
      <c r="BG142" s="135" t="s">
        <v>52</v>
      </c>
      <c r="BH142" s="135"/>
      <c r="BI142" s="314"/>
      <c r="BJ142" s="314"/>
      <c r="BK142" s="24"/>
      <c r="BL142" s="24"/>
      <c r="BM142" s="24"/>
      <c r="BN142" s="24"/>
      <c r="BO142" s="24"/>
      <c r="BP142" s="24"/>
      <c r="BQ142" s="24"/>
      <c r="BR142" s="43"/>
      <c r="BS142" s="24"/>
      <c r="BT142" s="24"/>
      <c r="BU142" s="24"/>
      <c r="BV142" s="132" t="e">
        <f>IF(#REF!="COMPLETO","OK","PENDIENTES")</f>
        <v>#REF!</v>
      </c>
      <c r="BW142" s="132"/>
      <c r="BX142" s="132"/>
      <c r="BY142" s="132"/>
      <c r="BZ142" s="132"/>
      <c r="CA142" s="132"/>
      <c r="CB142" s="132"/>
      <c r="CC142" s="22"/>
      <c r="CG142" s="24" t="s">
        <v>105</v>
      </c>
      <c r="CH142" s="24"/>
      <c r="CI142" s="24"/>
      <c r="CJ142" s="24"/>
    </row>
    <row r="143" spans="1:88" ht="15" customHeight="1">
      <c r="A143" s="18">
        <v>2017</v>
      </c>
      <c r="B143" s="18" t="str">
        <f>+INDEX(BDD!F:F,MATCH(P143,BDD!D:D,0))&amp;"-"&amp;INDEX(BDD!E:E,MATCH(P143,BDD!D:D,0))</f>
        <v>G-S</v>
      </c>
      <c r="C143" s="360" t="s">
        <v>484</v>
      </c>
      <c r="D143" s="150" t="s">
        <v>77</v>
      </c>
      <c r="E143" s="132"/>
      <c r="F143" s="24"/>
      <c r="G143" s="346">
        <v>8000000142</v>
      </c>
      <c r="H143" s="25" t="s">
        <v>981</v>
      </c>
      <c r="I143" s="329"/>
      <c r="J143" s="346">
        <v>8000000142</v>
      </c>
      <c r="K143" s="24"/>
      <c r="L143" s="24"/>
      <c r="M143" s="24"/>
      <c r="N143" s="340" t="s">
        <v>486</v>
      </c>
      <c r="O143" s="334">
        <v>206569</v>
      </c>
      <c r="P143" s="25" t="s">
        <v>142</v>
      </c>
      <c r="Q143" s="127" t="s">
        <v>163</v>
      </c>
      <c r="R143" s="128" t="s">
        <v>544</v>
      </c>
      <c r="S143" s="24">
        <v>43005</v>
      </c>
      <c r="T143" s="36" t="s">
        <v>19</v>
      </c>
      <c r="U143" s="125"/>
      <c r="V143" s="88" t="s">
        <v>982</v>
      </c>
      <c r="W143" s="129"/>
      <c r="X143" s="88">
        <v>43048</v>
      </c>
      <c r="Y143" s="130" t="s">
        <v>20</v>
      </c>
      <c r="Z143" s="133" t="s">
        <v>60</v>
      </c>
      <c r="AA143" s="133"/>
      <c r="AB143" s="148">
        <v>380</v>
      </c>
      <c r="AC143" s="134">
        <v>385</v>
      </c>
      <c r="AD143" s="134"/>
      <c r="AE143" s="403">
        <f t="shared" si="7"/>
        <v>146300</v>
      </c>
      <c r="AF143" s="132" t="str">
        <f>IF(W143=BDD!$P$1,IMPORTS!AB143/25,IF(W143=BDD!$P$2,IMPORTS!AB143/25,IF(IMPORTS!W143=BDD!$P$4,IMPORTS!AB143/25.5,"--")))</f>
        <v>--</v>
      </c>
      <c r="AG143" s="130" t="s">
        <v>46</v>
      </c>
      <c r="AH143" s="130"/>
      <c r="AI143" s="130" t="s">
        <v>100</v>
      </c>
      <c r="AJ143" s="130"/>
      <c r="AK143" s="130"/>
      <c r="AL143" s="135" t="s">
        <v>605</v>
      </c>
      <c r="AM143" s="314"/>
      <c r="AN143" s="26"/>
      <c r="AO143" s="26"/>
      <c r="AP143" s="26"/>
      <c r="AQ143" s="26">
        <v>43063</v>
      </c>
      <c r="AR143" s="24"/>
      <c r="AS143" s="24"/>
      <c r="AT143" s="24">
        <v>43064</v>
      </c>
      <c r="AU143" s="418">
        <f t="shared" si="8"/>
        <v>11</v>
      </c>
      <c r="AV143" s="418">
        <f t="shared" si="9"/>
        <v>2017</v>
      </c>
      <c r="AW143" s="24"/>
      <c r="AX143" s="28"/>
      <c r="AY143" s="28" t="s">
        <v>296</v>
      </c>
      <c r="AZ143" s="132" t="s">
        <v>9</v>
      </c>
      <c r="BA143" s="132"/>
      <c r="BB143" s="24"/>
      <c r="BC143" s="135">
        <v>6</v>
      </c>
      <c r="BD143" s="24">
        <v>43032</v>
      </c>
      <c r="BE143" s="135" t="s">
        <v>972</v>
      </c>
      <c r="BF143" s="135" t="s">
        <v>972</v>
      </c>
      <c r="BG143" s="135" t="s">
        <v>52</v>
      </c>
      <c r="BH143" s="135"/>
      <c r="BI143" s="314"/>
      <c r="BJ143" s="314"/>
      <c r="BK143" s="24"/>
      <c r="BL143" s="24"/>
      <c r="BM143" s="24"/>
      <c r="BN143" s="24"/>
      <c r="BO143" s="24"/>
      <c r="BP143" s="24"/>
      <c r="BQ143" s="24"/>
      <c r="BR143" s="43"/>
      <c r="BS143" s="24"/>
      <c r="BT143" s="24"/>
      <c r="BU143" s="24"/>
      <c r="BV143" s="132" t="e">
        <f>IF(#REF!="COMPLETO","OK","PENDIENTES")</f>
        <v>#REF!</v>
      </c>
      <c r="BW143" s="132"/>
      <c r="BX143" s="132"/>
      <c r="BY143" s="132"/>
      <c r="BZ143" s="132"/>
      <c r="CA143" s="132"/>
      <c r="CB143" s="132"/>
      <c r="CC143" s="22"/>
      <c r="CG143" s="24" t="s">
        <v>105</v>
      </c>
      <c r="CH143" s="24"/>
      <c r="CI143" s="24"/>
      <c r="CJ143" s="24"/>
    </row>
    <row r="144" spans="1:88" ht="15" customHeight="1">
      <c r="A144" s="18">
        <v>2017</v>
      </c>
      <c r="B144" s="18" t="str">
        <f>+INDEX(BDD!F:F,MATCH(P144,BDD!D:D,0))&amp;"-"&amp;INDEX(BDD!E:E,MATCH(P144,BDD!D:D,0))</f>
        <v>G-S</v>
      </c>
      <c r="C144" s="360" t="s">
        <v>484</v>
      </c>
      <c r="D144" s="150" t="s">
        <v>77</v>
      </c>
      <c r="E144" s="132"/>
      <c r="F144" s="24"/>
      <c r="G144" s="346">
        <v>8000000143</v>
      </c>
      <c r="H144" s="25" t="s">
        <v>983</v>
      </c>
      <c r="I144" s="329"/>
      <c r="J144" s="346">
        <v>8000000143</v>
      </c>
      <c r="K144" s="24"/>
      <c r="L144" s="24"/>
      <c r="M144" s="24"/>
      <c r="N144" s="340" t="s">
        <v>486</v>
      </c>
      <c r="O144" s="334">
        <v>206569</v>
      </c>
      <c r="P144" s="25" t="s">
        <v>142</v>
      </c>
      <c r="Q144" s="127" t="s">
        <v>163</v>
      </c>
      <c r="R144" s="128" t="s">
        <v>544</v>
      </c>
      <c r="S144" s="24">
        <v>43005</v>
      </c>
      <c r="T144" s="36" t="s">
        <v>19</v>
      </c>
      <c r="U144" s="125"/>
      <c r="V144" s="88" t="s">
        <v>984</v>
      </c>
      <c r="W144" s="129"/>
      <c r="X144" s="88">
        <v>43048</v>
      </c>
      <c r="Y144" s="130" t="s">
        <v>20</v>
      </c>
      <c r="Z144" s="133" t="s">
        <v>60</v>
      </c>
      <c r="AA144" s="133"/>
      <c r="AB144" s="148">
        <v>600</v>
      </c>
      <c r="AC144" s="134">
        <v>385</v>
      </c>
      <c r="AD144" s="134"/>
      <c r="AE144" s="403">
        <f t="shared" si="7"/>
        <v>231000</v>
      </c>
      <c r="AF144" s="132" t="str">
        <f>IF(W144=BDD!$P$1,IMPORTS!AB144/25,IF(W144=BDD!$P$2,IMPORTS!AB144/25,IF(IMPORTS!W144=BDD!$P$4,IMPORTS!AB144/25.5,"--")))</f>
        <v>--</v>
      </c>
      <c r="AG144" s="130" t="s">
        <v>46</v>
      </c>
      <c r="AH144" s="130"/>
      <c r="AI144" s="130" t="s">
        <v>100</v>
      </c>
      <c r="AJ144" s="130"/>
      <c r="AK144" s="130"/>
      <c r="AL144" s="135" t="s">
        <v>605</v>
      </c>
      <c r="AM144" s="314"/>
      <c r="AN144" s="26"/>
      <c r="AO144" s="26"/>
      <c r="AP144" s="26"/>
      <c r="AQ144" s="26">
        <f>+AQ143+2</f>
        <v>43065</v>
      </c>
      <c r="AR144" s="24"/>
      <c r="AS144" s="24"/>
      <c r="AT144" s="24">
        <v>43068</v>
      </c>
      <c r="AU144" s="418">
        <f t="shared" si="8"/>
        <v>11</v>
      </c>
      <c r="AV144" s="418">
        <f t="shared" si="9"/>
        <v>2017</v>
      </c>
      <c r="AW144" s="24"/>
      <c r="AX144" s="28"/>
      <c r="AY144" s="28" t="s">
        <v>296</v>
      </c>
      <c r="AZ144" s="132" t="s">
        <v>25</v>
      </c>
      <c r="BA144" s="132"/>
      <c r="BB144" s="24"/>
      <c r="BC144" s="135">
        <v>7</v>
      </c>
      <c r="BD144" s="24">
        <v>43032</v>
      </c>
      <c r="BE144" s="135" t="s">
        <v>972</v>
      </c>
      <c r="BF144" s="135" t="s">
        <v>972</v>
      </c>
      <c r="BG144" s="135" t="s">
        <v>52</v>
      </c>
      <c r="BH144" s="135"/>
      <c r="BI144" s="314"/>
      <c r="BJ144" s="314"/>
      <c r="BK144" s="24"/>
      <c r="BL144" s="24"/>
      <c r="BM144" s="24"/>
      <c r="BN144" s="24"/>
      <c r="BO144" s="24"/>
      <c r="BP144" s="24"/>
      <c r="BQ144" s="24"/>
      <c r="BR144" s="43"/>
      <c r="BS144" s="24"/>
      <c r="BT144" s="24"/>
      <c r="BU144" s="24"/>
      <c r="BV144" s="132" t="e">
        <f>IF(#REF!="COMPLETO","OK","PENDIENTES")</f>
        <v>#REF!</v>
      </c>
      <c r="BW144" s="132"/>
      <c r="BX144" s="132"/>
      <c r="BY144" s="132"/>
      <c r="BZ144" s="132"/>
      <c r="CA144" s="132"/>
      <c r="CB144" s="132"/>
      <c r="CC144" s="22"/>
      <c r="CG144" s="24" t="s">
        <v>105</v>
      </c>
      <c r="CH144" s="24"/>
      <c r="CI144" s="24"/>
      <c r="CJ144" s="24"/>
    </row>
    <row r="145" spans="1:88" ht="15" customHeight="1">
      <c r="A145" s="18">
        <v>2017</v>
      </c>
      <c r="B145" s="18" t="str">
        <f>+INDEX(BDD!F:F,MATCH(P145,BDD!D:D,0))&amp;"-"&amp;INDEX(BDD!E:E,MATCH(P145,BDD!D:D,0))</f>
        <v>G-S</v>
      </c>
      <c r="C145" s="360" t="s">
        <v>484</v>
      </c>
      <c r="D145" s="150" t="s">
        <v>77</v>
      </c>
      <c r="E145" s="132"/>
      <c r="F145" s="24"/>
      <c r="G145" s="346">
        <v>8000000144</v>
      </c>
      <c r="H145" s="25" t="s">
        <v>985</v>
      </c>
      <c r="I145" s="329"/>
      <c r="J145" s="346">
        <v>8000000144</v>
      </c>
      <c r="K145" s="24"/>
      <c r="L145" s="24"/>
      <c r="M145" s="24"/>
      <c r="N145" s="340" t="s">
        <v>486</v>
      </c>
      <c r="O145" s="334">
        <v>206569</v>
      </c>
      <c r="P145" s="25" t="s">
        <v>142</v>
      </c>
      <c r="Q145" s="127" t="s">
        <v>163</v>
      </c>
      <c r="R145" s="128" t="s">
        <v>544</v>
      </c>
      <c r="S145" s="24">
        <v>43005</v>
      </c>
      <c r="T145" s="36" t="s">
        <v>19</v>
      </c>
      <c r="U145" s="125"/>
      <c r="V145" s="88" t="s">
        <v>986</v>
      </c>
      <c r="W145" s="129"/>
      <c r="X145" s="88">
        <v>43048</v>
      </c>
      <c r="Y145" s="130" t="s">
        <v>20</v>
      </c>
      <c r="Z145" s="133" t="s">
        <v>60</v>
      </c>
      <c r="AA145" s="133"/>
      <c r="AB145" s="148">
        <v>1770</v>
      </c>
      <c r="AC145" s="134">
        <v>385</v>
      </c>
      <c r="AD145" s="134"/>
      <c r="AE145" s="403">
        <f t="shared" si="7"/>
        <v>681450</v>
      </c>
      <c r="AF145" s="132" t="str">
        <f>IF(W145=BDD!$P$1,IMPORTS!AB145/25,IF(W145=BDD!$P$2,IMPORTS!AB145/25,IF(IMPORTS!W145=BDD!$P$4,IMPORTS!AB145/25.5,"--")))</f>
        <v>--</v>
      </c>
      <c r="AG145" s="130" t="s">
        <v>46</v>
      </c>
      <c r="AH145" s="130"/>
      <c r="AI145" s="130" t="s">
        <v>100</v>
      </c>
      <c r="AJ145" s="130"/>
      <c r="AK145" s="130"/>
      <c r="AL145" s="135" t="s">
        <v>605</v>
      </c>
      <c r="AM145" s="314"/>
      <c r="AN145" s="26"/>
      <c r="AO145" s="26"/>
      <c r="AP145" s="26"/>
      <c r="AQ145" s="26">
        <v>43070</v>
      </c>
      <c r="AR145" s="24"/>
      <c r="AS145" s="24"/>
      <c r="AT145" s="24">
        <v>43072</v>
      </c>
      <c r="AU145" s="418">
        <f t="shared" si="8"/>
        <v>12</v>
      </c>
      <c r="AV145" s="418">
        <f t="shared" si="9"/>
        <v>2017</v>
      </c>
      <c r="AW145" s="24"/>
      <c r="AX145" s="28"/>
      <c r="AY145" s="28" t="s">
        <v>296</v>
      </c>
      <c r="AZ145" s="132" t="s">
        <v>37</v>
      </c>
      <c r="BA145" s="132"/>
      <c r="BB145" s="24"/>
      <c r="BC145" s="135">
        <v>8</v>
      </c>
      <c r="BD145" s="24">
        <v>43032</v>
      </c>
      <c r="BE145" s="135" t="s">
        <v>972</v>
      </c>
      <c r="BF145" s="135" t="s">
        <v>972</v>
      </c>
      <c r="BG145" s="135" t="s">
        <v>52</v>
      </c>
      <c r="BH145" s="135"/>
      <c r="BI145" s="314"/>
      <c r="BJ145" s="314"/>
      <c r="BK145" s="24"/>
      <c r="BL145" s="24"/>
      <c r="BM145" s="24"/>
      <c r="BN145" s="24"/>
      <c r="BO145" s="24"/>
      <c r="BP145" s="24"/>
      <c r="BQ145" s="24"/>
      <c r="BR145" s="43"/>
      <c r="BS145" s="24"/>
      <c r="BT145" s="24"/>
      <c r="BU145" s="24"/>
      <c r="BV145" s="132" t="e">
        <f>IF(#REF!="COMPLETO","OK","PENDIENTES")</f>
        <v>#REF!</v>
      </c>
      <c r="BW145" s="132"/>
      <c r="BX145" s="132"/>
      <c r="BY145" s="132"/>
      <c r="BZ145" s="132"/>
      <c r="CA145" s="132"/>
      <c r="CB145" s="132"/>
      <c r="CC145" s="22"/>
      <c r="CG145" s="24" t="s">
        <v>105</v>
      </c>
      <c r="CH145" s="24"/>
      <c r="CI145" s="24"/>
      <c r="CJ145" s="24"/>
    </row>
    <row r="146" spans="1:88" ht="15" customHeight="1">
      <c r="A146" s="18">
        <v>2017</v>
      </c>
      <c r="B146" s="18" t="str">
        <f>+INDEX(BDD!F:F,MATCH(P146,BDD!D:D,0))&amp;"-"&amp;INDEX(BDD!E:E,MATCH(P146,BDD!D:D,0))</f>
        <v>G-S</v>
      </c>
      <c r="C146" s="360" t="s">
        <v>484</v>
      </c>
      <c r="D146" s="150" t="s">
        <v>77</v>
      </c>
      <c r="E146" s="132"/>
      <c r="F146" s="24"/>
      <c r="G146" s="346">
        <v>8000000145</v>
      </c>
      <c r="H146" s="25" t="s">
        <v>987</v>
      </c>
      <c r="I146" s="329"/>
      <c r="J146" s="346">
        <v>8000000145</v>
      </c>
      <c r="K146" s="24"/>
      <c r="L146" s="24"/>
      <c r="M146" s="24"/>
      <c r="N146" s="340" t="s">
        <v>486</v>
      </c>
      <c r="O146" s="334">
        <v>206569</v>
      </c>
      <c r="P146" s="25" t="s">
        <v>142</v>
      </c>
      <c r="Q146" s="127" t="s">
        <v>163</v>
      </c>
      <c r="R146" s="128" t="s">
        <v>544</v>
      </c>
      <c r="S146" s="24">
        <v>43005</v>
      </c>
      <c r="T146" s="36" t="s">
        <v>19</v>
      </c>
      <c r="U146" s="125"/>
      <c r="V146" s="88" t="s">
        <v>988</v>
      </c>
      <c r="W146" s="129"/>
      <c r="X146" s="88">
        <v>43048</v>
      </c>
      <c r="Y146" s="130" t="s">
        <v>20</v>
      </c>
      <c r="Z146" s="133" t="s">
        <v>60</v>
      </c>
      <c r="AA146" s="133"/>
      <c r="AB146" s="148">
        <v>450</v>
      </c>
      <c r="AC146" s="134">
        <v>385</v>
      </c>
      <c r="AD146" s="134"/>
      <c r="AE146" s="403">
        <f t="shared" si="7"/>
        <v>173250</v>
      </c>
      <c r="AF146" s="132" t="str">
        <f>IF(W146=BDD!$P$1,IMPORTS!AB146/25,IF(W146=BDD!$P$2,IMPORTS!AB146/25,IF(IMPORTS!W146=BDD!$P$4,IMPORTS!AB146/25.5,"--")))</f>
        <v>--</v>
      </c>
      <c r="AG146" s="130" t="s">
        <v>46</v>
      </c>
      <c r="AH146" s="130"/>
      <c r="AI146" s="130" t="s">
        <v>100</v>
      </c>
      <c r="AJ146" s="130"/>
      <c r="AK146" s="130"/>
      <c r="AL146" s="135" t="s">
        <v>605</v>
      </c>
      <c r="AM146" s="314"/>
      <c r="AN146" s="26"/>
      <c r="AO146" s="26"/>
      <c r="AP146" s="26"/>
      <c r="AQ146" s="26">
        <f>+AQ145+2</f>
        <v>43072</v>
      </c>
      <c r="AR146" s="24"/>
      <c r="AS146" s="24"/>
      <c r="AT146" s="24">
        <v>43073</v>
      </c>
      <c r="AU146" s="418">
        <f t="shared" si="8"/>
        <v>12</v>
      </c>
      <c r="AV146" s="418">
        <f t="shared" si="9"/>
        <v>2017</v>
      </c>
      <c r="AW146" s="24"/>
      <c r="AX146" s="28"/>
      <c r="AY146" s="28" t="s">
        <v>296</v>
      </c>
      <c r="AZ146" s="132" t="s">
        <v>50</v>
      </c>
      <c r="BA146" s="132"/>
      <c r="BB146" s="24"/>
      <c r="BC146" s="135">
        <v>9</v>
      </c>
      <c r="BD146" s="24">
        <v>43032</v>
      </c>
      <c r="BE146" s="135" t="s">
        <v>972</v>
      </c>
      <c r="BF146" s="135" t="s">
        <v>972</v>
      </c>
      <c r="BG146" s="135" t="s">
        <v>52</v>
      </c>
      <c r="BH146" s="135"/>
      <c r="BI146" s="314"/>
      <c r="BJ146" s="314"/>
      <c r="BK146" s="24"/>
      <c r="BL146" s="24"/>
      <c r="BM146" s="24"/>
      <c r="BN146" s="24"/>
      <c r="BO146" s="24"/>
      <c r="BP146" s="24"/>
      <c r="BQ146" s="24"/>
      <c r="BR146" s="43"/>
      <c r="BS146" s="24"/>
      <c r="BT146" s="24"/>
      <c r="BU146" s="24"/>
      <c r="BV146" s="132" t="e">
        <f>IF(#REF!="COMPLETO","OK","PENDIENTES")</f>
        <v>#REF!</v>
      </c>
      <c r="BW146" s="132"/>
      <c r="BX146" s="132"/>
      <c r="BY146" s="132"/>
      <c r="BZ146" s="132"/>
      <c r="CA146" s="132"/>
      <c r="CB146" s="132"/>
      <c r="CC146" s="22"/>
      <c r="CG146" s="24" t="s">
        <v>105</v>
      </c>
      <c r="CH146" s="24"/>
      <c r="CI146" s="24"/>
      <c r="CJ146" s="24"/>
    </row>
    <row r="147" spans="1:88" ht="15" customHeight="1">
      <c r="A147" s="18">
        <v>2017</v>
      </c>
      <c r="B147" s="18" t="str">
        <f>+INDEX(BDD!F:F,MATCH(P147,BDD!D:D,0))&amp;"-"&amp;INDEX(BDD!E:E,MATCH(P147,BDD!D:D,0))</f>
        <v>G-S</v>
      </c>
      <c r="C147" s="360" t="s">
        <v>484</v>
      </c>
      <c r="D147" s="150" t="s">
        <v>77</v>
      </c>
      <c r="E147" s="132"/>
      <c r="F147" s="24"/>
      <c r="G147" s="346">
        <v>8000000146</v>
      </c>
      <c r="H147" s="25" t="s">
        <v>989</v>
      </c>
      <c r="I147" s="329"/>
      <c r="J147" s="346">
        <v>8000000146</v>
      </c>
      <c r="K147" s="24"/>
      <c r="L147" s="24"/>
      <c r="M147" s="24"/>
      <c r="N147" s="340" t="s">
        <v>486</v>
      </c>
      <c r="O147" s="334">
        <v>206569</v>
      </c>
      <c r="P147" s="25" t="s">
        <v>142</v>
      </c>
      <c r="Q147" s="127" t="s">
        <v>163</v>
      </c>
      <c r="R147" s="128" t="s">
        <v>544</v>
      </c>
      <c r="S147" s="24">
        <v>43005</v>
      </c>
      <c r="T147" s="36" t="s">
        <v>19</v>
      </c>
      <c r="U147" s="125"/>
      <c r="V147" s="88" t="s">
        <v>990</v>
      </c>
      <c r="W147" s="129"/>
      <c r="X147" s="88">
        <v>43048</v>
      </c>
      <c r="Y147" s="130" t="s">
        <v>20</v>
      </c>
      <c r="Z147" s="133" t="s">
        <v>60</v>
      </c>
      <c r="AA147" s="133"/>
      <c r="AB147" s="148">
        <v>800</v>
      </c>
      <c r="AC147" s="134">
        <v>385</v>
      </c>
      <c r="AD147" s="134"/>
      <c r="AE147" s="403">
        <f t="shared" si="7"/>
        <v>308000</v>
      </c>
      <c r="AF147" s="132" t="str">
        <f>IF(W147=BDD!$P$1,IMPORTS!AB147/25,IF(W147=BDD!$P$2,IMPORTS!AB147/25,IF(IMPORTS!W147=BDD!$P$4,IMPORTS!AB147/25.5,"--")))</f>
        <v>--</v>
      </c>
      <c r="AG147" s="130" t="s">
        <v>46</v>
      </c>
      <c r="AH147" s="130"/>
      <c r="AI147" s="130" t="s">
        <v>100</v>
      </c>
      <c r="AJ147" s="130"/>
      <c r="AK147" s="130"/>
      <c r="AL147" s="135" t="s">
        <v>605</v>
      </c>
      <c r="AM147" s="314"/>
      <c r="AN147" s="26"/>
      <c r="AO147" s="26"/>
      <c r="AP147" s="26"/>
      <c r="AQ147" s="26">
        <f>+AQ146+2</f>
        <v>43074</v>
      </c>
      <c r="AR147" s="24"/>
      <c r="AS147" s="24"/>
      <c r="AT147" s="24">
        <v>43076</v>
      </c>
      <c r="AU147" s="418">
        <f t="shared" si="8"/>
        <v>12</v>
      </c>
      <c r="AV147" s="418">
        <f t="shared" si="9"/>
        <v>2017</v>
      </c>
      <c r="AW147" s="24"/>
      <c r="AX147" s="28"/>
      <c r="AY147" s="28" t="s">
        <v>296</v>
      </c>
      <c r="AZ147" s="132" t="s">
        <v>62</v>
      </c>
      <c r="BA147" s="132"/>
      <c r="BB147" s="24"/>
      <c r="BC147" s="135">
        <v>10</v>
      </c>
      <c r="BD147" s="24">
        <v>43032</v>
      </c>
      <c r="BE147" s="135" t="s">
        <v>972</v>
      </c>
      <c r="BF147" s="135" t="s">
        <v>972</v>
      </c>
      <c r="BG147" s="135" t="s">
        <v>52</v>
      </c>
      <c r="BH147" s="135"/>
      <c r="BI147" s="314"/>
      <c r="BJ147" s="314"/>
      <c r="BK147" s="24"/>
      <c r="BL147" s="24"/>
      <c r="BM147" s="24"/>
      <c r="BN147" s="24"/>
      <c r="BO147" s="24"/>
      <c r="BP147" s="24"/>
      <c r="BQ147" s="24"/>
      <c r="BR147" s="43"/>
      <c r="BS147" s="24"/>
      <c r="BT147" s="24"/>
      <c r="BU147" s="24"/>
      <c r="BV147" s="132" t="e">
        <f>IF(#REF!="COMPLETO","OK","PENDIENTES")</f>
        <v>#REF!</v>
      </c>
      <c r="BW147" s="132"/>
      <c r="BX147" s="132"/>
      <c r="BY147" s="132"/>
      <c r="BZ147" s="132"/>
      <c r="CA147" s="132"/>
      <c r="CB147" s="132"/>
      <c r="CC147" s="22"/>
      <c r="CG147" s="24" t="s">
        <v>105</v>
      </c>
      <c r="CH147" s="24"/>
      <c r="CI147" s="24"/>
      <c r="CJ147" s="24"/>
    </row>
    <row r="148" spans="1:88" ht="15" customHeight="1">
      <c r="A148" s="18">
        <v>2017</v>
      </c>
      <c r="B148" s="18" t="str">
        <f>+INDEX(BDD!F:F,MATCH(P148,BDD!D:D,0))&amp;"-"&amp;INDEX(BDD!E:E,MATCH(P148,BDD!D:D,0))</f>
        <v>S-C</v>
      </c>
      <c r="C148" s="360" t="s">
        <v>484</v>
      </c>
      <c r="D148" s="150" t="s">
        <v>77</v>
      </c>
      <c r="E148" s="132"/>
      <c r="F148" s="24"/>
      <c r="G148" s="346">
        <v>8000000068</v>
      </c>
      <c r="H148" s="25" t="s">
        <v>991</v>
      </c>
      <c r="I148" s="329"/>
      <c r="J148" s="346">
        <v>8000000068</v>
      </c>
      <c r="K148" s="24"/>
      <c r="L148" s="24"/>
      <c r="M148" s="24"/>
      <c r="N148" s="340" t="s">
        <v>486</v>
      </c>
      <c r="O148" s="334">
        <v>209975</v>
      </c>
      <c r="P148" s="25" t="s">
        <v>244</v>
      </c>
      <c r="Q148" s="127" t="s">
        <v>42</v>
      </c>
      <c r="R148" s="128"/>
      <c r="S148" s="24"/>
      <c r="T148" s="36" t="s">
        <v>19</v>
      </c>
      <c r="U148" s="125"/>
      <c r="V148" s="147" t="s">
        <v>992</v>
      </c>
      <c r="W148" s="129"/>
      <c r="X148" s="88">
        <v>43017</v>
      </c>
      <c r="Y148" s="130" t="s">
        <v>20</v>
      </c>
      <c r="Z148" s="133" t="s">
        <v>60</v>
      </c>
      <c r="AA148" s="133"/>
      <c r="AB148" s="148">
        <v>50</v>
      </c>
      <c r="AC148" s="134">
        <v>760</v>
      </c>
      <c r="AD148" s="134"/>
      <c r="AE148" s="403">
        <f t="shared" si="7"/>
        <v>38000</v>
      </c>
      <c r="AF148" s="132" t="str">
        <f>IF(W148=BDD!$P$1,IMPORTS!AB148/25,IF(W148=BDD!$P$2,IMPORTS!AB148/25,IF(IMPORTS!W148=BDD!$P$4,IMPORTS!AB148/25.5,"--")))</f>
        <v>--</v>
      </c>
      <c r="AG148" s="130" t="s">
        <v>5</v>
      </c>
      <c r="AH148" s="130"/>
      <c r="AI148" s="130" t="s">
        <v>71</v>
      </c>
      <c r="AJ148" s="130"/>
      <c r="AK148" s="130"/>
      <c r="AL148" s="135" t="s">
        <v>605</v>
      </c>
      <c r="AM148" s="314"/>
      <c r="AN148" s="26"/>
      <c r="AO148" s="26"/>
      <c r="AP148" s="26"/>
      <c r="AQ148" s="26">
        <v>43019</v>
      </c>
      <c r="AR148" s="24"/>
      <c r="AS148" s="24"/>
      <c r="AT148" s="24">
        <v>43021</v>
      </c>
      <c r="AU148" s="418">
        <f t="shared" si="8"/>
        <v>10</v>
      </c>
      <c r="AV148" s="418">
        <f t="shared" si="9"/>
        <v>2017</v>
      </c>
      <c r="AW148" s="24"/>
      <c r="AX148" s="28"/>
      <c r="AY148" s="28" t="s">
        <v>181</v>
      </c>
      <c r="AZ148" s="132" t="s">
        <v>37</v>
      </c>
      <c r="BA148" s="132"/>
      <c r="BB148" s="24"/>
      <c r="BC148" s="178" t="s">
        <v>993</v>
      </c>
      <c r="BD148" s="24">
        <v>43014</v>
      </c>
      <c r="BE148" s="135" t="s">
        <v>994</v>
      </c>
      <c r="BF148" s="135"/>
      <c r="BG148" s="135" t="s">
        <v>190</v>
      </c>
      <c r="BH148" s="135"/>
      <c r="BI148" s="314"/>
      <c r="BJ148" s="314"/>
      <c r="BK148" s="24"/>
      <c r="BL148" s="24"/>
      <c r="BM148" s="24"/>
      <c r="BN148" s="24"/>
      <c r="BO148" s="24"/>
      <c r="BP148" s="24"/>
      <c r="BQ148" s="24"/>
      <c r="BR148" s="43"/>
      <c r="BS148" s="24"/>
      <c r="BT148" s="24"/>
      <c r="BU148" s="24"/>
      <c r="BV148" s="132" t="e">
        <f>IF(#REF!="COMPLETO","OK","PENDIENTES")</f>
        <v>#REF!</v>
      </c>
      <c r="BW148" s="132"/>
      <c r="BX148" s="132"/>
      <c r="BY148" s="132"/>
      <c r="BZ148" s="132"/>
      <c r="CA148" s="132"/>
      <c r="CB148" s="132"/>
      <c r="CC148" s="22"/>
      <c r="CG148" s="24" t="s">
        <v>105</v>
      </c>
      <c r="CH148" s="24"/>
      <c r="CI148" s="24"/>
      <c r="CJ148" s="24"/>
    </row>
    <row r="149" spans="1:88" ht="15" customHeight="1">
      <c r="A149" s="18">
        <v>2017</v>
      </c>
      <c r="B149" s="18" t="str">
        <f>+INDEX(BDD!F:F,MATCH(P149,BDD!D:D,0))&amp;"-"&amp;INDEX(BDD!E:E,MATCH(P149,BDD!D:D,0))</f>
        <v>E-S</v>
      </c>
      <c r="C149" s="360" t="s">
        <v>484</v>
      </c>
      <c r="D149" s="150" t="s">
        <v>77</v>
      </c>
      <c r="E149" s="132"/>
      <c r="F149" s="24"/>
      <c r="G149" s="346">
        <v>8000000069</v>
      </c>
      <c r="H149" s="25" t="s">
        <v>995</v>
      </c>
      <c r="I149" s="329"/>
      <c r="J149" s="346">
        <v>8000000069</v>
      </c>
      <c r="K149" s="24"/>
      <c r="L149" s="24"/>
      <c r="M149" s="24"/>
      <c r="N149" s="340" t="s">
        <v>486</v>
      </c>
      <c r="O149" s="334">
        <v>204207</v>
      </c>
      <c r="P149" s="25" t="s">
        <v>295</v>
      </c>
      <c r="Q149" s="127" t="s">
        <v>258</v>
      </c>
      <c r="R149" s="128">
        <v>300108327</v>
      </c>
      <c r="S149" s="24">
        <v>43003</v>
      </c>
      <c r="T149" s="36">
        <v>90</v>
      </c>
      <c r="U149" s="125" t="s">
        <v>118</v>
      </c>
      <c r="V149" s="157">
        <v>201752573</v>
      </c>
      <c r="W149" s="129"/>
      <c r="X149" s="88">
        <f>IF(RIGHT(U149,3)="ETA",AQ149+T149,IF(RIGHT(U149,2)="BL",BD149+T149," "))</f>
        <v>43118</v>
      </c>
      <c r="Y149" s="130" t="s">
        <v>20</v>
      </c>
      <c r="Z149" s="133" t="s">
        <v>81</v>
      </c>
      <c r="AA149" s="133"/>
      <c r="AB149" s="148">
        <v>24.5</v>
      </c>
      <c r="AC149" s="134">
        <v>1255</v>
      </c>
      <c r="AD149" s="134"/>
      <c r="AE149" s="403">
        <f t="shared" si="7"/>
        <v>30747.5</v>
      </c>
      <c r="AF149" s="132" t="str">
        <f>IF(W149=BDD!$P$1,IMPORTS!AB149/25,IF(W149=BDD!$P$2,IMPORTS!AB149/25,IF(IMPORTS!W149=BDD!$P$4,IMPORTS!AB149/25.5,"--")))</f>
        <v>--</v>
      </c>
      <c r="AG149" s="130" t="s">
        <v>5</v>
      </c>
      <c r="AH149" s="130"/>
      <c r="AI149" s="130" t="s">
        <v>34</v>
      </c>
      <c r="AJ149" s="130"/>
      <c r="AK149" s="130"/>
      <c r="AL149" s="135" t="s">
        <v>605</v>
      </c>
      <c r="AM149" s="314"/>
      <c r="AN149" s="26"/>
      <c r="AO149" s="26"/>
      <c r="AP149" s="26"/>
      <c r="AQ149" s="26">
        <v>43077</v>
      </c>
      <c r="AR149" s="24"/>
      <c r="AS149" s="24"/>
      <c r="AT149" s="24">
        <v>43080</v>
      </c>
      <c r="AU149" s="418">
        <f t="shared" si="8"/>
        <v>12</v>
      </c>
      <c r="AV149" s="418">
        <f t="shared" si="9"/>
        <v>2017</v>
      </c>
      <c r="AW149" s="24"/>
      <c r="AX149" s="28"/>
      <c r="AY149" s="28" t="s">
        <v>82</v>
      </c>
      <c r="AZ149" s="132" t="s">
        <v>37</v>
      </c>
      <c r="BA149" s="132"/>
      <c r="BB149" s="24"/>
      <c r="BC149" s="135" t="s">
        <v>996</v>
      </c>
      <c r="BD149" s="24">
        <v>43028</v>
      </c>
      <c r="BE149" s="135" t="s">
        <v>997</v>
      </c>
      <c r="BF149" s="135" t="s">
        <v>814</v>
      </c>
      <c r="BG149" s="135" t="s">
        <v>41</v>
      </c>
      <c r="BH149" s="135"/>
      <c r="BI149" s="314"/>
      <c r="BJ149" s="314"/>
      <c r="BK149" s="24"/>
      <c r="BL149" s="24"/>
      <c r="BM149" s="24"/>
      <c r="BN149" s="24"/>
      <c r="BO149" s="24"/>
      <c r="BP149" s="24"/>
      <c r="BQ149" s="24"/>
      <c r="BR149" s="43"/>
      <c r="BS149" s="24"/>
      <c r="BT149" s="24"/>
      <c r="BU149" s="24"/>
      <c r="BV149" s="132" t="e">
        <f>IF(#REF!="COMPLETO","OK","PENDIENTES")</f>
        <v>#REF!</v>
      </c>
      <c r="BW149" s="132"/>
      <c r="BX149" s="132"/>
      <c r="BY149" s="132"/>
      <c r="BZ149" s="132"/>
      <c r="CA149" s="132"/>
      <c r="CB149" s="132"/>
      <c r="CC149" s="22"/>
      <c r="CG149" s="24" t="s">
        <v>105</v>
      </c>
      <c r="CH149" s="24"/>
      <c r="CI149" s="24"/>
      <c r="CJ149" s="24"/>
    </row>
    <row r="150" spans="1:88" ht="15" customHeight="1">
      <c r="A150" s="18">
        <v>2017</v>
      </c>
      <c r="B150" s="18" t="str">
        <f>+INDEX(BDD!F:F,MATCH(P150,BDD!D:D,0))&amp;"-"&amp;INDEX(BDD!E:E,MATCH(P150,BDD!D:D,0))</f>
        <v>E-S</v>
      </c>
      <c r="C150" s="360" t="s">
        <v>484</v>
      </c>
      <c r="D150" s="150" t="s">
        <v>77</v>
      </c>
      <c r="E150" s="132"/>
      <c r="F150" s="24"/>
      <c r="G150" s="346">
        <v>8000000070</v>
      </c>
      <c r="H150" s="25" t="s">
        <v>998</v>
      </c>
      <c r="I150" s="329"/>
      <c r="J150" s="346">
        <v>8000000070</v>
      </c>
      <c r="K150" s="24"/>
      <c r="L150" s="24"/>
      <c r="M150" s="24"/>
      <c r="N150" s="340" t="s">
        <v>486</v>
      </c>
      <c r="O150" s="334">
        <v>204207</v>
      </c>
      <c r="P150" s="25" t="s">
        <v>295</v>
      </c>
      <c r="Q150" s="127" t="s">
        <v>258</v>
      </c>
      <c r="R150" s="128">
        <v>300108329</v>
      </c>
      <c r="S150" s="24">
        <v>43003</v>
      </c>
      <c r="T150" s="36">
        <v>90</v>
      </c>
      <c r="U150" s="125" t="s">
        <v>118</v>
      </c>
      <c r="V150" s="157">
        <v>201752610</v>
      </c>
      <c r="W150" s="129"/>
      <c r="X150" s="88">
        <f>IF(RIGHT(U150,3)="ETA",AQ150+T150,IF(RIGHT(U150,2)="BL",BD150+T150," "))</f>
        <v>43125</v>
      </c>
      <c r="Y150" s="130" t="s">
        <v>20</v>
      </c>
      <c r="Z150" s="133" t="s">
        <v>81</v>
      </c>
      <c r="AA150" s="133"/>
      <c r="AB150" s="148">
        <v>73.5</v>
      </c>
      <c r="AC150" s="134">
        <v>1255</v>
      </c>
      <c r="AD150" s="134"/>
      <c r="AE150" s="403">
        <f t="shared" si="7"/>
        <v>92242.5</v>
      </c>
      <c r="AF150" s="132" t="str">
        <f>IF(W150=BDD!$P$1,IMPORTS!AB150/25,IF(W150=BDD!$P$2,IMPORTS!AB150/25,IF(IMPORTS!W150=BDD!$P$4,IMPORTS!AB150/25.5,"--")))</f>
        <v>--</v>
      </c>
      <c r="AG150" s="130" t="s">
        <v>5</v>
      </c>
      <c r="AH150" s="130"/>
      <c r="AI150" s="130" t="s">
        <v>34</v>
      </c>
      <c r="AJ150" s="130"/>
      <c r="AK150" s="130"/>
      <c r="AL150" s="135" t="s">
        <v>605</v>
      </c>
      <c r="AM150" s="314"/>
      <c r="AN150" s="26"/>
      <c r="AO150" s="26"/>
      <c r="AP150" s="26"/>
      <c r="AQ150" s="26">
        <v>43086</v>
      </c>
      <c r="AR150" s="24"/>
      <c r="AS150" s="24"/>
      <c r="AT150" s="24">
        <v>43089</v>
      </c>
      <c r="AU150" s="418">
        <f t="shared" si="8"/>
        <v>12</v>
      </c>
      <c r="AV150" s="418">
        <f t="shared" si="9"/>
        <v>2017</v>
      </c>
      <c r="AW150" s="24"/>
      <c r="AX150" s="28"/>
      <c r="AY150" s="28" t="s">
        <v>82</v>
      </c>
      <c r="AZ150" s="132" t="s">
        <v>9</v>
      </c>
      <c r="BA150" s="132"/>
      <c r="BB150" s="24"/>
      <c r="BC150" s="135" t="s">
        <v>999</v>
      </c>
      <c r="BD150" s="24">
        <v>43035</v>
      </c>
      <c r="BE150" s="135" t="s">
        <v>1000</v>
      </c>
      <c r="BF150" s="135" t="s">
        <v>756</v>
      </c>
      <c r="BG150" s="135" t="s">
        <v>41</v>
      </c>
      <c r="BH150" s="135"/>
      <c r="BI150" s="314"/>
      <c r="BJ150" s="314"/>
      <c r="BK150" s="24"/>
      <c r="BL150" s="24"/>
      <c r="BM150" s="24"/>
      <c r="BN150" s="24"/>
      <c r="BO150" s="24">
        <v>43091</v>
      </c>
      <c r="BP150" s="24"/>
      <c r="BQ150" s="24"/>
      <c r="BR150" s="43"/>
      <c r="BS150" s="24"/>
      <c r="BT150" s="24"/>
      <c r="BU150" s="24"/>
      <c r="BV150" s="132" t="e">
        <f>IF(#REF!="COMPLETO","OK","PENDIENTES")</f>
        <v>#REF!</v>
      </c>
      <c r="BW150" s="132"/>
      <c r="BX150" s="132"/>
      <c r="BY150" s="132"/>
      <c r="BZ150" s="132"/>
      <c r="CA150" s="132"/>
      <c r="CB150" s="132"/>
      <c r="CC150" s="22"/>
      <c r="CG150" s="24" t="s">
        <v>105</v>
      </c>
      <c r="CH150" s="24"/>
      <c r="CI150" s="24"/>
      <c r="CJ150" s="24"/>
    </row>
    <row r="151" spans="1:88" ht="15" customHeight="1">
      <c r="A151" s="18">
        <v>2017</v>
      </c>
      <c r="B151" s="18" t="str">
        <f>+INDEX(BDD!F:F,MATCH(P151,BDD!D:D,0))&amp;"-"&amp;INDEX(BDD!E:E,MATCH(P151,BDD!D:D,0))</f>
        <v>E-S</v>
      </c>
      <c r="C151" s="360" t="s">
        <v>484</v>
      </c>
      <c r="D151" s="150" t="s">
        <v>77</v>
      </c>
      <c r="E151" s="132"/>
      <c r="F151" s="24"/>
      <c r="G151" s="346">
        <v>8000000071</v>
      </c>
      <c r="H151" s="25" t="s">
        <v>1001</v>
      </c>
      <c r="I151" s="329"/>
      <c r="J151" s="346">
        <v>8000000071</v>
      </c>
      <c r="K151" s="24"/>
      <c r="L151" s="24"/>
      <c r="M151" s="24"/>
      <c r="N151" s="340" t="s">
        <v>486</v>
      </c>
      <c r="O151" s="334">
        <v>204207</v>
      </c>
      <c r="P151" s="25" t="s">
        <v>295</v>
      </c>
      <c r="Q151" s="127" t="s">
        <v>258</v>
      </c>
      <c r="R151" s="128">
        <v>300108525</v>
      </c>
      <c r="S151" s="24">
        <v>43003</v>
      </c>
      <c r="T151" s="36">
        <v>90</v>
      </c>
      <c r="U151" s="125" t="s">
        <v>118</v>
      </c>
      <c r="V151" s="157">
        <v>201752921</v>
      </c>
      <c r="W151" s="129"/>
      <c r="X151" s="88">
        <v>43173</v>
      </c>
      <c r="Y151" s="130" t="s">
        <v>20</v>
      </c>
      <c r="Z151" s="133" t="s">
        <v>81</v>
      </c>
      <c r="AA151" s="133"/>
      <c r="AB151" s="148">
        <v>49.8</v>
      </c>
      <c r="AC151" s="134">
        <v>1255</v>
      </c>
      <c r="AD151" s="134"/>
      <c r="AE151" s="403">
        <f t="shared" si="7"/>
        <v>62499</v>
      </c>
      <c r="AF151" s="132">
        <v>2</v>
      </c>
      <c r="AG151" s="130" t="s">
        <v>5</v>
      </c>
      <c r="AH151" s="130"/>
      <c r="AI151" s="130" t="s">
        <v>34</v>
      </c>
      <c r="AJ151" s="130"/>
      <c r="AK151" s="130"/>
      <c r="AL151" s="135" t="s">
        <v>1002</v>
      </c>
      <c r="AM151" s="314"/>
      <c r="AN151" s="26"/>
      <c r="AO151" s="26"/>
      <c r="AP151" s="26"/>
      <c r="AQ151" s="26">
        <v>43126</v>
      </c>
      <c r="AR151" s="24"/>
      <c r="AS151" s="24"/>
      <c r="AT151" s="26">
        <v>43129</v>
      </c>
      <c r="AU151" s="418">
        <f t="shared" si="8"/>
        <v>1</v>
      </c>
      <c r="AV151" s="418">
        <f t="shared" si="9"/>
        <v>2018</v>
      </c>
      <c r="AW151" s="26"/>
      <c r="AX151" s="28"/>
      <c r="AY151" s="28" t="s">
        <v>82</v>
      </c>
      <c r="AZ151" s="132" t="s">
        <v>37</v>
      </c>
      <c r="BA151" s="132"/>
      <c r="BB151" s="26"/>
      <c r="BC151" s="135" t="s">
        <v>1003</v>
      </c>
      <c r="BD151" s="24">
        <v>43077</v>
      </c>
      <c r="BE151" s="135" t="s">
        <v>1004</v>
      </c>
      <c r="BF151" s="135" t="s">
        <v>1005</v>
      </c>
      <c r="BG151" s="135" t="s">
        <v>41</v>
      </c>
      <c r="BH151" s="135"/>
      <c r="BI151" s="314"/>
      <c r="BJ151" s="314"/>
      <c r="BK151" s="24"/>
      <c r="BL151" s="24"/>
      <c r="BM151" s="24"/>
      <c r="BN151" s="24"/>
      <c r="BO151" s="24"/>
      <c r="BP151" s="24"/>
      <c r="BQ151" s="24"/>
      <c r="BR151" s="43"/>
      <c r="BS151" s="24"/>
      <c r="BT151" s="24"/>
      <c r="BU151" s="24"/>
      <c r="BV151" s="132" t="e">
        <f>IF(#REF!="COMPLETO","OK","PENDIENTES")</f>
        <v>#REF!</v>
      </c>
      <c r="BW151" s="132"/>
      <c r="BX151" s="132"/>
      <c r="BY151" s="132"/>
      <c r="BZ151" s="132"/>
      <c r="CA151" s="132"/>
      <c r="CB151" s="132"/>
      <c r="CC151" s="22"/>
      <c r="CG151" s="24" t="s">
        <v>105</v>
      </c>
      <c r="CH151" s="24"/>
      <c r="CI151" s="26"/>
      <c r="CJ151" s="26"/>
    </row>
    <row r="152" spans="1:88" ht="15" customHeight="1">
      <c r="A152" s="18">
        <v>2017</v>
      </c>
      <c r="B152" s="18" t="str">
        <f>+INDEX(BDD!F:F,MATCH(P152,BDD!D:D,0))&amp;"-"&amp;INDEX(BDD!E:E,MATCH(P152,BDD!D:D,0))</f>
        <v>E-S</v>
      </c>
      <c r="C152" s="360" t="s">
        <v>484</v>
      </c>
      <c r="D152" s="150" t="s">
        <v>77</v>
      </c>
      <c r="E152" s="132"/>
      <c r="F152" s="24"/>
      <c r="G152" s="346">
        <v>8000000072</v>
      </c>
      <c r="H152" s="25" t="s">
        <v>1006</v>
      </c>
      <c r="I152" s="329"/>
      <c r="J152" s="346">
        <v>8000000072</v>
      </c>
      <c r="K152" s="24"/>
      <c r="L152" s="24"/>
      <c r="M152" s="24"/>
      <c r="N152" s="340" t="s">
        <v>486</v>
      </c>
      <c r="O152" s="334">
        <v>204207</v>
      </c>
      <c r="P152" s="25" t="s">
        <v>295</v>
      </c>
      <c r="Q152" s="127" t="s">
        <v>258</v>
      </c>
      <c r="R152" s="128"/>
      <c r="S152" s="24">
        <v>43003</v>
      </c>
      <c r="T152" s="36">
        <v>150</v>
      </c>
      <c r="U152" s="125" t="s">
        <v>118</v>
      </c>
      <c r="V152" s="157">
        <v>201752710</v>
      </c>
      <c r="W152" s="129"/>
      <c r="X152" s="88">
        <f>IF(RIGHT(U152,3)="ETA",AQ152+T152,IF(RIGHT(U152,2)="BL",BD152+T152," "))</f>
        <v>43192</v>
      </c>
      <c r="Y152" s="130" t="s">
        <v>20</v>
      </c>
      <c r="Z152" s="133" t="s">
        <v>81</v>
      </c>
      <c r="AA152" s="133"/>
      <c r="AB152" s="148">
        <v>49</v>
      </c>
      <c r="AC152" s="134">
        <v>1255</v>
      </c>
      <c r="AD152" s="134"/>
      <c r="AE152" s="403">
        <f t="shared" si="7"/>
        <v>61495</v>
      </c>
      <c r="AF152" s="132">
        <v>2</v>
      </c>
      <c r="AG152" s="130" t="s">
        <v>5</v>
      </c>
      <c r="AH152" s="130"/>
      <c r="AI152" s="130" t="s">
        <v>34</v>
      </c>
      <c r="AJ152" s="130"/>
      <c r="AK152" s="130"/>
      <c r="AL152" s="24" t="s">
        <v>640</v>
      </c>
      <c r="AM152" s="314"/>
      <c r="AN152" s="26"/>
      <c r="AO152" s="26"/>
      <c r="AP152" s="26"/>
      <c r="AQ152" s="26">
        <v>43094</v>
      </c>
      <c r="AR152" s="24"/>
      <c r="AS152" s="24"/>
      <c r="AT152" s="24">
        <v>43098</v>
      </c>
      <c r="AU152" s="418">
        <f t="shared" si="8"/>
        <v>12</v>
      </c>
      <c r="AV152" s="418">
        <f t="shared" si="9"/>
        <v>2017</v>
      </c>
      <c r="AW152" s="24"/>
      <c r="AX152" s="28"/>
      <c r="AY152" s="28" t="s">
        <v>82</v>
      </c>
      <c r="AZ152" s="132" t="s">
        <v>9</v>
      </c>
      <c r="BA152" s="132"/>
      <c r="BB152" s="24"/>
      <c r="BC152" s="135" t="s">
        <v>1007</v>
      </c>
      <c r="BD152" s="24">
        <v>43042</v>
      </c>
      <c r="BE152" s="135" t="s">
        <v>1004</v>
      </c>
      <c r="BF152" s="135" t="s">
        <v>885</v>
      </c>
      <c r="BG152" s="135" t="s">
        <v>41</v>
      </c>
      <c r="BH152" s="135"/>
      <c r="BI152" s="314"/>
      <c r="BJ152" s="314"/>
      <c r="BK152" s="24"/>
      <c r="BL152" s="24"/>
      <c r="BM152" s="24"/>
      <c r="BN152" s="24"/>
      <c r="BO152" s="24">
        <f>+AQ152+14</f>
        <v>43108</v>
      </c>
      <c r="BP152" s="24"/>
      <c r="BQ152" s="24"/>
      <c r="BR152" s="43"/>
      <c r="BS152" s="24"/>
      <c r="BT152" s="24"/>
      <c r="BU152" s="24"/>
      <c r="BV152" s="132" t="e">
        <f>IF(#REF!="COMPLETO","OK","PENDIENTES")</f>
        <v>#REF!</v>
      </c>
      <c r="BW152" s="132"/>
      <c r="BX152" s="132"/>
      <c r="BY152" s="132"/>
      <c r="BZ152" s="132"/>
      <c r="CA152" s="132"/>
      <c r="CB152" s="132"/>
      <c r="CC152" s="22"/>
      <c r="CG152" s="24" t="s">
        <v>105</v>
      </c>
      <c r="CH152" s="24"/>
      <c r="CI152" s="24"/>
      <c r="CJ152" s="24"/>
    </row>
    <row r="153" spans="1:88" ht="15" customHeight="1">
      <c r="A153" s="18">
        <v>2017</v>
      </c>
      <c r="B153" s="18" t="str">
        <f>+INDEX(BDD!F:F,MATCH(P153,BDD!D:D,0))&amp;"-"&amp;INDEX(BDD!E:E,MATCH(P153,BDD!D:D,0))</f>
        <v>G-S</v>
      </c>
      <c r="C153" s="360" t="s">
        <v>484</v>
      </c>
      <c r="D153" s="150" t="s">
        <v>77</v>
      </c>
      <c r="E153" s="132"/>
      <c r="F153" s="24"/>
      <c r="G153" s="346">
        <v>8000000147</v>
      </c>
      <c r="H153" s="25" t="s">
        <v>1008</v>
      </c>
      <c r="I153" s="329"/>
      <c r="J153" s="346">
        <v>8000000147</v>
      </c>
      <c r="K153" s="24"/>
      <c r="L153" s="24"/>
      <c r="M153" s="24"/>
      <c r="N153" s="340" t="s">
        <v>486</v>
      </c>
      <c r="O153" s="334">
        <v>203616</v>
      </c>
      <c r="P153" s="25" t="s">
        <v>331</v>
      </c>
      <c r="Q153" s="127" t="s">
        <v>167</v>
      </c>
      <c r="R153" s="128" t="s">
        <v>1009</v>
      </c>
      <c r="S153" s="24">
        <v>43006</v>
      </c>
      <c r="T153" s="36" t="s">
        <v>19</v>
      </c>
      <c r="U153" s="125"/>
      <c r="V153" s="88" t="s">
        <v>1010</v>
      </c>
      <c r="W153" s="129"/>
      <c r="X153" s="88">
        <v>43052</v>
      </c>
      <c r="Y153" s="130" t="s">
        <v>20</v>
      </c>
      <c r="Z153" s="133" t="s">
        <v>60</v>
      </c>
      <c r="AA153" s="133"/>
      <c r="AB153" s="148">
        <v>3150</v>
      </c>
      <c r="AC153" s="134">
        <v>150</v>
      </c>
      <c r="AD153" s="134"/>
      <c r="AE153" s="403">
        <f t="shared" si="7"/>
        <v>472500</v>
      </c>
      <c r="AF153" s="132" t="str">
        <f>IF(W153=BDD!$P$1,IMPORTS!AB153/25,IF(W153=BDD!$P$2,IMPORTS!AB153/25,IF(IMPORTS!W153=BDD!$P$4,IMPORTS!AB153/25.5,"--")))</f>
        <v>--</v>
      </c>
      <c r="AG153" s="130" t="s">
        <v>46</v>
      </c>
      <c r="AH153" s="130"/>
      <c r="AI153" s="130" t="s">
        <v>100</v>
      </c>
      <c r="AJ153" s="130"/>
      <c r="AK153" s="130"/>
      <c r="AL153" s="135" t="s">
        <v>605</v>
      </c>
      <c r="AM153" s="314"/>
      <c r="AN153" s="26"/>
      <c r="AO153" s="26"/>
      <c r="AP153" s="26"/>
      <c r="AQ153" s="26">
        <v>43065</v>
      </c>
      <c r="AR153" s="24"/>
      <c r="AS153" s="24"/>
      <c r="AT153" s="24">
        <v>43067</v>
      </c>
      <c r="AU153" s="418">
        <f t="shared" si="8"/>
        <v>11</v>
      </c>
      <c r="AV153" s="418">
        <f t="shared" si="9"/>
        <v>2017</v>
      </c>
      <c r="AW153" s="24"/>
      <c r="AX153" s="28"/>
      <c r="AY153" s="28" t="s">
        <v>230</v>
      </c>
      <c r="AZ153" s="132" t="s">
        <v>9</v>
      </c>
      <c r="BA153" s="132"/>
      <c r="BB153" s="24"/>
      <c r="BC153" s="135" t="s">
        <v>1011</v>
      </c>
      <c r="BD153" s="24">
        <v>43028</v>
      </c>
      <c r="BE153" s="135" t="s">
        <v>1012</v>
      </c>
      <c r="BF153" s="135" t="s">
        <v>1012</v>
      </c>
      <c r="BG153" s="135" t="s">
        <v>52</v>
      </c>
      <c r="BH153" s="135"/>
      <c r="BI153" s="314"/>
      <c r="BJ153" s="314"/>
      <c r="BK153" s="24"/>
      <c r="BL153" s="24"/>
      <c r="BM153" s="24"/>
      <c r="BN153" s="24"/>
      <c r="BO153" s="24"/>
      <c r="BP153" s="24"/>
      <c r="BQ153" s="24"/>
      <c r="BR153" s="43"/>
      <c r="BS153" s="24"/>
      <c r="BT153" s="24"/>
      <c r="BU153" s="24"/>
      <c r="BV153" s="132" t="e">
        <f>IF(#REF!="COMPLETO","OK","PENDIENTES")</f>
        <v>#REF!</v>
      </c>
      <c r="BW153" s="132"/>
      <c r="BX153" s="132"/>
      <c r="BY153" s="132"/>
      <c r="BZ153" s="132"/>
      <c r="CA153" s="132"/>
      <c r="CB153" s="132"/>
      <c r="CC153" s="22"/>
      <c r="CG153" s="24" t="s">
        <v>105</v>
      </c>
      <c r="CH153" s="24"/>
      <c r="CI153" s="24"/>
      <c r="CJ153" s="24"/>
    </row>
    <row r="154" spans="1:88" ht="15" customHeight="1">
      <c r="A154" s="18">
        <v>2017</v>
      </c>
      <c r="B154" s="18" t="str">
        <f>+INDEX(BDD!F:F,MATCH(P154,BDD!D:D,0))&amp;"-"&amp;INDEX(BDD!E:E,MATCH(P154,BDD!D:D,0))</f>
        <v>G-S</v>
      </c>
      <c r="C154" s="360" t="s">
        <v>484</v>
      </c>
      <c r="D154" s="150" t="s">
        <v>77</v>
      </c>
      <c r="E154" s="132"/>
      <c r="F154" s="24"/>
      <c r="G154" s="346">
        <v>8000000148</v>
      </c>
      <c r="H154" s="25" t="s">
        <v>1013</v>
      </c>
      <c r="I154" s="329"/>
      <c r="J154" s="346">
        <v>8000000148</v>
      </c>
      <c r="K154" s="24"/>
      <c r="L154" s="24"/>
      <c r="M154" s="24"/>
      <c r="N154" s="340" t="s">
        <v>486</v>
      </c>
      <c r="O154" s="334">
        <v>203616</v>
      </c>
      <c r="P154" s="25" t="s">
        <v>331</v>
      </c>
      <c r="Q154" s="127" t="s">
        <v>167</v>
      </c>
      <c r="R154" s="128" t="s">
        <v>1009</v>
      </c>
      <c r="S154" s="24">
        <v>43006</v>
      </c>
      <c r="T154" s="36" t="s">
        <v>19</v>
      </c>
      <c r="U154" s="125"/>
      <c r="V154" s="88" t="s">
        <v>1014</v>
      </c>
      <c r="W154" s="129"/>
      <c r="X154" s="88">
        <v>43052</v>
      </c>
      <c r="Y154" s="130" t="s">
        <v>20</v>
      </c>
      <c r="Z154" s="133" t="s">
        <v>60</v>
      </c>
      <c r="AA154" s="133"/>
      <c r="AB154" s="148">
        <v>1500</v>
      </c>
      <c r="AC154" s="134">
        <v>150</v>
      </c>
      <c r="AD154" s="134"/>
      <c r="AE154" s="403">
        <f t="shared" si="7"/>
        <v>225000</v>
      </c>
      <c r="AF154" s="132" t="str">
        <f>IF(W154=BDD!$P$1,IMPORTS!AB154/25,IF(W154=BDD!$P$2,IMPORTS!AB154/25,IF(IMPORTS!W154=BDD!$P$4,IMPORTS!AB154/25.5,"--")))</f>
        <v>--</v>
      </c>
      <c r="AG154" s="130" t="s">
        <v>46</v>
      </c>
      <c r="AH154" s="130"/>
      <c r="AI154" s="130" t="s">
        <v>100</v>
      </c>
      <c r="AJ154" s="130"/>
      <c r="AK154" s="130"/>
      <c r="AL154" s="135" t="s">
        <v>605</v>
      </c>
      <c r="AM154" s="314"/>
      <c r="AN154" s="26"/>
      <c r="AO154" s="26"/>
      <c r="AP154" s="26"/>
      <c r="AQ154" s="26">
        <v>43068</v>
      </c>
      <c r="AR154" s="24"/>
      <c r="AS154" s="24"/>
      <c r="AT154" s="24">
        <v>43069</v>
      </c>
      <c r="AU154" s="418">
        <f t="shared" si="8"/>
        <v>11</v>
      </c>
      <c r="AV154" s="418">
        <f t="shared" si="9"/>
        <v>2017</v>
      </c>
      <c r="AW154" s="24"/>
      <c r="AX154" s="28"/>
      <c r="AY154" s="28" t="s">
        <v>230</v>
      </c>
      <c r="AZ154" s="132" t="s">
        <v>25</v>
      </c>
      <c r="BA154" s="132"/>
      <c r="BB154" s="24"/>
      <c r="BC154" s="135" t="s">
        <v>1015</v>
      </c>
      <c r="BD154" s="24">
        <v>43028</v>
      </c>
      <c r="BE154" s="135" t="s">
        <v>1012</v>
      </c>
      <c r="BF154" s="135" t="s">
        <v>1012</v>
      </c>
      <c r="BG154" s="135" t="s">
        <v>52</v>
      </c>
      <c r="BH154" s="135"/>
      <c r="BI154" s="314"/>
      <c r="BJ154" s="314"/>
      <c r="BK154" s="24"/>
      <c r="BL154" s="24"/>
      <c r="BM154" s="24"/>
      <c r="BN154" s="24"/>
      <c r="BO154" s="24"/>
      <c r="BP154" s="24"/>
      <c r="BQ154" s="24"/>
      <c r="BR154" s="43"/>
      <c r="BS154" s="24"/>
      <c r="BT154" s="24"/>
      <c r="BU154" s="24"/>
      <c r="BV154" s="132" t="e">
        <f>IF(#REF!="COMPLETO","OK","PENDIENTES")</f>
        <v>#REF!</v>
      </c>
      <c r="BW154" s="132"/>
      <c r="BX154" s="132"/>
      <c r="BY154" s="132"/>
      <c r="BZ154" s="132"/>
      <c r="CA154" s="132"/>
      <c r="CB154" s="132"/>
      <c r="CC154" s="22"/>
      <c r="CG154" s="24" t="s">
        <v>105</v>
      </c>
      <c r="CH154" s="24"/>
      <c r="CI154" s="24"/>
      <c r="CJ154" s="24"/>
    </row>
    <row r="155" spans="1:88" ht="15" customHeight="1">
      <c r="A155" s="18">
        <v>2017</v>
      </c>
      <c r="B155" s="18" t="str">
        <f>+INDEX(BDD!F:F,MATCH(P155,BDD!D:D,0))&amp;"-"&amp;INDEX(BDD!E:E,MATCH(P155,BDD!D:D,0))</f>
        <v>G-S</v>
      </c>
      <c r="C155" s="360" t="s">
        <v>484</v>
      </c>
      <c r="D155" s="150" t="s">
        <v>77</v>
      </c>
      <c r="E155" s="132"/>
      <c r="F155" s="24"/>
      <c r="G155" s="346">
        <v>8000000149</v>
      </c>
      <c r="H155" s="25" t="s">
        <v>1016</v>
      </c>
      <c r="I155" s="329"/>
      <c r="J155" s="346">
        <v>8000000149</v>
      </c>
      <c r="K155" s="24"/>
      <c r="L155" s="24"/>
      <c r="M155" s="24"/>
      <c r="N155" s="340" t="s">
        <v>486</v>
      </c>
      <c r="O155" s="334">
        <v>203616</v>
      </c>
      <c r="P155" s="25" t="s">
        <v>331</v>
      </c>
      <c r="Q155" s="127" t="s">
        <v>167</v>
      </c>
      <c r="R155" s="128" t="s">
        <v>1009</v>
      </c>
      <c r="S155" s="24">
        <v>43006</v>
      </c>
      <c r="T155" s="36" t="s">
        <v>19</v>
      </c>
      <c r="U155" s="125"/>
      <c r="V155" s="88" t="s">
        <v>1017</v>
      </c>
      <c r="W155" s="129"/>
      <c r="X155" s="88">
        <v>43052</v>
      </c>
      <c r="Y155" s="130" t="s">
        <v>20</v>
      </c>
      <c r="Z155" s="133" t="s">
        <v>60</v>
      </c>
      <c r="AA155" s="133"/>
      <c r="AB155" s="148">
        <v>250</v>
      </c>
      <c r="AC155" s="134">
        <v>150</v>
      </c>
      <c r="AD155" s="134"/>
      <c r="AE155" s="403">
        <f t="shared" si="7"/>
        <v>37500</v>
      </c>
      <c r="AF155" s="132" t="str">
        <f>IF(W155=BDD!$P$1,IMPORTS!AB155/25,IF(W155=BDD!$P$2,IMPORTS!AB155/25,IF(IMPORTS!W155=BDD!$P$4,IMPORTS!AB155/25.5,"--")))</f>
        <v>--</v>
      </c>
      <c r="AG155" s="130" t="s">
        <v>46</v>
      </c>
      <c r="AH155" s="130"/>
      <c r="AI155" s="130" t="s">
        <v>100</v>
      </c>
      <c r="AJ155" s="130"/>
      <c r="AK155" s="130"/>
      <c r="AL155" s="135" t="s">
        <v>605</v>
      </c>
      <c r="AM155" s="314"/>
      <c r="AN155" s="26"/>
      <c r="AO155" s="26"/>
      <c r="AP155" s="26"/>
      <c r="AQ155" s="26">
        <v>43072</v>
      </c>
      <c r="AR155" s="24"/>
      <c r="AS155" s="24"/>
      <c r="AT155" s="24">
        <v>43072</v>
      </c>
      <c r="AU155" s="418">
        <f t="shared" si="8"/>
        <v>12</v>
      </c>
      <c r="AV155" s="418">
        <f t="shared" si="9"/>
        <v>2017</v>
      </c>
      <c r="AW155" s="24"/>
      <c r="AX155" s="28"/>
      <c r="AY155" s="28" t="s">
        <v>230</v>
      </c>
      <c r="AZ155" s="132" t="s">
        <v>37</v>
      </c>
      <c r="BA155" s="132"/>
      <c r="BB155" s="24"/>
      <c r="BC155" s="135" t="s">
        <v>1018</v>
      </c>
      <c r="BD155" s="24">
        <v>43028</v>
      </c>
      <c r="BE155" s="135" t="s">
        <v>1012</v>
      </c>
      <c r="BF155" s="135" t="s">
        <v>1012</v>
      </c>
      <c r="BG155" s="135" t="s">
        <v>52</v>
      </c>
      <c r="BH155" s="135"/>
      <c r="BI155" s="314"/>
      <c r="BJ155" s="314"/>
      <c r="BK155" s="24"/>
      <c r="BL155" s="24"/>
      <c r="BM155" s="24"/>
      <c r="BN155" s="24"/>
      <c r="BO155" s="24"/>
      <c r="BP155" s="24"/>
      <c r="BQ155" s="24"/>
      <c r="BR155" s="43"/>
      <c r="BS155" s="24"/>
      <c r="BT155" s="24"/>
      <c r="BU155" s="24"/>
      <c r="BV155" s="132" t="e">
        <f>IF(#REF!="COMPLETO","OK","PENDIENTES")</f>
        <v>#REF!</v>
      </c>
      <c r="BW155" s="132"/>
      <c r="BX155" s="132"/>
      <c r="BY155" s="132"/>
      <c r="BZ155" s="132"/>
      <c r="CA155" s="132"/>
      <c r="CB155" s="132"/>
      <c r="CC155" s="22"/>
      <c r="CG155" s="24" t="s">
        <v>105</v>
      </c>
      <c r="CH155" s="24"/>
      <c r="CI155" s="24"/>
      <c r="CJ155" s="24"/>
    </row>
    <row r="156" spans="1:88" ht="15" customHeight="1">
      <c r="A156" s="18">
        <v>2017</v>
      </c>
      <c r="B156" s="18" t="str">
        <f>+INDEX(BDD!F:F,MATCH(P156,BDD!D:D,0))&amp;"-"&amp;INDEX(BDD!E:E,MATCH(P156,BDD!D:D,0))</f>
        <v>G-S</v>
      </c>
      <c r="C156" s="360" t="s">
        <v>484</v>
      </c>
      <c r="D156" s="150" t="s">
        <v>77</v>
      </c>
      <c r="E156" s="132"/>
      <c r="F156" s="24"/>
      <c r="G156" s="346">
        <v>8000000150</v>
      </c>
      <c r="H156" s="25" t="s">
        <v>1019</v>
      </c>
      <c r="I156" s="329"/>
      <c r="J156" s="346">
        <v>8000000150</v>
      </c>
      <c r="K156" s="24"/>
      <c r="L156" s="24"/>
      <c r="M156" s="24"/>
      <c r="N156" s="340" t="s">
        <v>486</v>
      </c>
      <c r="O156" s="334">
        <v>203616</v>
      </c>
      <c r="P156" s="25" t="s">
        <v>331</v>
      </c>
      <c r="Q156" s="127" t="s">
        <v>167</v>
      </c>
      <c r="R156" s="128" t="s">
        <v>1009</v>
      </c>
      <c r="S156" s="24">
        <v>43006</v>
      </c>
      <c r="T156" s="36" t="s">
        <v>19</v>
      </c>
      <c r="U156" s="125"/>
      <c r="V156" s="88" t="s">
        <v>1020</v>
      </c>
      <c r="W156" s="129"/>
      <c r="X156" s="88">
        <v>43052</v>
      </c>
      <c r="Y156" s="130" t="s">
        <v>20</v>
      </c>
      <c r="Z156" s="133" t="s">
        <v>60</v>
      </c>
      <c r="AA156" s="133"/>
      <c r="AB156" s="148">
        <v>100</v>
      </c>
      <c r="AC156" s="134">
        <v>150</v>
      </c>
      <c r="AD156" s="134"/>
      <c r="AE156" s="403">
        <f t="shared" si="7"/>
        <v>15000</v>
      </c>
      <c r="AF156" s="132" t="str">
        <f>IF(W156=BDD!$P$1,IMPORTS!AB156/25,IF(W156=BDD!$P$2,IMPORTS!AB156/25,IF(IMPORTS!W156=BDD!$P$4,IMPORTS!AB156/25.5,"--")))</f>
        <v>--</v>
      </c>
      <c r="AG156" s="130" t="s">
        <v>46</v>
      </c>
      <c r="AH156" s="130"/>
      <c r="AI156" s="130" t="s">
        <v>100</v>
      </c>
      <c r="AJ156" s="130"/>
      <c r="AK156" s="130"/>
      <c r="AL156" s="135" t="s">
        <v>605</v>
      </c>
      <c r="AM156" s="314"/>
      <c r="AN156" s="26"/>
      <c r="AO156" s="26"/>
      <c r="AP156" s="26"/>
      <c r="AQ156" s="26">
        <v>43074</v>
      </c>
      <c r="AR156" s="24"/>
      <c r="AS156" s="24"/>
      <c r="AT156" s="24">
        <v>43074</v>
      </c>
      <c r="AU156" s="418">
        <f t="shared" si="8"/>
        <v>12</v>
      </c>
      <c r="AV156" s="418">
        <f t="shared" si="9"/>
        <v>2017</v>
      </c>
      <c r="AW156" s="24"/>
      <c r="AX156" s="28"/>
      <c r="AY156" s="28" t="s">
        <v>230</v>
      </c>
      <c r="AZ156" s="132" t="s">
        <v>62</v>
      </c>
      <c r="BA156" s="132"/>
      <c r="BB156" s="24"/>
      <c r="BC156" s="135" t="s">
        <v>1021</v>
      </c>
      <c r="BD156" s="24">
        <v>43028</v>
      </c>
      <c r="BE156" s="135" t="s">
        <v>1012</v>
      </c>
      <c r="BF156" s="135" t="s">
        <v>1012</v>
      </c>
      <c r="BG156" s="135" t="s">
        <v>52</v>
      </c>
      <c r="BH156" s="135"/>
      <c r="BI156" s="314"/>
      <c r="BJ156" s="314"/>
      <c r="BK156" s="24"/>
      <c r="BL156" s="24"/>
      <c r="BM156" s="24"/>
      <c r="BN156" s="24"/>
      <c r="BO156" s="24"/>
      <c r="BP156" s="24"/>
      <c r="BQ156" s="24"/>
      <c r="BR156" s="43"/>
      <c r="BS156" s="24"/>
      <c r="BT156" s="24"/>
      <c r="BU156" s="24"/>
      <c r="BV156" s="132" t="e">
        <f>IF(#REF!="COMPLETO","OK","PENDIENTES")</f>
        <v>#REF!</v>
      </c>
      <c r="BW156" s="132"/>
      <c r="BX156" s="132"/>
      <c r="BY156" s="132"/>
      <c r="BZ156" s="132"/>
      <c r="CA156" s="132"/>
      <c r="CB156" s="132"/>
      <c r="CC156" s="22"/>
      <c r="CG156" s="24" t="s">
        <v>105</v>
      </c>
      <c r="CH156" s="24"/>
      <c r="CI156" s="24"/>
      <c r="CJ156" s="24"/>
    </row>
    <row r="157" spans="1:88" ht="15" customHeight="1">
      <c r="A157" s="18">
        <v>2017</v>
      </c>
      <c r="B157" s="18" t="str">
        <f>+INDEX(BDD!F:F,MATCH(P157,BDD!D:D,0))&amp;"-"&amp;INDEX(BDD!E:E,MATCH(P157,BDD!D:D,0))</f>
        <v>S-C</v>
      </c>
      <c r="C157" s="360" t="s">
        <v>484</v>
      </c>
      <c r="D157" s="150" t="s">
        <v>77</v>
      </c>
      <c r="E157" s="132"/>
      <c r="F157" s="24"/>
      <c r="G157" s="346">
        <v>8000000073</v>
      </c>
      <c r="H157" s="25" t="s">
        <v>1022</v>
      </c>
      <c r="I157" s="329"/>
      <c r="J157" s="346">
        <v>8000000073</v>
      </c>
      <c r="K157" s="24"/>
      <c r="L157" s="24"/>
      <c r="M157" s="24"/>
      <c r="N157" s="340" t="s">
        <v>486</v>
      </c>
      <c r="O157" s="334">
        <v>209975</v>
      </c>
      <c r="P157" s="25" t="s">
        <v>244</v>
      </c>
      <c r="Q157" s="127" t="s">
        <v>42</v>
      </c>
      <c r="R157" s="128"/>
      <c r="S157" s="24"/>
      <c r="T157" s="36" t="s">
        <v>19</v>
      </c>
      <c r="U157" s="125"/>
      <c r="V157" s="147" t="s">
        <v>1023</v>
      </c>
      <c r="W157" s="129"/>
      <c r="X157" s="88">
        <v>43034</v>
      </c>
      <c r="Y157" s="130" t="s">
        <v>20</v>
      </c>
      <c r="Z157" s="133" t="s">
        <v>60</v>
      </c>
      <c r="AA157" s="133"/>
      <c r="AB157" s="158">
        <v>150</v>
      </c>
      <c r="AC157" s="134">
        <v>760</v>
      </c>
      <c r="AD157" s="134"/>
      <c r="AE157" s="403">
        <f t="shared" si="7"/>
        <v>114000</v>
      </c>
      <c r="AF157" s="132" t="str">
        <f>IF(W157=BDD!$P$1,IMPORTS!AB157/25,IF(W157=BDD!$P$2,IMPORTS!AB157/25,IF(IMPORTS!W157=BDD!$P$4,IMPORTS!AB157/25.5,"--")))</f>
        <v>--</v>
      </c>
      <c r="AG157" s="130" t="s">
        <v>5</v>
      </c>
      <c r="AH157" s="130"/>
      <c r="AI157" s="130" t="s">
        <v>71</v>
      </c>
      <c r="AJ157" s="130"/>
      <c r="AK157" s="130"/>
      <c r="AL157" s="135" t="s">
        <v>605</v>
      </c>
      <c r="AM157" s="314"/>
      <c r="AN157" s="26"/>
      <c r="AO157" s="26"/>
      <c r="AP157" s="26"/>
      <c r="AQ157" s="26">
        <v>43033</v>
      </c>
      <c r="AR157" s="24"/>
      <c r="AS157" s="24"/>
      <c r="AT157" s="24">
        <v>43035</v>
      </c>
      <c r="AU157" s="418">
        <f t="shared" si="8"/>
        <v>10</v>
      </c>
      <c r="AV157" s="418">
        <f t="shared" si="9"/>
        <v>2017</v>
      </c>
      <c r="AW157" s="24"/>
      <c r="AX157" s="28"/>
      <c r="AY157" s="28" t="s">
        <v>181</v>
      </c>
      <c r="AZ157" s="132" t="s">
        <v>37</v>
      </c>
      <c r="BA157" s="132"/>
      <c r="BB157" s="24"/>
      <c r="BC157" s="135" t="s">
        <v>1024</v>
      </c>
      <c r="BD157" s="24">
        <v>43028</v>
      </c>
      <c r="BE157" s="135" t="s">
        <v>1025</v>
      </c>
      <c r="BF157" s="135"/>
      <c r="BG157" s="135" t="s">
        <v>190</v>
      </c>
      <c r="BH157" s="135"/>
      <c r="BI157" s="314"/>
      <c r="BJ157" s="314"/>
      <c r="BK157" s="24"/>
      <c r="BL157" s="24"/>
      <c r="BM157" s="24"/>
      <c r="BN157" s="24"/>
      <c r="BO157" s="24"/>
      <c r="BP157" s="24"/>
      <c r="BQ157" s="24"/>
      <c r="BR157" s="43"/>
      <c r="BS157" s="24"/>
      <c r="BT157" s="24"/>
      <c r="BU157" s="24"/>
      <c r="BV157" s="132" t="e">
        <f>IF(#REF!="COMPLETO","OK","PENDIENTES")</f>
        <v>#REF!</v>
      </c>
      <c r="BW157" s="132"/>
      <c r="BX157" s="132"/>
      <c r="BY157" s="132"/>
      <c r="BZ157" s="132"/>
      <c r="CA157" s="132"/>
      <c r="CB157" s="132"/>
      <c r="CC157" s="22"/>
      <c r="CG157" s="24" t="s">
        <v>105</v>
      </c>
      <c r="CH157" s="24"/>
      <c r="CI157" s="24"/>
      <c r="CJ157" s="24"/>
    </row>
    <row r="158" spans="1:88" ht="15" customHeight="1">
      <c r="A158" s="18">
        <v>2017</v>
      </c>
      <c r="B158" s="18" t="str">
        <f>+INDEX(BDD!F:F,MATCH(P158,BDD!D:D,0))&amp;"-"&amp;INDEX(BDD!E:E,MATCH(P158,BDD!D:D,0))</f>
        <v>E-S</v>
      </c>
      <c r="C158" s="360" t="s">
        <v>484</v>
      </c>
      <c r="D158" s="150" t="s">
        <v>77</v>
      </c>
      <c r="E158" s="132"/>
      <c r="F158" s="24"/>
      <c r="G158" s="346">
        <v>8000000074</v>
      </c>
      <c r="H158" s="25" t="s">
        <v>1026</v>
      </c>
      <c r="I158" s="329"/>
      <c r="J158" s="346">
        <v>8000000074</v>
      </c>
      <c r="K158" s="24"/>
      <c r="L158" s="24"/>
      <c r="M158" s="24"/>
      <c r="N158" s="340" t="s">
        <v>486</v>
      </c>
      <c r="O158" s="334">
        <v>204378</v>
      </c>
      <c r="P158" s="25" t="s">
        <v>283</v>
      </c>
      <c r="Q158" s="127" t="s">
        <v>146</v>
      </c>
      <c r="R158" s="128" t="s">
        <v>1027</v>
      </c>
      <c r="S158" s="24"/>
      <c r="T158" s="36">
        <v>90</v>
      </c>
      <c r="U158" s="125" t="s">
        <v>118</v>
      </c>
      <c r="V158" s="88" t="s">
        <v>1028</v>
      </c>
      <c r="W158" s="129"/>
      <c r="X158" s="88">
        <f>IF(RIGHT(U158,3)="ETA",AQ158+T158,IF(RIGHT(U158,2)="BL",BD158+T158," "))</f>
        <v>43152</v>
      </c>
      <c r="Y158" s="130" t="s">
        <v>20</v>
      </c>
      <c r="Z158" s="176" t="s">
        <v>60</v>
      </c>
      <c r="AA158" s="176"/>
      <c r="AB158" s="148">
        <v>4.5350000000000001</v>
      </c>
      <c r="AC158" s="134">
        <v>2352.753087100331</v>
      </c>
      <c r="AD158" s="134"/>
      <c r="AE158" s="403">
        <f t="shared" si="7"/>
        <v>10669.735250000002</v>
      </c>
      <c r="AF158" s="132" t="s">
        <v>944</v>
      </c>
      <c r="AG158" s="130" t="s">
        <v>5</v>
      </c>
      <c r="AH158" s="130"/>
      <c r="AI158" s="130" t="s">
        <v>59</v>
      </c>
      <c r="AJ158" s="130"/>
      <c r="AK158" s="130"/>
      <c r="AL158" s="24" t="s">
        <v>640</v>
      </c>
      <c r="AM158" s="314"/>
      <c r="AN158" s="26"/>
      <c r="AO158" s="26"/>
      <c r="AP158" s="26"/>
      <c r="AQ158" s="26">
        <v>43083</v>
      </c>
      <c r="AR158" s="24"/>
      <c r="AS158" s="24"/>
      <c r="AT158" s="24">
        <v>43091</v>
      </c>
      <c r="AU158" s="418">
        <f t="shared" si="8"/>
        <v>12</v>
      </c>
      <c r="AV158" s="418">
        <f t="shared" si="9"/>
        <v>2017</v>
      </c>
      <c r="AW158" s="24"/>
      <c r="AX158" s="28"/>
      <c r="AY158" s="28" t="s">
        <v>127</v>
      </c>
      <c r="AZ158" s="132" t="s">
        <v>37</v>
      </c>
      <c r="BA158" s="132"/>
      <c r="BB158" s="24"/>
      <c r="BC158" s="135" t="s">
        <v>1029</v>
      </c>
      <c r="BD158" s="24">
        <v>43062</v>
      </c>
      <c r="BE158" s="135" t="s">
        <v>1030</v>
      </c>
      <c r="BF158" s="135"/>
      <c r="BG158" s="135" t="s">
        <v>140</v>
      </c>
      <c r="BH158" s="135"/>
      <c r="BI158" s="314"/>
      <c r="BJ158" s="314"/>
      <c r="BK158" s="24"/>
      <c r="BL158" s="24"/>
      <c r="BM158" s="24"/>
      <c r="BN158" s="24"/>
      <c r="BO158" s="24"/>
      <c r="BP158" s="24"/>
      <c r="BQ158" s="24"/>
      <c r="BR158" s="43"/>
      <c r="BS158" s="24"/>
      <c r="BT158" s="24"/>
      <c r="BU158" s="24"/>
      <c r="BV158" s="132" t="e">
        <f>IF(#REF!="COMPLETO","OK","PENDIENTES")</f>
        <v>#REF!</v>
      </c>
      <c r="BW158" s="132"/>
      <c r="BX158" s="132"/>
      <c r="BY158" s="132"/>
      <c r="BZ158" s="132"/>
      <c r="CA158" s="132"/>
      <c r="CB158" s="132"/>
      <c r="CC158" s="22"/>
      <c r="CG158" s="24" t="s">
        <v>105</v>
      </c>
      <c r="CH158" s="24"/>
      <c r="CI158" s="24"/>
      <c r="CJ158" s="24"/>
    </row>
    <row r="159" spans="1:88" ht="15" customHeight="1">
      <c r="A159" s="18">
        <v>2017</v>
      </c>
      <c r="B159" s="18" t="str">
        <f>+INDEX(BDD!F:F,MATCH(P159,BDD!D:D,0))&amp;"-"&amp;INDEX(BDD!E:E,MATCH(P159,BDD!D:D,0))</f>
        <v>E-S</v>
      </c>
      <c r="C159" s="360" t="s">
        <v>484</v>
      </c>
      <c r="D159" s="150" t="s">
        <v>77</v>
      </c>
      <c r="E159" s="132"/>
      <c r="F159" s="24"/>
      <c r="G159" s="346">
        <v>8000000074</v>
      </c>
      <c r="H159" s="25" t="s">
        <v>1031</v>
      </c>
      <c r="I159" s="329"/>
      <c r="J159" s="346">
        <v>8000000074</v>
      </c>
      <c r="K159" s="24"/>
      <c r="L159" s="24"/>
      <c r="M159" s="24"/>
      <c r="N159" s="340" t="s">
        <v>486</v>
      </c>
      <c r="O159" s="334">
        <v>204377</v>
      </c>
      <c r="P159" s="25" t="s">
        <v>286</v>
      </c>
      <c r="Q159" s="127" t="s">
        <v>146</v>
      </c>
      <c r="R159" s="128" t="s">
        <v>1027</v>
      </c>
      <c r="S159" s="24"/>
      <c r="T159" s="36">
        <v>90</v>
      </c>
      <c r="U159" s="125" t="s">
        <v>118</v>
      </c>
      <c r="V159" s="88" t="s">
        <v>1028</v>
      </c>
      <c r="W159" s="129"/>
      <c r="X159" s="88">
        <f>IF(RIGHT(U159,3)="ETA",AQ159+T159,IF(RIGHT(U159,2)="BL",BD159+T159," "))</f>
        <v>43152</v>
      </c>
      <c r="Y159" s="130" t="s">
        <v>20</v>
      </c>
      <c r="Z159" s="133" t="s">
        <v>60</v>
      </c>
      <c r="AA159" s="133"/>
      <c r="AB159" s="148">
        <v>6.8025000000000002</v>
      </c>
      <c r="AC159" s="134">
        <v>2378.7730871003309</v>
      </c>
      <c r="AD159" s="134"/>
      <c r="AE159" s="403">
        <f t="shared" si="7"/>
        <v>16181.603925000001</v>
      </c>
      <c r="AF159" s="132" t="s">
        <v>944</v>
      </c>
      <c r="AG159" s="130" t="s">
        <v>5</v>
      </c>
      <c r="AH159" s="130"/>
      <c r="AI159" s="130" t="s">
        <v>59</v>
      </c>
      <c r="AJ159" s="130"/>
      <c r="AK159" s="130"/>
      <c r="AL159" s="24" t="s">
        <v>640</v>
      </c>
      <c r="AM159" s="314"/>
      <c r="AN159" s="26"/>
      <c r="AO159" s="26"/>
      <c r="AP159" s="26"/>
      <c r="AQ159" s="26">
        <v>43083</v>
      </c>
      <c r="AR159" s="24"/>
      <c r="AS159" s="24"/>
      <c r="AT159" s="24">
        <v>43091</v>
      </c>
      <c r="AU159" s="418">
        <f t="shared" si="8"/>
        <v>12</v>
      </c>
      <c r="AV159" s="418">
        <f t="shared" si="9"/>
        <v>2017</v>
      </c>
      <c r="AW159" s="24"/>
      <c r="AX159" s="28"/>
      <c r="AY159" s="28" t="s">
        <v>127</v>
      </c>
      <c r="AZ159" s="132" t="s">
        <v>37</v>
      </c>
      <c r="BA159" s="132"/>
      <c r="BB159" s="24"/>
      <c r="BC159" s="135" t="s">
        <v>1029</v>
      </c>
      <c r="BD159" s="24">
        <v>43062</v>
      </c>
      <c r="BE159" s="135" t="s">
        <v>1030</v>
      </c>
      <c r="BF159" s="135"/>
      <c r="BG159" s="135" t="s">
        <v>140</v>
      </c>
      <c r="BH159" s="135"/>
      <c r="BI159" s="314"/>
      <c r="BJ159" s="314"/>
      <c r="BK159" s="24"/>
      <c r="BL159" s="24"/>
      <c r="BM159" s="24"/>
      <c r="BN159" s="24"/>
      <c r="BO159" s="24"/>
      <c r="BP159" s="24"/>
      <c r="BQ159" s="24"/>
      <c r="BR159" s="43"/>
      <c r="BS159" s="24"/>
      <c r="BT159" s="24"/>
      <c r="BU159" s="24"/>
      <c r="BV159" s="132" t="e">
        <f>IF(#REF!="COMPLETO","OK","PENDIENTES")</f>
        <v>#REF!</v>
      </c>
      <c r="BW159" s="132"/>
      <c r="BX159" s="132"/>
      <c r="BY159" s="132"/>
      <c r="BZ159" s="132"/>
      <c r="CA159" s="132"/>
      <c r="CB159" s="132"/>
      <c r="CC159" s="22"/>
      <c r="CG159" s="24" t="s">
        <v>105</v>
      </c>
      <c r="CH159" s="24"/>
      <c r="CI159" s="24"/>
      <c r="CJ159" s="24"/>
    </row>
    <row r="160" spans="1:88" ht="15" customHeight="1">
      <c r="A160" s="18">
        <v>2017</v>
      </c>
      <c r="B160" s="18" t="str">
        <f>+INDEX(BDD!F:F,MATCH(P160,BDD!D:D,0))&amp;"-"&amp;INDEX(BDD!E:E,MATCH(P160,BDD!D:D,0))</f>
        <v>E-S</v>
      </c>
      <c r="C160" s="360" t="s">
        <v>484</v>
      </c>
      <c r="D160" s="150" t="s">
        <v>77</v>
      </c>
      <c r="E160" s="132"/>
      <c r="F160" s="24"/>
      <c r="G160" s="346">
        <v>8000000074</v>
      </c>
      <c r="H160" s="25" t="s">
        <v>1032</v>
      </c>
      <c r="I160" s="329"/>
      <c r="J160" s="346">
        <v>8000000074</v>
      </c>
      <c r="K160" s="24"/>
      <c r="L160" s="24"/>
      <c r="M160" s="24"/>
      <c r="N160" s="340" t="s">
        <v>486</v>
      </c>
      <c r="O160" s="334">
        <v>204379</v>
      </c>
      <c r="P160" s="25" t="s">
        <v>280</v>
      </c>
      <c r="Q160" s="127" t="s">
        <v>146</v>
      </c>
      <c r="R160" s="128" t="s">
        <v>1027</v>
      </c>
      <c r="S160" s="24"/>
      <c r="T160" s="36">
        <v>90</v>
      </c>
      <c r="U160" s="125" t="s">
        <v>118</v>
      </c>
      <c r="V160" s="88" t="s">
        <v>1028</v>
      </c>
      <c r="W160" s="129"/>
      <c r="X160" s="88">
        <f>IF(RIGHT(U160,3)="ETA",AQ160+T160,IF(RIGHT(U160,2)="BL",BD160+T160," "))</f>
        <v>43152</v>
      </c>
      <c r="Y160" s="130" t="s">
        <v>20</v>
      </c>
      <c r="Z160" s="133" t="s">
        <v>60</v>
      </c>
      <c r="AA160" s="133"/>
      <c r="AB160" s="148">
        <v>6.8025000000000002</v>
      </c>
      <c r="AC160" s="134">
        <v>2261.463087100331</v>
      </c>
      <c r="AD160" s="134"/>
      <c r="AE160" s="403">
        <f t="shared" si="7"/>
        <v>15383.602650000003</v>
      </c>
      <c r="AF160" s="132" t="s">
        <v>944</v>
      </c>
      <c r="AG160" s="130" t="s">
        <v>5</v>
      </c>
      <c r="AH160" s="130"/>
      <c r="AI160" s="130" t="s">
        <v>59</v>
      </c>
      <c r="AJ160" s="130"/>
      <c r="AK160" s="130"/>
      <c r="AL160" s="24" t="s">
        <v>640</v>
      </c>
      <c r="AM160" s="314"/>
      <c r="AN160" s="26"/>
      <c r="AO160" s="26"/>
      <c r="AP160" s="26"/>
      <c r="AQ160" s="26">
        <v>43083</v>
      </c>
      <c r="AR160" s="24"/>
      <c r="AS160" s="24"/>
      <c r="AT160" s="24">
        <v>43091</v>
      </c>
      <c r="AU160" s="418">
        <f t="shared" si="8"/>
        <v>12</v>
      </c>
      <c r="AV160" s="418">
        <f t="shared" si="9"/>
        <v>2017</v>
      </c>
      <c r="AW160" s="24"/>
      <c r="AX160" s="28"/>
      <c r="AY160" s="28" t="s">
        <v>127</v>
      </c>
      <c r="AZ160" s="132" t="s">
        <v>37</v>
      </c>
      <c r="BA160" s="132"/>
      <c r="BB160" s="24"/>
      <c r="BC160" s="135" t="s">
        <v>1029</v>
      </c>
      <c r="BD160" s="24">
        <v>43062</v>
      </c>
      <c r="BE160" s="135" t="s">
        <v>1030</v>
      </c>
      <c r="BF160" s="27"/>
      <c r="BG160" s="135" t="s">
        <v>140</v>
      </c>
      <c r="BH160" s="135"/>
      <c r="BI160" s="314"/>
      <c r="BJ160" s="314"/>
      <c r="BK160" s="24"/>
      <c r="BL160" s="24"/>
      <c r="BM160" s="24"/>
      <c r="BN160" s="24"/>
      <c r="BO160" s="24"/>
      <c r="BP160" s="24"/>
      <c r="BQ160" s="24"/>
      <c r="BR160" s="43"/>
      <c r="BS160" s="24"/>
      <c r="BT160" s="24"/>
      <c r="BU160" s="24"/>
      <c r="BV160" s="132" t="e">
        <f>IF(#REF!="COMPLETO","OK","PENDIENTES")</f>
        <v>#REF!</v>
      </c>
      <c r="BW160" s="132"/>
      <c r="BX160" s="132"/>
      <c r="BY160" s="132"/>
      <c r="BZ160" s="132"/>
      <c r="CA160" s="132"/>
      <c r="CB160" s="132"/>
      <c r="CC160" s="22"/>
      <c r="CG160" s="24" t="s">
        <v>105</v>
      </c>
      <c r="CH160" s="24"/>
      <c r="CI160" s="24"/>
      <c r="CJ160" s="24"/>
    </row>
    <row r="161" spans="1:88" ht="15" customHeight="1">
      <c r="A161" s="18">
        <v>2017</v>
      </c>
      <c r="B161" s="18" t="str">
        <f>+INDEX(BDD!F:F,MATCH(P161,BDD!D:D,0))&amp;"-"&amp;INDEX(BDD!E:E,MATCH(P161,BDD!D:D,0))</f>
        <v>E-S</v>
      </c>
      <c r="C161" s="360" t="s">
        <v>484</v>
      </c>
      <c r="D161" s="150" t="s">
        <v>77</v>
      </c>
      <c r="E161" s="132"/>
      <c r="F161" s="24"/>
      <c r="G161" s="346">
        <v>8000000151</v>
      </c>
      <c r="H161" s="25" t="s">
        <v>1033</v>
      </c>
      <c r="I161" s="329"/>
      <c r="J161" s="346">
        <v>8000000151</v>
      </c>
      <c r="K161" s="24"/>
      <c r="L161" s="24"/>
      <c r="M161" s="24"/>
      <c r="N161" s="340" t="s">
        <v>486</v>
      </c>
      <c r="O161" s="334">
        <v>207522</v>
      </c>
      <c r="P161" s="25" t="s">
        <v>298</v>
      </c>
      <c r="Q161" s="127" t="s">
        <v>183</v>
      </c>
      <c r="R161" s="128" t="s">
        <v>1034</v>
      </c>
      <c r="S161" s="24">
        <v>43006</v>
      </c>
      <c r="T161" s="36">
        <v>90</v>
      </c>
      <c r="U161" s="125" t="s">
        <v>118</v>
      </c>
      <c r="V161" s="155">
        <v>300003899</v>
      </c>
      <c r="W161" s="129"/>
      <c r="X161" s="88">
        <v>43152</v>
      </c>
      <c r="Y161" s="130" t="s">
        <v>20</v>
      </c>
      <c r="Z161" s="133" t="s">
        <v>60</v>
      </c>
      <c r="AA161" s="133"/>
      <c r="AB161" s="148">
        <v>195.68</v>
      </c>
      <c r="AC161" s="134">
        <v>230</v>
      </c>
      <c r="AD161" s="134"/>
      <c r="AE161" s="403">
        <f t="shared" si="7"/>
        <v>45006.400000000001</v>
      </c>
      <c r="AF161" s="132">
        <v>7</v>
      </c>
      <c r="AG161" s="130" t="s">
        <v>5</v>
      </c>
      <c r="AH161" s="130"/>
      <c r="AI161" s="130" t="s">
        <v>100</v>
      </c>
      <c r="AJ161" s="130"/>
      <c r="AK161" s="130"/>
      <c r="AL161" s="24" t="s">
        <v>640</v>
      </c>
      <c r="AM161" s="314"/>
      <c r="AN161" s="26"/>
      <c r="AO161" s="26"/>
      <c r="AP161" s="26"/>
      <c r="AQ161" s="26">
        <v>43084</v>
      </c>
      <c r="AR161" s="24"/>
      <c r="AS161" s="24"/>
      <c r="AT161" s="24">
        <v>43088</v>
      </c>
      <c r="AU161" s="418">
        <f t="shared" si="8"/>
        <v>12</v>
      </c>
      <c r="AV161" s="418">
        <f t="shared" si="9"/>
        <v>2017</v>
      </c>
      <c r="AW161" s="24"/>
      <c r="AX161" s="28"/>
      <c r="AY161" s="28" t="s">
        <v>8</v>
      </c>
      <c r="AZ161" s="132" t="s">
        <v>37</v>
      </c>
      <c r="BA161" s="132"/>
      <c r="BB161" s="24"/>
      <c r="BC161" s="135" t="s">
        <v>1035</v>
      </c>
      <c r="BD161" s="24">
        <v>43062</v>
      </c>
      <c r="BE161" s="135" t="s">
        <v>756</v>
      </c>
      <c r="BF161" s="135" t="s">
        <v>756</v>
      </c>
      <c r="BG161" s="135" t="s">
        <v>29</v>
      </c>
      <c r="BH161" s="135"/>
      <c r="BI161" s="314"/>
      <c r="BJ161" s="314"/>
      <c r="BK161" s="24"/>
      <c r="BL161" s="24"/>
      <c r="BM161" s="24"/>
      <c r="BN161" s="24"/>
      <c r="BO161" s="24">
        <f>+AQ161+14</f>
        <v>43098</v>
      </c>
      <c r="BP161" s="24"/>
      <c r="BQ161" s="24"/>
      <c r="BR161" s="43"/>
      <c r="BS161" s="24"/>
      <c r="BT161" s="24"/>
      <c r="BU161" s="24"/>
      <c r="BV161" s="132" t="e">
        <f>IF(#REF!="COMPLETO","OK","PENDIENTES")</f>
        <v>#REF!</v>
      </c>
      <c r="BW161" s="132"/>
      <c r="BX161" s="132"/>
      <c r="BY161" s="132"/>
      <c r="BZ161" s="132"/>
      <c r="CA161" s="132"/>
      <c r="CB161" s="132"/>
      <c r="CC161" s="22"/>
      <c r="CG161" s="24" t="s">
        <v>105</v>
      </c>
      <c r="CH161" s="24"/>
      <c r="CI161" s="24"/>
      <c r="CJ161" s="24"/>
    </row>
    <row r="162" spans="1:88" ht="15" customHeight="1">
      <c r="A162" s="18">
        <v>2017</v>
      </c>
      <c r="B162" s="18" t="str">
        <f>+INDEX(BDD!F:F,MATCH(P162,BDD!D:D,0))&amp;"-"&amp;INDEX(BDD!E:E,MATCH(P162,BDD!D:D,0))</f>
        <v>E-S</v>
      </c>
      <c r="C162" s="360" t="s">
        <v>484</v>
      </c>
      <c r="D162" s="150" t="s">
        <v>77</v>
      </c>
      <c r="E162" s="132"/>
      <c r="F162" s="24"/>
      <c r="G162" s="346">
        <v>8000000152</v>
      </c>
      <c r="H162" s="25" t="s">
        <v>1036</v>
      </c>
      <c r="I162" s="329"/>
      <c r="J162" s="346">
        <v>8000000152</v>
      </c>
      <c r="K162" s="24"/>
      <c r="L162" s="24"/>
      <c r="M162" s="24"/>
      <c r="N162" s="340" t="s">
        <v>486</v>
      </c>
      <c r="O162" s="334">
        <v>207522</v>
      </c>
      <c r="P162" s="25" t="s">
        <v>298</v>
      </c>
      <c r="Q162" s="127" t="s">
        <v>183</v>
      </c>
      <c r="R162" s="128" t="s">
        <v>1034</v>
      </c>
      <c r="S162" s="24">
        <v>43006</v>
      </c>
      <c r="T162" s="36">
        <v>90</v>
      </c>
      <c r="U162" s="125" t="s">
        <v>118</v>
      </c>
      <c r="V162" s="155">
        <v>300003900</v>
      </c>
      <c r="W162" s="129"/>
      <c r="X162" s="88">
        <f>IF(RIGHT(U162,3)="ETA",AQ162+T162,IF(RIGHT(U162,2)="BL",BD162+T162," "))</f>
        <v>43152</v>
      </c>
      <c r="Y162" s="130" t="s">
        <v>20</v>
      </c>
      <c r="Z162" s="133" t="s">
        <v>60</v>
      </c>
      <c r="AA162" s="133"/>
      <c r="AB162" s="148">
        <v>195.71</v>
      </c>
      <c r="AC162" s="134">
        <v>230</v>
      </c>
      <c r="AD162" s="134"/>
      <c r="AE162" s="403">
        <f t="shared" si="7"/>
        <v>45013.3</v>
      </c>
      <c r="AF162" s="132">
        <v>7</v>
      </c>
      <c r="AG162" s="130" t="s">
        <v>5</v>
      </c>
      <c r="AH162" s="130"/>
      <c r="AI162" s="130" t="s">
        <v>100</v>
      </c>
      <c r="AJ162" s="130"/>
      <c r="AK162" s="130"/>
      <c r="AL162" s="24" t="s">
        <v>640</v>
      </c>
      <c r="AM162" s="314"/>
      <c r="AN162" s="26"/>
      <c r="AO162" s="26"/>
      <c r="AP162" s="26"/>
      <c r="AQ162" s="26">
        <v>43087</v>
      </c>
      <c r="AR162" s="24"/>
      <c r="AS162" s="24"/>
      <c r="AT162" s="24">
        <v>43089</v>
      </c>
      <c r="AU162" s="418">
        <f t="shared" si="8"/>
        <v>12</v>
      </c>
      <c r="AV162" s="418">
        <f t="shared" si="9"/>
        <v>2017</v>
      </c>
      <c r="AW162" s="24"/>
      <c r="AX162" s="28"/>
      <c r="AY162" s="28" t="s">
        <v>8</v>
      </c>
      <c r="AZ162" s="132" t="s">
        <v>9</v>
      </c>
      <c r="BA162" s="132"/>
      <c r="BB162" s="24"/>
      <c r="BC162" s="135" t="s">
        <v>1037</v>
      </c>
      <c r="BD162" s="24">
        <v>43062</v>
      </c>
      <c r="BE162" s="135" t="s">
        <v>756</v>
      </c>
      <c r="BF162" s="135" t="s">
        <v>580</v>
      </c>
      <c r="BG162" s="135" t="s">
        <v>29</v>
      </c>
      <c r="BH162" s="135"/>
      <c r="BI162" s="314"/>
      <c r="BJ162" s="314"/>
      <c r="BK162" s="24"/>
      <c r="BL162" s="24"/>
      <c r="BM162" s="24"/>
      <c r="BN162" s="24"/>
      <c r="BO162" s="24">
        <v>43100</v>
      </c>
      <c r="BP162" s="24"/>
      <c r="BQ162" s="24"/>
      <c r="BR162" s="43"/>
      <c r="BS162" s="24"/>
      <c r="BT162" s="24"/>
      <c r="BU162" s="24"/>
      <c r="BV162" s="132" t="e">
        <f>IF(#REF!="COMPLETO","OK","PENDIENTES")</f>
        <v>#REF!</v>
      </c>
      <c r="BW162" s="132"/>
      <c r="BX162" s="132"/>
      <c r="BY162" s="132"/>
      <c r="BZ162" s="132"/>
      <c r="CA162" s="132"/>
      <c r="CB162" s="132"/>
      <c r="CC162" s="22"/>
      <c r="CG162" s="24" t="s">
        <v>105</v>
      </c>
      <c r="CH162" s="24"/>
      <c r="CI162" s="24"/>
      <c r="CJ162" s="24"/>
    </row>
    <row r="163" spans="1:88" ht="15" customHeight="1">
      <c r="A163" s="18">
        <v>2017</v>
      </c>
      <c r="B163" s="18" t="str">
        <f>+INDEX(BDD!F:F,MATCH(P163,BDD!D:D,0))&amp;"-"&amp;INDEX(BDD!E:E,MATCH(P163,BDD!D:D,0))</f>
        <v>E-S</v>
      </c>
      <c r="C163" s="360" t="s">
        <v>484</v>
      </c>
      <c r="D163" s="150" t="s">
        <v>77</v>
      </c>
      <c r="E163" s="132"/>
      <c r="F163" s="24"/>
      <c r="G163" s="346"/>
      <c r="H163" s="25" t="s">
        <v>1038</v>
      </c>
      <c r="I163" s="329"/>
      <c r="J163" s="346"/>
      <c r="K163" s="24"/>
      <c r="L163" s="24"/>
      <c r="M163" s="24"/>
      <c r="N163" s="340"/>
      <c r="O163" s="334">
        <v>207522</v>
      </c>
      <c r="P163" s="25" t="s">
        <v>298</v>
      </c>
      <c r="Q163" s="127" t="s">
        <v>183</v>
      </c>
      <c r="R163" s="128" t="s">
        <v>1034</v>
      </c>
      <c r="S163" s="24">
        <v>43006</v>
      </c>
      <c r="T163" s="36" t="s">
        <v>19</v>
      </c>
      <c r="U163" s="125"/>
      <c r="V163" s="155">
        <v>300004820</v>
      </c>
      <c r="W163" s="129"/>
      <c r="X163" s="88">
        <v>43091</v>
      </c>
      <c r="Y163" s="130" t="s">
        <v>20</v>
      </c>
      <c r="Z163" s="133" t="s">
        <v>60</v>
      </c>
      <c r="AA163" s="133"/>
      <c r="AB163" s="148">
        <v>195.71</v>
      </c>
      <c r="AC163" s="134">
        <v>230</v>
      </c>
      <c r="AD163" s="134"/>
      <c r="AE163" s="403">
        <f t="shared" si="7"/>
        <v>45013.3</v>
      </c>
      <c r="AF163" s="132">
        <v>7</v>
      </c>
      <c r="AG163" s="130" t="s">
        <v>5</v>
      </c>
      <c r="AH163" s="130"/>
      <c r="AI163" s="130" t="s">
        <v>100</v>
      </c>
      <c r="AJ163" s="130"/>
      <c r="AK163" s="130"/>
      <c r="AL163" s="135" t="s">
        <v>921</v>
      </c>
      <c r="AM163" s="314"/>
      <c r="AN163" s="26"/>
      <c r="AO163" s="26"/>
      <c r="AP163" s="26"/>
      <c r="AQ163" s="26">
        <v>43105</v>
      </c>
      <c r="AR163" s="24"/>
      <c r="AS163" s="24"/>
      <c r="AT163" s="24">
        <v>43108</v>
      </c>
      <c r="AU163" s="418">
        <f t="shared" si="8"/>
        <v>1</v>
      </c>
      <c r="AV163" s="418">
        <f t="shared" si="9"/>
        <v>2018</v>
      </c>
      <c r="AW163" s="24"/>
      <c r="AX163" s="28"/>
      <c r="AY163" s="28" t="s">
        <v>8</v>
      </c>
      <c r="AZ163" s="132" t="s">
        <v>37</v>
      </c>
      <c r="BA163" s="132"/>
      <c r="BB163" s="24"/>
      <c r="BC163" s="135" t="s">
        <v>1039</v>
      </c>
      <c r="BD163" s="24">
        <v>43083</v>
      </c>
      <c r="BE163" s="135" t="s">
        <v>652</v>
      </c>
      <c r="BF163" s="135" t="s">
        <v>652</v>
      </c>
      <c r="BG163" s="135" t="s">
        <v>29</v>
      </c>
      <c r="BH163" s="135"/>
      <c r="BI163" s="314"/>
      <c r="BJ163" s="314"/>
      <c r="BK163" s="24"/>
      <c r="BL163" s="24"/>
      <c r="BM163" s="24"/>
      <c r="BN163" s="24"/>
      <c r="BO163" s="24">
        <f>+AQ163+14</f>
        <v>43119</v>
      </c>
      <c r="BP163" s="24"/>
      <c r="BQ163" s="24"/>
      <c r="BR163" s="43"/>
      <c r="BS163" s="24"/>
      <c r="BT163" s="24"/>
      <c r="BU163" s="24"/>
      <c r="BV163" s="132" t="e">
        <f>IF(#REF!="COMPLETO","OK","PENDIENTES")</f>
        <v>#REF!</v>
      </c>
      <c r="BW163" s="132"/>
      <c r="BX163" s="132"/>
      <c r="BY163" s="132"/>
      <c r="BZ163" s="132"/>
      <c r="CA163" s="132"/>
      <c r="CB163" s="132"/>
      <c r="CC163" s="22"/>
      <c r="CG163" s="24" t="s">
        <v>105</v>
      </c>
      <c r="CH163" s="24"/>
      <c r="CI163" s="24"/>
      <c r="CJ163" s="24"/>
    </row>
    <row r="164" spans="1:88" ht="15" customHeight="1">
      <c r="A164" s="18">
        <v>2017</v>
      </c>
      <c r="B164" s="18" t="str">
        <f>+INDEX(BDD!F:F,MATCH(P164,BDD!D:D,0))&amp;"-"&amp;INDEX(BDD!E:E,MATCH(P164,BDD!D:D,0))</f>
        <v>E-S</v>
      </c>
      <c r="C164" s="360" t="s">
        <v>484</v>
      </c>
      <c r="D164" s="150" t="s">
        <v>77</v>
      </c>
      <c r="E164" s="132"/>
      <c r="F164" s="24"/>
      <c r="G164" s="346"/>
      <c r="H164" s="25" t="s">
        <v>1040</v>
      </c>
      <c r="I164" s="329"/>
      <c r="J164" s="346"/>
      <c r="K164" s="24"/>
      <c r="L164" s="24"/>
      <c r="M164" s="24"/>
      <c r="N164" s="340"/>
      <c r="O164" s="334">
        <v>207522</v>
      </c>
      <c r="P164" s="25" t="s">
        <v>298</v>
      </c>
      <c r="Q164" s="127" t="s">
        <v>183</v>
      </c>
      <c r="R164" s="128" t="s">
        <v>1034</v>
      </c>
      <c r="S164" s="24">
        <v>43006</v>
      </c>
      <c r="T164" s="36" t="s">
        <v>19</v>
      </c>
      <c r="U164" s="125"/>
      <c r="V164" s="155">
        <v>300005261</v>
      </c>
      <c r="W164" s="129"/>
      <c r="X164" s="88">
        <v>43111</v>
      </c>
      <c r="Y164" s="130" t="s">
        <v>20</v>
      </c>
      <c r="Z164" s="133" t="s">
        <v>60</v>
      </c>
      <c r="AA164" s="133"/>
      <c r="AB164" s="148">
        <v>195.62</v>
      </c>
      <c r="AC164" s="134">
        <v>230</v>
      </c>
      <c r="AD164" s="134"/>
      <c r="AE164" s="403">
        <f t="shared" si="7"/>
        <v>44992.6</v>
      </c>
      <c r="AF164" s="132">
        <v>7</v>
      </c>
      <c r="AG164" s="130" t="s">
        <v>5</v>
      </c>
      <c r="AH164" s="130"/>
      <c r="AI164" s="130" t="s">
        <v>100</v>
      </c>
      <c r="AJ164" s="130"/>
      <c r="AK164" s="130"/>
      <c r="AL164" s="135" t="s">
        <v>921</v>
      </c>
      <c r="AM164" s="314"/>
      <c r="AN164" s="26"/>
      <c r="AO164" s="26"/>
      <c r="AP164" s="26"/>
      <c r="AQ164" s="26">
        <v>43129</v>
      </c>
      <c r="AR164" s="24"/>
      <c r="AS164" s="24"/>
      <c r="AT164" s="24">
        <v>43132</v>
      </c>
      <c r="AU164" s="418">
        <f t="shared" si="8"/>
        <v>2</v>
      </c>
      <c r="AV164" s="418">
        <f t="shared" si="9"/>
        <v>2018</v>
      </c>
      <c r="AW164" s="24"/>
      <c r="AX164" s="28"/>
      <c r="AY164" s="28" t="s">
        <v>8</v>
      </c>
      <c r="AZ164" s="132" t="s">
        <v>9</v>
      </c>
      <c r="BA164" s="132"/>
      <c r="BB164" s="24"/>
      <c r="BC164" s="135" t="s">
        <v>1041</v>
      </c>
      <c r="BD164" s="24">
        <v>43103</v>
      </c>
      <c r="BE164" s="135" t="s">
        <v>797</v>
      </c>
      <c r="BF164" s="135" t="s">
        <v>932</v>
      </c>
      <c r="BG164" s="135" t="s">
        <v>29</v>
      </c>
      <c r="BH164" s="135"/>
      <c r="BI164" s="314"/>
      <c r="BJ164" s="314"/>
      <c r="BK164" s="24"/>
      <c r="BL164" s="24"/>
      <c r="BM164" s="24"/>
      <c r="BN164" s="24"/>
      <c r="BO164" s="24">
        <f>+AQ164+16</f>
        <v>43145</v>
      </c>
      <c r="BP164" s="24"/>
      <c r="BQ164" s="24"/>
      <c r="BR164" s="43"/>
      <c r="BS164" s="24"/>
      <c r="BT164" s="24"/>
      <c r="BU164" s="24"/>
      <c r="BV164" s="132" t="e">
        <f>IF(#REF!="COMPLETO","OK","PENDIENTES")</f>
        <v>#REF!</v>
      </c>
      <c r="BW164" s="132"/>
      <c r="BX164" s="132"/>
      <c r="BY164" s="132"/>
      <c r="BZ164" s="132"/>
      <c r="CA164" s="132"/>
      <c r="CB164" s="132"/>
      <c r="CC164" s="22"/>
      <c r="CG164" s="24" t="s">
        <v>105</v>
      </c>
      <c r="CH164" s="24"/>
      <c r="CI164" s="24"/>
      <c r="CJ164" s="24"/>
    </row>
    <row r="165" spans="1:88" ht="15" customHeight="1">
      <c r="A165" s="18">
        <v>2017</v>
      </c>
      <c r="B165" s="18" t="str">
        <f>+INDEX(BDD!F:F,MATCH(P165,BDD!D:D,0))&amp;"-"&amp;INDEX(BDD!E:E,MATCH(P165,BDD!D:D,0))</f>
        <v>E-S</v>
      </c>
      <c r="C165" s="360" t="s">
        <v>484</v>
      </c>
      <c r="D165" s="150" t="s">
        <v>77</v>
      </c>
      <c r="E165" s="132"/>
      <c r="F165" s="24"/>
      <c r="G165" s="346"/>
      <c r="H165" s="25" t="s">
        <v>1042</v>
      </c>
      <c r="I165" s="329"/>
      <c r="J165" s="346"/>
      <c r="K165" s="24"/>
      <c r="L165" s="24"/>
      <c r="M165" s="24"/>
      <c r="N165" s="340"/>
      <c r="O165" s="334">
        <v>207522</v>
      </c>
      <c r="P165" s="25" t="s">
        <v>298</v>
      </c>
      <c r="Q165" s="127" t="s">
        <v>183</v>
      </c>
      <c r="R165" s="128" t="s">
        <v>1034</v>
      </c>
      <c r="S165" s="24">
        <v>43006</v>
      </c>
      <c r="T165" s="36" t="s">
        <v>19</v>
      </c>
      <c r="U165" s="125"/>
      <c r="V165" s="155">
        <v>301000027</v>
      </c>
      <c r="W165" s="129"/>
      <c r="X165" s="88">
        <v>43131</v>
      </c>
      <c r="Y165" s="130" t="s">
        <v>20</v>
      </c>
      <c r="Z165" s="133" t="s">
        <v>60</v>
      </c>
      <c r="AA165" s="133"/>
      <c r="AB165" s="148">
        <v>99.88</v>
      </c>
      <c r="AC165" s="134">
        <v>230</v>
      </c>
      <c r="AD165" s="134"/>
      <c r="AE165" s="403">
        <f t="shared" si="7"/>
        <v>22972.399999999998</v>
      </c>
      <c r="AF165" s="132">
        <v>4</v>
      </c>
      <c r="AG165" s="130" t="s">
        <v>5</v>
      </c>
      <c r="AH165" s="130"/>
      <c r="AI165" s="130" t="s">
        <v>100</v>
      </c>
      <c r="AJ165" s="130"/>
      <c r="AK165" s="130"/>
      <c r="AL165" s="135" t="s">
        <v>1043</v>
      </c>
      <c r="AM165" s="314"/>
      <c r="AN165" s="26"/>
      <c r="AO165" s="26"/>
      <c r="AP165" s="26"/>
      <c r="AQ165" s="26">
        <v>43154</v>
      </c>
      <c r="AR165" s="24"/>
      <c r="AS165" s="24"/>
      <c r="AT165" s="24">
        <v>43159</v>
      </c>
      <c r="AU165" s="418">
        <f t="shared" si="8"/>
        <v>2</v>
      </c>
      <c r="AV165" s="418">
        <f t="shared" si="9"/>
        <v>2018</v>
      </c>
      <c r="AW165" s="24"/>
      <c r="AX165" s="28"/>
      <c r="AY165" s="28" t="s">
        <v>8</v>
      </c>
      <c r="AZ165" s="132" t="s">
        <v>37</v>
      </c>
      <c r="BA165" s="132"/>
      <c r="BB165" s="24"/>
      <c r="BC165" s="135" t="s">
        <v>1044</v>
      </c>
      <c r="BD165" s="24">
        <v>43131</v>
      </c>
      <c r="BE165" s="135" t="s">
        <v>885</v>
      </c>
      <c r="BF165" s="135" t="s">
        <v>885</v>
      </c>
      <c r="BG165" s="135" t="s">
        <v>29</v>
      </c>
      <c r="BH165" s="135"/>
      <c r="BI165" s="314"/>
      <c r="BJ165" s="314"/>
      <c r="BK165" s="24"/>
      <c r="BL165" s="24"/>
      <c r="BM165" s="24"/>
      <c r="BN165" s="24"/>
      <c r="BO165" s="24">
        <f>+AQ165+14</f>
        <v>43168</v>
      </c>
      <c r="BP165" s="24"/>
      <c r="BQ165" s="24"/>
      <c r="BR165" s="43"/>
      <c r="BS165" s="24"/>
      <c r="BT165" s="24"/>
      <c r="BU165" s="24"/>
      <c r="BV165" s="132" t="e">
        <f>IF(#REF!="COMPLETO","OK","PENDIENTES")</f>
        <v>#REF!</v>
      </c>
      <c r="BW165" s="132"/>
      <c r="BX165" s="132"/>
      <c r="BY165" s="132"/>
      <c r="BZ165" s="132"/>
      <c r="CA165" s="132"/>
      <c r="CB165" s="132"/>
      <c r="CC165" s="22"/>
      <c r="CG165" s="24" t="s">
        <v>105</v>
      </c>
      <c r="CH165" s="24"/>
      <c r="CI165" s="24"/>
      <c r="CJ165" s="24"/>
    </row>
    <row r="166" spans="1:88" ht="15" customHeight="1">
      <c r="A166" s="18">
        <v>2017</v>
      </c>
      <c r="B166" s="18" t="str">
        <f>+INDEX(BDD!F:F,MATCH(P166,BDD!D:D,0))&amp;"-"&amp;INDEX(BDD!E:E,MATCH(P166,BDD!D:D,0))</f>
        <v>E-S</v>
      </c>
      <c r="C166" s="360" t="s">
        <v>484</v>
      </c>
      <c r="D166" s="150" t="s">
        <v>77</v>
      </c>
      <c r="E166" s="132"/>
      <c r="F166" s="24"/>
      <c r="G166" s="346"/>
      <c r="H166" s="25" t="s">
        <v>1045</v>
      </c>
      <c r="I166" s="329"/>
      <c r="J166" s="346"/>
      <c r="K166" s="24"/>
      <c r="L166" s="24"/>
      <c r="M166" s="24"/>
      <c r="N166" s="340"/>
      <c r="O166" s="334">
        <v>207522</v>
      </c>
      <c r="P166" s="25" t="s">
        <v>298</v>
      </c>
      <c r="Q166" s="127" t="s">
        <v>183</v>
      </c>
      <c r="R166" s="128" t="s">
        <v>1034</v>
      </c>
      <c r="S166" s="24">
        <v>43006</v>
      </c>
      <c r="T166" s="36" t="s">
        <v>19</v>
      </c>
      <c r="U166" s="125"/>
      <c r="V166" s="155">
        <v>301000026</v>
      </c>
      <c r="W166" s="129"/>
      <c r="X166" s="88">
        <v>43131</v>
      </c>
      <c r="Y166" s="130" t="s">
        <v>20</v>
      </c>
      <c r="Z166" s="133" t="s">
        <v>60</v>
      </c>
      <c r="AA166" s="133"/>
      <c r="AB166" s="148">
        <v>99.96</v>
      </c>
      <c r="AC166" s="134">
        <v>230</v>
      </c>
      <c r="AD166" s="134"/>
      <c r="AE166" s="403">
        <f t="shared" si="7"/>
        <v>22990.799999999999</v>
      </c>
      <c r="AF166" s="132">
        <v>4</v>
      </c>
      <c r="AG166" s="130" t="s">
        <v>5</v>
      </c>
      <c r="AH166" s="130"/>
      <c r="AI166" s="130" t="s">
        <v>100</v>
      </c>
      <c r="AJ166" s="130"/>
      <c r="AK166" s="130"/>
      <c r="AL166" s="135" t="s">
        <v>1043</v>
      </c>
      <c r="AM166" s="314"/>
      <c r="AN166" s="26"/>
      <c r="AO166" s="26"/>
      <c r="AP166" s="26"/>
      <c r="AQ166" s="26">
        <v>43157</v>
      </c>
      <c r="AR166" s="24"/>
      <c r="AS166" s="24"/>
      <c r="AT166" s="24">
        <v>43159</v>
      </c>
      <c r="AU166" s="418">
        <f t="shared" si="8"/>
        <v>2</v>
      </c>
      <c r="AV166" s="418">
        <f t="shared" si="9"/>
        <v>2018</v>
      </c>
      <c r="AW166" s="24"/>
      <c r="AX166" s="28"/>
      <c r="AY166" s="28" t="s">
        <v>8</v>
      </c>
      <c r="AZ166" s="132" t="s">
        <v>9</v>
      </c>
      <c r="BA166" s="132"/>
      <c r="BB166" s="24"/>
      <c r="BC166" s="135" t="s">
        <v>1046</v>
      </c>
      <c r="BD166" s="24">
        <v>43131</v>
      </c>
      <c r="BE166" s="135" t="s">
        <v>885</v>
      </c>
      <c r="BF166" s="135" t="s">
        <v>932</v>
      </c>
      <c r="BG166" s="135" t="s">
        <v>29</v>
      </c>
      <c r="BH166" s="135"/>
      <c r="BI166" s="314"/>
      <c r="BJ166" s="314"/>
      <c r="BK166" s="24"/>
      <c r="BL166" s="24"/>
      <c r="BM166" s="24"/>
      <c r="BN166" s="24"/>
      <c r="BO166" s="24">
        <f>+AQ166+14</f>
        <v>43171</v>
      </c>
      <c r="BP166" s="24"/>
      <c r="BQ166" s="24"/>
      <c r="BR166" s="43"/>
      <c r="BS166" s="24"/>
      <c r="BT166" s="24"/>
      <c r="BU166" s="24"/>
      <c r="BV166" s="132" t="e">
        <f>IF(#REF!="COMPLETO","OK","PENDIENTES")</f>
        <v>#REF!</v>
      </c>
      <c r="BW166" s="132"/>
      <c r="BX166" s="132"/>
      <c r="BY166" s="132"/>
      <c r="BZ166" s="132"/>
      <c r="CA166" s="132"/>
      <c r="CB166" s="132"/>
      <c r="CC166" s="22"/>
      <c r="CG166" s="24" t="s">
        <v>105</v>
      </c>
      <c r="CH166" s="24"/>
      <c r="CI166" s="24"/>
      <c r="CJ166" s="24"/>
    </row>
    <row r="167" spans="1:88" ht="15" customHeight="1">
      <c r="A167" s="18">
        <v>2017</v>
      </c>
      <c r="B167" s="18" t="str">
        <f>+INDEX(BDD!F:F,MATCH(P167,BDD!D:D,0))&amp;"-"&amp;INDEX(BDD!E:E,MATCH(P167,BDD!D:D,0))</f>
        <v>S-S</v>
      </c>
      <c r="C167" s="360" t="s">
        <v>484</v>
      </c>
      <c r="D167" s="150" t="s">
        <v>77</v>
      </c>
      <c r="E167" s="132"/>
      <c r="F167" s="24"/>
      <c r="G167" s="346"/>
      <c r="H167" s="25" t="s">
        <v>1047</v>
      </c>
      <c r="I167" s="329"/>
      <c r="J167" s="346"/>
      <c r="K167" s="24"/>
      <c r="L167" s="24"/>
      <c r="M167" s="24"/>
      <c r="N167" s="340"/>
      <c r="O167" s="334">
        <v>206971</v>
      </c>
      <c r="P167" s="25" t="s">
        <v>340</v>
      </c>
      <c r="Q167" s="127" t="s">
        <v>175</v>
      </c>
      <c r="R167" s="128">
        <v>4765</v>
      </c>
      <c r="S167" s="24">
        <v>43000</v>
      </c>
      <c r="T167" s="36" t="s">
        <v>19</v>
      </c>
      <c r="U167" s="125"/>
      <c r="V167" s="155">
        <v>17110020</v>
      </c>
      <c r="W167" s="129"/>
      <c r="X167" s="88">
        <v>43061</v>
      </c>
      <c r="Y167" s="130" t="s">
        <v>20</v>
      </c>
      <c r="Z167" s="133" t="s">
        <v>81</v>
      </c>
      <c r="AA167" s="133"/>
      <c r="AB167" s="148">
        <v>500</v>
      </c>
      <c r="AC167" s="134">
        <v>510</v>
      </c>
      <c r="AD167" s="134"/>
      <c r="AE167" s="403">
        <f t="shared" si="7"/>
        <v>255000</v>
      </c>
      <c r="AF167" s="132">
        <v>20</v>
      </c>
      <c r="AG167" s="130" t="s">
        <v>5</v>
      </c>
      <c r="AH167" s="130"/>
      <c r="AI167" s="130" t="s">
        <v>34</v>
      </c>
      <c r="AJ167" s="130"/>
      <c r="AK167" s="130"/>
      <c r="AL167" s="24" t="s">
        <v>640</v>
      </c>
      <c r="AM167" s="314"/>
      <c r="AN167" s="26"/>
      <c r="AO167" s="26"/>
      <c r="AP167" s="26"/>
      <c r="AQ167" s="26">
        <v>43107</v>
      </c>
      <c r="AR167" s="24"/>
      <c r="AS167" s="24"/>
      <c r="AT167" s="26">
        <v>43115</v>
      </c>
      <c r="AU167" s="418">
        <f t="shared" si="8"/>
        <v>1</v>
      </c>
      <c r="AV167" s="418">
        <f t="shared" si="9"/>
        <v>2018</v>
      </c>
      <c r="AW167" s="26"/>
      <c r="AX167" s="28"/>
      <c r="AY167" s="28" t="s">
        <v>239</v>
      </c>
      <c r="AZ167" s="132" t="s">
        <v>9</v>
      </c>
      <c r="BA167" s="132"/>
      <c r="BB167" s="26"/>
      <c r="BC167" s="128" t="s">
        <v>1048</v>
      </c>
      <c r="BD167" s="24">
        <v>43047</v>
      </c>
      <c r="BE167" s="135" t="s">
        <v>1049</v>
      </c>
      <c r="BF167" s="135" t="s">
        <v>1050</v>
      </c>
      <c r="BG167" s="135" t="s">
        <v>14</v>
      </c>
      <c r="BH167" s="135"/>
      <c r="BI167" s="314"/>
      <c r="BJ167" s="314"/>
      <c r="BK167" s="24"/>
      <c r="BL167" s="24"/>
      <c r="BM167" s="24"/>
      <c r="BN167" s="24"/>
      <c r="BO167" s="24">
        <v>43124</v>
      </c>
      <c r="BP167" s="24"/>
      <c r="BQ167" s="24"/>
      <c r="BR167" s="43"/>
      <c r="BS167" s="24"/>
      <c r="BT167" s="24"/>
      <c r="BU167" s="24"/>
      <c r="BV167" s="132" t="e">
        <f>IF(#REF!="COMPLETO","OK","PENDIENTES")</f>
        <v>#REF!</v>
      </c>
      <c r="BW167" s="132"/>
      <c r="BX167" s="132"/>
      <c r="BY167" s="132"/>
      <c r="BZ167" s="132"/>
      <c r="CA167" s="132"/>
      <c r="CB167" s="132"/>
      <c r="CC167" s="22"/>
      <c r="CG167" s="24" t="s">
        <v>105</v>
      </c>
      <c r="CH167" s="24"/>
      <c r="CI167" s="26"/>
      <c r="CJ167" s="26"/>
    </row>
    <row r="168" spans="1:88" ht="15" customHeight="1">
      <c r="A168" s="18">
        <v>2017</v>
      </c>
      <c r="B168" s="18" t="str">
        <f>+INDEX(BDD!F:F,MATCH(P168,BDD!D:D,0))&amp;"-"&amp;INDEX(BDD!E:E,MATCH(P168,BDD!D:D,0))</f>
        <v>G-C</v>
      </c>
      <c r="C168" s="360" t="s">
        <v>484</v>
      </c>
      <c r="D168" s="150" t="s">
        <v>77</v>
      </c>
      <c r="E168" s="132"/>
      <c r="F168" s="24"/>
      <c r="G168" s="346"/>
      <c r="H168" s="25" t="s">
        <v>1051</v>
      </c>
      <c r="I168" s="329"/>
      <c r="J168" s="346"/>
      <c r="K168" s="24"/>
      <c r="L168" s="24"/>
      <c r="M168" s="24"/>
      <c r="N168" s="340"/>
      <c r="O168" s="334">
        <v>206573</v>
      </c>
      <c r="P168" s="25" t="s">
        <v>226</v>
      </c>
      <c r="Q168" s="127" t="s">
        <v>163</v>
      </c>
      <c r="R168" s="128" t="s">
        <v>544</v>
      </c>
      <c r="S168" s="24">
        <v>43042</v>
      </c>
      <c r="T168" s="36" t="s">
        <v>19</v>
      </c>
      <c r="U168" s="125"/>
      <c r="V168" s="88" t="s">
        <v>1052</v>
      </c>
      <c r="W168" s="129"/>
      <c r="X168" s="88">
        <v>43091</v>
      </c>
      <c r="Y168" s="130" t="s">
        <v>20</v>
      </c>
      <c r="Z168" s="133" t="s">
        <v>60</v>
      </c>
      <c r="AA168" s="133"/>
      <c r="AB168" s="158">
        <v>550</v>
      </c>
      <c r="AC168" s="134">
        <v>307.5</v>
      </c>
      <c r="AD168" s="134"/>
      <c r="AE168" s="403">
        <f t="shared" si="7"/>
        <v>169125</v>
      </c>
      <c r="AF168" s="132" t="str">
        <f>IF(W168=BDD!$P$1,IMPORTS!AB168/25,IF(W168=BDD!$P$2,IMPORTS!AB168/25,IF(IMPORTS!W168=BDD!$P$4,IMPORTS!AB168/25.5,"--")))</f>
        <v>--</v>
      </c>
      <c r="AG168" s="130" t="s">
        <v>46</v>
      </c>
      <c r="AH168" s="130"/>
      <c r="AI168" s="130" t="s">
        <v>100</v>
      </c>
      <c r="AJ168" s="130"/>
      <c r="AK168" s="130"/>
      <c r="AL168" s="135" t="s">
        <v>921</v>
      </c>
      <c r="AM168" s="314"/>
      <c r="AN168" s="26"/>
      <c r="AO168" s="26"/>
      <c r="AP168" s="26"/>
      <c r="AQ168" s="26">
        <v>43112</v>
      </c>
      <c r="AR168" s="24"/>
      <c r="AS168" s="24"/>
      <c r="AT168" s="24">
        <v>43113</v>
      </c>
      <c r="AU168" s="418">
        <f t="shared" si="8"/>
        <v>1</v>
      </c>
      <c r="AV168" s="418">
        <f t="shared" si="9"/>
        <v>2018</v>
      </c>
      <c r="AW168" s="24"/>
      <c r="AX168" s="28"/>
      <c r="AY168" s="28" t="s">
        <v>269</v>
      </c>
      <c r="AZ168" s="132" t="s">
        <v>9</v>
      </c>
      <c r="BA168" s="132"/>
      <c r="BB168" s="24"/>
      <c r="BC168" s="135">
        <v>14</v>
      </c>
      <c r="BD168" s="24">
        <v>43078</v>
      </c>
      <c r="BE168" s="135" t="s">
        <v>1053</v>
      </c>
      <c r="BF168" s="135" t="s">
        <v>1053</v>
      </c>
      <c r="BG168" s="135" t="s">
        <v>52</v>
      </c>
      <c r="BH168" s="135"/>
      <c r="BI168" s="314"/>
      <c r="BJ168" s="314"/>
      <c r="BK168" s="24"/>
      <c r="BL168" s="24"/>
      <c r="BM168" s="24"/>
      <c r="BN168" s="24"/>
      <c r="BO168" s="24"/>
      <c r="BP168" s="24"/>
      <c r="BQ168" s="24"/>
      <c r="BR168" s="43"/>
      <c r="BS168" s="24"/>
      <c r="BT168" s="24"/>
      <c r="BU168" s="24"/>
      <c r="BV168" s="132" t="e">
        <f>IF(#REF!="COMPLETO","OK","PENDIENTES")</f>
        <v>#REF!</v>
      </c>
      <c r="BW168" s="132"/>
      <c r="BX168" s="132"/>
      <c r="BY168" s="132"/>
      <c r="BZ168" s="132"/>
      <c r="CA168" s="132"/>
      <c r="CB168" s="132"/>
      <c r="CC168" s="22"/>
      <c r="CG168" s="24" t="s">
        <v>105</v>
      </c>
      <c r="CH168" s="24"/>
      <c r="CI168" s="24"/>
      <c r="CJ168" s="24"/>
    </row>
    <row r="169" spans="1:88" ht="15" customHeight="1">
      <c r="A169" s="18">
        <v>2017</v>
      </c>
      <c r="B169" s="18" t="str">
        <f>+INDEX(BDD!F:F,MATCH(P169,BDD!D:D,0))&amp;"-"&amp;INDEX(BDD!E:E,MATCH(P169,BDD!D:D,0))</f>
        <v>G-C</v>
      </c>
      <c r="C169" s="360" t="s">
        <v>484</v>
      </c>
      <c r="D169" s="150" t="s">
        <v>77</v>
      </c>
      <c r="E169" s="132"/>
      <c r="F169" s="24"/>
      <c r="G169" s="346"/>
      <c r="H169" s="25" t="s">
        <v>1054</v>
      </c>
      <c r="I169" s="329"/>
      <c r="J169" s="346"/>
      <c r="K169" s="24"/>
      <c r="L169" s="24"/>
      <c r="M169" s="24"/>
      <c r="N169" s="340"/>
      <c r="O169" s="334">
        <v>206573</v>
      </c>
      <c r="P169" s="25" t="s">
        <v>226</v>
      </c>
      <c r="Q169" s="127" t="s">
        <v>163</v>
      </c>
      <c r="R169" s="128" t="s">
        <v>544</v>
      </c>
      <c r="S169" s="24">
        <v>43042</v>
      </c>
      <c r="T169" s="36" t="s">
        <v>19</v>
      </c>
      <c r="U169" s="125"/>
      <c r="V169" s="88" t="s">
        <v>1055</v>
      </c>
      <c r="W169" s="129"/>
      <c r="X169" s="88">
        <v>43091</v>
      </c>
      <c r="Y169" s="130" t="s">
        <v>20</v>
      </c>
      <c r="Z169" s="133" t="s">
        <v>60</v>
      </c>
      <c r="AA169" s="133"/>
      <c r="AB169" s="158">
        <v>900</v>
      </c>
      <c r="AC169" s="134">
        <v>307.5</v>
      </c>
      <c r="AD169" s="134"/>
      <c r="AE169" s="403">
        <f t="shared" si="7"/>
        <v>276750</v>
      </c>
      <c r="AF169" s="132" t="str">
        <f>IF(W169=BDD!$P$1,IMPORTS!AB169/25,IF(W169=BDD!$P$2,IMPORTS!AB169/25,IF(IMPORTS!W169=BDD!$P$4,IMPORTS!AB169/25.5,"--")))</f>
        <v>--</v>
      </c>
      <c r="AG169" s="130" t="s">
        <v>46</v>
      </c>
      <c r="AH169" s="130"/>
      <c r="AI169" s="130" t="s">
        <v>100</v>
      </c>
      <c r="AJ169" s="130"/>
      <c r="AK169" s="130"/>
      <c r="AL169" s="135" t="s">
        <v>921</v>
      </c>
      <c r="AM169" s="314"/>
      <c r="AN169" s="26"/>
      <c r="AO169" s="26"/>
      <c r="AP169" s="26"/>
      <c r="AQ169" s="26">
        <f>+AQ168+2</f>
        <v>43114</v>
      </c>
      <c r="AR169" s="24"/>
      <c r="AS169" s="24"/>
      <c r="AT169" s="24">
        <v>43115</v>
      </c>
      <c r="AU169" s="418">
        <f t="shared" si="8"/>
        <v>1</v>
      </c>
      <c r="AV169" s="418">
        <f t="shared" si="9"/>
        <v>2018</v>
      </c>
      <c r="AW169" s="24"/>
      <c r="AX169" s="28"/>
      <c r="AY169" s="28" t="s">
        <v>269</v>
      </c>
      <c r="AZ169" s="132" t="s">
        <v>25</v>
      </c>
      <c r="BA169" s="132"/>
      <c r="BB169" s="24"/>
      <c r="BC169" s="135">
        <v>15</v>
      </c>
      <c r="BD169" s="24">
        <v>43078</v>
      </c>
      <c r="BE169" s="135" t="s">
        <v>1053</v>
      </c>
      <c r="BF169" s="135" t="s">
        <v>1053</v>
      </c>
      <c r="BG169" s="135" t="s">
        <v>52</v>
      </c>
      <c r="BH169" s="135"/>
      <c r="BI169" s="314"/>
      <c r="BJ169" s="314"/>
      <c r="BK169" s="24"/>
      <c r="BL169" s="24"/>
      <c r="BM169" s="24"/>
      <c r="BN169" s="24"/>
      <c r="BO169" s="24"/>
      <c r="BP169" s="24"/>
      <c r="BQ169" s="24"/>
      <c r="BR169" s="43"/>
      <c r="BS169" s="24"/>
      <c r="BT169" s="24"/>
      <c r="BU169" s="24"/>
      <c r="BV169" s="132" t="e">
        <f>IF(#REF!="COMPLETO","OK","PENDIENTES")</f>
        <v>#REF!</v>
      </c>
      <c r="BW169" s="132"/>
      <c r="BX169" s="132"/>
      <c r="BY169" s="132"/>
      <c r="BZ169" s="132"/>
      <c r="CA169" s="132"/>
      <c r="CB169" s="132"/>
      <c r="CC169" s="22"/>
      <c r="CG169" s="24" t="s">
        <v>105</v>
      </c>
      <c r="CH169" s="24"/>
      <c r="CI169" s="24"/>
      <c r="CJ169" s="24"/>
    </row>
    <row r="170" spans="1:88" ht="15" customHeight="1">
      <c r="A170" s="18">
        <v>2017</v>
      </c>
      <c r="B170" s="18" t="str">
        <f>+INDEX(BDD!F:F,MATCH(P170,BDD!D:D,0))&amp;"-"&amp;INDEX(BDD!E:E,MATCH(P170,BDD!D:D,0))</f>
        <v>G-C</v>
      </c>
      <c r="C170" s="360" t="s">
        <v>484</v>
      </c>
      <c r="D170" s="150" t="s">
        <v>77</v>
      </c>
      <c r="E170" s="132"/>
      <c r="F170" s="24"/>
      <c r="G170" s="346"/>
      <c r="H170" s="25" t="s">
        <v>1056</v>
      </c>
      <c r="I170" s="329"/>
      <c r="J170" s="346"/>
      <c r="K170" s="24"/>
      <c r="L170" s="24"/>
      <c r="M170" s="24"/>
      <c r="N170" s="340"/>
      <c r="O170" s="334">
        <v>206573</v>
      </c>
      <c r="P170" s="25" t="s">
        <v>226</v>
      </c>
      <c r="Q170" s="127" t="s">
        <v>163</v>
      </c>
      <c r="R170" s="128" t="s">
        <v>544</v>
      </c>
      <c r="S170" s="24">
        <v>43042</v>
      </c>
      <c r="T170" s="36" t="s">
        <v>19</v>
      </c>
      <c r="U170" s="125"/>
      <c r="V170" s="88" t="s">
        <v>1057</v>
      </c>
      <c r="W170" s="129"/>
      <c r="X170" s="88">
        <v>43091</v>
      </c>
      <c r="Y170" s="130" t="s">
        <v>20</v>
      </c>
      <c r="Z170" s="133" t="s">
        <v>60</v>
      </c>
      <c r="AA170" s="133"/>
      <c r="AB170" s="158">
        <v>900</v>
      </c>
      <c r="AC170" s="134">
        <v>307.5</v>
      </c>
      <c r="AD170" s="134"/>
      <c r="AE170" s="403">
        <f t="shared" si="7"/>
        <v>276750</v>
      </c>
      <c r="AF170" s="132" t="str">
        <f>IF(W170=BDD!$P$1,IMPORTS!AB170/25,IF(W170=BDD!$P$2,IMPORTS!AB170/25,IF(IMPORTS!W170=BDD!$P$4,IMPORTS!AB170/25.5,"--")))</f>
        <v>--</v>
      </c>
      <c r="AG170" s="130" t="s">
        <v>46</v>
      </c>
      <c r="AH170" s="130"/>
      <c r="AI170" s="130" t="s">
        <v>100</v>
      </c>
      <c r="AJ170" s="130"/>
      <c r="AK170" s="130"/>
      <c r="AL170" s="135" t="s">
        <v>921</v>
      </c>
      <c r="AM170" s="314"/>
      <c r="AN170" s="26"/>
      <c r="AO170" s="26"/>
      <c r="AP170" s="26"/>
      <c r="AQ170" s="26">
        <f>+AQ169+2</f>
        <v>43116</v>
      </c>
      <c r="AR170" s="24"/>
      <c r="AS170" s="24"/>
      <c r="AT170" s="24">
        <v>43118</v>
      </c>
      <c r="AU170" s="418">
        <f t="shared" si="8"/>
        <v>1</v>
      </c>
      <c r="AV170" s="418">
        <f t="shared" si="9"/>
        <v>2018</v>
      </c>
      <c r="AW170" s="24"/>
      <c r="AX170" s="28"/>
      <c r="AY170" s="28" t="s">
        <v>269</v>
      </c>
      <c r="AZ170" s="132" t="s">
        <v>37</v>
      </c>
      <c r="BA170" s="132"/>
      <c r="BB170" s="24"/>
      <c r="BC170" s="135">
        <v>16</v>
      </c>
      <c r="BD170" s="24">
        <v>43078</v>
      </c>
      <c r="BE170" s="135" t="s">
        <v>1053</v>
      </c>
      <c r="BF170" s="135" t="s">
        <v>1053</v>
      </c>
      <c r="BG170" s="135" t="s">
        <v>52</v>
      </c>
      <c r="BH170" s="135"/>
      <c r="BI170" s="314"/>
      <c r="BJ170" s="314"/>
      <c r="BK170" s="24"/>
      <c r="BL170" s="24"/>
      <c r="BM170" s="24"/>
      <c r="BN170" s="24"/>
      <c r="BO170" s="24"/>
      <c r="BP170" s="24"/>
      <c r="BQ170" s="24"/>
      <c r="BR170" s="43"/>
      <c r="BS170" s="24"/>
      <c r="BT170" s="24"/>
      <c r="BU170" s="24"/>
      <c r="BV170" s="132" t="e">
        <f>IF(#REF!="COMPLETO","OK","PENDIENTES")</f>
        <v>#REF!</v>
      </c>
      <c r="BW170" s="132"/>
      <c r="BX170" s="132"/>
      <c r="BY170" s="132"/>
      <c r="BZ170" s="132"/>
      <c r="CA170" s="132"/>
      <c r="CB170" s="132"/>
      <c r="CC170" s="22"/>
      <c r="CG170" s="24" t="s">
        <v>105</v>
      </c>
      <c r="CH170" s="24"/>
      <c r="CI170" s="24"/>
      <c r="CJ170" s="24"/>
    </row>
    <row r="171" spans="1:88" ht="15" customHeight="1">
      <c r="A171" s="18">
        <v>2017</v>
      </c>
      <c r="B171" s="18" t="str">
        <f>+INDEX(BDD!F:F,MATCH(P171,BDD!D:D,0))&amp;"-"&amp;INDEX(BDD!E:E,MATCH(P171,BDD!D:D,0))</f>
        <v>G-C</v>
      </c>
      <c r="C171" s="360" t="s">
        <v>484</v>
      </c>
      <c r="D171" s="150" t="s">
        <v>77</v>
      </c>
      <c r="E171" s="132"/>
      <c r="F171" s="24"/>
      <c r="G171" s="346"/>
      <c r="H171" s="25" t="s">
        <v>1058</v>
      </c>
      <c r="I171" s="329"/>
      <c r="J171" s="346"/>
      <c r="K171" s="24"/>
      <c r="L171" s="24"/>
      <c r="M171" s="24"/>
      <c r="N171" s="340"/>
      <c r="O171" s="334">
        <v>206573</v>
      </c>
      <c r="P171" s="25" t="s">
        <v>226</v>
      </c>
      <c r="Q171" s="127" t="s">
        <v>163</v>
      </c>
      <c r="R171" s="128" t="s">
        <v>544</v>
      </c>
      <c r="S171" s="24">
        <v>43042</v>
      </c>
      <c r="T171" s="36" t="s">
        <v>19</v>
      </c>
      <c r="U171" s="125"/>
      <c r="V171" s="88" t="s">
        <v>1059</v>
      </c>
      <c r="W171" s="129"/>
      <c r="X171" s="88">
        <v>43091</v>
      </c>
      <c r="Y171" s="130" t="s">
        <v>20</v>
      </c>
      <c r="Z171" s="133" t="s">
        <v>60</v>
      </c>
      <c r="AA171" s="133"/>
      <c r="AB171" s="158">
        <v>750</v>
      </c>
      <c r="AC171" s="134">
        <v>307.5</v>
      </c>
      <c r="AD171" s="134"/>
      <c r="AE171" s="403">
        <f t="shared" si="7"/>
        <v>230625</v>
      </c>
      <c r="AF171" s="132" t="str">
        <f>IF(W171=BDD!$P$1,IMPORTS!AB171/25,IF(W171=BDD!$P$2,IMPORTS!AB171/25,IF(IMPORTS!W171=BDD!$P$4,IMPORTS!AB171/25.5,"--")))</f>
        <v>--</v>
      </c>
      <c r="AG171" s="130" t="s">
        <v>46</v>
      </c>
      <c r="AH171" s="130"/>
      <c r="AI171" s="130" t="s">
        <v>100</v>
      </c>
      <c r="AJ171" s="130"/>
      <c r="AK171" s="130"/>
      <c r="AL171" s="135" t="s">
        <v>921</v>
      </c>
      <c r="AM171" s="314"/>
      <c r="AN171" s="26"/>
      <c r="AO171" s="26"/>
      <c r="AP171" s="26"/>
      <c r="AQ171" s="26">
        <f>+AQ170+2</f>
        <v>43118</v>
      </c>
      <c r="AR171" s="24"/>
      <c r="AS171" s="24"/>
      <c r="AT171" s="24">
        <v>43119</v>
      </c>
      <c r="AU171" s="418">
        <f t="shared" si="8"/>
        <v>1</v>
      </c>
      <c r="AV171" s="418">
        <f t="shared" si="9"/>
        <v>2018</v>
      </c>
      <c r="AW171" s="24"/>
      <c r="AX171" s="28"/>
      <c r="AY171" s="28" t="s">
        <v>269</v>
      </c>
      <c r="AZ171" s="132" t="s">
        <v>50</v>
      </c>
      <c r="BA171" s="132"/>
      <c r="BB171" s="24"/>
      <c r="BC171" s="128">
        <v>17</v>
      </c>
      <c r="BD171" s="24">
        <v>43078</v>
      </c>
      <c r="BE171" s="135" t="s">
        <v>1053</v>
      </c>
      <c r="BF171" s="135" t="s">
        <v>1053</v>
      </c>
      <c r="BG171" s="135" t="s">
        <v>52</v>
      </c>
      <c r="BH171" s="135"/>
      <c r="BI171" s="314"/>
      <c r="BJ171" s="314"/>
      <c r="BK171" s="24"/>
      <c r="BL171" s="24"/>
      <c r="BM171" s="24"/>
      <c r="BN171" s="24"/>
      <c r="BO171" s="24"/>
      <c r="BP171" s="24"/>
      <c r="BQ171" s="24"/>
      <c r="BR171" s="43"/>
      <c r="BS171" s="24"/>
      <c r="BT171" s="24"/>
      <c r="BU171" s="24"/>
      <c r="BV171" s="132" t="e">
        <f>IF(#REF!="COMPLETO","OK","PENDIENTES")</f>
        <v>#REF!</v>
      </c>
      <c r="BW171" s="132"/>
      <c r="BX171" s="132"/>
      <c r="BY171" s="132"/>
      <c r="BZ171" s="132"/>
      <c r="CA171" s="132"/>
      <c r="CB171" s="132"/>
      <c r="CC171" s="22"/>
      <c r="CG171" s="24" t="s">
        <v>105</v>
      </c>
      <c r="CH171" s="24"/>
      <c r="CI171" s="24"/>
      <c r="CJ171" s="24"/>
    </row>
    <row r="172" spans="1:88" ht="15" customHeight="1">
      <c r="A172" s="18">
        <v>2017</v>
      </c>
      <c r="B172" s="18" t="str">
        <f>+INDEX(BDD!F:F,MATCH(P172,BDD!D:D,0))&amp;"-"&amp;INDEX(BDD!E:E,MATCH(P172,BDD!D:D,0))</f>
        <v>G-C</v>
      </c>
      <c r="C172" s="360" t="s">
        <v>484</v>
      </c>
      <c r="D172" s="150" t="s">
        <v>77</v>
      </c>
      <c r="E172" s="132"/>
      <c r="F172" s="24"/>
      <c r="G172" s="346"/>
      <c r="H172" s="25" t="s">
        <v>1060</v>
      </c>
      <c r="I172" s="329"/>
      <c r="J172" s="346"/>
      <c r="K172" s="24"/>
      <c r="L172" s="24"/>
      <c r="M172" s="24"/>
      <c r="N172" s="340"/>
      <c r="O172" s="334">
        <v>206573</v>
      </c>
      <c r="P172" s="25" t="s">
        <v>226</v>
      </c>
      <c r="Q172" s="127" t="s">
        <v>163</v>
      </c>
      <c r="R172" s="128" t="s">
        <v>544</v>
      </c>
      <c r="S172" s="24">
        <v>43042</v>
      </c>
      <c r="T172" s="36" t="s">
        <v>19</v>
      </c>
      <c r="U172" s="125"/>
      <c r="V172" s="88" t="s">
        <v>1061</v>
      </c>
      <c r="W172" s="129"/>
      <c r="X172" s="88">
        <v>43091</v>
      </c>
      <c r="Y172" s="130" t="s">
        <v>20</v>
      </c>
      <c r="Z172" s="133" t="s">
        <v>60</v>
      </c>
      <c r="AA172" s="133"/>
      <c r="AB172" s="158">
        <v>900</v>
      </c>
      <c r="AC172" s="134">
        <v>307.5</v>
      </c>
      <c r="AD172" s="134"/>
      <c r="AE172" s="403">
        <f t="shared" si="7"/>
        <v>276750</v>
      </c>
      <c r="AF172" s="132" t="str">
        <f>IF(W172=BDD!$P$1,IMPORTS!AB172/25,IF(W172=BDD!$P$2,IMPORTS!AB172/25,IF(IMPORTS!W172=BDD!$P$4,IMPORTS!AB172/25.5,"--")))</f>
        <v>--</v>
      </c>
      <c r="AG172" s="130" t="s">
        <v>46</v>
      </c>
      <c r="AH172" s="130"/>
      <c r="AI172" s="130" t="s">
        <v>100</v>
      </c>
      <c r="AJ172" s="130"/>
      <c r="AK172" s="130"/>
      <c r="AL172" s="135" t="s">
        <v>921</v>
      </c>
      <c r="AM172" s="314"/>
      <c r="AN172" s="26"/>
      <c r="AO172" s="26"/>
      <c r="AP172" s="26"/>
      <c r="AQ172" s="26">
        <v>43121</v>
      </c>
      <c r="AR172" s="24"/>
      <c r="AS172" s="24"/>
      <c r="AT172" s="24">
        <v>43121</v>
      </c>
      <c r="AU172" s="418">
        <f t="shared" si="8"/>
        <v>1</v>
      </c>
      <c r="AV172" s="418">
        <f t="shared" si="9"/>
        <v>2018</v>
      </c>
      <c r="AW172" s="24"/>
      <c r="AX172" s="28"/>
      <c r="AY172" s="28" t="s">
        <v>269</v>
      </c>
      <c r="AZ172" s="132" t="s">
        <v>62</v>
      </c>
      <c r="BA172" s="132"/>
      <c r="BB172" s="24"/>
      <c r="BC172" s="128">
        <v>18</v>
      </c>
      <c r="BD172" s="24">
        <v>43078</v>
      </c>
      <c r="BE172" s="135" t="s">
        <v>1053</v>
      </c>
      <c r="BF172" s="135" t="s">
        <v>1053</v>
      </c>
      <c r="BG172" s="135" t="s">
        <v>52</v>
      </c>
      <c r="BH172" s="135"/>
      <c r="BI172" s="314"/>
      <c r="BJ172" s="314"/>
      <c r="BK172" s="24"/>
      <c r="BL172" s="24"/>
      <c r="BM172" s="24"/>
      <c r="BN172" s="24"/>
      <c r="BO172" s="24"/>
      <c r="BP172" s="24"/>
      <c r="BQ172" s="24"/>
      <c r="BR172" s="43"/>
      <c r="BS172" s="24"/>
      <c r="BT172" s="24"/>
      <c r="BU172" s="24"/>
      <c r="BV172" s="132" t="e">
        <f>IF(#REF!="COMPLETO","OK","PENDIENTES")</f>
        <v>#REF!</v>
      </c>
      <c r="BW172" s="132"/>
      <c r="BX172" s="132"/>
      <c r="BY172" s="132"/>
      <c r="BZ172" s="132"/>
      <c r="CA172" s="132"/>
      <c r="CB172" s="132"/>
      <c r="CC172" s="22"/>
      <c r="CG172" s="24" t="s">
        <v>105</v>
      </c>
      <c r="CH172" s="24"/>
      <c r="CI172" s="24"/>
      <c r="CJ172" s="24"/>
    </row>
    <row r="173" spans="1:88" ht="15" customHeight="1">
      <c r="A173" s="18">
        <v>2017</v>
      </c>
      <c r="B173" s="18" t="str">
        <f>+INDEX(BDD!F:F,MATCH(P173,BDD!D:D,0))&amp;"-"&amp;INDEX(BDD!E:E,MATCH(P173,BDD!D:D,0))</f>
        <v>G-S</v>
      </c>
      <c r="C173" s="360" t="s">
        <v>484</v>
      </c>
      <c r="D173" s="150" t="s">
        <v>77</v>
      </c>
      <c r="E173" s="132"/>
      <c r="F173" s="24"/>
      <c r="G173" s="346"/>
      <c r="H173" s="25" t="s">
        <v>1062</v>
      </c>
      <c r="I173" s="329"/>
      <c r="J173" s="346"/>
      <c r="K173" s="24"/>
      <c r="L173" s="24"/>
      <c r="M173" s="24"/>
      <c r="N173" s="340"/>
      <c r="O173" s="334">
        <v>207951</v>
      </c>
      <c r="P173" s="25" t="s">
        <v>354</v>
      </c>
      <c r="Q173" s="127" t="s">
        <v>163</v>
      </c>
      <c r="R173" s="128" t="s">
        <v>544</v>
      </c>
      <c r="S173" s="24">
        <v>43042</v>
      </c>
      <c r="T173" s="36" t="s">
        <v>19</v>
      </c>
      <c r="U173" s="125"/>
      <c r="V173" s="88" t="s">
        <v>1063</v>
      </c>
      <c r="W173" s="129"/>
      <c r="X173" s="88">
        <v>43091</v>
      </c>
      <c r="Y173" s="130" t="s">
        <v>20</v>
      </c>
      <c r="Z173" s="133" t="s">
        <v>60</v>
      </c>
      <c r="AA173" s="133"/>
      <c r="AB173" s="158">
        <v>900</v>
      </c>
      <c r="AC173" s="134">
        <v>318.25</v>
      </c>
      <c r="AD173" s="134"/>
      <c r="AE173" s="403">
        <f t="shared" si="7"/>
        <v>286425</v>
      </c>
      <c r="AF173" s="132" t="str">
        <f>IF(W173=BDD!$P$1,IMPORTS!AB173/25,IF(W173=BDD!$P$2,IMPORTS!AB173/25,IF(IMPORTS!W173=BDD!$P$4,IMPORTS!AB173/25.5,"--")))</f>
        <v>--</v>
      </c>
      <c r="AG173" s="130" t="s">
        <v>46</v>
      </c>
      <c r="AH173" s="130"/>
      <c r="AI173" s="130" t="s">
        <v>100</v>
      </c>
      <c r="AJ173" s="130"/>
      <c r="AK173" s="130"/>
      <c r="AL173" s="135" t="s">
        <v>921</v>
      </c>
      <c r="AM173" s="314"/>
      <c r="AN173" s="26"/>
      <c r="AO173" s="26"/>
      <c r="AP173" s="26"/>
      <c r="AQ173" s="26">
        <v>43112</v>
      </c>
      <c r="AR173" s="24"/>
      <c r="AS173" s="24"/>
      <c r="AT173" s="24">
        <v>43113</v>
      </c>
      <c r="AU173" s="418">
        <f t="shared" si="8"/>
        <v>1</v>
      </c>
      <c r="AV173" s="418">
        <f t="shared" si="9"/>
        <v>2018</v>
      </c>
      <c r="AW173" s="24"/>
      <c r="AX173" s="28"/>
      <c r="AY173" s="28" t="s">
        <v>269</v>
      </c>
      <c r="AZ173" s="132" t="s">
        <v>9</v>
      </c>
      <c r="BA173" s="132"/>
      <c r="BB173" s="24"/>
      <c r="BC173" s="128">
        <v>6</v>
      </c>
      <c r="BD173" s="24">
        <v>43078</v>
      </c>
      <c r="BE173" s="135" t="s">
        <v>1053</v>
      </c>
      <c r="BF173" s="135" t="s">
        <v>1053</v>
      </c>
      <c r="BG173" s="135" t="s">
        <v>52</v>
      </c>
      <c r="BH173" s="135"/>
      <c r="BI173" s="314"/>
      <c r="BJ173" s="314"/>
      <c r="BK173" s="24"/>
      <c r="BL173" s="24"/>
      <c r="BM173" s="24"/>
      <c r="BN173" s="24"/>
      <c r="BO173" s="24"/>
      <c r="BP173" s="24"/>
      <c r="BQ173" s="24"/>
      <c r="BR173" s="43"/>
      <c r="BS173" s="24"/>
      <c r="BT173" s="24"/>
      <c r="BU173" s="24"/>
      <c r="BV173" s="132" t="e">
        <f>IF(#REF!="COMPLETO","OK","PENDIENTES")</f>
        <v>#REF!</v>
      </c>
      <c r="BW173" s="132"/>
      <c r="BX173" s="132"/>
      <c r="BY173" s="132"/>
      <c r="BZ173" s="132"/>
      <c r="CA173" s="132"/>
      <c r="CB173" s="132"/>
      <c r="CC173" s="22"/>
      <c r="CG173" s="24" t="s">
        <v>105</v>
      </c>
      <c r="CH173" s="24"/>
      <c r="CI173" s="24"/>
      <c r="CJ173" s="24"/>
    </row>
    <row r="174" spans="1:88" ht="15" customHeight="1">
      <c r="A174" s="18">
        <v>2017</v>
      </c>
      <c r="B174" s="18" t="str">
        <f>+INDEX(BDD!F:F,MATCH(P174,BDD!D:D,0))&amp;"-"&amp;INDEX(BDD!E:E,MATCH(P174,BDD!D:D,0))</f>
        <v>G-S</v>
      </c>
      <c r="C174" s="360" t="s">
        <v>484</v>
      </c>
      <c r="D174" s="150" t="s">
        <v>77</v>
      </c>
      <c r="E174" s="132"/>
      <c r="F174" s="24"/>
      <c r="G174" s="346"/>
      <c r="H174" s="25" t="s">
        <v>1064</v>
      </c>
      <c r="I174" s="329"/>
      <c r="J174" s="346"/>
      <c r="K174" s="24"/>
      <c r="L174" s="24"/>
      <c r="M174" s="24"/>
      <c r="N174" s="340"/>
      <c r="O174" s="334">
        <v>207951</v>
      </c>
      <c r="P174" s="25" t="s">
        <v>354</v>
      </c>
      <c r="Q174" s="127" t="s">
        <v>163</v>
      </c>
      <c r="R174" s="128" t="s">
        <v>544</v>
      </c>
      <c r="S174" s="24">
        <v>43042</v>
      </c>
      <c r="T174" s="36" t="s">
        <v>19</v>
      </c>
      <c r="U174" s="125"/>
      <c r="V174" s="88" t="s">
        <v>1065</v>
      </c>
      <c r="W174" s="129"/>
      <c r="X174" s="88">
        <v>43091</v>
      </c>
      <c r="Y174" s="130" t="s">
        <v>20</v>
      </c>
      <c r="Z174" s="133" t="s">
        <v>60</v>
      </c>
      <c r="AA174" s="133"/>
      <c r="AB174" s="158">
        <v>600</v>
      </c>
      <c r="AC174" s="134">
        <v>318.25</v>
      </c>
      <c r="AD174" s="134"/>
      <c r="AE174" s="403">
        <f t="shared" si="7"/>
        <v>190950</v>
      </c>
      <c r="AF174" s="132" t="str">
        <f>IF(W174=BDD!$P$1,IMPORTS!AB174/25,IF(W174=BDD!$P$2,IMPORTS!AB174/25,IF(IMPORTS!W174=BDD!$P$4,IMPORTS!AB174/25.5,"--")))</f>
        <v>--</v>
      </c>
      <c r="AG174" s="130" t="s">
        <v>46</v>
      </c>
      <c r="AH174" s="130"/>
      <c r="AI174" s="130" t="s">
        <v>100</v>
      </c>
      <c r="AJ174" s="130"/>
      <c r="AK174" s="130"/>
      <c r="AL174" s="135" t="s">
        <v>921</v>
      </c>
      <c r="AM174" s="314"/>
      <c r="AN174" s="26"/>
      <c r="AO174" s="26"/>
      <c r="AP174" s="26"/>
      <c r="AQ174" s="26">
        <f>+AQ173+2</f>
        <v>43114</v>
      </c>
      <c r="AR174" s="24"/>
      <c r="AS174" s="24"/>
      <c r="AT174" s="24">
        <v>43115</v>
      </c>
      <c r="AU174" s="418">
        <f t="shared" si="8"/>
        <v>1</v>
      </c>
      <c r="AV174" s="418">
        <f t="shared" si="9"/>
        <v>2018</v>
      </c>
      <c r="AW174" s="24"/>
      <c r="AX174" s="28"/>
      <c r="AY174" s="28" t="s">
        <v>269</v>
      </c>
      <c r="AZ174" s="132" t="s">
        <v>25</v>
      </c>
      <c r="BA174" s="132"/>
      <c r="BB174" s="24"/>
      <c r="BC174" s="135">
        <v>7</v>
      </c>
      <c r="BD174" s="24">
        <v>43078</v>
      </c>
      <c r="BE174" s="135" t="s">
        <v>1053</v>
      </c>
      <c r="BF174" s="135" t="s">
        <v>1053</v>
      </c>
      <c r="BG174" s="135" t="s">
        <v>52</v>
      </c>
      <c r="BH174" s="135"/>
      <c r="BI174" s="314"/>
      <c r="BJ174" s="314"/>
      <c r="BK174" s="24"/>
      <c r="BL174" s="24"/>
      <c r="BM174" s="24"/>
      <c r="BN174" s="24"/>
      <c r="BO174" s="24"/>
      <c r="BP174" s="24"/>
      <c r="BQ174" s="24"/>
      <c r="BR174" s="43"/>
      <c r="BS174" s="24"/>
      <c r="BT174" s="24"/>
      <c r="BU174" s="24"/>
      <c r="BV174" s="132" t="e">
        <f>IF(#REF!="COMPLETO","OK","PENDIENTES")</f>
        <v>#REF!</v>
      </c>
      <c r="BW174" s="132"/>
      <c r="BX174" s="132"/>
      <c r="BY174" s="132"/>
      <c r="BZ174" s="132"/>
      <c r="CA174" s="132"/>
      <c r="CB174" s="132"/>
      <c r="CC174" s="22"/>
      <c r="CG174" s="24" t="s">
        <v>105</v>
      </c>
      <c r="CH174" s="24"/>
      <c r="CI174" s="24"/>
      <c r="CJ174" s="24"/>
    </row>
    <row r="175" spans="1:88" ht="15" customHeight="1">
      <c r="A175" s="18">
        <v>2017</v>
      </c>
      <c r="B175" s="18" t="str">
        <f>+INDEX(BDD!F:F,MATCH(P175,BDD!D:D,0))&amp;"-"&amp;INDEX(BDD!E:E,MATCH(P175,BDD!D:D,0))</f>
        <v>G-S</v>
      </c>
      <c r="C175" s="360" t="s">
        <v>484</v>
      </c>
      <c r="D175" s="150" t="s">
        <v>77</v>
      </c>
      <c r="E175" s="132"/>
      <c r="F175" s="24"/>
      <c r="G175" s="346"/>
      <c r="H175" s="25" t="s">
        <v>1066</v>
      </c>
      <c r="I175" s="329"/>
      <c r="J175" s="346"/>
      <c r="K175" s="24"/>
      <c r="L175" s="24"/>
      <c r="M175" s="24"/>
      <c r="N175" s="340"/>
      <c r="O175" s="334">
        <v>207951</v>
      </c>
      <c r="P175" s="25" t="s">
        <v>354</v>
      </c>
      <c r="Q175" s="127" t="s">
        <v>163</v>
      </c>
      <c r="R175" s="128" t="s">
        <v>544</v>
      </c>
      <c r="S175" s="24">
        <v>43042</v>
      </c>
      <c r="T175" s="36" t="s">
        <v>19</v>
      </c>
      <c r="U175" s="125"/>
      <c r="V175" s="88" t="s">
        <v>1067</v>
      </c>
      <c r="W175" s="129"/>
      <c r="X175" s="88">
        <v>43091</v>
      </c>
      <c r="Y175" s="130" t="s">
        <v>20</v>
      </c>
      <c r="Z175" s="133" t="s">
        <v>60</v>
      </c>
      <c r="AA175" s="133"/>
      <c r="AB175" s="158">
        <v>500</v>
      </c>
      <c r="AC175" s="134">
        <v>318.25</v>
      </c>
      <c r="AD175" s="134"/>
      <c r="AE175" s="403">
        <f t="shared" si="7"/>
        <v>159125</v>
      </c>
      <c r="AF175" s="132" t="str">
        <f>IF(W175=BDD!$P$1,IMPORTS!AB175/25,IF(W175=BDD!$P$2,IMPORTS!AB175/25,IF(IMPORTS!W175=BDD!$P$4,IMPORTS!AB175/25.5,"--")))</f>
        <v>--</v>
      </c>
      <c r="AG175" s="130" t="s">
        <v>46</v>
      </c>
      <c r="AH175" s="130"/>
      <c r="AI175" s="130" t="s">
        <v>100</v>
      </c>
      <c r="AJ175" s="130"/>
      <c r="AK175" s="130"/>
      <c r="AL175" s="135" t="s">
        <v>921</v>
      </c>
      <c r="AM175" s="314"/>
      <c r="AN175" s="26"/>
      <c r="AO175" s="26"/>
      <c r="AP175" s="26"/>
      <c r="AQ175" s="26">
        <f>+AQ174+2</f>
        <v>43116</v>
      </c>
      <c r="AR175" s="24"/>
      <c r="AS175" s="24"/>
      <c r="AT175" s="24">
        <v>43118</v>
      </c>
      <c r="AU175" s="418">
        <f t="shared" si="8"/>
        <v>1</v>
      </c>
      <c r="AV175" s="418">
        <f t="shared" si="9"/>
        <v>2018</v>
      </c>
      <c r="AW175" s="24"/>
      <c r="AX175" s="28"/>
      <c r="AY175" s="28" t="s">
        <v>269</v>
      </c>
      <c r="AZ175" s="132" t="s">
        <v>37</v>
      </c>
      <c r="BA175" s="132"/>
      <c r="BB175" s="24"/>
      <c r="BC175" s="135">
        <v>8</v>
      </c>
      <c r="BD175" s="24">
        <v>43078</v>
      </c>
      <c r="BE175" s="135" t="s">
        <v>1053</v>
      </c>
      <c r="BF175" s="135" t="s">
        <v>1053</v>
      </c>
      <c r="BG175" s="135" t="s">
        <v>52</v>
      </c>
      <c r="BH175" s="135"/>
      <c r="BI175" s="314"/>
      <c r="BJ175" s="314"/>
      <c r="BK175" s="24"/>
      <c r="BL175" s="24"/>
      <c r="BM175" s="24"/>
      <c r="BN175" s="24"/>
      <c r="BO175" s="24"/>
      <c r="BP175" s="24"/>
      <c r="BQ175" s="24"/>
      <c r="BR175" s="43"/>
      <c r="BS175" s="24"/>
      <c r="BT175" s="24"/>
      <c r="BU175" s="24"/>
      <c r="BV175" s="132" t="e">
        <f>IF(#REF!="COMPLETO","OK","PENDIENTES")</f>
        <v>#REF!</v>
      </c>
      <c r="BW175" s="132"/>
      <c r="BX175" s="132"/>
      <c r="BY175" s="132"/>
      <c r="BZ175" s="132"/>
      <c r="CA175" s="132"/>
      <c r="CB175" s="132"/>
      <c r="CC175" s="22"/>
      <c r="CG175" s="24" t="s">
        <v>105</v>
      </c>
      <c r="CH175" s="24"/>
      <c r="CI175" s="24"/>
      <c r="CJ175" s="24"/>
    </row>
    <row r="176" spans="1:88" ht="15" customHeight="1">
      <c r="A176" s="18">
        <v>2017</v>
      </c>
      <c r="B176" s="18" t="str">
        <f>+INDEX(BDD!F:F,MATCH(P176,BDD!D:D,0))&amp;"-"&amp;INDEX(BDD!E:E,MATCH(P176,BDD!D:D,0))</f>
        <v>G-S</v>
      </c>
      <c r="C176" s="360" t="s">
        <v>484</v>
      </c>
      <c r="D176" s="150" t="s">
        <v>77</v>
      </c>
      <c r="E176" s="132"/>
      <c r="F176" s="24"/>
      <c r="G176" s="346"/>
      <c r="H176" s="25" t="s">
        <v>1068</v>
      </c>
      <c r="I176" s="329"/>
      <c r="J176" s="346"/>
      <c r="K176" s="24"/>
      <c r="L176" s="24"/>
      <c r="M176" s="24"/>
      <c r="N176" s="340"/>
      <c r="O176" s="334">
        <v>207951</v>
      </c>
      <c r="P176" s="25" t="s">
        <v>354</v>
      </c>
      <c r="Q176" s="127" t="s">
        <v>163</v>
      </c>
      <c r="R176" s="128" t="s">
        <v>544</v>
      </c>
      <c r="S176" s="24">
        <v>43042</v>
      </c>
      <c r="T176" s="36" t="s">
        <v>19</v>
      </c>
      <c r="U176" s="125"/>
      <c r="V176" s="88" t="s">
        <v>1069</v>
      </c>
      <c r="W176" s="129"/>
      <c r="X176" s="88">
        <v>43091</v>
      </c>
      <c r="Y176" s="130" t="s">
        <v>20</v>
      </c>
      <c r="Z176" s="133" t="s">
        <v>60</v>
      </c>
      <c r="AA176" s="133"/>
      <c r="AB176" s="158">
        <v>750</v>
      </c>
      <c r="AC176" s="134">
        <v>318.25</v>
      </c>
      <c r="AD176" s="134"/>
      <c r="AE176" s="403">
        <f t="shared" si="7"/>
        <v>238687.5</v>
      </c>
      <c r="AF176" s="132" t="str">
        <f>IF(W176=BDD!$P$1,IMPORTS!AB176/25,IF(W176=BDD!$P$2,IMPORTS!AB176/25,IF(IMPORTS!W176=BDD!$P$4,IMPORTS!AB176/25.5,"--")))</f>
        <v>--</v>
      </c>
      <c r="AG176" s="130" t="s">
        <v>46</v>
      </c>
      <c r="AH176" s="130"/>
      <c r="AI176" s="130" t="s">
        <v>100</v>
      </c>
      <c r="AJ176" s="130"/>
      <c r="AK176" s="130"/>
      <c r="AL176" s="135" t="s">
        <v>921</v>
      </c>
      <c r="AM176" s="314"/>
      <c r="AN176" s="26"/>
      <c r="AO176" s="26"/>
      <c r="AP176" s="26"/>
      <c r="AQ176" s="26">
        <v>43121</v>
      </c>
      <c r="AR176" s="24"/>
      <c r="AS176" s="24"/>
      <c r="AT176" s="24">
        <v>43121</v>
      </c>
      <c r="AU176" s="418">
        <f t="shared" si="8"/>
        <v>1</v>
      </c>
      <c r="AV176" s="418">
        <f t="shared" si="9"/>
        <v>2018</v>
      </c>
      <c r="AW176" s="24"/>
      <c r="AX176" s="28"/>
      <c r="AY176" s="28" t="s">
        <v>269</v>
      </c>
      <c r="AZ176" s="132" t="s">
        <v>62</v>
      </c>
      <c r="BA176" s="132"/>
      <c r="BB176" s="24"/>
      <c r="BC176" s="135">
        <v>9</v>
      </c>
      <c r="BD176" s="24">
        <v>43078</v>
      </c>
      <c r="BE176" s="135" t="s">
        <v>1053</v>
      </c>
      <c r="BF176" s="135" t="s">
        <v>1053</v>
      </c>
      <c r="BG176" s="135" t="s">
        <v>52</v>
      </c>
      <c r="BH176" s="135"/>
      <c r="BI176" s="314"/>
      <c r="BJ176" s="314"/>
      <c r="BK176" s="24"/>
      <c r="BL176" s="24"/>
      <c r="BM176" s="24"/>
      <c r="BN176" s="24"/>
      <c r="BO176" s="24"/>
      <c r="BP176" s="24"/>
      <c r="BQ176" s="24"/>
      <c r="BR176" s="43"/>
      <c r="BS176" s="24"/>
      <c r="BT176" s="24"/>
      <c r="BU176" s="24"/>
      <c r="BV176" s="132" t="e">
        <f>IF(#REF!="COMPLETO","OK","PENDIENTES")</f>
        <v>#REF!</v>
      </c>
      <c r="BW176" s="132"/>
      <c r="BX176" s="132"/>
      <c r="BY176" s="132"/>
      <c r="BZ176" s="132"/>
      <c r="CA176" s="132"/>
      <c r="CB176" s="132"/>
      <c r="CC176" s="22"/>
      <c r="CG176" s="24" t="s">
        <v>105</v>
      </c>
      <c r="CH176" s="24"/>
      <c r="CI176" s="24"/>
      <c r="CJ176" s="24"/>
    </row>
    <row r="177" spans="1:88" ht="15" customHeight="1">
      <c r="A177" s="18">
        <v>2017</v>
      </c>
      <c r="B177" s="18" t="str">
        <f>+INDEX(BDD!F:F,MATCH(P177,BDD!D:D,0))&amp;"-"&amp;INDEX(BDD!E:E,MATCH(P177,BDD!D:D,0))</f>
        <v>G-S</v>
      </c>
      <c r="C177" s="360" t="s">
        <v>484</v>
      </c>
      <c r="D177" s="150" t="s">
        <v>77</v>
      </c>
      <c r="E177" s="132"/>
      <c r="F177" s="24"/>
      <c r="G177" s="346"/>
      <c r="H177" s="25" t="s">
        <v>1070</v>
      </c>
      <c r="I177" s="329"/>
      <c r="J177" s="346"/>
      <c r="K177" s="24"/>
      <c r="L177" s="24"/>
      <c r="M177" s="24"/>
      <c r="N177" s="340"/>
      <c r="O177" s="334">
        <v>206597</v>
      </c>
      <c r="P177" s="25" t="s">
        <v>104</v>
      </c>
      <c r="Q177" s="127" t="s">
        <v>285</v>
      </c>
      <c r="R177" s="128" t="s">
        <v>1071</v>
      </c>
      <c r="S177" s="24">
        <v>43076</v>
      </c>
      <c r="T177" s="36" t="s">
        <v>19</v>
      </c>
      <c r="U177" s="125"/>
      <c r="V177" s="88" t="s">
        <v>1072</v>
      </c>
      <c r="W177" s="129"/>
      <c r="X177" s="88">
        <v>43080</v>
      </c>
      <c r="Y177" s="130" t="s">
        <v>20</v>
      </c>
      <c r="Z177" s="133" t="s">
        <v>60</v>
      </c>
      <c r="AA177" s="133"/>
      <c r="AB177" s="158">
        <v>520</v>
      </c>
      <c r="AC177" s="134">
        <v>284.25</v>
      </c>
      <c r="AD177" s="134"/>
      <c r="AE177" s="403">
        <f t="shared" si="7"/>
        <v>147810</v>
      </c>
      <c r="AF177" s="132" t="str">
        <f>IF(W177=BDD!$P$1,IMPORTS!AB177/25,IF(W177=BDD!$P$2,IMPORTS!AB177/25,IF(IMPORTS!W177=BDD!$P$4,IMPORTS!AB177/25.5,"--")))</f>
        <v>--</v>
      </c>
      <c r="AG177" s="130" t="s">
        <v>46</v>
      </c>
      <c r="AH177" s="130"/>
      <c r="AI177" s="130" t="s">
        <v>100</v>
      </c>
      <c r="AJ177" s="130"/>
      <c r="AK177" s="130"/>
      <c r="AL177" s="135" t="s">
        <v>921</v>
      </c>
      <c r="AM177" s="314"/>
      <c r="AN177" s="26"/>
      <c r="AO177" s="26"/>
      <c r="AP177" s="26"/>
      <c r="AQ177" s="26">
        <v>43112</v>
      </c>
      <c r="AR177" s="24"/>
      <c r="AS177" s="24"/>
      <c r="AT177" s="24">
        <v>43113</v>
      </c>
      <c r="AU177" s="418">
        <f t="shared" si="8"/>
        <v>1</v>
      </c>
      <c r="AV177" s="418">
        <f t="shared" si="9"/>
        <v>2018</v>
      </c>
      <c r="AW177" s="24"/>
      <c r="AX177" s="28"/>
      <c r="AY177" s="28" t="s">
        <v>281</v>
      </c>
      <c r="AZ177" s="132" t="s">
        <v>9</v>
      </c>
      <c r="BA177" s="132"/>
      <c r="BB177" s="24"/>
      <c r="BC177" s="135">
        <v>10</v>
      </c>
      <c r="BD177" s="24">
        <v>43084</v>
      </c>
      <c r="BE177" s="135" t="s">
        <v>1053</v>
      </c>
      <c r="BF177" s="135" t="s">
        <v>1053</v>
      </c>
      <c r="BG177" s="135" t="s">
        <v>52</v>
      </c>
      <c r="BH177" s="135"/>
      <c r="BI177" s="314"/>
      <c r="BJ177" s="314"/>
      <c r="BK177" s="24"/>
      <c r="BL177" s="24"/>
      <c r="BM177" s="24"/>
      <c r="BN177" s="24"/>
      <c r="BO177" s="24"/>
      <c r="BP177" s="24"/>
      <c r="BQ177" s="24"/>
      <c r="BR177" s="43"/>
      <c r="BS177" s="24"/>
      <c r="BT177" s="24"/>
      <c r="BU177" s="24"/>
      <c r="BV177" s="132" t="e">
        <f>IF(#REF!="COMPLETO","OK","PENDIENTES")</f>
        <v>#REF!</v>
      </c>
      <c r="BW177" s="132"/>
      <c r="BX177" s="132"/>
      <c r="BY177" s="132"/>
      <c r="BZ177" s="132"/>
      <c r="CA177" s="132"/>
      <c r="CB177" s="132"/>
      <c r="CC177" s="22"/>
      <c r="CG177" s="24" t="s">
        <v>105</v>
      </c>
      <c r="CH177" s="24"/>
      <c r="CI177" s="24"/>
      <c r="CJ177" s="24"/>
    </row>
    <row r="178" spans="1:88" ht="15" customHeight="1">
      <c r="A178" s="18">
        <v>2017</v>
      </c>
      <c r="B178" s="18" t="str">
        <f>+INDEX(BDD!F:F,MATCH(P178,BDD!D:D,0))&amp;"-"&amp;INDEX(BDD!E:E,MATCH(P178,BDD!D:D,0))</f>
        <v>G-S</v>
      </c>
      <c r="C178" s="360" t="s">
        <v>484</v>
      </c>
      <c r="D178" s="150" t="s">
        <v>77</v>
      </c>
      <c r="E178" s="132"/>
      <c r="F178" s="24"/>
      <c r="G178" s="346"/>
      <c r="H178" s="25" t="s">
        <v>1073</v>
      </c>
      <c r="I178" s="329"/>
      <c r="J178" s="346"/>
      <c r="K178" s="24"/>
      <c r="L178" s="24"/>
      <c r="M178" s="24"/>
      <c r="N178" s="340"/>
      <c r="O178" s="334">
        <v>206597</v>
      </c>
      <c r="P178" s="25" t="s">
        <v>104</v>
      </c>
      <c r="Q178" s="127" t="s">
        <v>285</v>
      </c>
      <c r="R178" s="128" t="s">
        <v>1071</v>
      </c>
      <c r="S178" s="24">
        <v>43076</v>
      </c>
      <c r="T178" s="36" t="s">
        <v>19</v>
      </c>
      <c r="U178" s="125"/>
      <c r="V178" s="88" t="s">
        <v>1074</v>
      </c>
      <c r="W178" s="129"/>
      <c r="X178" s="88">
        <v>43080</v>
      </c>
      <c r="Y178" s="130" t="s">
        <v>20</v>
      </c>
      <c r="Z178" s="133" t="s">
        <v>60</v>
      </c>
      <c r="AA178" s="133"/>
      <c r="AB178" s="158">
        <v>940</v>
      </c>
      <c r="AC178" s="134">
        <v>284.25</v>
      </c>
      <c r="AD178" s="134"/>
      <c r="AE178" s="403">
        <f t="shared" si="7"/>
        <v>267195</v>
      </c>
      <c r="AF178" s="132" t="str">
        <f>IF(W178=BDD!$P$1,IMPORTS!AB178/25,IF(W178=BDD!$P$2,IMPORTS!AB178/25,IF(IMPORTS!W178=BDD!$P$4,IMPORTS!AB178/25.5,"--")))</f>
        <v>--</v>
      </c>
      <c r="AG178" s="130" t="s">
        <v>46</v>
      </c>
      <c r="AH178" s="130"/>
      <c r="AI178" s="130" t="s">
        <v>100</v>
      </c>
      <c r="AJ178" s="130"/>
      <c r="AK178" s="130"/>
      <c r="AL178" s="135" t="s">
        <v>921</v>
      </c>
      <c r="AM178" s="314"/>
      <c r="AN178" s="26"/>
      <c r="AO178" s="26"/>
      <c r="AP178" s="26"/>
      <c r="AQ178" s="26">
        <f>+AQ177+2</f>
        <v>43114</v>
      </c>
      <c r="AR178" s="24"/>
      <c r="AS178" s="24"/>
      <c r="AT178" s="24">
        <v>43115</v>
      </c>
      <c r="AU178" s="418">
        <f t="shared" si="8"/>
        <v>1</v>
      </c>
      <c r="AV178" s="418">
        <f t="shared" si="9"/>
        <v>2018</v>
      </c>
      <c r="AW178" s="24"/>
      <c r="AX178" s="28"/>
      <c r="AY178" s="28" t="s">
        <v>281</v>
      </c>
      <c r="AZ178" s="132" t="s">
        <v>25</v>
      </c>
      <c r="BA178" s="132"/>
      <c r="BB178" s="24"/>
      <c r="BC178" s="135">
        <v>11</v>
      </c>
      <c r="BD178" s="24">
        <v>43084</v>
      </c>
      <c r="BE178" s="135" t="s">
        <v>1053</v>
      </c>
      <c r="BF178" s="135" t="s">
        <v>1053</v>
      </c>
      <c r="BG178" s="135" t="s">
        <v>52</v>
      </c>
      <c r="BH178" s="135"/>
      <c r="BI178" s="314"/>
      <c r="BJ178" s="314"/>
      <c r="BK178" s="24"/>
      <c r="BL178" s="24"/>
      <c r="BM178" s="24"/>
      <c r="BN178" s="24"/>
      <c r="BO178" s="24"/>
      <c r="BP178" s="24"/>
      <c r="BQ178" s="24"/>
      <c r="BR178" s="43"/>
      <c r="BS178" s="24"/>
      <c r="BT178" s="24"/>
      <c r="BU178" s="24"/>
      <c r="BV178" s="132" t="e">
        <f>IF(#REF!="COMPLETO","OK","PENDIENTES")</f>
        <v>#REF!</v>
      </c>
      <c r="BW178" s="132"/>
      <c r="BX178" s="132"/>
      <c r="BY178" s="132"/>
      <c r="BZ178" s="132"/>
      <c r="CA178" s="132"/>
      <c r="CB178" s="132"/>
      <c r="CC178" s="22"/>
      <c r="CG178" s="24" t="s">
        <v>105</v>
      </c>
      <c r="CH178" s="24"/>
      <c r="CI178" s="24"/>
      <c r="CJ178" s="24"/>
    </row>
    <row r="179" spans="1:88" ht="15" customHeight="1">
      <c r="A179" s="18">
        <v>2017</v>
      </c>
      <c r="B179" s="18" t="str">
        <f>+INDEX(BDD!F:F,MATCH(P179,BDD!D:D,0))&amp;"-"&amp;INDEX(BDD!E:E,MATCH(P179,BDD!D:D,0))</f>
        <v>G-S</v>
      </c>
      <c r="C179" s="360" t="s">
        <v>484</v>
      </c>
      <c r="D179" s="150" t="s">
        <v>77</v>
      </c>
      <c r="E179" s="132"/>
      <c r="F179" s="24"/>
      <c r="G179" s="346"/>
      <c r="H179" s="25" t="s">
        <v>1075</v>
      </c>
      <c r="I179" s="329"/>
      <c r="J179" s="346"/>
      <c r="K179" s="24"/>
      <c r="L179" s="24"/>
      <c r="M179" s="24"/>
      <c r="N179" s="340"/>
      <c r="O179" s="334">
        <v>206597</v>
      </c>
      <c r="P179" s="25" t="s">
        <v>104</v>
      </c>
      <c r="Q179" s="127" t="s">
        <v>285</v>
      </c>
      <c r="R179" s="128" t="s">
        <v>1071</v>
      </c>
      <c r="S179" s="24">
        <v>43076</v>
      </c>
      <c r="T179" s="36" t="s">
        <v>19</v>
      </c>
      <c r="U179" s="125"/>
      <c r="V179" s="88" t="s">
        <v>1076</v>
      </c>
      <c r="W179" s="129"/>
      <c r="X179" s="88">
        <v>43080</v>
      </c>
      <c r="Y179" s="130" t="s">
        <v>20</v>
      </c>
      <c r="Z179" s="133" t="s">
        <v>60</v>
      </c>
      <c r="AA179" s="133"/>
      <c r="AB179" s="158">
        <v>2150</v>
      </c>
      <c r="AC179" s="134">
        <v>284.25</v>
      </c>
      <c r="AD179" s="134"/>
      <c r="AE179" s="403">
        <f t="shared" si="7"/>
        <v>611137.5</v>
      </c>
      <c r="AF179" s="132" t="str">
        <f>IF(W179=BDD!$P$1,IMPORTS!AB179/25,IF(W179=BDD!$P$2,IMPORTS!AB179/25,IF(IMPORTS!W179=BDD!$P$4,IMPORTS!AB179/25.5,"--")))</f>
        <v>--</v>
      </c>
      <c r="AG179" s="130" t="s">
        <v>46</v>
      </c>
      <c r="AH179" s="130"/>
      <c r="AI179" s="130" t="s">
        <v>100</v>
      </c>
      <c r="AJ179" s="130"/>
      <c r="AK179" s="130"/>
      <c r="AL179" s="135" t="s">
        <v>921</v>
      </c>
      <c r="AM179" s="314"/>
      <c r="AN179" s="26"/>
      <c r="AO179" s="26"/>
      <c r="AP179" s="26"/>
      <c r="AQ179" s="26">
        <f>+AQ178+2</f>
        <v>43116</v>
      </c>
      <c r="AR179" s="24"/>
      <c r="AS179" s="24"/>
      <c r="AT179" s="24">
        <v>43118</v>
      </c>
      <c r="AU179" s="418">
        <f t="shared" si="8"/>
        <v>1</v>
      </c>
      <c r="AV179" s="418">
        <f t="shared" si="9"/>
        <v>2018</v>
      </c>
      <c r="AW179" s="24"/>
      <c r="AX179" s="28"/>
      <c r="AY179" s="28" t="s">
        <v>281</v>
      </c>
      <c r="AZ179" s="132" t="s">
        <v>37</v>
      </c>
      <c r="BA179" s="132"/>
      <c r="BB179" s="24"/>
      <c r="BC179" s="132">
        <v>12</v>
      </c>
      <c r="BD179" s="24">
        <v>43084</v>
      </c>
      <c r="BE179" s="135" t="s">
        <v>1053</v>
      </c>
      <c r="BF179" s="135" t="s">
        <v>1053</v>
      </c>
      <c r="BG179" s="135" t="s">
        <v>52</v>
      </c>
      <c r="BH179" s="135"/>
      <c r="BI179" s="314"/>
      <c r="BJ179" s="314"/>
      <c r="BK179" s="24"/>
      <c r="BL179" s="24"/>
      <c r="BM179" s="24"/>
      <c r="BN179" s="24"/>
      <c r="BO179" s="24"/>
      <c r="BP179" s="24"/>
      <c r="BQ179" s="24"/>
      <c r="BR179" s="43"/>
      <c r="BS179" s="24"/>
      <c r="BT179" s="24"/>
      <c r="BU179" s="24"/>
      <c r="BV179" s="132" t="e">
        <f>IF(#REF!="COMPLETO","OK","PENDIENTES")</f>
        <v>#REF!</v>
      </c>
      <c r="BW179" s="132"/>
      <c r="BX179" s="132"/>
      <c r="BY179" s="132"/>
      <c r="BZ179" s="132"/>
      <c r="CA179" s="132"/>
      <c r="CB179" s="132"/>
      <c r="CC179" s="22"/>
      <c r="CG179" s="24" t="s">
        <v>105</v>
      </c>
      <c r="CH179" s="24"/>
      <c r="CI179" s="24"/>
      <c r="CJ179" s="24"/>
    </row>
    <row r="180" spans="1:88" ht="15" customHeight="1">
      <c r="A180" s="18">
        <v>2017</v>
      </c>
      <c r="B180" s="18" t="str">
        <f>+INDEX(BDD!F:F,MATCH(P180,BDD!D:D,0))&amp;"-"&amp;INDEX(BDD!E:E,MATCH(P180,BDD!D:D,0))</f>
        <v>G-S</v>
      </c>
      <c r="C180" s="360" t="s">
        <v>484</v>
      </c>
      <c r="D180" s="150" t="s">
        <v>77</v>
      </c>
      <c r="E180" s="132"/>
      <c r="F180" s="24"/>
      <c r="G180" s="346"/>
      <c r="H180" s="25" t="s">
        <v>1077</v>
      </c>
      <c r="I180" s="329"/>
      <c r="J180" s="346"/>
      <c r="K180" s="24"/>
      <c r="L180" s="24"/>
      <c r="M180" s="24"/>
      <c r="N180" s="340"/>
      <c r="O180" s="334">
        <v>206597</v>
      </c>
      <c r="P180" s="25" t="s">
        <v>104</v>
      </c>
      <c r="Q180" s="127" t="s">
        <v>285</v>
      </c>
      <c r="R180" s="128" t="s">
        <v>1071</v>
      </c>
      <c r="S180" s="24">
        <v>43076</v>
      </c>
      <c r="T180" s="36" t="s">
        <v>19</v>
      </c>
      <c r="U180" s="125"/>
      <c r="V180" s="88" t="s">
        <v>1078</v>
      </c>
      <c r="W180" s="129"/>
      <c r="X180" s="88">
        <v>43080</v>
      </c>
      <c r="Y180" s="130" t="s">
        <v>20</v>
      </c>
      <c r="Z180" s="133" t="s">
        <v>60</v>
      </c>
      <c r="AA180" s="133"/>
      <c r="AB180" s="158">
        <v>324.10000000000002</v>
      </c>
      <c r="AC180" s="134">
        <v>284.25</v>
      </c>
      <c r="AD180" s="134"/>
      <c r="AE180" s="403">
        <f t="shared" si="7"/>
        <v>92125.425000000003</v>
      </c>
      <c r="AF180" s="132" t="str">
        <f>IF(W180=BDD!$P$1,IMPORTS!AB180/25,IF(W180=BDD!$P$2,IMPORTS!AB180/25,IF(IMPORTS!W180=BDD!$P$4,IMPORTS!AB180/25.5,"--")))</f>
        <v>--</v>
      </c>
      <c r="AG180" s="130" t="s">
        <v>46</v>
      </c>
      <c r="AH180" s="130"/>
      <c r="AI180" s="130" t="s">
        <v>100</v>
      </c>
      <c r="AJ180" s="130"/>
      <c r="AK180" s="130"/>
      <c r="AL180" s="135" t="s">
        <v>921</v>
      </c>
      <c r="AM180" s="314"/>
      <c r="AN180" s="26"/>
      <c r="AO180" s="26"/>
      <c r="AP180" s="26"/>
      <c r="AQ180" s="26">
        <f>+AQ179+2</f>
        <v>43118</v>
      </c>
      <c r="AR180" s="24"/>
      <c r="AS180" s="24"/>
      <c r="AT180" s="24">
        <v>43119</v>
      </c>
      <c r="AU180" s="418">
        <f t="shared" si="8"/>
        <v>1</v>
      </c>
      <c r="AV180" s="418">
        <f t="shared" si="9"/>
        <v>2018</v>
      </c>
      <c r="AW180" s="24"/>
      <c r="AX180" s="28"/>
      <c r="AY180" s="28" t="s">
        <v>281</v>
      </c>
      <c r="AZ180" s="132" t="s">
        <v>50</v>
      </c>
      <c r="BA180" s="132"/>
      <c r="BB180" s="24"/>
      <c r="BC180" s="135">
        <v>13</v>
      </c>
      <c r="BD180" s="24">
        <v>43084</v>
      </c>
      <c r="BE180" s="135" t="s">
        <v>1053</v>
      </c>
      <c r="BF180" s="135" t="s">
        <v>1053</v>
      </c>
      <c r="BG180" s="135" t="s">
        <v>52</v>
      </c>
      <c r="BH180" s="135"/>
      <c r="BI180" s="314"/>
      <c r="BJ180" s="314"/>
      <c r="BK180" s="24"/>
      <c r="BL180" s="24"/>
      <c r="BM180" s="24"/>
      <c r="BN180" s="24"/>
      <c r="BO180" s="24"/>
      <c r="BP180" s="24"/>
      <c r="BQ180" s="24"/>
      <c r="BR180" s="43"/>
      <c r="BS180" s="24"/>
      <c r="BT180" s="24"/>
      <c r="BU180" s="24"/>
      <c r="BV180" s="132" t="e">
        <f>IF(#REF!="COMPLETO","OK","PENDIENTES")</f>
        <v>#REF!</v>
      </c>
      <c r="BW180" s="132"/>
      <c r="BX180" s="132"/>
      <c r="BY180" s="132"/>
      <c r="BZ180" s="132"/>
      <c r="CA180" s="132"/>
      <c r="CB180" s="132"/>
      <c r="CC180" s="22"/>
      <c r="CG180" s="24" t="s">
        <v>105</v>
      </c>
      <c r="CH180" s="24"/>
      <c r="CI180" s="24"/>
      <c r="CJ180" s="24"/>
    </row>
    <row r="181" spans="1:88" ht="15" customHeight="1">
      <c r="A181" s="18">
        <v>2017</v>
      </c>
      <c r="B181" s="18" t="str">
        <f>+INDEX(BDD!F:F,MATCH(P181,BDD!D:D,0))&amp;"-"&amp;INDEX(BDD!E:E,MATCH(P181,BDD!D:D,0))</f>
        <v>G-S</v>
      </c>
      <c r="C181" s="360" t="s">
        <v>484</v>
      </c>
      <c r="D181" s="150" t="s">
        <v>77</v>
      </c>
      <c r="E181" s="132"/>
      <c r="F181" s="24"/>
      <c r="G181" s="346"/>
      <c r="H181" s="25" t="s">
        <v>1079</v>
      </c>
      <c r="I181" s="329"/>
      <c r="J181" s="346"/>
      <c r="K181" s="24"/>
      <c r="L181" s="24"/>
      <c r="M181" s="24"/>
      <c r="N181" s="340"/>
      <c r="O181" s="334">
        <v>207791</v>
      </c>
      <c r="P181" s="25" t="s">
        <v>98</v>
      </c>
      <c r="Q181" s="127" t="s">
        <v>285</v>
      </c>
      <c r="R181" s="128" t="s">
        <v>1071</v>
      </c>
      <c r="S181" s="24">
        <v>43076</v>
      </c>
      <c r="T181" s="36" t="s">
        <v>19</v>
      </c>
      <c r="U181" s="125"/>
      <c r="V181" s="88" t="s">
        <v>1080</v>
      </c>
      <c r="W181" s="129"/>
      <c r="X181" s="88">
        <v>43080</v>
      </c>
      <c r="Y181" s="130" t="s">
        <v>20</v>
      </c>
      <c r="Z181" s="133" t="s">
        <v>60</v>
      </c>
      <c r="AA181" s="133"/>
      <c r="AB181" s="158">
        <v>500</v>
      </c>
      <c r="AC181" s="134">
        <v>269.25</v>
      </c>
      <c r="AD181" s="134"/>
      <c r="AE181" s="403">
        <f t="shared" si="7"/>
        <v>134625</v>
      </c>
      <c r="AF181" s="132" t="str">
        <f>IF(W181=BDD!$P$1,IMPORTS!AB181/25,IF(W181=BDD!$P$2,IMPORTS!AB181/25,IF(IMPORTS!W181=BDD!$P$4,IMPORTS!AB181/25.5,"--")))</f>
        <v>--</v>
      </c>
      <c r="AG181" s="130" t="s">
        <v>46</v>
      </c>
      <c r="AH181" s="130"/>
      <c r="AI181" s="130" t="s">
        <v>100</v>
      </c>
      <c r="AJ181" s="130"/>
      <c r="AK181" s="130"/>
      <c r="AL181" s="135" t="s">
        <v>921</v>
      </c>
      <c r="AM181" s="314"/>
      <c r="AN181" s="26"/>
      <c r="AO181" s="26"/>
      <c r="AP181" s="26"/>
      <c r="AQ181" s="26">
        <v>43112</v>
      </c>
      <c r="AR181" s="24"/>
      <c r="AS181" s="24"/>
      <c r="AT181" s="24">
        <v>43113</v>
      </c>
      <c r="AU181" s="418">
        <f t="shared" si="8"/>
        <v>1</v>
      </c>
      <c r="AV181" s="418">
        <f t="shared" si="9"/>
        <v>2018</v>
      </c>
      <c r="AW181" s="24"/>
      <c r="AX181" s="28"/>
      <c r="AY181" s="28" t="s">
        <v>281</v>
      </c>
      <c r="AZ181" s="132" t="s">
        <v>9</v>
      </c>
      <c r="BA181" s="132"/>
      <c r="BB181" s="24"/>
      <c r="BC181" s="135">
        <v>14</v>
      </c>
      <c r="BD181" s="24">
        <v>43084</v>
      </c>
      <c r="BE181" s="135" t="s">
        <v>1053</v>
      </c>
      <c r="BF181" s="135" t="s">
        <v>1053</v>
      </c>
      <c r="BG181" s="135" t="s">
        <v>52</v>
      </c>
      <c r="BH181" s="135"/>
      <c r="BI181" s="314"/>
      <c r="BJ181" s="314"/>
      <c r="BK181" s="24"/>
      <c r="BL181" s="24"/>
      <c r="BM181" s="24"/>
      <c r="BN181" s="24"/>
      <c r="BO181" s="24"/>
      <c r="BP181" s="24"/>
      <c r="BQ181" s="24"/>
      <c r="BR181" s="43"/>
      <c r="BS181" s="24"/>
      <c r="BT181" s="24"/>
      <c r="BU181" s="24"/>
      <c r="BV181" s="132" t="e">
        <f>IF(#REF!="COMPLETO","OK","PENDIENTES")</f>
        <v>#REF!</v>
      </c>
      <c r="BW181" s="132"/>
      <c r="BX181" s="132"/>
      <c r="BY181" s="132"/>
      <c r="BZ181" s="132"/>
      <c r="CA181" s="132"/>
      <c r="CB181" s="132"/>
      <c r="CC181" s="22"/>
      <c r="CG181" s="24" t="s">
        <v>105</v>
      </c>
      <c r="CH181" s="24"/>
      <c r="CI181" s="24"/>
      <c r="CJ181" s="24"/>
    </row>
    <row r="182" spans="1:88" ht="15" customHeight="1">
      <c r="A182" s="18">
        <v>2017</v>
      </c>
      <c r="B182" s="18" t="str">
        <f>+INDEX(BDD!F:F,MATCH(P182,BDD!D:D,0))&amp;"-"&amp;INDEX(BDD!E:E,MATCH(P182,BDD!D:D,0))</f>
        <v>G-S</v>
      </c>
      <c r="C182" s="360" t="s">
        <v>484</v>
      </c>
      <c r="D182" s="150" t="s">
        <v>77</v>
      </c>
      <c r="E182" s="132"/>
      <c r="F182" s="24"/>
      <c r="G182" s="346"/>
      <c r="H182" s="25" t="s">
        <v>1081</v>
      </c>
      <c r="I182" s="329"/>
      <c r="J182" s="346"/>
      <c r="K182" s="24"/>
      <c r="L182" s="24"/>
      <c r="M182" s="24"/>
      <c r="N182" s="340"/>
      <c r="O182" s="334">
        <v>207791</v>
      </c>
      <c r="P182" s="25" t="s">
        <v>98</v>
      </c>
      <c r="Q182" s="127" t="s">
        <v>285</v>
      </c>
      <c r="R182" s="128" t="s">
        <v>1071</v>
      </c>
      <c r="S182" s="24">
        <v>43076</v>
      </c>
      <c r="T182" s="36" t="s">
        <v>19</v>
      </c>
      <c r="U182" s="125"/>
      <c r="V182" s="88" t="s">
        <v>1082</v>
      </c>
      <c r="W182" s="129"/>
      <c r="X182" s="88">
        <v>43080</v>
      </c>
      <c r="Y182" s="130" t="s">
        <v>20</v>
      </c>
      <c r="Z182" s="133" t="s">
        <v>60</v>
      </c>
      <c r="AA182" s="133"/>
      <c r="AB182" s="158">
        <v>1650</v>
      </c>
      <c r="AC182" s="134">
        <v>269.25</v>
      </c>
      <c r="AD182" s="134"/>
      <c r="AE182" s="403">
        <f t="shared" si="7"/>
        <v>444262.5</v>
      </c>
      <c r="AF182" s="132" t="str">
        <f>IF(W182=BDD!$P$1,IMPORTS!AB182/25,IF(W182=BDD!$P$2,IMPORTS!AB182/25,IF(IMPORTS!W182=BDD!$P$4,IMPORTS!AB182/25.5,"--")))</f>
        <v>--</v>
      </c>
      <c r="AG182" s="130" t="s">
        <v>46</v>
      </c>
      <c r="AH182" s="130"/>
      <c r="AI182" s="130" t="s">
        <v>100</v>
      </c>
      <c r="AJ182" s="130"/>
      <c r="AK182" s="130"/>
      <c r="AL182" s="135" t="s">
        <v>921</v>
      </c>
      <c r="AM182" s="314"/>
      <c r="AN182" s="26"/>
      <c r="AO182" s="26"/>
      <c r="AP182" s="26"/>
      <c r="AQ182" s="26">
        <f>+AQ181+2</f>
        <v>43114</v>
      </c>
      <c r="AR182" s="24"/>
      <c r="AS182" s="24"/>
      <c r="AT182" s="24">
        <v>43115</v>
      </c>
      <c r="AU182" s="418">
        <f t="shared" si="8"/>
        <v>1</v>
      </c>
      <c r="AV182" s="418">
        <f t="shared" si="9"/>
        <v>2018</v>
      </c>
      <c r="AW182" s="24"/>
      <c r="AX182" s="28"/>
      <c r="AY182" s="28" t="s">
        <v>281</v>
      </c>
      <c r="AZ182" s="132" t="s">
        <v>25</v>
      </c>
      <c r="BA182" s="132"/>
      <c r="BB182" s="24"/>
      <c r="BC182" s="135">
        <v>15</v>
      </c>
      <c r="BD182" s="24">
        <v>43084</v>
      </c>
      <c r="BE182" s="135" t="s">
        <v>1053</v>
      </c>
      <c r="BF182" s="135" t="s">
        <v>1053</v>
      </c>
      <c r="BG182" s="135" t="s">
        <v>52</v>
      </c>
      <c r="BH182" s="135"/>
      <c r="BI182" s="314"/>
      <c r="BJ182" s="314"/>
      <c r="BK182" s="24"/>
      <c r="BL182" s="24"/>
      <c r="BM182" s="24"/>
      <c r="BN182" s="24"/>
      <c r="BO182" s="24"/>
      <c r="BP182" s="24"/>
      <c r="BQ182" s="24"/>
      <c r="BR182" s="43"/>
      <c r="BS182" s="24"/>
      <c r="BT182" s="24"/>
      <c r="BU182" s="24"/>
      <c r="BV182" s="132" t="e">
        <f>IF(#REF!="COMPLETO","OK","PENDIENTES")</f>
        <v>#REF!</v>
      </c>
      <c r="BW182" s="132"/>
      <c r="BX182" s="132"/>
      <c r="BY182" s="132"/>
      <c r="BZ182" s="132"/>
      <c r="CA182" s="132"/>
      <c r="CB182" s="132"/>
      <c r="CC182" s="22"/>
      <c r="CG182" s="24" t="s">
        <v>105</v>
      </c>
      <c r="CH182" s="24"/>
      <c r="CI182" s="24"/>
      <c r="CJ182" s="24"/>
    </row>
    <row r="183" spans="1:88" ht="15" customHeight="1">
      <c r="A183" s="18">
        <v>2017</v>
      </c>
      <c r="B183" s="18" t="str">
        <f>+INDEX(BDD!F:F,MATCH(P183,BDD!D:D,0))&amp;"-"&amp;INDEX(BDD!E:E,MATCH(P183,BDD!D:D,0))</f>
        <v>G-S</v>
      </c>
      <c r="C183" s="360" t="s">
        <v>484</v>
      </c>
      <c r="D183" s="150" t="s">
        <v>77</v>
      </c>
      <c r="E183" s="132"/>
      <c r="F183" s="24"/>
      <c r="G183" s="346"/>
      <c r="H183" s="25" t="s">
        <v>1083</v>
      </c>
      <c r="I183" s="329"/>
      <c r="J183" s="346"/>
      <c r="K183" s="24"/>
      <c r="L183" s="24"/>
      <c r="M183" s="24"/>
      <c r="N183" s="340"/>
      <c r="O183" s="334">
        <v>207791</v>
      </c>
      <c r="P183" s="25" t="s">
        <v>98</v>
      </c>
      <c r="Q183" s="127" t="s">
        <v>285</v>
      </c>
      <c r="R183" s="128" t="s">
        <v>1071</v>
      </c>
      <c r="S183" s="24">
        <v>43076</v>
      </c>
      <c r="T183" s="36" t="s">
        <v>19</v>
      </c>
      <c r="U183" s="125"/>
      <c r="V183" s="88" t="s">
        <v>1084</v>
      </c>
      <c r="W183" s="129"/>
      <c r="X183" s="88">
        <v>43080</v>
      </c>
      <c r="Y183" s="130" t="s">
        <v>20</v>
      </c>
      <c r="Z183" s="133" t="s">
        <v>60</v>
      </c>
      <c r="AA183" s="133"/>
      <c r="AB183" s="158">
        <v>150</v>
      </c>
      <c r="AC183" s="134">
        <v>269.25</v>
      </c>
      <c r="AD183" s="134"/>
      <c r="AE183" s="403">
        <f t="shared" si="7"/>
        <v>40387.5</v>
      </c>
      <c r="AF183" s="132" t="str">
        <f>IF(W183=BDD!$P$1,IMPORTS!AB183/25,IF(W183=BDD!$P$2,IMPORTS!AB183/25,IF(IMPORTS!W183=BDD!$P$4,IMPORTS!AB183/25.5,"--")))</f>
        <v>--</v>
      </c>
      <c r="AG183" s="130" t="s">
        <v>46</v>
      </c>
      <c r="AH183" s="130"/>
      <c r="AI183" s="130" t="s">
        <v>100</v>
      </c>
      <c r="AJ183" s="130"/>
      <c r="AK183" s="130"/>
      <c r="AL183" s="135" t="s">
        <v>921</v>
      </c>
      <c r="AM183" s="314"/>
      <c r="AN183" s="26"/>
      <c r="AO183" s="26"/>
      <c r="AP183" s="26"/>
      <c r="AQ183" s="26">
        <f>+AQ182+4</f>
        <v>43118</v>
      </c>
      <c r="AR183" s="24"/>
      <c r="AS183" s="24"/>
      <c r="AT183" s="24">
        <v>43119</v>
      </c>
      <c r="AU183" s="418">
        <f t="shared" si="8"/>
        <v>1</v>
      </c>
      <c r="AV183" s="418">
        <f t="shared" si="9"/>
        <v>2018</v>
      </c>
      <c r="AW183" s="24"/>
      <c r="AX183" s="28"/>
      <c r="AY183" s="28" t="s">
        <v>281</v>
      </c>
      <c r="AZ183" s="132" t="s">
        <v>50</v>
      </c>
      <c r="BA183" s="132"/>
      <c r="BB183" s="24"/>
      <c r="BC183" s="135">
        <v>16</v>
      </c>
      <c r="BD183" s="24">
        <v>43084</v>
      </c>
      <c r="BE183" s="135" t="s">
        <v>1053</v>
      </c>
      <c r="BF183" s="135" t="s">
        <v>1053</v>
      </c>
      <c r="BG183" s="135" t="s">
        <v>52</v>
      </c>
      <c r="BH183" s="135"/>
      <c r="BI183" s="314"/>
      <c r="BJ183" s="314"/>
      <c r="BK183" s="24"/>
      <c r="BL183" s="24"/>
      <c r="BM183" s="24"/>
      <c r="BN183" s="24"/>
      <c r="BO183" s="24"/>
      <c r="BP183" s="24"/>
      <c r="BQ183" s="24"/>
      <c r="BR183" s="43"/>
      <c r="BS183" s="24"/>
      <c r="BT183" s="24"/>
      <c r="BU183" s="24"/>
      <c r="BV183" s="132" t="e">
        <f>IF(#REF!="COMPLETO","OK","PENDIENTES")</f>
        <v>#REF!</v>
      </c>
      <c r="BW183" s="132"/>
      <c r="BX183" s="132"/>
      <c r="BY183" s="132"/>
      <c r="BZ183" s="132"/>
      <c r="CA183" s="132"/>
      <c r="CB183" s="132"/>
      <c r="CC183" s="22"/>
      <c r="CG183" s="24" t="s">
        <v>105</v>
      </c>
      <c r="CH183" s="24"/>
      <c r="CI183" s="24"/>
      <c r="CJ183" s="24"/>
    </row>
    <row r="184" spans="1:88" ht="15" customHeight="1">
      <c r="A184" s="18">
        <v>2017</v>
      </c>
      <c r="B184" s="18" t="str">
        <f>+INDEX(BDD!F:F,MATCH(P184,BDD!D:D,0))&amp;"-"&amp;INDEX(BDD!E:E,MATCH(P184,BDD!D:D,0))</f>
        <v>G-S</v>
      </c>
      <c r="C184" s="360" t="s">
        <v>484</v>
      </c>
      <c r="D184" s="150" t="s">
        <v>77</v>
      </c>
      <c r="E184" s="132"/>
      <c r="F184" s="24"/>
      <c r="G184" s="346"/>
      <c r="H184" s="25" t="s">
        <v>1085</v>
      </c>
      <c r="I184" s="329"/>
      <c r="J184" s="346"/>
      <c r="K184" s="24"/>
      <c r="L184" s="24"/>
      <c r="M184" s="24"/>
      <c r="N184" s="340"/>
      <c r="O184" s="334">
        <v>207791</v>
      </c>
      <c r="P184" s="25" t="s">
        <v>98</v>
      </c>
      <c r="Q184" s="127" t="s">
        <v>285</v>
      </c>
      <c r="R184" s="128" t="s">
        <v>1071</v>
      </c>
      <c r="S184" s="24">
        <v>43076</v>
      </c>
      <c r="T184" s="36" t="s">
        <v>19</v>
      </c>
      <c r="U184" s="125"/>
      <c r="V184" s="88" t="s">
        <v>1086</v>
      </c>
      <c r="W184" s="129"/>
      <c r="X184" s="88">
        <v>43080</v>
      </c>
      <c r="Y184" s="130" t="s">
        <v>20</v>
      </c>
      <c r="Z184" s="133" t="s">
        <v>60</v>
      </c>
      <c r="AA184" s="133"/>
      <c r="AB184" s="158">
        <v>200.70599999999999</v>
      </c>
      <c r="AC184" s="134">
        <v>269.25</v>
      </c>
      <c r="AD184" s="134"/>
      <c r="AE184" s="403">
        <f t="shared" si="7"/>
        <v>54040.090499999998</v>
      </c>
      <c r="AF184" s="132" t="str">
        <f>IF(W184=BDD!$P$1,IMPORTS!AB184/25,IF(W184=BDD!$P$2,IMPORTS!AB184/25,IF(IMPORTS!W184=BDD!$P$4,IMPORTS!AB184/25.5,"--")))</f>
        <v>--</v>
      </c>
      <c r="AG184" s="130" t="s">
        <v>46</v>
      </c>
      <c r="AH184" s="130"/>
      <c r="AI184" s="130" t="s">
        <v>100</v>
      </c>
      <c r="AJ184" s="130"/>
      <c r="AK184" s="130"/>
      <c r="AL184" s="135" t="s">
        <v>921</v>
      </c>
      <c r="AM184" s="314"/>
      <c r="AN184" s="26"/>
      <c r="AO184" s="26"/>
      <c r="AP184" s="26"/>
      <c r="AQ184" s="26">
        <v>43121</v>
      </c>
      <c r="AR184" s="24"/>
      <c r="AS184" s="24"/>
      <c r="AT184" s="24">
        <v>43121</v>
      </c>
      <c r="AU184" s="418">
        <f t="shared" si="8"/>
        <v>1</v>
      </c>
      <c r="AV184" s="418">
        <f t="shared" si="9"/>
        <v>2018</v>
      </c>
      <c r="AW184" s="24"/>
      <c r="AX184" s="28"/>
      <c r="AY184" s="28" t="s">
        <v>281</v>
      </c>
      <c r="AZ184" s="132" t="s">
        <v>62</v>
      </c>
      <c r="BA184" s="132"/>
      <c r="BB184" s="24"/>
      <c r="BC184" s="135">
        <v>17</v>
      </c>
      <c r="BD184" s="24">
        <v>43084</v>
      </c>
      <c r="BE184" s="135" t="s">
        <v>1053</v>
      </c>
      <c r="BF184" s="135" t="s">
        <v>1053</v>
      </c>
      <c r="BG184" s="135" t="s">
        <v>52</v>
      </c>
      <c r="BH184" s="135"/>
      <c r="BI184" s="314"/>
      <c r="BJ184" s="314"/>
      <c r="BK184" s="24"/>
      <c r="BL184" s="24"/>
      <c r="BM184" s="24"/>
      <c r="BN184" s="24"/>
      <c r="BO184" s="24"/>
      <c r="BP184" s="24"/>
      <c r="BQ184" s="24"/>
      <c r="BR184" s="43"/>
      <c r="BS184" s="24"/>
      <c r="BT184" s="24"/>
      <c r="BU184" s="24"/>
      <c r="BV184" s="132" t="e">
        <f>IF(#REF!="COMPLETO","OK","PENDIENTES")</f>
        <v>#REF!</v>
      </c>
      <c r="BW184" s="132"/>
      <c r="BX184" s="132"/>
      <c r="BY184" s="132"/>
      <c r="BZ184" s="132"/>
      <c r="CA184" s="132"/>
      <c r="CB184" s="132"/>
      <c r="CC184" s="22"/>
      <c r="CG184" s="24" t="s">
        <v>105</v>
      </c>
      <c r="CH184" s="24"/>
      <c r="CI184" s="24"/>
      <c r="CJ184" s="24"/>
    </row>
    <row r="185" spans="1:88" ht="15" customHeight="1">
      <c r="A185" s="18">
        <v>2017</v>
      </c>
      <c r="B185" s="18" t="str">
        <f>+INDEX(BDD!F:F,MATCH(P185,BDD!D:D,0))&amp;"-"&amp;INDEX(BDD!E:E,MATCH(P185,BDD!D:D,0))</f>
        <v>S-P</v>
      </c>
      <c r="C185" s="360" t="s">
        <v>484</v>
      </c>
      <c r="D185" s="150" t="s">
        <v>77</v>
      </c>
      <c r="E185" s="132"/>
      <c r="F185" s="24"/>
      <c r="G185" s="346"/>
      <c r="H185" s="25" t="s">
        <v>1087</v>
      </c>
      <c r="I185" s="329"/>
      <c r="J185" s="346"/>
      <c r="K185" s="24"/>
      <c r="L185" s="24"/>
      <c r="M185" s="24"/>
      <c r="N185" s="340"/>
      <c r="O185" s="334">
        <v>207374</v>
      </c>
      <c r="P185" s="25" t="s">
        <v>232</v>
      </c>
      <c r="Q185" s="127" t="s">
        <v>288</v>
      </c>
      <c r="R185" s="128" t="s">
        <v>1088</v>
      </c>
      <c r="S185" s="24">
        <v>43047</v>
      </c>
      <c r="T185" s="36" t="s">
        <v>19</v>
      </c>
      <c r="U185" s="125"/>
      <c r="V185" s="88" t="s">
        <v>1089</v>
      </c>
      <c r="W185" s="129"/>
      <c r="X185" s="88">
        <v>43087</v>
      </c>
      <c r="Y185" s="130" t="s">
        <v>20</v>
      </c>
      <c r="Z185" s="133" t="s">
        <v>60</v>
      </c>
      <c r="AA185" s="133"/>
      <c r="AB185" s="148">
        <v>312</v>
      </c>
      <c r="AC185" s="134">
        <v>320</v>
      </c>
      <c r="AD185" s="134"/>
      <c r="AE185" s="403">
        <f t="shared" si="7"/>
        <v>99840</v>
      </c>
      <c r="AF185" s="132">
        <v>13</v>
      </c>
      <c r="AG185" s="130" t="s">
        <v>5</v>
      </c>
      <c r="AH185" s="130"/>
      <c r="AI185" s="130" t="s">
        <v>34</v>
      </c>
      <c r="AJ185" s="130"/>
      <c r="AK185" s="130"/>
      <c r="AL185" s="135" t="s">
        <v>921</v>
      </c>
      <c r="AM185" s="314"/>
      <c r="AN185" s="26"/>
      <c r="AO185" s="26"/>
      <c r="AP185" s="26"/>
      <c r="AQ185" s="26">
        <v>43136</v>
      </c>
      <c r="AR185" s="24"/>
      <c r="AS185" s="24"/>
      <c r="AT185" s="24">
        <v>43138</v>
      </c>
      <c r="AU185" s="418">
        <f t="shared" si="8"/>
        <v>2</v>
      </c>
      <c r="AV185" s="418">
        <f t="shared" si="9"/>
        <v>2018</v>
      </c>
      <c r="AW185" s="24"/>
      <c r="AX185" s="28"/>
      <c r="AY185" s="28" t="s">
        <v>269</v>
      </c>
      <c r="AZ185" s="132" t="s">
        <v>9</v>
      </c>
      <c r="BA185" s="132"/>
      <c r="BB185" s="24"/>
      <c r="BC185" s="135" t="s">
        <v>1090</v>
      </c>
      <c r="BD185" s="24">
        <v>43091</v>
      </c>
      <c r="BE185" s="135" t="s">
        <v>774</v>
      </c>
      <c r="BF185" s="135" t="s">
        <v>923</v>
      </c>
      <c r="BG185" s="135" t="s">
        <v>29</v>
      </c>
      <c r="BH185" s="135"/>
      <c r="BI185" s="314"/>
      <c r="BJ185" s="314"/>
      <c r="BK185" s="24"/>
      <c r="BL185" s="24"/>
      <c r="BM185" s="24"/>
      <c r="BN185" s="24"/>
      <c r="BO185" s="24">
        <v>43153</v>
      </c>
      <c r="BP185" s="24"/>
      <c r="BQ185" s="24"/>
      <c r="BR185" s="43"/>
      <c r="BS185" s="24"/>
      <c r="BT185" s="24"/>
      <c r="BU185" s="24"/>
      <c r="BV185" s="132" t="e">
        <f>IF(#REF!="COMPLETO","OK","PENDIENTES")</f>
        <v>#REF!</v>
      </c>
      <c r="BW185" s="132"/>
      <c r="BX185" s="132"/>
      <c r="BY185" s="132"/>
      <c r="BZ185" s="132"/>
      <c r="CA185" s="132"/>
      <c r="CB185" s="132"/>
      <c r="CC185" s="22"/>
      <c r="CG185" s="24" t="s">
        <v>105</v>
      </c>
      <c r="CH185" s="24"/>
      <c r="CI185" s="24"/>
      <c r="CJ185" s="24"/>
    </row>
    <row r="186" spans="1:88" ht="15" customHeight="1">
      <c r="A186" s="18">
        <v>2017</v>
      </c>
      <c r="B186" s="18" t="str">
        <f>+INDEX(BDD!F:F,MATCH(P186,BDD!D:D,0))&amp;"-"&amp;INDEX(BDD!E:E,MATCH(P186,BDD!D:D,0))</f>
        <v>S-P</v>
      </c>
      <c r="C186" s="360" t="s">
        <v>484</v>
      </c>
      <c r="D186" s="150" t="s">
        <v>77</v>
      </c>
      <c r="E186" s="132"/>
      <c r="F186" s="24"/>
      <c r="G186" s="346"/>
      <c r="H186" s="25" t="s">
        <v>1091</v>
      </c>
      <c r="I186" s="329"/>
      <c r="J186" s="346"/>
      <c r="K186" s="24"/>
      <c r="L186" s="24"/>
      <c r="M186" s="24"/>
      <c r="N186" s="340"/>
      <c r="O186" s="334">
        <v>206766</v>
      </c>
      <c r="P186" s="25" t="s">
        <v>2</v>
      </c>
      <c r="Q186" s="127" t="s">
        <v>306</v>
      </c>
      <c r="R186" s="128" t="s">
        <v>1092</v>
      </c>
      <c r="S186" s="24">
        <v>43048</v>
      </c>
      <c r="T186" s="36" t="s">
        <v>19</v>
      </c>
      <c r="U186" s="125"/>
      <c r="V186" s="157">
        <v>20213</v>
      </c>
      <c r="W186" s="129"/>
      <c r="X186" s="88">
        <v>43118</v>
      </c>
      <c r="Y186" s="130" t="s">
        <v>20</v>
      </c>
      <c r="Z186" s="133" t="s">
        <v>60</v>
      </c>
      <c r="AA186" s="133"/>
      <c r="AB186" s="148">
        <v>51.3</v>
      </c>
      <c r="AC186" s="134">
        <v>876</v>
      </c>
      <c r="AD186" s="134"/>
      <c r="AE186" s="403">
        <f t="shared" si="7"/>
        <v>44938.799999999996</v>
      </c>
      <c r="AF186" s="132">
        <v>2</v>
      </c>
      <c r="AG186" s="130" t="s">
        <v>5</v>
      </c>
      <c r="AH186" s="130"/>
      <c r="AI186" s="130" t="s">
        <v>86</v>
      </c>
      <c r="AJ186" s="130"/>
      <c r="AK186" s="130"/>
      <c r="AL186" s="135" t="s">
        <v>1002</v>
      </c>
      <c r="AM186" s="314"/>
      <c r="AN186" s="26"/>
      <c r="AO186" s="26"/>
      <c r="AP186" s="26"/>
      <c r="AQ186" s="26">
        <v>43147</v>
      </c>
      <c r="AR186" s="24"/>
      <c r="AS186" s="24"/>
      <c r="AT186" s="24">
        <v>43151</v>
      </c>
      <c r="AU186" s="418">
        <f t="shared" si="8"/>
        <v>2</v>
      </c>
      <c r="AV186" s="418">
        <f t="shared" si="9"/>
        <v>2018</v>
      </c>
      <c r="AW186" s="24"/>
      <c r="AX186" s="28"/>
      <c r="AY186" s="28" t="s">
        <v>302</v>
      </c>
      <c r="AZ186" s="132" t="s">
        <v>37</v>
      </c>
      <c r="BA186" s="132"/>
      <c r="BB186" s="24"/>
      <c r="BC186" s="135" t="s">
        <v>1093</v>
      </c>
      <c r="BD186" s="24">
        <v>43105</v>
      </c>
      <c r="BE186" s="135" t="s">
        <v>1094</v>
      </c>
      <c r="BF186" s="135" t="s">
        <v>814</v>
      </c>
      <c r="BG186" s="135" t="s">
        <v>29</v>
      </c>
      <c r="BH186" s="135"/>
      <c r="BI186" s="314"/>
      <c r="BJ186" s="314"/>
      <c r="BK186" s="24"/>
      <c r="BL186" s="24"/>
      <c r="BM186" s="24"/>
      <c r="BN186" s="24"/>
      <c r="BO186" s="24">
        <v>43158</v>
      </c>
      <c r="BP186" s="24"/>
      <c r="BQ186" s="24"/>
      <c r="BR186" s="43"/>
      <c r="BS186" s="24"/>
      <c r="BT186" s="24"/>
      <c r="BU186" s="24"/>
      <c r="BV186" s="132" t="e">
        <f>IF(#REF!="COMPLETO","OK","PENDIENTES")</f>
        <v>#REF!</v>
      </c>
      <c r="BW186" s="132"/>
      <c r="BX186" s="132"/>
      <c r="BY186" s="132"/>
      <c r="BZ186" s="132"/>
      <c r="CA186" s="132"/>
      <c r="CB186" s="132"/>
      <c r="CC186" s="22"/>
      <c r="CG186" s="24" t="s">
        <v>105</v>
      </c>
      <c r="CH186" s="24"/>
      <c r="CI186" s="24"/>
      <c r="CJ186" s="24"/>
    </row>
    <row r="187" spans="1:88" ht="15" customHeight="1">
      <c r="A187" s="18">
        <v>2017</v>
      </c>
      <c r="B187" s="18" t="str">
        <f>+INDEX(BDD!F:F,MATCH(P187,BDD!D:D,0))&amp;"-"&amp;INDEX(BDD!E:E,MATCH(P187,BDD!D:D,0))</f>
        <v>S-P</v>
      </c>
      <c r="C187" s="360" t="s">
        <v>484</v>
      </c>
      <c r="D187" s="150" t="s">
        <v>77</v>
      </c>
      <c r="E187" s="132"/>
      <c r="F187" s="24"/>
      <c r="G187" s="346"/>
      <c r="H187" s="25" t="s">
        <v>1095</v>
      </c>
      <c r="I187" s="329"/>
      <c r="J187" s="346"/>
      <c r="K187" s="24"/>
      <c r="L187" s="24"/>
      <c r="M187" s="24"/>
      <c r="N187" s="340"/>
      <c r="O187" s="334">
        <v>206766</v>
      </c>
      <c r="P187" s="25" t="s">
        <v>2</v>
      </c>
      <c r="Q187" s="127" t="s">
        <v>306</v>
      </c>
      <c r="R187" s="128" t="s">
        <v>1092</v>
      </c>
      <c r="S187" s="24">
        <v>43048</v>
      </c>
      <c r="T187" s="36" t="s">
        <v>19</v>
      </c>
      <c r="U187" s="125"/>
      <c r="V187" s="157">
        <v>20265</v>
      </c>
      <c r="W187" s="129"/>
      <c r="X187" s="88">
        <v>43118</v>
      </c>
      <c r="Y187" s="130" t="s">
        <v>20</v>
      </c>
      <c r="Z187" s="133" t="s">
        <v>60</v>
      </c>
      <c r="AA187" s="133"/>
      <c r="AB187" s="148">
        <v>256.5</v>
      </c>
      <c r="AC187" s="134">
        <v>876</v>
      </c>
      <c r="AD187" s="134"/>
      <c r="AE187" s="403">
        <f t="shared" si="7"/>
        <v>224694</v>
      </c>
      <c r="AF187" s="132">
        <v>10</v>
      </c>
      <c r="AG187" s="130" t="s">
        <v>5</v>
      </c>
      <c r="AH187" s="130"/>
      <c r="AI187" s="130" t="s">
        <v>86</v>
      </c>
      <c r="AJ187" s="130"/>
      <c r="AK187" s="130"/>
      <c r="AL187" s="135" t="s">
        <v>1002</v>
      </c>
      <c r="AM187" s="314"/>
      <c r="AN187" s="26"/>
      <c r="AO187" s="26"/>
      <c r="AP187" s="26"/>
      <c r="AQ187" s="26">
        <v>43133</v>
      </c>
      <c r="AR187" s="24"/>
      <c r="AS187" s="24"/>
      <c r="AT187" s="24">
        <v>43137</v>
      </c>
      <c r="AU187" s="418">
        <f t="shared" si="8"/>
        <v>2</v>
      </c>
      <c r="AV187" s="418">
        <f t="shared" si="9"/>
        <v>2018</v>
      </c>
      <c r="AW187" s="24"/>
      <c r="AX187" s="28"/>
      <c r="AY187" s="28" t="s">
        <v>302</v>
      </c>
      <c r="AZ187" s="132" t="s">
        <v>37</v>
      </c>
      <c r="BA187" s="132"/>
      <c r="BB187" s="24"/>
      <c r="BC187" s="135" t="s">
        <v>1096</v>
      </c>
      <c r="BD187" s="24">
        <v>43105</v>
      </c>
      <c r="BE187" s="135" t="s">
        <v>1097</v>
      </c>
      <c r="BF187" s="135" t="s">
        <v>804</v>
      </c>
      <c r="BG187" s="135" t="s">
        <v>29</v>
      </c>
      <c r="BH187" s="135"/>
      <c r="BI187" s="314"/>
      <c r="BJ187" s="314"/>
      <c r="BK187" s="24"/>
      <c r="BL187" s="24"/>
      <c r="BM187" s="24"/>
      <c r="BN187" s="24"/>
      <c r="BO187" s="24"/>
      <c r="BP187" s="24"/>
      <c r="BQ187" s="24"/>
      <c r="BR187" s="43"/>
      <c r="BS187" s="24"/>
      <c r="BT187" s="24"/>
      <c r="BU187" s="24"/>
      <c r="BV187" s="132" t="e">
        <f>IF(#REF!="COMPLETO","OK","PENDIENTES")</f>
        <v>#REF!</v>
      </c>
      <c r="BW187" s="132"/>
      <c r="BX187" s="132"/>
      <c r="BY187" s="132"/>
      <c r="BZ187" s="132"/>
      <c r="CA187" s="132"/>
      <c r="CB187" s="132"/>
      <c r="CC187" s="22"/>
      <c r="CG187" s="24" t="s">
        <v>105</v>
      </c>
      <c r="CH187" s="24"/>
      <c r="CI187" s="24"/>
      <c r="CJ187" s="24"/>
    </row>
    <row r="188" spans="1:88" ht="15" customHeight="1">
      <c r="A188" s="18">
        <v>2017</v>
      </c>
      <c r="B188" s="18" t="str">
        <f>+INDEX(BDD!F:F,MATCH(P188,BDD!D:D,0))&amp;"-"&amp;INDEX(BDD!E:E,MATCH(P188,BDD!D:D,0))</f>
        <v>S-P</v>
      </c>
      <c r="C188" s="360" t="s">
        <v>484</v>
      </c>
      <c r="D188" s="150" t="s">
        <v>77</v>
      </c>
      <c r="E188" s="132"/>
      <c r="F188" s="24"/>
      <c r="G188" s="346"/>
      <c r="H188" s="25" t="s">
        <v>1098</v>
      </c>
      <c r="I188" s="329"/>
      <c r="J188" s="346"/>
      <c r="K188" s="24"/>
      <c r="L188" s="24"/>
      <c r="M188" s="24"/>
      <c r="N188" s="340"/>
      <c r="O188" s="334">
        <v>206766</v>
      </c>
      <c r="P188" s="25" t="s">
        <v>2</v>
      </c>
      <c r="Q188" s="127" t="s">
        <v>306</v>
      </c>
      <c r="R188" s="128" t="s">
        <v>1092</v>
      </c>
      <c r="S188" s="24">
        <v>43048</v>
      </c>
      <c r="T188" s="36" t="s">
        <v>19</v>
      </c>
      <c r="U188" s="125"/>
      <c r="V188" s="157">
        <v>20215</v>
      </c>
      <c r="W188" s="129"/>
      <c r="X188" s="88">
        <v>43118</v>
      </c>
      <c r="Y188" s="130" t="s">
        <v>20</v>
      </c>
      <c r="Z188" s="133" t="s">
        <v>60</v>
      </c>
      <c r="AA188" s="133"/>
      <c r="AB188" s="148">
        <v>307.8</v>
      </c>
      <c r="AC188" s="134">
        <v>886</v>
      </c>
      <c r="AD188" s="134"/>
      <c r="AE188" s="403">
        <f t="shared" si="7"/>
        <v>272710.8</v>
      </c>
      <c r="AF188" s="132">
        <v>12</v>
      </c>
      <c r="AG188" s="130" t="s">
        <v>5</v>
      </c>
      <c r="AH188" s="130"/>
      <c r="AI188" s="130" t="s">
        <v>86</v>
      </c>
      <c r="AJ188" s="130"/>
      <c r="AK188" s="130"/>
      <c r="AL188" s="135" t="s">
        <v>1002</v>
      </c>
      <c r="AM188" s="314"/>
      <c r="AN188" s="26"/>
      <c r="AO188" s="26"/>
      <c r="AP188" s="26"/>
      <c r="AQ188" s="26">
        <v>43129</v>
      </c>
      <c r="AR188" s="24"/>
      <c r="AS188" s="24"/>
      <c r="AT188" s="24">
        <v>43132</v>
      </c>
      <c r="AU188" s="418">
        <f t="shared" si="8"/>
        <v>2</v>
      </c>
      <c r="AV188" s="418">
        <f t="shared" si="9"/>
        <v>2018</v>
      </c>
      <c r="AW188" s="24"/>
      <c r="AX188" s="28"/>
      <c r="AY188" s="28" t="s">
        <v>302</v>
      </c>
      <c r="AZ188" s="132" t="s">
        <v>9</v>
      </c>
      <c r="BA188" s="132"/>
      <c r="BB188" s="24"/>
      <c r="BC188" s="135" t="s">
        <v>1099</v>
      </c>
      <c r="BD188" s="24">
        <v>43105</v>
      </c>
      <c r="BE188" s="135" t="s">
        <v>782</v>
      </c>
      <c r="BF188" s="135" t="s">
        <v>797</v>
      </c>
      <c r="BG188" s="135" t="s">
        <v>41</v>
      </c>
      <c r="BH188" s="135"/>
      <c r="BI188" s="314"/>
      <c r="BJ188" s="314"/>
      <c r="BK188" s="24"/>
      <c r="BL188" s="24"/>
      <c r="BM188" s="24"/>
      <c r="BN188" s="24"/>
      <c r="BO188" s="24"/>
      <c r="BP188" s="24"/>
      <c r="BQ188" s="24"/>
      <c r="BR188" s="43"/>
      <c r="BS188" s="24"/>
      <c r="BT188" s="24"/>
      <c r="BU188" s="24"/>
      <c r="BV188" s="132" t="e">
        <f>IF(#REF!="COMPLETO","OK","PENDIENTES")</f>
        <v>#REF!</v>
      </c>
      <c r="BW188" s="132"/>
      <c r="BX188" s="132"/>
      <c r="BY188" s="132"/>
      <c r="BZ188" s="132"/>
      <c r="CA188" s="132"/>
      <c r="CB188" s="132"/>
      <c r="CC188" s="22"/>
      <c r="CG188" s="24" t="s">
        <v>105</v>
      </c>
      <c r="CH188" s="24"/>
      <c r="CI188" s="24"/>
      <c r="CJ188" s="24"/>
    </row>
    <row r="189" spans="1:88" ht="15" customHeight="1">
      <c r="A189" s="18">
        <v>2017</v>
      </c>
      <c r="B189" s="18" t="str">
        <f>+INDEX(BDD!F:F,MATCH(P189,BDD!D:D,0))&amp;"-"&amp;INDEX(BDD!E:E,MATCH(P189,BDD!D:D,0))</f>
        <v>S-P</v>
      </c>
      <c r="C189" s="360" t="s">
        <v>484</v>
      </c>
      <c r="D189" s="150" t="s">
        <v>77</v>
      </c>
      <c r="E189" s="132"/>
      <c r="F189" s="24"/>
      <c r="G189" s="346"/>
      <c r="H189" s="25" t="s">
        <v>1100</v>
      </c>
      <c r="I189" s="329"/>
      <c r="J189" s="346"/>
      <c r="K189" s="24"/>
      <c r="L189" s="24"/>
      <c r="M189" s="24"/>
      <c r="N189" s="340"/>
      <c r="O189" s="334">
        <v>206766</v>
      </c>
      <c r="P189" s="25" t="s">
        <v>2</v>
      </c>
      <c r="Q189" s="127" t="s">
        <v>306</v>
      </c>
      <c r="R189" s="128" t="s">
        <v>1092</v>
      </c>
      <c r="S189" s="24">
        <v>43048</v>
      </c>
      <c r="T189" s="36" t="s">
        <v>19</v>
      </c>
      <c r="U189" s="125"/>
      <c r="V189" s="157">
        <v>20310</v>
      </c>
      <c r="W189" s="129"/>
      <c r="X189" s="88">
        <v>43126</v>
      </c>
      <c r="Y189" s="130" t="s">
        <v>20</v>
      </c>
      <c r="Z189" s="133" t="s">
        <v>60</v>
      </c>
      <c r="AA189" s="133"/>
      <c r="AB189" s="148">
        <v>25.65</v>
      </c>
      <c r="AC189" s="134">
        <v>876</v>
      </c>
      <c r="AD189" s="134"/>
      <c r="AE189" s="403">
        <f t="shared" si="7"/>
        <v>22469.399999999998</v>
      </c>
      <c r="AF189" s="132">
        <v>1</v>
      </c>
      <c r="AG189" s="130" t="s">
        <v>5</v>
      </c>
      <c r="AH189" s="130"/>
      <c r="AI189" s="130" t="s">
        <v>86</v>
      </c>
      <c r="AJ189" s="130"/>
      <c r="AK189" s="130"/>
      <c r="AL189" s="135" t="s">
        <v>1101</v>
      </c>
      <c r="AM189" s="314"/>
      <c r="AN189" s="26"/>
      <c r="AO189" s="26"/>
      <c r="AP189" s="26"/>
      <c r="AQ189" s="26">
        <v>43138</v>
      </c>
      <c r="AR189" s="24"/>
      <c r="AS189" s="24"/>
      <c r="AT189" s="24">
        <v>43147</v>
      </c>
      <c r="AU189" s="418">
        <f t="shared" si="8"/>
        <v>2</v>
      </c>
      <c r="AV189" s="418">
        <f t="shared" si="9"/>
        <v>2018</v>
      </c>
      <c r="AW189" s="24"/>
      <c r="AX189" s="28"/>
      <c r="AY189" s="28" t="s">
        <v>302</v>
      </c>
      <c r="AZ189" s="132" t="s">
        <v>37</v>
      </c>
      <c r="BA189" s="132"/>
      <c r="BB189" s="24"/>
      <c r="BC189" s="135" t="s">
        <v>1102</v>
      </c>
      <c r="BD189" s="26">
        <v>43113</v>
      </c>
      <c r="BE189" s="135" t="s">
        <v>1094</v>
      </c>
      <c r="BF189" s="135" t="s">
        <v>814</v>
      </c>
      <c r="BG189" s="135" t="s">
        <v>29</v>
      </c>
      <c r="BH189" s="135"/>
      <c r="BI189" s="314"/>
      <c r="BJ189" s="314"/>
      <c r="BK189" s="24"/>
      <c r="BL189" s="24"/>
      <c r="BM189" s="24"/>
      <c r="BN189" s="24"/>
      <c r="BO189" s="24"/>
      <c r="BP189" s="24"/>
      <c r="BQ189" s="24"/>
      <c r="BR189" s="43"/>
      <c r="BS189" s="24"/>
      <c r="BT189" s="24"/>
      <c r="BU189" s="24"/>
      <c r="BV189" s="132" t="e">
        <f>IF(#REF!="COMPLETO","OK","PENDIENTES")</f>
        <v>#REF!</v>
      </c>
      <c r="BW189" s="132"/>
      <c r="BX189" s="132"/>
      <c r="BY189" s="132"/>
      <c r="BZ189" s="132"/>
      <c r="CA189" s="132"/>
      <c r="CB189" s="132"/>
      <c r="CC189" s="22"/>
      <c r="CG189" s="24" t="s">
        <v>105</v>
      </c>
      <c r="CH189" s="24"/>
      <c r="CI189" s="24"/>
      <c r="CJ189" s="24"/>
    </row>
    <row r="190" spans="1:88" ht="15" customHeight="1">
      <c r="A190" s="18">
        <v>2017</v>
      </c>
      <c r="B190" s="18" t="str">
        <f>+INDEX(BDD!F:F,MATCH(P190,BDD!D:D,0))&amp;"-"&amp;INDEX(BDD!E:E,MATCH(P190,BDD!D:D,0))</f>
        <v>S-P</v>
      </c>
      <c r="C190" s="360" t="s">
        <v>484</v>
      </c>
      <c r="D190" s="150" t="s">
        <v>77</v>
      </c>
      <c r="E190" s="132"/>
      <c r="F190" s="24"/>
      <c r="G190" s="346"/>
      <c r="H190" s="25" t="s">
        <v>1103</v>
      </c>
      <c r="I190" s="329"/>
      <c r="J190" s="346"/>
      <c r="K190" s="24"/>
      <c r="L190" s="24"/>
      <c r="M190" s="24"/>
      <c r="N190" s="340"/>
      <c r="O190" s="334">
        <v>206766</v>
      </c>
      <c r="P190" s="25" t="s">
        <v>2</v>
      </c>
      <c r="Q190" s="127" t="s">
        <v>306</v>
      </c>
      <c r="R190" s="128" t="s">
        <v>1092</v>
      </c>
      <c r="S190" s="24">
        <v>43048</v>
      </c>
      <c r="T190" s="36" t="s">
        <v>19</v>
      </c>
      <c r="U190" s="125"/>
      <c r="V190" s="157">
        <v>20310</v>
      </c>
      <c r="W190" s="129"/>
      <c r="X190" s="88">
        <v>43126</v>
      </c>
      <c r="Y190" s="130" t="s">
        <v>20</v>
      </c>
      <c r="Z190" s="133" t="s">
        <v>60</v>
      </c>
      <c r="AA190" s="133"/>
      <c r="AB190" s="148">
        <v>282.14999999999998</v>
      </c>
      <c r="AC190" s="134">
        <v>876</v>
      </c>
      <c r="AD190" s="134"/>
      <c r="AE190" s="403">
        <f t="shared" si="7"/>
        <v>247163.4</v>
      </c>
      <c r="AF190" s="132">
        <v>11</v>
      </c>
      <c r="AG190" s="130" t="s">
        <v>5</v>
      </c>
      <c r="AH190" s="130"/>
      <c r="AI190" s="130" t="s">
        <v>86</v>
      </c>
      <c r="AJ190" s="130"/>
      <c r="AK190" s="130"/>
      <c r="AL190" s="135" t="s">
        <v>1101</v>
      </c>
      <c r="AM190" s="314"/>
      <c r="AN190" s="26"/>
      <c r="AO190" s="26"/>
      <c r="AP190" s="26"/>
      <c r="AQ190" s="26">
        <v>43147</v>
      </c>
      <c r="AR190" s="24"/>
      <c r="AS190" s="24"/>
      <c r="AT190" s="24">
        <v>43151</v>
      </c>
      <c r="AU190" s="418">
        <f t="shared" si="8"/>
        <v>2</v>
      </c>
      <c r="AV190" s="418">
        <f t="shared" si="9"/>
        <v>2018</v>
      </c>
      <c r="AW190" s="24"/>
      <c r="AX190" s="28"/>
      <c r="AY190" s="28" t="s">
        <v>302</v>
      </c>
      <c r="AZ190" s="132" t="s">
        <v>37</v>
      </c>
      <c r="BA190" s="132"/>
      <c r="BB190" s="24"/>
      <c r="BC190" s="135" t="s">
        <v>1102</v>
      </c>
      <c r="BD190" s="26">
        <v>43113</v>
      </c>
      <c r="BE190" s="135" t="s">
        <v>1094</v>
      </c>
      <c r="BF190" s="135" t="s">
        <v>756</v>
      </c>
      <c r="BG190" s="135" t="s">
        <v>41</v>
      </c>
      <c r="BH190" s="135"/>
      <c r="BI190" s="314"/>
      <c r="BJ190" s="314"/>
      <c r="BK190" s="24"/>
      <c r="BL190" s="24"/>
      <c r="BM190" s="24"/>
      <c r="BN190" s="24"/>
      <c r="BO190" s="24">
        <v>43158</v>
      </c>
      <c r="BP190" s="24"/>
      <c r="BQ190" s="24"/>
      <c r="BR190" s="43"/>
      <c r="BS190" s="24"/>
      <c r="BT190" s="24"/>
      <c r="BU190" s="24"/>
      <c r="BV190" s="132" t="e">
        <f>IF(#REF!="COMPLETO","OK","PENDIENTES")</f>
        <v>#REF!</v>
      </c>
      <c r="BW190" s="132"/>
      <c r="BX190" s="132"/>
      <c r="BY190" s="132"/>
      <c r="BZ190" s="132"/>
      <c r="CA190" s="132"/>
      <c r="CB190" s="132"/>
      <c r="CC190" s="22"/>
      <c r="CG190" s="24" t="s">
        <v>105</v>
      </c>
      <c r="CH190" s="24"/>
      <c r="CI190" s="24"/>
      <c r="CJ190" s="24"/>
    </row>
    <row r="191" spans="1:88" ht="15" customHeight="1">
      <c r="A191" s="18">
        <v>2017</v>
      </c>
      <c r="B191" s="18" t="str">
        <f>+INDEX(BDD!F:F,MATCH(P191,BDD!D:D,0))&amp;"-"&amp;INDEX(BDD!E:E,MATCH(P191,BDD!D:D,0))</f>
        <v>S-P</v>
      </c>
      <c r="C191" s="360" t="s">
        <v>484</v>
      </c>
      <c r="D191" s="150" t="s">
        <v>77</v>
      </c>
      <c r="E191" s="132"/>
      <c r="F191" s="24"/>
      <c r="G191" s="346"/>
      <c r="H191" s="25" t="s">
        <v>1104</v>
      </c>
      <c r="I191" s="329"/>
      <c r="J191" s="346"/>
      <c r="K191" s="24"/>
      <c r="L191" s="24"/>
      <c r="M191" s="24"/>
      <c r="N191" s="340"/>
      <c r="O191" s="334">
        <v>206766</v>
      </c>
      <c r="P191" s="25" t="s">
        <v>2</v>
      </c>
      <c r="Q191" s="127" t="s">
        <v>306</v>
      </c>
      <c r="R191" s="128" t="s">
        <v>1092</v>
      </c>
      <c r="S191" s="24">
        <v>43048</v>
      </c>
      <c r="T191" s="36" t="s">
        <v>19</v>
      </c>
      <c r="U191" s="125"/>
      <c r="V191" s="157">
        <v>20309</v>
      </c>
      <c r="W191" s="129"/>
      <c r="X191" s="88">
        <v>43126</v>
      </c>
      <c r="Y191" s="130" t="s">
        <v>20</v>
      </c>
      <c r="Z191" s="133" t="s">
        <v>60</v>
      </c>
      <c r="AA191" s="133"/>
      <c r="AB191" s="148">
        <v>307.8</v>
      </c>
      <c r="AC191" s="134">
        <v>886</v>
      </c>
      <c r="AD191" s="134"/>
      <c r="AE191" s="403">
        <f t="shared" si="7"/>
        <v>272710.8</v>
      </c>
      <c r="AF191" s="132">
        <v>12</v>
      </c>
      <c r="AG191" s="130" t="s">
        <v>5</v>
      </c>
      <c r="AH191" s="130"/>
      <c r="AI191" s="130" t="s">
        <v>86</v>
      </c>
      <c r="AJ191" s="130"/>
      <c r="AK191" s="130"/>
      <c r="AL191" s="135" t="s">
        <v>1101</v>
      </c>
      <c r="AM191" s="314"/>
      <c r="AN191" s="26"/>
      <c r="AO191" s="26"/>
      <c r="AP191" s="26"/>
      <c r="AQ191" s="26">
        <v>43136</v>
      </c>
      <c r="AR191" s="24"/>
      <c r="AS191" s="24"/>
      <c r="AT191" s="26">
        <v>43140</v>
      </c>
      <c r="AU191" s="418">
        <f t="shared" si="8"/>
        <v>2</v>
      </c>
      <c r="AV191" s="418">
        <f t="shared" si="9"/>
        <v>2018</v>
      </c>
      <c r="AW191" s="26"/>
      <c r="AX191" s="28"/>
      <c r="AY191" s="28" t="s">
        <v>302</v>
      </c>
      <c r="AZ191" s="132" t="s">
        <v>9</v>
      </c>
      <c r="BA191" s="132"/>
      <c r="BB191" s="26"/>
      <c r="BC191" s="135" t="s">
        <v>1105</v>
      </c>
      <c r="BD191" s="26">
        <v>43113</v>
      </c>
      <c r="BE191" s="135" t="s">
        <v>895</v>
      </c>
      <c r="BF191" s="135" t="s">
        <v>932</v>
      </c>
      <c r="BG191" s="135" t="s">
        <v>41</v>
      </c>
      <c r="BH191" s="135"/>
      <c r="BI191" s="314"/>
      <c r="BJ191" s="314"/>
      <c r="BK191" s="24"/>
      <c r="BL191" s="24"/>
      <c r="BM191" s="24"/>
      <c r="BN191" s="24"/>
      <c r="BO191" s="24">
        <v>43158</v>
      </c>
      <c r="BP191" s="24"/>
      <c r="BQ191" s="24"/>
      <c r="BR191" s="43"/>
      <c r="BS191" s="24"/>
      <c r="BT191" s="24"/>
      <c r="BU191" s="24"/>
      <c r="BV191" s="132" t="e">
        <f>IF(#REF!="COMPLETO","OK","PENDIENTES")</f>
        <v>#REF!</v>
      </c>
      <c r="BW191" s="132"/>
      <c r="BX191" s="132"/>
      <c r="BY191" s="132"/>
      <c r="BZ191" s="132"/>
      <c r="CA191" s="132"/>
      <c r="CB191" s="132"/>
      <c r="CC191" s="22"/>
      <c r="CG191" s="24" t="s">
        <v>105</v>
      </c>
      <c r="CH191" s="24"/>
      <c r="CI191" s="26"/>
      <c r="CJ191" s="26"/>
    </row>
    <row r="192" spans="1:88" ht="15" customHeight="1">
      <c r="A192" s="18">
        <v>2017</v>
      </c>
      <c r="B192" s="18" t="str">
        <f>+INDEX(BDD!F:F,MATCH(P192,BDD!D:D,0))&amp;"-"&amp;INDEX(BDD!E:E,MATCH(P192,BDD!D:D,0))</f>
        <v>S-S</v>
      </c>
      <c r="C192" s="360" t="s">
        <v>484</v>
      </c>
      <c r="D192" s="150" t="s">
        <v>77</v>
      </c>
      <c r="E192" s="132"/>
      <c r="F192" s="24"/>
      <c r="G192" s="346"/>
      <c r="H192" s="25" t="s">
        <v>1106</v>
      </c>
      <c r="I192" s="329"/>
      <c r="J192" s="346"/>
      <c r="K192" s="24"/>
      <c r="L192" s="24"/>
      <c r="M192" s="24"/>
      <c r="N192" s="340"/>
      <c r="O192" s="334">
        <v>206914</v>
      </c>
      <c r="P192" s="25" t="s">
        <v>335</v>
      </c>
      <c r="Q192" s="127" t="s">
        <v>264</v>
      </c>
      <c r="R192" s="128" t="s">
        <v>1107</v>
      </c>
      <c r="S192" s="24">
        <v>43059</v>
      </c>
      <c r="T192" s="36">
        <v>60</v>
      </c>
      <c r="U192" s="125" t="s">
        <v>118</v>
      </c>
      <c r="V192" s="88" t="s">
        <v>1107</v>
      </c>
      <c r="W192" s="129"/>
      <c r="X192" s="88">
        <f>IF(RIGHT(U192,3)="ETA",AQ192+T192,IF(RIGHT(U192,2)="BL",BD192+T192," "))</f>
        <v>43148</v>
      </c>
      <c r="Y192" s="130" t="s">
        <v>20</v>
      </c>
      <c r="Z192" s="133" t="s">
        <v>60</v>
      </c>
      <c r="AA192" s="133"/>
      <c r="AB192" s="148">
        <v>900</v>
      </c>
      <c r="AC192" s="134">
        <v>146</v>
      </c>
      <c r="AD192" s="134"/>
      <c r="AE192" s="403">
        <f t="shared" si="7"/>
        <v>131400</v>
      </c>
      <c r="AF192" s="132" t="str">
        <f>IF(W192=BDD!$P$1,IMPORTS!AB192/25,IF(W192=BDD!$P$2,IMPORTS!AB192/25,IF(IMPORTS!W192=BDD!$P$4,IMPORTS!AB192/25.5,"--")))</f>
        <v>--</v>
      </c>
      <c r="AG192" s="130" t="s">
        <v>58</v>
      </c>
      <c r="AH192" s="130"/>
      <c r="AI192" s="130" t="s">
        <v>34</v>
      </c>
      <c r="AJ192" s="130"/>
      <c r="AK192" s="130"/>
      <c r="AL192" s="135" t="s">
        <v>1002</v>
      </c>
      <c r="AM192" s="314"/>
      <c r="AN192" s="26"/>
      <c r="AO192" s="26"/>
      <c r="AP192" s="26"/>
      <c r="AQ192" s="26">
        <v>43142</v>
      </c>
      <c r="AR192" s="24"/>
      <c r="AS192" s="24"/>
      <c r="AT192" s="164">
        <v>43144</v>
      </c>
      <c r="AU192" s="418">
        <f t="shared" si="8"/>
        <v>2</v>
      </c>
      <c r="AV192" s="418">
        <f t="shared" si="9"/>
        <v>2018</v>
      </c>
      <c r="AW192" s="164"/>
      <c r="AX192" s="28"/>
      <c r="AY192" s="28" t="s">
        <v>95</v>
      </c>
      <c r="AZ192" s="132" t="s">
        <v>37</v>
      </c>
      <c r="BA192" s="132"/>
      <c r="BB192" s="164"/>
      <c r="BC192" s="135" t="s">
        <v>1108</v>
      </c>
      <c r="BD192" s="24">
        <v>43088</v>
      </c>
      <c r="BE192" s="135" t="s">
        <v>1109</v>
      </c>
      <c r="BF192" s="135" t="s">
        <v>1109</v>
      </c>
      <c r="BG192" s="135" t="s">
        <v>52</v>
      </c>
      <c r="BH192" s="135"/>
      <c r="BI192" s="314"/>
      <c r="BJ192" s="314"/>
      <c r="BK192" s="24"/>
      <c r="BL192" s="24"/>
      <c r="BM192" s="24"/>
      <c r="BN192" s="24"/>
      <c r="BO192" s="24"/>
      <c r="BP192" s="24"/>
      <c r="BQ192" s="24"/>
      <c r="BR192" s="43"/>
      <c r="BS192" s="24"/>
      <c r="BT192" s="24"/>
      <c r="BU192" s="24"/>
      <c r="BV192" s="132" t="e">
        <f>IF(#REF!="COMPLETO","OK","PENDIENTES")</f>
        <v>#REF!</v>
      </c>
      <c r="BW192" s="132"/>
      <c r="BX192" s="132"/>
      <c r="BY192" s="132"/>
      <c r="BZ192" s="132"/>
      <c r="CA192" s="132"/>
      <c r="CB192" s="132"/>
      <c r="CC192" s="22"/>
      <c r="CG192" s="24" t="s">
        <v>105</v>
      </c>
      <c r="CH192" s="24"/>
      <c r="CI192" s="164"/>
      <c r="CJ192" s="164"/>
    </row>
    <row r="193" spans="1:88" ht="15" customHeight="1">
      <c r="A193" s="18">
        <v>2017</v>
      </c>
      <c r="B193" s="18" t="str">
        <f>+INDEX(BDD!F:F,MATCH(P193,BDD!D:D,0))&amp;"-"&amp;INDEX(BDD!E:E,MATCH(P193,BDD!D:D,0))</f>
        <v>S-S</v>
      </c>
      <c r="C193" s="360" t="s">
        <v>484</v>
      </c>
      <c r="D193" s="150" t="s">
        <v>77</v>
      </c>
      <c r="E193" s="132"/>
      <c r="F193" s="24"/>
      <c r="G193" s="346"/>
      <c r="H193" s="25" t="s">
        <v>1110</v>
      </c>
      <c r="I193" s="329"/>
      <c r="J193" s="346"/>
      <c r="K193" s="24"/>
      <c r="L193" s="24"/>
      <c r="M193" s="24"/>
      <c r="N193" s="340"/>
      <c r="O193" s="334">
        <v>206914</v>
      </c>
      <c r="P193" s="25" t="s">
        <v>335</v>
      </c>
      <c r="Q193" s="127" t="s">
        <v>264</v>
      </c>
      <c r="R193" s="128" t="s">
        <v>1111</v>
      </c>
      <c r="S193" s="24">
        <v>43059</v>
      </c>
      <c r="T193" s="36">
        <v>60</v>
      </c>
      <c r="U193" s="125" t="s">
        <v>118</v>
      </c>
      <c r="V193" s="128" t="s">
        <v>1111</v>
      </c>
      <c r="W193" s="151"/>
      <c r="X193" s="88">
        <v>43164</v>
      </c>
      <c r="Y193" s="130" t="s">
        <v>20</v>
      </c>
      <c r="Z193" s="133" t="s">
        <v>60</v>
      </c>
      <c r="AA193" s="133"/>
      <c r="AB193" s="148">
        <v>399</v>
      </c>
      <c r="AC193" s="134">
        <v>169</v>
      </c>
      <c r="AD193" s="134"/>
      <c r="AE193" s="403">
        <f t="shared" si="7"/>
        <v>67431</v>
      </c>
      <c r="AF193" s="132">
        <v>14</v>
      </c>
      <c r="AG193" s="130" t="s">
        <v>21</v>
      </c>
      <c r="AH193" s="130"/>
      <c r="AI193" s="130" t="s">
        <v>34</v>
      </c>
      <c r="AJ193" s="130"/>
      <c r="AK193" s="130"/>
      <c r="AL193" s="135" t="s">
        <v>921</v>
      </c>
      <c r="AM193" s="314"/>
      <c r="AN193" s="26"/>
      <c r="AO193" s="26"/>
      <c r="AP193" s="26"/>
      <c r="AQ193" s="26">
        <v>43136</v>
      </c>
      <c r="AR193" s="24"/>
      <c r="AS193" s="24"/>
      <c r="AT193" s="164">
        <v>43140</v>
      </c>
      <c r="AU193" s="418">
        <f t="shared" si="8"/>
        <v>2</v>
      </c>
      <c r="AV193" s="418">
        <f t="shared" si="9"/>
        <v>2018</v>
      </c>
      <c r="AW193" s="164"/>
      <c r="AX193" s="28"/>
      <c r="AY193" s="28" t="s">
        <v>139</v>
      </c>
      <c r="AZ193" s="132" t="s">
        <v>9</v>
      </c>
      <c r="BA193" s="132"/>
      <c r="BB193" s="164"/>
      <c r="BC193" s="132" t="s">
        <v>1112</v>
      </c>
      <c r="BD193" s="24">
        <v>43099</v>
      </c>
      <c r="BE193" s="135" t="s">
        <v>1113</v>
      </c>
      <c r="BF193" s="135" t="s">
        <v>594</v>
      </c>
      <c r="BG193" s="135" t="s">
        <v>65</v>
      </c>
      <c r="BH193" s="135"/>
      <c r="BI193" s="314"/>
      <c r="BJ193" s="314"/>
      <c r="BK193" s="24"/>
      <c r="BL193" s="24"/>
      <c r="BM193" s="24"/>
      <c r="BN193" s="24"/>
      <c r="BO193" s="24"/>
      <c r="BP193" s="24"/>
      <c r="BQ193" s="24"/>
      <c r="BR193" s="43"/>
      <c r="BS193" s="24"/>
      <c r="BT193" s="24"/>
      <c r="BU193" s="24"/>
      <c r="BV193" s="132" t="e">
        <f>IF(#REF!="COMPLETO","OK","PENDIENTES")</f>
        <v>#REF!</v>
      </c>
      <c r="BW193" s="132"/>
      <c r="BX193" s="132"/>
      <c r="BY193" s="132"/>
      <c r="BZ193" s="132"/>
      <c r="CA193" s="132"/>
      <c r="CB193" s="132"/>
      <c r="CC193" s="22"/>
      <c r="CG193" s="24" t="s">
        <v>105</v>
      </c>
      <c r="CH193" s="24"/>
      <c r="CI193" s="164"/>
      <c r="CJ193" s="164"/>
    </row>
    <row r="194" spans="1:88" ht="15" customHeight="1">
      <c r="A194" s="18">
        <v>2017</v>
      </c>
      <c r="B194" s="18" t="str">
        <f>+INDEX(BDD!F:F,MATCH(P194,BDD!D:D,0))&amp;"-"&amp;INDEX(BDD!E:E,MATCH(P194,BDD!D:D,0))</f>
        <v>S-P</v>
      </c>
      <c r="C194" s="360" t="s">
        <v>484</v>
      </c>
      <c r="D194" s="150" t="s">
        <v>77</v>
      </c>
      <c r="E194" s="132"/>
      <c r="F194" s="24"/>
      <c r="G194" s="346"/>
      <c r="H194" s="25" t="s">
        <v>1114</v>
      </c>
      <c r="I194" s="329"/>
      <c r="J194" s="346"/>
      <c r="K194" s="24"/>
      <c r="L194" s="24"/>
      <c r="M194" s="24"/>
      <c r="N194" s="340"/>
      <c r="O194" s="334">
        <v>207374</v>
      </c>
      <c r="P194" s="25" t="s">
        <v>232</v>
      </c>
      <c r="Q194" s="127" t="s">
        <v>288</v>
      </c>
      <c r="R194" s="128" t="s">
        <v>1115</v>
      </c>
      <c r="S194" s="24">
        <v>43061</v>
      </c>
      <c r="T194" s="36" t="s">
        <v>19</v>
      </c>
      <c r="U194" s="125"/>
      <c r="V194" s="88" t="s">
        <v>1116</v>
      </c>
      <c r="W194" s="129"/>
      <c r="X194" s="88">
        <v>43186</v>
      </c>
      <c r="Y194" s="130" t="s">
        <v>20</v>
      </c>
      <c r="Z194" s="133" t="s">
        <v>60</v>
      </c>
      <c r="AA194" s="133"/>
      <c r="AB194" s="148">
        <v>239.22499999999999</v>
      </c>
      <c r="AC194" s="134">
        <v>315</v>
      </c>
      <c r="AD194" s="134"/>
      <c r="AE194" s="403">
        <f t="shared" ref="AE194:AE257" si="10">AB194*AC194</f>
        <v>75355.875</v>
      </c>
      <c r="AF194" s="132">
        <v>10</v>
      </c>
      <c r="AG194" s="130" t="s">
        <v>5</v>
      </c>
      <c r="AH194" s="130"/>
      <c r="AI194" s="130" t="s">
        <v>34</v>
      </c>
      <c r="AJ194" s="130"/>
      <c r="AK194" s="130"/>
      <c r="AL194" s="185" t="s">
        <v>1117</v>
      </c>
      <c r="AM194" s="314"/>
      <c r="AN194" s="26"/>
      <c r="AO194" s="26"/>
      <c r="AP194" s="26"/>
      <c r="AQ194" s="26">
        <v>43228</v>
      </c>
      <c r="AR194" s="24"/>
      <c r="AS194" s="24"/>
      <c r="AT194" s="164">
        <v>43230</v>
      </c>
      <c r="AU194" s="418">
        <f t="shared" si="8"/>
        <v>5</v>
      </c>
      <c r="AV194" s="418">
        <f t="shared" si="9"/>
        <v>2018</v>
      </c>
      <c r="AW194" s="164"/>
      <c r="AX194" s="28"/>
      <c r="AY194" s="28" t="s">
        <v>269</v>
      </c>
      <c r="AZ194" s="132" t="s">
        <v>37</v>
      </c>
      <c r="BA194" s="132"/>
      <c r="BB194" s="164"/>
      <c r="BC194" s="135" t="s">
        <v>1118</v>
      </c>
      <c r="BD194" s="24">
        <v>43177</v>
      </c>
      <c r="BE194" s="135" t="s">
        <v>774</v>
      </c>
      <c r="BF194" s="135" t="s">
        <v>885</v>
      </c>
      <c r="BG194" s="135" t="s">
        <v>29</v>
      </c>
      <c r="BH194" s="135"/>
      <c r="BI194" s="314"/>
      <c r="BJ194" s="314"/>
      <c r="BK194" s="24"/>
      <c r="BL194" s="24"/>
      <c r="BM194" s="24"/>
      <c r="BN194" s="24"/>
      <c r="BO194" s="24">
        <f>+AQ194+18</f>
        <v>43246</v>
      </c>
      <c r="BP194" s="24"/>
      <c r="BQ194" s="24"/>
      <c r="BR194" s="43"/>
      <c r="BS194" s="24"/>
      <c r="BT194" s="24"/>
      <c r="BU194" s="24"/>
      <c r="BV194" s="132" t="e">
        <f>IF(#REF!="COMPLETO","OK","PENDIENTES")</f>
        <v>#REF!</v>
      </c>
      <c r="BW194" s="132"/>
      <c r="BX194" s="132"/>
      <c r="BY194" s="132"/>
      <c r="BZ194" s="132"/>
      <c r="CA194" s="132"/>
      <c r="CB194" s="132"/>
      <c r="CC194" s="22"/>
      <c r="CG194" s="24" t="s">
        <v>105</v>
      </c>
      <c r="CH194" s="24"/>
      <c r="CI194" s="164"/>
      <c r="CJ194" s="164"/>
    </row>
    <row r="195" spans="1:88" ht="15" customHeight="1">
      <c r="A195" s="18">
        <v>2017</v>
      </c>
      <c r="B195" s="18" t="str">
        <f>+INDEX(BDD!F:F,MATCH(P195,BDD!D:D,0))&amp;"-"&amp;INDEX(BDD!E:E,MATCH(P195,BDD!D:D,0))</f>
        <v>S-P</v>
      </c>
      <c r="C195" s="360" t="s">
        <v>484</v>
      </c>
      <c r="D195" s="150" t="s">
        <v>77</v>
      </c>
      <c r="E195" s="132"/>
      <c r="F195" s="24"/>
      <c r="G195" s="346"/>
      <c r="H195" s="25" t="s">
        <v>1119</v>
      </c>
      <c r="I195" s="329"/>
      <c r="J195" s="346"/>
      <c r="K195" s="24"/>
      <c r="L195" s="24"/>
      <c r="M195" s="24"/>
      <c r="N195" s="340"/>
      <c r="O195" s="334">
        <v>207374</v>
      </c>
      <c r="P195" s="25" t="s">
        <v>232</v>
      </c>
      <c r="Q195" s="127" t="s">
        <v>288</v>
      </c>
      <c r="R195" s="128" t="s">
        <v>1120</v>
      </c>
      <c r="S195" s="24">
        <v>43061</v>
      </c>
      <c r="T195" s="36" t="s">
        <v>19</v>
      </c>
      <c r="U195" s="125"/>
      <c r="V195" s="88" t="s">
        <v>1121</v>
      </c>
      <c r="W195" s="129"/>
      <c r="X195" s="88">
        <v>43196</v>
      </c>
      <c r="Y195" s="130" t="s">
        <v>20</v>
      </c>
      <c r="Z195" s="133" t="s">
        <v>60</v>
      </c>
      <c r="AA195" s="133"/>
      <c r="AB195" s="148">
        <v>240</v>
      </c>
      <c r="AC195" s="134">
        <v>320</v>
      </c>
      <c r="AD195" s="134"/>
      <c r="AE195" s="403">
        <f t="shared" si="10"/>
        <v>76800</v>
      </c>
      <c r="AF195" s="132">
        <v>10</v>
      </c>
      <c r="AG195" s="130" t="s">
        <v>5</v>
      </c>
      <c r="AH195" s="130"/>
      <c r="AI195" s="130" t="s">
        <v>34</v>
      </c>
      <c r="AJ195" s="130"/>
      <c r="AK195" s="130"/>
      <c r="AL195" s="185" t="s">
        <v>1117</v>
      </c>
      <c r="AM195" s="314"/>
      <c r="AN195" s="26"/>
      <c r="AO195" s="26"/>
      <c r="AP195" s="26"/>
      <c r="AQ195" s="26">
        <v>43227</v>
      </c>
      <c r="AR195" s="24"/>
      <c r="AS195" s="24"/>
      <c r="AT195" s="24">
        <v>43230</v>
      </c>
      <c r="AU195" s="418">
        <f t="shared" ref="AU195:AU258" si="11">MONTH(AT195)</f>
        <v>5</v>
      </c>
      <c r="AV195" s="418">
        <f t="shared" ref="AV195:AV258" si="12">YEAR(AT195)</f>
        <v>2018</v>
      </c>
      <c r="AW195" s="24"/>
      <c r="AX195" s="28"/>
      <c r="AY195" s="28" t="s">
        <v>269</v>
      </c>
      <c r="AZ195" s="132" t="s">
        <v>9</v>
      </c>
      <c r="BA195" s="132"/>
      <c r="BB195" s="24"/>
      <c r="BC195" s="135" t="s">
        <v>1122</v>
      </c>
      <c r="BD195" s="24">
        <v>43183</v>
      </c>
      <c r="BE195" s="135" t="s">
        <v>931</v>
      </c>
      <c r="BF195" s="135" t="s">
        <v>932</v>
      </c>
      <c r="BG195" s="135" t="s">
        <v>29</v>
      </c>
      <c r="BH195" s="135"/>
      <c r="BI195" s="314"/>
      <c r="BJ195" s="314"/>
      <c r="BK195" s="24"/>
      <c r="BL195" s="24"/>
      <c r="BM195" s="24"/>
      <c r="BN195" s="24"/>
      <c r="BO195" s="24">
        <v>43247</v>
      </c>
      <c r="BP195" s="24"/>
      <c r="BQ195" s="24"/>
      <c r="BR195" s="43"/>
      <c r="BS195" s="24"/>
      <c r="BT195" s="24"/>
      <c r="BU195" s="24"/>
      <c r="BV195" s="132" t="e">
        <f>IF(#REF!="COMPLETO","OK","PENDIENTES")</f>
        <v>#REF!</v>
      </c>
      <c r="BW195" s="132"/>
      <c r="BX195" s="132"/>
      <c r="BY195" s="132"/>
      <c r="BZ195" s="132"/>
      <c r="CA195" s="132"/>
      <c r="CB195" s="132"/>
      <c r="CC195" s="22"/>
      <c r="CG195" s="24" t="s">
        <v>105</v>
      </c>
      <c r="CH195" s="24"/>
      <c r="CI195" s="24"/>
      <c r="CJ195" s="24"/>
    </row>
    <row r="196" spans="1:88" ht="15" customHeight="1">
      <c r="A196" s="18">
        <v>2017</v>
      </c>
      <c r="B196" s="18" t="str">
        <f>+INDEX(BDD!F:F,MATCH(P196,BDD!D:D,0))&amp;"-"&amp;INDEX(BDD!E:E,MATCH(P196,BDD!D:D,0))</f>
        <v>G-S</v>
      </c>
      <c r="C196" s="360" t="s">
        <v>484</v>
      </c>
      <c r="D196" s="150" t="s">
        <v>77</v>
      </c>
      <c r="E196" s="132"/>
      <c r="F196" s="24"/>
      <c r="G196" s="346">
        <v>8000000153</v>
      </c>
      <c r="H196" s="25" t="s">
        <v>1123</v>
      </c>
      <c r="I196" s="329"/>
      <c r="J196" s="346">
        <v>8000000153</v>
      </c>
      <c r="K196" s="24"/>
      <c r="L196" s="24"/>
      <c r="M196" s="24"/>
      <c r="N196" s="340" t="s">
        <v>486</v>
      </c>
      <c r="O196" s="334">
        <v>206569</v>
      </c>
      <c r="P196" s="25" t="s">
        <v>142</v>
      </c>
      <c r="Q196" s="127" t="s">
        <v>273</v>
      </c>
      <c r="R196" s="128" t="s">
        <v>1124</v>
      </c>
      <c r="S196" s="24">
        <v>43068</v>
      </c>
      <c r="T196" s="36" t="s">
        <v>19</v>
      </c>
      <c r="U196" s="125"/>
      <c r="V196" s="88" t="s">
        <v>1125</v>
      </c>
      <c r="W196" s="129"/>
      <c r="X196" s="88">
        <v>43081</v>
      </c>
      <c r="Y196" s="130" t="s">
        <v>20</v>
      </c>
      <c r="Z196" s="133" t="s">
        <v>60</v>
      </c>
      <c r="AA196" s="133"/>
      <c r="AB196" s="148">
        <v>1100</v>
      </c>
      <c r="AC196" s="134">
        <v>414.5</v>
      </c>
      <c r="AD196" s="134"/>
      <c r="AE196" s="403">
        <f t="shared" si="10"/>
        <v>455950</v>
      </c>
      <c r="AF196" s="132" t="str">
        <f>IF(W196=BDD!$P$1,IMPORTS!AB196/25,IF(W196=BDD!$P$2,IMPORTS!AB196/25,IF(IMPORTS!W196=BDD!$P$4,IMPORTS!AB196/25.5,"--")))</f>
        <v>--</v>
      </c>
      <c r="AG196" s="130" t="s">
        <v>46</v>
      </c>
      <c r="AH196" s="130"/>
      <c r="AI196" s="130" t="s">
        <v>100</v>
      </c>
      <c r="AJ196" s="130"/>
      <c r="AK196" s="130"/>
      <c r="AL196" s="24" t="s">
        <v>640</v>
      </c>
      <c r="AM196" s="314"/>
      <c r="AN196" s="26"/>
      <c r="AO196" s="26"/>
      <c r="AP196" s="26"/>
      <c r="AQ196" s="26">
        <v>43084</v>
      </c>
      <c r="AR196" s="24"/>
      <c r="AS196" s="24"/>
      <c r="AT196" s="24">
        <v>43085</v>
      </c>
      <c r="AU196" s="418">
        <f t="shared" si="11"/>
        <v>12</v>
      </c>
      <c r="AV196" s="418">
        <f t="shared" si="12"/>
        <v>2017</v>
      </c>
      <c r="AW196" s="24"/>
      <c r="AX196" s="28"/>
      <c r="AY196" s="28" t="s">
        <v>315</v>
      </c>
      <c r="AZ196" s="132" t="s">
        <v>9</v>
      </c>
      <c r="BA196" s="132"/>
      <c r="BB196" s="24"/>
      <c r="BC196" s="135" t="s">
        <v>1126</v>
      </c>
      <c r="BD196" s="24">
        <v>43050</v>
      </c>
      <c r="BE196" s="135" t="s">
        <v>1127</v>
      </c>
      <c r="BF196" s="135" t="s">
        <v>1127</v>
      </c>
      <c r="BG196" s="135" t="s">
        <v>52</v>
      </c>
      <c r="BH196" s="135"/>
      <c r="BI196" s="314"/>
      <c r="BJ196" s="314"/>
      <c r="BK196" s="24"/>
      <c r="BL196" s="24"/>
      <c r="BM196" s="24"/>
      <c r="BN196" s="24"/>
      <c r="BO196" s="24"/>
      <c r="BP196" s="24"/>
      <c r="BQ196" s="24"/>
      <c r="BR196" s="43"/>
      <c r="BS196" s="24"/>
      <c r="BT196" s="24"/>
      <c r="BU196" s="24"/>
      <c r="BV196" s="132" t="e">
        <f>IF(#REF!="COMPLETO","OK","PENDIENTES")</f>
        <v>#REF!</v>
      </c>
      <c r="BW196" s="132"/>
      <c r="BX196" s="132"/>
      <c r="BY196" s="132"/>
      <c r="BZ196" s="132"/>
      <c r="CA196" s="132"/>
      <c r="CB196" s="132"/>
      <c r="CC196" s="22"/>
      <c r="CG196" s="24" t="s">
        <v>105</v>
      </c>
      <c r="CH196" s="24"/>
      <c r="CI196" s="24"/>
      <c r="CJ196" s="24"/>
    </row>
    <row r="197" spans="1:88" ht="15" customHeight="1">
      <c r="A197" s="18">
        <v>2017</v>
      </c>
      <c r="B197" s="18" t="str">
        <f>+INDEX(BDD!F:F,MATCH(P197,BDD!D:D,0))&amp;"-"&amp;INDEX(BDD!E:E,MATCH(P197,BDD!D:D,0))</f>
        <v>G-S</v>
      </c>
      <c r="C197" s="360" t="s">
        <v>484</v>
      </c>
      <c r="D197" s="150" t="s">
        <v>77</v>
      </c>
      <c r="E197" s="132"/>
      <c r="F197" s="24"/>
      <c r="G197" s="346">
        <v>8000000154</v>
      </c>
      <c r="H197" s="25" t="s">
        <v>1128</v>
      </c>
      <c r="I197" s="329"/>
      <c r="J197" s="346">
        <v>8000000154</v>
      </c>
      <c r="K197" s="24"/>
      <c r="L197" s="24"/>
      <c r="M197" s="24"/>
      <c r="N197" s="340" t="s">
        <v>486</v>
      </c>
      <c r="O197" s="334">
        <v>206569</v>
      </c>
      <c r="P197" s="25" t="s">
        <v>142</v>
      </c>
      <c r="Q197" s="127" t="s">
        <v>273</v>
      </c>
      <c r="R197" s="128" t="s">
        <v>1124</v>
      </c>
      <c r="S197" s="24">
        <v>43068</v>
      </c>
      <c r="T197" s="36" t="s">
        <v>19</v>
      </c>
      <c r="U197" s="125"/>
      <c r="V197" s="88" t="s">
        <v>1129</v>
      </c>
      <c r="W197" s="129"/>
      <c r="X197" s="88">
        <v>43081</v>
      </c>
      <c r="Y197" s="130" t="s">
        <v>20</v>
      </c>
      <c r="Z197" s="133" t="s">
        <v>60</v>
      </c>
      <c r="AA197" s="133"/>
      <c r="AB197" s="148">
        <v>880</v>
      </c>
      <c r="AC197" s="134">
        <v>414.5</v>
      </c>
      <c r="AD197" s="134"/>
      <c r="AE197" s="403">
        <f t="shared" si="10"/>
        <v>364760</v>
      </c>
      <c r="AF197" s="132" t="str">
        <f>IF(W197=BDD!$P$1,IMPORTS!AB197/25,IF(W197=BDD!$P$2,IMPORTS!AB197/25,IF(IMPORTS!W197=BDD!$P$4,IMPORTS!AB197/25.5,"--")))</f>
        <v>--</v>
      </c>
      <c r="AG197" s="130" t="s">
        <v>46</v>
      </c>
      <c r="AH197" s="130"/>
      <c r="AI197" s="130" t="s">
        <v>100</v>
      </c>
      <c r="AJ197" s="130"/>
      <c r="AK197" s="130"/>
      <c r="AL197" s="24" t="s">
        <v>640</v>
      </c>
      <c r="AM197" s="314"/>
      <c r="AN197" s="26"/>
      <c r="AO197" s="26"/>
      <c r="AP197" s="26"/>
      <c r="AQ197" s="26">
        <f>+AQ196+2</f>
        <v>43086</v>
      </c>
      <c r="AR197" s="24"/>
      <c r="AS197" s="24"/>
      <c r="AT197" s="24">
        <v>43087</v>
      </c>
      <c r="AU197" s="418">
        <f t="shared" si="11"/>
        <v>12</v>
      </c>
      <c r="AV197" s="418">
        <f t="shared" si="12"/>
        <v>2017</v>
      </c>
      <c r="AW197" s="24"/>
      <c r="AX197" s="28"/>
      <c r="AY197" s="28" t="s">
        <v>315</v>
      </c>
      <c r="AZ197" s="132" t="s">
        <v>25</v>
      </c>
      <c r="BA197" s="132"/>
      <c r="BB197" s="24"/>
      <c r="BC197" s="135" t="s">
        <v>1130</v>
      </c>
      <c r="BD197" s="24">
        <v>43050</v>
      </c>
      <c r="BE197" s="135" t="s">
        <v>1127</v>
      </c>
      <c r="BF197" s="135" t="s">
        <v>1127</v>
      </c>
      <c r="BG197" s="135" t="s">
        <v>52</v>
      </c>
      <c r="BH197" s="135"/>
      <c r="BI197" s="314"/>
      <c r="BJ197" s="314"/>
      <c r="BK197" s="24"/>
      <c r="BL197" s="24"/>
      <c r="BM197" s="24"/>
      <c r="BN197" s="24"/>
      <c r="BO197" s="24"/>
      <c r="BP197" s="24"/>
      <c r="BQ197" s="24"/>
      <c r="BR197" s="43"/>
      <c r="BS197" s="24"/>
      <c r="BT197" s="24"/>
      <c r="BU197" s="24"/>
      <c r="BV197" s="132" t="e">
        <f>IF(#REF!="COMPLETO","OK","PENDIENTES")</f>
        <v>#REF!</v>
      </c>
      <c r="BW197" s="132"/>
      <c r="BX197" s="132"/>
      <c r="BY197" s="132"/>
      <c r="BZ197" s="132"/>
      <c r="CA197" s="132"/>
      <c r="CB197" s="132"/>
      <c r="CC197" s="22"/>
      <c r="CG197" s="24" t="s">
        <v>105</v>
      </c>
      <c r="CH197" s="24"/>
      <c r="CI197" s="24"/>
      <c r="CJ197" s="24"/>
    </row>
    <row r="198" spans="1:88" ht="15" customHeight="1">
      <c r="A198" s="18">
        <v>2017</v>
      </c>
      <c r="B198" s="18" t="str">
        <f>+INDEX(BDD!F:F,MATCH(P198,BDD!D:D,0))&amp;"-"&amp;INDEX(BDD!E:E,MATCH(P198,BDD!D:D,0))</f>
        <v>G-S</v>
      </c>
      <c r="C198" s="360" t="s">
        <v>484</v>
      </c>
      <c r="D198" s="150" t="s">
        <v>77</v>
      </c>
      <c r="E198" s="132"/>
      <c r="F198" s="24"/>
      <c r="G198" s="346">
        <v>8000000155</v>
      </c>
      <c r="H198" s="25" t="s">
        <v>1131</v>
      </c>
      <c r="I198" s="329"/>
      <c r="J198" s="346">
        <v>8000000155</v>
      </c>
      <c r="K198" s="24"/>
      <c r="L198" s="24"/>
      <c r="M198" s="24"/>
      <c r="N198" s="340" t="s">
        <v>486</v>
      </c>
      <c r="O198" s="334">
        <v>206569</v>
      </c>
      <c r="P198" s="25" t="s">
        <v>142</v>
      </c>
      <c r="Q198" s="127" t="s">
        <v>273</v>
      </c>
      <c r="R198" s="128" t="s">
        <v>1124</v>
      </c>
      <c r="S198" s="24">
        <v>43068</v>
      </c>
      <c r="T198" s="36" t="s">
        <v>19</v>
      </c>
      <c r="U198" s="125"/>
      <c r="V198" s="88" t="s">
        <v>1132</v>
      </c>
      <c r="W198" s="129"/>
      <c r="X198" s="88">
        <v>43081</v>
      </c>
      <c r="Y198" s="130" t="s">
        <v>20</v>
      </c>
      <c r="Z198" s="133" t="s">
        <v>60</v>
      </c>
      <c r="AA198" s="133"/>
      <c r="AB198" s="148">
        <v>1430</v>
      </c>
      <c r="AC198" s="134">
        <v>414.5</v>
      </c>
      <c r="AD198" s="134"/>
      <c r="AE198" s="403">
        <f t="shared" si="10"/>
        <v>592735</v>
      </c>
      <c r="AF198" s="132" t="str">
        <f>IF(W198=BDD!$P$1,IMPORTS!AB198/25,IF(W198=BDD!$P$2,IMPORTS!AB198/25,IF(IMPORTS!W198=BDD!$P$4,IMPORTS!AB198/25.5,"--")))</f>
        <v>--</v>
      </c>
      <c r="AG198" s="130" t="s">
        <v>46</v>
      </c>
      <c r="AH198" s="130"/>
      <c r="AI198" s="130" t="s">
        <v>100</v>
      </c>
      <c r="AJ198" s="130"/>
      <c r="AK198" s="130"/>
      <c r="AL198" s="24" t="s">
        <v>640</v>
      </c>
      <c r="AM198" s="314"/>
      <c r="AN198" s="26"/>
      <c r="AO198" s="26"/>
      <c r="AP198" s="26"/>
      <c r="AQ198" s="26">
        <v>43089</v>
      </c>
      <c r="AR198" s="24"/>
      <c r="AS198" s="24"/>
      <c r="AT198" s="24">
        <v>43092</v>
      </c>
      <c r="AU198" s="418">
        <f t="shared" si="11"/>
        <v>12</v>
      </c>
      <c r="AV198" s="418">
        <f t="shared" si="12"/>
        <v>2017</v>
      </c>
      <c r="AW198" s="24"/>
      <c r="AX198" s="28"/>
      <c r="AY198" s="28" t="s">
        <v>315</v>
      </c>
      <c r="AZ198" s="132" t="s">
        <v>37</v>
      </c>
      <c r="BA198" s="132"/>
      <c r="BB198" s="24"/>
      <c r="BC198" s="135" t="s">
        <v>1133</v>
      </c>
      <c r="BD198" s="24">
        <v>43050</v>
      </c>
      <c r="BE198" s="135" t="s">
        <v>1127</v>
      </c>
      <c r="BF198" s="135" t="s">
        <v>1127</v>
      </c>
      <c r="BG198" s="135" t="s">
        <v>52</v>
      </c>
      <c r="BH198" s="135"/>
      <c r="BI198" s="314"/>
      <c r="BJ198" s="314"/>
      <c r="BK198" s="24"/>
      <c r="BL198" s="24"/>
      <c r="BM198" s="24"/>
      <c r="BN198" s="24"/>
      <c r="BO198" s="24"/>
      <c r="BP198" s="24"/>
      <c r="BQ198" s="24"/>
      <c r="BR198" s="43"/>
      <c r="BS198" s="24"/>
      <c r="BT198" s="24"/>
      <c r="BU198" s="24"/>
      <c r="BV198" s="132" t="e">
        <f>IF(#REF!="COMPLETO","OK","PENDIENTES")</f>
        <v>#REF!</v>
      </c>
      <c r="BW198" s="132"/>
      <c r="BX198" s="132"/>
      <c r="BY198" s="132"/>
      <c r="BZ198" s="132"/>
      <c r="CA198" s="132"/>
      <c r="CB198" s="132"/>
      <c r="CC198" s="22"/>
      <c r="CG198" s="24" t="s">
        <v>105</v>
      </c>
      <c r="CH198" s="24"/>
      <c r="CI198" s="24"/>
      <c r="CJ198" s="24"/>
    </row>
    <row r="199" spans="1:88" ht="15" customHeight="1">
      <c r="A199" s="18">
        <v>2017</v>
      </c>
      <c r="B199" s="18" t="str">
        <f>+INDEX(BDD!F:F,MATCH(P199,BDD!D:D,0))&amp;"-"&amp;INDEX(BDD!E:E,MATCH(P199,BDD!D:D,0))</f>
        <v>G-S</v>
      </c>
      <c r="C199" s="360" t="s">
        <v>484</v>
      </c>
      <c r="D199" s="150" t="s">
        <v>77</v>
      </c>
      <c r="E199" s="132"/>
      <c r="F199" s="24"/>
      <c r="G199" s="346">
        <v>8000000156</v>
      </c>
      <c r="H199" s="25" t="s">
        <v>1134</v>
      </c>
      <c r="I199" s="329"/>
      <c r="J199" s="346">
        <v>8000000156</v>
      </c>
      <c r="K199" s="24"/>
      <c r="L199" s="24"/>
      <c r="M199" s="24"/>
      <c r="N199" s="340" t="s">
        <v>486</v>
      </c>
      <c r="O199" s="334">
        <v>206569</v>
      </c>
      <c r="P199" s="25" t="s">
        <v>142</v>
      </c>
      <c r="Q199" s="127" t="s">
        <v>273</v>
      </c>
      <c r="R199" s="128" t="s">
        <v>1124</v>
      </c>
      <c r="S199" s="24">
        <v>43068</v>
      </c>
      <c r="T199" s="36" t="s">
        <v>19</v>
      </c>
      <c r="U199" s="125"/>
      <c r="V199" s="88" t="s">
        <v>1135</v>
      </c>
      <c r="W199" s="129"/>
      <c r="X199" s="88">
        <v>43081</v>
      </c>
      <c r="Y199" s="130" t="s">
        <v>20</v>
      </c>
      <c r="Z199" s="133" t="s">
        <v>60</v>
      </c>
      <c r="AA199" s="133"/>
      <c r="AB199" s="148">
        <v>550</v>
      </c>
      <c r="AC199" s="134">
        <v>414.5</v>
      </c>
      <c r="AD199" s="134"/>
      <c r="AE199" s="403">
        <f t="shared" si="10"/>
        <v>227975</v>
      </c>
      <c r="AF199" s="132" t="str">
        <f>IF(W199=BDD!$P$1,IMPORTS!AB199/25,IF(W199=BDD!$P$2,IMPORTS!AB199/25,IF(IMPORTS!W199=BDD!$P$4,IMPORTS!AB199/25.5,"--")))</f>
        <v>--</v>
      </c>
      <c r="AG199" s="130" t="s">
        <v>46</v>
      </c>
      <c r="AH199" s="130"/>
      <c r="AI199" s="130" t="s">
        <v>100</v>
      </c>
      <c r="AJ199" s="130"/>
      <c r="AK199" s="130"/>
      <c r="AL199" s="24" t="s">
        <v>640</v>
      </c>
      <c r="AM199" s="314"/>
      <c r="AN199" s="26"/>
      <c r="AO199" s="26"/>
      <c r="AP199" s="26"/>
      <c r="AQ199" s="26">
        <f>+AQ198+2</f>
        <v>43091</v>
      </c>
      <c r="AR199" s="24"/>
      <c r="AS199" s="24"/>
      <c r="AT199" s="24">
        <v>43094</v>
      </c>
      <c r="AU199" s="418">
        <f t="shared" si="11"/>
        <v>12</v>
      </c>
      <c r="AV199" s="418">
        <f t="shared" si="12"/>
        <v>2017</v>
      </c>
      <c r="AW199" s="24"/>
      <c r="AX199" s="28"/>
      <c r="AY199" s="28" t="s">
        <v>315</v>
      </c>
      <c r="AZ199" s="132" t="s">
        <v>50</v>
      </c>
      <c r="BA199" s="132"/>
      <c r="BB199" s="24"/>
      <c r="BC199" s="135" t="s">
        <v>1136</v>
      </c>
      <c r="BD199" s="24">
        <v>43050</v>
      </c>
      <c r="BE199" s="135" t="s">
        <v>1127</v>
      </c>
      <c r="BF199" s="135" t="s">
        <v>1127</v>
      </c>
      <c r="BG199" s="135" t="s">
        <v>52</v>
      </c>
      <c r="BH199" s="135"/>
      <c r="BI199" s="314"/>
      <c r="BJ199" s="314"/>
      <c r="BK199" s="24"/>
      <c r="BL199" s="24"/>
      <c r="BM199" s="24"/>
      <c r="BN199" s="24"/>
      <c r="BO199" s="24"/>
      <c r="BP199" s="24"/>
      <c r="BQ199" s="24"/>
      <c r="BR199" s="43"/>
      <c r="BS199" s="24"/>
      <c r="BT199" s="24"/>
      <c r="BU199" s="24"/>
      <c r="BV199" s="132" t="e">
        <f>IF(#REF!="COMPLETO","OK","PENDIENTES")</f>
        <v>#REF!</v>
      </c>
      <c r="BW199" s="132"/>
      <c r="BX199" s="132"/>
      <c r="BY199" s="132"/>
      <c r="BZ199" s="132"/>
      <c r="CA199" s="132"/>
      <c r="CB199" s="132"/>
      <c r="CC199" s="22"/>
      <c r="CG199" s="24" t="s">
        <v>105</v>
      </c>
      <c r="CH199" s="24"/>
      <c r="CI199" s="24"/>
      <c r="CJ199" s="24"/>
    </row>
    <row r="200" spans="1:88" ht="15" customHeight="1">
      <c r="A200" s="18">
        <v>2017</v>
      </c>
      <c r="B200" s="18" t="str">
        <f>+INDEX(BDD!F:F,MATCH(P200,BDD!D:D,0))&amp;"-"&amp;INDEX(BDD!E:E,MATCH(P200,BDD!D:D,0))</f>
        <v>G-S</v>
      </c>
      <c r="C200" s="360" t="s">
        <v>484</v>
      </c>
      <c r="D200" s="150" t="s">
        <v>77</v>
      </c>
      <c r="E200" s="132"/>
      <c r="F200" s="24"/>
      <c r="G200" s="346">
        <v>8000000157</v>
      </c>
      <c r="H200" s="25" t="s">
        <v>1137</v>
      </c>
      <c r="I200" s="329"/>
      <c r="J200" s="346">
        <v>8000000157</v>
      </c>
      <c r="K200" s="24"/>
      <c r="L200" s="24"/>
      <c r="M200" s="24"/>
      <c r="N200" s="340" t="s">
        <v>486</v>
      </c>
      <c r="O200" s="334">
        <v>206569</v>
      </c>
      <c r="P200" s="25" t="s">
        <v>142</v>
      </c>
      <c r="Q200" s="127" t="s">
        <v>273</v>
      </c>
      <c r="R200" s="128" t="s">
        <v>1124</v>
      </c>
      <c r="S200" s="24">
        <v>43068</v>
      </c>
      <c r="T200" s="36" t="s">
        <v>19</v>
      </c>
      <c r="U200" s="125"/>
      <c r="V200" s="88" t="s">
        <v>1138</v>
      </c>
      <c r="W200" s="129"/>
      <c r="X200" s="88">
        <v>43081</v>
      </c>
      <c r="Y200" s="130" t="s">
        <v>20</v>
      </c>
      <c r="Z200" s="133" t="s">
        <v>60</v>
      </c>
      <c r="AA200" s="133"/>
      <c r="AB200" s="148">
        <v>1540</v>
      </c>
      <c r="AC200" s="134">
        <v>414.5</v>
      </c>
      <c r="AD200" s="134"/>
      <c r="AE200" s="403">
        <f t="shared" si="10"/>
        <v>638330</v>
      </c>
      <c r="AF200" s="132" t="str">
        <f>IF(W200=BDD!$P$1,IMPORTS!AB200/25,IF(W200=BDD!$P$2,IMPORTS!AB200/25,IF(IMPORTS!W200=BDD!$P$4,IMPORTS!AB200/25.5,"--")))</f>
        <v>--</v>
      </c>
      <c r="AG200" s="130" t="s">
        <v>46</v>
      </c>
      <c r="AH200" s="130"/>
      <c r="AI200" s="130" t="s">
        <v>100</v>
      </c>
      <c r="AJ200" s="130"/>
      <c r="AK200" s="130"/>
      <c r="AL200" s="24" t="s">
        <v>640</v>
      </c>
      <c r="AM200" s="314"/>
      <c r="AN200" s="26"/>
      <c r="AO200" s="26"/>
      <c r="AP200" s="26"/>
      <c r="AQ200" s="26">
        <v>43096</v>
      </c>
      <c r="AR200" s="24"/>
      <c r="AS200" s="24"/>
      <c r="AT200" s="24">
        <v>43097</v>
      </c>
      <c r="AU200" s="418">
        <f t="shared" si="11"/>
        <v>12</v>
      </c>
      <c r="AV200" s="418">
        <f t="shared" si="12"/>
        <v>2017</v>
      </c>
      <c r="AW200" s="24"/>
      <c r="AX200" s="28"/>
      <c r="AY200" s="28" t="s">
        <v>315</v>
      </c>
      <c r="AZ200" s="132" t="s">
        <v>62</v>
      </c>
      <c r="BA200" s="132"/>
      <c r="BB200" s="24"/>
      <c r="BC200" s="135" t="s">
        <v>1139</v>
      </c>
      <c r="BD200" s="24">
        <v>43050</v>
      </c>
      <c r="BE200" s="135" t="s">
        <v>1127</v>
      </c>
      <c r="BF200" s="135" t="s">
        <v>1127</v>
      </c>
      <c r="BG200" s="135" t="s">
        <v>52</v>
      </c>
      <c r="BH200" s="135"/>
      <c r="BI200" s="314"/>
      <c r="BJ200" s="314"/>
      <c r="BK200" s="24"/>
      <c r="BL200" s="24"/>
      <c r="BM200" s="24"/>
      <c r="BN200" s="24"/>
      <c r="BO200" s="24"/>
      <c r="BP200" s="24"/>
      <c r="BQ200" s="24"/>
      <c r="BR200" s="43"/>
      <c r="BS200" s="24"/>
      <c r="BT200" s="24"/>
      <c r="BU200" s="24"/>
      <c r="BV200" s="132" t="e">
        <f>IF(#REF!="COMPLETO","OK","PENDIENTES")</f>
        <v>#REF!</v>
      </c>
      <c r="BW200" s="132"/>
      <c r="BX200" s="132"/>
      <c r="BY200" s="132"/>
      <c r="BZ200" s="132"/>
      <c r="CA200" s="132"/>
      <c r="CB200" s="132"/>
      <c r="CC200" s="22"/>
      <c r="CG200" s="24" t="s">
        <v>105</v>
      </c>
      <c r="CH200" s="24"/>
      <c r="CI200" s="24"/>
      <c r="CJ200" s="24"/>
    </row>
    <row r="201" spans="1:88" ht="15" customHeight="1">
      <c r="A201" s="18">
        <v>2017</v>
      </c>
      <c r="B201" s="18" t="str">
        <f>+INDEX(BDD!F:F,MATCH(P201,BDD!D:D,0))&amp;"-"&amp;INDEX(BDD!E:E,MATCH(P201,BDD!D:D,0))</f>
        <v>G-S</v>
      </c>
      <c r="C201" s="360" t="s">
        <v>484</v>
      </c>
      <c r="D201" s="150" t="s">
        <v>77</v>
      </c>
      <c r="E201" s="132"/>
      <c r="F201" s="24"/>
      <c r="G201" s="346">
        <v>8000000158</v>
      </c>
      <c r="H201" s="25" t="s">
        <v>1140</v>
      </c>
      <c r="I201" s="329"/>
      <c r="J201" s="346">
        <v>8000000158</v>
      </c>
      <c r="K201" s="24"/>
      <c r="L201" s="24"/>
      <c r="M201" s="24"/>
      <c r="N201" s="340" t="s">
        <v>486</v>
      </c>
      <c r="O201" s="334">
        <v>203616</v>
      </c>
      <c r="P201" s="186" t="s">
        <v>331</v>
      </c>
      <c r="Q201" s="127" t="s">
        <v>273</v>
      </c>
      <c r="R201" s="128" t="s">
        <v>1141</v>
      </c>
      <c r="S201" s="24">
        <v>43068</v>
      </c>
      <c r="T201" s="36" t="s">
        <v>19</v>
      </c>
      <c r="U201" s="125"/>
      <c r="V201" s="88" t="s">
        <v>1142</v>
      </c>
      <c r="W201" s="129"/>
      <c r="X201" s="88">
        <v>43081</v>
      </c>
      <c r="Y201" s="130" t="s">
        <v>20</v>
      </c>
      <c r="Z201" s="133" t="s">
        <v>60</v>
      </c>
      <c r="AA201" s="133"/>
      <c r="AB201" s="148">
        <v>495</v>
      </c>
      <c r="AC201" s="134">
        <v>152</v>
      </c>
      <c r="AD201" s="134"/>
      <c r="AE201" s="403">
        <f t="shared" si="10"/>
        <v>75240</v>
      </c>
      <c r="AF201" s="132" t="str">
        <f>IF(W201=BDD!$P$1,IMPORTS!AB201/25,IF(W201=BDD!$P$2,IMPORTS!AB201/25,IF(IMPORTS!W201=BDD!$P$4,IMPORTS!AB201/25.5,"--")))</f>
        <v>--</v>
      </c>
      <c r="AG201" s="130" t="s">
        <v>46</v>
      </c>
      <c r="AH201" s="130"/>
      <c r="AI201" s="130" t="s">
        <v>100</v>
      </c>
      <c r="AJ201" s="130"/>
      <c r="AK201" s="130"/>
      <c r="AL201" s="24" t="s">
        <v>640</v>
      </c>
      <c r="AM201" s="314"/>
      <c r="AN201" s="26"/>
      <c r="AO201" s="26"/>
      <c r="AP201" s="26"/>
      <c r="AQ201" s="26">
        <v>43088</v>
      </c>
      <c r="AR201" s="24"/>
      <c r="AS201" s="24"/>
      <c r="AT201" s="24">
        <v>43092</v>
      </c>
      <c r="AU201" s="418">
        <f t="shared" si="11"/>
        <v>12</v>
      </c>
      <c r="AV201" s="418">
        <f t="shared" si="12"/>
        <v>2017</v>
      </c>
      <c r="AW201" s="24"/>
      <c r="AX201" s="28"/>
      <c r="AY201" s="28" t="s">
        <v>315</v>
      </c>
      <c r="AZ201" s="132" t="s">
        <v>37</v>
      </c>
      <c r="BA201" s="132"/>
      <c r="BB201" s="24"/>
      <c r="BC201" s="135" t="s">
        <v>1143</v>
      </c>
      <c r="BD201" s="24">
        <v>43052</v>
      </c>
      <c r="BE201" s="135" t="s">
        <v>1127</v>
      </c>
      <c r="BF201" s="135" t="s">
        <v>1127</v>
      </c>
      <c r="BG201" s="135" t="s">
        <v>52</v>
      </c>
      <c r="BH201" s="135"/>
      <c r="BI201" s="314"/>
      <c r="BJ201" s="314"/>
      <c r="BK201" s="24"/>
      <c r="BL201" s="24"/>
      <c r="BM201" s="24"/>
      <c r="BN201" s="24"/>
      <c r="BO201" s="24"/>
      <c r="BP201" s="24"/>
      <c r="BQ201" s="24"/>
      <c r="BR201" s="43"/>
      <c r="BS201" s="24"/>
      <c r="BT201" s="24"/>
      <c r="BU201" s="24"/>
      <c r="BV201" s="132" t="e">
        <f>IF(#REF!="COMPLETO","OK","PENDIENTES")</f>
        <v>#REF!</v>
      </c>
      <c r="BW201" s="132"/>
      <c r="BX201" s="132"/>
      <c r="BY201" s="132"/>
      <c r="BZ201" s="132"/>
      <c r="CA201" s="132"/>
      <c r="CB201" s="132"/>
      <c r="CC201" s="22"/>
      <c r="CG201" s="24" t="s">
        <v>105</v>
      </c>
      <c r="CH201" s="24"/>
      <c r="CI201" s="24"/>
      <c r="CJ201" s="24"/>
    </row>
    <row r="202" spans="1:88" ht="15" customHeight="1">
      <c r="A202" s="18">
        <v>2017</v>
      </c>
      <c r="B202" s="18" t="str">
        <f>+INDEX(BDD!F:F,MATCH(P202,BDD!D:D,0))&amp;"-"&amp;INDEX(BDD!E:E,MATCH(P202,BDD!D:D,0))</f>
        <v>G-S</v>
      </c>
      <c r="C202" s="360" t="s">
        <v>484</v>
      </c>
      <c r="D202" s="150" t="s">
        <v>77</v>
      </c>
      <c r="E202" s="132"/>
      <c r="F202" s="24"/>
      <c r="G202" s="346">
        <v>8000000159</v>
      </c>
      <c r="H202" s="25" t="s">
        <v>1144</v>
      </c>
      <c r="I202" s="329"/>
      <c r="J202" s="346">
        <v>8000000159</v>
      </c>
      <c r="K202" s="24"/>
      <c r="L202" s="24"/>
      <c r="M202" s="24"/>
      <c r="N202" s="340" t="s">
        <v>486</v>
      </c>
      <c r="O202" s="334">
        <v>203616</v>
      </c>
      <c r="P202" s="186" t="s">
        <v>331</v>
      </c>
      <c r="Q202" s="127" t="s">
        <v>273</v>
      </c>
      <c r="R202" s="128" t="s">
        <v>1141</v>
      </c>
      <c r="S202" s="24">
        <v>43068</v>
      </c>
      <c r="T202" s="36" t="s">
        <v>19</v>
      </c>
      <c r="U202" s="125"/>
      <c r="V202" s="88" t="s">
        <v>1145</v>
      </c>
      <c r="W202" s="129"/>
      <c r="X202" s="88">
        <v>43081</v>
      </c>
      <c r="Y202" s="130" t="s">
        <v>20</v>
      </c>
      <c r="Z202" s="133" t="s">
        <v>60</v>
      </c>
      <c r="AA202" s="133"/>
      <c r="AB202" s="148">
        <v>330</v>
      </c>
      <c r="AC202" s="134">
        <v>152</v>
      </c>
      <c r="AD202" s="134"/>
      <c r="AE202" s="403">
        <f t="shared" si="10"/>
        <v>50160</v>
      </c>
      <c r="AF202" s="132" t="str">
        <f>IF(W202=BDD!$P$1,IMPORTS!AB202/25,IF(W202=BDD!$P$2,IMPORTS!AB202/25,IF(IMPORTS!W202=BDD!$P$4,IMPORTS!AB202/25.5,"--")))</f>
        <v>--</v>
      </c>
      <c r="AG202" s="130" t="s">
        <v>46</v>
      </c>
      <c r="AH202" s="130"/>
      <c r="AI202" s="130" t="s">
        <v>100</v>
      </c>
      <c r="AJ202" s="130"/>
      <c r="AK202" s="130"/>
      <c r="AL202" s="24" t="s">
        <v>640</v>
      </c>
      <c r="AM202" s="314"/>
      <c r="AN202" s="26"/>
      <c r="AO202" s="26"/>
      <c r="AP202" s="26"/>
      <c r="AQ202" s="26">
        <v>43090</v>
      </c>
      <c r="AR202" s="24"/>
      <c r="AS202" s="24"/>
      <c r="AT202" s="24">
        <v>43094</v>
      </c>
      <c r="AU202" s="418">
        <f t="shared" si="11"/>
        <v>12</v>
      </c>
      <c r="AV202" s="418">
        <f t="shared" si="12"/>
        <v>2017</v>
      </c>
      <c r="AW202" s="24"/>
      <c r="AX202" s="28"/>
      <c r="AY202" s="28" t="s">
        <v>315</v>
      </c>
      <c r="AZ202" s="132" t="s">
        <v>50</v>
      </c>
      <c r="BA202" s="132"/>
      <c r="BB202" s="24"/>
      <c r="BC202" s="135" t="s">
        <v>1146</v>
      </c>
      <c r="BD202" s="24">
        <v>43052</v>
      </c>
      <c r="BE202" s="135" t="s">
        <v>1127</v>
      </c>
      <c r="BF202" s="135" t="s">
        <v>1127</v>
      </c>
      <c r="BG202" s="135" t="s">
        <v>52</v>
      </c>
      <c r="BH202" s="135"/>
      <c r="BI202" s="314"/>
      <c r="BJ202" s="314"/>
      <c r="BK202" s="24"/>
      <c r="BL202" s="24"/>
      <c r="BM202" s="24"/>
      <c r="BN202" s="24"/>
      <c r="BO202" s="24"/>
      <c r="BP202" s="24"/>
      <c r="BQ202" s="24"/>
      <c r="BR202" s="43"/>
      <c r="BS202" s="24"/>
      <c r="BT202" s="24"/>
      <c r="BU202" s="24"/>
      <c r="BV202" s="132" t="e">
        <f>IF(#REF!="COMPLETO","OK","PENDIENTES")</f>
        <v>#REF!</v>
      </c>
      <c r="BW202" s="132"/>
      <c r="BX202" s="132"/>
      <c r="BY202" s="132"/>
      <c r="BZ202" s="132"/>
      <c r="CA202" s="132"/>
      <c r="CB202" s="132"/>
      <c r="CC202" s="22"/>
      <c r="CG202" s="24" t="s">
        <v>105</v>
      </c>
      <c r="CH202" s="24"/>
      <c r="CI202" s="24"/>
      <c r="CJ202" s="24"/>
    </row>
    <row r="203" spans="1:88" ht="15" customHeight="1">
      <c r="A203" s="18">
        <v>2017</v>
      </c>
      <c r="B203" s="18" t="str">
        <f>+INDEX(BDD!F:F,MATCH(P203,BDD!D:D,0))&amp;"-"&amp;INDEX(BDD!E:E,MATCH(P203,BDD!D:D,0))</f>
        <v>G-S</v>
      </c>
      <c r="C203" s="360" t="s">
        <v>484</v>
      </c>
      <c r="D203" s="150" t="s">
        <v>77</v>
      </c>
      <c r="E203" s="132"/>
      <c r="F203" s="24"/>
      <c r="G203" s="346">
        <v>8000000160</v>
      </c>
      <c r="H203" s="25" t="s">
        <v>1147</v>
      </c>
      <c r="I203" s="329"/>
      <c r="J203" s="346">
        <v>8000000160</v>
      </c>
      <c r="K203" s="24"/>
      <c r="L203" s="24"/>
      <c r="M203" s="24"/>
      <c r="N203" s="340" t="s">
        <v>486</v>
      </c>
      <c r="O203" s="334">
        <v>203616</v>
      </c>
      <c r="P203" s="186" t="s">
        <v>331</v>
      </c>
      <c r="Q203" s="127" t="s">
        <v>273</v>
      </c>
      <c r="R203" s="128" t="s">
        <v>1141</v>
      </c>
      <c r="S203" s="24">
        <v>43068</v>
      </c>
      <c r="T203" s="36" t="s">
        <v>19</v>
      </c>
      <c r="U203" s="125"/>
      <c r="V203" s="88" t="s">
        <v>1148</v>
      </c>
      <c r="W203" s="129"/>
      <c r="X203" s="88">
        <v>43081</v>
      </c>
      <c r="Y203" s="130" t="s">
        <v>20</v>
      </c>
      <c r="Z203" s="133" t="s">
        <v>60</v>
      </c>
      <c r="AA203" s="133"/>
      <c r="AB203" s="148">
        <v>605</v>
      </c>
      <c r="AC203" s="134">
        <v>152</v>
      </c>
      <c r="AD203" s="134"/>
      <c r="AE203" s="403">
        <f t="shared" si="10"/>
        <v>91960</v>
      </c>
      <c r="AF203" s="132" t="str">
        <f>IF(W203=BDD!$P$1,IMPORTS!AB203/25,IF(W203=BDD!$P$2,IMPORTS!AB203/25,IF(IMPORTS!W203=BDD!$P$4,IMPORTS!AB203/25.5,"--")))</f>
        <v>--</v>
      </c>
      <c r="AG203" s="130" t="s">
        <v>46</v>
      </c>
      <c r="AH203" s="130"/>
      <c r="AI203" s="130" t="s">
        <v>100</v>
      </c>
      <c r="AJ203" s="130"/>
      <c r="AK203" s="130"/>
      <c r="AL203" s="24" t="s">
        <v>640</v>
      </c>
      <c r="AM203" s="314"/>
      <c r="AN203" s="26"/>
      <c r="AO203" s="26"/>
      <c r="AP203" s="26"/>
      <c r="AQ203" s="26">
        <v>43096</v>
      </c>
      <c r="AR203" s="24"/>
      <c r="AS203" s="24"/>
      <c r="AT203" s="24">
        <v>43097</v>
      </c>
      <c r="AU203" s="418">
        <f t="shared" si="11"/>
        <v>12</v>
      </c>
      <c r="AV203" s="418">
        <f t="shared" si="12"/>
        <v>2017</v>
      </c>
      <c r="AW203" s="24"/>
      <c r="AX203" s="28"/>
      <c r="AY203" s="28" t="s">
        <v>315</v>
      </c>
      <c r="AZ203" s="132" t="s">
        <v>62</v>
      </c>
      <c r="BA203" s="132"/>
      <c r="BB203" s="24"/>
      <c r="BC203" s="135" t="s">
        <v>1149</v>
      </c>
      <c r="BD203" s="24">
        <v>43052</v>
      </c>
      <c r="BE203" s="135" t="s">
        <v>1127</v>
      </c>
      <c r="BF203" s="135" t="s">
        <v>1127</v>
      </c>
      <c r="BG203" s="135" t="s">
        <v>52</v>
      </c>
      <c r="BH203" s="135"/>
      <c r="BI203" s="314"/>
      <c r="BJ203" s="314"/>
      <c r="BK203" s="24"/>
      <c r="BL203" s="24"/>
      <c r="BM203" s="24"/>
      <c r="BN203" s="24"/>
      <c r="BO203" s="24"/>
      <c r="BP203" s="24"/>
      <c r="BQ203" s="24"/>
      <c r="BR203" s="43"/>
      <c r="BS203" s="24"/>
      <c r="BT203" s="24"/>
      <c r="BU203" s="24"/>
      <c r="BV203" s="132" t="e">
        <f>IF(#REF!="COMPLETO","OK","PENDIENTES")</f>
        <v>#REF!</v>
      </c>
      <c r="BW203" s="132"/>
      <c r="BX203" s="132"/>
      <c r="BY203" s="132"/>
      <c r="BZ203" s="132"/>
      <c r="CA203" s="132"/>
      <c r="CB203" s="132"/>
      <c r="CC203" s="22"/>
      <c r="CG203" s="24" t="s">
        <v>105</v>
      </c>
      <c r="CH203" s="24"/>
      <c r="CI203" s="24"/>
      <c r="CJ203" s="24"/>
    </row>
    <row r="204" spans="1:88" ht="15" customHeight="1">
      <c r="A204" s="18">
        <v>2017</v>
      </c>
      <c r="B204" s="18" t="str">
        <f>+INDEX(BDD!F:F,MATCH(P204,BDD!D:D,0))&amp;"-"&amp;INDEX(BDD!E:E,MATCH(P204,BDD!D:D,0))</f>
        <v>G-S</v>
      </c>
      <c r="C204" s="360" t="s">
        <v>484</v>
      </c>
      <c r="D204" s="150" t="s">
        <v>77</v>
      </c>
      <c r="E204" s="132"/>
      <c r="F204" s="24"/>
      <c r="G204" s="346"/>
      <c r="H204" s="25" t="s">
        <v>1150</v>
      </c>
      <c r="I204" s="329"/>
      <c r="J204" s="346"/>
      <c r="K204" s="24"/>
      <c r="L204" s="24"/>
      <c r="M204" s="24"/>
      <c r="N204" s="340"/>
      <c r="O204" s="334">
        <v>207951</v>
      </c>
      <c r="P204" s="186" t="s">
        <v>354</v>
      </c>
      <c r="Q204" s="127" t="s">
        <v>306</v>
      </c>
      <c r="R204" s="128" t="s">
        <v>1151</v>
      </c>
      <c r="S204" s="24">
        <v>43090</v>
      </c>
      <c r="T204" s="36">
        <v>90</v>
      </c>
      <c r="U204" s="125" t="s">
        <v>118</v>
      </c>
      <c r="V204" s="88" t="s">
        <v>1152</v>
      </c>
      <c r="W204" s="129"/>
      <c r="X204" s="88">
        <v>43227</v>
      </c>
      <c r="Y204" s="130" t="s">
        <v>20</v>
      </c>
      <c r="Z204" s="133" t="s">
        <v>60</v>
      </c>
      <c r="AA204" s="133"/>
      <c r="AB204" s="187">
        <v>2800</v>
      </c>
      <c r="AC204" s="134">
        <v>263.5</v>
      </c>
      <c r="AD204" s="134"/>
      <c r="AE204" s="403">
        <f t="shared" si="10"/>
        <v>737800</v>
      </c>
      <c r="AF204" s="132" t="str">
        <f>IF(W204=BDD!$P$1,IMPORTS!AB204/25,IF(W204=BDD!$P$2,IMPORTS!AB204/25,IF(IMPORTS!W204=BDD!$P$4,IMPORTS!AB204/25.5,"--")))</f>
        <v>--</v>
      </c>
      <c r="AG204" s="130" t="s">
        <v>46</v>
      </c>
      <c r="AH204" s="130"/>
      <c r="AI204" s="130" t="s">
        <v>100</v>
      </c>
      <c r="AJ204" s="130"/>
      <c r="AK204" s="130"/>
      <c r="AL204" s="135" t="s">
        <v>1043</v>
      </c>
      <c r="AM204" s="314"/>
      <c r="AN204" s="26"/>
      <c r="AO204" s="26"/>
      <c r="AP204" s="26"/>
      <c r="AQ204" s="26">
        <v>43168</v>
      </c>
      <c r="AR204" s="24"/>
      <c r="AS204" s="24"/>
      <c r="AT204" s="24">
        <v>43170</v>
      </c>
      <c r="AU204" s="418">
        <f t="shared" si="11"/>
        <v>3</v>
      </c>
      <c r="AV204" s="418">
        <f t="shared" si="12"/>
        <v>2018</v>
      </c>
      <c r="AW204" s="24"/>
      <c r="AX204" s="28"/>
      <c r="AY204" s="28" t="s">
        <v>205</v>
      </c>
      <c r="AZ204" s="132" t="s">
        <v>9</v>
      </c>
      <c r="BA204" s="132"/>
      <c r="BB204" s="24"/>
      <c r="BC204" s="135">
        <v>3</v>
      </c>
      <c r="BD204" s="24">
        <v>43135</v>
      </c>
      <c r="BE204" s="135" t="s">
        <v>1153</v>
      </c>
      <c r="BF204" s="135" t="s">
        <v>1153</v>
      </c>
      <c r="BG204" s="135" t="s">
        <v>52</v>
      </c>
      <c r="BH204" s="135"/>
      <c r="BI204" s="314"/>
      <c r="BJ204" s="314"/>
      <c r="BK204" s="24"/>
      <c r="BL204" s="24"/>
      <c r="BM204" s="24"/>
      <c r="BN204" s="24"/>
      <c r="BO204" s="24"/>
      <c r="BP204" s="24"/>
      <c r="BQ204" s="24"/>
      <c r="BR204" s="43"/>
      <c r="BS204" s="24"/>
      <c r="BT204" s="24"/>
      <c r="BU204" s="24"/>
      <c r="BV204" s="132" t="e">
        <f>IF(#REF!="COMPLETO","OK","PENDIENTES")</f>
        <v>#REF!</v>
      </c>
      <c r="BW204" s="132"/>
      <c r="BX204" s="132"/>
      <c r="BY204" s="132"/>
      <c r="BZ204" s="132"/>
      <c r="CA204" s="132"/>
      <c r="CB204" s="132"/>
      <c r="CC204" s="22"/>
      <c r="CG204" s="24" t="s">
        <v>105</v>
      </c>
      <c r="CH204" s="24"/>
      <c r="CI204" s="24"/>
      <c r="CJ204" s="24"/>
    </row>
    <row r="205" spans="1:88" ht="15.75" customHeight="1">
      <c r="A205" s="18">
        <v>2017</v>
      </c>
      <c r="B205" s="18" t="str">
        <f>+INDEX(BDD!F:F,MATCH(P205,BDD!D:D,0))&amp;"-"&amp;INDEX(BDD!E:E,MATCH(P205,BDD!D:D,0))</f>
        <v>G-S</v>
      </c>
      <c r="C205" s="360" t="s">
        <v>484</v>
      </c>
      <c r="D205" s="150" t="s">
        <v>77</v>
      </c>
      <c r="E205" s="132"/>
      <c r="F205" s="24"/>
      <c r="G205" s="346"/>
      <c r="H205" s="25" t="s">
        <v>1154</v>
      </c>
      <c r="I205" s="329"/>
      <c r="J205" s="346"/>
      <c r="K205" s="24"/>
      <c r="L205" s="24"/>
      <c r="M205" s="24"/>
      <c r="N205" s="340"/>
      <c r="O205" s="334">
        <v>207951</v>
      </c>
      <c r="P205" s="186" t="s">
        <v>354</v>
      </c>
      <c r="Q205" s="127" t="s">
        <v>306</v>
      </c>
      <c r="R205" s="128" t="s">
        <v>1151</v>
      </c>
      <c r="S205" s="24">
        <v>43090</v>
      </c>
      <c r="T205" s="36">
        <v>90</v>
      </c>
      <c r="U205" s="125" t="s">
        <v>118</v>
      </c>
      <c r="V205" s="88" t="s">
        <v>1155</v>
      </c>
      <c r="W205" s="129"/>
      <c r="X205" s="88">
        <v>43227</v>
      </c>
      <c r="Y205" s="130" t="s">
        <v>20</v>
      </c>
      <c r="Z205" s="133" t="s">
        <v>60</v>
      </c>
      <c r="AA205" s="133"/>
      <c r="AB205" s="187">
        <v>3500</v>
      </c>
      <c r="AC205" s="134">
        <v>263.5</v>
      </c>
      <c r="AD205" s="134"/>
      <c r="AE205" s="403">
        <f t="shared" si="10"/>
        <v>922250</v>
      </c>
      <c r="AF205" s="132" t="str">
        <f>IF(W205=BDD!$P$1,IMPORTS!AB205/25,IF(W205=BDD!$P$2,IMPORTS!AB205/25,IF(IMPORTS!W205=BDD!$P$4,IMPORTS!AB205/25.5,"--")))</f>
        <v>--</v>
      </c>
      <c r="AG205" s="130" t="s">
        <v>46</v>
      </c>
      <c r="AH205" s="130"/>
      <c r="AI205" s="130" t="s">
        <v>100</v>
      </c>
      <c r="AJ205" s="130"/>
      <c r="AK205" s="130"/>
      <c r="AL205" s="135" t="s">
        <v>1043</v>
      </c>
      <c r="AM205" s="314"/>
      <c r="AN205" s="26"/>
      <c r="AO205" s="26"/>
      <c r="AP205" s="26"/>
      <c r="AQ205" s="26">
        <v>43171</v>
      </c>
      <c r="AR205" s="24"/>
      <c r="AS205" s="24"/>
      <c r="AT205" s="26">
        <v>43172</v>
      </c>
      <c r="AU205" s="418">
        <f t="shared" si="11"/>
        <v>3</v>
      </c>
      <c r="AV205" s="418">
        <f t="shared" si="12"/>
        <v>2018</v>
      </c>
      <c r="AW205" s="26"/>
      <c r="AX205" s="28"/>
      <c r="AY205" s="28" t="s">
        <v>205</v>
      </c>
      <c r="AZ205" s="132" t="s">
        <v>25</v>
      </c>
      <c r="BA205" s="132"/>
      <c r="BB205" s="26"/>
      <c r="BC205" s="135">
        <v>4</v>
      </c>
      <c r="BD205" s="24">
        <v>43135</v>
      </c>
      <c r="BE205" s="135" t="s">
        <v>1153</v>
      </c>
      <c r="BF205" s="135" t="s">
        <v>1153</v>
      </c>
      <c r="BG205" s="135" t="s">
        <v>52</v>
      </c>
      <c r="BH205" s="135"/>
      <c r="BI205" s="314"/>
      <c r="BJ205" s="314"/>
      <c r="BK205" s="24"/>
      <c r="BL205" s="24"/>
      <c r="BM205" s="24"/>
      <c r="BN205" s="24"/>
      <c r="BO205" s="24"/>
      <c r="BP205" s="24"/>
      <c r="BQ205" s="24"/>
      <c r="BR205" s="43"/>
      <c r="BS205" s="24"/>
      <c r="BT205" s="24"/>
      <c r="BU205" s="24"/>
      <c r="BV205" s="132" t="e">
        <f>IF(#REF!="COMPLETO","OK","PENDIENTES")</f>
        <v>#REF!</v>
      </c>
      <c r="BW205" s="132"/>
      <c r="BX205" s="132"/>
      <c r="BY205" s="132"/>
      <c r="BZ205" s="132"/>
      <c r="CA205" s="132"/>
      <c r="CB205" s="132"/>
      <c r="CC205" s="22"/>
      <c r="CG205" s="24" t="s">
        <v>105</v>
      </c>
      <c r="CH205" s="24"/>
      <c r="CI205" s="26"/>
      <c r="CJ205" s="26"/>
    </row>
    <row r="206" spans="1:88" ht="15" customHeight="1">
      <c r="A206" s="18">
        <v>2017</v>
      </c>
      <c r="B206" s="18" t="str">
        <f>+INDEX(BDD!F:F,MATCH(P206,BDD!D:D,0))&amp;"-"&amp;INDEX(BDD!E:E,MATCH(P206,BDD!D:D,0))</f>
        <v>G-S</v>
      </c>
      <c r="C206" s="360" t="s">
        <v>484</v>
      </c>
      <c r="D206" s="150" t="s">
        <v>77</v>
      </c>
      <c r="E206" s="132"/>
      <c r="F206" s="24"/>
      <c r="G206" s="346"/>
      <c r="H206" s="25" t="s">
        <v>1156</v>
      </c>
      <c r="I206" s="329"/>
      <c r="J206" s="346"/>
      <c r="K206" s="24"/>
      <c r="L206" s="24"/>
      <c r="M206" s="24"/>
      <c r="N206" s="340"/>
      <c r="O206" s="334">
        <v>207951</v>
      </c>
      <c r="P206" s="186" t="s">
        <v>354</v>
      </c>
      <c r="Q206" s="127" t="s">
        <v>306</v>
      </c>
      <c r="R206" s="128" t="s">
        <v>1151</v>
      </c>
      <c r="S206" s="24">
        <v>43090</v>
      </c>
      <c r="T206" s="36">
        <v>90</v>
      </c>
      <c r="U206" s="125" t="s">
        <v>118</v>
      </c>
      <c r="V206" s="88" t="s">
        <v>1157</v>
      </c>
      <c r="W206" s="129"/>
      <c r="X206" s="88">
        <v>43227</v>
      </c>
      <c r="Y206" s="130" t="s">
        <v>20</v>
      </c>
      <c r="Z206" s="133" t="s">
        <v>60</v>
      </c>
      <c r="AA206" s="133"/>
      <c r="AB206" s="187">
        <v>3400</v>
      </c>
      <c r="AC206" s="134">
        <v>263.5</v>
      </c>
      <c r="AD206" s="134"/>
      <c r="AE206" s="403">
        <f t="shared" si="10"/>
        <v>895900</v>
      </c>
      <c r="AF206" s="132" t="str">
        <f>IF(W206=BDD!$P$1,IMPORTS!AB206/25,IF(W206=BDD!$P$2,IMPORTS!AB206/25,IF(IMPORTS!W206=BDD!$P$4,IMPORTS!AB206/25.5,"--")))</f>
        <v>--</v>
      </c>
      <c r="AG206" s="130" t="s">
        <v>46</v>
      </c>
      <c r="AH206" s="130"/>
      <c r="AI206" s="130" t="s">
        <v>100</v>
      </c>
      <c r="AJ206" s="130"/>
      <c r="AK206" s="130"/>
      <c r="AL206" s="135" t="s">
        <v>1043</v>
      </c>
      <c r="AM206" s="314"/>
      <c r="AN206" s="26"/>
      <c r="AO206" s="26"/>
      <c r="AP206" s="26"/>
      <c r="AQ206" s="26">
        <v>43174</v>
      </c>
      <c r="AR206" s="24"/>
      <c r="AS206" s="24"/>
      <c r="AT206" s="24">
        <v>43175</v>
      </c>
      <c r="AU206" s="418">
        <f t="shared" si="11"/>
        <v>3</v>
      </c>
      <c r="AV206" s="418">
        <f t="shared" si="12"/>
        <v>2018</v>
      </c>
      <c r="AW206" s="24"/>
      <c r="AX206" s="28"/>
      <c r="AY206" s="28" t="s">
        <v>205</v>
      </c>
      <c r="AZ206" s="132" t="s">
        <v>37</v>
      </c>
      <c r="BA206" s="132"/>
      <c r="BB206" s="24"/>
      <c r="BC206" s="135">
        <v>5</v>
      </c>
      <c r="BD206" s="24">
        <v>43135</v>
      </c>
      <c r="BE206" s="135" t="s">
        <v>1153</v>
      </c>
      <c r="BF206" s="135" t="s">
        <v>1153</v>
      </c>
      <c r="BG206" s="135" t="s">
        <v>52</v>
      </c>
      <c r="BH206" s="135"/>
      <c r="BI206" s="314"/>
      <c r="BJ206" s="314"/>
      <c r="BK206" s="24"/>
      <c r="BL206" s="24"/>
      <c r="BM206" s="24"/>
      <c r="BN206" s="24"/>
      <c r="BO206" s="24"/>
      <c r="BP206" s="24"/>
      <c r="BQ206" s="24"/>
      <c r="BR206" s="43"/>
      <c r="BS206" s="24"/>
      <c r="BT206" s="24"/>
      <c r="BU206" s="24"/>
      <c r="BV206" s="132" t="e">
        <f>IF(#REF!="COMPLETO","OK","PENDIENTES")</f>
        <v>#REF!</v>
      </c>
      <c r="BW206" s="132"/>
      <c r="BX206" s="132"/>
      <c r="BY206" s="132"/>
      <c r="BZ206" s="132"/>
      <c r="CA206" s="132"/>
      <c r="CB206" s="132"/>
      <c r="CC206" s="22"/>
      <c r="CG206" s="24" t="s">
        <v>105</v>
      </c>
      <c r="CH206" s="24"/>
      <c r="CI206" s="24"/>
      <c r="CJ206" s="24"/>
    </row>
    <row r="207" spans="1:88" ht="15" customHeight="1">
      <c r="A207" s="18">
        <v>2017</v>
      </c>
      <c r="B207" s="18" t="str">
        <f>+INDEX(BDD!F:F,MATCH(P207,BDD!D:D,0))&amp;"-"&amp;INDEX(BDD!E:E,MATCH(P207,BDD!D:D,0))</f>
        <v>G-S</v>
      </c>
      <c r="C207" s="360" t="s">
        <v>484</v>
      </c>
      <c r="D207" s="150" t="s">
        <v>77</v>
      </c>
      <c r="E207" s="132"/>
      <c r="F207" s="24"/>
      <c r="G207" s="346"/>
      <c r="H207" s="25" t="s">
        <v>1158</v>
      </c>
      <c r="I207" s="329"/>
      <c r="J207" s="346"/>
      <c r="K207" s="24"/>
      <c r="L207" s="24"/>
      <c r="M207" s="24"/>
      <c r="N207" s="340"/>
      <c r="O207" s="334">
        <v>207951</v>
      </c>
      <c r="P207" s="186" t="s">
        <v>354</v>
      </c>
      <c r="Q207" s="127" t="s">
        <v>306</v>
      </c>
      <c r="R207" s="128" t="s">
        <v>1151</v>
      </c>
      <c r="S207" s="24">
        <v>43090</v>
      </c>
      <c r="T207" s="36">
        <v>90</v>
      </c>
      <c r="U207" s="125" t="s">
        <v>118</v>
      </c>
      <c r="V207" s="88" t="s">
        <v>1159</v>
      </c>
      <c r="W207" s="129"/>
      <c r="X207" s="88">
        <v>43227</v>
      </c>
      <c r="Y207" s="130" t="s">
        <v>20</v>
      </c>
      <c r="Z207" s="133" t="s">
        <v>60</v>
      </c>
      <c r="AA207" s="133"/>
      <c r="AB207" s="187">
        <v>2200</v>
      </c>
      <c r="AC207" s="134">
        <v>263.5</v>
      </c>
      <c r="AD207" s="134"/>
      <c r="AE207" s="403">
        <f t="shared" si="10"/>
        <v>579700</v>
      </c>
      <c r="AF207" s="132" t="str">
        <f>IF(W207=BDD!$P$1,IMPORTS!AB207/25,IF(W207=BDD!$P$2,IMPORTS!AB207/25,IF(IMPORTS!W207=BDD!$P$4,IMPORTS!AB207/25.5,"--")))</f>
        <v>--</v>
      </c>
      <c r="AG207" s="130" t="s">
        <v>46</v>
      </c>
      <c r="AH207" s="130"/>
      <c r="AI207" s="130" t="s">
        <v>100</v>
      </c>
      <c r="AJ207" s="130"/>
      <c r="AK207" s="130"/>
      <c r="AL207" s="135" t="s">
        <v>1043</v>
      </c>
      <c r="AM207" s="314"/>
      <c r="AN207" s="26"/>
      <c r="AO207" s="26"/>
      <c r="AP207" s="26"/>
      <c r="AQ207" s="26">
        <f>+AQ206+4</f>
        <v>43178</v>
      </c>
      <c r="AR207" s="24"/>
      <c r="AS207" s="24"/>
      <c r="AT207" s="24">
        <v>43180</v>
      </c>
      <c r="AU207" s="418">
        <f t="shared" si="11"/>
        <v>3</v>
      </c>
      <c r="AV207" s="418">
        <f t="shared" si="12"/>
        <v>2018</v>
      </c>
      <c r="AW207" s="24"/>
      <c r="AX207" s="28"/>
      <c r="AY207" s="28" t="s">
        <v>205</v>
      </c>
      <c r="AZ207" s="132" t="s">
        <v>62</v>
      </c>
      <c r="BA207" s="132"/>
      <c r="BB207" s="24"/>
      <c r="BC207" s="135">
        <v>6</v>
      </c>
      <c r="BD207" s="24">
        <v>43135</v>
      </c>
      <c r="BE207" s="135" t="s">
        <v>1153</v>
      </c>
      <c r="BF207" s="135" t="s">
        <v>1153</v>
      </c>
      <c r="BG207" s="135" t="s">
        <v>52</v>
      </c>
      <c r="BH207" s="135"/>
      <c r="BI207" s="314"/>
      <c r="BJ207" s="314"/>
      <c r="BK207" s="24"/>
      <c r="BL207" s="24"/>
      <c r="BM207" s="24"/>
      <c r="BN207" s="24"/>
      <c r="BO207" s="24"/>
      <c r="BP207" s="24"/>
      <c r="BQ207" s="24"/>
      <c r="BR207" s="43"/>
      <c r="BS207" s="24"/>
      <c r="BT207" s="24"/>
      <c r="BU207" s="24"/>
      <c r="BV207" s="132" t="e">
        <f>IF(#REF!="COMPLETO","OK","PENDIENTES")</f>
        <v>#REF!</v>
      </c>
      <c r="BW207" s="132"/>
      <c r="BX207" s="132"/>
      <c r="BY207" s="132"/>
      <c r="BZ207" s="132"/>
      <c r="CA207" s="132"/>
      <c r="CB207" s="132"/>
      <c r="CC207" s="22"/>
      <c r="CG207" s="24" t="s">
        <v>105</v>
      </c>
      <c r="CH207" s="24"/>
      <c r="CI207" s="24"/>
      <c r="CJ207" s="24"/>
    </row>
    <row r="208" spans="1:88" ht="15" customHeight="1">
      <c r="A208" s="18">
        <v>2017</v>
      </c>
      <c r="B208" s="18" t="str">
        <f>+INDEX(BDD!F:F,MATCH(P208,BDD!D:D,0))&amp;"-"&amp;INDEX(BDD!E:E,MATCH(P208,BDD!D:D,0))</f>
        <v>G-S</v>
      </c>
      <c r="C208" s="360" t="s">
        <v>484</v>
      </c>
      <c r="D208" s="150" t="s">
        <v>77</v>
      </c>
      <c r="E208" s="132"/>
      <c r="F208" s="24"/>
      <c r="G208" s="346"/>
      <c r="H208" s="25" t="s">
        <v>1160</v>
      </c>
      <c r="I208" s="329"/>
      <c r="J208" s="346"/>
      <c r="K208" s="24"/>
      <c r="L208" s="24"/>
      <c r="M208" s="24"/>
      <c r="N208" s="340"/>
      <c r="O208" s="334">
        <v>207485</v>
      </c>
      <c r="P208" s="25" t="s">
        <v>353</v>
      </c>
      <c r="Q208" s="127" t="s">
        <v>306</v>
      </c>
      <c r="R208" s="128" t="s">
        <v>1161</v>
      </c>
      <c r="S208" s="24">
        <v>43090</v>
      </c>
      <c r="T208" s="36">
        <v>90</v>
      </c>
      <c r="U208" s="125" t="s">
        <v>118</v>
      </c>
      <c r="V208" s="155">
        <v>20787</v>
      </c>
      <c r="W208" s="129"/>
      <c r="X208" s="88">
        <v>43227</v>
      </c>
      <c r="Y208" s="130" t="s">
        <v>20</v>
      </c>
      <c r="Z208" s="133" t="s">
        <v>60</v>
      </c>
      <c r="AA208" s="133"/>
      <c r="AB208" s="187">
        <v>1400</v>
      </c>
      <c r="AC208" s="134">
        <v>273.5</v>
      </c>
      <c r="AD208" s="134"/>
      <c r="AE208" s="403">
        <f t="shared" si="10"/>
        <v>382900</v>
      </c>
      <c r="AF208" s="132" t="str">
        <f>IF(W208=BDD!$P$1,IMPORTS!AB208/25,IF(W208=BDD!$P$2,IMPORTS!AB208/25,IF(IMPORTS!W208=BDD!$P$4,IMPORTS!AB208/25.5,"--")))</f>
        <v>--</v>
      </c>
      <c r="AG208" s="130" t="s">
        <v>46</v>
      </c>
      <c r="AH208" s="130"/>
      <c r="AI208" s="130" t="s">
        <v>100</v>
      </c>
      <c r="AJ208" s="130"/>
      <c r="AK208" s="130"/>
      <c r="AL208" s="135" t="s">
        <v>1043</v>
      </c>
      <c r="AM208" s="314"/>
      <c r="AN208" s="26"/>
      <c r="AO208" s="26"/>
      <c r="AP208" s="26"/>
      <c r="AQ208" s="26">
        <v>43168</v>
      </c>
      <c r="AR208" s="24"/>
      <c r="AS208" s="24"/>
      <c r="AT208" s="24">
        <v>43170</v>
      </c>
      <c r="AU208" s="418">
        <f t="shared" si="11"/>
        <v>3</v>
      </c>
      <c r="AV208" s="418">
        <f t="shared" si="12"/>
        <v>2018</v>
      </c>
      <c r="AW208" s="24"/>
      <c r="AX208" s="28"/>
      <c r="AY208" s="28" t="s">
        <v>296</v>
      </c>
      <c r="AZ208" s="132" t="s">
        <v>9</v>
      </c>
      <c r="BA208" s="132"/>
      <c r="BB208" s="24"/>
      <c r="BC208" s="135">
        <v>11</v>
      </c>
      <c r="BD208" s="24">
        <v>43135</v>
      </c>
      <c r="BE208" s="135" t="s">
        <v>1153</v>
      </c>
      <c r="BF208" s="135" t="s">
        <v>1153</v>
      </c>
      <c r="BG208" s="135" t="s">
        <v>52</v>
      </c>
      <c r="BH208" s="135"/>
      <c r="BI208" s="314"/>
      <c r="BJ208" s="314"/>
      <c r="BK208" s="24"/>
      <c r="BL208" s="24"/>
      <c r="BM208" s="24"/>
      <c r="BN208" s="24"/>
      <c r="BO208" s="24"/>
      <c r="BP208" s="24"/>
      <c r="BQ208" s="24"/>
      <c r="BR208" s="43"/>
      <c r="BS208" s="24"/>
      <c r="BT208" s="24"/>
      <c r="BU208" s="24"/>
      <c r="BV208" s="132" t="e">
        <f>IF(#REF!="COMPLETO","OK","PENDIENTES")</f>
        <v>#REF!</v>
      </c>
      <c r="BW208" s="132"/>
      <c r="BX208" s="132"/>
      <c r="BY208" s="132"/>
      <c r="BZ208" s="132"/>
      <c r="CA208" s="132"/>
      <c r="CB208" s="132"/>
      <c r="CC208" s="22"/>
      <c r="CG208" s="24" t="s">
        <v>105</v>
      </c>
      <c r="CH208" s="24"/>
      <c r="CI208" s="24"/>
      <c r="CJ208" s="24"/>
    </row>
    <row r="209" spans="1:88" ht="15" customHeight="1">
      <c r="A209" s="18">
        <v>2017</v>
      </c>
      <c r="B209" s="18" t="str">
        <f>+INDEX(BDD!F:F,MATCH(P209,BDD!D:D,0))&amp;"-"&amp;INDEX(BDD!E:E,MATCH(P209,BDD!D:D,0))</f>
        <v>G-S</v>
      </c>
      <c r="C209" s="360" t="s">
        <v>484</v>
      </c>
      <c r="D209" s="150" t="s">
        <v>77</v>
      </c>
      <c r="E209" s="132"/>
      <c r="F209" s="24"/>
      <c r="G209" s="346"/>
      <c r="H209" s="25" t="s">
        <v>1162</v>
      </c>
      <c r="I209" s="329"/>
      <c r="J209" s="346"/>
      <c r="K209" s="24"/>
      <c r="L209" s="24"/>
      <c r="M209" s="24"/>
      <c r="N209" s="340"/>
      <c r="O209" s="334">
        <v>207485</v>
      </c>
      <c r="P209" s="25" t="s">
        <v>353</v>
      </c>
      <c r="Q209" s="127" t="s">
        <v>306</v>
      </c>
      <c r="R209" s="128" t="s">
        <v>1161</v>
      </c>
      <c r="S209" s="24">
        <v>43090</v>
      </c>
      <c r="T209" s="36">
        <v>90</v>
      </c>
      <c r="U209" s="125" t="s">
        <v>118</v>
      </c>
      <c r="V209" s="155">
        <v>20788</v>
      </c>
      <c r="W209" s="129"/>
      <c r="X209" s="88">
        <v>43227</v>
      </c>
      <c r="Y209" s="130" t="s">
        <v>20</v>
      </c>
      <c r="Z209" s="133" t="s">
        <v>60</v>
      </c>
      <c r="AA209" s="133"/>
      <c r="AB209" s="187">
        <v>1000</v>
      </c>
      <c r="AC209" s="134">
        <v>273.5</v>
      </c>
      <c r="AD209" s="134"/>
      <c r="AE209" s="403">
        <f t="shared" si="10"/>
        <v>273500</v>
      </c>
      <c r="AF209" s="132" t="str">
        <f>IF(W209=BDD!$P$1,IMPORTS!AB209/25,IF(W209=BDD!$P$2,IMPORTS!AB209/25,IF(IMPORTS!W209=BDD!$P$4,IMPORTS!AB209/25.5,"--")))</f>
        <v>--</v>
      </c>
      <c r="AG209" s="130" t="s">
        <v>46</v>
      </c>
      <c r="AH209" s="130"/>
      <c r="AI209" s="130" t="s">
        <v>100</v>
      </c>
      <c r="AJ209" s="130"/>
      <c r="AK209" s="130"/>
      <c r="AL209" s="135" t="s">
        <v>1043</v>
      </c>
      <c r="AM209" s="314"/>
      <c r="AN209" s="26"/>
      <c r="AO209" s="26"/>
      <c r="AP209" s="26"/>
      <c r="AQ209" s="26">
        <v>43171</v>
      </c>
      <c r="AR209" s="24"/>
      <c r="AS209" s="24"/>
      <c r="AT209" s="26">
        <v>43172</v>
      </c>
      <c r="AU209" s="418">
        <f t="shared" si="11"/>
        <v>3</v>
      </c>
      <c r="AV209" s="418">
        <f t="shared" si="12"/>
        <v>2018</v>
      </c>
      <c r="AW209" s="26"/>
      <c r="AX209" s="28"/>
      <c r="AY209" s="28" t="s">
        <v>296</v>
      </c>
      <c r="AZ209" s="132" t="s">
        <v>25</v>
      </c>
      <c r="BA209" s="132"/>
      <c r="BB209" s="26"/>
      <c r="BC209" s="135">
        <v>12</v>
      </c>
      <c r="BD209" s="24">
        <v>43135</v>
      </c>
      <c r="BE209" s="135" t="s">
        <v>1153</v>
      </c>
      <c r="BF209" s="135" t="s">
        <v>1153</v>
      </c>
      <c r="BG209" s="135" t="s">
        <v>52</v>
      </c>
      <c r="BH209" s="135"/>
      <c r="BI209" s="314"/>
      <c r="BJ209" s="314"/>
      <c r="BK209" s="24"/>
      <c r="BL209" s="24"/>
      <c r="BM209" s="24"/>
      <c r="BN209" s="24"/>
      <c r="BO209" s="24"/>
      <c r="BP209" s="24"/>
      <c r="BQ209" s="24"/>
      <c r="BR209" s="43"/>
      <c r="BS209" s="24"/>
      <c r="BT209" s="24"/>
      <c r="BU209" s="24"/>
      <c r="BV209" s="132" t="e">
        <f>IF(#REF!="COMPLETO","OK","PENDIENTES")</f>
        <v>#REF!</v>
      </c>
      <c r="BW209" s="132"/>
      <c r="BX209" s="132"/>
      <c r="BY209" s="132"/>
      <c r="BZ209" s="132"/>
      <c r="CA209" s="132"/>
      <c r="CB209" s="132"/>
      <c r="CC209" s="22"/>
      <c r="CG209" s="24" t="s">
        <v>105</v>
      </c>
      <c r="CH209" s="24"/>
      <c r="CI209" s="26"/>
      <c r="CJ209" s="26"/>
    </row>
    <row r="210" spans="1:88" ht="15" customHeight="1">
      <c r="A210" s="18">
        <v>2017</v>
      </c>
      <c r="B210" s="18" t="str">
        <f>+INDEX(BDD!F:F,MATCH(P210,BDD!D:D,0))&amp;"-"&amp;INDEX(BDD!E:E,MATCH(P210,BDD!D:D,0))</f>
        <v>G-S</v>
      </c>
      <c r="C210" s="360" t="s">
        <v>484</v>
      </c>
      <c r="D210" s="150" t="s">
        <v>77</v>
      </c>
      <c r="E210" s="132"/>
      <c r="F210" s="24"/>
      <c r="G210" s="346"/>
      <c r="H210" s="25" t="s">
        <v>1163</v>
      </c>
      <c r="I210" s="329"/>
      <c r="J210" s="346"/>
      <c r="K210" s="24"/>
      <c r="L210" s="24"/>
      <c r="M210" s="24"/>
      <c r="N210" s="340"/>
      <c r="O210" s="334">
        <v>207485</v>
      </c>
      <c r="P210" s="25" t="s">
        <v>353</v>
      </c>
      <c r="Q210" s="127" t="s">
        <v>306</v>
      </c>
      <c r="R210" s="128" t="s">
        <v>1161</v>
      </c>
      <c r="S210" s="24">
        <v>43090</v>
      </c>
      <c r="T210" s="36">
        <v>90</v>
      </c>
      <c r="U210" s="125" t="s">
        <v>118</v>
      </c>
      <c r="V210" s="155">
        <v>20789</v>
      </c>
      <c r="W210" s="129"/>
      <c r="X210" s="88">
        <v>43227</v>
      </c>
      <c r="Y210" s="130" t="s">
        <v>20</v>
      </c>
      <c r="Z210" s="133" t="s">
        <v>60</v>
      </c>
      <c r="AA210" s="133"/>
      <c r="AB210" s="187">
        <v>1200</v>
      </c>
      <c r="AC210" s="134">
        <v>273.5</v>
      </c>
      <c r="AD210" s="134"/>
      <c r="AE210" s="403">
        <f t="shared" si="10"/>
        <v>328200</v>
      </c>
      <c r="AF210" s="132" t="str">
        <f>IF(W210=BDD!$P$1,IMPORTS!AB210/25,IF(W210=BDD!$P$2,IMPORTS!AB210/25,IF(IMPORTS!W210=BDD!$P$4,IMPORTS!AB210/25.5,"--")))</f>
        <v>--</v>
      </c>
      <c r="AG210" s="130" t="s">
        <v>46</v>
      </c>
      <c r="AH210" s="130"/>
      <c r="AI210" s="130" t="s">
        <v>100</v>
      </c>
      <c r="AJ210" s="130"/>
      <c r="AK210" s="130"/>
      <c r="AL210" s="135" t="s">
        <v>1043</v>
      </c>
      <c r="AM210" s="314"/>
      <c r="AN210" s="26"/>
      <c r="AO210" s="26"/>
      <c r="AP210" s="26"/>
      <c r="AQ210" s="26">
        <v>43174</v>
      </c>
      <c r="AR210" s="24"/>
      <c r="AS210" s="24"/>
      <c r="AT210" s="24">
        <v>43175</v>
      </c>
      <c r="AU210" s="418">
        <f t="shared" si="11"/>
        <v>3</v>
      </c>
      <c r="AV210" s="418">
        <f t="shared" si="12"/>
        <v>2018</v>
      </c>
      <c r="AW210" s="24"/>
      <c r="AX210" s="28"/>
      <c r="AY210" s="28" t="s">
        <v>296</v>
      </c>
      <c r="AZ210" s="132" t="s">
        <v>37</v>
      </c>
      <c r="BA210" s="132"/>
      <c r="BB210" s="24"/>
      <c r="BC210" s="135">
        <v>13</v>
      </c>
      <c r="BD210" s="24">
        <v>43135</v>
      </c>
      <c r="BE210" s="135" t="s">
        <v>1153</v>
      </c>
      <c r="BF210" s="135" t="s">
        <v>1153</v>
      </c>
      <c r="BG210" s="135" t="s">
        <v>52</v>
      </c>
      <c r="BH210" s="135"/>
      <c r="BI210" s="314"/>
      <c r="BJ210" s="314"/>
      <c r="BK210" s="24"/>
      <c r="BL210" s="24"/>
      <c r="BM210" s="24"/>
      <c r="BN210" s="24"/>
      <c r="BO210" s="24"/>
      <c r="BP210" s="24"/>
      <c r="BQ210" s="24"/>
      <c r="BR210" s="43"/>
      <c r="BS210" s="24"/>
      <c r="BT210" s="24"/>
      <c r="BU210" s="24"/>
      <c r="BV210" s="132" t="e">
        <f>IF(#REF!="COMPLETO","OK","PENDIENTES")</f>
        <v>#REF!</v>
      </c>
      <c r="BW210" s="132"/>
      <c r="BX210" s="132"/>
      <c r="BY210" s="132"/>
      <c r="BZ210" s="132"/>
      <c r="CA210" s="132"/>
      <c r="CB210" s="132"/>
      <c r="CC210" s="22"/>
      <c r="CG210" s="24" t="s">
        <v>105</v>
      </c>
      <c r="CH210" s="24"/>
      <c r="CI210" s="24"/>
      <c r="CJ210" s="24"/>
    </row>
    <row r="211" spans="1:88" ht="15" customHeight="1">
      <c r="A211" s="18">
        <v>2017</v>
      </c>
      <c r="B211" s="18" t="str">
        <f>+INDEX(BDD!F:F,MATCH(P211,BDD!D:D,0))&amp;"-"&amp;INDEX(BDD!E:E,MATCH(P211,BDD!D:D,0))</f>
        <v>G-S</v>
      </c>
      <c r="C211" s="360" t="s">
        <v>484</v>
      </c>
      <c r="D211" s="152" t="s">
        <v>20</v>
      </c>
      <c r="E211" s="132"/>
      <c r="F211" s="24"/>
      <c r="G211" s="346"/>
      <c r="H211" s="25" t="s">
        <v>1164</v>
      </c>
      <c r="I211" s="329"/>
      <c r="J211" s="346"/>
      <c r="K211" s="24"/>
      <c r="L211" s="24"/>
      <c r="M211" s="24"/>
      <c r="N211" s="340"/>
      <c r="O211" s="334"/>
      <c r="P211" s="25" t="s">
        <v>353</v>
      </c>
      <c r="Q211" s="127" t="s">
        <v>306</v>
      </c>
      <c r="R211" s="24"/>
      <c r="S211" s="24"/>
      <c r="T211" s="36"/>
      <c r="U211" s="125"/>
      <c r="V211" s="155"/>
      <c r="W211" s="129"/>
      <c r="X211" s="88"/>
      <c r="Y211" s="130"/>
      <c r="Z211" s="133"/>
      <c r="AA211" s="133"/>
      <c r="AB211" s="148"/>
      <c r="AC211" s="134"/>
      <c r="AD211" s="134"/>
      <c r="AE211" s="403">
        <f t="shared" si="10"/>
        <v>0</v>
      </c>
      <c r="AF211" s="132"/>
      <c r="AG211" s="130"/>
      <c r="AH211" s="130"/>
      <c r="AI211" s="130"/>
      <c r="AJ211" s="130"/>
      <c r="AK211" s="130"/>
      <c r="AL211" s="135"/>
      <c r="AM211" s="314"/>
      <c r="AN211" s="26"/>
      <c r="AO211" s="26"/>
      <c r="AP211" s="26"/>
      <c r="AQ211" s="26"/>
      <c r="AR211" s="24"/>
      <c r="AS211" s="24"/>
      <c r="AT211" s="24"/>
      <c r="AU211" s="418">
        <f t="shared" si="11"/>
        <v>1</v>
      </c>
      <c r="AV211" s="418">
        <f t="shared" si="12"/>
        <v>1900</v>
      </c>
      <c r="AW211" s="24"/>
      <c r="AX211" s="28"/>
      <c r="AY211" s="28"/>
      <c r="AZ211" s="132"/>
      <c r="BA211" s="132"/>
      <c r="BB211" s="24"/>
      <c r="BC211" s="135"/>
      <c r="BD211" s="24"/>
      <c r="BE211" s="135"/>
      <c r="BF211" s="135"/>
      <c r="BG211" s="135"/>
      <c r="BH211" s="135"/>
      <c r="BI211" s="314"/>
      <c r="BJ211" s="314"/>
      <c r="BK211" s="24"/>
      <c r="BL211" s="24"/>
      <c r="BM211" s="24"/>
      <c r="BN211" s="24"/>
      <c r="BO211" s="24"/>
      <c r="BP211" s="24"/>
      <c r="BQ211" s="24"/>
      <c r="BR211" s="43"/>
      <c r="BS211" s="24"/>
      <c r="BT211" s="24"/>
      <c r="BU211" s="24"/>
      <c r="BV211" s="132"/>
      <c r="BW211" s="132"/>
      <c r="BX211" s="132"/>
      <c r="BY211" s="132"/>
      <c r="BZ211" s="132"/>
      <c r="CA211" s="132"/>
      <c r="CB211" s="132"/>
      <c r="CC211" s="22"/>
      <c r="CD211" s="22"/>
      <c r="CE211" s="22"/>
      <c r="CF211" s="22"/>
      <c r="CG211" s="24"/>
      <c r="CH211" s="24"/>
      <c r="CI211" s="24"/>
      <c r="CJ211" s="24"/>
    </row>
    <row r="212" spans="1:88" ht="15" customHeight="1">
      <c r="A212" s="18">
        <v>2017</v>
      </c>
      <c r="B212" s="18" t="str">
        <f>+INDEX(BDD!F:F,MATCH(P212,BDD!D:D,0))&amp;"-"&amp;INDEX(BDD!E:E,MATCH(P212,BDD!D:D,0))</f>
        <v>E-S</v>
      </c>
      <c r="C212" s="360" t="s">
        <v>484</v>
      </c>
      <c r="D212" s="150" t="s">
        <v>77</v>
      </c>
      <c r="E212" s="132"/>
      <c r="F212" s="24"/>
      <c r="G212" s="346"/>
      <c r="H212" s="25" t="s">
        <v>1165</v>
      </c>
      <c r="I212" s="329"/>
      <c r="J212" s="346"/>
      <c r="K212" s="24"/>
      <c r="L212" s="24"/>
      <c r="M212" s="24"/>
      <c r="N212" s="340"/>
      <c r="O212" s="334">
        <v>204378</v>
      </c>
      <c r="P212" s="25" t="s">
        <v>283</v>
      </c>
      <c r="Q212" s="127" t="s">
        <v>146</v>
      </c>
      <c r="R212" s="128" t="s">
        <v>1166</v>
      </c>
      <c r="S212" s="24"/>
      <c r="T212" s="36">
        <v>90</v>
      </c>
      <c r="U212" s="125" t="s">
        <v>118</v>
      </c>
      <c r="V212" s="88" t="s">
        <v>1167</v>
      </c>
      <c r="W212" s="129"/>
      <c r="X212" s="88">
        <v>43231</v>
      </c>
      <c r="Y212" s="130" t="s">
        <v>20</v>
      </c>
      <c r="Z212" s="133" t="s">
        <v>60</v>
      </c>
      <c r="AA212" s="133"/>
      <c r="AB212" s="148">
        <v>17.236509999999999</v>
      </c>
      <c r="AC212" s="134">
        <v>2247.9839999999999</v>
      </c>
      <c r="AD212" s="134"/>
      <c r="AE212" s="403">
        <f t="shared" si="10"/>
        <v>38747.398695839998</v>
      </c>
      <c r="AF212" s="132" t="str">
        <f>IF(W212=BDD!$P$1,IMPORTS!AB212/25,IF(W212=BDD!$P$2,IMPORTS!AB212/25,IF(IMPORTS!W212=BDD!$P$4,IMPORTS!AB212/25.5,"--")))</f>
        <v>--</v>
      </c>
      <c r="AG212" s="130" t="s">
        <v>5</v>
      </c>
      <c r="AH212" s="130"/>
      <c r="AI212" s="130" t="s">
        <v>59</v>
      </c>
      <c r="AJ212" s="130"/>
      <c r="AK212" s="130"/>
      <c r="AL212" s="135" t="s">
        <v>921</v>
      </c>
      <c r="AM212" s="314"/>
      <c r="AN212" s="26"/>
      <c r="AO212" s="26"/>
      <c r="AP212" s="26"/>
      <c r="AQ212" s="26">
        <v>43174</v>
      </c>
      <c r="AR212" s="24"/>
      <c r="AS212" s="24"/>
      <c r="AT212" s="24">
        <v>43176</v>
      </c>
      <c r="AU212" s="418">
        <f t="shared" si="11"/>
        <v>3</v>
      </c>
      <c r="AV212" s="418">
        <f t="shared" si="12"/>
        <v>2018</v>
      </c>
      <c r="AW212" s="24"/>
      <c r="AX212" s="28"/>
      <c r="AY212" s="28" t="s">
        <v>127</v>
      </c>
      <c r="AZ212" s="132" t="s">
        <v>37</v>
      </c>
      <c r="BA212" s="132"/>
      <c r="BB212" s="24"/>
      <c r="BC212" s="135" t="s">
        <v>1168</v>
      </c>
      <c r="BD212" s="26">
        <v>43139</v>
      </c>
      <c r="BE212" s="135" t="s">
        <v>1169</v>
      </c>
      <c r="BF212" s="135" t="s">
        <v>1170</v>
      </c>
      <c r="BG212" s="135" t="s">
        <v>140</v>
      </c>
      <c r="BH212" s="135"/>
      <c r="BI212" s="314"/>
      <c r="BJ212" s="314"/>
      <c r="BK212" s="24"/>
      <c r="BL212" s="24"/>
      <c r="BM212" s="24"/>
      <c r="BN212" s="24"/>
      <c r="BO212" s="24"/>
      <c r="BP212" s="24"/>
      <c r="BQ212" s="24"/>
      <c r="BR212" s="43"/>
      <c r="BS212" s="24"/>
      <c r="BT212" s="24"/>
      <c r="BU212" s="24"/>
      <c r="BV212" s="132" t="e">
        <f>IF(#REF!="COMPLETO","OK","PENDIENTES")</f>
        <v>#REF!</v>
      </c>
      <c r="BW212" s="132"/>
      <c r="BX212" s="132"/>
      <c r="BY212" s="132"/>
      <c r="BZ212" s="132"/>
      <c r="CA212" s="132"/>
      <c r="CB212" s="132"/>
      <c r="CC212" s="22"/>
      <c r="CG212" s="24" t="s">
        <v>105</v>
      </c>
      <c r="CH212" s="24"/>
      <c r="CI212" s="24"/>
      <c r="CJ212" s="24"/>
    </row>
    <row r="213" spans="1:88" ht="15" customHeight="1">
      <c r="A213" s="18">
        <v>2017</v>
      </c>
      <c r="B213" s="18" t="str">
        <f>+INDEX(BDD!F:F,MATCH(P213,BDD!D:D,0))&amp;"-"&amp;INDEX(BDD!E:E,MATCH(P213,BDD!D:D,0))</f>
        <v>S-C</v>
      </c>
      <c r="C213" s="360" t="s">
        <v>484</v>
      </c>
      <c r="D213" s="150" t="s">
        <v>77</v>
      </c>
      <c r="E213" s="132"/>
      <c r="F213" s="24"/>
      <c r="G213" s="346"/>
      <c r="H213" s="25" t="s">
        <v>1171</v>
      </c>
      <c r="I213" s="329"/>
      <c r="J213" s="346"/>
      <c r="K213" s="24"/>
      <c r="L213" s="24"/>
      <c r="M213" s="24"/>
      <c r="N213" s="340"/>
      <c r="O213" s="334">
        <v>207580</v>
      </c>
      <c r="P213" s="183" t="s">
        <v>241</v>
      </c>
      <c r="Q213" s="127" t="s">
        <v>213</v>
      </c>
      <c r="R213" s="128" t="s">
        <v>1172</v>
      </c>
      <c r="S213" s="24">
        <v>43083</v>
      </c>
      <c r="T213" s="36" t="s">
        <v>19</v>
      </c>
      <c r="U213" s="125"/>
      <c r="V213" s="155">
        <v>20180169</v>
      </c>
      <c r="W213" s="129"/>
      <c r="X213" s="88">
        <v>43153</v>
      </c>
      <c r="Y213" s="130" t="s">
        <v>20</v>
      </c>
      <c r="Z213" s="133" t="s">
        <v>72</v>
      </c>
      <c r="AA213" s="133"/>
      <c r="AB213" s="148">
        <v>100</v>
      </c>
      <c r="AC213" s="134">
        <v>836</v>
      </c>
      <c r="AD213" s="134"/>
      <c r="AE213" s="403">
        <f t="shared" si="10"/>
        <v>83600</v>
      </c>
      <c r="AF213" s="132">
        <v>4</v>
      </c>
      <c r="AG213" s="130" t="s">
        <v>5</v>
      </c>
      <c r="AH213" s="130"/>
      <c r="AI213" s="130" t="s">
        <v>34</v>
      </c>
      <c r="AJ213" s="130"/>
      <c r="AK213" s="130"/>
      <c r="AL213" s="135" t="s">
        <v>921</v>
      </c>
      <c r="AM213" s="314"/>
      <c r="AN213" s="26"/>
      <c r="AO213" s="26"/>
      <c r="AP213" s="26"/>
      <c r="AQ213" s="26">
        <v>43177</v>
      </c>
      <c r="AR213" s="24"/>
      <c r="AS213" s="24"/>
      <c r="AT213" s="24">
        <v>43179</v>
      </c>
      <c r="AU213" s="418">
        <f t="shared" si="11"/>
        <v>3</v>
      </c>
      <c r="AV213" s="418">
        <f t="shared" si="12"/>
        <v>2018</v>
      </c>
      <c r="AW213" s="24"/>
      <c r="AX213" s="28"/>
      <c r="AY213" s="28" t="s">
        <v>49</v>
      </c>
      <c r="AZ213" s="132" t="s">
        <v>37</v>
      </c>
      <c r="BA213" s="132"/>
      <c r="BB213" s="24"/>
      <c r="BC213" s="135" t="s">
        <v>1173</v>
      </c>
      <c r="BD213" s="24">
        <v>43136</v>
      </c>
      <c r="BE213" s="135" t="s">
        <v>1174</v>
      </c>
      <c r="BF213" s="135" t="s">
        <v>1175</v>
      </c>
      <c r="BG213" s="135" t="s">
        <v>65</v>
      </c>
      <c r="BH213" s="135"/>
      <c r="BI213" s="314"/>
      <c r="BJ213" s="314"/>
      <c r="BK213" s="24"/>
      <c r="BL213" s="24"/>
      <c r="BM213" s="24"/>
      <c r="BN213" s="24"/>
      <c r="BO213" s="24"/>
      <c r="BP213" s="24"/>
      <c r="BQ213" s="24"/>
      <c r="BR213" s="43"/>
      <c r="BS213" s="24"/>
      <c r="BT213" s="24"/>
      <c r="BU213" s="24"/>
      <c r="BV213" s="132" t="e">
        <f>IF(#REF!="COMPLETO","OK","PENDIENTES")</f>
        <v>#REF!</v>
      </c>
      <c r="BW213" s="132"/>
      <c r="BX213" s="132"/>
      <c r="BY213" s="132"/>
      <c r="BZ213" s="132"/>
      <c r="CA213" s="132"/>
      <c r="CB213" s="132"/>
      <c r="CC213" s="22"/>
      <c r="CG213" s="24" t="s">
        <v>105</v>
      </c>
      <c r="CH213" s="24"/>
      <c r="CI213" s="24"/>
      <c r="CJ213" s="24"/>
    </row>
    <row r="214" spans="1:88" ht="15" customHeight="1">
      <c r="A214" s="18">
        <v>2017</v>
      </c>
      <c r="B214" s="18" t="str">
        <f>+INDEX(BDD!F:F,MATCH(P214,BDD!D:D,0))&amp;"-"&amp;INDEX(BDD!E:E,MATCH(P214,BDD!D:D,0))</f>
        <v>S-C</v>
      </c>
      <c r="C214" s="360" t="s">
        <v>484</v>
      </c>
      <c r="D214" s="150" t="s">
        <v>77</v>
      </c>
      <c r="E214" s="132"/>
      <c r="F214" s="24"/>
      <c r="G214" s="346"/>
      <c r="H214" s="25" t="s">
        <v>1176</v>
      </c>
      <c r="I214" s="329"/>
      <c r="J214" s="346"/>
      <c r="K214" s="24"/>
      <c r="L214" s="24"/>
      <c r="M214" s="24"/>
      <c r="N214" s="340"/>
      <c r="O214" s="334">
        <v>207580</v>
      </c>
      <c r="P214" s="25" t="s">
        <v>241</v>
      </c>
      <c r="Q214" s="127" t="s">
        <v>213</v>
      </c>
      <c r="R214" s="128" t="s">
        <v>1172</v>
      </c>
      <c r="S214" s="24">
        <v>43083</v>
      </c>
      <c r="T214" s="36" t="s">
        <v>19</v>
      </c>
      <c r="U214" s="125"/>
      <c r="V214" s="155">
        <v>20180071</v>
      </c>
      <c r="W214" s="129"/>
      <c r="X214" s="88">
        <v>43132</v>
      </c>
      <c r="Y214" s="130" t="s">
        <v>20</v>
      </c>
      <c r="Z214" s="133" t="s">
        <v>72</v>
      </c>
      <c r="AA214" s="133"/>
      <c r="AB214" s="148">
        <v>100</v>
      </c>
      <c r="AC214" s="134">
        <v>841</v>
      </c>
      <c r="AD214" s="134"/>
      <c r="AE214" s="403">
        <f t="shared" si="10"/>
        <v>84100</v>
      </c>
      <c r="AF214" s="132">
        <v>4</v>
      </c>
      <c r="AG214" s="130" t="s">
        <v>5</v>
      </c>
      <c r="AH214" s="130"/>
      <c r="AI214" s="130" t="s">
        <v>34</v>
      </c>
      <c r="AJ214" s="130"/>
      <c r="AK214" s="130"/>
      <c r="AL214" s="135" t="s">
        <v>921</v>
      </c>
      <c r="AM214" s="314"/>
      <c r="AN214" s="26"/>
      <c r="AO214" s="26"/>
      <c r="AP214" s="26"/>
      <c r="AQ214" s="26">
        <v>43180</v>
      </c>
      <c r="AR214" s="24"/>
      <c r="AS214" s="24"/>
      <c r="AT214" s="24">
        <v>43181</v>
      </c>
      <c r="AU214" s="418">
        <f t="shared" si="11"/>
        <v>3</v>
      </c>
      <c r="AV214" s="418">
        <f t="shared" si="12"/>
        <v>2018</v>
      </c>
      <c r="AW214" s="24"/>
      <c r="AX214" s="28"/>
      <c r="AY214" s="28" t="s">
        <v>49</v>
      </c>
      <c r="AZ214" s="132" t="s">
        <v>9</v>
      </c>
      <c r="BA214" s="132"/>
      <c r="BB214" s="24"/>
      <c r="BC214" s="135" t="s">
        <v>1177</v>
      </c>
      <c r="BD214" s="26">
        <v>43121</v>
      </c>
      <c r="BE214" s="135" t="s">
        <v>965</v>
      </c>
      <c r="BF214" s="135" t="s">
        <v>594</v>
      </c>
      <c r="BG214" s="135" t="s">
        <v>65</v>
      </c>
      <c r="BH214" s="135"/>
      <c r="BI214" s="314"/>
      <c r="BJ214" s="314"/>
      <c r="BK214" s="24"/>
      <c r="BL214" s="24"/>
      <c r="BM214" s="24"/>
      <c r="BN214" s="24"/>
      <c r="BO214" s="24"/>
      <c r="BP214" s="24"/>
      <c r="BQ214" s="24"/>
      <c r="BR214" s="43"/>
      <c r="BS214" s="24"/>
      <c r="BT214" s="24"/>
      <c r="BU214" s="24"/>
      <c r="BV214" s="132" t="e">
        <f>IF(#REF!="COMPLETO","OK","PENDIENTES")</f>
        <v>#REF!</v>
      </c>
      <c r="BW214" s="132"/>
      <c r="BX214" s="132"/>
      <c r="BY214" s="132"/>
      <c r="BZ214" s="132"/>
      <c r="CA214" s="132"/>
      <c r="CB214" s="132"/>
      <c r="CC214" s="22"/>
      <c r="CG214" s="24" t="s">
        <v>105</v>
      </c>
      <c r="CH214" s="24"/>
      <c r="CI214" s="24"/>
      <c r="CJ214" s="24"/>
    </row>
    <row r="215" spans="1:88" ht="15" customHeight="1">
      <c r="A215" s="18">
        <v>2017</v>
      </c>
      <c r="B215" s="18" t="str">
        <f>+INDEX(BDD!F:F,MATCH(P215,BDD!D:D,0))&amp;"-"&amp;INDEX(BDD!E:E,MATCH(P215,BDD!D:D,0))</f>
        <v>S-C</v>
      </c>
      <c r="C215" s="360" t="s">
        <v>484</v>
      </c>
      <c r="D215" s="150" t="s">
        <v>77</v>
      </c>
      <c r="E215" s="132"/>
      <c r="F215" s="24"/>
      <c r="G215" s="346"/>
      <c r="H215" s="25" t="s">
        <v>1178</v>
      </c>
      <c r="I215" s="329"/>
      <c r="J215" s="346"/>
      <c r="K215" s="24"/>
      <c r="L215" s="24"/>
      <c r="M215" s="24"/>
      <c r="N215" s="340"/>
      <c r="O215" s="334">
        <v>207580</v>
      </c>
      <c r="P215" s="183" t="s">
        <v>241</v>
      </c>
      <c r="Q215" s="127" t="s">
        <v>213</v>
      </c>
      <c r="R215" s="128" t="s">
        <v>1179</v>
      </c>
      <c r="S215" s="24">
        <v>43083</v>
      </c>
      <c r="T215" s="36" t="s">
        <v>19</v>
      </c>
      <c r="U215" s="125"/>
      <c r="V215" s="155">
        <v>20180170</v>
      </c>
      <c r="W215" s="129"/>
      <c r="X215" s="88">
        <v>43153</v>
      </c>
      <c r="Y215" s="130" t="s">
        <v>20</v>
      </c>
      <c r="Z215" s="133" t="s">
        <v>72</v>
      </c>
      <c r="AA215" s="133"/>
      <c r="AB215" s="148">
        <v>100</v>
      </c>
      <c r="AC215" s="134">
        <v>849</v>
      </c>
      <c r="AD215" s="134"/>
      <c r="AE215" s="403">
        <f t="shared" si="10"/>
        <v>84900</v>
      </c>
      <c r="AF215" s="132">
        <v>4</v>
      </c>
      <c r="AG215" s="130" t="s">
        <v>5</v>
      </c>
      <c r="AH215" s="130"/>
      <c r="AI215" s="130" t="s">
        <v>34</v>
      </c>
      <c r="AJ215" s="130"/>
      <c r="AK215" s="130"/>
      <c r="AL215" s="135" t="s">
        <v>1043</v>
      </c>
      <c r="AM215" s="314"/>
      <c r="AN215" s="26"/>
      <c r="AO215" s="26"/>
      <c r="AP215" s="26"/>
      <c r="AQ215" s="26">
        <v>43191</v>
      </c>
      <c r="AR215" s="24"/>
      <c r="AS215" s="24"/>
      <c r="AT215" s="24">
        <v>43194</v>
      </c>
      <c r="AU215" s="418">
        <f t="shared" si="11"/>
        <v>4</v>
      </c>
      <c r="AV215" s="418">
        <f t="shared" si="12"/>
        <v>2018</v>
      </c>
      <c r="AW215" s="24"/>
      <c r="AX215" s="28"/>
      <c r="AY215" s="28" t="s">
        <v>49</v>
      </c>
      <c r="AZ215" s="132" t="s">
        <v>37</v>
      </c>
      <c r="BA215" s="132"/>
      <c r="BB215" s="24"/>
      <c r="BC215" s="135" t="s">
        <v>1180</v>
      </c>
      <c r="BD215" s="24">
        <v>43136</v>
      </c>
      <c r="BE215" s="135" t="s">
        <v>965</v>
      </c>
      <c r="BF215" s="135" t="s">
        <v>1181</v>
      </c>
      <c r="BG215" s="135" t="s">
        <v>65</v>
      </c>
      <c r="BH215" s="135"/>
      <c r="BI215" s="314"/>
      <c r="BJ215" s="314"/>
      <c r="BK215" s="24"/>
      <c r="BL215" s="24"/>
      <c r="BM215" s="24"/>
      <c r="BN215" s="24"/>
      <c r="BO215" s="24"/>
      <c r="BP215" s="24"/>
      <c r="BQ215" s="24"/>
      <c r="BR215" s="43"/>
      <c r="BS215" s="24"/>
      <c r="BT215" s="24"/>
      <c r="BU215" s="24"/>
      <c r="BV215" s="132" t="e">
        <f>IF(#REF!="COMPLETO","OK","PENDIENTES")</f>
        <v>#REF!</v>
      </c>
      <c r="BW215" s="132"/>
      <c r="BX215" s="132"/>
      <c r="BY215" s="132"/>
      <c r="BZ215" s="132"/>
      <c r="CA215" s="132"/>
      <c r="CB215" s="132"/>
      <c r="CC215" s="22"/>
      <c r="CG215" s="24" t="s">
        <v>105</v>
      </c>
      <c r="CH215" s="24"/>
      <c r="CI215" s="24"/>
      <c r="CJ215" s="24"/>
    </row>
    <row r="216" spans="1:88" ht="15" customHeight="1">
      <c r="A216" s="18">
        <v>2017</v>
      </c>
      <c r="B216" s="18" t="str">
        <f>+INDEX(BDD!F:F,MATCH(P216,BDD!D:D,0))&amp;"-"&amp;INDEX(BDD!E:E,MATCH(P216,BDD!D:D,0))</f>
        <v>S-C</v>
      </c>
      <c r="C216" s="360" t="s">
        <v>484</v>
      </c>
      <c r="D216" s="150" t="s">
        <v>77</v>
      </c>
      <c r="E216" s="132"/>
      <c r="F216" s="24"/>
      <c r="G216" s="346"/>
      <c r="H216" s="25" t="s">
        <v>1182</v>
      </c>
      <c r="I216" s="329"/>
      <c r="J216" s="346"/>
      <c r="K216" s="24"/>
      <c r="L216" s="24"/>
      <c r="M216" s="24"/>
      <c r="N216" s="340"/>
      <c r="O216" s="334">
        <v>207580</v>
      </c>
      <c r="P216" s="25" t="s">
        <v>241</v>
      </c>
      <c r="Q216" s="127" t="s">
        <v>213</v>
      </c>
      <c r="R216" s="128" t="s">
        <v>1179</v>
      </c>
      <c r="S216" s="24">
        <v>43083</v>
      </c>
      <c r="T216" s="36" t="s">
        <v>19</v>
      </c>
      <c r="U216" s="125"/>
      <c r="V216" s="155">
        <v>20180171</v>
      </c>
      <c r="W216" s="129"/>
      <c r="X216" s="88">
        <v>43153</v>
      </c>
      <c r="Y216" s="130" t="s">
        <v>20</v>
      </c>
      <c r="Z216" s="133" t="s">
        <v>72</v>
      </c>
      <c r="AA216" s="133"/>
      <c r="AB216" s="148">
        <v>100</v>
      </c>
      <c r="AC216" s="134">
        <v>854</v>
      </c>
      <c r="AD216" s="134"/>
      <c r="AE216" s="403">
        <f t="shared" si="10"/>
        <v>85400</v>
      </c>
      <c r="AF216" s="132">
        <v>4</v>
      </c>
      <c r="AG216" s="130" t="s">
        <v>5</v>
      </c>
      <c r="AH216" s="130"/>
      <c r="AI216" s="130" t="s">
        <v>34</v>
      </c>
      <c r="AJ216" s="130"/>
      <c r="AK216" s="130"/>
      <c r="AL216" s="135" t="s">
        <v>1043</v>
      </c>
      <c r="AM216" s="314"/>
      <c r="AN216" s="26"/>
      <c r="AO216" s="26"/>
      <c r="AP216" s="26"/>
      <c r="AQ216" s="26">
        <v>43201</v>
      </c>
      <c r="AR216" s="24"/>
      <c r="AS216" s="24"/>
      <c r="AT216" s="24">
        <v>43203</v>
      </c>
      <c r="AU216" s="418">
        <f t="shared" si="11"/>
        <v>4</v>
      </c>
      <c r="AV216" s="418">
        <f t="shared" si="12"/>
        <v>2018</v>
      </c>
      <c r="AW216" s="24"/>
      <c r="AX216" s="28"/>
      <c r="AY216" s="28" t="s">
        <v>49</v>
      </c>
      <c r="AZ216" s="132" t="s">
        <v>9</v>
      </c>
      <c r="BA216" s="132"/>
      <c r="BB216" s="24"/>
      <c r="BC216" s="135" t="s">
        <v>1183</v>
      </c>
      <c r="BD216" s="24">
        <v>43142</v>
      </c>
      <c r="BE216" s="135" t="s">
        <v>960</v>
      </c>
      <c r="BF216" s="135" t="s">
        <v>1184</v>
      </c>
      <c r="BG216" s="135" t="s">
        <v>65</v>
      </c>
      <c r="BH216" s="135"/>
      <c r="BI216" s="314"/>
      <c r="BJ216" s="314"/>
      <c r="BK216" s="24"/>
      <c r="BL216" s="24"/>
      <c r="BM216" s="24"/>
      <c r="BN216" s="24"/>
      <c r="BO216" s="24">
        <f>+AQ216+6</f>
        <v>43207</v>
      </c>
      <c r="BP216" s="24"/>
      <c r="BQ216" s="24"/>
      <c r="BR216" s="43"/>
      <c r="BS216" s="24"/>
      <c r="BT216" s="24"/>
      <c r="BU216" s="24"/>
      <c r="BV216" s="132" t="e">
        <f>IF(#REF!="COMPLETO","OK","PENDIENTES")</f>
        <v>#REF!</v>
      </c>
      <c r="BW216" s="132"/>
      <c r="BX216" s="132"/>
      <c r="BY216" s="132"/>
      <c r="BZ216" s="132"/>
      <c r="CA216" s="132"/>
      <c r="CB216" s="132"/>
      <c r="CC216" s="22"/>
      <c r="CG216" s="24" t="s">
        <v>105</v>
      </c>
      <c r="CH216" s="24"/>
      <c r="CI216" s="24"/>
      <c r="CJ216" s="24"/>
    </row>
    <row r="217" spans="1:88" ht="15" customHeight="1">
      <c r="A217" s="18">
        <v>2017</v>
      </c>
      <c r="B217" s="18" t="str">
        <f>+INDEX(BDD!F:F,MATCH(P217,BDD!D:D,0))&amp;"-"&amp;INDEX(BDD!E:E,MATCH(P217,BDD!D:D,0))</f>
        <v>S-C</v>
      </c>
      <c r="C217" s="360" t="s">
        <v>484</v>
      </c>
      <c r="D217" s="150" t="s">
        <v>77</v>
      </c>
      <c r="E217" s="132"/>
      <c r="F217" s="24"/>
      <c r="G217" s="346"/>
      <c r="H217" s="25" t="s">
        <v>1185</v>
      </c>
      <c r="I217" s="350"/>
      <c r="J217" s="346"/>
      <c r="K217" s="24"/>
      <c r="L217" s="24"/>
      <c r="M217" s="24"/>
      <c r="N217" s="342"/>
      <c r="O217" s="334">
        <v>207580</v>
      </c>
      <c r="P217" s="183" t="s">
        <v>241</v>
      </c>
      <c r="Q217" s="127" t="s">
        <v>213</v>
      </c>
      <c r="R217" s="128" t="s">
        <v>1186</v>
      </c>
      <c r="S217" s="24">
        <v>43083</v>
      </c>
      <c r="T217" s="36" t="s">
        <v>19</v>
      </c>
      <c r="U217" s="125"/>
      <c r="V217" s="155">
        <v>20180210</v>
      </c>
      <c r="W217" s="129"/>
      <c r="X217" s="88">
        <v>43165</v>
      </c>
      <c r="Y217" s="130" t="s">
        <v>20</v>
      </c>
      <c r="Z217" s="133" t="s">
        <v>72</v>
      </c>
      <c r="AA217" s="133"/>
      <c r="AB217" s="148">
        <v>100</v>
      </c>
      <c r="AC217" s="134">
        <v>849</v>
      </c>
      <c r="AD217" s="134"/>
      <c r="AE217" s="403">
        <f t="shared" si="10"/>
        <v>84900</v>
      </c>
      <c r="AF217" s="132">
        <v>4</v>
      </c>
      <c r="AG217" s="130" t="s">
        <v>21</v>
      </c>
      <c r="AH217" s="130"/>
      <c r="AI217" s="130" t="s">
        <v>34</v>
      </c>
      <c r="AJ217" s="130"/>
      <c r="AK217" s="130"/>
      <c r="AL217" s="135" t="s">
        <v>1187</v>
      </c>
      <c r="AM217" s="314"/>
      <c r="AN217" s="26"/>
      <c r="AO217" s="26"/>
      <c r="AP217" s="26"/>
      <c r="AQ217" s="26">
        <v>43191</v>
      </c>
      <c r="AR217" s="24"/>
      <c r="AS217" s="24"/>
      <c r="AT217" s="24">
        <v>43194</v>
      </c>
      <c r="AU217" s="418">
        <f t="shared" si="11"/>
        <v>4</v>
      </c>
      <c r="AV217" s="418">
        <f t="shared" si="12"/>
        <v>2018</v>
      </c>
      <c r="AW217" s="24"/>
      <c r="AX217" s="28"/>
      <c r="AY217" s="28" t="s">
        <v>49</v>
      </c>
      <c r="AZ217" s="132" t="s">
        <v>37</v>
      </c>
      <c r="BA217" s="132"/>
      <c r="BB217" s="24"/>
      <c r="BC217" s="135" t="s">
        <v>1188</v>
      </c>
      <c r="BD217" s="24">
        <v>43150</v>
      </c>
      <c r="BE217" s="135" t="s">
        <v>1189</v>
      </c>
      <c r="BF217" s="135" t="s">
        <v>621</v>
      </c>
      <c r="BG217" s="135" t="s">
        <v>65</v>
      </c>
      <c r="BH217" s="135"/>
      <c r="BI217" s="314"/>
      <c r="BJ217" s="314"/>
      <c r="BK217" s="24"/>
      <c r="BL217" s="24"/>
      <c r="BM217" s="24"/>
      <c r="BN217" s="24"/>
      <c r="BO217" s="24"/>
      <c r="BP217" s="24"/>
      <c r="BQ217" s="24"/>
      <c r="BR217" s="43"/>
      <c r="BS217" s="24"/>
      <c r="BT217" s="24"/>
      <c r="BU217" s="24"/>
      <c r="BV217" s="132" t="e">
        <f>IF(#REF!="COMPLETO","OK","PENDIENTES")</f>
        <v>#REF!</v>
      </c>
      <c r="BW217" s="132"/>
      <c r="BX217" s="132"/>
      <c r="BY217" s="132"/>
      <c r="BZ217" s="132"/>
      <c r="CA217" s="132"/>
      <c r="CB217" s="132"/>
      <c r="CC217" s="22"/>
      <c r="CG217" s="24" t="s">
        <v>105</v>
      </c>
      <c r="CH217" s="24"/>
      <c r="CI217" s="24"/>
      <c r="CJ217" s="24"/>
    </row>
    <row r="218" spans="1:88" ht="15" customHeight="1">
      <c r="A218" s="18">
        <v>2017</v>
      </c>
      <c r="B218" s="18" t="str">
        <f>+INDEX(BDD!F:F,MATCH(P218,BDD!D:D,0))&amp;"-"&amp;INDEX(BDD!E:E,MATCH(P218,BDD!D:D,0))</f>
        <v>S-C</v>
      </c>
      <c r="C218" s="360" t="s">
        <v>484</v>
      </c>
      <c r="D218" s="150" t="s">
        <v>77</v>
      </c>
      <c r="E218" s="132"/>
      <c r="F218" s="24"/>
      <c r="G218" s="346"/>
      <c r="H218" s="25" t="s">
        <v>1190</v>
      </c>
      <c r="I218" s="329"/>
      <c r="J218" s="346"/>
      <c r="K218" s="24"/>
      <c r="L218" s="24"/>
      <c r="M218" s="24"/>
      <c r="N218" s="340"/>
      <c r="O218" s="334">
        <v>207580</v>
      </c>
      <c r="P218" s="25" t="s">
        <v>241</v>
      </c>
      <c r="Q218" s="127" t="s">
        <v>213</v>
      </c>
      <c r="R218" s="128" t="s">
        <v>1186</v>
      </c>
      <c r="S218" s="24">
        <v>43083</v>
      </c>
      <c r="T218" s="36" t="s">
        <v>19</v>
      </c>
      <c r="U218" s="125"/>
      <c r="V218" s="155">
        <v>20180209</v>
      </c>
      <c r="W218" s="129"/>
      <c r="X218" s="88">
        <v>43165</v>
      </c>
      <c r="Y218" s="130" t="s">
        <v>20</v>
      </c>
      <c r="Z218" s="133" t="s">
        <v>72</v>
      </c>
      <c r="AA218" s="133"/>
      <c r="AB218" s="148">
        <v>100</v>
      </c>
      <c r="AC218" s="134">
        <v>854</v>
      </c>
      <c r="AD218" s="134"/>
      <c r="AE218" s="403">
        <f t="shared" si="10"/>
        <v>85400</v>
      </c>
      <c r="AF218" s="132">
        <v>4</v>
      </c>
      <c r="AG218" s="130" t="s">
        <v>5</v>
      </c>
      <c r="AH218" s="130"/>
      <c r="AI218" s="130" t="s">
        <v>34</v>
      </c>
      <c r="AJ218" s="130"/>
      <c r="AK218" s="130"/>
      <c r="AL218" s="135" t="s">
        <v>1187</v>
      </c>
      <c r="AM218" s="314"/>
      <c r="AN218" s="26"/>
      <c r="AO218" s="26"/>
      <c r="AP218" s="26"/>
      <c r="AQ218" s="26">
        <v>43194</v>
      </c>
      <c r="AR218" s="24"/>
      <c r="AS218" s="24"/>
      <c r="AT218" s="24">
        <v>43196</v>
      </c>
      <c r="AU218" s="418">
        <f t="shared" si="11"/>
        <v>4</v>
      </c>
      <c r="AV218" s="418">
        <f t="shared" si="12"/>
        <v>2018</v>
      </c>
      <c r="AW218" s="24"/>
      <c r="AX218" s="28"/>
      <c r="AY218" s="28" t="s">
        <v>49</v>
      </c>
      <c r="AZ218" s="132" t="s">
        <v>9</v>
      </c>
      <c r="BA218" s="132"/>
      <c r="BB218" s="24"/>
      <c r="BC218" s="135" t="s">
        <v>1191</v>
      </c>
      <c r="BD218" s="24">
        <v>43150</v>
      </c>
      <c r="BE218" s="135" t="s">
        <v>1192</v>
      </c>
      <c r="BF218" s="135" t="s">
        <v>790</v>
      </c>
      <c r="BG218" s="135" t="s">
        <v>65</v>
      </c>
      <c r="BH218" s="135"/>
      <c r="BI218" s="314"/>
      <c r="BJ218" s="314"/>
      <c r="BK218" s="24"/>
      <c r="BL218" s="24"/>
      <c r="BM218" s="24"/>
      <c r="BN218" s="24"/>
      <c r="BO218" s="24">
        <v>43200</v>
      </c>
      <c r="BP218" s="24"/>
      <c r="BQ218" s="24"/>
      <c r="BR218" s="43"/>
      <c r="BS218" s="24"/>
      <c r="BT218" s="24"/>
      <c r="BU218" s="24"/>
      <c r="BV218" s="132" t="e">
        <f>IF(#REF!="COMPLETO","OK","PENDIENTES")</f>
        <v>#REF!</v>
      </c>
      <c r="BW218" s="132"/>
      <c r="BX218" s="132"/>
      <c r="BY218" s="132"/>
      <c r="BZ218" s="132"/>
      <c r="CA218" s="132"/>
      <c r="CB218" s="132"/>
      <c r="CC218" s="22"/>
      <c r="CG218" s="24" t="s">
        <v>105</v>
      </c>
      <c r="CH218" s="24"/>
      <c r="CI218" s="24"/>
      <c r="CJ218" s="24"/>
    </row>
    <row r="219" spans="1:88" ht="15" customHeight="1">
      <c r="A219" s="18">
        <v>2017</v>
      </c>
      <c r="B219" s="18" t="str">
        <f>+INDEX(BDD!F:F,MATCH(P219,BDD!D:D,0))&amp;"-"&amp;INDEX(BDD!E:E,MATCH(P219,BDD!D:D,0))</f>
        <v>G-S</v>
      </c>
      <c r="C219" s="360" t="s">
        <v>484</v>
      </c>
      <c r="D219" s="150" t="s">
        <v>77</v>
      </c>
      <c r="E219" s="132"/>
      <c r="F219" s="24"/>
      <c r="G219" s="346"/>
      <c r="H219" s="25" t="s">
        <v>1193</v>
      </c>
      <c r="I219" s="329"/>
      <c r="J219" s="346"/>
      <c r="K219" s="24"/>
      <c r="L219" s="24"/>
      <c r="M219" s="24"/>
      <c r="N219" s="340"/>
      <c r="O219" s="334">
        <v>203616</v>
      </c>
      <c r="P219" s="25" t="s">
        <v>333</v>
      </c>
      <c r="Q219" s="127" t="s">
        <v>306</v>
      </c>
      <c r="R219" s="128" t="s">
        <v>1194</v>
      </c>
      <c r="S219" s="24">
        <v>43090</v>
      </c>
      <c r="T219" s="36">
        <v>90</v>
      </c>
      <c r="U219" s="125" t="s">
        <v>118</v>
      </c>
      <c r="V219" s="155" t="s">
        <v>1195</v>
      </c>
      <c r="W219" s="129"/>
      <c r="X219" s="88">
        <v>43279</v>
      </c>
      <c r="Y219" s="130" t="s">
        <v>20</v>
      </c>
      <c r="Z219" s="133" t="s">
        <v>60</v>
      </c>
      <c r="AA219" s="133"/>
      <c r="AB219" s="187">
        <v>3500</v>
      </c>
      <c r="AC219" s="134">
        <v>150</v>
      </c>
      <c r="AD219" s="134"/>
      <c r="AE219" s="403">
        <f t="shared" si="10"/>
        <v>525000</v>
      </c>
      <c r="AF219" s="132" t="str">
        <f>IF(W219=BDD!$P$1,IMPORTS!AB219/25,IF(W219=BDD!$P$2,IMPORTS!AB219/25,IF(IMPORTS!W219=BDD!$P$4,IMPORTS!AB219/25.5,"--")))</f>
        <v>--</v>
      </c>
      <c r="AG219" s="130" t="s">
        <v>46</v>
      </c>
      <c r="AH219" s="130"/>
      <c r="AI219" s="130" t="s">
        <v>100</v>
      </c>
      <c r="AJ219" s="130"/>
      <c r="AK219" s="130"/>
      <c r="AL219" s="135" t="s">
        <v>1043</v>
      </c>
      <c r="AM219" s="314"/>
      <c r="AN219" s="26"/>
      <c r="AO219" s="26"/>
      <c r="AP219" s="26"/>
      <c r="AQ219" s="26">
        <v>43215</v>
      </c>
      <c r="AR219" s="24"/>
      <c r="AS219" s="24"/>
      <c r="AT219" s="24">
        <v>43221</v>
      </c>
      <c r="AU219" s="418">
        <f t="shared" si="11"/>
        <v>5</v>
      </c>
      <c r="AV219" s="418">
        <f t="shared" si="12"/>
        <v>2018</v>
      </c>
      <c r="AW219" s="24"/>
      <c r="AX219" s="28"/>
      <c r="AY219" s="28" t="s">
        <v>230</v>
      </c>
      <c r="AZ219" s="132" t="s">
        <v>9</v>
      </c>
      <c r="BA219" s="132"/>
      <c r="BB219" s="24"/>
      <c r="BC219" s="135" t="s">
        <v>1196</v>
      </c>
      <c r="BD219" s="24">
        <v>43176</v>
      </c>
      <c r="BE219" s="135" t="s">
        <v>1197</v>
      </c>
      <c r="BF219" s="135" t="s">
        <v>1197</v>
      </c>
      <c r="BG219" s="135" t="s">
        <v>52</v>
      </c>
      <c r="BH219" s="135"/>
      <c r="BI219" s="314"/>
      <c r="BJ219" s="314"/>
      <c r="BK219" s="24"/>
      <c r="BL219" s="24"/>
      <c r="BM219" s="24"/>
      <c r="BN219" s="24"/>
      <c r="BO219" s="24"/>
      <c r="BP219" s="24"/>
      <c r="BQ219" s="24"/>
      <c r="BR219" s="43"/>
      <c r="BS219" s="24"/>
      <c r="BT219" s="24"/>
      <c r="BU219" s="24"/>
      <c r="BV219" s="132" t="e">
        <f>IF(#REF!="COMPLETO","OK","PENDIENTES")</f>
        <v>#REF!</v>
      </c>
      <c r="BW219" s="132"/>
      <c r="BX219" s="132"/>
      <c r="BY219" s="132"/>
      <c r="BZ219" s="132"/>
      <c r="CA219" s="132"/>
      <c r="CB219" s="132"/>
      <c r="CC219" s="22"/>
      <c r="CG219" s="24" t="s">
        <v>105</v>
      </c>
      <c r="CH219" s="24"/>
      <c r="CI219" s="24"/>
      <c r="CJ219" s="24"/>
    </row>
    <row r="220" spans="1:88" ht="15" customHeight="1">
      <c r="A220" s="18">
        <v>2017</v>
      </c>
      <c r="B220" s="18" t="str">
        <f>+INDEX(BDD!F:F,MATCH(P220,BDD!D:D,0))&amp;"-"&amp;INDEX(BDD!E:E,MATCH(P220,BDD!D:D,0))</f>
        <v>G-S</v>
      </c>
      <c r="C220" s="360" t="s">
        <v>484</v>
      </c>
      <c r="D220" s="150" t="s">
        <v>77</v>
      </c>
      <c r="E220" s="132"/>
      <c r="F220" s="24"/>
      <c r="G220" s="346"/>
      <c r="H220" s="25" t="s">
        <v>1198</v>
      </c>
      <c r="I220" s="329"/>
      <c r="J220" s="346"/>
      <c r="K220" s="24"/>
      <c r="L220" s="24"/>
      <c r="M220" s="24"/>
      <c r="N220" s="340"/>
      <c r="O220" s="334">
        <v>203616</v>
      </c>
      <c r="P220" s="25" t="s">
        <v>333</v>
      </c>
      <c r="Q220" s="127" t="s">
        <v>306</v>
      </c>
      <c r="R220" s="128" t="s">
        <v>1194</v>
      </c>
      <c r="S220" s="24">
        <v>43090</v>
      </c>
      <c r="T220" s="36">
        <v>90</v>
      </c>
      <c r="U220" s="125" t="s">
        <v>118</v>
      </c>
      <c r="V220" s="155" t="s">
        <v>1199</v>
      </c>
      <c r="W220" s="129"/>
      <c r="X220" s="88">
        <v>43279</v>
      </c>
      <c r="Y220" s="130" t="s">
        <v>20</v>
      </c>
      <c r="Z220" s="133" t="s">
        <v>60</v>
      </c>
      <c r="AA220" s="133"/>
      <c r="AB220" s="187">
        <v>2500</v>
      </c>
      <c r="AC220" s="134">
        <v>150</v>
      </c>
      <c r="AD220" s="134"/>
      <c r="AE220" s="403">
        <f t="shared" si="10"/>
        <v>375000</v>
      </c>
      <c r="AF220" s="132" t="str">
        <f>IF(W220=BDD!$P$1,IMPORTS!AB220/25,IF(W220=BDD!$P$2,IMPORTS!AB220/25,IF(IMPORTS!W220=BDD!$P$4,IMPORTS!AB220/25.5,"--")))</f>
        <v>--</v>
      </c>
      <c r="AG220" s="130" t="s">
        <v>46</v>
      </c>
      <c r="AH220" s="130"/>
      <c r="AI220" s="130" t="s">
        <v>100</v>
      </c>
      <c r="AJ220" s="130"/>
      <c r="AK220" s="130"/>
      <c r="AL220" s="135" t="s">
        <v>1043</v>
      </c>
      <c r="AM220" s="314"/>
      <c r="AN220" s="26"/>
      <c r="AO220" s="26"/>
      <c r="AP220" s="26"/>
      <c r="AQ220" s="26">
        <v>43218</v>
      </c>
      <c r="AR220" s="24"/>
      <c r="AS220" s="24"/>
      <c r="AT220" s="24">
        <v>43225</v>
      </c>
      <c r="AU220" s="418">
        <f t="shared" si="11"/>
        <v>5</v>
      </c>
      <c r="AV220" s="418">
        <f t="shared" si="12"/>
        <v>2018</v>
      </c>
      <c r="AW220" s="24"/>
      <c r="AX220" s="28"/>
      <c r="AY220" s="28" t="s">
        <v>230</v>
      </c>
      <c r="AZ220" s="132" t="s">
        <v>25</v>
      </c>
      <c r="BA220" s="132"/>
      <c r="BB220" s="24"/>
      <c r="BC220" s="135" t="s">
        <v>1200</v>
      </c>
      <c r="BD220" s="24">
        <v>43176</v>
      </c>
      <c r="BE220" s="135" t="s">
        <v>1197</v>
      </c>
      <c r="BF220" s="135" t="s">
        <v>1197</v>
      </c>
      <c r="BG220" s="135" t="s">
        <v>52</v>
      </c>
      <c r="BH220" s="135"/>
      <c r="BI220" s="314"/>
      <c r="BJ220" s="314"/>
      <c r="BK220" s="24"/>
      <c r="BL220" s="24"/>
      <c r="BM220" s="24"/>
      <c r="BN220" s="24"/>
      <c r="BO220" s="24"/>
      <c r="BP220" s="24"/>
      <c r="BQ220" s="24"/>
      <c r="BR220" s="43"/>
      <c r="BS220" s="24"/>
      <c r="BT220" s="24"/>
      <c r="BU220" s="24"/>
      <c r="BV220" s="132" t="e">
        <f>IF(#REF!="COMPLETO","OK","PENDIENTES")</f>
        <v>#REF!</v>
      </c>
      <c r="BW220" s="132"/>
      <c r="BX220" s="132"/>
      <c r="BY220" s="132"/>
      <c r="BZ220" s="132"/>
      <c r="CA220" s="132"/>
      <c r="CB220" s="132"/>
      <c r="CC220" s="22"/>
      <c r="CG220" s="24" t="s">
        <v>105</v>
      </c>
      <c r="CH220" s="24"/>
      <c r="CI220" s="24"/>
      <c r="CJ220" s="24"/>
    </row>
    <row r="221" spans="1:88" ht="15" customHeight="1">
      <c r="A221" s="18">
        <v>2017</v>
      </c>
      <c r="B221" s="18" t="str">
        <f>+INDEX(BDD!F:F,MATCH(P221,BDD!D:D,0))&amp;"-"&amp;INDEX(BDD!E:E,MATCH(P221,BDD!D:D,0))</f>
        <v>G-S</v>
      </c>
      <c r="C221" s="360" t="s">
        <v>484</v>
      </c>
      <c r="D221" s="150" t="s">
        <v>77</v>
      </c>
      <c r="E221" s="132"/>
      <c r="F221" s="24"/>
      <c r="G221" s="346"/>
      <c r="H221" s="25" t="s">
        <v>1201</v>
      </c>
      <c r="I221" s="329"/>
      <c r="J221" s="346"/>
      <c r="K221" s="24"/>
      <c r="L221" s="24"/>
      <c r="M221" s="24"/>
      <c r="N221" s="340"/>
      <c r="O221" s="334">
        <v>203616</v>
      </c>
      <c r="P221" s="25" t="s">
        <v>330</v>
      </c>
      <c r="Q221" s="127" t="s">
        <v>306</v>
      </c>
      <c r="R221" s="128" t="s">
        <v>1194</v>
      </c>
      <c r="S221" s="24">
        <v>43090</v>
      </c>
      <c r="T221" s="36">
        <v>90</v>
      </c>
      <c r="U221" s="125" t="s">
        <v>118</v>
      </c>
      <c r="V221" s="155" t="s">
        <v>1202</v>
      </c>
      <c r="W221" s="129"/>
      <c r="X221" s="88">
        <v>43333</v>
      </c>
      <c r="Y221" s="130" t="s">
        <v>20</v>
      </c>
      <c r="Z221" s="133" t="s">
        <v>60</v>
      </c>
      <c r="AA221" s="133"/>
      <c r="AB221" s="187">
        <v>1500</v>
      </c>
      <c r="AC221" s="134">
        <v>147</v>
      </c>
      <c r="AD221" s="134"/>
      <c r="AE221" s="403">
        <f t="shared" si="10"/>
        <v>220500</v>
      </c>
      <c r="AF221" s="132" t="str">
        <f>IF(W221=BDD!$P$1,IMPORTS!AB221/25,IF(W221=BDD!$P$2,IMPORTS!AB221/25,IF(IMPORTS!W221=BDD!$P$4,IMPORTS!AB221/25.5,"--")))</f>
        <v>--</v>
      </c>
      <c r="AG221" s="130" t="s">
        <v>46</v>
      </c>
      <c r="AH221" s="130"/>
      <c r="AI221" s="130" t="s">
        <v>100</v>
      </c>
      <c r="AJ221" s="130"/>
      <c r="AK221" s="130"/>
      <c r="AL221" s="135" t="s">
        <v>1043</v>
      </c>
      <c r="AM221" s="314"/>
      <c r="AN221" s="26"/>
      <c r="AO221" s="26"/>
      <c r="AP221" s="26"/>
      <c r="AQ221" s="26">
        <v>43215</v>
      </c>
      <c r="AR221" s="24"/>
      <c r="AS221" s="24"/>
      <c r="AT221" s="24">
        <v>43221</v>
      </c>
      <c r="AU221" s="418">
        <f t="shared" si="11"/>
        <v>5</v>
      </c>
      <c r="AV221" s="418">
        <f t="shared" si="12"/>
        <v>2018</v>
      </c>
      <c r="AW221" s="24"/>
      <c r="AX221" s="28"/>
      <c r="AY221" s="28" t="s">
        <v>230</v>
      </c>
      <c r="AZ221" s="132" t="s">
        <v>9</v>
      </c>
      <c r="BA221" s="132"/>
      <c r="BB221" s="24"/>
      <c r="BC221" s="135" t="s">
        <v>1203</v>
      </c>
      <c r="BD221" s="24">
        <v>43176</v>
      </c>
      <c r="BE221" s="135" t="s">
        <v>1197</v>
      </c>
      <c r="BF221" s="135" t="s">
        <v>1197</v>
      </c>
      <c r="BG221" s="135" t="s">
        <v>52</v>
      </c>
      <c r="BH221" s="135"/>
      <c r="BI221" s="314"/>
      <c r="BJ221" s="314"/>
      <c r="BK221" s="24"/>
      <c r="BL221" s="24"/>
      <c r="BM221" s="24"/>
      <c r="BN221" s="24"/>
      <c r="BO221" s="24"/>
      <c r="BP221" s="24"/>
      <c r="BQ221" s="24"/>
      <c r="BR221" s="43"/>
      <c r="BS221" s="24"/>
      <c r="BT221" s="24"/>
      <c r="BU221" s="24"/>
      <c r="BV221" s="132" t="e">
        <f>IF(#REF!="COMPLETO","OK","PENDIENTES")</f>
        <v>#REF!</v>
      </c>
      <c r="BW221" s="132"/>
      <c r="BX221" s="132"/>
      <c r="BY221" s="132"/>
      <c r="BZ221" s="132"/>
      <c r="CA221" s="132"/>
      <c r="CB221" s="132"/>
      <c r="CC221" s="22"/>
      <c r="CG221" s="24" t="s">
        <v>105</v>
      </c>
      <c r="CH221" s="24"/>
      <c r="CI221" s="24"/>
      <c r="CJ221" s="24"/>
    </row>
    <row r="222" spans="1:88" ht="15" customHeight="1">
      <c r="A222" s="18">
        <v>2017</v>
      </c>
      <c r="B222" s="18" t="str">
        <f>+INDEX(BDD!F:F,MATCH(P222,BDD!D:D,0))&amp;"-"&amp;INDEX(BDD!E:E,MATCH(P222,BDD!D:D,0))</f>
        <v>G-S</v>
      </c>
      <c r="C222" s="360" t="s">
        <v>484</v>
      </c>
      <c r="D222" s="150" t="s">
        <v>77</v>
      </c>
      <c r="E222" s="132"/>
      <c r="F222" s="24"/>
      <c r="G222" s="346"/>
      <c r="H222" s="25" t="s">
        <v>1204</v>
      </c>
      <c r="I222" s="329"/>
      <c r="J222" s="346"/>
      <c r="K222" s="24"/>
      <c r="L222" s="24"/>
      <c r="M222" s="24"/>
      <c r="N222" s="340"/>
      <c r="O222" s="334">
        <v>203616</v>
      </c>
      <c r="P222" s="25" t="s">
        <v>330</v>
      </c>
      <c r="Q222" s="127" t="s">
        <v>306</v>
      </c>
      <c r="R222" s="128" t="s">
        <v>1194</v>
      </c>
      <c r="S222" s="24">
        <v>43090</v>
      </c>
      <c r="T222" s="36">
        <v>90</v>
      </c>
      <c r="U222" s="125" t="s">
        <v>118</v>
      </c>
      <c r="V222" s="155" t="s">
        <v>1205</v>
      </c>
      <c r="W222" s="129"/>
      <c r="X222" s="88">
        <v>43333</v>
      </c>
      <c r="Y222" s="130" t="s">
        <v>20</v>
      </c>
      <c r="Z222" s="133" t="s">
        <v>60</v>
      </c>
      <c r="AA222" s="133"/>
      <c r="AB222" s="187">
        <v>2500</v>
      </c>
      <c r="AC222" s="134">
        <v>147</v>
      </c>
      <c r="AD222" s="134"/>
      <c r="AE222" s="403">
        <f t="shared" si="10"/>
        <v>367500</v>
      </c>
      <c r="AF222" s="132" t="str">
        <f>IF(W222=BDD!$P$1,IMPORTS!AB222/25,IF(W222=BDD!$P$2,IMPORTS!AB222/25,IF(IMPORTS!W222=BDD!$P$4,IMPORTS!AB222/25.5,"--")))</f>
        <v>--</v>
      </c>
      <c r="AG222" s="130" t="s">
        <v>46</v>
      </c>
      <c r="AH222" s="130"/>
      <c r="AI222" s="130" t="s">
        <v>100</v>
      </c>
      <c r="AJ222" s="130"/>
      <c r="AK222" s="130"/>
      <c r="AL222" s="135" t="s">
        <v>1043</v>
      </c>
      <c r="AM222" s="314"/>
      <c r="AN222" s="26"/>
      <c r="AO222" s="26"/>
      <c r="AP222" s="26"/>
      <c r="AQ222" s="26">
        <v>43218</v>
      </c>
      <c r="AR222" s="24"/>
      <c r="AS222" s="24"/>
      <c r="AT222" s="24">
        <v>43225</v>
      </c>
      <c r="AU222" s="418">
        <f t="shared" si="11"/>
        <v>5</v>
      </c>
      <c r="AV222" s="418">
        <f t="shared" si="12"/>
        <v>2018</v>
      </c>
      <c r="AW222" s="24"/>
      <c r="AX222" s="28"/>
      <c r="AY222" s="28" t="s">
        <v>230</v>
      </c>
      <c r="AZ222" s="132" t="s">
        <v>25</v>
      </c>
      <c r="BA222" s="132"/>
      <c r="BB222" s="24"/>
      <c r="BC222" s="135" t="s">
        <v>1206</v>
      </c>
      <c r="BD222" s="24">
        <v>43176</v>
      </c>
      <c r="BE222" s="135" t="s">
        <v>1197</v>
      </c>
      <c r="BF222" s="135" t="s">
        <v>1197</v>
      </c>
      <c r="BG222" s="135" t="s">
        <v>52</v>
      </c>
      <c r="BH222" s="135"/>
      <c r="BI222" s="314"/>
      <c r="BJ222" s="314"/>
      <c r="BK222" s="24"/>
      <c r="BL222" s="24"/>
      <c r="BM222" s="24"/>
      <c r="BN222" s="24"/>
      <c r="BO222" s="24"/>
      <c r="BP222" s="24"/>
      <c r="BQ222" s="24"/>
      <c r="BR222" s="43"/>
      <c r="BS222" s="24"/>
      <c r="BT222" s="24"/>
      <c r="BU222" s="24"/>
      <c r="BV222" s="132" t="e">
        <f>IF(#REF!="COMPLETO","OK","PENDIENTES")</f>
        <v>#REF!</v>
      </c>
      <c r="BW222" s="132"/>
      <c r="BX222" s="132"/>
      <c r="BY222" s="132"/>
      <c r="BZ222" s="132"/>
      <c r="CA222" s="132"/>
      <c r="CB222" s="132"/>
      <c r="CC222" s="22"/>
      <c r="CG222" s="24" t="s">
        <v>105</v>
      </c>
      <c r="CH222" s="24"/>
      <c r="CI222" s="24"/>
      <c r="CJ222" s="24"/>
    </row>
    <row r="223" spans="1:88" ht="15" customHeight="1">
      <c r="A223" s="18">
        <v>2017</v>
      </c>
      <c r="B223" s="18" t="str">
        <f>+INDEX(BDD!F:F,MATCH(P223,BDD!D:D,0))&amp;"-"&amp;INDEX(BDD!E:E,MATCH(P223,BDD!D:D,0))</f>
        <v>S-S</v>
      </c>
      <c r="C223" s="360" t="s">
        <v>484</v>
      </c>
      <c r="D223" s="150" t="s">
        <v>77</v>
      </c>
      <c r="E223" s="132" t="s">
        <v>51</v>
      </c>
      <c r="F223" s="24"/>
      <c r="G223" s="346"/>
      <c r="H223" s="25" t="s">
        <v>1207</v>
      </c>
      <c r="I223" s="329"/>
      <c r="J223" s="346"/>
      <c r="K223" s="24"/>
      <c r="L223" s="24"/>
      <c r="M223" s="24"/>
      <c r="N223" s="340"/>
      <c r="O223" s="334">
        <v>207579</v>
      </c>
      <c r="P223" s="25" t="s">
        <v>238</v>
      </c>
      <c r="Q223" s="127" t="s">
        <v>234</v>
      </c>
      <c r="R223" s="128" t="s">
        <v>1208</v>
      </c>
      <c r="S223" s="24">
        <v>43096</v>
      </c>
      <c r="T223" s="36">
        <v>30</v>
      </c>
      <c r="U223" s="125" t="s">
        <v>118</v>
      </c>
      <c r="V223" s="128" t="s">
        <v>1208</v>
      </c>
      <c r="W223" s="151"/>
      <c r="X223" s="88">
        <v>43173</v>
      </c>
      <c r="Y223" s="130" t="s">
        <v>20</v>
      </c>
      <c r="Z223" s="133" t="s">
        <v>81</v>
      </c>
      <c r="AA223" s="133"/>
      <c r="AB223" s="148">
        <v>200</v>
      </c>
      <c r="AC223" s="134">
        <v>310</v>
      </c>
      <c r="AD223" s="134"/>
      <c r="AE223" s="403">
        <f t="shared" si="10"/>
        <v>62000</v>
      </c>
      <c r="AF223" s="132">
        <v>8</v>
      </c>
      <c r="AG223" s="130" t="s">
        <v>5</v>
      </c>
      <c r="AH223" s="130"/>
      <c r="AI223" s="130" t="s">
        <v>34</v>
      </c>
      <c r="AJ223" s="130"/>
      <c r="AK223" s="130"/>
      <c r="AL223" s="135" t="s">
        <v>1187</v>
      </c>
      <c r="AM223" s="314"/>
      <c r="AN223" s="26"/>
      <c r="AO223" s="26"/>
      <c r="AP223" s="26"/>
      <c r="AQ223" s="26">
        <v>43192</v>
      </c>
      <c r="AR223" s="24"/>
      <c r="AS223" s="24"/>
      <c r="AT223" s="24">
        <v>43194</v>
      </c>
      <c r="AU223" s="418">
        <f t="shared" si="11"/>
        <v>4</v>
      </c>
      <c r="AV223" s="418">
        <f t="shared" si="12"/>
        <v>2018</v>
      </c>
      <c r="AW223" s="24"/>
      <c r="AX223" s="28"/>
      <c r="AY223" s="28" t="s">
        <v>311</v>
      </c>
      <c r="AZ223" s="132" t="s">
        <v>9</v>
      </c>
      <c r="BA223" s="132"/>
      <c r="BB223" s="24"/>
      <c r="BC223" s="135" t="s">
        <v>1209</v>
      </c>
      <c r="BD223" s="24">
        <v>43141</v>
      </c>
      <c r="BE223" s="135" t="s">
        <v>509</v>
      </c>
      <c r="BF223" s="135" t="s">
        <v>932</v>
      </c>
      <c r="BG223" s="135" t="s">
        <v>29</v>
      </c>
      <c r="BH223" s="135"/>
      <c r="BI223" s="314"/>
      <c r="BJ223" s="314"/>
      <c r="BK223" s="24"/>
      <c r="BL223" s="24"/>
      <c r="BM223" s="24"/>
      <c r="BN223" s="24"/>
      <c r="BO223" s="24">
        <v>43205</v>
      </c>
      <c r="BP223" s="24"/>
      <c r="BQ223" s="24"/>
      <c r="BR223" s="43"/>
      <c r="BS223" s="24"/>
      <c r="BT223" s="24"/>
      <c r="BU223" s="24"/>
      <c r="BV223" s="132" t="e">
        <f>IF(#REF!="COMPLETO","OK","PENDIENTES")</f>
        <v>#REF!</v>
      </c>
      <c r="BW223" s="132"/>
      <c r="BX223" s="132"/>
      <c r="BY223" s="132"/>
      <c r="BZ223" s="132"/>
      <c r="CA223" s="132"/>
      <c r="CB223" s="132"/>
      <c r="CC223" s="22"/>
      <c r="CG223" s="24" t="s">
        <v>105</v>
      </c>
      <c r="CH223" s="24"/>
      <c r="CI223" s="24"/>
      <c r="CJ223" s="24"/>
    </row>
    <row r="224" spans="1:88" ht="15" customHeight="1">
      <c r="A224" s="18">
        <v>2017</v>
      </c>
      <c r="B224" s="18" t="str">
        <f>+INDEX(BDD!F:F,MATCH(P224,BDD!D:D,0))&amp;"-"&amp;INDEX(BDD!E:E,MATCH(P224,BDD!D:D,0))</f>
        <v>S-C</v>
      </c>
      <c r="C224" s="360" t="s">
        <v>484</v>
      </c>
      <c r="D224" s="150" t="s">
        <v>77</v>
      </c>
      <c r="E224" s="132"/>
      <c r="F224" s="24"/>
      <c r="G224" s="346"/>
      <c r="H224" s="25" t="s">
        <v>1210</v>
      </c>
      <c r="I224" s="329"/>
      <c r="J224" s="346"/>
      <c r="K224" s="24"/>
      <c r="L224" s="24"/>
      <c r="M224" s="24"/>
      <c r="N224" s="340"/>
      <c r="O224" s="334">
        <v>207580</v>
      </c>
      <c r="P224" s="183" t="s">
        <v>241</v>
      </c>
      <c r="Q224" s="127" t="s">
        <v>213</v>
      </c>
      <c r="R224" s="128" t="s">
        <v>1211</v>
      </c>
      <c r="S224" s="24">
        <v>43096</v>
      </c>
      <c r="T224" s="36">
        <v>90</v>
      </c>
      <c r="U224" s="125" t="s">
        <v>118</v>
      </c>
      <c r="V224" s="155">
        <v>20180238</v>
      </c>
      <c r="W224" s="129"/>
      <c r="X224" s="88">
        <v>43248</v>
      </c>
      <c r="Y224" s="130" t="s">
        <v>20</v>
      </c>
      <c r="Z224" s="133" t="s">
        <v>60</v>
      </c>
      <c r="AA224" s="133"/>
      <c r="AB224" s="148">
        <v>159</v>
      </c>
      <c r="AC224" s="134">
        <v>825</v>
      </c>
      <c r="AD224" s="134"/>
      <c r="AE224" s="403">
        <f t="shared" si="10"/>
        <v>131175</v>
      </c>
      <c r="AF224" s="132">
        <v>6</v>
      </c>
      <c r="AG224" s="130" t="s">
        <v>5</v>
      </c>
      <c r="AH224" s="130"/>
      <c r="AI224" s="130" t="s">
        <v>34</v>
      </c>
      <c r="AJ224" s="130"/>
      <c r="AK224" s="130"/>
      <c r="AL224" s="135" t="s">
        <v>1212</v>
      </c>
      <c r="AM224" s="314"/>
      <c r="AN224" s="26"/>
      <c r="AO224" s="26"/>
      <c r="AP224" s="26"/>
      <c r="AQ224" s="26">
        <v>43210</v>
      </c>
      <c r="AR224" s="24"/>
      <c r="AS224" s="24"/>
      <c r="AT224" s="24">
        <v>43213</v>
      </c>
      <c r="AU224" s="418">
        <f t="shared" si="11"/>
        <v>4</v>
      </c>
      <c r="AV224" s="418">
        <f t="shared" si="12"/>
        <v>2018</v>
      </c>
      <c r="AW224" s="24"/>
      <c r="AX224" s="28"/>
      <c r="AY224" s="28" t="s">
        <v>218</v>
      </c>
      <c r="AZ224" s="132" t="s">
        <v>37</v>
      </c>
      <c r="BA224" s="132"/>
      <c r="BB224" s="24"/>
      <c r="BC224" s="135" t="s">
        <v>1213</v>
      </c>
      <c r="BD224" s="24">
        <v>43158</v>
      </c>
      <c r="BE224" s="135" t="s">
        <v>1214</v>
      </c>
      <c r="BF224" s="135" t="s">
        <v>1215</v>
      </c>
      <c r="BG224" s="135" t="s">
        <v>65</v>
      </c>
      <c r="BH224" s="135"/>
      <c r="BI224" s="314"/>
      <c r="BJ224" s="314"/>
      <c r="BK224" s="24"/>
      <c r="BL224" s="24"/>
      <c r="BM224" s="24"/>
      <c r="BN224" s="24"/>
      <c r="BO224" s="24"/>
      <c r="BP224" s="24"/>
      <c r="BQ224" s="24"/>
      <c r="BR224" s="43"/>
      <c r="BS224" s="24"/>
      <c r="BT224" s="24"/>
      <c r="BU224" s="24"/>
      <c r="BV224" s="132" t="e">
        <f>IF(#REF!="COMPLETO","OK","PENDIENTES")</f>
        <v>#REF!</v>
      </c>
      <c r="BW224" s="132"/>
      <c r="BX224" s="132"/>
      <c r="BY224" s="132"/>
      <c r="BZ224" s="132"/>
      <c r="CA224" s="132"/>
      <c r="CB224" s="132"/>
      <c r="CC224" s="22"/>
      <c r="CG224" s="24" t="s">
        <v>105</v>
      </c>
      <c r="CH224" s="24"/>
      <c r="CI224" s="24"/>
      <c r="CJ224" s="24"/>
    </row>
    <row r="225" spans="1:88" ht="15" customHeight="1">
      <c r="A225" s="18">
        <v>2017</v>
      </c>
      <c r="B225" s="18" t="str">
        <f>+INDEX(BDD!F:F,MATCH(P225,BDD!D:D,0))&amp;"-"&amp;INDEX(BDD!E:E,MATCH(P225,BDD!D:D,0))</f>
        <v>S-C</v>
      </c>
      <c r="C225" s="360" t="s">
        <v>484</v>
      </c>
      <c r="D225" s="150" t="s">
        <v>77</v>
      </c>
      <c r="E225" s="132"/>
      <c r="F225" s="24"/>
      <c r="G225" s="346"/>
      <c r="H225" s="25" t="s">
        <v>1216</v>
      </c>
      <c r="I225" s="329"/>
      <c r="J225" s="346"/>
      <c r="K225" s="24"/>
      <c r="L225" s="24"/>
      <c r="M225" s="24"/>
      <c r="N225" s="340"/>
      <c r="O225" s="334">
        <v>207580</v>
      </c>
      <c r="P225" s="25" t="s">
        <v>241</v>
      </c>
      <c r="Q225" s="127" t="s">
        <v>213</v>
      </c>
      <c r="R225" s="128" t="s">
        <v>1211</v>
      </c>
      <c r="S225" s="24">
        <v>43096</v>
      </c>
      <c r="T225" s="36">
        <v>90</v>
      </c>
      <c r="U225" s="125" t="s">
        <v>118</v>
      </c>
      <c r="V225" s="155">
        <v>20180239</v>
      </c>
      <c r="W225" s="129"/>
      <c r="X225" s="88">
        <v>43248</v>
      </c>
      <c r="Y225" s="130" t="s">
        <v>20</v>
      </c>
      <c r="Z225" s="133" t="s">
        <v>72</v>
      </c>
      <c r="AA225" s="133"/>
      <c r="AB225" s="148">
        <v>159</v>
      </c>
      <c r="AC225" s="134">
        <v>830</v>
      </c>
      <c r="AD225" s="134"/>
      <c r="AE225" s="403">
        <f t="shared" si="10"/>
        <v>131970</v>
      </c>
      <c r="AF225" s="132">
        <v>6</v>
      </c>
      <c r="AG225" s="130" t="s">
        <v>5</v>
      </c>
      <c r="AH225" s="130"/>
      <c r="AI225" s="130" t="s">
        <v>34</v>
      </c>
      <c r="AJ225" s="130"/>
      <c r="AK225" s="130"/>
      <c r="AL225" s="135" t="s">
        <v>1212</v>
      </c>
      <c r="AM225" s="314"/>
      <c r="AN225" s="26"/>
      <c r="AO225" s="26"/>
      <c r="AP225" s="26"/>
      <c r="AQ225" s="26">
        <v>43201</v>
      </c>
      <c r="AR225" s="24"/>
      <c r="AS225" s="24"/>
      <c r="AT225" s="24">
        <v>43203</v>
      </c>
      <c r="AU225" s="418">
        <f t="shared" si="11"/>
        <v>4</v>
      </c>
      <c r="AV225" s="418">
        <f t="shared" si="12"/>
        <v>2018</v>
      </c>
      <c r="AW225" s="24"/>
      <c r="AX225" s="28"/>
      <c r="AY225" s="28" t="s">
        <v>218</v>
      </c>
      <c r="AZ225" s="132" t="s">
        <v>9</v>
      </c>
      <c r="BA225" s="132"/>
      <c r="BB225" s="24"/>
      <c r="BC225" s="135" t="s">
        <v>1217</v>
      </c>
      <c r="BD225" s="24">
        <v>43158</v>
      </c>
      <c r="BE225" s="135" t="s">
        <v>1214</v>
      </c>
      <c r="BF225" s="135" t="s">
        <v>1218</v>
      </c>
      <c r="BG225" s="135" t="s">
        <v>65</v>
      </c>
      <c r="BH225" s="135"/>
      <c r="BI225" s="314"/>
      <c r="BJ225" s="314"/>
      <c r="BK225" s="24"/>
      <c r="BL225" s="24"/>
      <c r="BM225" s="24"/>
      <c r="BN225" s="24"/>
      <c r="BO225" s="24">
        <v>43215</v>
      </c>
      <c r="BP225" s="24"/>
      <c r="BQ225" s="24"/>
      <c r="BR225" s="43"/>
      <c r="BS225" s="24"/>
      <c r="BT225" s="24"/>
      <c r="BU225" s="24"/>
      <c r="BV225" s="132" t="e">
        <f>IF(#REF!="COMPLETO","OK","PENDIENTES")</f>
        <v>#REF!</v>
      </c>
      <c r="BW225" s="132"/>
      <c r="BX225" s="132"/>
      <c r="BY225" s="132"/>
      <c r="BZ225" s="132"/>
      <c r="CA225" s="132"/>
      <c r="CB225" s="132"/>
      <c r="CC225" s="22"/>
      <c r="CG225" s="24" t="s">
        <v>105</v>
      </c>
      <c r="CH225" s="24"/>
      <c r="CI225" s="24"/>
      <c r="CJ225" s="24"/>
    </row>
    <row r="226" spans="1:88" ht="15" customHeight="1">
      <c r="A226" s="18">
        <v>2017</v>
      </c>
      <c r="B226" s="18" t="str">
        <f>+INDEX(BDD!F:F,MATCH(P226,BDD!D:D,0))&amp;"-"&amp;INDEX(BDD!E:E,MATCH(P226,BDD!D:D,0))</f>
        <v>S-P</v>
      </c>
      <c r="C226" s="360" t="s">
        <v>484</v>
      </c>
      <c r="D226" s="150" t="s">
        <v>77</v>
      </c>
      <c r="E226" s="132"/>
      <c r="F226" s="24"/>
      <c r="G226" s="346">
        <v>8000000161</v>
      </c>
      <c r="H226" s="25" t="s">
        <v>1219</v>
      </c>
      <c r="I226" s="329"/>
      <c r="J226" s="346">
        <v>8000000161</v>
      </c>
      <c r="K226" s="24"/>
      <c r="L226" s="24"/>
      <c r="M226" s="24"/>
      <c r="N226" s="340" t="s">
        <v>486</v>
      </c>
      <c r="O226" s="334">
        <v>207498</v>
      </c>
      <c r="P226" s="25" t="s">
        <v>343</v>
      </c>
      <c r="Q226" s="127" t="s">
        <v>249</v>
      </c>
      <c r="R226" s="128" t="s">
        <v>1220</v>
      </c>
      <c r="S226" s="24">
        <v>43097</v>
      </c>
      <c r="T226" s="36" t="s">
        <v>19</v>
      </c>
      <c r="U226" s="125"/>
      <c r="V226" s="88" t="s">
        <v>1221</v>
      </c>
      <c r="W226" s="129"/>
      <c r="X226" s="88">
        <v>43201</v>
      </c>
      <c r="Y226" s="130" t="s">
        <v>20</v>
      </c>
      <c r="Z226" s="133" t="s">
        <v>60</v>
      </c>
      <c r="AA226" s="133"/>
      <c r="AB226" s="148">
        <v>216</v>
      </c>
      <c r="AC226" s="134">
        <v>795</v>
      </c>
      <c r="AD226" s="134"/>
      <c r="AE226" s="403">
        <f t="shared" si="10"/>
        <v>171720</v>
      </c>
      <c r="AF226" s="132">
        <v>9</v>
      </c>
      <c r="AG226" s="130" t="s">
        <v>5</v>
      </c>
      <c r="AH226" s="130"/>
      <c r="AI226" s="130" t="s">
        <v>34</v>
      </c>
      <c r="AJ226" s="130"/>
      <c r="AK226" s="130"/>
      <c r="AL226" s="135" t="s">
        <v>503</v>
      </c>
      <c r="AM226" s="314"/>
      <c r="AN226" s="26"/>
      <c r="AO226" s="26"/>
      <c r="AP226" s="26"/>
      <c r="AQ226" s="26">
        <v>43237</v>
      </c>
      <c r="AR226" s="24"/>
      <c r="AS226" s="24"/>
      <c r="AT226" s="24">
        <v>43241</v>
      </c>
      <c r="AU226" s="418">
        <f t="shared" si="11"/>
        <v>5</v>
      </c>
      <c r="AV226" s="418">
        <f t="shared" si="12"/>
        <v>2018</v>
      </c>
      <c r="AW226" s="24"/>
      <c r="AX226" s="28"/>
      <c r="AY226" s="28" t="s">
        <v>144</v>
      </c>
      <c r="AZ226" s="132" t="s">
        <v>37</v>
      </c>
      <c r="BA226" s="132"/>
      <c r="BB226" s="24"/>
      <c r="BC226" s="154" t="s">
        <v>1222</v>
      </c>
      <c r="BD226" s="24">
        <v>43192</v>
      </c>
      <c r="BE226" s="135" t="s">
        <v>1223</v>
      </c>
      <c r="BF226" s="135" t="s">
        <v>1224</v>
      </c>
      <c r="BG226" s="135" t="s">
        <v>14</v>
      </c>
      <c r="BH226" s="135"/>
      <c r="BI226" s="314"/>
      <c r="BJ226" s="314"/>
      <c r="BK226" s="24"/>
      <c r="BL226" s="24"/>
      <c r="BM226" s="24"/>
      <c r="BN226" s="24"/>
      <c r="BO226" s="24"/>
      <c r="BP226" s="24"/>
      <c r="BQ226" s="24"/>
      <c r="BR226" s="43"/>
      <c r="BS226" s="24"/>
      <c r="BT226" s="24"/>
      <c r="BU226" s="24"/>
      <c r="BV226" s="132" t="e">
        <f>IF(#REF!="COMPLETO","OK","PENDIENTES")</f>
        <v>#REF!</v>
      </c>
      <c r="BW226" s="132"/>
      <c r="BX226" s="132"/>
      <c r="BY226" s="132"/>
      <c r="BZ226" s="132"/>
      <c r="CA226" s="132"/>
      <c r="CB226" s="132"/>
      <c r="CC226" s="22"/>
      <c r="CG226" s="24" t="s">
        <v>105</v>
      </c>
      <c r="CH226" s="24"/>
      <c r="CI226" s="24"/>
      <c r="CJ226" s="24"/>
    </row>
    <row r="227" spans="1:88" ht="15" customHeight="1">
      <c r="A227" s="18">
        <v>2017</v>
      </c>
      <c r="B227" s="18" t="str">
        <f>+INDEX(BDD!F:F,MATCH(P227,BDD!D:D,0))&amp;"-"&amp;INDEX(BDD!E:E,MATCH(P227,BDD!D:D,0))</f>
        <v>S-P</v>
      </c>
      <c r="C227" s="360" t="s">
        <v>484</v>
      </c>
      <c r="D227" s="150" t="s">
        <v>77</v>
      </c>
      <c r="E227" s="132"/>
      <c r="F227" s="24"/>
      <c r="G227" s="346">
        <v>8000000162</v>
      </c>
      <c r="H227" s="25" t="s">
        <v>1225</v>
      </c>
      <c r="I227" s="329"/>
      <c r="J227" s="346">
        <v>8000000162</v>
      </c>
      <c r="K227" s="24"/>
      <c r="L227" s="24"/>
      <c r="M227" s="24"/>
      <c r="N227" s="340" t="s">
        <v>486</v>
      </c>
      <c r="O227" s="334">
        <v>207498</v>
      </c>
      <c r="P227" s="25" t="s">
        <v>343</v>
      </c>
      <c r="Q227" s="127" t="s">
        <v>249</v>
      </c>
      <c r="R227" s="128" t="s">
        <v>1226</v>
      </c>
      <c r="S227" s="24">
        <v>43097</v>
      </c>
      <c r="T227" s="36" t="s">
        <v>19</v>
      </c>
      <c r="U227" s="125"/>
      <c r="V227" s="88" t="s">
        <v>1227</v>
      </c>
      <c r="W227" s="129"/>
      <c r="X227" s="88">
        <v>43202</v>
      </c>
      <c r="Y227" s="130" t="s">
        <v>20</v>
      </c>
      <c r="Z227" s="133" t="s">
        <v>60</v>
      </c>
      <c r="AA227" s="133"/>
      <c r="AB227" s="148">
        <v>216</v>
      </c>
      <c r="AC227" s="134">
        <v>795</v>
      </c>
      <c r="AD227" s="134"/>
      <c r="AE227" s="403">
        <f t="shared" si="10"/>
        <v>171720</v>
      </c>
      <c r="AF227" s="132">
        <v>9</v>
      </c>
      <c r="AG227" s="130" t="s">
        <v>5</v>
      </c>
      <c r="AH227" s="130"/>
      <c r="AI227" s="130" t="s">
        <v>34</v>
      </c>
      <c r="AJ227" s="130"/>
      <c r="AK227" s="130"/>
      <c r="AL227" s="135" t="s">
        <v>503</v>
      </c>
      <c r="AM227" s="314"/>
      <c r="AN227" s="26"/>
      <c r="AO227" s="26"/>
      <c r="AP227" s="26"/>
      <c r="AQ227" s="26">
        <v>43234</v>
      </c>
      <c r="AR227" s="24"/>
      <c r="AS227" s="24"/>
      <c r="AT227" s="24">
        <v>43251</v>
      </c>
      <c r="AU227" s="418">
        <f t="shared" si="11"/>
        <v>5</v>
      </c>
      <c r="AV227" s="418">
        <f t="shared" si="12"/>
        <v>2018</v>
      </c>
      <c r="AW227" s="24"/>
      <c r="AX227" s="28"/>
      <c r="AY227" s="28" t="s">
        <v>144</v>
      </c>
      <c r="AZ227" s="132" t="s">
        <v>9</v>
      </c>
      <c r="BA227" s="132"/>
      <c r="BB227" s="24"/>
      <c r="BC227" s="144" t="s">
        <v>1228</v>
      </c>
      <c r="BD227" s="24">
        <v>43192</v>
      </c>
      <c r="BE227" s="135" t="s">
        <v>1229</v>
      </c>
      <c r="BF227" s="135" t="s">
        <v>790</v>
      </c>
      <c r="BG227" s="135" t="s">
        <v>14</v>
      </c>
      <c r="BH227" s="135"/>
      <c r="BI227" s="314"/>
      <c r="BJ227" s="314"/>
      <c r="BK227" s="24"/>
      <c r="BL227" s="24"/>
      <c r="BM227" s="24"/>
      <c r="BN227" s="24"/>
      <c r="BO227" s="24">
        <v>43257</v>
      </c>
      <c r="BP227" s="24"/>
      <c r="BQ227" s="24"/>
      <c r="BR227" s="43"/>
      <c r="BS227" s="24"/>
      <c r="BT227" s="24"/>
      <c r="BU227" s="24"/>
      <c r="BV227" s="132" t="e">
        <f>IF(#REF!="COMPLETO","OK","PENDIENTES")</f>
        <v>#REF!</v>
      </c>
      <c r="BW227" s="132"/>
      <c r="BX227" s="132"/>
      <c r="BY227" s="132"/>
      <c r="BZ227" s="132"/>
      <c r="CA227" s="132"/>
      <c r="CB227" s="132"/>
      <c r="CC227" s="22"/>
      <c r="CG227" s="24" t="s">
        <v>105</v>
      </c>
      <c r="CH227" s="24"/>
      <c r="CI227" s="24"/>
      <c r="CJ227" s="24"/>
    </row>
    <row r="228" spans="1:88" ht="15" customHeight="1">
      <c r="A228" s="18">
        <v>2017</v>
      </c>
      <c r="B228" s="18" t="str">
        <f>+INDEX(BDD!F:F,MATCH(P228,BDD!D:D,0))&amp;"-"&amp;INDEX(BDD!E:E,MATCH(P228,BDD!D:D,0))</f>
        <v>G-S</v>
      </c>
      <c r="C228" s="360" t="s">
        <v>484</v>
      </c>
      <c r="D228" s="150" t="s">
        <v>77</v>
      </c>
      <c r="E228" s="132"/>
      <c r="F228" s="24"/>
      <c r="G228" s="346">
        <v>8000000163</v>
      </c>
      <c r="H228" s="25" t="s">
        <v>1230</v>
      </c>
      <c r="I228" s="329"/>
      <c r="J228" s="346">
        <v>8000000163</v>
      </c>
      <c r="K228" s="24"/>
      <c r="L228" s="24"/>
      <c r="M228" s="24"/>
      <c r="N228" s="340" t="s">
        <v>486</v>
      </c>
      <c r="O228" s="334">
        <v>209979</v>
      </c>
      <c r="P228" s="25" t="s">
        <v>339</v>
      </c>
      <c r="Q228" s="127" t="s">
        <v>207</v>
      </c>
      <c r="R228" s="128">
        <v>4000664176</v>
      </c>
      <c r="S228" s="24">
        <v>43095</v>
      </c>
      <c r="T228" s="36" t="s">
        <v>19</v>
      </c>
      <c r="U228" s="125"/>
      <c r="V228" s="128">
        <v>4200585287</v>
      </c>
      <c r="W228" s="151"/>
      <c r="X228" s="88">
        <v>43151</v>
      </c>
      <c r="Y228" s="130" t="s">
        <v>20</v>
      </c>
      <c r="Z228" s="133" t="s">
        <v>72</v>
      </c>
      <c r="AA228" s="133"/>
      <c r="AB228" s="148">
        <v>504.14</v>
      </c>
      <c r="AC228" s="134">
        <v>510</v>
      </c>
      <c r="AD228" s="134"/>
      <c r="AE228" s="403">
        <f t="shared" si="10"/>
        <v>257111.4</v>
      </c>
      <c r="AF228" s="132">
        <v>18</v>
      </c>
      <c r="AG228" s="130" t="s">
        <v>5</v>
      </c>
      <c r="AH228" s="130"/>
      <c r="AI228" s="130" t="s">
        <v>100</v>
      </c>
      <c r="AJ228" s="130"/>
      <c r="AK228" s="130"/>
      <c r="AL228" s="135" t="s">
        <v>1043</v>
      </c>
      <c r="AM228" s="314"/>
      <c r="AN228" s="26"/>
      <c r="AO228" s="26"/>
      <c r="AP228" s="26"/>
      <c r="AQ228" s="26">
        <v>43157</v>
      </c>
      <c r="AR228" s="24"/>
      <c r="AS228" s="24"/>
      <c r="AT228" s="24">
        <v>43159</v>
      </c>
      <c r="AU228" s="418">
        <f t="shared" si="11"/>
        <v>2</v>
      </c>
      <c r="AV228" s="418">
        <f t="shared" si="12"/>
        <v>2018</v>
      </c>
      <c r="AW228" s="24"/>
      <c r="AX228" s="28"/>
      <c r="AY228" s="28" t="s">
        <v>162</v>
      </c>
      <c r="AZ228" s="132" t="s">
        <v>9</v>
      </c>
      <c r="BA228" s="132"/>
      <c r="BB228" s="24"/>
      <c r="BC228" s="144" t="s">
        <v>1231</v>
      </c>
      <c r="BD228" s="24">
        <v>43128</v>
      </c>
      <c r="BE228" s="135" t="s">
        <v>885</v>
      </c>
      <c r="BF228" s="135"/>
      <c r="BG228" s="135" t="s">
        <v>29</v>
      </c>
      <c r="BH228" s="135"/>
      <c r="BI228" s="314"/>
      <c r="BJ228" s="314"/>
      <c r="BK228" s="24"/>
      <c r="BL228" s="24"/>
      <c r="BM228" s="24"/>
      <c r="BN228" s="24"/>
      <c r="BO228" s="24">
        <v>43176</v>
      </c>
      <c r="BP228" s="24"/>
      <c r="BQ228" s="24"/>
      <c r="BR228" s="43"/>
      <c r="BS228" s="24"/>
      <c r="BT228" s="24"/>
      <c r="BU228" s="24"/>
      <c r="BV228" s="132" t="e">
        <f>IF(#REF!="COMPLETO","OK","PENDIENTES")</f>
        <v>#REF!</v>
      </c>
      <c r="BW228" s="132"/>
      <c r="BX228" s="132"/>
      <c r="BY228" s="132"/>
      <c r="BZ228" s="132"/>
      <c r="CA228" s="132"/>
      <c r="CB228" s="132"/>
      <c r="CC228" s="22"/>
      <c r="CG228" s="24" t="s">
        <v>105</v>
      </c>
      <c r="CH228" s="24"/>
      <c r="CI228" s="24"/>
      <c r="CJ228" s="24"/>
    </row>
    <row r="229" spans="1:88" ht="15" customHeight="1">
      <c r="A229" s="18">
        <v>2017</v>
      </c>
      <c r="B229" s="18" t="str">
        <f>+INDEX(BDD!F:F,MATCH(P229,BDD!D:D,0))&amp;"-"&amp;INDEX(BDD!E:E,MATCH(P229,BDD!D:D,0))</f>
        <v>S-S</v>
      </c>
      <c r="C229" s="360" t="s">
        <v>484</v>
      </c>
      <c r="D229" s="150" t="s">
        <v>77</v>
      </c>
      <c r="E229" s="132"/>
      <c r="F229" s="24"/>
      <c r="G229" s="346"/>
      <c r="H229" s="25" t="s">
        <v>1232</v>
      </c>
      <c r="I229" s="329"/>
      <c r="J229" s="346"/>
      <c r="K229" s="24"/>
      <c r="L229" s="24"/>
      <c r="M229" s="24"/>
      <c r="N229" s="340"/>
      <c r="O229" s="334">
        <v>206966</v>
      </c>
      <c r="P229" s="25" t="s">
        <v>152</v>
      </c>
      <c r="Q229" s="127" t="s">
        <v>225</v>
      </c>
      <c r="R229" s="128" t="s">
        <v>1233</v>
      </c>
      <c r="S229" s="24">
        <v>43097</v>
      </c>
      <c r="T229" s="36">
        <v>90</v>
      </c>
      <c r="U229" s="125" t="s">
        <v>118</v>
      </c>
      <c r="V229" s="88" t="s">
        <v>1234</v>
      </c>
      <c r="W229" s="129"/>
      <c r="X229" s="88">
        <v>43277</v>
      </c>
      <c r="Y229" s="130" t="s">
        <v>20</v>
      </c>
      <c r="Z229" s="133" t="s">
        <v>60</v>
      </c>
      <c r="AA229" s="133"/>
      <c r="AB229" s="148">
        <v>100</v>
      </c>
      <c r="AC229" s="134">
        <v>627</v>
      </c>
      <c r="AD229" s="134"/>
      <c r="AE229" s="403">
        <f t="shared" si="10"/>
        <v>62700</v>
      </c>
      <c r="AF229" s="132" t="str">
        <f>IF(W229=BDD!$P$1,IMPORTS!AB229/25,IF(W229=BDD!$P$2,IMPORTS!AB229/25,IF(IMPORTS!W229=BDD!$P$4,IMPORTS!AB229/25.5,"--")))</f>
        <v>--</v>
      </c>
      <c r="AG229" s="130" t="s">
        <v>58</v>
      </c>
      <c r="AH229" s="130"/>
      <c r="AI229" s="130" t="s">
        <v>34</v>
      </c>
      <c r="AJ229" s="130"/>
      <c r="AK229" s="130"/>
      <c r="AL229" s="135" t="s">
        <v>1187</v>
      </c>
      <c r="AM229" s="314"/>
      <c r="AN229" s="26"/>
      <c r="AO229" s="26"/>
      <c r="AP229" s="26"/>
      <c r="AQ229" s="26">
        <v>43229</v>
      </c>
      <c r="AR229" s="24"/>
      <c r="AS229" s="24"/>
      <c r="AT229" s="26">
        <v>43236</v>
      </c>
      <c r="AU229" s="418">
        <f t="shared" si="11"/>
        <v>5</v>
      </c>
      <c r="AV229" s="418">
        <f t="shared" si="12"/>
        <v>2018</v>
      </c>
      <c r="AW229" s="26"/>
      <c r="AX229" s="28"/>
      <c r="AY229" s="28" t="s">
        <v>230</v>
      </c>
      <c r="AZ229" s="132" t="s">
        <v>37</v>
      </c>
      <c r="BA229" s="132"/>
      <c r="BB229" s="26"/>
      <c r="BC229" s="144" t="s">
        <v>1235</v>
      </c>
      <c r="BD229" s="24">
        <v>43185</v>
      </c>
      <c r="BE229" s="24" t="s">
        <v>1236</v>
      </c>
      <c r="BF229" s="24" t="s">
        <v>1236</v>
      </c>
      <c r="BG229" s="135" t="s">
        <v>52</v>
      </c>
      <c r="BH229" s="135"/>
      <c r="BI229" s="314"/>
      <c r="BJ229" s="314"/>
      <c r="BK229" s="24"/>
      <c r="BL229" s="24"/>
      <c r="BM229" s="24"/>
      <c r="BN229" s="24"/>
      <c r="BO229" s="24"/>
      <c r="BP229" s="24"/>
      <c r="BQ229" s="24"/>
      <c r="BR229" s="43"/>
      <c r="BS229" s="24"/>
      <c r="BT229" s="24"/>
      <c r="BU229" s="24"/>
      <c r="BV229" s="132" t="e">
        <f>IF(#REF!="COMPLETO","OK","PENDIENTES")</f>
        <v>#REF!</v>
      </c>
      <c r="BW229" s="132"/>
      <c r="BX229" s="132"/>
      <c r="BY229" s="132"/>
      <c r="BZ229" s="132"/>
      <c r="CA229" s="132"/>
      <c r="CB229" s="132"/>
      <c r="CC229" s="22"/>
      <c r="CG229" s="24" t="s">
        <v>105</v>
      </c>
      <c r="CH229" s="24"/>
      <c r="CI229" s="26"/>
      <c r="CJ229" s="26"/>
    </row>
    <row r="230" spans="1:88" ht="15" customHeight="1">
      <c r="A230" s="18">
        <v>2017</v>
      </c>
      <c r="B230" s="18" t="str">
        <f>+INDEX(BDD!F:F,MATCH(P230,BDD!D:D,0))&amp;"-"&amp;INDEX(BDD!E:E,MATCH(P230,BDD!D:D,0))</f>
        <v>G-C</v>
      </c>
      <c r="C230" s="360" t="s">
        <v>484</v>
      </c>
      <c r="D230" s="150" t="s">
        <v>77</v>
      </c>
      <c r="E230" s="132"/>
      <c r="F230" s="24"/>
      <c r="G230" s="346"/>
      <c r="H230" s="25" t="s">
        <v>1237</v>
      </c>
      <c r="I230" s="329"/>
      <c r="J230" s="346"/>
      <c r="K230" s="24"/>
      <c r="L230" s="24"/>
      <c r="M230" s="24"/>
      <c r="N230" s="340"/>
      <c r="O230" s="334">
        <v>206573</v>
      </c>
      <c r="P230" s="25" t="s">
        <v>226</v>
      </c>
      <c r="Q230" s="127" t="s">
        <v>163</v>
      </c>
      <c r="R230" s="128" t="s">
        <v>544</v>
      </c>
      <c r="S230" s="24">
        <v>43084</v>
      </c>
      <c r="T230" s="36" t="s">
        <v>19</v>
      </c>
      <c r="U230" s="125"/>
      <c r="V230" s="88" t="s">
        <v>1238</v>
      </c>
      <c r="W230" s="129"/>
      <c r="X230" s="88">
        <v>43132</v>
      </c>
      <c r="Y230" s="130" t="s">
        <v>20</v>
      </c>
      <c r="Z230" s="133" t="s">
        <v>60</v>
      </c>
      <c r="AA230" s="133"/>
      <c r="AB230" s="158">
        <v>200</v>
      </c>
      <c r="AC230" s="134">
        <v>276</v>
      </c>
      <c r="AD230" s="134"/>
      <c r="AE230" s="403">
        <f t="shared" si="10"/>
        <v>55200</v>
      </c>
      <c r="AF230" s="132" t="str">
        <f>IF(W230=BDD!$P$1,IMPORTS!AB230/25,IF(W230=BDD!$P$2,IMPORTS!AB230/25,IF(IMPORTS!W230=BDD!$P$4,IMPORTS!AB230/25.5,"--")))</f>
        <v>--</v>
      </c>
      <c r="AG230" s="130" t="s">
        <v>46</v>
      </c>
      <c r="AH230" s="130"/>
      <c r="AI230" s="130" t="s">
        <v>100</v>
      </c>
      <c r="AJ230" s="130"/>
      <c r="AK230" s="130"/>
      <c r="AL230" s="135" t="s">
        <v>1043</v>
      </c>
      <c r="AM230" s="314"/>
      <c r="AN230" s="26"/>
      <c r="AO230" s="26"/>
      <c r="AP230" s="26"/>
      <c r="AQ230" s="26">
        <v>43151</v>
      </c>
      <c r="AR230" s="24"/>
      <c r="AS230" s="24"/>
      <c r="AT230" s="24">
        <v>43153</v>
      </c>
      <c r="AU230" s="418">
        <f t="shared" si="11"/>
        <v>2</v>
      </c>
      <c r="AV230" s="418">
        <f t="shared" si="12"/>
        <v>2018</v>
      </c>
      <c r="AW230" s="24"/>
      <c r="AX230" s="28"/>
      <c r="AY230" s="28" t="s">
        <v>269</v>
      </c>
      <c r="AZ230" s="132" t="s">
        <v>9</v>
      </c>
      <c r="BA230" s="132"/>
      <c r="BB230" s="24"/>
      <c r="BC230" s="144">
        <v>11</v>
      </c>
      <c r="BD230" s="24">
        <v>43121</v>
      </c>
      <c r="BE230" s="135" t="s">
        <v>1239</v>
      </c>
      <c r="BF230" s="135" t="s">
        <v>1239</v>
      </c>
      <c r="BG230" s="135" t="s">
        <v>52</v>
      </c>
      <c r="BH230" s="135"/>
      <c r="BI230" s="314"/>
      <c r="BJ230" s="314"/>
      <c r="BK230" s="24"/>
      <c r="BL230" s="24"/>
      <c r="BM230" s="24"/>
      <c r="BN230" s="24"/>
      <c r="BO230" s="24"/>
      <c r="BP230" s="24"/>
      <c r="BQ230" s="24"/>
      <c r="BR230" s="43"/>
      <c r="BS230" s="24"/>
      <c r="BT230" s="24"/>
      <c r="BU230" s="24"/>
      <c r="BV230" s="132" t="e">
        <f>IF(#REF!="COMPLETO","OK","PENDIENTES")</f>
        <v>#REF!</v>
      </c>
      <c r="BW230" s="132"/>
      <c r="BX230" s="132"/>
      <c r="BY230" s="132"/>
      <c r="BZ230" s="132"/>
      <c r="CA230" s="132"/>
      <c r="CB230" s="132"/>
      <c r="CC230" s="22"/>
      <c r="CG230" s="24" t="s">
        <v>105</v>
      </c>
      <c r="CH230" s="24"/>
      <c r="CI230" s="24"/>
      <c r="CJ230" s="24"/>
    </row>
    <row r="231" spans="1:88" ht="15" customHeight="1">
      <c r="A231" s="18">
        <v>2017</v>
      </c>
      <c r="B231" s="18" t="str">
        <f>+INDEX(BDD!F:F,MATCH(P231,BDD!D:D,0))&amp;"-"&amp;INDEX(BDD!E:E,MATCH(P231,BDD!D:D,0))</f>
        <v>G-C</v>
      </c>
      <c r="C231" s="360" t="s">
        <v>484</v>
      </c>
      <c r="D231" s="150" t="s">
        <v>77</v>
      </c>
      <c r="E231" s="132"/>
      <c r="F231" s="24"/>
      <c r="G231" s="346"/>
      <c r="H231" s="25" t="s">
        <v>1240</v>
      </c>
      <c r="I231" s="329"/>
      <c r="J231" s="346"/>
      <c r="K231" s="24"/>
      <c r="L231" s="24"/>
      <c r="M231" s="24"/>
      <c r="N231" s="340"/>
      <c r="O231" s="334">
        <v>206573</v>
      </c>
      <c r="P231" s="25" t="s">
        <v>226</v>
      </c>
      <c r="Q231" s="127" t="s">
        <v>163</v>
      </c>
      <c r="R231" s="128" t="s">
        <v>544</v>
      </c>
      <c r="S231" s="24">
        <v>43084</v>
      </c>
      <c r="T231" s="36" t="s">
        <v>19</v>
      </c>
      <c r="U231" s="125"/>
      <c r="V231" s="88" t="s">
        <v>1241</v>
      </c>
      <c r="W231" s="129"/>
      <c r="X231" s="88">
        <v>43132</v>
      </c>
      <c r="Y231" s="130" t="s">
        <v>20</v>
      </c>
      <c r="Z231" s="133" t="s">
        <v>60</v>
      </c>
      <c r="AA231" s="133"/>
      <c r="AB231" s="158">
        <v>1300</v>
      </c>
      <c r="AC231" s="134">
        <v>276</v>
      </c>
      <c r="AD231" s="134"/>
      <c r="AE231" s="403">
        <f t="shared" si="10"/>
        <v>358800</v>
      </c>
      <c r="AF231" s="132" t="str">
        <f>IF(W231=BDD!$P$1,IMPORTS!AB231/25,IF(W231=BDD!$P$2,IMPORTS!AB231/25,IF(IMPORTS!W231=BDD!$P$4,IMPORTS!AB231/25.5,"--")))</f>
        <v>--</v>
      </c>
      <c r="AG231" s="130" t="s">
        <v>46</v>
      </c>
      <c r="AH231" s="130"/>
      <c r="AI231" s="130" t="s">
        <v>100</v>
      </c>
      <c r="AJ231" s="130"/>
      <c r="AK231" s="130"/>
      <c r="AL231" s="135" t="s">
        <v>1043</v>
      </c>
      <c r="AM231" s="314"/>
      <c r="AN231" s="26"/>
      <c r="AO231" s="26"/>
      <c r="AP231" s="26"/>
      <c r="AQ231" s="26">
        <f>+AQ230+2</f>
        <v>43153</v>
      </c>
      <c r="AR231" s="24"/>
      <c r="AS231" s="24"/>
      <c r="AT231" s="24">
        <v>43156</v>
      </c>
      <c r="AU231" s="418">
        <f t="shared" si="11"/>
        <v>2</v>
      </c>
      <c r="AV231" s="418">
        <f t="shared" si="12"/>
        <v>2018</v>
      </c>
      <c r="AW231" s="24"/>
      <c r="AX231" s="28"/>
      <c r="AY231" s="28" t="s">
        <v>269</v>
      </c>
      <c r="AZ231" s="132" t="s">
        <v>25</v>
      </c>
      <c r="BA231" s="132"/>
      <c r="BB231" s="24"/>
      <c r="BC231" s="135">
        <v>12</v>
      </c>
      <c r="BD231" s="24">
        <v>43121</v>
      </c>
      <c r="BE231" s="135" t="s">
        <v>1239</v>
      </c>
      <c r="BF231" s="135" t="s">
        <v>1239</v>
      </c>
      <c r="BG231" s="135" t="s">
        <v>52</v>
      </c>
      <c r="BH231" s="135"/>
      <c r="BI231" s="314"/>
      <c r="BJ231" s="314"/>
      <c r="BK231" s="24"/>
      <c r="BL231" s="24"/>
      <c r="BM231" s="24"/>
      <c r="BN231" s="24"/>
      <c r="BO231" s="24"/>
      <c r="BP231" s="24"/>
      <c r="BQ231" s="24"/>
      <c r="BR231" s="43"/>
      <c r="BS231" s="24"/>
      <c r="BT231" s="24"/>
      <c r="BU231" s="24"/>
      <c r="BV231" s="132" t="e">
        <f>IF(#REF!="COMPLETO","OK","PENDIENTES")</f>
        <v>#REF!</v>
      </c>
      <c r="BW231" s="132"/>
      <c r="BX231" s="132"/>
      <c r="BY231" s="132"/>
      <c r="BZ231" s="132"/>
      <c r="CA231" s="132"/>
      <c r="CB231" s="132"/>
      <c r="CC231" s="22"/>
      <c r="CG231" s="24" t="s">
        <v>105</v>
      </c>
      <c r="CH231" s="24"/>
      <c r="CI231" s="24"/>
      <c r="CJ231" s="24"/>
    </row>
    <row r="232" spans="1:88" ht="15" customHeight="1">
      <c r="A232" s="18">
        <v>2017</v>
      </c>
      <c r="B232" s="18" t="str">
        <f>+INDEX(BDD!F:F,MATCH(P232,BDD!D:D,0))&amp;"-"&amp;INDEX(BDD!E:E,MATCH(P232,BDD!D:D,0))</f>
        <v>G-C</v>
      </c>
      <c r="C232" s="360" t="s">
        <v>484</v>
      </c>
      <c r="D232" s="150" t="s">
        <v>77</v>
      </c>
      <c r="E232" s="132"/>
      <c r="F232" s="24"/>
      <c r="G232" s="346"/>
      <c r="H232" s="25" t="s">
        <v>1242</v>
      </c>
      <c r="I232" s="329"/>
      <c r="J232" s="346"/>
      <c r="K232" s="24"/>
      <c r="L232" s="24"/>
      <c r="M232" s="24"/>
      <c r="N232" s="340"/>
      <c r="O232" s="334">
        <v>206573</v>
      </c>
      <c r="P232" s="25" t="s">
        <v>226</v>
      </c>
      <c r="Q232" s="127" t="s">
        <v>163</v>
      </c>
      <c r="R232" s="128" t="s">
        <v>544</v>
      </c>
      <c r="S232" s="24">
        <v>43084</v>
      </c>
      <c r="T232" s="36" t="s">
        <v>19</v>
      </c>
      <c r="U232" s="125"/>
      <c r="V232" s="88" t="s">
        <v>1243</v>
      </c>
      <c r="W232" s="129"/>
      <c r="X232" s="88">
        <v>43132</v>
      </c>
      <c r="Y232" s="130" t="s">
        <v>20</v>
      </c>
      <c r="Z232" s="133" t="s">
        <v>60</v>
      </c>
      <c r="AA232" s="133"/>
      <c r="AB232" s="158">
        <v>500</v>
      </c>
      <c r="AC232" s="134">
        <v>276</v>
      </c>
      <c r="AD232" s="134"/>
      <c r="AE232" s="403">
        <f t="shared" si="10"/>
        <v>138000</v>
      </c>
      <c r="AF232" s="132" t="str">
        <f>IF(W232=BDD!$P$1,IMPORTS!AB232/25,IF(W232=BDD!$P$2,IMPORTS!AB232/25,IF(IMPORTS!W232=BDD!$P$4,IMPORTS!AB232/25.5,"--")))</f>
        <v>--</v>
      </c>
      <c r="AG232" s="130" t="s">
        <v>46</v>
      </c>
      <c r="AH232" s="130"/>
      <c r="AI232" s="130" t="s">
        <v>100</v>
      </c>
      <c r="AJ232" s="130"/>
      <c r="AK232" s="130"/>
      <c r="AL232" s="135" t="s">
        <v>1043</v>
      </c>
      <c r="AM232" s="314"/>
      <c r="AN232" s="26"/>
      <c r="AO232" s="26"/>
      <c r="AP232" s="26"/>
      <c r="AQ232" s="26">
        <f>+AQ231+2</f>
        <v>43155</v>
      </c>
      <c r="AR232" s="24"/>
      <c r="AS232" s="24"/>
      <c r="AT232" s="24">
        <v>43162</v>
      </c>
      <c r="AU232" s="418">
        <f t="shared" si="11"/>
        <v>3</v>
      </c>
      <c r="AV232" s="418">
        <f t="shared" si="12"/>
        <v>2018</v>
      </c>
      <c r="AW232" s="24"/>
      <c r="AX232" s="28"/>
      <c r="AY232" s="28" t="s">
        <v>269</v>
      </c>
      <c r="AZ232" s="132" t="s">
        <v>37</v>
      </c>
      <c r="BA232" s="132"/>
      <c r="BB232" s="24"/>
      <c r="BC232" s="135">
        <v>13</v>
      </c>
      <c r="BD232" s="24">
        <v>43121</v>
      </c>
      <c r="BE232" s="135" t="s">
        <v>1239</v>
      </c>
      <c r="BF232" s="135" t="s">
        <v>1239</v>
      </c>
      <c r="BG232" s="135" t="s">
        <v>52</v>
      </c>
      <c r="BH232" s="135"/>
      <c r="BI232" s="314"/>
      <c r="BJ232" s="314"/>
      <c r="BK232" s="24"/>
      <c r="BL232" s="24"/>
      <c r="BM232" s="24"/>
      <c r="BN232" s="24"/>
      <c r="BO232" s="24"/>
      <c r="BP232" s="24"/>
      <c r="BQ232" s="24"/>
      <c r="BR232" s="43"/>
      <c r="BS232" s="24"/>
      <c r="BT232" s="24"/>
      <c r="BU232" s="24"/>
      <c r="BV232" s="132" t="e">
        <f>IF(#REF!="COMPLETO","OK","PENDIENTES")</f>
        <v>#REF!</v>
      </c>
      <c r="BW232" s="132"/>
      <c r="BX232" s="132"/>
      <c r="BY232" s="132"/>
      <c r="BZ232" s="132"/>
      <c r="CA232" s="132"/>
      <c r="CB232" s="132"/>
      <c r="CC232" s="22"/>
      <c r="CG232" s="24" t="s">
        <v>105</v>
      </c>
      <c r="CH232" s="24"/>
      <c r="CI232" s="24"/>
      <c r="CJ232" s="24"/>
    </row>
    <row r="233" spans="1:88" ht="15" customHeight="1">
      <c r="A233" s="18">
        <v>2017</v>
      </c>
      <c r="B233" s="18" t="str">
        <f>+INDEX(BDD!F:F,MATCH(P233,BDD!D:D,0))&amp;"-"&amp;INDEX(BDD!E:E,MATCH(P233,BDD!D:D,0))</f>
        <v>S-S</v>
      </c>
      <c r="C233" s="360" t="s">
        <v>484</v>
      </c>
      <c r="D233" s="150" t="s">
        <v>77</v>
      </c>
      <c r="E233" s="132"/>
      <c r="F233" s="24"/>
      <c r="G233" s="346"/>
      <c r="H233" s="25" t="s">
        <v>1244</v>
      </c>
      <c r="I233" s="329"/>
      <c r="J233" s="346"/>
      <c r="K233" s="24"/>
      <c r="L233" s="24"/>
      <c r="M233" s="24"/>
      <c r="N233" s="340"/>
      <c r="O233" s="334">
        <v>206914</v>
      </c>
      <c r="P233" s="25" t="s">
        <v>335</v>
      </c>
      <c r="Q233" s="127" t="s">
        <v>264</v>
      </c>
      <c r="R233" s="128" t="s">
        <v>1245</v>
      </c>
      <c r="S233" s="24">
        <v>43097</v>
      </c>
      <c r="T233" s="36">
        <v>60</v>
      </c>
      <c r="U233" s="125" t="s">
        <v>118</v>
      </c>
      <c r="V233" s="128" t="s">
        <v>1245</v>
      </c>
      <c r="W233" s="151"/>
      <c r="X233" s="88">
        <v>43238</v>
      </c>
      <c r="Y233" s="130" t="s">
        <v>20</v>
      </c>
      <c r="Z233" s="133" t="s">
        <v>60</v>
      </c>
      <c r="AA233" s="133"/>
      <c r="AB233" s="148">
        <v>900</v>
      </c>
      <c r="AC233" s="134">
        <v>141</v>
      </c>
      <c r="AD233" s="134"/>
      <c r="AE233" s="403">
        <f t="shared" si="10"/>
        <v>126900</v>
      </c>
      <c r="AF233" s="132" t="str">
        <f>IF(W233=BDD!$P$1,IMPORTS!AB233/25,IF(W233=BDD!$P$2,IMPORTS!AB233/25,IF(IMPORTS!W233=BDD!$P$4,IMPORTS!AB233/25.5,"--")))</f>
        <v>--</v>
      </c>
      <c r="AG233" s="130" t="s">
        <v>58</v>
      </c>
      <c r="AH233" s="130"/>
      <c r="AI233" s="130" t="s">
        <v>34</v>
      </c>
      <c r="AJ233" s="130"/>
      <c r="AK233" s="130"/>
      <c r="AL233" s="135" t="s">
        <v>1187</v>
      </c>
      <c r="AM233" s="314"/>
      <c r="AN233" s="26"/>
      <c r="AO233" s="26"/>
      <c r="AP233" s="26"/>
      <c r="AQ233" s="26">
        <v>43258</v>
      </c>
      <c r="AR233" s="24"/>
      <c r="AS233" s="24"/>
      <c r="AT233" s="26">
        <v>43266</v>
      </c>
      <c r="AU233" s="418">
        <f t="shared" si="11"/>
        <v>6</v>
      </c>
      <c r="AV233" s="418">
        <f t="shared" si="12"/>
        <v>2018</v>
      </c>
      <c r="AW233" s="26"/>
      <c r="AX233" s="28"/>
      <c r="AY233" s="28" t="s">
        <v>95</v>
      </c>
      <c r="AZ233" s="132" t="s">
        <v>37</v>
      </c>
      <c r="BA233" s="132"/>
      <c r="BB233" s="26"/>
      <c r="BC233" s="135" t="s">
        <v>1246</v>
      </c>
      <c r="BD233" s="24">
        <v>43152</v>
      </c>
      <c r="BE233" s="135" t="s">
        <v>1247</v>
      </c>
      <c r="BF233" s="135" t="s">
        <v>1247</v>
      </c>
      <c r="BG233" s="135" t="s">
        <v>52</v>
      </c>
      <c r="BH233" s="135"/>
      <c r="BI233" s="314"/>
      <c r="BJ233" s="314"/>
      <c r="BK233" s="24"/>
      <c r="BL233" s="24"/>
      <c r="BM233" s="24"/>
      <c r="BN233" s="24"/>
      <c r="BO233" s="24"/>
      <c r="BP233" s="24"/>
      <c r="BQ233" s="24"/>
      <c r="BR233" s="43"/>
      <c r="BS233" s="24"/>
      <c r="BT233" s="24"/>
      <c r="BU233" s="24"/>
      <c r="BV233" s="132" t="e">
        <f>IF(#REF!="COMPLETO","OK","PENDIENTES")</f>
        <v>#REF!</v>
      </c>
      <c r="BW233" s="132"/>
      <c r="BX233" s="132"/>
      <c r="BY233" s="132"/>
      <c r="BZ233" s="132"/>
      <c r="CA233" s="132"/>
      <c r="CB233" s="132"/>
      <c r="CC233" s="22"/>
      <c r="CG233" s="24" t="s">
        <v>105</v>
      </c>
      <c r="CH233" s="24"/>
      <c r="CI233" s="26"/>
      <c r="CJ233" s="26"/>
    </row>
    <row r="234" spans="1:88" ht="15" customHeight="1">
      <c r="A234" s="18">
        <v>2018</v>
      </c>
      <c r="B234" s="18" t="str">
        <f>+INDEX(BDD!F:F,MATCH(P234,BDD!D:D,0))&amp;"-"&amp;INDEX(BDD!E:E,MATCH(P234,BDD!D:D,0))</f>
        <v>S-S</v>
      </c>
      <c r="C234" s="360" t="s">
        <v>484</v>
      </c>
      <c r="D234" s="152" t="s">
        <v>20</v>
      </c>
      <c r="E234" s="132"/>
      <c r="F234" s="24"/>
      <c r="G234" s="346"/>
      <c r="H234" s="25" t="s">
        <v>1248</v>
      </c>
      <c r="I234" s="329"/>
      <c r="J234" s="346"/>
      <c r="K234" s="24"/>
      <c r="L234" s="24"/>
      <c r="M234" s="24"/>
      <c r="N234" s="340"/>
      <c r="O234" s="334"/>
      <c r="P234" s="25" t="s">
        <v>152</v>
      </c>
      <c r="Q234" s="127" t="s">
        <v>231</v>
      </c>
      <c r="R234" s="128"/>
      <c r="S234" s="24"/>
      <c r="T234" s="36"/>
      <c r="U234" s="125"/>
      <c r="V234" s="88"/>
      <c r="W234" s="129"/>
      <c r="X234" s="88"/>
      <c r="Y234" s="130"/>
      <c r="Z234" s="133"/>
      <c r="AA234" s="133"/>
      <c r="AB234" s="148"/>
      <c r="AC234" s="134"/>
      <c r="AD234" s="134"/>
      <c r="AE234" s="403">
        <f t="shared" si="10"/>
        <v>0</v>
      </c>
      <c r="AF234" s="132"/>
      <c r="AG234" s="130"/>
      <c r="AH234" s="130"/>
      <c r="AI234" s="130"/>
      <c r="AJ234" s="130"/>
      <c r="AK234" s="130"/>
      <c r="AL234" s="135"/>
      <c r="AM234" s="314"/>
      <c r="AN234" s="26"/>
      <c r="AO234" s="26"/>
      <c r="AP234" s="26"/>
      <c r="AQ234" s="26"/>
      <c r="AR234" s="24"/>
      <c r="AS234" s="24"/>
      <c r="AT234" s="24"/>
      <c r="AU234" s="418">
        <f t="shared" si="11"/>
        <v>1</v>
      </c>
      <c r="AV234" s="418">
        <f t="shared" si="12"/>
        <v>1900</v>
      </c>
      <c r="AW234" s="24"/>
      <c r="AX234" s="28"/>
      <c r="AY234" s="28"/>
      <c r="AZ234" s="132"/>
      <c r="BA234" s="132"/>
      <c r="BB234" s="24"/>
      <c r="BC234" s="135"/>
      <c r="BD234" s="24"/>
      <c r="BE234" s="135"/>
      <c r="BF234" s="135"/>
      <c r="BG234" s="135"/>
      <c r="BH234" s="135"/>
      <c r="BI234" s="314"/>
      <c r="BJ234" s="314"/>
      <c r="BK234" s="24"/>
      <c r="BL234" s="24"/>
      <c r="BM234" s="24"/>
      <c r="BN234" s="24"/>
      <c r="BO234" s="24"/>
      <c r="BP234" s="24"/>
      <c r="BQ234" s="24"/>
      <c r="BR234" s="43"/>
      <c r="BS234" s="24"/>
      <c r="BT234" s="24"/>
      <c r="BU234" s="24"/>
      <c r="BV234" s="132"/>
      <c r="BW234" s="132"/>
      <c r="BX234" s="132"/>
      <c r="BY234" s="132"/>
      <c r="BZ234" s="132"/>
      <c r="CA234" s="132"/>
      <c r="CB234" s="132"/>
      <c r="CC234" s="22"/>
      <c r="CD234" s="22"/>
      <c r="CE234" s="22"/>
      <c r="CF234" s="22"/>
      <c r="CG234" s="24"/>
      <c r="CH234" s="24"/>
      <c r="CI234" s="24"/>
      <c r="CJ234" s="24"/>
    </row>
    <row r="235" spans="1:88" ht="15" customHeight="1">
      <c r="A235" s="18">
        <v>2018</v>
      </c>
      <c r="B235" s="18" t="str">
        <f>+INDEX(BDD!F:F,MATCH(P235,BDD!D:D,0))&amp;"-"&amp;INDEX(BDD!E:E,MATCH(P235,BDD!D:D,0))</f>
        <v>S-S</v>
      </c>
      <c r="C235" s="360" t="s">
        <v>484</v>
      </c>
      <c r="D235" s="150" t="s">
        <v>77</v>
      </c>
      <c r="E235" s="132"/>
      <c r="F235" s="24"/>
      <c r="G235" s="346"/>
      <c r="H235" s="25" t="s">
        <v>1249</v>
      </c>
      <c r="I235" s="329"/>
      <c r="J235" s="346"/>
      <c r="K235" s="24"/>
      <c r="L235" s="24"/>
      <c r="M235" s="24"/>
      <c r="N235" s="340"/>
      <c r="O235" s="334">
        <v>206971</v>
      </c>
      <c r="P235" s="25" t="s">
        <v>340</v>
      </c>
      <c r="Q235" s="127" t="s">
        <v>175</v>
      </c>
      <c r="R235" s="128">
        <v>4921</v>
      </c>
      <c r="S235" s="24">
        <v>43104</v>
      </c>
      <c r="T235" s="36" t="s">
        <v>19</v>
      </c>
      <c r="U235" s="125"/>
      <c r="V235" s="155">
        <v>18010036</v>
      </c>
      <c r="W235" s="129"/>
      <c r="X235" s="88">
        <v>43139</v>
      </c>
      <c r="Y235" s="130" t="s">
        <v>20</v>
      </c>
      <c r="Z235" s="133" t="s">
        <v>81</v>
      </c>
      <c r="AA235" s="133"/>
      <c r="AB235" s="148">
        <v>150</v>
      </c>
      <c r="AC235" s="134">
        <v>526</v>
      </c>
      <c r="AD235" s="134"/>
      <c r="AE235" s="403">
        <f t="shared" si="10"/>
        <v>78900</v>
      </c>
      <c r="AF235" s="132">
        <v>6</v>
      </c>
      <c r="AG235" s="130" t="s">
        <v>5</v>
      </c>
      <c r="AH235" s="130"/>
      <c r="AI235" s="130" t="s">
        <v>34</v>
      </c>
      <c r="AJ235" s="130"/>
      <c r="AK235" s="130"/>
      <c r="AL235" s="135" t="s">
        <v>1043</v>
      </c>
      <c r="AM235" s="314"/>
      <c r="AN235" s="26"/>
      <c r="AO235" s="26"/>
      <c r="AP235" s="26"/>
      <c r="AQ235" s="26">
        <v>43201</v>
      </c>
      <c r="AR235" s="24"/>
      <c r="AS235" s="24"/>
      <c r="AT235" s="26">
        <v>43203</v>
      </c>
      <c r="AU235" s="418">
        <f t="shared" si="11"/>
        <v>4</v>
      </c>
      <c r="AV235" s="418">
        <f t="shared" si="12"/>
        <v>2018</v>
      </c>
      <c r="AW235" s="26"/>
      <c r="AX235" s="28"/>
      <c r="AY235" s="28" t="s">
        <v>239</v>
      </c>
      <c r="AZ235" s="132" t="s">
        <v>62</v>
      </c>
      <c r="BA235" s="132"/>
      <c r="BB235" s="26"/>
      <c r="BC235" s="132">
        <v>100850020189</v>
      </c>
      <c r="BD235" s="24">
        <v>43128</v>
      </c>
      <c r="BE235" s="135" t="s">
        <v>1250</v>
      </c>
      <c r="BF235" s="135" t="s">
        <v>1251</v>
      </c>
      <c r="BG235" s="135" t="s">
        <v>53</v>
      </c>
      <c r="BH235" s="135"/>
      <c r="BI235" s="314"/>
      <c r="BJ235" s="314"/>
      <c r="BK235" s="24"/>
      <c r="BL235" s="24"/>
      <c r="BM235" s="24"/>
      <c r="BN235" s="24"/>
      <c r="BO235" s="24"/>
      <c r="BP235" s="24"/>
      <c r="BQ235" s="24"/>
      <c r="BR235" s="43"/>
      <c r="BS235" s="24"/>
      <c r="BT235" s="24"/>
      <c r="BU235" s="24"/>
      <c r="BV235" s="132" t="e">
        <f>IF(#REF!="COMPLETO","OK","PENDIENTES")</f>
        <v>#REF!</v>
      </c>
      <c r="BW235" s="132"/>
      <c r="BX235" s="132"/>
      <c r="BY235" s="132"/>
      <c r="BZ235" s="132"/>
      <c r="CA235" s="132"/>
      <c r="CB235" s="132"/>
      <c r="CC235" s="22"/>
      <c r="CG235" s="24" t="s">
        <v>105</v>
      </c>
      <c r="CH235" s="24"/>
      <c r="CI235" s="26"/>
      <c r="CJ235" s="26"/>
    </row>
    <row r="236" spans="1:88" ht="13.5" customHeight="1">
      <c r="A236" s="18">
        <v>2018</v>
      </c>
      <c r="B236" s="18" t="str">
        <f>+INDEX(BDD!F:F,MATCH(P236,BDD!D:D,0))&amp;"-"&amp;INDEX(BDD!E:E,MATCH(P236,BDD!D:D,0))</f>
        <v>G-S</v>
      </c>
      <c r="C236" s="360" t="s">
        <v>484</v>
      </c>
      <c r="D236" s="150" t="s">
        <v>77</v>
      </c>
      <c r="E236" s="132"/>
      <c r="F236" s="24"/>
      <c r="G236" s="346"/>
      <c r="H236" s="25" t="s">
        <v>1252</v>
      </c>
      <c r="I236" s="329"/>
      <c r="J236" s="346"/>
      <c r="K236" s="24"/>
      <c r="L236" s="24"/>
      <c r="M236" s="24"/>
      <c r="N236" s="340"/>
      <c r="O236" s="334">
        <v>206599</v>
      </c>
      <c r="P236" s="25" t="s">
        <v>339</v>
      </c>
      <c r="Q236" s="127" t="s">
        <v>175</v>
      </c>
      <c r="R236" s="128">
        <v>4928</v>
      </c>
      <c r="S236" s="24">
        <v>43109</v>
      </c>
      <c r="T236" s="36" t="s">
        <v>19</v>
      </c>
      <c r="U236" s="125"/>
      <c r="V236" s="155">
        <v>18010044</v>
      </c>
      <c r="W236" s="129"/>
      <c r="X236" s="88">
        <v>43117</v>
      </c>
      <c r="Y236" s="130" t="s">
        <v>20</v>
      </c>
      <c r="Z236" s="133" t="s">
        <v>81</v>
      </c>
      <c r="AA236" s="133"/>
      <c r="AB236" s="148">
        <v>504</v>
      </c>
      <c r="AC236" s="134">
        <v>501</v>
      </c>
      <c r="AD236" s="134"/>
      <c r="AE236" s="403">
        <f t="shared" si="10"/>
        <v>252504</v>
      </c>
      <c r="AF236" s="132">
        <v>21</v>
      </c>
      <c r="AG236" s="130" t="s">
        <v>5</v>
      </c>
      <c r="AH236" s="130"/>
      <c r="AI236" s="130" t="s">
        <v>71</v>
      </c>
      <c r="AJ236" s="130"/>
      <c r="AK236" s="130"/>
      <c r="AL236" s="135" t="s">
        <v>1043</v>
      </c>
      <c r="AM236" s="314"/>
      <c r="AN236" s="26"/>
      <c r="AO236" s="26"/>
      <c r="AP236" s="26"/>
      <c r="AQ236" s="26">
        <v>43194</v>
      </c>
      <c r="AR236" s="24"/>
      <c r="AS236" s="24"/>
      <c r="AT236" s="24">
        <v>43197</v>
      </c>
      <c r="AU236" s="418">
        <f t="shared" si="11"/>
        <v>4</v>
      </c>
      <c r="AV236" s="418">
        <f t="shared" si="12"/>
        <v>2018</v>
      </c>
      <c r="AW236" s="24"/>
      <c r="AX236" s="28"/>
      <c r="AY236" s="28" t="s">
        <v>239</v>
      </c>
      <c r="AZ236" s="132" t="s">
        <v>37</v>
      </c>
      <c r="BA236" s="132"/>
      <c r="BB236" s="24"/>
      <c r="BC236" s="132">
        <v>102800004445</v>
      </c>
      <c r="BD236" s="24">
        <v>43131</v>
      </c>
      <c r="BE236" s="135" t="s">
        <v>1253</v>
      </c>
      <c r="BF236" s="135" t="s">
        <v>1254</v>
      </c>
      <c r="BG236" s="135" t="s">
        <v>53</v>
      </c>
      <c r="BH236" s="135"/>
      <c r="BI236" s="314"/>
      <c r="BJ236" s="314"/>
      <c r="BK236" s="24"/>
      <c r="BL236" s="24"/>
      <c r="BM236" s="24"/>
      <c r="BN236" s="24"/>
      <c r="BO236" s="24"/>
      <c r="BP236" s="24"/>
      <c r="BQ236" s="24"/>
      <c r="BR236" s="43"/>
      <c r="BS236" s="24"/>
      <c r="BT236" s="24"/>
      <c r="BU236" s="24"/>
      <c r="BV236" s="132" t="e">
        <f>IF(#REF!="COMPLETO","OK","PENDIENTES")</f>
        <v>#REF!</v>
      </c>
      <c r="BW236" s="132"/>
      <c r="BX236" s="132"/>
      <c r="BY236" s="132"/>
      <c r="BZ236" s="132"/>
      <c r="CA236" s="132"/>
      <c r="CB236" s="132"/>
      <c r="CC236" s="22"/>
      <c r="CG236" s="24" t="s">
        <v>105</v>
      </c>
      <c r="CH236" s="24"/>
      <c r="CI236" s="24"/>
      <c r="CJ236" s="24"/>
    </row>
    <row r="237" spans="1:88" ht="13.5" customHeight="1">
      <c r="A237" s="18">
        <v>2018</v>
      </c>
      <c r="B237" s="18" t="str">
        <f>+INDEX(BDD!F:F,MATCH(P237,BDD!D:D,0))&amp;"-"&amp;INDEX(BDD!E:E,MATCH(P237,BDD!D:D,0))</f>
        <v>S-P</v>
      </c>
      <c r="C237" s="360" t="s">
        <v>484</v>
      </c>
      <c r="D237" s="150" t="s">
        <v>77</v>
      </c>
      <c r="E237" s="132"/>
      <c r="F237" s="24"/>
      <c r="G237" s="346">
        <v>8000000001</v>
      </c>
      <c r="H237" s="25" t="s">
        <v>1255</v>
      </c>
      <c r="I237" s="329"/>
      <c r="J237" s="346">
        <v>8000000001</v>
      </c>
      <c r="K237" s="24"/>
      <c r="L237" s="24"/>
      <c r="M237" s="24"/>
      <c r="N237" s="340" t="s">
        <v>486</v>
      </c>
      <c r="O237" s="334">
        <v>207374</v>
      </c>
      <c r="P237" s="25" t="s">
        <v>232</v>
      </c>
      <c r="Q237" s="127" t="s">
        <v>288</v>
      </c>
      <c r="R237" s="128" t="s">
        <v>1256</v>
      </c>
      <c r="S237" s="24">
        <v>43124</v>
      </c>
      <c r="T237" s="493" t="s">
        <v>4</v>
      </c>
      <c r="U237" s="493"/>
      <c r="V237" s="88" t="s">
        <v>1257</v>
      </c>
      <c r="W237" s="129"/>
      <c r="X237" s="88">
        <v>43202</v>
      </c>
      <c r="Y237" s="130" t="s">
        <v>20</v>
      </c>
      <c r="Z237" s="133" t="s">
        <v>60</v>
      </c>
      <c r="AA237" s="133"/>
      <c r="AB237" s="148">
        <v>240</v>
      </c>
      <c r="AC237" s="134">
        <v>315</v>
      </c>
      <c r="AD237" s="134"/>
      <c r="AE237" s="403">
        <f t="shared" si="10"/>
        <v>75600</v>
      </c>
      <c r="AF237" s="132">
        <v>10</v>
      </c>
      <c r="AG237" s="130" t="s">
        <v>5</v>
      </c>
      <c r="AH237" s="130"/>
      <c r="AI237" s="130" t="s">
        <v>34</v>
      </c>
      <c r="AJ237" s="130"/>
      <c r="AK237" s="130"/>
      <c r="AL237" s="135" t="s">
        <v>503</v>
      </c>
      <c r="AM237" s="314"/>
      <c r="AN237" s="26"/>
      <c r="AO237" s="26"/>
      <c r="AP237" s="26"/>
      <c r="AQ237" s="26">
        <v>43266</v>
      </c>
      <c r="AR237" s="24"/>
      <c r="AS237" s="24"/>
      <c r="AT237" s="26">
        <v>43270</v>
      </c>
      <c r="AU237" s="418">
        <f t="shared" si="11"/>
        <v>6</v>
      </c>
      <c r="AV237" s="418">
        <f t="shared" si="12"/>
        <v>2018</v>
      </c>
      <c r="AW237" s="26"/>
      <c r="AX237" s="28"/>
      <c r="AY237" s="28" t="s">
        <v>269</v>
      </c>
      <c r="AZ237" s="132" t="s">
        <v>37</v>
      </c>
      <c r="BA237" s="132"/>
      <c r="BB237" s="26"/>
      <c r="BC237" s="135" t="s">
        <v>1258</v>
      </c>
      <c r="BD237" s="24">
        <v>43227</v>
      </c>
      <c r="BE237" s="135" t="s">
        <v>931</v>
      </c>
      <c r="BF237" s="135" t="s">
        <v>814</v>
      </c>
      <c r="BG237" s="135" t="s">
        <v>29</v>
      </c>
      <c r="BH237" s="135"/>
      <c r="BI237" s="314"/>
      <c r="BJ237" s="314"/>
      <c r="BK237" s="24"/>
      <c r="BL237" s="24"/>
      <c r="BM237" s="24"/>
      <c r="BN237" s="24"/>
      <c r="BO237" s="24"/>
      <c r="BP237" s="24"/>
      <c r="BQ237" s="24"/>
      <c r="BR237" s="43"/>
      <c r="BS237" s="24"/>
      <c r="BT237" s="24"/>
      <c r="BU237" s="24"/>
      <c r="BV237" s="132" t="e">
        <f>IF(#REF!="COMPLETO","OK","PENDIENTES")</f>
        <v>#REF!</v>
      </c>
      <c r="BW237" s="132"/>
      <c r="BX237" s="132"/>
      <c r="BY237" s="132"/>
      <c r="BZ237" s="132"/>
      <c r="CA237" s="132"/>
      <c r="CB237" s="132"/>
      <c r="CC237" s="22"/>
      <c r="CG237" s="24" t="s">
        <v>105</v>
      </c>
      <c r="CH237" s="24"/>
      <c r="CI237" s="26"/>
      <c r="CJ237" s="26"/>
    </row>
    <row r="238" spans="1:88" ht="15" customHeight="1">
      <c r="A238" s="18">
        <v>2018</v>
      </c>
      <c r="B238" s="18" t="str">
        <f>+INDEX(BDD!F:F,MATCH(P238,BDD!D:D,0))&amp;"-"&amp;INDEX(BDD!E:E,MATCH(P238,BDD!D:D,0))</f>
        <v>S-P</v>
      </c>
      <c r="C238" s="360" t="s">
        <v>484</v>
      </c>
      <c r="D238" s="150" t="s">
        <v>77</v>
      </c>
      <c r="E238" s="132"/>
      <c r="F238" s="24"/>
      <c r="G238" s="346">
        <v>8000000002</v>
      </c>
      <c r="H238" s="25" t="s">
        <v>1259</v>
      </c>
      <c r="I238" s="329"/>
      <c r="J238" s="346">
        <v>8000000002</v>
      </c>
      <c r="K238" s="24"/>
      <c r="L238" s="24"/>
      <c r="M238" s="24"/>
      <c r="N238" s="340" t="s">
        <v>486</v>
      </c>
      <c r="O238" s="334">
        <v>207374</v>
      </c>
      <c r="P238" s="25" t="s">
        <v>232</v>
      </c>
      <c r="Q238" s="127" t="s">
        <v>288</v>
      </c>
      <c r="R238" s="128" t="s">
        <v>1260</v>
      </c>
      <c r="S238" s="24">
        <v>43124</v>
      </c>
      <c r="T238" s="493" t="s">
        <v>4</v>
      </c>
      <c r="U238" s="493"/>
      <c r="V238" s="88" t="s">
        <v>1261</v>
      </c>
      <c r="W238" s="129"/>
      <c r="X238" s="88">
        <v>43202</v>
      </c>
      <c r="Y238" s="130" t="s">
        <v>20</v>
      </c>
      <c r="Z238" s="133" t="s">
        <v>60</v>
      </c>
      <c r="AA238" s="133"/>
      <c r="AB238" s="148">
        <v>240</v>
      </c>
      <c r="AC238" s="134">
        <v>320</v>
      </c>
      <c r="AD238" s="134"/>
      <c r="AE238" s="403">
        <f t="shared" si="10"/>
        <v>76800</v>
      </c>
      <c r="AF238" s="132">
        <v>10</v>
      </c>
      <c r="AG238" s="130" t="s">
        <v>5</v>
      </c>
      <c r="AH238" s="130"/>
      <c r="AI238" s="130" t="s">
        <v>34</v>
      </c>
      <c r="AJ238" s="130"/>
      <c r="AK238" s="130"/>
      <c r="AL238" s="135" t="s">
        <v>503</v>
      </c>
      <c r="AM238" s="314"/>
      <c r="AN238" s="26"/>
      <c r="AO238" s="26"/>
      <c r="AP238" s="26"/>
      <c r="AQ238" s="26">
        <v>43269</v>
      </c>
      <c r="AR238" s="24"/>
      <c r="AS238" s="24"/>
      <c r="AT238" s="24">
        <v>43271</v>
      </c>
      <c r="AU238" s="418">
        <f t="shared" si="11"/>
        <v>6</v>
      </c>
      <c r="AV238" s="418">
        <f t="shared" si="12"/>
        <v>2018</v>
      </c>
      <c r="AW238" s="24"/>
      <c r="AX238" s="28"/>
      <c r="AY238" s="28" t="s">
        <v>269</v>
      </c>
      <c r="AZ238" s="132" t="s">
        <v>9</v>
      </c>
      <c r="BA238" s="132"/>
      <c r="BB238" s="24"/>
      <c r="BC238" s="135" t="s">
        <v>1262</v>
      </c>
      <c r="BD238" s="24">
        <v>43227</v>
      </c>
      <c r="BE238" s="135" t="s">
        <v>931</v>
      </c>
      <c r="BF238" s="135" t="s">
        <v>932</v>
      </c>
      <c r="BG238" s="135" t="s">
        <v>29</v>
      </c>
      <c r="BH238" s="135"/>
      <c r="BI238" s="314"/>
      <c r="BJ238" s="314"/>
      <c r="BK238" s="24"/>
      <c r="BL238" s="24"/>
      <c r="BM238" s="24"/>
      <c r="BN238" s="24"/>
      <c r="BO238" s="24">
        <v>43289</v>
      </c>
      <c r="BP238" s="24"/>
      <c r="BQ238" s="24"/>
      <c r="BR238" s="43"/>
      <c r="BS238" s="24"/>
      <c r="BT238" s="24"/>
      <c r="BU238" s="24"/>
      <c r="BV238" s="132" t="e">
        <f>IF(#REF!="COMPLETO","OK","PENDIENTES")</f>
        <v>#REF!</v>
      </c>
      <c r="BW238" s="132"/>
      <c r="BX238" s="132"/>
      <c r="BY238" s="132"/>
      <c r="BZ238" s="132"/>
      <c r="CA238" s="132"/>
      <c r="CB238" s="132"/>
      <c r="CC238" s="22"/>
      <c r="CG238" s="24" t="s">
        <v>105</v>
      </c>
      <c r="CH238" s="24"/>
      <c r="CI238" s="24"/>
      <c r="CJ238" s="24"/>
    </row>
    <row r="239" spans="1:88" ht="15" customHeight="1">
      <c r="A239" s="18">
        <v>2018</v>
      </c>
      <c r="B239" s="18" t="str">
        <f>+INDEX(BDD!F:F,MATCH(P239,BDD!D:D,0))&amp;"-"&amp;INDEX(BDD!E:E,MATCH(P239,BDD!D:D,0))</f>
        <v>G-S</v>
      </c>
      <c r="C239" s="360" t="s">
        <v>484</v>
      </c>
      <c r="D239" s="150" t="s">
        <v>77</v>
      </c>
      <c r="E239" s="132"/>
      <c r="F239" s="24"/>
      <c r="G239" s="346"/>
      <c r="H239" s="25" t="s">
        <v>1263</v>
      </c>
      <c r="I239" s="329"/>
      <c r="J239" s="346"/>
      <c r="K239" s="24"/>
      <c r="L239" s="24"/>
      <c r="M239" s="24"/>
      <c r="N239" s="340"/>
      <c r="O239" s="334">
        <v>206599</v>
      </c>
      <c r="P239" s="25" t="s">
        <v>339</v>
      </c>
      <c r="Q239" s="127" t="s">
        <v>175</v>
      </c>
      <c r="R239" s="128">
        <v>4975</v>
      </c>
      <c r="S239" s="24">
        <v>43143</v>
      </c>
      <c r="T239" s="36" t="s">
        <v>19</v>
      </c>
      <c r="U239" s="125"/>
      <c r="V239" s="155">
        <v>18030032</v>
      </c>
      <c r="W239" s="129"/>
      <c r="X239" s="88">
        <v>43194</v>
      </c>
      <c r="Y239" s="130" t="s">
        <v>20</v>
      </c>
      <c r="Z239" s="133" t="s">
        <v>81</v>
      </c>
      <c r="AA239" s="133"/>
      <c r="AB239" s="148">
        <v>192</v>
      </c>
      <c r="AC239" s="134">
        <v>498</v>
      </c>
      <c r="AD239" s="134"/>
      <c r="AE239" s="403">
        <f t="shared" si="10"/>
        <v>95616</v>
      </c>
      <c r="AF239" s="132">
        <v>8</v>
      </c>
      <c r="AG239" s="130" t="s">
        <v>5</v>
      </c>
      <c r="AH239" s="130"/>
      <c r="AI239" s="130" t="s">
        <v>71</v>
      </c>
      <c r="AJ239" s="130"/>
      <c r="AK239" s="130"/>
      <c r="AL239" s="135" t="s">
        <v>1264</v>
      </c>
      <c r="AM239" s="314"/>
      <c r="AN239" s="26"/>
      <c r="AO239" s="26"/>
      <c r="AP239" s="26"/>
      <c r="AQ239" s="26">
        <v>43231</v>
      </c>
      <c r="AR239" s="24"/>
      <c r="AS239" s="24"/>
      <c r="AT239" s="24">
        <v>43235</v>
      </c>
      <c r="AU239" s="418">
        <f t="shared" si="11"/>
        <v>5</v>
      </c>
      <c r="AV239" s="418">
        <f t="shared" si="12"/>
        <v>2018</v>
      </c>
      <c r="AW239" s="24"/>
      <c r="AX239" s="28"/>
      <c r="AY239" s="28" t="s">
        <v>239</v>
      </c>
      <c r="AZ239" s="132" t="s">
        <v>37</v>
      </c>
      <c r="BA239" s="132"/>
      <c r="BB239" s="24"/>
      <c r="BC239" s="135" t="s">
        <v>1265</v>
      </c>
      <c r="BD239" s="26">
        <v>43180</v>
      </c>
      <c r="BE239" s="135" t="s">
        <v>1266</v>
      </c>
      <c r="BF239" s="135" t="s">
        <v>1267</v>
      </c>
      <c r="BG239" s="135" t="s">
        <v>14</v>
      </c>
      <c r="BH239" s="135"/>
      <c r="BI239" s="314"/>
      <c r="BJ239" s="314"/>
      <c r="BK239" s="24"/>
      <c r="BL239" s="24"/>
      <c r="BM239" s="24"/>
      <c r="BN239" s="24"/>
      <c r="BO239" s="24"/>
      <c r="BP239" s="24"/>
      <c r="BQ239" s="24"/>
      <c r="BR239" s="43"/>
      <c r="BS239" s="24"/>
      <c r="BT239" s="24"/>
      <c r="BU239" s="24"/>
      <c r="BV239" s="132" t="e">
        <f>IF(#REF!="COMPLETO","OK","PENDIENTES")</f>
        <v>#REF!</v>
      </c>
      <c r="BW239" s="132"/>
      <c r="BX239" s="132"/>
      <c r="BY239" s="132"/>
      <c r="BZ239" s="132"/>
      <c r="CA239" s="132"/>
      <c r="CB239" s="132"/>
      <c r="CC239" s="22"/>
      <c r="CG239" s="24" t="s">
        <v>105</v>
      </c>
      <c r="CH239" s="24"/>
      <c r="CI239" s="24"/>
      <c r="CJ239" s="24"/>
    </row>
    <row r="240" spans="1:88" ht="16.5" customHeight="1">
      <c r="A240" s="18">
        <v>2018</v>
      </c>
      <c r="B240" s="18" t="str">
        <f>+INDEX(BDD!F:F,MATCH(P240,BDD!D:D,0))&amp;"-"&amp;INDEX(BDD!E:E,MATCH(P240,BDD!D:D,0))</f>
        <v>G-S</v>
      </c>
      <c r="C240" s="360" t="s">
        <v>484</v>
      </c>
      <c r="D240" s="150" t="s">
        <v>77</v>
      </c>
      <c r="E240" s="132"/>
      <c r="F240" s="24"/>
      <c r="G240" s="346"/>
      <c r="H240" s="25" t="s">
        <v>1268</v>
      </c>
      <c r="I240" s="329"/>
      <c r="J240" s="346"/>
      <c r="K240" s="24"/>
      <c r="L240" s="24"/>
      <c r="M240" s="24"/>
      <c r="N240" s="340"/>
      <c r="O240" s="334">
        <v>206599</v>
      </c>
      <c r="P240" s="25" t="s">
        <v>339</v>
      </c>
      <c r="Q240" s="127" t="s">
        <v>175</v>
      </c>
      <c r="R240" s="128">
        <v>4975</v>
      </c>
      <c r="S240" s="24">
        <v>43143</v>
      </c>
      <c r="T240" s="36" t="s">
        <v>19</v>
      </c>
      <c r="U240" s="125"/>
      <c r="V240" s="155">
        <v>18030026</v>
      </c>
      <c r="W240" s="129"/>
      <c r="X240" s="88">
        <v>43186</v>
      </c>
      <c r="Y240" s="130" t="s">
        <v>20</v>
      </c>
      <c r="Z240" s="133" t="s">
        <v>81</v>
      </c>
      <c r="AA240" s="133"/>
      <c r="AB240" s="148">
        <v>408</v>
      </c>
      <c r="AC240" s="134">
        <v>508</v>
      </c>
      <c r="AD240" s="134"/>
      <c r="AE240" s="403">
        <f t="shared" si="10"/>
        <v>207264</v>
      </c>
      <c r="AF240" s="132">
        <v>17</v>
      </c>
      <c r="AG240" s="130" t="s">
        <v>5</v>
      </c>
      <c r="AH240" s="130"/>
      <c r="AI240" s="130" t="s">
        <v>71</v>
      </c>
      <c r="AJ240" s="130"/>
      <c r="AK240" s="130"/>
      <c r="AL240" s="135" t="s">
        <v>1264</v>
      </c>
      <c r="AM240" s="314"/>
      <c r="AN240" s="26"/>
      <c r="AO240" s="26"/>
      <c r="AP240" s="26"/>
      <c r="AQ240" s="26">
        <v>43243</v>
      </c>
      <c r="AR240" s="24"/>
      <c r="AS240" s="24"/>
      <c r="AT240" s="24">
        <v>43249</v>
      </c>
      <c r="AU240" s="418">
        <f t="shared" si="11"/>
        <v>5</v>
      </c>
      <c r="AV240" s="418">
        <f t="shared" si="12"/>
        <v>2018</v>
      </c>
      <c r="AW240" s="24"/>
      <c r="AX240" s="28"/>
      <c r="AY240" s="28" t="s">
        <v>239</v>
      </c>
      <c r="AZ240" s="132" t="s">
        <v>9</v>
      </c>
      <c r="BA240" s="132"/>
      <c r="BB240" s="24"/>
      <c r="BC240" s="135" t="s">
        <v>1269</v>
      </c>
      <c r="BD240" s="24">
        <v>43173</v>
      </c>
      <c r="BE240" s="135" t="s">
        <v>1270</v>
      </c>
      <c r="BF240" s="135" t="s">
        <v>1184</v>
      </c>
      <c r="BG240" s="135" t="s">
        <v>14</v>
      </c>
      <c r="BH240" s="135"/>
      <c r="BI240" s="314"/>
      <c r="BJ240" s="314"/>
      <c r="BK240" s="24"/>
      <c r="BL240" s="24"/>
      <c r="BM240" s="24"/>
      <c r="BN240" s="24"/>
      <c r="BO240" s="24">
        <v>43257</v>
      </c>
      <c r="BP240" s="24"/>
      <c r="BQ240" s="24"/>
      <c r="BR240" s="43"/>
      <c r="BS240" s="24"/>
      <c r="BT240" s="24"/>
      <c r="BU240" s="24"/>
      <c r="BV240" s="132" t="e">
        <f>IF(#REF!="COMPLETO","OK","PENDIENTES")</f>
        <v>#REF!</v>
      </c>
      <c r="BW240" s="132"/>
      <c r="BX240" s="132"/>
      <c r="BY240" s="132"/>
      <c r="BZ240" s="132"/>
      <c r="CA240" s="132"/>
      <c r="CB240" s="132"/>
      <c r="CC240" s="22"/>
      <c r="CG240" s="24" t="s">
        <v>105</v>
      </c>
      <c r="CH240" s="24"/>
      <c r="CI240" s="24"/>
      <c r="CJ240" s="24"/>
    </row>
    <row r="241" spans="1:130" ht="15" customHeight="1">
      <c r="A241" s="18">
        <v>2018</v>
      </c>
      <c r="B241" s="18" t="str">
        <f>+INDEX(BDD!F:F,MATCH(P241,BDD!D:D,0))&amp;"-"&amp;INDEX(BDD!E:E,MATCH(P241,BDD!D:D,0))</f>
        <v>S-P</v>
      </c>
      <c r="C241" s="360" t="s">
        <v>484</v>
      </c>
      <c r="D241" s="150" t="s">
        <v>77</v>
      </c>
      <c r="E241" s="132"/>
      <c r="F241" s="24"/>
      <c r="G241" s="346">
        <v>8000000003</v>
      </c>
      <c r="H241" s="25" t="s">
        <v>1271</v>
      </c>
      <c r="I241" s="329"/>
      <c r="J241" s="346">
        <v>8000000003</v>
      </c>
      <c r="K241" s="24"/>
      <c r="L241" s="24"/>
      <c r="M241" s="24"/>
      <c r="N241" s="340" t="s">
        <v>486</v>
      </c>
      <c r="O241" s="334">
        <v>207374</v>
      </c>
      <c r="P241" s="25" t="s">
        <v>232</v>
      </c>
      <c r="Q241" s="127" t="s">
        <v>288</v>
      </c>
      <c r="R241" s="128" t="s">
        <v>1272</v>
      </c>
      <c r="S241" s="24">
        <v>43146</v>
      </c>
      <c r="T241" s="493" t="s">
        <v>4</v>
      </c>
      <c r="U241" s="493"/>
      <c r="V241" s="88" t="s">
        <v>1273</v>
      </c>
      <c r="W241" s="129"/>
      <c r="X241" s="88">
        <v>43202</v>
      </c>
      <c r="Y241" s="130" t="s">
        <v>20</v>
      </c>
      <c r="Z241" s="133" t="s">
        <v>60</v>
      </c>
      <c r="AA241" s="133"/>
      <c r="AB241" s="148">
        <v>312</v>
      </c>
      <c r="AC241" s="134">
        <v>315</v>
      </c>
      <c r="AD241" s="134"/>
      <c r="AE241" s="403">
        <f t="shared" si="10"/>
        <v>98280</v>
      </c>
      <c r="AF241" s="132">
        <v>13</v>
      </c>
      <c r="AG241" s="130" t="s">
        <v>5</v>
      </c>
      <c r="AH241" s="130"/>
      <c r="AI241" s="130" t="s">
        <v>34</v>
      </c>
      <c r="AJ241" s="130"/>
      <c r="AK241" s="130"/>
      <c r="AL241" s="135" t="s">
        <v>503</v>
      </c>
      <c r="AM241" s="314"/>
      <c r="AN241" s="26"/>
      <c r="AO241" s="26"/>
      <c r="AP241" s="26"/>
      <c r="AQ241" s="26">
        <v>43266</v>
      </c>
      <c r="AR241" s="24"/>
      <c r="AS241" s="24"/>
      <c r="AT241" s="26">
        <v>43270</v>
      </c>
      <c r="AU241" s="418">
        <f t="shared" si="11"/>
        <v>6</v>
      </c>
      <c r="AV241" s="418">
        <f t="shared" si="12"/>
        <v>2018</v>
      </c>
      <c r="AW241" s="26"/>
      <c r="AX241" s="28"/>
      <c r="AY241" s="28" t="s">
        <v>269</v>
      </c>
      <c r="AZ241" s="132" t="s">
        <v>37</v>
      </c>
      <c r="BA241" s="132"/>
      <c r="BB241" s="26"/>
      <c r="BC241" s="135" t="s">
        <v>1274</v>
      </c>
      <c r="BD241" s="24">
        <v>43227</v>
      </c>
      <c r="BE241" s="135" t="s">
        <v>931</v>
      </c>
      <c r="BF241" s="135" t="s">
        <v>814</v>
      </c>
      <c r="BG241" s="135" t="s">
        <v>29</v>
      </c>
      <c r="BH241" s="135"/>
      <c r="BI241" s="314"/>
      <c r="BJ241" s="314"/>
      <c r="BK241" s="24"/>
      <c r="BL241" s="24"/>
      <c r="BM241" s="24"/>
      <c r="BN241" s="24"/>
      <c r="BO241" s="24"/>
      <c r="BP241" s="24"/>
      <c r="BQ241" s="24"/>
      <c r="BR241" s="43"/>
      <c r="BS241" s="24"/>
      <c r="BT241" s="24"/>
      <c r="BU241" s="24"/>
      <c r="BV241" s="132" t="e">
        <f>IF(#REF!="COMPLETO","OK","PENDIENTES")</f>
        <v>#REF!</v>
      </c>
      <c r="BW241" s="132"/>
      <c r="BX241" s="132"/>
      <c r="BY241" s="132"/>
      <c r="BZ241" s="132"/>
      <c r="CA241" s="132"/>
      <c r="CB241" s="132"/>
      <c r="CC241" s="22"/>
      <c r="CG241" s="24" t="s">
        <v>105</v>
      </c>
      <c r="CH241" s="24"/>
      <c r="CI241" s="26"/>
      <c r="CJ241" s="26"/>
    </row>
    <row r="242" spans="1:130" ht="15" customHeight="1">
      <c r="A242" s="18">
        <v>2018</v>
      </c>
      <c r="B242" s="18" t="str">
        <f>+INDEX(BDD!F:F,MATCH(P242,BDD!D:D,0))&amp;"-"&amp;INDEX(BDD!E:E,MATCH(P242,BDD!D:D,0))</f>
        <v>S-P</v>
      </c>
      <c r="C242" s="360" t="s">
        <v>484</v>
      </c>
      <c r="D242" s="150" t="s">
        <v>77</v>
      </c>
      <c r="E242" s="132"/>
      <c r="F242" s="24"/>
      <c r="G242" s="346">
        <v>8000000004</v>
      </c>
      <c r="H242" s="25" t="s">
        <v>1275</v>
      </c>
      <c r="I242" s="329"/>
      <c r="J242" s="346">
        <v>8000000004</v>
      </c>
      <c r="K242" s="24"/>
      <c r="L242" s="24"/>
      <c r="M242" s="24"/>
      <c r="N242" s="340" t="s">
        <v>486</v>
      </c>
      <c r="O242" s="334">
        <v>207374</v>
      </c>
      <c r="P242" s="25" t="s">
        <v>232</v>
      </c>
      <c r="Q242" s="127" t="s">
        <v>288</v>
      </c>
      <c r="R242" s="128" t="s">
        <v>1276</v>
      </c>
      <c r="S242" s="24">
        <v>43146</v>
      </c>
      <c r="T242" s="493" t="s">
        <v>4</v>
      </c>
      <c r="U242" s="493"/>
      <c r="V242" s="88" t="s">
        <v>1277</v>
      </c>
      <c r="W242" s="129"/>
      <c r="X242" s="88">
        <v>43202</v>
      </c>
      <c r="Y242" s="130" t="s">
        <v>20</v>
      </c>
      <c r="Z242" s="133" t="s">
        <v>60</v>
      </c>
      <c r="AA242" s="133"/>
      <c r="AB242" s="148">
        <v>312</v>
      </c>
      <c r="AC242" s="134">
        <v>320</v>
      </c>
      <c r="AD242" s="134"/>
      <c r="AE242" s="403">
        <f t="shared" si="10"/>
        <v>99840</v>
      </c>
      <c r="AF242" s="132">
        <v>13</v>
      </c>
      <c r="AG242" s="130" t="s">
        <v>5</v>
      </c>
      <c r="AH242" s="130"/>
      <c r="AI242" s="130" t="s">
        <v>34</v>
      </c>
      <c r="AJ242" s="130"/>
      <c r="AK242" s="130"/>
      <c r="AL242" s="135" t="s">
        <v>503</v>
      </c>
      <c r="AM242" s="314"/>
      <c r="AN242" s="26"/>
      <c r="AO242" s="26"/>
      <c r="AP242" s="26"/>
      <c r="AQ242" s="26">
        <v>43269</v>
      </c>
      <c r="AR242" s="24"/>
      <c r="AS242" s="24"/>
      <c r="AT242" s="164">
        <v>43272</v>
      </c>
      <c r="AU242" s="418">
        <f t="shared" si="11"/>
        <v>6</v>
      </c>
      <c r="AV242" s="418">
        <f t="shared" si="12"/>
        <v>2018</v>
      </c>
      <c r="AW242" s="164"/>
      <c r="AX242" s="28"/>
      <c r="AY242" s="28" t="s">
        <v>269</v>
      </c>
      <c r="AZ242" s="132" t="s">
        <v>9</v>
      </c>
      <c r="BA242" s="132"/>
      <c r="BB242" s="164"/>
      <c r="BC242" s="135" t="s">
        <v>1278</v>
      </c>
      <c r="BD242" s="24">
        <v>43227</v>
      </c>
      <c r="BE242" s="135" t="s">
        <v>931</v>
      </c>
      <c r="BF242" s="135" t="s">
        <v>932</v>
      </c>
      <c r="BG242" s="135" t="s">
        <v>29</v>
      </c>
      <c r="BH242" s="135"/>
      <c r="BI242" s="314"/>
      <c r="BJ242" s="314"/>
      <c r="BK242" s="24"/>
      <c r="BL242" s="24"/>
      <c r="BM242" s="24"/>
      <c r="BN242" s="24"/>
      <c r="BO242" s="24">
        <v>43289</v>
      </c>
      <c r="BP242" s="24"/>
      <c r="BQ242" s="24"/>
      <c r="BR242" s="43"/>
      <c r="BS242" s="24"/>
      <c r="BT242" s="24"/>
      <c r="BU242" s="24"/>
      <c r="BV242" s="132" t="e">
        <f>IF(#REF!="COMPLETO","OK","PENDIENTES")</f>
        <v>#REF!</v>
      </c>
      <c r="BW242" s="132"/>
      <c r="BX242" s="132"/>
      <c r="BY242" s="132"/>
      <c r="BZ242" s="132"/>
      <c r="CA242" s="132"/>
      <c r="CB242" s="132"/>
      <c r="CC242" s="22"/>
      <c r="CG242" s="24" t="s">
        <v>105</v>
      </c>
      <c r="CH242" s="24"/>
      <c r="CI242" s="164"/>
      <c r="CJ242" s="164"/>
    </row>
    <row r="243" spans="1:130" ht="15" customHeight="1">
      <c r="A243" s="18">
        <v>2018</v>
      </c>
      <c r="B243" s="18" t="str">
        <f>+INDEX(BDD!F:F,MATCH(P243,BDD!D:D,0))&amp;"-"&amp;INDEX(BDD!E:E,MATCH(P243,BDD!D:D,0))</f>
        <v>S-P</v>
      </c>
      <c r="C243" s="360" t="s">
        <v>484</v>
      </c>
      <c r="D243" s="150" t="s">
        <v>77</v>
      </c>
      <c r="E243" s="132"/>
      <c r="F243" s="24"/>
      <c r="G243" s="346">
        <v>8000000170</v>
      </c>
      <c r="H243" s="25" t="s">
        <v>1279</v>
      </c>
      <c r="I243" s="329"/>
      <c r="J243" s="346">
        <v>8000000170</v>
      </c>
      <c r="K243" s="24"/>
      <c r="L243" s="24"/>
      <c r="M243" s="24"/>
      <c r="N243" s="340" t="s">
        <v>486</v>
      </c>
      <c r="O243" s="334">
        <v>207374</v>
      </c>
      <c r="P243" s="25" t="s">
        <v>232</v>
      </c>
      <c r="Q243" s="127" t="s">
        <v>288</v>
      </c>
      <c r="R243" s="128" t="s">
        <v>1280</v>
      </c>
      <c r="S243" s="24">
        <v>43146</v>
      </c>
      <c r="T243" s="493" t="s">
        <v>4</v>
      </c>
      <c r="U243" s="493"/>
      <c r="V243" s="88" t="s">
        <v>1281</v>
      </c>
      <c r="W243" s="129"/>
      <c r="X243" s="88">
        <v>43259</v>
      </c>
      <c r="Y243" s="130" t="s">
        <v>20</v>
      </c>
      <c r="Z243" s="133" t="s">
        <v>60</v>
      </c>
      <c r="AA243" s="133"/>
      <c r="AB243" s="148">
        <v>336</v>
      </c>
      <c r="AC243" s="134">
        <v>315</v>
      </c>
      <c r="AD243" s="134"/>
      <c r="AE243" s="403">
        <f t="shared" si="10"/>
        <v>105840</v>
      </c>
      <c r="AF243" s="132">
        <v>14</v>
      </c>
      <c r="AG243" s="130" t="s">
        <v>5</v>
      </c>
      <c r="AH243" s="130"/>
      <c r="AI243" s="130" t="s">
        <v>34</v>
      </c>
      <c r="AJ243" s="130"/>
      <c r="AK243" s="130"/>
      <c r="AL243" s="135" t="s">
        <v>489</v>
      </c>
      <c r="AM243" s="314"/>
      <c r="AN243" s="26"/>
      <c r="AO243" s="26"/>
      <c r="AP243" s="26"/>
      <c r="AQ243" s="26">
        <v>43322</v>
      </c>
      <c r="AR243" s="24"/>
      <c r="AS243" s="24"/>
      <c r="AT243" s="24">
        <v>43326</v>
      </c>
      <c r="AU243" s="418">
        <f t="shared" si="11"/>
        <v>8</v>
      </c>
      <c r="AV243" s="418">
        <f t="shared" si="12"/>
        <v>2018</v>
      </c>
      <c r="AW243" s="24"/>
      <c r="AX243" s="28"/>
      <c r="AY243" s="28" t="s">
        <v>269</v>
      </c>
      <c r="AZ243" s="132" t="s">
        <v>37</v>
      </c>
      <c r="BA243" s="132"/>
      <c r="BB243" s="24"/>
      <c r="BC243" s="135" t="s">
        <v>1282</v>
      </c>
      <c r="BD243" s="24">
        <v>43283</v>
      </c>
      <c r="BE243" s="135" t="s">
        <v>1283</v>
      </c>
      <c r="BF243" s="135" t="s">
        <v>804</v>
      </c>
      <c r="BG243" s="135" t="s">
        <v>29</v>
      </c>
      <c r="BH243" s="135"/>
      <c r="BI243" s="314"/>
      <c r="BJ243" s="314"/>
      <c r="BK243" s="24"/>
      <c r="BL243" s="24"/>
      <c r="BM243" s="24"/>
      <c r="BN243" s="24"/>
      <c r="BO243" s="24">
        <f>+AQ243+6</f>
        <v>43328</v>
      </c>
      <c r="BP243" s="24"/>
      <c r="BQ243" s="24"/>
      <c r="BR243" s="43"/>
      <c r="BS243" s="24"/>
      <c r="BT243" s="24"/>
      <c r="BU243" s="24"/>
      <c r="BV243" s="132" t="e">
        <f>IF(#REF!="COMPLETO","OK","PENDIENTES")</f>
        <v>#REF!</v>
      </c>
      <c r="BW243" s="132"/>
      <c r="BX243" s="132"/>
      <c r="BY243" s="132"/>
      <c r="BZ243" s="132"/>
      <c r="CA243" s="132"/>
      <c r="CB243" s="132"/>
      <c r="CC243" s="22"/>
      <c r="CG243" s="24" t="s">
        <v>105</v>
      </c>
      <c r="CH243" s="24"/>
      <c r="CI243" s="24"/>
      <c r="CJ243" s="24"/>
    </row>
    <row r="244" spans="1:130" ht="15" customHeight="1">
      <c r="A244" s="18">
        <v>2018</v>
      </c>
      <c r="B244" s="18" t="str">
        <f>+INDEX(BDD!F:F,MATCH(P244,BDD!D:D,0))&amp;"-"&amp;INDEX(BDD!E:E,MATCH(P244,BDD!D:D,0))</f>
        <v>S-P</v>
      </c>
      <c r="C244" s="360" t="s">
        <v>484</v>
      </c>
      <c r="D244" s="150" t="s">
        <v>77</v>
      </c>
      <c r="E244" s="132"/>
      <c r="F244" s="24"/>
      <c r="G244" s="346">
        <v>8000000171</v>
      </c>
      <c r="H244" s="25" t="s">
        <v>1284</v>
      </c>
      <c r="I244" s="329"/>
      <c r="J244" s="346">
        <v>8000000171</v>
      </c>
      <c r="K244" s="24"/>
      <c r="L244" s="24"/>
      <c r="M244" s="24"/>
      <c r="N244" s="340" t="s">
        <v>486</v>
      </c>
      <c r="O244" s="334">
        <v>207374</v>
      </c>
      <c r="P244" s="25" t="s">
        <v>232</v>
      </c>
      <c r="Q244" s="127" t="s">
        <v>288</v>
      </c>
      <c r="R244" s="128" t="s">
        <v>1285</v>
      </c>
      <c r="S244" s="24">
        <v>43146</v>
      </c>
      <c r="T244" s="493" t="s">
        <v>4</v>
      </c>
      <c r="U244" s="493"/>
      <c r="V244" s="88" t="s">
        <v>1286</v>
      </c>
      <c r="W244" s="129"/>
      <c r="X244" s="88">
        <v>43259</v>
      </c>
      <c r="Y244" s="130" t="s">
        <v>20</v>
      </c>
      <c r="Z244" s="133" t="s">
        <v>60</v>
      </c>
      <c r="AA244" s="133"/>
      <c r="AB244" s="148">
        <v>312</v>
      </c>
      <c r="AC244" s="134">
        <v>320</v>
      </c>
      <c r="AD244" s="134"/>
      <c r="AE244" s="403">
        <f t="shared" si="10"/>
        <v>99840</v>
      </c>
      <c r="AF244" s="132">
        <v>13</v>
      </c>
      <c r="AG244" s="130" t="s">
        <v>5</v>
      </c>
      <c r="AH244" s="130"/>
      <c r="AI244" s="130" t="s">
        <v>34</v>
      </c>
      <c r="AJ244" s="130"/>
      <c r="AK244" s="130"/>
      <c r="AL244" s="135" t="s">
        <v>489</v>
      </c>
      <c r="AM244" s="314"/>
      <c r="AN244" s="26"/>
      <c r="AO244" s="26"/>
      <c r="AP244" s="26"/>
      <c r="AQ244" s="26">
        <v>43325</v>
      </c>
      <c r="AR244" s="24"/>
      <c r="AS244" s="24"/>
      <c r="AT244" s="24">
        <v>43328</v>
      </c>
      <c r="AU244" s="418">
        <f t="shared" si="11"/>
        <v>8</v>
      </c>
      <c r="AV244" s="418">
        <f t="shared" si="12"/>
        <v>2018</v>
      </c>
      <c r="AW244" s="24"/>
      <c r="AX244" s="28"/>
      <c r="AY244" s="28" t="s">
        <v>269</v>
      </c>
      <c r="AZ244" s="132" t="s">
        <v>9</v>
      </c>
      <c r="BA244" s="132"/>
      <c r="BB244" s="24"/>
      <c r="BC244" s="135" t="s">
        <v>1287</v>
      </c>
      <c r="BD244" s="24">
        <v>43283</v>
      </c>
      <c r="BE244" s="135" t="s">
        <v>1283</v>
      </c>
      <c r="BF244" s="135" t="s">
        <v>932</v>
      </c>
      <c r="BG244" s="135" t="s">
        <v>29</v>
      </c>
      <c r="BH244" s="135"/>
      <c r="BI244" s="314"/>
      <c r="BJ244" s="314"/>
      <c r="BK244" s="24"/>
      <c r="BL244" s="24"/>
      <c r="BM244" s="24"/>
      <c r="BN244" s="24"/>
      <c r="BO244" s="24">
        <v>43345</v>
      </c>
      <c r="BP244" s="24"/>
      <c r="BQ244" s="24"/>
      <c r="BR244" s="43"/>
      <c r="BS244" s="24"/>
      <c r="BT244" s="24"/>
      <c r="BU244" s="24"/>
      <c r="BV244" s="132" t="e">
        <f>IF(#REF!="COMPLETO","OK","PENDIENTES")</f>
        <v>#REF!</v>
      </c>
      <c r="BW244" s="132"/>
      <c r="BX244" s="132"/>
      <c r="BY244" s="132"/>
      <c r="BZ244" s="132"/>
      <c r="CA244" s="132"/>
      <c r="CB244" s="132"/>
      <c r="CC244" s="22"/>
      <c r="CG244" s="24" t="s">
        <v>105</v>
      </c>
      <c r="CH244" s="24"/>
      <c r="CI244" s="24"/>
      <c r="CJ244" s="24"/>
    </row>
    <row r="245" spans="1:130" ht="15" customHeight="1">
      <c r="A245" s="18">
        <v>2018</v>
      </c>
      <c r="B245" s="18" t="str">
        <f>+INDEX(BDD!F:F,MATCH(P245,BDD!D:D,0))&amp;"-"&amp;INDEX(BDD!E:E,MATCH(P245,BDD!D:D,0))</f>
        <v>S-S</v>
      </c>
      <c r="C245" s="360" t="s">
        <v>484</v>
      </c>
      <c r="D245" s="150" t="s">
        <v>77</v>
      </c>
      <c r="E245" s="132"/>
      <c r="F245" s="24"/>
      <c r="G245" s="346"/>
      <c r="H245" s="25" t="s">
        <v>1288</v>
      </c>
      <c r="I245" s="329"/>
      <c r="J245" s="346"/>
      <c r="K245" s="24"/>
      <c r="L245" s="24"/>
      <c r="M245" s="24"/>
      <c r="N245" s="340"/>
      <c r="O245" s="334">
        <v>206966</v>
      </c>
      <c r="P245" s="25" t="s">
        <v>152</v>
      </c>
      <c r="Q245" s="127" t="s">
        <v>306</v>
      </c>
      <c r="R245" s="128" t="s">
        <v>1289</v>
      </c>
      <c r="S245" s="24">
        <v>43164</v>
      </c>
      <c r="T245" s="36" t="s">
        <v>19</v>
      </c>
      <c r="U245" s="125"/>
      <c r="V245" s="155">
        <v>21187</v>
      </c>
      <c r="W245" s="129"/>
      <c r="X245" s="88">
        <v>43208</v>
      </c>
      <c r="Y245" s="130" t="s">
        <v>20</v>
      </c>
      <c r="Z245" s="133" t="s">
        <v>60</v>
      </c>
      <c r="AA245" s="133"/>
      <c r="AB245" s="148">
        <v>200</v>
      </c>
      <c r="AC245" s="134">
        <v>673</v>
      </c>
      <c r="AD245" s="134"/>
      <c r="AE245" s="403">
        <f t="shared" si="10"/>
        <v>134600</v>
      </c>
      <c r="AF245" s="132">
        <v>8</v>
      </c>
      <c r="AG245" s="130" t="s">
        <v>5</v>
      </c>
      <c r="AH245" s="130"/>
      <c r="AI245" s="130" t="s">
        <v>34</v>
      </c>
      <c r="AJ245" s="130"/>
      <c r="AK245" s="130"/>
      <c r="AL245" s="135" t="s">
        <v>1117</v>
      </c>
      <c r="AM245" s="314"/>
      <c r="AN245" s="26"/>
      <c r="AO245" s="26"/>
      <c r="AP245" s="26"/>
      <c r="AQ245" s="26">
        <v>43243</v>
      </c>
      <c r="AR245" s="24"/>
      <c r="AS245" s="24"/>
      <c r="AT245" s="24">
        <v>43245</v>
      </c>
      <c r="AU245" s="418">
        <f t="shared" si="11"/>
        <v>5</v>
      </c>
      <c r="AV245" s="418">
        <f t="shared" si="12"/>
        <v>2018</v>
      </c>
      <c r="AW245" s="24"/>
      <c r="AX245" s="28"/>
      <c r="AY245" s="28" t="s">
        <v>319</v>
      </c>
      <c r="AZ245" s="132" t="s">
        <v>37</v>
      </c>
      <c r="BA245" s="132"/>
      <c r="BB245" s="24"/>
      <c r="BC245" s="132" t="s">
        <v>1290</v>
      </c>
      <c r="BD245" s="24">
        <v>43190</v>
      </c>
      <c r="BE245" s="132" t="s">
        <v>1291</v>
      </c>
      <c r="BF245" s="135" t="s">
        <v>1292</v>
      </c>
      <c r="BG245" s="135" t="s">
        <v>53</v>
      </c>
      <c r="BH245" s="135"/>
      <c r="BI245" s="314"/>
      <c r="BJ245" s="314"/>
      <c r="BK245" s="24"/>
      <c r="BL245" s="24"/>
      <c r="BM245" s="24"/>
      <c r="BN245" s="24"/>
      <c r="BO245" s="24">
        <f>+AQ245+21</f>
        <v>43264</v>
      </c>
      <c r="BP245" s="24"/>
      <c r="BQ245" s="24"/>
      <c r="BR245" s="43"/>
      <c r="BS245" s="24"/>
      <c r="BT245" s="24"/>
      <c r="BU245" s="24"/>
      <c r="BV245" s="132" t="e">
        <f>IF(#REF!="COMPLETO","OK","PENDIENTES")</f>
        <v>#REF!</v>
      </c>
      <c r="BW245" s="132"/>
      <c r="BX245" s="132"/>
      <c r="BY245" s="132"/>
      <c r="BZ245" s="132"/>
      <c r="CA245" s="132"/>
      <c r="CB245" s="132"/>
      <c r="CC245" s="22"/>
      <c r="CG245" s="24" t="s">
        <v>105</v>
      </c>
      <c r="CH245" s="24"/>
      <c r="CI245" s="24"/>
      <c r="CJ245" s="24"/>
    </row>
    <row r="246" spans="1:130" ht="15" customHeight="1">
      <c r="A246" s="18">
        <v>2018</v>
      </c>
      <c r="B246" s="18" t="str">
        <f>+INDEX(BDD!F:F,MATCH(P246,BDD!D:D,0))&amp;"-"&amp;INDEX(BDD!E:E,MATCH(P246,BDD!D:D,0))</f>
        <v>S-S</v>
      </c>
      <c r="C246" s="360" t="s">
        <v>484</v>
      </c>
      <c r="D246" s="150" t="s">
        <v>77</v>
      </c>
      <c r="E246" s="132"/>
      <c r="F246" s="24"/>
      <c r="G246" s="346"/>
      <c r="H246" s="25" t="s">
        <v>1293</v>
      </c>
      <c r="I246" s="329"/>
      <c r="J246" s="346"/>
      <c r="K246" s="24"/>
      <c r="L246" s="24"/>
      <c r="M246" s="24"/>
      <c r="N246" s="340"/>
      <c r="O246" s="334">
        <v>206966</v>
      </c>
      <c r="P246" s="25" t="s">
        <v>152</v>
      </c>
      <c r="Q246" s="127" t="s">
        <v>306</v>
      </c>
      <c r="R246" s="128" t="s">
        <v>1289</v>
      </c>
      <c r="S246" s="24">
        <v>43164</v>
      </c>
      <c r="T246" s="36" t="s">
        <v>19</v>
      </c>
      <c r="U246" s="125"/>
      <c r="V246" s="155">
        <v>21186</v>
      </c>
      <c r="W246" s="129"/>
      <c r="X246" s="88">
        <v>43208</v>
      </c>
      <c r="Y246" s="130" t="s">
        <v>20</v>
      </c>
      <c r="Z246" s="133" t="s">
        <v>60</v>
      </c>
      <c r="AA246" s="133"/>
      <c r="AB246" s="148">
        <v>200</v>
      </c>
      <c r="AC246" s="134">
        <v>676</v>
      </c>
      <c r="AD246" s="134"/>
      <c r="AE246" s="403">
        <f t="shared" si="10"/>
        <v>135200</v>
      </c>
      <c r="AF246" s="132">
        <v>8</v>
      </c>
      <c r="AG246" s="130" t="s">
        <v>5</v>
      </c>
      <c r="AH246" s="130"/>
      <c r="AI246" s="130" t="s">
        <v>34</v>
      </c>
      <c r="AJ246" s="130"/>
      <c r="AK246" s="130"/>
      <c r="AL246" s="135" t="s">
        <v>1117</v>
      </c>
      <c r="AM246" s="314"/>
      <c r="AN246" s="26"/>
      <c r="AO246" s="26"/>
      <c r="AP246" s="26"/>
      <c r="AQ246" s="26">
        <v>43241</v>
      </c>
      <c r="AR246" s="24"/>
      <c r="AS246" s="24"/>
      <c r="AT246" s="24">
        <v>43244</v>
      </c>
      <c r="AU246" s="418">
        <f t="shared" si="11"/>
        <v>5</v>
      </c>
      <c r="AV246" s="418">
        <f t="shared" si="12"/>
        <v>2018</v>
      </c>
      <c r="AW246" s="24"/>
      <c r="AX246" s="28"/>
      <c r="AY246" s="28" t="s">
        <v>319</v>
      </c>
      <c r="AZ246" s="132" t="s">
        <v>9</v>
      </c>
      <c r="BA246" s="132"/>
      <c r="BB246" s="24"/>
      <c r="BC246" s="135" t="s">
        <v>1294</v>
      </c>
      <c r="BD246" s="24">
        <v>43190</v>
      </c>
      <c r="BE246" s="135" t="s">
        <v>1295</v>
      </c>
      <c r="BF246" s="135" t="s">
        <v>932</v>
      </c>
      <c r="BG246" s="135" t="s">
        <v>64</v>
      </c>
      <c r="BH246" s="135"/>
      <c r="BI246" s="314"/>
      <c r="BJ246" s="314"/>
      <c r="BK246" s="24"/>
      <c r="BL246" s="24"/>
      <c r="BM246" s="24"/>
      <c r="BN246" s="24"/>
      <c r="BO246" s="24"/>
      <c r="BP246" s="24"/>
      <c r="BQ246" s="24"/>
      <c r="BR246" s="43"/>
      <c r="BS246" s="24"/>
      <c r="BT246" s="24"/>
      <c r="BU246" s="24"/>
      <c r="BV246" s="132" t="e">
        <f>IF(#REF!="COMPLETO","OK","PENDIENTES")</f>
        <v>#REF!</v>
      </c>
      <c r="BW246" s="132"/>
      <c r="BX246" s="132"/>
      <c r="BY246" s="132"/>
      <c r="BZ246" s="132"/>
      <c r="CA246" s="132"/>
      <c r="CB246" s="132"/>
      <c r="CC246" s="22"/>
      <c r="CG246" s="24" t="s">
        <v>105</v>
      </c>
      <c r="CH246" s="24"/>
      <c r="CI246" s="24"/>
      <c r="CJ246" s="24"/>
    </row>
    <row r="247" spans="1:130" ht="15" customHeight="1">
      <c r="A247" s="18">
        <v>2018</v>
      </c>
      <c r="B247" s="18" t="str">
        <f>+INDEX(BDD!F:F,MATCH(P247,BDD!D:D,0))&amp;"-"&amp;INDEX(BDD!E:E,MATCH(P247,BDD!D:D,0))</f>
        <v>S-S</v>
      </c>
      <c r="C247" s="360" t="s">
        <v>484</v>
      </c>
      <c r="D247" s="152" t="s">
        <v>92</v>
      </c>
      <c r="E247" s="132"/>
      <c r="F247" s="24"/>
      <c r="G247" s="346"/>
      <c r="H247" s="25" t="s">
        <v>1296</v>
      </c>
      <c r="I247" s="330"/>
      <c r="J247" s="346"/>
      <c r="K247" s="24"/>
      <c r="L247" s="24"/>
      <c r="M247" s="24"/>
      <c r="N247" s="340"/>
      <c r="O247" s="334"/>
      <c r="P247" s="25" t="s">
        <v>152</v>
      </c>
      <c r="Q247" s="127" t="s">
        <v>306</v>
      </c>
      <c r="R247" s="128"/>
      <c r="S247" s="24"/>
      <c r="T247" s="36"/>
      <c r="U247" s="125"/>
      <c r="V247" s="88"/>
      <c r="W247" s="129"/>
      <c r="X247" s="88"/>
      <c r="Y247" s="130"/>
      <c r="Z247" s="133"/>
      <c r="AA247" s="133"/>
      <c r="AB247" s="148"/>
      <c r="AC247" s="134"/>
      <c r="AD247" s="134"/>
      <c r="AE247" s="403">
        <f t="shared" si="10"/>
        <v>0</v>
      </c>
      <c r="AF247" s="132"/>
      <c r="AG247" s="130"/>
      <c r="AH247" s="130"/>
      <c r="AI247" s="130"/>
      <c r="AJ247" s="130"/>
      <c r="AK247" s="130"/>
      <c r="AL247" s="135"/>
      <c r="AM247" s="314"/>
      <c r="AN247" s="26"/>
      <c r="AO247" s="26"/>
      <c r="AP247" s="26"/>
      <c r="AQ247" s="26"/>
      <c r="AR247" s="24"/>
      <c r="AS247" s="24"/>
      <c r="AT247" s="24"/>
      <c r="AU247" s="418">
        <f t="shared" si="11"/>
        <v>1</v>
      </c>
      <c r="AV247" s="418">
        <f t="shared" si="12"/>
        <v>1900</v>
      </c>
      <c r="AW247" s="24"/>
      <c r="AX247" s="28"/>
      <c r="AY247" s="28"/>
      <c r="AZ247" s="132"/>
      <c r="BA247" s="132"/>
      <c r="BB247" s="24"/>
      <c r="BC247" s="135"/>
      <c r="BD247" s="24"/>
      <c r="BE247" s="135"/>
      <c r="BF247" s="135"/>
      <c r="BG247" s="135"/>
      <c r="BH247" s="135"/>
      <c r="BI247" s="314"/>
      <c r="BJ247" s="314"/>
      <c r="BK247" s="24"/>
      <c r="BL247" s="24"/>
      <c r="BM247" s="24"/>
      <c r="BN247" s="24"/>
      <c r="BO247" s="24"/>
      <c r="BP247" s="24"/>
      <c r="BQ247" s="24"/>
      <c r="BR247" s="43"/>
      <c r="BS247" s="24"/>
      <c r="BT247" s="24"/>
      <c r="BU247" s="24"/>
      <c r="BV247" s="132"/>
      <c r="BW247" s="132"/>
      <c r="BX247" s="132"/>
      <c r="BY247" s="132"/>
      <c r="BZ247" s="132"/>
      <c r="CA247" s="132"/>
      <c r="CB247" s="132"/>
      <c r="CC247" s="22"/>
      <c r="CD247" s="22"/>
      <c r="CE247" s="22"/>
      <c r="CF247" s="22"/>
      <c r="CG247" s="24"/>
      <c r="CH247" s="24"/>
      <c r="CI247" s="24"/>
      <c r="CJ247" s="24"/>
    </row>
    <row r="248" spans="1:130" ht="15" customHeight="1">
      <c r="A248" s="18">
        <v>2018</v>
      </c>
      <c r="B248" s="18" t="str">
        <f>+INDEX(BDD!F:F,MATCH(P248,BDD!D:D,0))&amp;"-"&amp;INDEX(BDD!E:E,MATCH(P248,BDD!D:D,0))</f>
        <v>S-S</v>
      </c>
      <c r="C248" s="360" t="s">
        <v>484</v>
      </c>
      <c r="D248" s="152" t="s">
        <v>92</v>
      </c>
      <c r="E248" s="132"/>
      <c r="F248" s="24"/>
      <c r="G248" s="346"/>
      <c r="H248" s="25" t="s">
        <v>1297</v>
      </c>
      <c r="I248" s="330"/>
      <c r="J248" s="346"/>
      <c r="K248" s="24"/>
      <c r="L248" s="24"/>
      <c r="M248" s="24"/>
      <c r="N248" s="340"/>
      <c r="O248" s="334"/>
      <c r="P248" s="25" t="s">
        <v>152</v>
      </c>
      <c r="Q248" s="127" t="s">
        <v>306</v>
      </c>
      <c r="R248" s="128"/>
      <c r="S248" s="24"/>
      <c r="T248" s="36"/>
      <c r="U248" s="125"/>
      <c r="V248" s="88"/>
      <c r="W248" s="129"/>
      <c r="X248" s="88"/>
      <c r="Y248" s="130"/>
      <c r="Z248" s="133"/>
      <c r="AA248" s="133"/>
      <c r="AB248" s="148"/>
      <c r="AC248" s="134"/>
      <c r="AD248" s="134"/>
      <c r="AE248" s="403">
        <f t="shared" si="10"/>
        <v>0</v>
      </c>
      <c r="AF248" s="132"/>
      <c r="AG248" s="130"/>
      <c r="AH248" s="130"/>
      <c r="AI248" s="130"/>
      <c r="AJ248" s="130"/>
      <c r="AK248" s="130"/>
      <c r="AL248" s="135"/>
      <c r="AM248" s="314"/>
      <c r="AN248" s="26"/>
      <c r="AO248" s="26"/>
      <c r="AP248" s="26"/>
      <c r="AQ248" s="26"/>
      <c r="AR248" s="24"/>
      <c r="AS248" s="24"/>
      <c r="AT248" s="24"/>
      <c r="AU248" s="418">
        <f t="shared" si="11"/>
        <v>1</v>
      </c>
      <c r="AV248" s="418">
        <f t="shared" si="12"/>
        <v>1900</v>
      </c>
      <c r="AW248" s="24"/>
      <c r="AX248" s="28"/>
      <c r="AY248" s="28"/>
      <c r="AZ248" s="132"/>
      <c r="BA248" s="132"/>
      <c r="BB248" s="24"/>
      <c r="BC248" s="135"/>
      <c r="BD248" s="24"/>
      <c r="BE248" s="135"/>
      <c r="BF248" s="135"/>
      <c r="BG248" s="135"/>
      <c r="BH248" s="135"/>
      <c r="BI248" s="314"/>
      <c r="BJ248" s="314"/>
      <c r="BK248" s="24"/>
      <c r="BL248" s="24"/>
      <c r="BM248" s="24"/>
      <c r="BN248" s="24"/>
      <c r="BO248" s="24"/>
      <c r="BP248" s="24"/>
      <c r="BQ248" s="24"/>
      <c r="BR248" s="43"/>
      <c r="BS248" s="24"/>
      <c r="BT248" s="24"/>
      <c r="BU248" s="24"/>
      <c r="BV248" s="132"/>
      <c r="BW248" s="132"/>
      <c r="BX248" s="132"/>
      <c r="BY248" s="132"/>
      <c r="BZ248" s="132"/>
      <c r="CA248" s="132"/>
      <c r="CB248" s="132"/>
      <c r="CC248" s="22"/>
      <c r="CD248" s="22"/>
      <c r="CE248" s="22"/>
      <c r="CF248" s="22"/>
      <c r="CG248" s="24"/>
      <c r="CH248" s="24"/>
      <c r="CI248" s="24"/>
      <c r="CJ248" s="24"/>
    </row>
    <row r="249" spans="1:130" ht="15" customHeight="1">
      <c r="A249" s="18">
        <v>2018</v>
      </c>
      <c r="B249" s="18" t="str">
        <f>+INDEX(BDD!F:F,MATCH(P249,BDD!D:D,0))&amp;"-"&amp;INDEX(BDD!E:E,MATCH(P249,BDD!D:D,0))</f>
        <v>S-P</v>
      </c>
      <c r="C249" s="360" t="s">
        <v>484</v>
      </c>
      <c r="D249" s="150" t="s">
        <v>77</v>
      </c>
      <c r="E249" s="132"/>
      <c r="F249" s="24"/>
      <c r="G249" s="346">
        <v>8000000007</v>
      </c>
      <c r="H249" s="25" t="s">
        <v>1298</v>
      </c>
      <c r="I249" s="329"/>
      <c r="J249" s="346">
        <v>8000000007</v>
      </c>
      <c r="K249" s="24"/>
      <c r="L249" s="24"/>
      <c r="M249" s="24"/>
      <c r="N249" s="340" t="s">
        <v>486</v>
      </c>
      <c r="O249" s="334">
        <v>207374</v>
      </c>
      <c r="P249" s="25" t="s">
        <v>232</v>
      </c>
      <c r="Q249" s="127" t="s">
        <v>288</v>
      </c>
      <c r="R249" s="128" t="s">
        <v>1299</v>
      </c>
      <c r="S249" s="24">
        <v>43146</v>
      </c>
      <c r="T249" s="493" t="s">
        <v>4</v>
      </c>
      <c r="U249" s="493"/>
      <c r="V249" s="88" t="s">
        <v>1300</v>
      </c>
      <c r="W249" s="129"/>
      <c r="X249" s="88">
        <v>43202</v>
      </c>
      <c r="Y249" s="130" t="s">
        <v>20</v>
      </c>
      <c r="Z249" s="133" t="s">
        <v>60</v>
      </c>
      <c r="AA249" s="133"/>
      <c r="AB249" s="148">
        <v>144</v>
      </c>
      <c r="AC249" s="134">
        <v>325</v>
      </c>
      <c r="AD249" s="134"/>
      <c r="AE249" s="403">
        <f t="shared" si="10"/>
        <v>46800</v>
      </c>
      <c r="AF249" s="132">
        <v>6</v>
      </c>
      <c r="AG249" s="130" t="s">
        <v>5</v>
      </c>
      <c r="AH249" s="130"/>
      <c r="AI249" s="130" t="s">
        <v>34</v>
      </c>
      <c r="AJ249" s="130"/>
      <c r="AK249" s="130"/>
      <c r="AL249" s="135" t="s">
        <v>503</v>
      </c>
      <c r="AM249" s="314"/>
      <c r="AN249" s="26"/>
      <c r="AO249" s="26"/>
      <c r="AP249" s="26"/>
      <c r="AQ249" s="26">
        <v>43296</v>
      </c>
      <c r="AR249" s="24"/>
      <c r="AS249" s="24"/>
      <c r="AT249" s="24">
        <v>43299</v>
      </c>
      <c r="AU249" s="418">
        <f t="shared" si="11"/>
        <v>7</v>
      </c>
      <c r="AV249" s="418">
        <f t="shared" si="12"/>
        <v>2018</v>
      </c>
      <c r="AW249" s="24"/>
      <c r="AX249" s="28"/>
      <c r="AY249" s="28" t="s">
        <v>269</v>
      </c>
      <c r="AZ249" s="132" t="s">
        <v>62</v>
      </c>
      <c r="BA249" s="132"/>
      <c r="BB249" s="24"/>
      <c r="BC249" s="135" t="s">
        <v>1301</v>
      </c>
      <c r="BD249" s="24">
        <v>43227</v>
      </c>
      <c r="BE249" s="135" t="s">
        <v>931</v>
      </c>
      <c r="BF249" s="135" t="s">
        <v>736</v>
      </c>
      <c r="BG249" s="135" t="s">
        <v>29</v>
      </c>
      <c r="BH249" s="135"/>
      <c r="BI249" s="314"/>
      <c r="BJ249" s="314"/>
      <c r="BK249" s="24"/>
      <c r="BL249" s="24"/>
      <c r="BM249" s="24"/>
      <c r="BN249" s="24"/>
      <c r="BO249" s="24"/>
      <c r="BP249" s="24"/>
      <c r="BQ249" s="24"/>
      <c r="BR249" s="43"/>
      <c r="BS249" s="24"/>
      <c r="BT249" s="24"/>
      <c r="BU249" s="24"/>
      <c r="BV249" s="132" t="e">
        <f>IF(#REF!="COMPLETO","OK","PENDIENTES")</f>
        <v>#REF!</v>
      </c>
      <c r="BW249" s="132"/>
      <c r="BX249" s="132"/>
      <c r="BY249" s="132"/>
      <c r="BZ249" s="132"/>
      <c r="CA249" s="132"/>
      <c r="CB249" s="132"/>
      <c r="CC249" s="22"/>
      <c r="CG249" s="24" t="s">
        <v>105</v>
      </c>
      <c r="CH249" s="24"/>
      <c r="CI249" s="24"/>
      <c r="CJ249" s="24"/>
    </row>
    <row r="250" spans="1:130" ht="12.75" customHeight="1">
      <c r="A250" s="18">
        <v>2018</v>
      </c>
      <c r="B250" s="18" t="str">
        <f>+INDEX(BDD!F:F,MATCH(P250,BDD!D:D,0))&amp;"-"&amp;INDEX(BDD!E:E,MATCH(P250,BDD!D:D,0))</f>
        <v>E-S</v>
      </c>
      <c r="C250" s="360" t="s">
        <v>484</v>
      </c>
      <c r="D250" s="150" t="s">
        <v>77</v>
      </c>
      <c r="E250" s="132"/>
      <c r="F250" s="24"/>
      <c r="G250" s="346">
        <v>8000000008</v>
      </c>
      <c r="H250" s="25" t="s">
        <v>1302</v>
      </c>
      <c r="I250" s="329"/>
      <c r="J250" s="346">
        <v>8000000008</v>
      </c>
      <c r="K250" s="24"/>
      <c r="L250" s="24"/>
      <c r="M250" s="24"/>
      <c r="N250" s="340" t="s">
        <v>486</v>
      </c>
      <c r="O250" s="334">
        <v>205534</v>
      </c>
      <c r="P250" s="25" t="s">
        <v>220</v>
      </c>
      <c r="Q250" s="127" t="s">
        <v>222</v>
      </c>
      <c r="R250" s="128" t="s">
        <v>1303</v>
      </c>
      <c r="S250" s="24">
        <v>43132</v>
      </c>
      <c r="T250" s="36">
        <v>30</v>
      </c>
      <c r="U250" s="125" t="s">
        <v>118</v>
      </c>
      <c r="V250" s="155">
        <v>551</v>
      </c>
      <c r="W250" s="129"/>
      <c r="X250" s="88">
        <v>43196</v>
      </c>
      <c r="Y250" s="130" t="s">
        <v>20</v>
      </c>
      <c r="Z250" s="133" t="s">
        <v>60</v>
      </c>
      <c r="AA250" s="133"/>
      <c r="AB250" s="148">
        <v>1</v>
      </c>
      <c r="AC250" s="134">
        <v>378</v>
      </c>
      <c r="AD250" s="134"/>
      <c r="AE250" s="403">
        <f t="shared" si="10"/>
        <v>378</v>
      </c>
      <c r="AF250" s="132" t="str">
        <f>IF(W250=BDD!$P$1,IMPORTS!AB250/25,IF(W250=BDD!$P$2,IMPORTS!AB250/25,IF(IMPORTS!W250=BDD!$P$4,IMPORTS!AB250/25.5,"--")))</f>
        <v>--</v>
      </c>
      <c r="AG250" s="130" t="s">
        <v>5</v>
      </c>
      <c r="AH250" s="130"/>
      <c r="AI250" s="130" t="s">
        <v>71</v>
      </c>
      <c r="AJ250" s="130"/>
      <c r="AK250" s="130"/>
      <c r="AL250" s="135" t="s">
        <v>1117</v>
      </c>
      <c r="AM250" s="314"/>
      <c r="AN250" s="26"/>
      <c r="AO250" s="26"/>
      <c r="AP250" s="26"/>
      <c r="AQ250" s="26">
        <v>43187</v>
      </c>
      <c r="AR250" s="24"/>
      <c r="AS250" s="24"/>
      <c r="AT250" s="24">
        <v>43190</v>
      </c>
      <c r="AU250" s="418">
        <f t="shared" si="11"/>
        <v>3</v>
      </c>
      <c r="AV250" s="418">
        <f t="shared" si="12"/>
        <v>2018</v>
      </c>
      <c r="AW250" s="24"/>
      <c r="AX250" s="28"/>
      <c r="AY250" s="28" t="s">
        <v>263</v>
      </c>
      <c r="AZ250" s="132" t="s">
        <v>37</v>
      </c>
      <c r="BA250" s="132"/>
      <c r="BB250" s="24"/>
      <c r="BC250" s="135" t="s">
        <v>1304</v>
      </c>
      <c r="BD250" s="24">
        <v>43163</v>
      </c>
      <c r="BE250" s="135" t="s">
        <v>1305</v>
      </c>
      <c r="BF250" s="135" t="s">
        <v>1306</v>
      </c>
      <c r="BG250" s="135" t="s">
        <v>74</v>
      </c>
      <c r="BH250" s="135"/>
      <c r="BI250" s="314"/>
      <c r="BJ250" s="314"/>
      <c r="BK250" s="24"/>
      <c r="BL250" s="24"/>
      <c r="BM250" s="24"/>
      <c r="BN250" s="24"/>
      <c r="BO250" s="24"/>
      <c r="BP250" s="24"/>
      <c r="BQ250" s="24"/>
      <c r="BR250" s="43"/>
      <c r="BS250" s="24"/>
      <c r="BT250" s="24"/>
      <c r="BU250" s="24"/>
      <c r="BV250" s="132" t="e">
        <f>IF(#REF!="COMPLETO","OK","PENDIENTES")</f>
        <v>#REF!</v>
      </c>
      <c r="BW250" s="132"/>
      <c r="BX250" s="132"/>
      <c r="BY250" s="132"/>
      <c r="BZ250" s="132"/>
      <c r="CA250" s="132"/>
      <c r="CB250" s="132"/>
      <c r="CC250" s="22"/>
      <c r="CG250" s="24" t="s">
        <v>105</v>
      </c>
      <c r="CH250" s="24"/>
      <c r="CI250" s="24"/>
      <c r="CJ250" s="24"/>
    </row>
    <row r="251" spans="1:130" ht="15" customHeight="1">
      <c r="A251" s="189">
        <v>2018</v>
      </c>
      <c r="B251" s="18" t="str">
        <f>+INDEX(BDD!F:F,MATCH(P251,BDD!D:D,0))&amp;"-"&amp;INDEX(BDD!E:E,MATCH(P251,BDD!D:D,0))</f>
        <v>E-S</v>
      </c>
      <c r="C251" s="360" t="s">
        <v>484</v>
      </c>
      <c r="D251" s="191" t="s">
        <v>77</v>
      </c>
      <c r="E251" s="143"/>
      <c r="F251" s="140"/>
      <c r="G251" s="346">
        <v>8000000008</v>
      </c>
      <c r="H251" s="190" t="s">
        <v>1307</v>
      </c>
      <c r="I251" s="329"/>
      <c r="J251" s="346">
        <v>8000000008</v>
      </c>
      <c r="K251" s="24"/>
      <c r="L251" s="24"/>
      <c r="M251" s="24"/>
      <c r="N251" s="340" t="s">
        <v>486</v>
      </c>
      <c r="O251" s="334">
        <v>206950</v>
      </c>
      <c r="P251" s="190" t="s">
        <v>223</v>
      </c>
      <c r="Q251" s="192" t="s">
        <v>222</v>
      </c>
      <c r="R251" s="193" t="s">
        <v>1303</v>
      </c>
      <c r="S251" s="140">
        <v>43132</v>
      </c>
      <c r="T251" s="194">
        <v>30</v>
      </c>
      <c r="U251" s="195" t="s">
        <v>118</v>
      </c>
      <c r="V251" s="196">
        <v>551</v>
      </c>
      <c r="W251" s="182"/>
      <c r="X251" s="197">
        <v>43196</v>
      </c>
      <c r="Y251" s="198" t="s">
        <v>20</v>
      </c>
      <c r="Z251" s="138" t="s">
        <v>60</v>
      </c>
      <c r="AA251" s="138"/>
      <c r="AB251" s="199">
        <v>1</v>
      </c>
      <c r="AC251" s="139">
        <v>600</v>
      </c>
      <c r="AD251" s="139"/>
      <c r="AE251" s="403">
        <f t="shared" si="10"/>
        <v>600</v>
      </c>
      <c r="AF251" s="143" t="str">
        <f>IF(W251=BDD!$P$1,IMPORTS!AB251/25,IF(W251=BDD!$P$2,IMPORTS!AB251/25,IF(IMPORTS!W251=BDD!$P$4,IMPORTS!AB251/25.5,"--")))</f>
        <v>--</v>
      </c>
      <c r="AG251" s="198" t="s">
        <v>5</v>
      </c>
      <c r="AH251" s="198"/>
      <c r="AI251" s="198" t="s">
        <v>22</v>
      </c>
      <c r="AJ251" s="198"/>
      <c r="AK251" s="198"/>
      <c r="AL251" s="200" t="s">
        <v>1117</v>
      </c>
      <c r="AM251" s="316"/>
      <c r="AN251" s="356"/>
      <c r="AO251" s="356"/>
      <c r="AP251" s="356"/>
      <c r="AQ251" s="356">
        <v>43187</v>
      </c>
      <c r="AR251" s="140"/>
      <c r="AS251" s="140"/>
      <c r="AT251" s="140">
        <v>43190</v>
      </c>
      <c r="AU251" s="418">
        <f t="shared" si="11"/>
        <v>3</v>
      </c>
      <c r="AV251" s="418">
        <f t="shared" si="12"/>
        <v>2018</v>
      </c>
      <c r="AW251" s="140"/>
      <c r="AX251" s="142"/>
      <c r="AY251" s="142" t="s">
        <v>263</v>
      </c>
      <c r="AZ251" s="132" t="s">
        <v>37</v>
      </c>
      <c r="BA251" s="143"/>
      <c r="BB251" s="140"/>
      <c r="BC251" s="200" t="s">
        <v>1304</v>
      </c>
      <c r="BD251" s="140">
        <v>43163</v>
      </c>
      <c r="BE251" s="200" t="s">
        <v>1305</v>
      </c>
      <c r="BF251" s="200" t="s">
        <v>1306</v>
      </c>
      <c r="BG251" s="200" t="s">
        <v>74</v>
      </c>
      <c r="BH251" s="200"/>
      <c r="BI251" s="314"/>
      <c r="BJ251" s="316"/>
      <c r="BK251" s="140"/>
      <c r="BL251" s="140"/>
      <c r="BM251" s="140"/>
      <c r="BN251" s="140"/>
      <c r="BO251" s="140"/>
      <c r="BP251" s="140"/>
      <c r="BQ251" s="140"/>
      <c r="BR251" s="141"/>
      <c r="BS251" s="140"/>
      <c r="BT251" s="140"/>
      <c r="BU251" s="140"/>
      <c r="BV251" s="132" t="e">
        <f>IF(#REF!="COMPLETO","OK","PENDIENTES")</f>
        <v>#REF!</v>
      </c>
      <c r="BW251" s="132"/>
      <c r="BX251" s="132"/>
      <c r="BY251" s="132"/>
      <c r="BZ251" s="132"/>
      <c r="CA251" s="132"/>
      <c r="CB251" s="132"/>
      <c r="CC251" s="22"/>
      <c r="CG251" s="140" t="s">
        <v>105</v>
      </c>
      <c r="CH251" s="140"/>
      <c r="CI251" s="140"/>
      <c r="CJ251" s="140"/>
    </row>
    <row r="252" spans="1:130" s="136" customFormat="1" ht="15" customHeight="1">
      <c r="A252" s="18">
        <v>2018</v>
      </c>
      <c r="B252" s="18" t="str">
        <f>+INDEX(BDD!F:F,MATCH(P252,BDD!D:D,0))&amp;"-"&amp;INDEX(BDD!E:E,MATCH(P252,BDD!D:D,0))</f>
        <v>E-S</v>
      </c>
      <c r="C252" s="360" t="s">
        <v>484</v>
      </c>
      <c r="D252" s="150" t="s">
        <v>77</v>
      </c>
      <c r="E252" s="132"/>
      <c r="F252" s="24"/>
      <c r="G252" s="346">
        <v>8000000008</v>
      </c>
      <c r="H252" s="25" t="s">
        <v>1308</v>
      </c>
      <c r="I252" s="329"/>
      <c r="J252" s="346">
        <v>8000000008</v>
      </c>
      <c r="K252" s="24"/>
      <c r="L252" s="24"/>
      <c r="M252" s="24"/>
      <c r="N252" s="340" t="s">
        <v>486</v>
      </c>
      <c r="O252" s="334">
        <v>209626</v>
      </c>
      <c r="P252" s="25" t="s">
        <v>196</v>
      </c>
      <c r="Q252" s="127" t="s">
        <v>222</v>
      </c>
      <c r="R252" s="128" t="s">
        <v>1303</v>
      </c>
      <c r="S252" s="24">
        <v>43132</v>
      </c>
      <c r="T252" s="36">
        <v>30</v>
      </c>
      <c r="U252" s="125" t="s">
        <v>118</v>
      </c>
      <c r="V252" s="57">
        <v>551</v>
      </c>
      <c r="W252" s="43"/>
      <c r="X252" s="24">
        <v>43196</v>
      </c>
      <c r="Y252" s="130" t="s">
        <v>20</v>
      </c>
      <c r="Z252" s="133" t="s">
        <v>60</v>
      </c>
      <c r="AA252" s="133"/>
      <c r="AB252" s="148">
        <v>50</v>
      </c>
      <c r="AC252" s="134">
        <v>330</v>
      </c>
      <c r="AD252" s="134"/>
      <c r="AE252" s="403">
        <f t="shared" si="10"/>
        <v>16500</v>
      </c>
      <c r="AF252" s="132" t="str">
        <f>IF(W252=BDD!$P$1,IMPORTS!AB252/25,IF(W252=BDD!$P$2,IMPORTS!AB252/25,IF(IMPORTS!W252=BDD!$P$4,IMPORTS!AB252/25.5,"--")))</f>
        <v>--</v>
      </c>
      <c r="AG252" s="130" t="s">
        <v>5</v>
      </c>
      <c r="AH252" s="130"/>
      <c r="AI252" s="130" t="s">
        <v>47</v>
      </c>
      <c r="AJ252" s="130"/>
      <c r="AK252" s="130"/>
      <c r="AL252" s="135" t="s">
        <v>1117</v>
      </c>
      <c r="AM252" s="314"/>
      <c r="AN252" s="26"/>
      <c r="AO252" s="26"/>
      <c r="AP252" s="26"/>
      <c r="AQ252" s="26">
        <v>43187</v>
      </c>
      <c r="AR252" s="24"/>
      <c r="AS252" s="24"/>
      <c r="AT252" s="24">
        <v>43190</v>
      </c>
      <c r="AU252" s="418">
        <f t="shared" si="11"/>
        <v>3</v>
      </c>
      <c r="AV252" s="418">
        <f t="shared" si="12"/>
        <v>2018</v>
      </c>
      <c r="AW252" s="24"/>
      <c r="AX252" s="28"/>
      <c r="AY252" s="28" t="s">
        <v>263</v>
      </c>
      <c r="AZ252" s="132" t="s">
        <v>37</v>
      </c>
      <c r="BA252" s="132"/>
      <c r="BB252" s="24"/>
      <c r="BC252" s="135" t="s">
        <v>1304</v>
      </c>
      <c r="BD252" s="24">
        <v>43163</v>
      </c>
      <c r="BE252" s="135" t="s">
        <v>1305</v>
      </c>
      <c r="BF252" s="135" t="s">
        <v>1306</v>
      </c>
      <c r="BG252" s="135" t="s">
        <v>74</v>
      </c>
      <c r="BH252" s="135"/>
      <c r="BI252" s="314"/>
      <c r="BJ252" s="314"/>
      <c r="BK252" s="24"/>
      <c r="BL252" s="24"/>
      <c r="BM252" s="24"/>
      <c r="BN252" s="24"/>
      <c r="BO252" s="24"/>
      <c r="BP252" s="24"/>
      <c r="BQ252" s="24"/>
      <c r="BR252" s="43"/>
      <c r="BS252" s="24"/>
      <c r="BT252" s="24"/>
      <c r="BU252" s="24"/>
      <c r="BV252" s="132" t="e">
        <f>IF(#REF!="COMPLETO","OK","PENDIENTES")</f>
        <v>#REF!</v>
      </c>
      <c r="BW252" s="132"/>
      <c r="BX252" s="132"/>
      <c r="BY252" s="132"/>
      <c r="BZ252" s="132"/>
      <c r="CA252" s="132"/>
      <c r="CB252" s="132"/>
      <c r="CC252" s="22"/>
      <c r="CG252" s="24" t="s">
        <v>105</v>
      </c>
      <c r="CH252" s="24"/>
      <c r="CI252" s="24"/>
      <c r="CJ252" s="24"/>
      <c r="CM252" s="201"/>
      <c r="DZ252" s="201"/>
    </row>
    <row r="253" spans="1:130" ht="15" customHeight="1">
      <c r="A253" s="202">
        <v>2018</v>
      </c>
      <c r="B253" s="18" t="str">
        <f>+INDEX(BDD!F:F,MATCH(P253,BDD!D:D,0))&amp;"-"&amp;INDEX(BDD!E:E,MATCH(P253,BDD!D:D,0))</f>
        <v>S-C</v>
      </c>
      <c r="C253" s="360" t="s">
        <v>484</v>
      </c>
      <c r="D253" s="203" t="s">
        <v>77</v>
      </c>
      <c r="E253" s="212"/>
      <c r="F253" s="206"/>
      <c r="G253" s="346"/>
      <c r="H253" s="183" t="s">
        <v>1309</v>
      </c>
      <c r="I253" s="329"/>
      <c r="J253" s="346"/>
      <c r="K253" s="24"/>
      <c r="L253" s="24"/>
      <c r="M253" s="24"/>
      <c r="N253" s="340"/>
      <c r="O253" s="334">
        <v>207580</v>
      </c>
      <c r="P253" s="183" t="s">
        <v>241</v>
      </c>
      <c r="Q253" s="204" t="s">
        <v>282</v>
      </c>
      <c r="R253" s="205" t="s">
        <v>1310</v>
      </c>
      <c r="S253" s="206">
        <v>43159</v>
      </c>
      <c r="T253" s="207">
        <v>120</v>
      </c>
      <c r="U253" s="208" t="s">
        <v>118</v>
      </c>
      <c r="V253" s="209" t="s">
        <v>1311</v>
      </c>
      <c r="W253" s="210"/>
      <c r="X253" s="209">
        <v>43322</v>
      </c>
      <c r="Y253" s="159" t="s">
        <v>20</v>
      </c>
      <c r="Z253" s="213" t="s">
        <v>60</v>
      </c>
      <c r="AA253" s="213"/>
      <c r="AB253" s="211">
        <v>48</v>
      </c>
      <c r="AC253" s="214">
        <v>820</v>
      </c>
      <c r="AD253" s="214"/>
      <c r="AE253" s="403">
        <f t="shared" si="10"/>
        <v>39360</v>
      </c>
      <c r="AF253" s="212">
        <v>2</v>
      </c>
      <c r="AG253" s="159" t="s">
        <v>5</v>
      </c>
      <c r="AH253" s="159"/>
      <c r="AI253" s="159" t="s">
        <v>34</v>
      </c>
      <c r="AJ253" s="159"/>
      <c r="AK253" s="159"/>
      <c r="AL253" s="215" t="s">
        <v>1117</v>
      </c>
      <c r="AM253" s="317"/>
      <c r="AN253" s="358"/>
      <c r="AO253" s="358"/>
      <c r="AP253" s="358"/>
      <c r="AQ253" s="358">
        <v>43226</v>
      </c>
      <c r="AR253" s="206"/>
      <c r="AS253" s="206"/>
      <c r="AT253" s="206">
        <v>43229</v>
      </c>
      <c r="AU253" s="418">
        <f t="shared" si="11"/>
        <v>5</v>
      </c>
      <c r="AV253" s="418">
        <f t="shared" si="12"/>
        <v>2018</v>
      </c>
      <c r="AW253" s="206"/>
      <c r="AX253" s="217"/>
      <c r="AY253" s="217" t="s">
        <v>181</v>
      </c>
      <c r="AZ253" s="132" t="s">
        <v>37</v>
      </c>
      <c r="BA253" s="212"/>
      <c r="BB253" s="206"/>
      <c r="BC253" s="215" t="s">
        <v>1312</v>
      </c>
      <c r="BD253" s="206">
        <v>43202</v>
      </c>
      <c r="BE253" s="215" t="s">
        <v>994</v>
      </c>
      <c r="BF253" s="215" t="s">
        <v>1313</v>
      </c>
      <c r="BG253" s="215" t="s">
        <v>190</v>
      </c>
      <c r="BH253" s="215"/>
      <c r="BI253" s="314"/>
      <c r="BJ253" s="317"/>
      <c r="BK253" s="206"/>
      <c r="BL253" s="206"/>
      <c r="BM253" s="206"/>
      <c r="BN253" s="206"/>
      <c r="BO253" s="206"/>
      <c r="BP253" s="206"/>
      <c r="BQ253" s="206"/>
      <c r="BR253" s="216"/>
      <c r="BS253" s="206"/>
      <c r="BT253" s="206"/>
      <c r="BU253" s="206"/>
      <c r="BV253" s="132" t="e">
        <f>IF(#REF!="COMPLETO","OK","PENDIENTES")</f>
        <v>#REF!</v>
      </c>
      <c r="BW253" s="132"/>
      <c r="BX253" s="132"/>
      <c r="BY253" s="132"/>
      <c r="BZ253" s="132"/>
      <c r="CA253" s="132"/>
      <c r="CB253" s="132"/>
      <c r="CC253" s="22"/>
      <c r="CG253" s="206" t="s">
        <v>105</v>
      </c>
      <c r="CH253" s="206"/>
      <c r="CI253" s="206"/>
      <c r="CJ253" s="206"/>
    </row>
    <row r="254" spans="1:130" ht="15" customHeight="1">
      <c r="A254" s="18">
        <v>2018</v>
      </c>
      <c r="B254" s="18" t="str">
        <f>+INDEX(BDD!F:F,MATCH(P254,BDD!D:D,0))&amp;"-"&amp;INDEX(BDD!E:E,MATCH(P254,BDD!D:D,0))</f>
        <v>G-S</v>
      </c>
      <c r="C254" s="360" t="s">
        <v>484</v>
      </c>
      <c r="D254" s="150" t="s">
        <v>77</v>
      </c>
      <c r="E254" s="132"/>
      <c r="F254" s="24"/>
      <c r="G254" s="346"/>
      <c r="H254" s="25" t="s">
        <v>1314</v>
      </c>
      <c r="I254" s="329"/>
      <c r="J254" s="346"/>
      <c r="K254" s="24"/>
      <c r="L254" s="24"/>
      <c r="M254" s="24"/>
      <c r="N254" s="340"/>
      <c r="O254" s="334">
        <v>204712</v>
      </c>
      <c r="P254" s="25" t="s">
        <v>337</v>
      </c>
      <c r="Q254" s="127" t="s">
        <v>213</v>
      </c>
      <c r="R254" s="128" t="s">
        <v>1315</v>
      </c>
      <c r="S254" s="24">
        <v>43164</v>
      </c>
      <c r="T254" s="36" t="s">
        <v>19</v>
      </c>
      <c r="U254" s="125"/>
      <c r="V254" s="155">
        <v>20180470</v>
      </c>
      <c r="W254" s="129"/>
      <c r="X254" s="88">
        <v>43216</v>
      </c>
      <c r="Y254" s="130" t="s">
        <v>20</v>
      </c>
      <c r="Z254" s="133" t="s">
        <v>72</v>
      </c>
      <c r="AA254" s="133"/>
      <c r="AB254" s="148">
        <v>1540.5</v>
      </c>
      <c r="AC254" s="134">
        <v>158</v>
      </c>
      <c r="AD254" s="134"/>
      <c r="AE254" s="403">
        <f t="shared" si="10"/>
        <v>243399</v>
      </c>
      <c r="AF254" s="132" t="str">
        <f>IF(W254=BDD!$P$1,IMPORTS!AB254/25,IF(W254=BDD!$P$2,IMPORTS!AB254/25,IF(IMPORTS!W254=BDD!$P$4,IMPORTS!AB254/25.5,"--")))</f>
        <v>--</v>
      </c>
      <c r="AG254" s="130" t="s">
        <v>58</v>
      </c>
      <c r="AH254" s="130"/>
      <c r="AI254" s="130" t="s">
        <v>47</v>
      </c>
      <c r="AJ254" s="130"/>
      <c r="AK254" s="130"/>
      <c r="AL254" s="135" t="s">
        <v>1316</v>
      </c>
      <c r="AM254" s="314"/>
      <c r="AN254" s="26"/>
      <c r="AO254" s="26"/>
      <c r="AP254" s="26"/>
      <c r="AQ254" s="26">
        <v>43226</v>
      </c>
      <c r="AR254" s="24"/>
      <c r="AS254" s="24"/>
      <c r="AT254" s="24">
        <v>43243</v>
      </c>
      <c r="AU254" s="418">
        <f t="shared" si="11"/>
        <v>5</v>
      </c>
      <c r="AV254" s="418">
        <f t="shared" si="12"/>
        <v>2018</v>
      </c>
      <c r="AW254" s="24"/>
      <c r="AX254" s="28"/>
      <c r="AY254" s="28" t="s">
        <v>95</v>
      </c>
      <c r="AZ254" s="132" t="s">
        <v>37</v>
      </c>
      <c r="BA254" s="132"/>
      <c r="BB254" s="24"/>
      <c r="BC254" s="135" t="s">
        <v>1317</v>
      </c>
      <c r="BD254" s="24">
        <v>43191</v>
      </c>
      <c r="BE254" s="135" t="s">
        <v>1318</v>
      </c>
      <c r="BF254" s="135" t="s">
        <v>1318</v>
      </c>
      <c r="BG254" s="135" t="s">
        <v>52</v>
      </c>
      <c r="BH254" s="135"/>
      <c r="BI254" s="314"/>
      <c r="BJ254" s="314"/>
      <c r="BK254" s="24"/>
      <c r="BL254" s="24"/>
      <c r="BM254" s="24"/>
      <c r="BN254" s="24"/>
      <c r="BO254" s="24"/>
      <c r="BP254" s="24"/>
      <c r="BQ254" s="24"/>
      <c r="BR254" s="43"/>
      <c r="BS254" s="24"/>
      <c r="BT254" s="24"/>
      <c r="BU254" s="24"/>
      <c r="BV254" s="132" t="e">
        <f>IF(#REF!="COMPLETO","OK","PENDIENTES")</f>
        <v>#REF!</v>
      </c>
      <c r="BW254" s="132"/>
      <c r="BX254" s="132"/>
      <c r="BY254" s="132"/>
      <c r="BZ254" s="132"/>
      <c r="CA254" s="132"/>
      <c r="CB254" s="132"/>
      <c r="CC254" s="22"/>
      <c r="CG254" s="24" t="s">
        <v>99</v>
      </c>
      <c r="CH254" s="24"/>
      <c r="CI254" s="24"/>
      <c r="CJ254" s="24"/>
    </row>
    <row r="255" spans="1:130" ht="15" customHeight="1">
      <c r="A255" s="18">
        <v>2018</v>
      </c>
      <c r="B255" s="18" t="str">
        <f>+INDEX(BDD!F:F,MATCH(P255,BDD!D:D,0))&amp;"-"&amp;INDEX(BDD!E:E,MATCH(P255,BDD!D:D,0))</f>
        <v>G-S</v>
      </c>
      <c r="C255" s="360" t="s">
        <v>484</v>
      </c>
      <c r="D255" s="150" t="s">
        <v>77</v>
      </c>
      <c r="E255" s="132"/>
      <c r="F255" s="24"/>
      <c r="G255" s="346"/>
      <c r="H255" s="25" t="s">
        <v>1319</v>
      </c>
      <c r="I255" s="329"/>
      <c r="J255" s="346"/>
      <c r="K255" s="24"/>
      <c r="L255" s="24"/>
      <c r="M255" s="24"/>
      <c r="N255" s="340"/>
      <c r="O255" s="334">
        <v>209852</v>
      </c>
      <c r="P255" s="25" t="s">
        <v>337</v>
      </c>
      <c r="Q255" s="127" t="s">
        <v>213</v>
      </c>
      <c r="R255" s="128" t="s">
        <v>1320</v>
      </c>
      <c r="S255" s="24">
        <v>43164</v>
      </c>
      <c r="T255" s="36" t="s">
        <v>19</v>
      </c>
      <c r="U255" s="125"/>
      <c r="V255" s="155">
        <v>20180374</v>
      </c>
      <c r="W255" s="129"/>
      <c r="X255" s="88">
        <v>43202</v>
      </c>
      <c r="Y255" s="130" t="s">
        <v>20</v>
      </c>
      <c r="Z255" s="133" t="s">
        <v>72</v>
      </c>
      <c r="AA255" s="133"/>
      <c r="AB255" s="148">
        <v>1300</v>
      </c>
      <c r="AC255" s="134">
        <v>168</v>
      </c>
      <c r="AD255" s="134"/>
      <c r="AE255" s="403">
        <f t="shared" si="10"/>
        <v>218400</v>
      </c>
      <c r="AF255" s="132">
        <v>50</v>
      </c>
      <c r="AG255" s="130" t="s">
        <v>5</v>
      </c>
      <c r="AH255" s="130"/>
      <c r="AI255" s="130" t="s">
        <v>47</v>
      </c>
      <c r="AJ255" s="130"/>
      <c r="AK255" s="130"/>
      <c r="AL255" s="135" t="s">
        <v>1321</v>
      </c>
      <c r="AM255" s="314"/>
      <c r="AN255" s="26"/>
      <c r="AO255" s="26"/>
      <c r="AP255" s="26"/>
      <c r="AQ255" s="26">
        <v>43229</v>
      </c>
      <c r="AR255" s="24"/>
      <c r="AS255" s="24"/>
      <c r="AT255" s="24">
        <v>43232</v>
      </c>
      <c r="AU255" s="418">
        <f t="shared" si="11"/>
        <v>5</v>
      </c>
      <c r="AV255" s="418">
        <f t="shared" si="12"/>
        <v>2018</v>
      </c>
      <c r="AW255" s="24"/>
      <c r="AX255" s="28"/>
      <c r="AY255" s="28" t="s">
        <v>139</v>
      </c>
      <c r="AZ255" s="132" t="s">
        <v>9</v>
      </c>
      <c r="BA255" s="132"/>
      <c r="BB255" s="24"/>
      <c r="BC255" s="135" t="s">
        <v>1322</v>
      </c>
      <c r="BD255" s="24">
        <v>43190</v>
      </c>
      <c r="BE255" s="135" t="s">
        <v>1323</v>
      </c>
      <c r="BF255" s="135" t="s">
        <v>1324</v>
      </c>
      <c r="BG255" s="135" t="s">
        <v>65</v>
      </c>
      <c r="BH255" s="135"/>
      <c r="BI255" s="314"/>
      <c r="BJ255" s="314"/>
      <c r="BK255" s="24"/>
      <c r="BL255" s="24"/>
      <c r="BM255" s="24"/>
      <c r="BN255" s="24"/>
      <c r="BO255" s="24">
        <f>+AQ255+14</f>
        <v>43243</v>
      </c>
      <c r="BP255" s="24"/>
      <c r="BQ255" s="24"/>
      <c r="BR255" s="43"/>
      <c r="BS255" s="24"/>
      <c r="BT255" s="24"/>
      <c r="BU255" s="24"/>
      <c r="BV255" s="132" t="e">
        <f>IF(#REF!="COMPLETO","OK","PENDIENTES")</f>
        <v>#REF!</v>
      </c>
      <c r="BW255" s="132"/>
      <c r="BX255" s="132"/>
      <c r="BY255" s="132"/>
      <c r="BZ255" s="132"/>
      <c r="CA255" s="132"/>
      <c r="CB255" s="132"/>
      <c r="CC255" s="22"/>
      <c r="CG255" s="24" t="s">
        <v>99</v>
      </c>
      <c r="CH255" s="24"/>
      <c r="CI255" s="24"/>
      <c r="CJ255" s="24"/>
    </row>
    <row r="256" spans="1:130" ht="15" customHeight="1">
      <c r="A256" s="18">
        <v>2018</v>
      </c>
      <c r="B256" s="18" t="str">
        <f>+INDEX(BDD!F:F,MATCH(P256,BDD!D:D,0))&amp;"-"&amp;INDEX(BDD!E:E,MATCH(P256,BDD!D:D,0))</f>
        <v>G-S</v>
      </c>
      <c r="C256" s="360" t="s">
        <v>484</v>
      </c>
      <c r="D256" s="150" t="s">
        <v>77</v>
      </c>
      <c r="E256" s="132"/>
      <c r="F256" s="24"/>
      <c r="G256" s="346"/>
      <c r="H256" s="25" t="s">
        <v>1325</v>
      </c>
      <c r="I256" s="329"/>
      <c r="J256" s="346"/>
      <c r="K256" s="24"/>
      <c r="L256" s="24"/>
      <c r="M256" s="24"/>
      <c r="N256" s="340"/>
      <c r="O256" s="334">
        <v>204712</v>
      </c>
      <c r="P256" s="25" t="s">
        <v>337</v>
      </c>
      <c r="Q256" s="127" t="s">
        <v>213</v>
      </c>
      <c r="R256" s="128" t="s">
        <v>1320</v>
      </c>
      <c r="S256" s="24">
        <v>43164</v>
      </c>
      <c r="T256" s="36" t="s">
        <v>19</v>
      </c>
      <c r="U256" s="125"/>
      <c r="V256" s="155">
        <v>20180375</v>
      </c>
      <c r="W256" s="129"/>
      <c r="X256" s="88">
        <v>43202</v>
      </c>
      <c r="Y256" s="130" t="s">
        <v>20</v>
      </c>
      <c r="Z256" s="133" t="s">
        <v>72</v>
      </c>
      <c r="AA256" s="133"/>
      <c r="AB256" s="148">
        <v>520</v>
      </c>
      <c r="AC256" s="134">
        <v>168</v>
      </c>
      <c r="AD256" s="134"/>
      <c r="AE256" s="403">
        <f t="shared" si="10"/>
        <v>87360</v>
      </c>
      <c r="AF256" s="132">
        <v>20</v>
      </c>
      <c r="AG256" s="130" t="s">
        <v>5</v>
      </c>
      <c r="AH256" s="130"/>
      <c r="AI256" s="130" t="s">
        <v>47</v>
      </c>
      <c r="AJ256" s="130"/>
      <c r="AK256" s="130"/>
      <c r="AL256" s="135" t="s">
        <v>1321</v>
      </c>
      <c r="AM256" s="314"/>
      <c r="AN256" s="26"/>
      <c r="AO256" s="26"/>
      <c r="AP256" s="26"/>
      <c r="AQ256" s="26">
        <v>43229</v>
      </c>
      <c r="AR256" s="24"/>
      <c r="AS256" s="24"/>
      <c r="AT256" s="24">
        <v>43232</v>
      </c>
      <c r="AU256" s="418">
        <f t="shared" si="11"/>
        <v>5</v>
      </c>
      <c r="AV256" s="418">
        <f t="shared" si="12"/>
        <v>2018</v>
      </c>
      <c r="AW256" s="24"/>
      <c r="AX256" s="28"/>
      <c r="AY256" s="28" t="s">
        <v>139</v>
      </c>
      <c r="AZ256" s="132" t="s">
        <v>9</v>
      </c>
      <c r="BA256" s="132"/>
      <c r="BB256" s="24"/>
      <c r="BC256" s="135" t="s">
        <v>1326</v>
      </c>
      <c r="BD256" s="24">
        <v>43190</v>
      </c>
      <c r="BE256" s="135" t="s">
        <v>1323</v>
      </c>
      <c r="BF256" s="135" t="s">
        <v>769</v>
      </c>
      <c r="BG256" s="135" t="s">
        <v>65</v>
      </c>
      <c r="BH256" s="135"/>
      <c r="BI256" s="314"/>
      <c r="BJ256" s="314"/>
      <c r="BK256" s="24"/>
      <c r="BL256" s="24"/>
      <c r="BM256" s="24"/>
      <c r="BN256" s="24"/>
      <c r="BO256" s="24"/>
      <c r="BP256" s="24"/>
      <c r="BQ256" s="24"/>
      <c r="BR256" s="43"/>
      <c r="BS256" s="24"/>
      <c r="BT256" s="24"/>
      <c r="BU256" s="24"/>
      <c r="BV256" s="132" t="e">
        <f>IF(#REF!="COMPLETO","OK","PENDIENTES")</f>
        <v>#REF!</v>
      </c>
      <c r="BW256" s="132"/>
      <c r="BX256" s="132"/>
      <c r="BY256" s="132"/>
      <c r="BZ256" s="132"/>
      <c r="CA256" s="132"/>
      <c r="CB256" s="132"/>
      <c r="CC256" s="22"/>
      <c r="CG256" s="24" t="s">
        <v>99</v>
      </c>
      <c r="CH256" s="24"/>
      <c r="CI256" s="24"/>
      <c r="CJ256" s="24"/>
    </row>
    <row r="257" spans="1:88" ht="15" customHeight="1">
      <c r="A257" s="18">
        <v>2018</v>
      </c>
      <c r="B257" s="18" t="str">
        <f>+INDEX(BDD!F:F,MATCH(P257,BDD!D:D,0))&amp;"-"&amp;INDEX(BDD!E:E,MATCH(P257,BDD!D:D,0))</f>
        <v>G-S</v>
      </c>
      <c r="C257" s="360" t="s">
        <v>484</v>
      </c>
      <c r="D257" s="150" t="s">
        <v>77</v>
      </c>
      <c r="E257" s="132"/>
      <c r="F257" s="24"/>
      <c r="G257" s="346"/>
      <c r="H257" s="25" t="s">
        <v>1327</v>
      </c>
      <c r="I257" s="329"/>
      <c r="J257" s="346"/>
      <c r="K257" s="24"/>
      <c r="L257" s="24"/>
      <c r="M257" s="24"/>
      <c r="N257" s="340"/>
      <c r="O257" s="334">
        <v>204712</v>
      </c>
      <c r="P257" s="25" t="s">
        <v>337</v>
      </c>
      <c r="Q257" s="127" t="s">
        <v>213</v>
      </c>
      <c r="R257" s="128" t="s">
        <v>1320</v>
      </c>
      <c r="S257" s="24">
        <v>43164</v>
      </c>
      <c r="T257" s="36" t="s">
        <v>19</v>
      </c>
      <c r="U257" s="125"/>
      <c r="V257" s="155">
        <v>20180453</v>
      </c>
      <c r="W257" s="129"/>
      <c r="X257" s="88">
        <v>43216</v>
      </c>
      <c r="Y257" s="130" t="s">
        <v>20</v>
      </c>
      <c r="Z257" s="133" t="s">
        <v>72</v>
      </c>
      <c r="AA257" s="133"/>
      <c r="AB257" s="148">
        <v>52</v>
      </c>
      <c r="AC257" s="134">
        <v>168</v>
      </c>
      <c r="AD257" s="134"/>
      <c r="AE257" s="403">
        <f t="shared" si="10"/>
        <v>8736</v>
      </c>
      <c r="AF257" s="132">
        <v>2</v>
      </c>
      <c r="AG257" s="130" t="s">
        <v>5</v>
      </c>
      <c r="AH257" s="130"/>
      <c r="AI257" s="130" t="s">
        <v>47</v>
      </c>
      <c r="AJ257" s="130"/>
      <c r="AK257" s="130"/>
      <c r="AL257" s="135" t="s">
        <v>1321</v>
      </c>
      <c r="AM257" s="314"/>
      <c r="AN257" s="26"/>
      <c r="AO257" s="26"/>
      <c r="AP257" s="26"/>
      <c r="AQ257" s="26">
        <v>43234</v>
      </c>
      <c r="AR257" s="24"/>
      <c r="AS257" s="24"/>
      <c r="AT257" s="26">
        <v>43238</v>
      </c>
      <c r="AU257" s="418">
        <f t="shared" si="11"/>
        <v>5</v>
      </c>
      <c r="AV257" s="418">
        <f t="shared" si="12"/>
        <v>2018</v>
      </c>
      <c r="AW257" s="26"/>
      <c r="AX257" s="28"/>
      <c r="AY257" s="28" t="s">
        <v>139</v>
      </c>
      <c r="AZ257" s="132" t="s">
        <v>9</v>
      </c>
      <c r="BA257" s="132"/>
      <c r="BB257" s="26"/>
      <c r="BC257" s="135" t="s">
        <v>1328</v>
      </c>
      <c r="BD257" s="24">
        <v>43198</v>
      </c>
      <c r="BE257" s="135" t="s">
        <v>1329</v>
      </c>
      <c r="BF257" s="135" t="s">
        <v>790</v>
      </c>
      <c r="BG257" s="135" t="s">
        <v>65</v>
      </c>
      <c r="BH257" s="135"/>
      <c r="BI257" s="314"/>
      <c r="BJ257" s="314"/>
      <c r="BK257" s="26"/>
      <c r="BL257" s="26"/>
      <c r="BM257" s="26"/>
      <c r="BN257" s="26"/>
      <c r="BO257" s="24">
        <v>43250</v>
      </c>
      <c r="BP257" s="24"/>
      <c r="BQ257" s="24"/>
      <c r="BR257" s="43"/>
      <c r="BS257" s="24"/>
      <c r="BT257" s="24"/>
      <c r="BU257" s="24"/>
      <c r="BV257" s="132" t="e">
        <f>IF(#REF!="COMPLETO","OK","PENDIENTES")</f>
        <v>#REF!</v>
      </c>
      <c r="BW257" s="132"/>
      <c r="BX257" s="132"/>
      <c r="BY257" s="132"/>
      <c r="BZ257" s="132"/>
      <c r="CA257" s="132"/>
      <c r="CB257" s="132"/>
      <c r="CC257" s="22"/>
      <c r="CG257" s="24" t="s">
        <v>99</v>
      </c>
      <c r="CH257" s="24"/>
      <c r="CI257" s="26"/>
      <c r="CJ257" s="26"/>
    </row>
    <row r="258" spans="1:88" ht="15" customHeight="1">
      <c r="A258" s="18">
        <v>2018</v>
      </c>
      <c r="B258" s="18" t="str">
        <f>+INDEX(BDD!F:F,MATCH(P258,BDD!D:D,0))&amp;"-"&amp;INDEX(BDD!E:E,MATCH(P258,BDD!D:D,0))</f>
        <v>G-S</v>
      </c>
      <c r="C258" s="360" t="s">
        <v>484</v>
      </c>
      <c r="D258" s="150" t="s">
        <v>77</v>
      </c>
      <c r="E258" s="132"/>
      <c r="F258" s="24"/>
      <c r="G258" s="346"/>
      <c r="H258" s="25" t="s">
        <v>1330</v>
      </c>
      <c r="I258" s="329"/>
      <c r="J258" s="346"/>
      <c r="K258" s="24"/>
      <c r="L258" s="24"/>
      <c r="M258" s="24"/>
      <c r="N258" s="340"/>
      <c r="O258" s="334">
        <v>204712</v>
      </c>
      <c r="P258" s="25" t="s">
        <v>337</v>
      </c>
      <c r="Q258" s="127" t="s">
        <v>213</v>
      </c>
      <c r="R258" s="128" t="s">
        <v>1320</v>
      </c>
      <c r="S258" s="24">
        <v>43164</v>
      </c>
      <c r="T258" s="36" t="s">
        <v>19</v>
      </c>
      <c r="U258" s="125"/>
      <c r="V258" s="155">
        <v>20180452</v>
      </c>
      <c r="W258" s="129"/>
      <c r="X258" s="88">
        <v>43216</v>
      </c>
      <c r="Y258" s="130" t="s">
        <v>20</v>
      </c>
      <c r="Z258" s="133" t="s">
        <v>72</v>
      </c>
      <c r="AA258" s="133"/>
      <c r="AB258" s="148">
        <v>650</v>
      </c>
      <c r="AC258" s="134">
        <v>168</v>
      </c>
      <c r="AD258" s="134"/>
      <c r="AE258" s="403">
        <f t="shared" ref="AE258:AE321" si="13">AB258*AC258</f>
        <v>109200</v>
      </c>
      <c r="AF258" s="132">
        <v>25</v>
      </c>
      <c r="AG258" s="130" t="s">
        <v>5</v>
      </c>
      <c r="AH258" s="130"/>
      <c r="AI258" s="130" t="s">
        <v>47</v>
      </c>
      <c r="AJ258" s="130"/>
      <c r="AK258" s="130"/>
      <c r="AL258" s="135" t="s">
        <v>1321</v>
      </c>
      <c r="AM258" s="314"/>
      <c r="AN258" s="26"/>
      <c r="AO258" s="26"/>
      <c r="AP258" s="26"/>
      <c r="AQ258" s="26">
        <v>43234</v>
      </c>
      <c r="AR258" s="24"/>
      <c r="AS258" s="24"/>
      <c r="AT258" s="26">
        <v>43241</v>
      </c>
      <c r="AU258" s="418">
        <f t="shared" si="11"/>
        <v>5</v>
      </c>
      <c r="AV258" s="418">
        <f t="shared" si="12"/>
        <v>2018</v>
      </c>
      <c r="AW258" s="26"/>
      <c r="AX258" s="28"/>
      <c r="AY258" s="28" t="s">
        <v>139</v>
      </c>
      <c r="AZ258" s="132" t="s">
        <v>9</v>
      </c>
      <c r="BA258" s="132"/>
      <c r="BB258" s="26"/>
      <c r="BC258" s="135" t="s">
        <v>1331</v>
      </c>
      <c r="BD258" s="24">
        <v>43198</v>
      </c>
      <c r="BE258" s="135" t="s">
        <v>1329</v>
      </c>
      <c r="BF258" s="135" t="s">
        <v>790</v>
      </c>
      <c r="BG258" s="135" t="s">
        <v>65</v>
      </c>
      <c r="BH258" s="135"/>
      <c r="BI258" s="314"/>
      <c r="BJ258" s="314"/>
      <c r="BK258" s="26"/>
      <c r="BL258" s="26"/>
      <c r="BM258" s="26"/>
      <c r="BN258" s="26"/>
      <c r="BO258" s="24">
        <v>43250</v>
      </c>
      <c r="BP258" s="24"/>
      <c r="BQ258" s="24"/>
      <c r="BR258" s="43"/>
      <c r="BS258" s="24"/>
      <c r="BT258" s="24"/>
      <c r="BU258" s="24"/>
      <c r="BV258" s="132" t="e">
        <f>IF(#REF!="COMPLETO","OK","PENDIENTES")</f>
        <v>#REF!</v>
      </c>
      <c r="BW258" s="132"/>
      <c r="BX258" s="132"/>
      <c r="BY258" s="132"/>
      <c r="BZ258" s="132"/>
      <c r="CA258" s="132"/>
      <c r="CB258" s="132"/>
      <c r="CC258" s="22"/>
      <c r="CG258" s="24" t="s">
        <v>105</v>
      </c>
      <c r="CH258" s="24"/>
      <c r="CI258" s="26"/>
      <c r="CJ258" s="26"/>
    </row>
    <row r="259" spans="1:88" ht="15" customHeight="1">
      <c r="A259" s="18">
        <v>2018</v>
      </c>
      <c r="B259" s="18" t="str">
        <f>+INDEX(BDD!F:F,MATCH(P259,BDD!D:D,0))&amp;"-"&amp;INDEX(BDD!E:E,MATCH(P259,BDD!D:D,0))</f>
        <v>S-S</v>
      </c>
      <c r="C259" s="360" t="s">
        <v>484</v>
      </c>
      <c r="D259" s="150" t="s">
        <v>77</v>
      </c>
      <c r="E259" s="132"/>
      <c r="F259" s="24"/>
      <c r="G259" s="346">
        <v>8000000009</v>
      </c>
      <c r="H259" s="25" t="s">
        <v>1332</v>
      </c>
      <c r="I259" s="329"/>
      <c r="J259" s="346">
        <v>8000000009</v>
      </c>
      <c r="K259" s="24"/>
      <c r="L259" s="24"/>
      <c r="M259" s="24"/>
      <c r="N259" s="340" t="s">
        <v>486</v>
      </c>
      <c r="O259" s="334">
        <v>206971</v>
      </c>
      <c r="P259" s="25" t="s">
        <v>340</v>
      </c>
      <c r="Q259" s="127" t="s">
        <v>267</v>
      </c>
      <c r="R259" s="128">
        <v>143294522</v>
      </c>
      <c r="S259" s="24">
        <v>43175</v>
      </c>
      <c r="T259" s="36">
        <v>90</v>
      </c>
      <c r="U259" s="125" t="s">
        <v>118</v>
      </c>
      <c r="V259" s="155">
        <v>3300003218</v>
      </c>
      <c r="W259" s="129"/>
      <c r="X259" s="88">
        <v>43290</v>
      </c>
      <c r="Y259" s="130" t="s">
        <v>20</v>
      </c>
      <c r="Z259" s="133" t="s">
        <v>60</v>
      </c>
      <c r="AA259" s="133"/>
      <c r="AB259" s="148">
        <v>162</v>
      </c>
      <c r="AC259" s="134">
        <v>532</v>
      </c>
      <c r="AD259" s="134"/>
      <c r="AE259" s="403">
        <f t="shared" si="13"/>
        <v>86184</v>
      </c>
      <c r="AF259" s="132">
        <v>6</v>
      </c>
      <c r="AG259" s="130" t="s">
        <v>5</v>
      </c>
      <c r="AH259" s="130"/>
      <c r="AI259" s="130" t="s">
        <v>34</v>
      </c>
      <c r="AJ259" s="130"/>
      <c r="AK259" s="130"/>
      <c r="AL259" s="135" t="s">
        <v>1117</v>
      </c>
      <c r="AM259" s="314"/>
      <c r="AN259" s="26"/>
      <c r="AO259" s="26"/>
      <c r="AP259" s="26"/>
      <c r="AQ259" s="26">
        <v>43216</v>
      </c>
      <c r="AR259" s="24"/>
      <c r="AS259" s="24"/>
      <c r="AT259" s="26">
        <v>43218</v>
      </c>
      <c r="AU259" s="418">
        <f t="shared" ref="AU259:AU322" si="14">MONTH(AT259)</f>
        <v>4</v>
      </c>
      <c r="AV259" s="418">
        <f t="shared" ref="AV259:AV322" si="15">YEAR(AT259)</f>
        <v>2018</v>
      </c>
      <c r="AW259" s="26"/>
      <c r="AX259" s="28"/>
      <c r="AY259" s="28" t="s">
        <v>8</v>
      </c>
      <c r="AZ259" s="132" t="s">
        <v>37</v>
      </c>
      <c r="BA259" s="132"/>
      <c r="BB259" s="26"/>
      <c r="BC259" s="135" t="s">
        <v>1333</v>
      </c>
      <c r="BD259" s="24">
        <v>43195</v>
      </c>
      <c r="BE259" s="135" t="s">
        <v>1334</v>
      </c>
      <c r="BF259" s="135" t="s">
        <v>1334</v>
      </c>
      <c r="BG259" s="135" t="s">
        <v>14</v>
      </c>
      <c r="BH259" s="135"/>
      <c r="BI259" s="314"/>
      <c r="BJ259" s="314"/>
      <c r="BK259" s="24"/>
      <c r="BL259" s="24"/>
      <c r="BM259" s="24"/>
      <c r="BN259" s="24"/>
      <c r="BO259" s="24">
        <f>+AQ259+15</f>
        <v>43231</v>
      </c>
      <c r="BP259" s="24"/>
      <c r="BQ259" s="24"/>
      <c r="BR259" s="43"/>
      <c r="BS259" s="24"/>
      <c r="BT259" s="24"/>
      <c r="BU259" s="24"/>
      <c r="BV259" s="132" t="e">
        <f>IF(#REF!="COMPLETO","OK","PENDIENTES")</f>
        <v>#REF!</v>
      </c>
      <c r="BW259" s="132"/>
      <c r="BX259" s="132"/>
      <c r="BY259" s="132"/>
      <c r="BZ259" s="132"/>
      <c r="CA259" s="132"/>
      <c r="CB259" s="132"/>
      <c r="CC259" s="22"/>
      <c r="CG259" s="24" t="s">
        <v>105</v>
      </c>
      <c r="CH259" s="24"/>
      <c r="CI259" s="26"/>
      <c r="CJ259" s="26"/>
    </row>
    <row r="260" spans="1:88" ht="15" customHeight="1">
      <c r="A260" s="18">
        <v>2018</v>
      </c>
      <c r="B260" s="18" t="str">
        <f>+INDEX(BDD!F:F,MATCH(P260,BDD!D:D,0))&amp;"-"&amp;INDEX(BDD!E:E,MATCH(P260,BDD!D:D,0))</f>
        <v>S-S</v>
      </c>
      <c r="C260" s="360" t="s">
        <v>484</v>
      </c>
      <c r="D260" s="150" t="s">
        <v>77</v>
      </c>
      <c r="E260" s="132"/>
      <c r="F260" s="24"/>
      <c r="G260" s="346">
        <v>8000000010</v>
      </c>
      <c r="H260" s="25" t="s">
        <v>1335</v>
      </c>
      <c r="I260" s="329"/>
      <c r="J260" s="346">
        <v>8000000010</v>
      </c>
      <c r="K260" s="24"/>
      <c r="L260" s="24"/>
      <c r="M260" s="24"/>
      <c r="N260" s="340" t="s">
        <v>486</v>
      </c>
      <c r="O260" s="334">
        <v>206971</v>
      </c>
      <c r="P260" s="25" t="s">
        <v>340</v>
      </c>
      <c r="Q260" s="127" t="s">
        <v>267</v>
      </c>
      <c r="R260" s="128">
        <v>143294527</v>
      </c>
      <c r="S260" s="24">
        <v>43161</v>
      </c>
      <c r="T260" s="36">
        <v>90</v>
      </c>
      <c r="U260" s="125" t="s">
        <v>118</v>
      </c>
      <c r="V260" s="155">
        <v>3300003534</v>
      </c>
      <c r="W260" s="129"/>
      <c r="X260" s="88">
        <f>IF(RIGHT(U260,3)="ETA",AQ260+T260,IF(RIGHT(U260,2)="BL",BD260+T260," "))</f>
        <v>43298</v>
      </c>
      <c r="Y260" s="130" t="s">
        <v>20</v>
      </c>
      <c r="Z260" s="133" t="s">
        <v>60</v>
      </c>
      <c r="AA260" s="133"/>
      <c r="AB260" s="148">
        <v>351</v>
      </c>
      <c r="AC260" s="134">
        <v>537</v>
      </c>
      <c r="AD260" s="134"/>
      <c r="AE260" s="403">
        <f t="shared" si="13"/>
        <v>188487</v>
      </c>
      <c r="AF260" s="132">
        <v>13</v>
      </c>
      <c r="AG260" s="130" t="s">
        <v>5</v>
      </c>
      <c r="AH260" s="130"/>
      <c r="AI260" s="130" t="s">
        <v>34</v>
      </c>
      <c r="AJ260" s="130"/>
      <c r="AK260" s="130"/>
      <c r="AL260" s="135" t="s">
        <v>1117</v>
      </c>
      <c r="AM260" s="314"/>
      <c r="AN260" s="26"/>
      <c r="AO260" s="26"/>
      <c r="AP260" s="26"/>
      <c r="AQ260" s="26">
        <v>43248</v>
      </c>
      <c r="AR260" s="24"/>
      <c r="AS260" s="24"/>
      <c r="AT260" s="24">
        <v>43249</v>
      </c>
      <c r="AU260" s="418">
        <f t="shared" si="14"/>
        <v>5</v>
      </c>
      <c r="AV260" s="418">
        <f t="shared" si="15"/>
        <v>2018</v>
      </c>
      <c r="AW260" s="24"/>
      <c r="AX260" s="28"/>
      <c r="AY260" s="28" t="s">
        <v>8</v>
      </c>
      <c r="AZ260" s="132" t="s">
        <v>9</v>
      </c>
      <c r="BA260" s="132"/>
      <c r="BB260" s="24"/>
      <c r="BC260" s="135" t="s">
        <v>1336</v>
      </c>
      <c r="BD260" s="24">
        <v>43208</v>
      </c>
      <c r="BE260" s="135" t="s">
        <v>1337</v>
      </c>
      <c r="BF260" s="135" t="s">
        <v>932</v>
      </c>
      <c r="BG260" s="135" t="s">
        <v>41</v>
      </c>
      <c r="BH260" s="135"/>
      <c r="BI260" s="314"/>
      <c r="BJ260" s="314"/>
      <c r="BK260" s="24"/>
      <c r="BL260" s="24"/>
      <c r="BM260" s="24"/>
      <c r="BN260" s="24"/>
      <c r="BO260" s="24">
        <v>43261</v>
      </c>
      <c r="BP260" s="24"/>
      <c r="BQ260" s="24"/>
      <c r="BR260" s="43"/>
      <c r="BS260" s="24"/>
      <c r="BT260" s="24"/>
      <c r="BU260" s="24"/>
      <c r="BV260" s="132" t="e">
        <f>IF(#REF!="COMPLETO","OK","PENDIENTES")</f>
        <v>#REF!</v>
      </c>
      <c r="BW260" s="132"/>
      <c r="BX260" s="132"/>
      <c r="BY260" s="132"/>
      <c r="BZ260" s="132"/>
      <c r="CA260" s="132"/>
      <c r="CB260" s="132"/>
      <c r="CC260" s="22"/>
      <c r="CG260" s="24" t="s">
        <v>105</v>
      </c>
      <c r="CH260" s="24"/>
      <c r="CI260" s="24"/>
      <c r="CJ260" s="24"/>
    </row>
    <row r="261" spans="1:88" ht="15" customHeight="1">
      <c r="A261" s="18">
        <v>2018</v>
      </c>
      <c r="B261" s="18" t="str">
        <f>+INDEX(BDD!F:F,MATCH(P261,BDD!D:D,0))&amp;"-"&amp;INDEX(BDD!E:E,MATCH(P261,BDD!D:D,0))</f>
        <v>S-S</v>
      </c>
      <c r="C261" s="360" t="s">
        <v>484</v>
      </c>
      <c r="D261" s="150" t="s">
        <v>77</v>
      </c>
      <c r="E261" s="132"/>
      <c r="F261" s="24"/>
      <c r="G261" s="346"/>
      <c r="H261" s="25" t="s">
        <v>1338</v>
      </c>
      <c r="I261" s="329"/>
      <c r="J261" s="346"/>
      <c r="K261" s="24"/>
      <c r="L261" s="24"/>
      <c r="M261" s="24"/>
      <c r="N261" s="340"/>
      <c r="O261" s="334">
        <v>206966</v>
      </c>
      <c r="P261" s="25" t="s">
        <v>152</v>
      </c>
      <c r="Q261" s="127" t="s">
        <v>306</v>
      </c>
      <c r="R261" s="128" t="s">
        <v>1289</v>
      </c>
      <c r="S261" s="24">
        <v>43164</v>
      </c>
      <c r="T261" s="36" t="s">
        <v>19</v>
      </c>
      <c r="U261" s="125"/>
      <c r="V261" s="155">
        <v>21219</v>
      </c>
      <c r="W261" s="129"/>
      <c r="X261" s="88">
        <v>43213</v>
      </c>
      <c r="Y261" s="130" t="s">
        <v>20</v>
      </c>
      <c r="Z261" s="133" t="s">
        <v>60</v>
      </c>
      <c r="AA261" s="133"/>
      <c r="AB261" s="148">
        <v>100</v>
      </c>
      <c r="AC261" s="134">
        <v>687</v>
      </c>
      <c r="AD261" s="134"/>
      <c r="AE261" s="403">
        <f t="shared" si="13"/>
        <v>68700</v>
      </c>
      <c r="AF261" s="132">
        <v>4</v>
      </c>
      <c r="AG261" s="130" t="s">
        <v>5</v>
      </c>
      <c r="AH261" s="130"/>
      <c r="AI261" s="130" t="s">
        <v>34</v>
      </c>
      <c r="AJ261" s="130"/>
      <c r="AK261" s="130"/>
      <c r="AL261" s="135" t="s">
        <v>1117</v>
      </c>
      <c r="AM261" s="314"/>
      <c r="AN261" s="26"/>
      <c r="AO261" s="26"/>
      <c r="AP261" s="26"/>
      <c r="AQ261" s="26">
        <v>43257</v>
      </c>
      <c r="AR261" s="24"/>
      <c r="AS261" s="24"/>
      <c r="AT261" s="24">
        <v>43259</v>
      </c>
      <c r="AU261" s="418">
        <f t="shared" si="14"/>
        <v>6</v>
      </c>
      <c r="AV261" s="418">
        <f t="shared" si="15"/>
        <v>2018</v>
      </c>
      <c r="AW261" s="24"/>
      <c r="AX261" s="28"/>
      <c r="AY261" s="28" t="s">
        <v>319</v>
      </c>
      <c r="AZ261" s="132" t="s">
        <v>62</v>
      </c>
      <c r="BA261" s="132"/>
      <c r="BB261" s="24"/>
      <c r="BC261" s="135" t="s">
        <v>1339</v>
      </c>
      <c r="BD261" s="24">
        <v>43187</v>
      </c>
      <c r="BE261" s="132" t="s">
        <v>1291</v>
      </c>
      <c r="BF261" s="135" t="s">
        <v>1340</v>
      </c>
      <c r="BG261" s="135" t="s">
        <v>53</v>
      </c>
      <c r="BH261" s="135"/>
      <c r="BI261" s="314"/>
      <c r="BJ261" s="314"/>
      <c r="BK261" s="24"/>
      <c r="BL261" s="24"/>
      <c r="BM261" s="24"/>
      <c r="BN261" s="24"/>
      <c r="BO261" s="24">
        <f>+AQ261+21</f>
        <v>43278</v>
      </c>
      <c r="BP261" s="24"/>
      <c r="BQ261" s="24"/>
      <c r="BR261" s="43"/>
      <c r="BS261" s="24"/>
      <c r="BT261" s="24"/>
      <c r="BU261" s="24"/>
      <c r="BV261" s="132" t="e">
        <f>IF(#REF!="COMPLETO","OK","PENDIENTES")</f>
        <v>#REF!</v>
      </c>
      <c r="BW261" s="132"/>
      <c r="BX261" s="132"/>
      <c r="BY261" s="132"/>
      <c r="BZ261" s="132"/>
      <c r="CA261" s="132"/>
      <c r="CB261" s="132"/>
      <c r="CC261" s="22"/>
      <c r="CG261" s="24" t="s">
        <v>105</v>
      </c>
      <c r="CH261" s="24"/>
      <c r="CI261" s="24"/>
      <c r="CJ261" s="24"/>
    </row>
    <row r="262" spans="1:88" ht="15.75" customHeight="1">
      <c r="A262" s="18">
        <v>2018</v>
      </c>
      <c r="B262" s="18" t="str">
        <f>+INDEX(BDD!F:F,MATCH(P262,BDD!D:D,0))&amp;"-"&amp;INDEX(BDD!E:E,MATCH(P262,BDD!D:D,0))</f>
        <v>S-C</v>
      </c>
      <c r="C262" s="360" t="s">
        <v>484</v>
      </c>
      <c r="D262" s="150" t="s">
        <v>77</v>
      </c>
      <c r="E262" s="132"/>
      <c r="F262" s="24"/>
      <c r="G262" s="346">
        <v>8000000011</v>
      </c>
      <c r="H262" s="25" t="s">
        <v>1341</v>
      </c>
      <c r="I262" s="329"/>
      <c r="J262" s="346">
        <v>8000000011</v>
      </c>
      <c r="K262" s="24"/>
      <c r="L262" s="24"/>
      <c r="M262" s="24"/>
      <c r="N262" s="340" t="s">
        <v>486</v>
      </c>
      <c r="O262" s="334">
        <v>207580</v>
      </c>
      <c r="P262" s="25" t="s">
        <v>241</v>
      </c>
      <c r="Q262" s="127" t="s">
        <v>207</v>
      </c>
      <c r="R262" s="128">
        <v>4000675734</v>
      </c>
      <c r="S262" s="24">
        <v>43175</v>
      </c>
      <c r="T262" s="36">
        <v>60</v>
      </c>
      <c r="U262" s="125" t="s">
        <v>131</v>
      </c>
      <c r="V262" s="155">
        <v>4200593960</v>
      </c>
      <c r="W262" s="129"/>
      <c r="X262" s="88">
        <v>43287</v>
      </c>
      <c r="Y262" s="130" t="s">
        <v>20</v>
      </c>
      <c r="Z262" s="133" t="s">
        <v>72</v>
      </c>
      <c r="AA262" s="133"/>
      <c r="AB262" s="158">
        <v>240</v>
      </c>
      <c r="AC262" s="134">
        <v>815</v>
      </c>
      <c r="AD262" s="134"/>
      <c r="AE262" s="403">
        <f t="shared" si="13"/>
        <v>195600</v>
      </c>
      <c r="AF262" s="132">
        <v>10</v>
      </c>
      <c r="AG262" s="130" t="s">
        <v>5</v>
      </c>
      <c r="AH262" s="130"/>
      <c r="AI262" s="130" t="s">
        <v>34</v>
      </c>
      <c r="AJ262" s="130"/>
      <c r="AK262" s="130"/>
      <c r="AL262" s="135" t="s">
        <v>1342</v>
      </c>
      <c r="AM262" s="314"/>
      <c r="AN262" s="26"/>
      <c r="AO262" s="26"/>
      <c r="AP262" s="26"/>
      <c r="AQ262" s="26">
        <v>43211</v>
      </c>
      <c r="AR262" s="24"/>
      <c r="AS262" s="24"/>
      <c r="AT262" s="24">
        <v>43215</v>
      </c>
      <c r="AU262" s="418">
        <f t="shared" si="14"/>
        <v>4</v>
      </c>
      <c r="AV262" s="418">
        <f t="shared" si="15"/>
        <v>2018</v>
      </c>
      <c r="AW262" s="24"/>
      <c r="AX262" s="28"/>
      <c r="AY262" s="28" t="s">
        <v>36</v>
      </c>
      <c r="AZ262" s="132" t="s">
        <v>37</v>
      </c>
      <c r="BA262" s="132"/>
      <c r="BB262" s="24"/>
      <c r="BC262" s="135" t="s">
        <v>1343</v>
      </c>
      <c r="BD262" s="24">
        <v>43206</v>
      </c>
      <c r="BE262" s="135" t="s">
        <v>1344</v>
      </c>
      <c r="BF262" s="135" t="s">
        <v>1344</v>
      </c>
      <c r="BG262" s="135" t="s">
        <v>29</v>
      </c>
      <c r="BH262" s="135"/>
      <c r="BI262" s="314"/>
      <c r="BJ262" s="314"/>
      <c r="BK262" s="24"/>
      <c r="BL262" s="24"/>
      <c r="BM262" s="24"/>
      <c r="BN262" s="24"/>
      <c r="BO262" s="24">
        <f>+AQ262+20</f>
        <v>43231</v>
      </c>
      <c r="BP262" s="24"/>
      <c r="BQ262" s="24"/>
      <c r="BR262" s="43"/>
      <c r="BS262" s="24"/>
      <c r="BT262" s="24"/>
      <c r="BU262" s="24"/>
      <c r="BV262" s="132" t="e">
        <f>IF(#REF!="COMPLETO","OK","PENDIENTES")</f>
        <v>#REF!</v>
      </c>
      <c r="BW262" s="132"/>
      <c r="BX262" s="132"/>
      <c r="BY262" s="132"/>
      <c r="BZ262" s="132"/>
      <c r="CA262" s="132"/>
      <c r="CB262" s="132"/>
      <c r="CC262" s="22"/>
      <c r="CG262" s="24" t="s">
        <v>105</v>
      </c>
      <c r="CH262" s="24"/>
      <c r="CI262" s="24"/>
      <c r="CJ262" s="24"/>
    </row>
    <row r="263" spans="1:88" ht="15" customHeight="1">
      <c r="A263" s="18">
        <v>2018</v>
      </c>
      <c r="B263" s="18" t="str">
        <f>+INDEX(BDD!F:F,MATCH(P263,BDD!D:D,0))&amp;"-"&amp;INDEX(BDD!E:E,MATCH(P263,BDD!D:D,0))</f>
        <v>S-C</v>
      </c>
      <c r="C263" s="360" t="s">
        <v>484</v>
      </c>
      <c r="D263" s="150" t="s">
        <v>77</v>
      </c>
      <c r="E263" s="132"/>
      <c r="F263" s="24"/>
      <c r="G263" s="346">
        <v>8000000012</v>
      </c>
      <c r="H263" s="25" t="s">
        <v>1345</v>
      </c>
      <c r="I263" s="329"/>
      <c r="J263" s="346">
        <v>8000000012</v>
      </c>
      <c r="K263" s="24"/>
      <c r="L263" s="24"/>
      <c r="M263" s="24"/>
      <c r="N263" s="340" t="s">
        <v>486</v>
      </c>
      <c r="O263" s="334">
        <v>207580</v>
      </c>
      <c r="P263" s="25" t="s">
        <v>241</v>
      </c>
      <c r="Q263" s="127" t="s">
        <v>207</v>
      </c>
      <c r="R263" s="128">
        <v>4000675735</v>
      </c>
      <c r="S263" s="24">
        <v>43175</v>
      </c>
      <c r="T263" s="36">
        <v>60</v>
      </c>
      <c r="U263" s="125" t="s">
        <v>131</v>
      </c>
      <c r="V263" s="155">
        <v>4200596310</v>
      </c>
      <c r="W263" s="129"/>
      <c r="X263" s="88">
        <v>43294</v>
      </c>
      <c r="Y263" s="130" t="s">
        <v>20</v>
      </c>
      <c r="Z263" s="133" t="s">
        <v>72</v>
      </c>
      <c r="AA263" s="133"/>
      <c r="AB263" s="158">
        <v>240</v>
      </c>
      <c r="AC263" s="134">
        <v>820</v>
      </c>
      <c r="AD263" s="134"/>
      <c r="AE263" s="403">
        <f t="shared" si="13"/>
        <v>196800</v>
      </c>
      <c r="AF263" s="132">
        <v>10</v>
      </c>
      <c r="AG263" s="130" t="s">
        <v>5</v>
      </c>
      <c r="AH263" s="130"/>
      <c r="AI263" s="130" t="s">
        <v>34</v>
      </c>
      <c r="AJ263" s="130"/>
      <c r="AK263" s="130"/>
      <c r="AL263" s="135" t="s">
        <v>503</v>
      </c>
      <c r="AM263" s="314"/>
      <c r="AN263" s="26"/>
      <c r="AO263" s="26"/>
      <c r="AP263" s="26"/>
      <c r="AQ263" s="26">
        <v>43248</v>
      </c>
      <c r="AR263" s="24"/>
      <c r="AS263" s="24"/>
      <c r="AT263" s="24">
        <v>43250</v>
      </c>
      <c r="AU263" s="418">
        <f t="shared" si="14"/>
        <v>5</v>
      </c>
      <c r="AV263" s="418">
        <f t="shared" si="15"/>
        <v>2018</v>
      </c>
      <c r="AW263" s="24"/>
      <c r="AX263" s="28"/>
      <c r="AY263" s="28" t="s">
        <v>1347</v>
      </c>
      <c r="AZ263" s="132" t="s">
        <v>9</v>
      </c>
      <c r="BA263" s="132"/>
      <c r="BB263" s="24"/>
      <c r="BC263" s="135" t="s">
        <v>1346</v>
      </c>
      <c r="BD263" s="24">
        <v>43229</v>
      </c>
      <c r="BE263" s="135" t="s">
        <v>579</v>
      </c>
      <c r="BF263" s="135" t="s">
        <v>932</v>
      </c>
      <c r="BG263" s="135" t="s">
        <v>29</v>
      </c>
      <c r="BH263" s="135"/>
      <c r="BI263" s="314"/>
      <c r="BJ263" s="314"/>
      <c r="BK263" s="24"/>
      <c r="BL263" s="24"/>
      <c r="BM263" s="24"/>
      <c r="BN263" s="24"/>
      <c r="BO263" s="24">
        <v>43254</v>
      </c>
      <c r="BP263" s="24"/>
      <c r="BQ263" s="24"/>
      <c r="BR263" s="43"/>
      <c r="BS263" s="24"/>
      <c r="BT263" s="24"/>
      <c r="BU263" s="24"/>
      <c r="BV263" s="132" t="e">
        <f>IF(#REF!="COMPLETO","OK","PENDIENTES")</f>
        <v>#REF!</v>
      </c>
      <c r="BW263" s="132"/>
      <c r="BX263" s="132"/>
      <c r="BY263" s="132"/>
      <c r="BZ263" s="132"/>
      <c r="CA263" s="132"/>
      <c r="CB263" s="132"/>
      <c r="CC263" s="22"/>
      <c r="CG263" s="24" t="s">
        <v>105</v>
      </c>
      <c r="CH263" s="24"/>
      <c r="CI263" s="24"/>
      <c r="CJ263" s="24"/>
    </row>
    <row r="264" spans="1:88" s="218" customFormat="1" ht="15" customHeight="1">
      <c r="A264" s="219">
        <v>2018</v>
      </c>
      <c r="B264" s="18" t="str">
        <f>+INDEX(BDD!F:F,MATCH(P264,BDD!D:D,0))&amp;"-"&amp;INDEX(BDD!E:E,MATCH(P264,BDD!D:D,0))</f>
        <v>S-S</v>
      </c>
      <c r="C264" s="360" t="s">
        <v>484</v>
      </c>
      <c r="D264" s="150" t="s">
        <v>77</v>
      </c>
      <c r="E264" s="132"/>
      <c r="F264" s="24"/>
      <c r="G264" s="346"/>
      <c r="H264" s="186" t="s">
        <v>1348</v>
      </c>
      <c r="I264" s="329"/>
      <c r="J264" s="346"/>
      <c r="K264" s="24"/>
      <c r="L264" s="24"/>
      <c r="M264" s="24"/>
      <c r="N264" s="340"/>
      <c r="O264" s="334">
        <v>206971</v>
      </c>
      <c r="P264" s="186" t="s">
        <v>340</v>
      </c>
      <c r="Q264" s="168" t="s">
        <v>213</v>
      </c>
      <c r="R264" s="128" t="s">
        <v>1349</v>
      </c>
      <c r="S264" s="26">
        <v>43172</v>
      </c>
      <c r="T264" s="128" t="s">
        <v>19</v>
      </c>
      <c r="U264" s="220"/>
      <c r="V264" s="221">
        <v>20180710</v>
      </c>
      <c r="W264" s="151"/>
      <c r="X264" s="222">
        <v>43257</v>
      </c>
      <c r="Y264" s="130" t="s">
        <v>20</v>
      </c>
      <c r="Z264" s="176" t="s">
        <v>72</v>
      </c>
      <c r="AA264" s="176"/>
      <c r="AB264" s="148">
        <v>675</v>
      </c>
      <c r="AC264" s="177">
        <v>513</v>
      </c>
      <c r="AD264" s="177"/>
      <c r="AE264" s="403">
        <f t="shared" si="13"/>
        <v>346275</v>
      </c>
      <c r="AF264" s="132">
        <v>27</v>
      </c>
      <c r="AG264" s="130" t="s">
        <v>5</v>
      </c>
      <c r="AH264" s="130"/>
      <c r="AI264" s="130" t="s">
        <v>71</v>
      </c>
      <c r="AJ264" s="130"/>
      <c r="AK264" s="130"/>
      <c r="AL264" s="135" t="s">
        <v>1350</v>
      </c>
      <c r="AM264" s="314"/>
      <c r="AN264" s="26"/>
      <c r="AO264" s="26"/>
      <c r="AP264" s="26"/>
      <c r="AQ264" s="26">
        <v>43280</v>
      </c>
      <c r="AR264" s="26"/>
      <c r="AS264" s="26"/>
      <c r="AT264" s="26">
        <v>43287</v>
      </c>
      <c r="AU264" s="418">
        <f t="shared" si="14"/>
        <v>7</v>
      </c>
      <c r="AV264" s="418">
        <f t="shared" si="15"/>
        <v>2018</v>
      </c>
      <c r="AW264" s="26"/>
      <c r="AX264" s="223"/>
      <c r="AY264" s="223" t="s">
        <v>193</v>
      </c>
      <c r="AZ264" s="132" t="s">
        <v>37</v>
      </c>
      <c r="BA264" s="132"/>
      <c r="BB264" s="26"/>
      <c r="BC264" s="135" t="s">
        <v>1351</v>
      </c>
      <c r="BD264" s="26">
        <v>43233</v>
      </c>
      <c r="BE264" s="135" t="s">
        <v>1352</v>
      </c>
      <c r="BF264" s="135" t="s">
        <v>1353</v>
      </c>
      <c r="BG264" s="135" t="s">
        <v>65</v>
      </c>
      <c r="BH264" s="135"/>
      <c r="BI264" s="314"/>
      <c r="BJ264" s="314"/>
      <c r="BK264" s="26"/>
      <c r="BL264" s="26"/>
      <c r="BM264" s="26"/>
      <c r="BN264" s="26"/>
      <c r="BO264" s="26">
        <f>+AQ264+14</f>
        <v>43294</v>
      </c>
      <c r="BP264" s="26"/>
      <c r="BQ264" s="26"/>
      <c r="BR264" s="156"/>
      <c r="BS264" s="26"/>
      <c r="BT264" s="26"/>
      <c r="BU264" s="26"/>
      <c r="BV264" s="132" t="e">
        <f>IF(#REF!="COMPLETO","OK","PENDIENTES")</f>
        <v>#REF!</v>
      </c>
      <c r="BW264" s="132"/>
      <c r="BX264" s="132"/>
      <c r="BY264" s="132"/>
      <c r="BZ264" s="132"/>
      <c r="CA264" s="132"/>
      <c r="CB264" s="132"/>
      <c r="CC264" s="22"/>
      <c r="CD264" s="224"/>
      <c r="CE264" s="224"/>
      <c r="CF264" s="224"/>
      <c r="CG264" s="24" t="s">
        <v>105</v>
      </c>
      <c r="CH264" s="24"/>
      <c r="CI264" s="26"/>
      <c r="CJ264" s="26"/>
    </row>
    <row r="265" spans="1:88" ht="15" customHeight="1">
      <c r="A265" s="18">
        <v>2018</v>
      </c>
      <c r="B265" s="18" t="str">
        <f>+INDEX(BDD!F:F,MATCH(P265,BDD!D:D,0))&amp;"-"&amp;INDEX(BDD!E:E,MATCH(P265,BDD!D:D,0))</f>
        <v>S-S</v>
      </c>
      <c r="C265" s="360" t="s">
        <v>484</v>
      </c>
      <c r="D265" s="150" t="s">
        <v>77</v>
      </c>
      <c r="E265" s="132"/>
      <c r="F265" s="24"/>
      <c r="G265" s="346"/>
      <c r="H265" s="25" t="s">
        <v>1354</v>
      </c>
      <c r="I265" s="329"/>
      <c r="J265" s="346"/>
      <c r="K265" s="24"/>
      <c r="L265" s="24"/>
      <c r="M265" s="24"/>
      <c r="N265" s="340"/>
      <c r="O265" s="334">
        <v>206971</v>
      </c>
      <c r="P265" s="25" t="s">
        <v>340</v>
      </c>
      <c r="Q265" s="127" t="s">
        <v>213</v>
      </c>
      <c r="R265" s="128" t="s">
        <v>1355</v>
      </c>
      <c r="S265" s="26">
        <v>43172</v>
      </c>
      <c r="T265" s="36" t="s">
        <v>19</v>
      </c>
      <c r="U265" s="125"/>
      <c r="V265" s="155">
        <v>20180537</v>
      </c>
      <c r="W265" s="129"/>
      <c r="X265" s="88">
        <v>43248</v>
      </c>
      <c r="Y265" s="130" t="s">
        <v>20</v>
      </c>
      <c r="Z265" s="133" t="s">
        <v>72</v>
      </c>
      <c r="AA265" s="133"/>
      <c r="AB265" s="148">
        <v>400</v>
      </c>
      <c r="AC265" s="134">
        <v>518</v>
      </c>
      <c r="AD265" s="134"/>
      <c r="AE265" s="403">
        <f t="shared" si="13"/>
        <v>207200</v>
      </c>
      <c r="AF265" s="132">
        <v>16</v>
      </c>
      <c r="AG265" s="130" t="s">
        <v>5</v>
      </c>
      <c r="AH265" s="130"/>
      <c r="AI265" s="130" t="s">
        <v>71</v>
      </c>
      <c r="AJ265" s="130"/>
      <c r="AK265" s="130"/>
      <c r="AL265" s="135" t="s">
        <v>1350</v>
      </c>
      <c r="AM265" s="314"/>
      <c r="AN265" s="26"/>
      <c r="AO265" s="26"/>
      <c r="AP265" s="26"/>
      <c r="AQ265" s="26">
        <v>43271</v>
      </c>
      <c r="AR265" s="24"/>
      <c r="AS265" s="24"/>
      <c r="AT265" s="26">
        <v>43277</v>
      </c>
      <c r="AU265" s="418">
        <f t="shared" si="14"/>
        <v>6</v>
      </c>
      <c r="AV265" s="418">
        <f t="shared" si="15"/>
        <v>2018</v>
      </c>
      <c r="AW265" s="26"/>
      <c r="AX265" s="28"/>
      <c r="AY265" s="28" t="s">
        <v>193</v>
      </c>
      <c r="AZ265" s="132" t="s">
        <v>9</v>
      </c>
      <c r="BA265" s="132"/>
      <c r="BB265" s="26"/>
      <c r="BC265" s="135" t="s">
        <v>1356</v>
      </c>
      <c r="BD265" s="24">
        <v>43210</v>
      </c>
      <c r="BE265" s="135" t="s">
        <v>1357</v>
      </c>
      <c r="BF265" s="135" t="s">
        <v>769</v>
      </c>
      <c r="BG265" s="135" t="s">
        <v>65</v>
      </c>
      <c r="BH265" s="135"/>
      <c r="BI265" s="314"/>
      <c r="BJ265" s="314"/>
      <c r="BK265" s="24"/>
      <c r="BL265" s="24"/>
      <c r="BM265" s="24"/>
      <c r="BN265" s="24"/>
      <c r="BO265" s="24">
        <v>43285</v>
      </c>
      <c r="BP265" s="24"/>
      <c r="BQ265" s="24"/>
      <c r="BR265" s="43"/>
      <c r="BS265" s="24"/>
      <c r="BT265" s="24"/>
      <c r="BU265" s="24"/>
      <c r="BV265" s="132" t="e">
        <f>IF(#REF!="COMPLETO","OK","PENDIENTES")</f>
        <v>#REF!</v>
      </c>
      <c r="BW265" s="132"/>
      <c r="BX265" s="132"/>
      <c r="BY265" s="132"/>
      <c r="BZ265" s="132"/>
      <c r="CA265" s="132"/>
      <c r="CB265" s="132"/>
      <c r="CC265" s="22"/>
      <c r="CG265" s="24" t="s">
        <v>105</v>
      </c>
      <c r="CH265" s="24"/>
      <c r="CI265" s="26"/>
      <c r="CJ265" s="26"/>
    </row>
    <row r="266" spans="1:88" ht="15" customHeight="1">
      <c r="A266" s="18">
        <v>2018</v>
      </c>
      <c r="B266" s="18" t="str">
        <f>+INDEX(BDD!F:F,MATCH(P266,BDD!D:D,0))&amp;"-"&amp;INDEX(BDD!E:E,MATCH(P266,BDD!D:D,0))</f>
        <v>G-S</v>
      </c>
      <c r="C266" s="360" t="s">
        <v>484</v>
      </c>
      <c r="D266" s="150" t="s">
        <v>77</v>
      </c>
      <c r="E266" s="132"/>
      <c r="F266" s="24"/>
      <c r="G266" s="346"/>
      <c r="H266" s="25" t="s">
        <v>1358</v>
      </c>
      <c r="I266" s="329"/>
      <c r="J266" s="346"/>
      <c r="K266" s="24"/>
      <c r="L266" s="24"/>
      <c r="M266" s="24"/>
      <c r="N266" s="340"/>
      <c r="O266" s="334">
        <v>207485</v>
      </c>
      <c r="P266" s="25" t="s">
        <v>353</v>
      </c>
      <c r="Q266" s="127" t="s">
        <v>97</v>
      </c>
      <c r="R266" s="128" t="s">
        <v>544</v>
      </c>
      <c r="S266" s="24"/>
      <c r="T266" s="36" t="s">
        <v>19</v>
      </c>
      <c r="U266" s="125"/>
      <c r="V266" s="88" t="s">
        <v>1359</v>
      </c>
      <c r="W266" s="129"/>
      <c r="X266" s="88">
        <v>43174</v>
      </c>
      <c r="Y266" s="130" t="s">
        <v>20</v>
      </c>
      <c r="Z266" s="133" t="s">
        <v>60</v>
      </c>
      <c r="AA266" s="133"/>
      <c r="AB266" s="148">
        <v>300</v>
      </c>
      <c r="AC266" s="134">
        <v>287</v>
      </c>
      <c r="AD266" s="134"/>
      <c r="AE266" s="403">
        <f t="shared" si="13"/>
        <v>86100</v>
      </c>
      <c r="AF266" s="132" t="str">
        <f>IF(W266=BDD!$P$1,IMPORTS!AB266/25,IF(W266=BDD!$P$2,IMPORTS!AB266/25,IF(IMPORTS!W266=BDD!$P$4,IMPORTS!AB266/25.5,"--")))</f>
        <v>--</v>
      </c>
      <c r="AG266" s="130" t="s">
        <v>46</v>
      </c>
      <c r="AH266" s="130"/>
      <c r="AI266" s="130" t="s">
        <v>100</v>
      </c>
      <c r="AJ266" s="130"/>
      <c r="AK266" s="130"/>
      <c r="AL266" s="135" t="s">
        <v>1043</v>
      </c>
      <c r="AM266" s="314"/>
      <c r="AN266" s="26"/>
      <c r="AO266" s="26"/>
      <c r="AP266" s="26"/>
      <c r="AQ266" s="26">
        <v>43170</v>
      </c>
      <c r="AR266" s="24"/>
      <c r="AS266" s="24"/>
      <c r="AT266" s="24">
        <v>43172</v>
      </c>
      <c r="AU266" s="418">
        <f t="shared" si="14"/>
        <v>3</v>
      </c>
      <c r="AV266" s="418">
        <f t="shared" si="15"/>
        <v>2018</v>
      </c>
      <c r="AW266" s="24"/>
      <c r="AX266" s="28"/>
      <c r="AY266" s="28" t="s">
        <v>296</v>
      </c>
      <c r="AZ266" s="132" t="s">
        <v>25</v>
      </c>
      <c r="BA266" s="132"/>
      <c r="BB266" s="24"/>
      <c r="BC266" s="135">
        <v>10</v>
      </c>
      <c r="BD266" s="24">
        <v>43135</v>
      </c>
      <c r="BE266" s="135" t="s">
        <v>1153</v>
      </c>
      <c r="BF266" s="135" t="s">
        <v>1153</v>
      </c>
      <c r="BG266" s="135" t="s">
        <v>52</v>
      </c>
      <c r="BH266" s="135"/>
      <c r="BI266" s="314"/>
      <c r="BJ266" s="314"/>
      <c r="BK266" s="24"/>
      <c r="BL266" s="24"/>
      <c r="BM266" s="24"/>
      <c r="BN266" s="24"/>
      <c r="BO266" s="24"/>
      <c r="BP266" s="24"/>
      <c r="BQ266" s="24"/>
      <c r="BR266" s="43"/>
      <c r="BS266" s="24"/>
      <c r="BT266" s="24"/>
      <c r="BU266" s="24"/>
      <c r="BV266" s="132" t="e">
        <f>IF(#REF!="COMPLETO","OK","PENDIENTES")</f>
        <v>#REF!</v>
      </c>
      <c r="BW266" s="132"/>
      <c r="BX266" s="132"/>
      <c r="BY266" s="132"/>
      <c r="BZ266" s="132"/>
      <c r="CA266" s="132"/>
      <c r="CB266" s="132"/>
      <c r="CC266" s="22"/>
      <c r="CG266" s="24" t="s">
        <v>105</v>
      </c>
      <c r="CH266" s="24"/>
      <c r="CI266" s="24"/>
      <c r="CJ266" s="24"/>
    </row>
    <row r="267" spans="1:88" ht="15" customHeight="1">
      <c r="A267" s="18">
        <v>2018</v>
      </c>
      <c r="B267" s="18" t="str">
        <f>+INDEX(BDD!F:F,MATCH(P267,BDD!D:D,0))&amp;"-"&amp;INDEX(BDD!E:E,MATCH(P267,BDD!D:D,0))</f>
        <v>S-S</v>
      </c>
      <c r="C267" s="360" t="s">
        <v>484</v>
      </c>
      <c r="D267" s="150" t="s">
        <v>77</v>
      </c>
      <c r="E267" s="132"/>
      <c r="F267" s="24"/>
      <c r="G267" s="346"/>
      <c r="H267" s="25" t="s">
        <v>1360</v>
      </c>
      <c r="I267" s="329"/>
      <c r="J267" s="346"/>
      <c r="K267" s="24"/>
      <c r="L267" s="24"/>
      <c r="M267" s="24"/>
      <c r="N267" s="340"/>
      <c r="O267" s="334">
        <v>206914</v>
      </c>
      <c r="P267" s="25" t="s">
        <v>335</v>
      </c>
      <c r="Q267" s="127" t="s">
        <v>264</v>
      </c>
      <c r="R267" s="128" t="s">
        <v>1361</v>
      </c>
      <c r="S267" s="24">
        <v>43167</v>
      </c>
      <c r="T267" s="36">
        <v>60</v>
      </c>
      <c r="U267" s="125" t="s">
        <v>118</v>
      </c>
      <c r="V267" s="88" t="s">
        <v>1361</v>
      </c>
      <c r="W267" s="129"/>
      <c r="X267" s="88">
        <v>43259</v>
      </c>
      <c r="Y267" s="130" t="s">
        <v>20</v>
      </c>
      <c r="Z267" s="133" t="s">
        <v>60</v>
      </c>
      <c r="AA267" s="133"/>
      <c r="AB267" s="148">
        <v>594</v>
      </c>
      <c r="AC267" s="134">
        <v>152</v>
      </c>
      <c r="AD267" s="134"/>
      <c r="AE267" s="403">
        <f t="shared" si="13"/>
        <v>90288</v>
      </c>
      <c r="AF267" s="132">
        <v>22</v>
      </c>
      <c r="AG267" s="130" t="s">
        <v>5</v>
      </c>
      <c r="AH267" s="130"/>
      <c r="AI267" s="130" t="s">
        <v>34</v>
      </c>
      <c r="AJ267" s="130"/>
      <c r="AK267" s="130"/>
      <c r="AL267" s="135" t="s">
        <v>1321</v>
      </c>
      <c r="AM267" s="314"/>
      <c r="AN267" s="26"/>
      <c r="AO267" s="26"/>
      <c r="AP267" s="26"/>
      <c r="AQ267" s="26">
        <v>43248</v>
      </c>
      <c r="AR267" s="24"/>
      <c r="AS267" s="24"/>
      <c r="AT267" s="24">
        <v>43252</v>
      </c>
      <c r="AU267" s="418">
        <f t="shared" si="14"/>
        <v>6</v>
      </c>
      <c r="AV267" s="418">
        <f t="shared" si="15"/>
        <v>2018</v>
      </c>
      <c r="AW267" s="24"/>
      <c r="AX267" s="28"/>
      <c r="AY267" s="28" t="s">
        <v>139</v>
      </c>
      <c r="AZ267" s="132" t="s">
        <v>9</v>
      </c>
      <c r="BA267" s="132"/>
      <c r="BB267" s="24"/>
      <c r="BC267" s="135" t="s">
        <v>1362</v>
      </c>
      <c r="BD267" s="24">
        <v>43205</v>
      </c>
      <c r="BE267" s="135" t="s">
        <v>1363</v>
      </c>
      <c r="BF267" s="135" t="s">
        <v>589</v>
      </c>
      <c r="BG267" s="135" t="s">
        <v>65</v>
      </c>
      <c r="BH267" s="135"/>
      <c r="BI267" s="314"/>
      <c r="BJ267" s="314"/>
      <c r="BK267" s="24"/>
      <c r="BL267" s="24"/>
      <c r="BM267" s="24"/>
      <c r="BN267" s="24"/>
      <c r="BO267" s="24">
        <v>43271</v>
      </c>
      <c r="BP267" s="24"/>
      <c r="BQ267" s="24"/>
      <c r="BR267" s="43"/>
      <c r="BS267" s="24"/>
      <c r="BT267" s="24"/>
      <c r="BU267" s="24"/>
      <c r="BV267" s="132" t="e">
        <f>IF(#REF!="COMPLETO","OK","PENDIENTES")</f>
        <v>#REF!</v>
      </c>
      <c r="BW267" s="132"/>
      <c r="BX267" s="132"/>
      <c r="BY267" s="132"/>
      <c r="BZ267" s="132"/>
      <c r="CA267" s="132"/>
      <c r="CB267" s="132"/>
      <c r="CC267" s="22"/>
      <c r="CG267" s="24" t="s">
        <v>105</v>
      </c>
      <c r="CH267" s="24"/>
      <c r="CI267" s="24"/>
      <c r="CJ267" s="24"/>
    </row>
    <row r="268" spans="1:88" ht="15" customHeight="1">
      <c r="A268" s="18">
        <v>2018</v>
      </c>
      <c r="B268" s="18" t="str">
        <f>+INDEX(BDD!F:F,MATCH(P268,BDD!D:D,0))&amp;"-"&amp;INDEX(BDD!E:E,MATCH(P268,BDD!D:D,0))</f>
        <v>G-S</v>
      </c>
      <c r="C268" s="360" t="s">
        <v>484</v>
      </c>
      <c r="D268" s="150" t="s">
        <v>77</v>
      </c>
      <c r="E268" s="132"/>
      <c r="F268" s="24"/>
      <c r="G268" s="346"/>
      <c r="H268" s="25" t="s">
        <v>1364</v>
      </c>
      <c r="I268" s="329"/>
      <c r="J268" s="346"/>
      <c r="K268" s="24"/>
      <c r="L268" s="24"/>
      <c r="M268" s="24"/>
      <c r="N268" s="340"/>
      <c r="O268" s="334">
        <v>206599</v>
      </c>
      <c r="P268" s="25" t="s">
        <v>339</v>
      </c>
      <c r="Q268" s="127" t="s">
        <v>175</v>
      </c>
      <c r="R268" s="128">
        <v>4975</v>
      </c>
      <c r="S268" s="24">
        <v>43143</v>
      </c>
      <c r="T268" s="36" t="s">
        <v>19</v>
      </c>
      <c r="U268" s="125"/>
      <c r="V268" s="155">
        <v>18040008</v>
      </c>
      <c r="W268" s="129"/>
      <c r="X268" s="88">
        <v>43210</v>
      </c>
      <c r="Y268" s="130" t="s">
        <v>20</v>
      </c>
      <c r="Z268" s="133" t="s">
        <v>81</v>
      </c>
      <c r="AA268" s="133"/>
      <c r="AB268" s="148">
        <v>216</v>
      </c>
      <c r="AC268" s="134">
        <v>498</v>
      </c>
      <c r="AD268" s="134"/>
      <c r="AE268" s="403">
        <f t="shared" si="13"/>
        <v>107568</v>
      </c>
      <c r="AF268" s="132">
        <v>9</v>
      </c>
      <c r="AG268" s="130" t="s">
        <v>5</v>
      </c>
      <c r="AH268" s="130"/>
      <c r="AI268" s="130" t="s">
        <v>71</v>
      </c>
      <c r="AJ268" s="130"/>
      <c r="AK268" s="130"/>
      <c r="AL268" s="135" t="s">
        <v>1264</v>
      </c>
      <c r="AM268" s="314"/>
      <c r="AN268" s="26"/>
      <c r="AO268" s="26"/>
      <c r="AP268" s="26"/>
      <c r="AQ268" s="26">
        <v>43267</v>
      </c>
      <c r="AR268" s="24"/>
      <c r="AS268" s="24"/>
      <c r="AT268" s="26">
        <v>43266</v>
      </c>
      <c r="AU268" s="418">
        <f t="shared" si="14"/>
        <v>6</v>
      </c>
      <c r="AV268" s="418">
        <f t="shared" si="15"/>
        <v>2018</v>
      </c>
      <c r="AW268" s="26"/>
      <c r="AX268" s="28"/>
      <c r="AY268" s="28" t="s">
        <v>239</v>
      </c>
      <c r="AZ268" s="132" t="s">
        <v>37</v>
      </c>
      <c r="BA268" s="132"/>
      <c r="BB268" s="26"/>
      <c r="BC268" s="135" t="s">
        <v>1365</v>
      </c>
      <c r="BD268" s="24">
        <v>43201</v>
      </c>
      <c r="BE268" s="135" t="s">
        <v>956</v>
      </c>
      <c r="BF268" s="135" t="s">
        <v>1366</v>
      </c>
      <c r="BG268" s="135" t="s">
        <v>14</v>
      </c>
      <c r="BH268" s="135"/>
      <c r="BI268" s="314"/>
      <c r="BJ268" s="314"/>
      <c r="BK268" s="24"/>
      <c r="BL268" s="24"/>
      <c r="BM268" s="24"/>
      <c r="BN268" s="24"/>
      <c r="BO268" s="24"/>
      <c r="BP268" s="24"/>
      <c r="BQ268" s="24"/>
      <c r="BR268" s="43"/>
      <c r="BS268" s="24"/>
      <c r="BT268" s="24"/>
      <c r="BU268" s="24"/>
      <c r="BV268" s="132" t="e">
        <f>IF(#REF!="COMPLETO","OK","PENDIENTES")</f>
        <v>#REF!</v>
      </c>
      <c r="BW268" s="132"/>
      <c r="BX268" s="132"/>
      <c r="BY268" s="132"/>
      <c r="BZ268" s="132"/>
      <c r="CA268" s="132"/>
      <c r="CB268" s="132"/>
      <c r="CC268" s="22"/>
      <c r="CG268" s="24" t="s">
        <v>105</v>
      </c>
      <c r="CH268" s="24"/>
      <c r="CI268" s="26"/>
      <c r="CJ268" s="26"/>
    </row>
    <row r="269" spans="1:88" ht="15" customHeight="1">
      <c r="A269" s="18">
        <v>2018</v>
      </c>
      <c r="B269" s="18" t="str">
        <f>+INDEX(BDD!F:F,MATCH(P269,BDD!D:D,0))&amp;"-"&amp;INDEX(BDD!E:E,MATCH(P269,BDD!D:D,0))</f>
        <v>G-S</v>
      </c>
      <c r="C269" s="360" t="s">
        <v>484</v>
      </c>
      <c r="D269" s="150" t="s">
        <v>77</v>
      </c>
      <c r="E269" s="132"/>
      <c r="F269" s="24"/>
      <c r="G269" s="346"/>
      <c r="H269" s="25" t="s">
        <v>1367</v>
      </c>
      <c r="I269" s="329"/>
      <c r="J269" s="346"/>
      <c r="K269" s="24"/>
      <c r="L269" s="24"/>
      <c r="M269" s="24"/>
      <c r="N269" s="340"/>
      <c r="O269" s="334">
        <v>207485</v>
      </c>
      <c r="P269" s="25" t="s">
        <v>353</v>
      </c>
      <c r="Q269" s="127" t="s">
        <v>66</v>
      </c>
      <c r="R269" s="128" t="s">
        <v>1368</v>
      </c>
      <c r="S269" s="24">
        <v>43187</v>
      </c>
      <c r="T269" s="36" t="s">
        <v>19</v>
      </c>
      <c r="U269" s="125"/>
      <c r="V269" s="88" t="s">
        <v>1369</v>
      </c>
      <c r="W269" s="129"/>
      <c r="X269" s="88">
        <v>43228</v>
      </c>
      <c r="Y269" s="130" t="s">
        <v>20</v>
      </c>
      <c r="Z269" s="133" t="s">
        <v>60</v>
      </c>
      <c r="AA269" s="133"/>
      <c r="AB269" s="225">
        <v>2150</v>
      </c>
      <c r="AC269" s="153">
        <v>280.7</v>
      </c>
      <c r="AD269" s="153"/>
      <c r="AE269" s="403">
        <f t="shared" si="13"/>
        <v>603505</v>
      </c>
      <c r="AF269" s="132" t="str">
        <f>IF(W269=BDD!$P$1,IMPORTS!AB269/25,IF(W269=BDD!$P$2,IMPORTS!AB269/25,IF(IMPORTS!W269=BDD!$P$4,IMPORTS!AB269/25.5,"--")))</f>
        <v>--</v>
      </c>
      <c r="AG269" s="130" t="s">
        <v>46</v>
      </c>
      <c r="AH269" s="130"/>
      <c r="AI269" s="130" t="s">
        <v>100</v>
      </c>
      <c r="AJ269" s="130"/>
      <c r="AK269" s="130"/>
      <c r="AL269" s="135" t="s">
        <v>503</v>
      </c>
      <c r="AM269" s="314"/>
      <c r="AN269" s="26"/>
      <c r="AO269" s="26"/>
      <c r="AP269" s="26"/>
      <c r="AQ269" s="26">
        <v>43244</v>
      </c>
      <c r="AR269" s="24"/>
      <c r="AS269" s="24"/>
      <c r="AT269" s="24">
        <v>43246</v>
      </c>
      <c r="AU269" s="418">
        <f t="shared" si="14"/>
        <v>5</v>
      </c>
      <c r="AV269" s="418">
        <f t="shared" si="15"/>
        <v>2018</v>
      </c>
      <c r="AW269" s="24"/>
      <c r="AX269" s="28"/>
      <c r="AY269" s="28" t="s">
        <v>73</v>
      </c>
      <c r="AZ269" s="132" t="s">
        <v>9</v>
      </c>
      <c r="BA269" s="132"/>
      <c r="BB269" s="24"/>
      <c r="BC269" s="144" t="s">
        <v>1370</v>
      </c>
      <c r="BD269" s="26">
        <v>43208</v>
      </c>
      <c r="BE269" s="135" t="s">
        <v>1371</v>
      </c>
      <c r="BF269" s="135" t="s">
        <v>1371</v>
      </c>
      <c r="BG269" s="135" t="s">
        <v>52</v>
      </c>
      <c r="BH269" s="135"/>
      <c r="BI269" s="314"/>
      <c r="BJ269" s="314"/>
      <c r="BK269" s="24"/>
      <c r="BL269" s="24"/>
      <c r="BM269" s="24"/>
      <c r="BN269" s="24"/>
      <c r="BO269" s="24"/>
      <c r="BP269" s="24"/>
      <c r="BQ269" s="24"/>
      <c r="BR269" s="43"/>
      <c r="BS269" s="24"/>
      <c r="BT269" s="24"/>
      <c r="BU269" s="24"/>
      <c r="BV269" s="132" t="e">
        <f>IF(#REF!="COMPLETO","OK","PENDIENTES")</f>
        <v>#REF!</v>
      </c>
      <c r="BW269" s="132"/>
      <c r="BX269" s="132"/>
      <c r="BY269" s="132"/>
      <c r="BZ269" s="132"/>
      <c r="CA269" s="132"/>
      <c r="CB269" s="132"/>
      <c r="CC269" s="22"/>
      <c r="CG269" s="24" t="s">
        <v>105</v>
      </c>
      <c r="CH269" s="24"/>
      <c r="CI269" s="24"/>
      <c r="CJ269" s="24"/>
    </row>
    <row r="270" spans="1:88" ht="15" customHeight="1">
      <c r="A270" s="18">
        <v>2018</v>
      </c>
      <c r="B270" s="18" t="str">
        <f>+INDEX(BDD!F:F,MATCH(P270,BDD!D:D,0))&amp;"-"&amp;INDEX(BDD!E:E,MATCH(P270,BDD!D:D,0))</f>
        <v>G-S</v>
      </c>
      <c r="C270" s="360" t="s">
        <v>484</v>
      </c>
      <c r="D270" s="150" t="s">
        <v>77</v>
      </c>
      <c r="E270" s="132"/>
      <c r="F270" s="24"/>
      <c r="G270" s="346"/>
      <c r="H270" s="25" t="s">
        <v>1372</v>
      </c>
      <c r="I270" s="329"/>
      <c r="J270" s="346"/>
      <c r="K270" s="24"/>
      <c r="L270" s="24"/>
      <c r="M270" s="24"/>
      <c r="N270" s="340"/>
      <c r="O270" s="334">
        <v>207485</v>
      </c>
      <c r="P270" s="25" t="s">
        <v>353</v>
      </c>
      <c r="Q270" s="127" t="s">
        <v>66</v>
      </c>
      <c r="R270" s="128" t="s">
        <v>1368</v>
      </c>
      <c r="S270" s="24">
        <v>43187</v>
      </c>
      <c r="T270" s="36" t="s">
        <v>19</v>
      </c>
      <c r="U270" s="125"/>
      <c r="V270" s="88" t="s">
        <v>1373</v>
      </c>
      <c r="W270" s="129"/>
      <c r="X270" s="88">
        <v>43228</v>
      </c>
      <c r="Y270" s="130" t="s">
        <v>20</v>
      </c>
      <c r="Z270" s="133" t="s">
        <v>60</v>
      </c>
      <c r="AA270" s="133"/>
      <c r="AB270" s="225">
        <v>1950</v>
      </c>
      <c r="AC270" s="153">
        <v>280.7</v>
      </c>
      <c r="AD270" s="153"/>
      <c r="AE270" s="403">
        <f t="shared" si="13"/>
        <v>547365</v>
      </c>
      <c r="AF270" s="132" t="str">
        <f>IF(W270=BDD!$P$1,IMPORTS!AB270/25,IF(W270=BDD!$P$2,IMPORTS!AB270/25,IF(IMPORTS!W270=BDD!$P$4,IMPORTS!AB270/25.5,"--")))</f>
        <v>--</v>
      </c>
      <c r="AG270" s="130" t="s">
        <v>46</v>
      </c>
      <c r="AH270" s="130"/>
      <c r="AI270" s="130" t="s">
        <v>100</v>
      </c>
      <c r="AJ270" s="130"/>
      <c r="AK270" s="130"/>
      <c r="AL270" s="135" t="s">
        <v>503</v>
      </c>
      <c r="AM270" s="314"/>
      <c r="AN270" s="26"/>
      <c r="AO270" s="26"/>
      <c r="AP270" s="26"/>
      <c r="AQ270" s="26">
        <v>43247</v>
      </c>
      <c r="AR270" s="24"/>
      <c r="AS270" s="24"/>
      <c r="AT270" s="24">
        <v>43254</v>
      </c>
      <c r="AU270" s="418">
        <f t="shared" si="14"/>
        <v>6</v>
      </c>
      <c r="AV270" s="418">
        <f t="shared" si="15"/>
        <v>2018</v>
      </c>
      <c r="AW270" s="24"/>
      <c r="AX270" s="28"/>
      <c r="AY270" s="28" t="s">
        <v>73</v>
      </c>
      <c r="AZ270" s="132" t="s">
        <v>25</v>
      </c>
      <c r="BA270" s="132"/>
      <c r="BB270" s="24"/>
      <c r="BC270" s="144" t="s">
        <v>1374</v>
      </c>
      <c r="BD270" s="26">
        <v>43208</v>
      </c>
      <c r="BE270" s="135" t="s">
        <v>1371</v>
      </c>
      <c r="BF270" s="135" t="s">
        <v>1371</v>
      </c>
      <c r="BG270" s="135" t="s">
        <v>52</v>
      </c>
      <c r="BH270" s="135"/>
      <c r="BI270" s="314"/>
      <c r="BJ270" s="314"/>
      <c r="BK270" s="24"/>
      <c r="BL270" s="24"/>
      <c r="BM270" s="24"/>
      <c r="BN270" s="24"/>
      <c r="BO270" s="24"/>
      <c r="BP270" s="24"/>
      <c r="BQ270" s="24"/>
      <c r="BR270" s="43"/>
      <c r="BS270" s="24"/>
      <c r="BT270" s="24"/>
      <c r="BU270" s="24"/>
      <c r="BV270" s="132" t="e">
        <f>IF(#REF!="COMPLETO","OK","PENDIENTES")</f>
        <v>#REF!</v>
      </c>
      <c r="BW270" s="132"/>
      <c r="BX270" s="132"/>
      <c r="BY270" s="132"/>
      <c r="BZ270" s="132"/>
      <c r="CA270" s="132"/>
      <c r="CB270" s="132"/>
      <c r="CC270" s="22"/>
      <c r="CG270" s="24" t="s">
        <v>105</v>
      </c>
      <c r="CH270" s="24"/>
      <c r="CI270" s="24"/>
      <c r="CJ270" s="24"/>
    </row>
    <row r="271" spans="1:88" ht="15" customHeight="1">
      <c r="A271" s="18">
        <v>2018</v>
      </c>
      <c r="B271" s="18" t="str">
        <f>+INDEX(BDD!F:F,MATCH(P271,BDD!D:D,0))&amp;"-"&amp;INDEX(BDD!E:E,MATCH(P271,BDD!D:D,0))</f>
        <v>G-S</v>
      </c>
      <c r="C271" s="360" t="s">
        <v>484</v>
      </c>
      <c r="D271" s="150" t="s">
        <v>77</v>
      </c>
      <c r="E271" s="132"/>
      <c r="F271" s="24"/>
      <c r="G271" s="346"/>
      <c r="H271" s="25" t="s">
        <v>1375</v>
      </c>
      <c r="I271" s="329"/>
      <c r="J271" s="346"/>
      <c r="K271" s="24"/>
      <c r="L271" s="24"/>
      <c r="M271" s="24"/>
      <c r="N271" s="340"/>
      <c r="O271" s="334">
        <v>207485</v>
      </c>
      <c r="P271" s="25" t="s">
        <v>353</v>
      </c>
      <c r="Q271" s="127" t="s">
        <v>66</v>
      </c>
      <c r="R271" s="128" t="s">
        <v>1368</v>
      </c>
      <c r="S271" s="24">
        <v>43187</v>
      </c>
      <c r="T271" s="36" t="s">
        <v>19</v>
      </c>
      <c r="U271" s="125"/>
      <c r="V271" s="88" t="s">
        <v>1376</v>
      </c>
      <c r="W271" s="129"/>
      <c r="X271" s="88">
        <v>43228</v>
      </c>
      <c r="Y271" s="130" t="s">
        <v>20</v>
      </c>
      <c r="Z271" s="133" t="s">
        <v>60</v>
      </c>
      <c r="AA271" s="133"/>
      <c r="AB271" s="225">
        <v>800</v>
      </c>
      <c r="AC271" s="153">
        <v>280.7</v>
      </c>
      <c r="AD271" s="153"/>
      <c r="AE271" s="403">
        <f t="shared" si="13"/>
        <v>224560</v>
      </c>
      <c r="AF271" s="132" t="str">
        <f>IF(W271=BDD!$P$1,IMPORTS!AB271/25,IF(W271=BDD!$P$2,IMPORTS!AB271/25,IF(IMPORTS!W271=BDD!$P$4,IMPORTS!AB271/25.5,"--")))</f>
        <v>--</v>
      </c>
      <c r="AG271" s="130" t="s">
        <v>46</v>
      </c>
      <c r="AH271" s="130"/>
      <c r="AI271" s="130" t="s">
        <v>100</v>
      </c>
      <c r="AJ271" s="130"/>
      <c r="AK271" s="130"/>
      <c r="AL271" s="135" t="s">
        <v>503</v>
      </c>
      <c r="AM271" s="314"/>
      <c r="AN271" s="26"/>
      <c r="AO271" s="26"/>
      <c r="AP271" s="26"/>
      <c r="AQ271" s="26">
        <v>43255</v>
      </c>
      <c r="AR271" s="24"/>
      <c r="AS271" s="24"/>
      <c r="AT271" s="24">
        <v>43257</v>
      </c>
      <c r="AU271" s="418">
        <f t="shared" si="14"/>
        <v>6</v>
      </c>
      <c r="AV271" s="418">
        <f t="shared" si="15"/>
        <v>2018</v>
      </c>
      <c r="AW271" s="24"/>
      <c r="AX271" s="28"/>
      <c r="AY271" s="28" t="s">
        <v>73</v>
      </c>
      <c r="AZ271" s="132" t="s">
        <v>37</v>
      </c>
      <c r="BA271" s="132"/>
      <c r="BB271" s="24"/>
      <c r="BC271" s="144" t="s">
        <v>1377</v>
      </c>
      <c r="BD271" s="26">
        <v>43208</v>
      </c>
      <c r="BE271" s="135" t="s">
        <v>1371</v>
      </c>
      <c r="BF271" s="135" t="s">
        <v>1371</v>
      </c>
      <c r="BG271" s="135" t="s">
        <v>52</v>
      </c>
      <c r="BH271" s="135"/>
      <c r="BI271" s="314"/>
      <c r="BJ271" s="314"/>
      <c r="BK271" s="24"/>
      <c r="BL271" s="24"/>
      <c r="BM271" s="24"/>
      <c r="BN271" s="24"/>
      <c r="BO271" s="24" t="s">
        <v>944</v>
      </c>
      <c r="BP271" s="24"/>
      <c r="BQ271" s="24"/>
      <c r="BR271" s="43"/>
      <c r="BS271" s="24"/>
      <c r="BT271" s="24"/>
      <c r="BU271" s="24"/>
      <c r="BV271" s="132" t="e">
        <f>IF(#REF!="COMPLETO","OK","PENDIENTES")</f>
        <v>#REF!</v>
      </c>
      <c r="BW271" s="132"/>
      <c r="BX271" s="132"/>
      <c r="BY271" s="132"/>
      <c r="BZ271" s="132"/>
      <c r="CA271" s="132"/>
      <c r="CB271" s="132"/>
      <c r="CC271" s="22"/>
      <c r="CG271" s="24" t="s">
        <v>105</v>
      </c>
      <c r="CH271" s="24"/>
      <c r="CI271" s="24"/>
      <c r="CJ271" s="24"/>
    </row>
    <row r="272" spans="1:88" ht="15" customHeight="1">
      <c r="A272" s="18">
        <v>2018</v>
      </c>
      <c r="B272" s="18" t="str">
        <f>+INDEX(BDD!F:F,MATCH(P272,BDD!D:D,0))&amp;"-"&amp;INDEX(BDD!E:E,MATCH(P272,BDD!D:D,0))</f>
        <v>E-S</v>
      </c>
      <c r="C272" s="360" t="s">
        <v>484</v>
      </c>
      <c r="D272" s="150" t="s">
        <v>77</v>
      </c>
      <c r="E272" s="132"/>
      <c r="F272" s="24"/>
      <c r="G272" s="346"/>
      <c r="H272" s="25" t="s">
        <v>1378</v>
      </c>
      <c r="I272" s="329"/>
      <c r="J272" s="346"/>
      <c r="K272" s="24"/>
      <c r="L272" s="24"/>
      <c r="M272" s="24"/>
      <c r="N272" s="340"/>
      <c r="O272" s="334">
        <v>209624</v>
      </c>
      <c r="P272" s="25" t="s">
        <v>204</v>
      </c>
      <c r="Q272" s="127" t="s">
        <v>222</v>
      </c>
      <c r="R272" s="128">
        <v>346</v>
      </c>
      <c r="S272" s="24">
        <v>43194</v>
      </c>
      <c r="T272" s="36">
        <v>30</v>
      </c>
      <c r="U272" s="125" t="s">
        <v>118</v>
      </c>
      <c r="V272" s="155">
        <v>627</v>
      </c>
      <c r="W272" s="129"/>
      <c r="X272" s="88">
        <v>43248</v>
      </c>
      <c r="Y272" s="130" t="s">
        <v>20</v>
      </c>
      <c r="Z272" s="133" t="s">
        <v>60</v>
      </c>
      <c r="AA272" s="133"/>
      <c r="AB272" s="226">
        <v>52</v>
      </c>
      <c r="AC272" s="153">
        <v>280</v>
      </c>
      <c r="AD272" s="153"/>
      <c r="AE272" s="403">
        <f t="shared" si="13"/>
        <v>14560</v>
      </c>
      <c r="AF272" s="132" t="str">
        <f>IF(W272=BDD!$P$1,IMPORTS!AB272/25,IF(W272=BDD!$P$2,IMPORTS!AB272/25,IF(IMPORTS!W272=BDD!$P$4,IMPORTS!AB272/25.5,"--")))</f>
        <v>--</v>
      </c>
      <c r="AG272" s="130" t="s">
        <v>5</v>
      </c>
      <c r="AH272" s="130"/>
      <c r="AI272" s="130" t="s">
        <v>71</v>
      </c>
      <c r="AJ272" s="130"/>
      <c r="AK272" s="130"/>
      <c r="AL272" s="135" t="s">
        <v>503</v>
      </c>
      <c r="AM272" s="314"/>
      <c r="AN272" s="26"/>
      <c r="AO272" s="26"/>
      <c r="AP272" s="26"/>
      <c r="AQ272" s="26">
        <v>43231</v>
      </c>
      <c r="AR272" s="24"/>
      <c r="AS272" s="24"/>
      <c r="AT272" s="24">
        <v>43234</v>
      </c>
      <c r="AU272" s="418">
        <f t="shared" si="14"/>
        <v>5</v>
      </c>
      <c r="AV272" s="418">
        <f t="shared" si="15"/>
        <v>2018</v>
      </c>
      <c r="AW272" s="24"/>
      <c r="AX272" s="28"/>
      <c r="AY272" s="28" t="s">
        <v>263</v>
      </c>
      <c r="AZ272" s="132" t="s">
        <v>37</v>
      </c>
      <c r="BA272" s="132"/>
      <c r="BB272" s="24"/>
      <c r="BC272" s="144" t="s">
        <v>1379</v>
      </c>
      <c r="BD272" s="24">
        <v>43226</v>
      </c>
      <c r="BE272" s="135" t="s">
        <v>1380</v>
      </c>
      <c r="BF272" s="135" t="s">
        <v>1380</v>
      </c>
      <c r="BG272" s="135" t="s">
        <v>74</v>
      </c>
      <c r="BH272" s="135"/>
      <c r="BI272" s="314"/>
      <c r="BJ272" s="314"/>
      <c r="BK272" s="24"/>
      <c r="BL272" s="24"/>
      <c r="BM272" s="24"/>
      <c r="BN272" s="24"/>
      <c r="BO272" s="24"/>
      <c r="BP272" s="24"/>
      <c r="BQ272" s="24"/>
      <c r="BR272" s="43"/>
      <c r="BS272" s="24"/>
      <c r="BT272" s="24"/>
      <c r="BU272" s="24"/>
      <c r="BV272" s="132" t="e">
        <f>IF(#REF!="COMPLETO","OK","PENDIENTES")</f>
        <v>#REF!</v>
      </c>
      <c r="BW272" s="132"/>
      <c r="BX272" s="132"/>
      <c r="BY272" s="132"/>
      <c r="BZ272" s="132"/>
      <c r="CA272" s="132"/>
      <c r="CB272" s="132"/>
      <c r="CC272" s="22"/>
      <c r="CG272" s="24" t="s">
        <v>105</v>
      </c>
      <c r="CH272" s="24"/>
      <c r="CI272" s="24"/>
      <c r="CJ272" s="24"/>
    </row>
    <row r="273" spans="1:88" ht="15" customHeight="1">
      <c r="A273" s="18">
        <v>2018</v>
      </c>
      <c r="B273" s="18" t="str">
        <f>+INDEX(BDD!F:F,MATCH(P273,BDD!D:D,0))&amp;"-"&amp;INDEX(BDD!E:E,MATCH(P273,BDD!D:D,0))</f>
        <v>G-S</v>
      </c>
      <c r="C273" s="360" t="s">
        <v>484</v>
      </c>
      <c r="D273" s="150" t="s">
        <v>77</v>
      </c>
      <c r="E273" s="132"/>
      <c r="F273" s="24"/>
      <c r="G273" s="346"/>
      <c r="H273" s="25" t="s">
        <v>1381</v>
      </c>
      <c r="I273" s="329"/>
      <c r="J273" s="346"/>
      <c r="K273" s="24"/>
      <c r="L273" s="24"/>
      <c r="M273" s="24"/>
      <c r="N273" s="340"/>
      <c r="O273" s="334">
        <v>207951</v>
      </c>
      <c r="P273" s="25" t="s">
        <v>354</v>
      </c>
      <c r="Q273" s="127" t="s">
        <v>163</v>
      </c>
      <c r="R273" s="128" t="s">
        <v>544</v>
      </c>
      <c r="S273" s="24">
        <v>43195</v>
      </c>
      <c r="T273" s="36" t="s">
        <v>19</v>
      </c>
      <c r="U273" s="125"/>
      <c r="V273" s="222" t="s">
        <v>1382</v>
      </c>
      <c r="W273" s="151"/>
      <c r="X273" s="88">
        <v>43256</v>
      </c>
      <c r="Y273" s="130" t="s">
        <v>20</v>
      </c>
      <c r="Z273" s="133" t="s">
        <v>60</v>
      </c>
      <c r="AA273" s="133"/>
      <c r="AB273" s="148">
        <v>1100</v>
      </c>
      <c r="AC273" s="134">
        <v>264.5</v>
      </c>
      <c r="AD273" s="134"/>
      <c r="AE273" s="403">
        <f t="shared" si="13"/>
        <v>290950</v>
      </c>
      <c r="AF273" s="132" t="str">
        <f>IF(W273=BDD!$P$1,IMPORTS!AB273/25,IF(W273=BDD!$P$2,IMPORTS!AB273/25,IF(IMPORTS!W273=BDD!$P$4,IMPORTS!AB273/25.5,"--")))</f>
        <v>--</v>
      </c>
      <c r="AG273" s="130" t="s">
        <v>46</v>
      </c>
      <c r="AH273" s="130"/>
      <c r="AI273" s="130" t="s">
        <v>100</v>
      </c>
      <c r="AJ273" s="130"/>
      <c r="AK273" s="130"/>
      <c r="AL273" s="135" t="s">
        <v>489</v>
      </c>
      <c r="AM273" s="314"/>
      <c r="AN273" s="26"/>
      <c r="AO273" s="26"/>
      <c r="AP273" s="26"/>
      <c r="AQ273" s="26">
        <v>43270</v>
      </c>
      <c r="AR273" s="24"/>
      <c r="AS273" s="24"/>
      <c r="AT273" s="24">
        <v>43271</v>
      </c>
      <c r="AU273" s="418">
        <f t="shared" si="14"/>
        <v>6</v>
      </c>
      <c r="AV273" s="418">
        <f t="shared" si="15"/>
        <v>2018</v>
      </c>
      <c r="AW273" s="24"/>
      <c r="AX273" s="28"/>
      <c r="AY273" s="28" t="s">
        <v>269</v>
      </c>
      <c r="AZ273" s="132" t="s">
        <v>9</v>
      </c>
      <c r="BA273" s="132"/>
      <c r="BB273" s="24"/>
      <c r="BC273" s="135" t="s">
        <v>1383</v>
      </c>
      <c r="BD273" s="26">
        <v>43244</v>
      </c>
      <c r="BE273" s="135" t="s">
        <v>1384</v>
      </c>
      <c r="BF273" s="135" t="s">
        <v>1384</v>
      </c>
      <c r="BG273" s="135" t="s">
        <v>52</v>
      </c>
      <c r="BH273" s="135"/>
      <c r="BI273" s="314"/>
      <c r="BJ273" s="314"/>
      <c r="BK273" s="24"/>
      <c r="BL273" s="24"/>
      <c r="BM273" s="24"/>
      <c r="BN273" s="24"/>
      <c r="BO273" s="24" t="s">
        <v>944</v>
      </c>
      <c r="BP273" s="24"/>
      <c r="BQ273" s="24"/>
      <c r="BR273" s="43"/>
      <c r="BS273" s="24"/>
      <c r="BT273" s="24"/>
      <c r="BU273" s="24"/>
      <c r="BV273" s="132" t="e">
        <f>IF(#REF!="COMPLETO","OK","PENDIENTES")</f>
        <v>#REF!</v>
      </c>
      <c r="BW273" s="132"/>
      <c r="BX273" s="132"/>
      <c r="BY273" s="132"/>
      <c r="BZ273" s="132"/>
      <c r="CA273" s="132"/>
      <c r="CB273" s="132"/>
      <c r="CC273" s="22"/>
      <c r="CG273" s="24" t="s">
        <v>105</v>
      </c>
      <c r="CH273" s="24"/>
      <c r="CI273" s="24"/>
      <c r="CJ273" s="24"/>
    </row>
    <row r="274" spans="1:88" ht="15" customHeight="1">
      <c r="A274" s="18">
        <v>2018</v>
      </c>
      <c r="B274" s="18" t="str">
        <f>+INDEX(BDD!F:F,MATCH(P274,BDD!D:D,0))&amp;"-"&amp;INDEX(BDD!E:E,MATCH(P274,BDD!D:D,0))</f>
        <v>G-S</v>
      </c>
      <c r="C274" s="360" t="s">
        <v>484</v>
      </c>
      <c r="D274" s="150" t="s">
        <v>77</v>
      </c>
      <c r="E274" s="132"/>
      <c r="F274" s="24"/>
      <c r="G274" s="346"/>
      <c r="H274" s="25" t="s">
        <v>1385</v>
      </c>
      <c r="I274" s="329"/>
      <c r="J274" s="346"/>
      <c r="K274" s="24"/>
      <c r="L274" s="24"/>
      <c r="M274" s="24"/>
      <c r="N274" s="340"/>
      <c r="O274" s="334">
        <v>207951</v>
      </c>
      <c r="P274" s="25" t="s">
        <v>354</v>
      </c>
      <c r="Q274" s="127" t="s">
        <v>163</v>
      </c>
      <c r="R274" s="128" t="s">
        <v>544</v>
      </c>
      <c r="S274" s="24">
        <v>43195</v>
      </c>
      <c r="T274" s="36" t="s">
        <v>19</v>
      </c>
      <c r="U274" s="125"/>
      <c r="V274" s="222" t="s">
        <v>1386</v>
      </c>
      <c r="W274" s="151"/>
      <c r="X274" s="88">
        <v>43256</v>
      </c>
      <c r="Y274" s="130" t="s">
        <v>20</v>
      </c>
      <c r="Z274" s="133" t="s">
        <v>60</v>
      </c>
      <c r="AA274" s="133"/>
      <c r="AB274" s="148">
        <v>1700</v>
      </c>
      <c r="AC274" s="134">
        <v>264.5</v>
      </c>
      <c r="AD274" s="134"/>
      <c r="AE274" s="403">
        <f t="shared" si="13"/>
        <v>449650</v>
      </c>
      <c r="AF274" s="132" t="str">
        <f>IF(W274=BDD!$P$1,IMPORTS!AB274/25,IF(W274=BDD!$P$2,IMPORTS!AB274/25,IF(IMPORTS!W274=BDD!$P$4,IMPORTS!AB274/25.5,"--")))</f>
        <v>--</v>
      </c>
      <c r="AG274" s="130" t="s">
        <v>46</v>
      </c>
      <c r="AH274" s="130"/>
      <c r="AI274" s="130" t="s">
        <v>100</v>
      </c>
      <c r="AJ274" s="130"/>
      <c r="AK274" s="130"/>
      <c r="AL274" s="135" t="s">
        <v>489</v>
      </c>
      <c r="AM274" s="314"/>
      <c r="AN274" s="26"/>
      <c r="AO274" s="26"/>
      <c r="AP274" s="26"/>
      <c r="AQ274" s="26">
        <v>43276</v>
      </c>
      <c r="AR274" s="24"/>
      <c r="AS274" s="24"/>
      <c r="AT274" s="24">
        <v>43279</v>
      </c>
      <c r="AU274" s="418">
        <f t="shared" si="14"/>
        <v>6</v>
      </c>
      <c r="AV274" s="418">
        <f t="shared" si="15"/>
        <v>2018</v>
      </c>
      <c r="AW274" s="24"/>
      <c r="AX274" s="28"/>
      <c r="AY274" s="28" t="s">
        <v>269</v>
      </c>
      <c r="AZ274" s="132" t="s">
        <v>25</v>
      </c>
      <c r="BA274" s="132"/>
      <c r="BB274" s="24"/>
      <c r="BC274" s="135" t="s">
        <v>1387</v>
      </c>
      <c r="BD274" s="26">
        <v>43244</v>
      </c>
      <c r="BE274" s="135" t="s">
        <v>1384</v>
      </c>
      <c r="BF274" s="135" t="s">
        <v>1384</v>
      </c>
      <c r="BG274" s="135" t="s">
        <v>52</v>
      </c>
      <c r="BH274" s="135"/>
      <c r="BI274" s="314"/>
      <c r="BJ274" s="314"/>
      <c r="BK274" s="24"/>
      <c r="BL274" s="24"/>
      <c r="BM274" s="24"/>
      <c r="BN274" s="24"/>
      <c r="BO274" s="24"/>
      <c r="BP274" s="24"/>
      <c r="BQ274" s="24"/>
      <c r="BR274" s="43"/>
      <c r="BS274" s="24"/>
      <c r="BT274" s="24"/>
      <c r="BU274" s="24"/>
      <c r="BV274" s="132" t="e">
        <f>IF(#REF!="COMPLETO","OK","PENDIENTES")</f>
        <v>#REF!</v>
      </c>
      <c r="BW274" s="132"/>
      <c r="BX274" s="132"/>
      <c r="BY274" s="132"/>
      <c r="BZ274" s="132"/>
      <c r="CA274" s="132"/>
      <c r="CB274" s="132"/>
      <c r="CC274" s="22"/>
      <c r="CG274" s="24" t="s">
        <v>105</v>
      </c>
      <c r="CH274" s="24"/>
      <c r="CI274" s="24"/>
      <c r="CJ274" s="24"/>
    </row>
    <row r="275" spans="1:88" ht="15" customHeight="1">
      <c r="A275" s="18">
        <v>2018</v>
      </c>
      <c r="B275" s="18" t="str">
        <f>+INDEX(BDD!F:F,MATCH(P275,BDD!D:D,0))&amp;"-"&amp;INDEX(BDD!E:E,MATCH(P275,BDD!D:D,0))</f>
        <v>G-S</v>
      </c>
      <c r="C275" s="360" t="s">
        <v>484</v>
      </c>
      <c r="D275" s="150" t="s">
        <v>77</v>
      </c>
      <c r="E275" s="132"/>
      <c r="F275" s="24"/>
      <c r="G275" s="346"/>
      <c r="H275" s="25" t="s">
        <v>1388</v>
      </c>
      <c r="I275" s="329"/>
      <c r="J275" s="346"/>
      <c r="K275" s="24"/>
      <c r="L275" s="24"/>
      <c r="M275" s="24"/>
      <c r="N275" s="340"/>
      <c r="O275" s="334">
        <v>207951</v>
      </c>
      <c r="P275" s="25" t="s">
        <v>354</v>
      </c>
      <c r="Q275" s="127" t="s">
        <v>163</v>
      </c>
      <c r="R275" s="128" t="s">
        <v>544</v>
      </c>
      <c r="S275" s="24">
        <v>43195</v>
      </c>
      <c r="T275" s="36" t="s">
        <v>19</v>
      </c>
      <c r="U275" s="125"/>
      <c r="V275" s="222" t="s">
        <v>1389</v>
      </c>
      <c r="W275" s="151"/>
      <c r="X275" s="88">
        <v>43256</v>
      </c>
      <c r="Y275" s="130" t="s">
        <v>20</v>
      </c>
      <c r="Z275" s="133" t="s">
        <v>60</v>
      </c>
      <c r="AA275" s="133"/>
      <c r="AB275" s="148">
        <v>1700</v>
      </c>
      <c r="AC275" s="134">
        <v>264.5</v>
      </c>
      <c r="AD275" s="134"/>
      <c r="AE275" s="403">
        <f t="shared" si="13"/>
        <v>449650</v>
      </c>
      <c r="AF275" s="132" t="str">
        <f>IF(W275=BDD!$P$1,IMPORTS!AB275/25,IF(W275=BDD!$P$2,IMPORTS!AB275/25,IF(IMPORTS!W275=BDD!$P$4,IMPORTS!AB275/25.5,"--")))</f>
        <v>--</v>
      </c>
      <c r="AG275" s="130" t="s">
        <v>46</v>
      </c>
      <c r="AH275" s="130"/>
      <c r="AI275" s="130" t="s">
        <v>100</v>
      </c>
      <c r="AJ275" s="130"/>
      <c r="AK275" s="130"/>
      <c r="AL275" s="135" t="s">
        <v>489</v>
      </c>
      <c r="AM275" s="314"/>
      <c r="AN275" s="26"/>
      <c r="AO275" s="26"/>
      <c r="AP275" s="26"/>
      <c r="AQ275" s="26">
        <v>43273</v>
      </c>
      <c r="AR275" s="24"/>
      <c r="AS275" s="24"/>
      <c r="AT275" s="24">
        <v>43275</v>
      </c>
      <c r="AU275" s="418">
        <f t="shared" si="14"/>
        <v>6</v>
      </c>
      <c r="AV275" s="418">
        <f t="shared" si="15"/>
        <v>2018</v>
      </c>
      <c r="AW275" s="24"/>
      <c r="AX275" s="28"/>
      <c r="AY275" s="28" t="s">
        <v>269</v>
      </c>
      <c r="AZ275" s="132" t="s">
        <v>37</v>
      </c>
      <c r="BA275" s="132"/>
      <c r="BB275" s="24"/>
      <c r="BC275" s="135" t="s">
        <v>1390</v>
      </c>
      <c r="BD275" s="26">
        <v>43244</v>
      </c>
      <c r="BE275" s="135" t="s">
        <v>1384</v>
      </c>
      <c r="BF275" s="135" t="s">
        <v>1384</v>
      </c>
      <c r="BG275" s="135" t="s">
        <v>52</v>
      </c>
      <c r="BH275" s="135"/>
      <c r="BI275" s="314"/>
      <c r="BJ275" s="314"/>
      <c r="BK275" s="24"/>
      <c r="BL275" s="24"/>
      <c r="BM275" s="24"/>
      <c r="BN275" s="24"/>
      <c r="BO275" s="24" t="s">
        <v>944</v>
      </c>
      <c r="BP275" s="24"/>
      <c r="BQ275" s="24"/>
      <c r="BR275" s="43"/>
      <c r="BS275" s="24"/>
      <c r="BT275" s="24"/>
      <c r="BU275" s="24"/>
      <c r="BV275" s="132" t="e">
        <f>IF(#REF!="COMPLETO","OK","PENDIENTES")</f>
        <v>#REF!</v>
      </c>
      <c r="BW275" s="132"/>
      <c r="BX275" s="132"/>
      <c r="BY275" s="132"/>
      <c r="BZ275" s="132"/>
      <c r="CA275" s="132"/>
      <c r="CB275" s="132"/>
      <c r="CC275" s="22"/>
      <c r="CG275" s="24" t="s">
        <v>105</v>
      </c>
      <c r="CH275" s="24"/>
      <c r="CI275" s="24"/>
      <c r="CJ275" s="24"/>
    </row>
    <row r="276" spans="1:88" ht="15" customHeight="1">
      <c r="A276" s="18">
        <v>2018</v>
      </c>
      <c r="B276" s="18" t="str">
        <f>+INDEX(BDD!F:F,MATCH(P276,BDD!D:D,0))&amp;"-"&amp;INDEX(BDD!E:E,MATCH(P276,BDD!D:D,0))</f>
        <v>G-S</v>
      </c>
      <c r="C276" s="360" t="s">
        <v>484</v>
      </c>
      <c r="D276" s="152" t="s">
        <v>20</v>
      </c>
      <c r="E276" s="132"/>
      <c r="F276" s="24"/>
      <c r="G276" s="346"/>
      <c r="H276" s="25" t="s">
        <v>1391</v>
      </c>
      <c r="I276" s="329"/>
      <c r="J276" s="346"/>
      <c r="K276" s="24"/>
      <c r="L276" s="24"/>
      <c r="M276" s="24"/>
      <c r="N276" s="340"/>
      <c r="O276" s="334"/>
      <c r="P276" s="25" t="s">
        <v>354</v>
      </c>
      <c r="Q276" s="127" t="s">
        <v>163</v>
      </c>
      <c r="R276" s="128"/>
      <c r="S276" s="24"/>
      <c r="T276" s="36"/>
      <c r="U276" s="125"/>
      <c r="V276" s="88"/>
      <c r="W276" s="129"/>
      <c r="X276" s="88"/>
      <c r="Y276" s="130"/>
      <c r="Z276" s="133"/>
      <c r="AA276" s="133"/>
      <c r="AB276" s="148"/>
      <c r="AC276" s="134"/>
      <c r="AD276" s="134"/>
      <c r="AE276" s="403">
        <f t="shared" si="13"/>
        <v>0</v>
      </c>
      <c r="AF276" s="132"/>
      <c r="AG276" s="130"/>
      <c r="AH276" s="130"/>
      <c r="AI276" s="130"/>
      <c r="AJ276" s="130"/>
      <c r="AK276" s="130"/>
      <c r="AL276" s="135"/>
      <c r="AM276" s="314"/>
      <c r="AN276" s="26"/>
      <c r="AO276" s="26"/>
      <c r="AP276" s="26"/>
      <c r="AQ276" s="26"/>
      <c r="AR276" s="24"/>
      <c r="AS276" s="24"/>
      <c r="AT276" s="24"/>
      <c r="AU276" s="418">
        <f t="shared" si="14"/>
        <v>1</v>
      </c>
      <c r="AV276" s="418">
        <f t="shared" si="15"/>
        <v>1900</v>
      </c>
      <c r="AW276" s="24"/>
      <c r="AX276" s="28"/>
      <c r="AY276" s="28"/>
      <c r="AZ276" s="132"/>
      <c r="BA276" s="132"/>
      <c r="BB276" s="24"/>
      <c r="BC276" s="135"/>
      <c r="BD276" s="227"/>
      <c r="BE276" s="135"/>
      <c r="BF276" s="135"/>
      <c r="BG276" s="135"/>
      <c r="BH276" s="135"/>
      <c r="BI276" s="314"/>
      <c r="BJ276" s="314"/>
      <c r="BK276" s="24"/>
      <c r="BL276" s="24"/>
      <c r="BM276" s="24"/>
      <c r="BN276" s="24"/>
      <c r="BO276" s="24"/>
      <c r="BP276" s="24"/>
      <c r="BQ276" s="24"/>
      <c r="BR276" s="43"/>
      <c r="BS276" s="24"/>
      <c r="BT276" s="24"/>
      <c r="BU276" s="24"/>
      <c r="BV276" s="132"/>
      <c r="BW276" s="132"/>
      <c r="BX276" s="132"/>
      <c r="BY276" s="132"/>
      <c r="BZ276" s="132"/>
      <c r="CA276" s="132"/>
      <c r="CB276" s="132"/>
      <c r="CC276" s="22"/>
      <c r="CD276" s="22"/>
      <c r="CE276" s="22"/>
      <c r="CF276" s="22"/>
      <c r="CG276" s="24"/>
      <c r="CH276" s="24"/>
      <c r="CI276" s="24"/>
      <c r="CJ276" s="24"/>
    </row>
    <row r="277" spans="1:88" ht="15" customHeight="1">
      <c r="A277" s="18">
        <v>2018</v>
      </c>
      <c r="B277" s="18" t="str">
        <f>+INDEX(BDD!F:F,MATCH(P277,BDD!D:D,0))&amp;"-"&amp;INDEX(BDD!E:E,MATCH(P277,BDD!D:D,0))</f>
        <v>G-C</v>
      </c>
      <c r="C277" s="360" t="s">
        <v>484</v>
      </c>
      <c r="D277" s="150" t="s">
        <v>77</v>
      </c>
      <c r="E277" s="132"/>
      <c r="F277" s="24"/>
      <c r="G277" s="346"/>
      <c r="H277" s="25" t="s">
        <v>1392</v>
      </c>
      <c r="I277" s="329"/>
      <c r="J277" s="346"/>
      <c r="K277" s="24"/>
      <c r="L277" s="24"/>
      <c r="M277" s="24"/>
      <c r="N277" s="340"/>
      <c r="O277" s="334">
        <v>206573</v>
      </c>
      <c r="P277" s="25" t="s">
        <v>226</v>
      </c>
      <c r="Q277" s="127" t="s">
        <v>163</v>
      </c>
      <c r="R277" s="128" t="s">
        <v>544</v>
      </c>
      <c r="S277" s="24">
        <v>43195</v>
      </c>
      <c r="T277" s="36" t="s">
        <v>19</v>
      </c>
      <c r="U277" s="125"/>
      <c r="V277" s="222" t="s">
        <v>1393</v>
      </c>
      <c r="W277" s="151"/>
      <c r="X277" s="88">
        <v>43256</v>
      </c>
      <c r="Y277" s="130" t="s">
        <v>20</v>
      </c>
      <c r="Z277" s="133" t="s">
        <v>60</v>
      </c>
      <c r="AA277" s="133"/>
      <c r="AB277" s="148">
        <v>630</v>
      </c>
      <c r="AC277" s="134">
        <v>246</v>
      </c>
      <c r="AD277" s="134"/>
      <c r="AE277" s="403">
        <f t="shared" si="13"/>
        <v>154980</v>
      </c>
      <c r="AF277" s="132" t="str">
        <f>IF(W277=BDD!$P$1,IMPORTS!AB277/25,IF(W277=BDD!$P$2,IMPORTS!AB277/25,IF(IMPORTS!W277=BDD!$P$4,IMPORTS!AB277/25.5,"--")))</f>
        <v>--</v>
      </c>
      <c r="AG277" s="130" t="s">
        <v>46</v>
      </c>
      <c r="AH277" s="130"/>
      <c r="AI277" s="130" t="s">
        <v>100</v>
      </c>
      <c r="AJ277" s="130"/>
      <c r="AK277" s="130"/>
      <c r="AL277" s="135" t="s">
        <v>489</v>
      </c>
      <c r="AM277" s="314"/>
      <c r="AN277" s="26"/>
      <c r="AO277" s="26"/>
      <c r="AP277" s="26"/>
      <c r="AQ277" s="26">
        <v>43270</v>
      </c>
      <c r="AR277" s="24"/>
      <c r="AS277" s="24"/>
      <c r="AT277" s="24">
        <v>43271</v>
      </c>
      <c r="AU277" s="418">
        <f t="shared" si="14"/>
        <v>6</v>
      </c>
      <c r="AV277" s="418">
        <f t="shared" si="15"/>
        <v>2018</v>
      </c>
      <c r="AW277" s="24"/>
      <c r="AX277" s="28"/>
      <c r="AY277" s="28" t="s">
        <v>269</v>
      </c>
      <c r="AZ277" s="132" t="s">
        <v>9</v>
      </c>
      <c r="BA277" s="132"/>
      <c r="BB277" s="24"/>
      <c r="BC277" s="135" t="s">
        <v>1394</v>
      </c>
      <c r="BD277" s="26">
        <v>43244</v>
      </c>
      <c r="BE277" s="135" t="s">
        <v>1384</v>
      </c>
      <c r="BF277" s="135" t="s">
        <v>1384</v>
      </c>
      <c r="BG277" s="135" t="s">
        <v>52</v>
      </c>
      <c r="BH277" s="135"/>
      <c r="BI277" s="314"/>
      <c r="BJ277" s="314"/>
      <c r="BK277" s="24"/>
      <c r="BL277" s="24"/>
      <c r="BM277" s="24"/>
      <c r="BN277" s="24"/>
      <c r="BO277" s="24" t="s">
        <v>944</v>
      </c>
      <c r="BP277" s="24"/>
      <c r="BQ277" s="24"/>
      <c r="BR277" s="43"/>
      <c r="BS277" s="24"/>
      <c r="BT277" s="24"/>
      <c r="BU277" s="24"/>
      <c r="BV277" s="132" t="e">
        <f>IF(#REF!="COMPLETO","OK","PENDIENTES")</f>
        <v>#REF!</v>
      </c>
      <c r="BW277" s="132"/>
      <c r="BX277" s="132"/>
      <c r="BY277" s="132"/>
      <c r="BZ277" s="132"/>
      <c r="CA277" s="132"/>
      <c r="CB277" s="132"/>
      <c r="CC277" s="22"/>
      <c r="CG277" s="24" t="s">
        <v>105</v>
      </c>
      <c r="CH277" s="24"/>
      <c r="CI277" s="24"/>
      <c r="CJ277" s="24"/>
    </row>
    <row r="278" spans="1:88" ht="15" customHeight="1">
      <c r="A278" s="18">
        <v>2018</v>
      </c>
      <c r="B278" s="18" t="str">
        <f>+INDEX(BDD!F:F,MATCH(P278,BDD!D:D,0))&amp;"-"&amp;INDEX(BDD!E:E,MATCH(P278,BDD!D:D,0))</f>
        <v>G-C</v>
      </c>
      <c r="C278" s="360" t="s">
        <v>484</v>
      </c>
      <c r="D278" s="150" t="s">
        <v>77</v>
      </c>
      <c r="E278" s="132"/>
      <c r="F278" s="24"/>
      <c r="G278" s="346"/>
      <c r="H278" s="25" t="s">
        <v>1395</v>
      </c>
      <c r="I278" s="329"/>
      <c r="J278" s="346"/>
      <c r="K278" s="24"/>
      <c r="L278" s="24"/>
      <c r="M278" s="24"/>
      <c r="N278" s="340"/>
      <c r="O278" s="334">
        <v>206573</v>
      </c>
      <c r="P278" s="25" t="s">
        <v>226</v>
      </c>
      <c r="Q278" s="127" t="s">
        <v>163</v>
      </c>
      <c r="R278" s="128" t="s">
        <v>544</v>
      </c>
      <c r="S278" s="24">
        <v>43195</v>
      </c>
      <c r="T278" s="36" t="s">
        <v>19</v>
      </c>
      <c r="U278" s="125"/>
      <c r="V278" s="222" t="s">
        <v>1396</v>
      </c>
      <c r="W278" s="151"/>
      <c r="X278" s="88">
        <v>43256</v>
      </c>
      <c r="Y278" s="130" t="s">
        <v>20</v>
      </c>
      <c r="Z278" s="133" t="s">
        <v>60</v>
      </c>
      <c r="AA278" s="133"/>
      <c r="AB278" s="148">
        <v>2160</v>
      </c>
      <c r="AC278" s="134">
        <v>246</v>
      </c>
      <c r="AD278" s="134"/>
      <c r="AE278" s="403">
        <f t="shared" si="13"/>
        <v>531360</v>
      </c>
      <c r="AF278" s="132" t="str">
        <f>IF(W278=BDD!$P$1,IMPORTS!AB278/25,IF(W278=BDD!$P$2,IMPORTS!AB278/25,IF(IMPORTS!W278=BDD!$P$4,IMPORTS!AB278/25.5,"--")))</f>
        <v>--</v>
      </c>
      <c r="AG278" s="130" t="s">
        <v>46</v>
      </c>
      <c r="AH278" s="130"/>
      <c r="AI278" s="130" t="s">
        <v>100</v>
      </c>
      <c r="AJ278" s="130"/>
      <c r="AK278" s="130"/>
      <c r="AL278" s="135" t="s">
        <v>489</v>
      </c>
      <c r="AM278" s="314"/>
      <c r="AN278" s="26"/>
      <c r="AO278" s="26"/>
      <c r="AP278" s="26"/>
      <c r="AQ278" s="26">
        <v>43276</v>
      </c>
      <c r="AR278" s="24"/>
      <c r="AS278" s="24"/>
      <c r="AT278" s="24">
        <v>43279</v>
      </c>
      <c r="AU278" s="418">
        <f t="shared" si="14"/>
        <v>6</v>
      </c>
      <c r="AV278" s="418">
        <f t="shared" si="15"/>
        <v>2018</v>
      </c>
      <c r="AW278" s="24"/>
      <c r="AX278" s="28"/>
      <c r="AY278" s="28" t="s">
        <v>269</v>
      </c>
      <c r="AZ278" s="132" t="s">
        <v>25</v>
      </c>
      <c r="BA278" s="132"/>
      <c r="BB278" s="24"/>
      <c r="BC278" s="135" t="s">
        <v>1397</v>
      </c>
      <c r="BD278" s="26">
        <v>43244</v>
      </c>
      <c r="BE278" s="135" t="s">
        <v>1384</v>
      </c>
      <c r="BF278" s="135" t="s">
        <v>1384</v>
      </c>
      <c r="BG278" s="135" t="s">
        <v>52</v>
      </c>
      <c r="BH278" s="135"/>
      <c r="BI278" s="314"/>
      <c r="BJ278" s="314"/>
      <c r="BK278" s="24"/>
      <c r="BL278" s="24"/>
      <c r="BM278" s="24"/>
      <c r="BN278" s="24"/>
      <c r="BO278" s="24"/>
      <c r="BP278" s="24"/>
      <c r="BQ278" s="24"/>
      <c r="BR278" s="43"/>
      <c r="BS278" s="24"/>
      <c r="BT278" s="24"/>
      <c r="BU278" s="24"/>
      <c r="BV278" s="132" t="e">
        <f>IF(#REF!="COMPLETO","OK","PENDIENTES")</f>
        <v>#REF!</v>
      </c>
      <c r="BW278" s="132"/>
      <c r="BX278" s="132"/>
      <c r="BY278" s="132"/>
      <c r="BZ278" s="132"/>
      <c r="CA278" s="132"/>
      <c r="CB278" s="132"/>
      <c r="CC278" s="22"/>
      <c r="CG278" s="24" t="s">
        <v>105</v>
      </c>
      <c r="CH278" s="24"/>
      <c r="CI278" s="24"/>
      <c r="CJ278" s="24"/>
    </row>
    <row r="279" spans="1:88" ht="15" customHeight="1">
      <c r="A279" s="18">
        <v>2018</v>
      </c>
      <c r="B279" s="18" t="str">
        <f>+INDEX(BDD!F:F,MATCH(P279,BDD!D:D,0))&amp;"-"&amp;INDEX(BDD!E:E,MATCH(P279,BDD!D:D,0))</f>
        <v>G-C</v>
      </c>
      <c r="C279" s="360" t="s">
        <v>484</v>
      </c>
      <c r="D279" s="150" t="s">
        <v>77</v>
      </c>
      <c r="E279" s="132"/>
      <c r="F279" s="24"/>
      <c r="G279" s="346"/>
      <c r="H279" s="25" t="s">
        <v>1398</v>
      </c>
      <c r="I279" s="329"/>
      <c r="J279" s="346"/>
      <c r="K279" s="24"/>
      <c r="L279" s="24"/>
      <c r="M279" s="24"/>
      <c r="N279" s="340"/>
      <c r="O279" s="334">
        <v>206573</v>
      </c>
      <c r="P279" s="25" t="s">
        <v>226</v>
      </c>
      <c r="Q279" s="127" t="s">
        <v>163</v>
      </c>
      <c r="R279" s="128" t="s">
        <v>544</v>
      </c>
      <c r="S279" s="24">
        <v>43195</v>
      </c>
      <c r="T279" s="36" t="s">
        <v>19</v>
      </c>
      <c r="U279" s="125"/>
      <c r="V279" s="222" t="s">
        <v>1399</v>
      </c>
      <c r="W279" s="151"/>
      <c r="X279" s="88">
        <v>43256</v>
      </c>
      <c r="Y279" s="130" t="s">
        <v>20</v>
      </c>
      <c r="Z279" s="133" t="s">
        <v>60</v>
      </c>
      <c r="AA279" s="133"/>
      <c r="AB279" s="148">
        <v>1170</v>
      </c>
      <c r="AC279" s="134">
        <v>246</v>
      </c>
      <c r="AD279" s="134"/>
      <c r="AE279" s="403">
        <f t="shared" si="13"/>
        <v>287820</v>
      </c>
      <c r="AF279" s="132" t="str">
        <f>IF(W279=BDD!$P$1,IMPORTS!AB279/25,IF(W279=BDD!$P$2,IMPORTS!AB279/25,IF(IMPORTS!W279=BDD!$P$4,IMPORTS!AB279/25.5,"--")))</f>
        <v>--</v>
      </c>
      <c r="AG279" s="130" t="s">
        <v>46</v>
      </c>
      <c r="AH279" s="130"/>
      <c r="AI279" s="130" t="s">
        <v>100</v>
      </c>
      <c r="AJ279" s="130"/>
      <c r="AK279" s="130"/>
      <c r="AL279" s="135" t="s">
        <v>489</v>
      </c>
      <c r="AM279" s="314"/>
      <c r="AN279" s="26"/>
      <c r="AO279" s="26"/>
      <c r="AP279" s="26"/>
      <c r="AQ279" s="26">
        <v>43273</v>
      </c>
      <c r="AR279" s="24"/>
      <c r="AS279" s="24"/>
      <c r="AT279" s="24">
        <v>43275</v>
      </c>
      <c r="AU279" s="418">
        <f t="shared" si="14"/>
        <v>6</v>
      </c>
      <c r="AV279" s="418">
        <f t="shared" si="15"/>
        <v>2018</v>
      </c>
      <c r="AW279" s="24"/>
      <c r="AX279" s="28"/>
      <c r="AY279" s="28" t="s">
        <v>269</v>
      </c>
      <c r="AZ279" s="132" t="s">
        <v>37</v>
      </c>
      <c r="BA279" s="132"/>
      <c r="BB279" s="24"/>
      <c r="BC279" s="135" t="s">
        <v>1400</v>
      </c>
      <c r="BD279" s="26">
        <v>43244</v>
      </c>
      <c r="BE279" s="135" t="s">
        <v>1384</v>
      </c>
      <c r="BF279" s="135" t="s">
        <v>1384</v>
      </c>
      <c r="BG279" s="135" t="s">
        <v>52</v>
      </c>
      <c r="BH279" s="135"/>
      <c r="BI279" s="314"/>
      <c r="BJ279" s="314"/>
      <c r="BK279" s="24"/>
      <c r="BL279" s="24"/>
      <c r="BM279" s="24"/>
      <c r="BN279" s="24"/>
      <c r="BO279" s="24" t="s">
        <v>944</v>
      </c>
      <c r="BP279" s="24"/>
      <c r="BQ279" s="24"/>
      <c r="BR279" s="43"/>
      <c r="BS279" s="24"/>
      <c r="BT279" s="24"/>
      <c r="BU279" s="24"/>
      <c r="BV279" s="132" t="e">
        <f>IF(#REF!="COMPLETO","OK","PENDIENTES")</f>
        <v>#REF!</v>
      </c>
      <c r="BW279" s="132"/>
      <c r="BX279" s="132"/>
      <c r="BY279" s="132"/>
      <c r="BZ279" s="132"/>
      <c r="CA279" s="132"/>
      <c r="CB279" s="132"/>
      <c r="CC279" s="22"/>
      <c r="CG279" s="24" t="s">
        <v>105</v>
      </c>
      <c r="CH279" s="24"/>
      <c r="CI279" s="24"/>
      <c r="CJ279" s="24"/>
    </row>
    <row r="280" spans="1:88" ht="15" customHeight="1">
      <c r="A280" s="18">
        <v>2018</v>
      </c>
      <c r="B280" s="18" t="str">
        <f>+INDEX(BDD!F:F,MATCH(P280,BDD!D:D,0))&amp;"-"&amp;INDEX(BDD!E:E,MATCH(P280,BDD!D:D,0))</f>
        <v>G-C</v>
      </c>
      <c r="C280" s="360" t="s">
        <v>484</v>
      </c>
      <c r="D280" s="150" t="s">
        <v>77</v>
      </c>
      <c r="E280" s="132"/>
      <c r="F280" s="24"/>
      <c r="G280" s="346"/>
      <c r="H280" s="25" t="s">
        <v>1401</v>
      </c>
      <c r="I280" s="329"/>
      <c r="J280" s="346"/>
      <c r="K280" s="24"/>
      <c r="L280" s="24"/>
      <c r="M280" s="24"/>
      <c r="N280" s="340"/>
      <c r="O280" s="334">
        <v>206573</v>
      </c>
      <c r="P280" s="25" t="s">
        <v>226</v>
      </c>
      <c r="Q280" s="127" t="s">
        <v>163</v>
      </c>
      <c r="R280" s="128" t="s">
        <v>544</v>
      </c>
      <c r="S280" s="24">
        <v>43195</v>
      </c>
      <c r="T280" s="36" t="s">
        <v>19</v>
      </c>
      <c r="U280" s="125"/>
      <c r="V280" s="222" t="s">
        <v>1402</v>
      </c>
      <c r="W280" s="151"/>
      <c r="X280" s="88">
        <v>43256</v>
      </c>
      <c r="Y280" s="130" t="s">
        <v>20</v>
      </c>
      <c r="Z280" s="133" t="s">
        <v>60</v>
      </c>
      <c r="AA280" s="133"/>
      <c r="AB280" s="148">
        <v>720</v>
      </c>
      <c r="AC280" s="134">
        <v>246</v>
      </c>
      <c r="AD280" s="134"/>
      <c r="AE280" s="403">
        <f t="shared" si="13"/>
        <v>177120</v>
      </c>
      <c r="AF280" s="132" t="str">
        <f>IF(W280=BDD!$P$1,IMPORTS!AB280/25,IF(W280=BDD!$P$2,IMPORTS!AB280/25,IF(IMPORTS!W280=BDD!$P$4,IMPORTS!AB280/25.5,"--")))</f>
        <v>--</v>
      </c>
      <c r="AG280" s="130" t="s">
        <v>46</v>
      </c>
      <c r="AH280" s="130"/>
      <c r="AI280" s="130" t="s">
        <v>100</v>
      </c>
      <c r="AJ280" s="130"/>
      <c r="AK280" s="130"/>
      <c r="AL280" s="135" t="s">
        <v>489</v>
      </c>
      <c r="AM280" s="314"/>
      <c r="AN280" s="26"/>
      <c r="AO280" s="26"/>
      <c r="AP280" s="26"/>
      <c r="AQ280" s="26">
        <v>43279</v>
      </c>
      <c r="AR280" s="27"/>
      <c r="AS280" s="24"/>
      <c r="AT280" s="24">
        <v>43281</v>
      </c>
      <c r="AU280" s="418">
        <f t="shared" si="14"/>
        <v>6</v>
      </c>
      <c r="AV280" s="418">
        <f t="shared" si="15"/>
        <v>2018</v>
      </c>
      <c r="AW280" s="24"/>
      <c r="AX280" s="28"/>
      <c r="AY280" s="28" t="s">
        <v>269</v>
      </c>
      <c r="AZ280" s="132" t="s">
        <v>50</v>
      </c>
      <c r="BA280" s="132"/>
      <c r="BB280" s="24"/>
      <c r="BC280" s="135" t="s">
        <v>1403</v>
      </c>
      <c r="BD280" s="26">
        <v>43244</v>
      </c>
      <c r="BE280" s="135" t="s">
        <v>1384</v>
      </c>
      <c r="BF280" s="135" t="s">
        <v>1384</v>
      </c>
      <c r="BG280" s="135" t="s">
        <v>52</v>
      </c>
      <c r="BH280" s="135"/>
      <c r="BI280" s="314"/>
      <c r="BJ280" s="314"/>
      <c r="BK280" s="24"/>
      <c r="BL280" s="24"/>
      <c r="BM280" s="24"/>
      <c r="BN280" s="24"/>
      <c r="BO280" s="27"/>
      <c r="BP280" s="27"/>
      <c r="BQ280" s="27"/>
      <c r="BR280" s="228"/>
      <c r="BS280" s="27"/>
      <c r="BT280" s="27"/>
      <c r="BU280" s="27"/>
      <c r="BV280" s="132" t="e">
        <f>IF(#REF!="COMPLETO","OK","PENDIENTES")</f>
        <v>#REF!</v>
      </c>
      <c r="BW280" s="132"/>
      <c r="BX280" s="132"/>
      <c r="BY280" s="132"/>
      <c r="BZ280" s="132"/>
      <c r="CA280" s="132"/>
      <c r="CB280" s="132"/>
      <c r="CC280" s="22"/>
      <c r="CG280" s="24" t="s">
        <v>105</v>
      </c>
      <c r="CH280" s="24"/>
      <c r="CI280" s="24"/>
      <c r="CJ280" s="24"/>
    </row>
    <row r="281" spans="1:88" ht="15" customHeight="1">
      <c r="A281" s="18">
        <v>2018</v>
      </c>
      <c r="B281" s="18" t="str">
        <f>+INDEX(BDD!F:F,MATCH(P281,BDD!D:D,0))&amp;"-"&amp;INDEX(BDD!E:E,MATCH(P281,BDD!D:D,0))</f>
        <v>G-C</v>
      </c>
      <c r="C281" s="360" t="s">
        <v>484</v>
      </c>
      <c r="D281" s="150" t="s">
        <v>77</v>
      </c>
      <c r="E281" s="132"/>
      <c r="F281" s="24"/>
      <c r="G281" s="346"/>
      <c r="H281" s="25" t="s">
        <v>1404</v>
      </c>
      <c r="I281" s="329"/>
      <c r="J281" s="346"/>
      <c r="K281" s="24"/>
      <c r="L281" s="24"/>
      <c r="M281" s="24"/>
      <c r="N281" s="340"/>
      <c r="O281" s="334">
        <v>206573</v>
      </c>
      <c r="P281" s="25" t="s">
        <v>226</v>
      </c>
      <c r="Q281" s="127" t="s">
        <v>163</v>
      </c>
      <c r="R281" s="128" t="s">
        <v>544</v>
      </c>
      <c r="S281" s="24">
        <v>43195</v>
      </c>
      <c r="T281" s="36" t="s">
        <v>19</v>
      </c>
      <c r="U281" s="125"/>
      <c r="V281" s="222" t="s">
        <v>1405</v>
      </c>
      <c r="W281" s="151"/>
      <c r="X281" s="88">
        <v>43256</v>
      </c>
      <c r="Y281" s="130" t="s">
        <v>20</v>
      </c>
      <c r="Z281" s="133" t="s">
        <v>60</v>
      </c>
      <c r="AA281" s="133"/>
      <c r="AB281" s="148">
        <v>720</v>
      </c>
      <c r="AC281" s="134">
        <v>246</v>
      </c>
      <c r="AD281" s="134"/>
      <c r="AE281" s="403">
        <f t="shared" si="13"/>
        <v>177120</v>
      </c>
      <c r="AF281" s="132" t="str">
        <f>IF(W281=BDD!$P$1,IMPORTS!AB281/25,IF(W281=BDD!$P$2,IMPORTS!AB281/25,IF(IMPORTS!W281=BDD!$P$4,IMPORTS!AB281/25.5,"--")))</f>
        <v>--</v>
      </c>
      <c r="AG281" s="130" t="s">
        <v>46</v>
      </c>
      <c r="AH281" s="130"/>
      <c r="AI281" s="130" t="s">
        <v>100</v>
      </c>
      <c r="AJ281" s="130"/>
      <c r="AK281" s="130"/>
      <c r="AL281" s="135" t="s">
        <v>489</v>
      </c>
      <c r="AM281" s="314"/>
      <c r="AN281" s="26"/>
      <c r="AO281" s="26"/>
      <c r="AP281" s="26"/>
      <c r="AQ281" s="26">
        <v>43282</v>
      </c>
      <c r="AR281" s="27"/>
      <c r="AS281" s="24"/>
      <c r="AT281" s="24">
        <v>43283</v>
      </c>
      <c r="AU281" s="418">
        <f t="shared" si="14"/>
        <v>7</v>
      </c>
      <c r="AV281" s="418">
        <f t="shared" si="15"/>
        <v>2018</v>
      </c>
      <c r="AW281" s="24"/>
      <c r="AX281" s="28"/>
      <c r="AY281" s="28" t="s">
        <v>269</v>
      </c>
      <c r="AZ281" s="132" t="s">
        <v>62</v>
      </c>
      <c r="BA281" s="132"/>
      <c r="BB281" s="24"/>
      <c r="BC281" s="135" t="s">
        <v>1406</v>
      </c>
      <c r="BD281" s="26">
        <v>43244</v>
      </c>
      <c r="BE281" s="135" t="s">
        <v>1384</v>
      </c>
      <c r="BF281" s="135" t="s">
        <v>1384</v>
      </c>
      <c r="BG281" s="135" t="s">
        <v>52</v>
      </c>
      <c r="BH281" s="135"/>
      <c r="BI281" s="314"/>
      <c r="BJ281" s="314"/>
      <c r="BK281" s="24"/>
      <c r="BL281" s="24"/>
      <c r="BM281" s="24"/>
      <c r="BN281" s="24"/>
      <c r="BO281" s="27"/>
      <c r="BP281" s="27"/>
      <c r="BQ281" s="27"/>
      <c r="BR281" s="228"/>
      <c r="BS281" s="27"/>
      <c r="BT281" s="27"/>
      <c r="BU281" s="27"/>
      <c r="BV281" s="132" t="e">
        <f>IF(#REF!="COMPLETO","OK","PENDIENTES")</f>
        <v>#REF!</v>
      </c>
      <c r="BW281" s="132"/>
      <c r="BX281" s="132"/>
      <c r="BY281" s="132"/>
      <c r="BZ281" s="132"/>
      <c r="CA281" s="132"/>
      <c r="CB281" s="132"/>
      <c r="CC281" s="22"/>
      <c r="CG281" s="24" t="s">
        <v>105</v>
      </c>
      <c r="CH281" s="24"/>
      <c r="CI281" s="24"/>
      <c r="CJ281" s="24"/>
    </row>
    <row r="282" spans="1:88" ht="15" customHeight="1">
      <c r="A282" s="18">
        <v>2018</v>
      </c>
      <c r="B282" s="18" t="str">
        <f>+INDEX(BDD!F:F,MATCH(P282,BDD!D:D,0))&amp;"-"&amp;INDEX(BDD!E:E,MATCH(P282,BDD!D:D,0))</f>
        <v>S-S</v>
      </c>
      <c r="C282" s="360" t="s">
        <v>484</v>
      </c>
      <c r="D282" s="150" t="s">
        <v>77</v>
      </c>
      <c r="E282" s="132"/>
      <c r="F282" s="24"/>
      <c r="G282" s="346"/>
      <c r="H282" s="25" t="s">
        <v>1407</v>
      </c>
      <c r="I282" s="329"/>
      <c r="J282" s="346"/>
      <c r="K282" s="24"/>
      <c r="L282" s="24"/>
      <c r="M282" s="24"/>
      <c r="N282" s="340"/>
      <c r="O282" s="334">
        <v>206971</v>
      </c>
      <c r="P282" s="25" t="s">
        <v>340</v>
      </c>
      <c r="Q282" s="127" t="s">
        <v>213</v>
      </c>
      <c r="R282" s="128" t="s">
        <v>1355</v>
      </c>
      <c r="S282" s="26">
        <v>43172</v>
      </c>
      <c r="T282" s="36" t="s">
        <v>19</v>
      </c>
      <c r="U282" s="125"/>
      <c r="V282" s="155">
        <v>20180572</v>
      </c>
      <c r="W282" s="129"/>
      <c r="X282" s="88">
        <v>43248</v>
      </c>
      <c r="Y282" s="130" t="s">
        <v>20</v>
      </c>
      <c r="Z282" s="133" t="s">
        <v>72</v>
      </c>
      <c r="AA282" s="133"/>
      <c r="AB282" s="148">
        <v>1000</v>
      </c>
      <c r="AC282" s="134">
        <v>518</v>
      </c>
      <c r="AD282" s="134"/>
      <c r="AE282" s="403">
        <f t="shared" si="13"/>
        <v>518000</v>
      </c>
      <c r="AF282" s="132">
        <v>40</v>
      </c>
      <c r="AG282" s="130" t="s">
        <v>5</v>
      </c>
      <c r="AH282" s="130"/>
      <c r="AI282" s="130" t="s">
        <v>71</v>
      </c>
      <c r="AJ282" s="130"/>
      <c r="AK282" s="130"/>
      <c r="AL282" s="135" t="s">
        <v>1350</v>
      </c>
      <c r="AM282" s="314"/>
      <c r="AN282" s="26"/>
      <c r="AO282" s="26"/>
      <c r="AP282" s="26"/>
      <c r="AQ282" s="26">
        <v>43264</v>
      </c>
      <c r="AR282" s="24"/>
      <c r="AS282" s="24"/>
      <c r="AT282" s="26">
        <v>43270</v>
      </c>
      <c r="AU282" s="418">
        <f t="shared" si="14"/>
        <v>6</v>
      </c>
      <c r="AV282" s="418">
        <f t="shared" si="15"/>
        <v>2018</v>
      </c>
      <c r="AW282" s="26"/>
      <c r="AX282" s="28"/>
      <c r="AY282" s="28" t="s">
        <v>193</v>
      </c>
      <c r="AZ282" s="132" t="s">
        <v>9</v>
      </c>
      <c r="BA282" s="132"/>
      <c r="BB282" s="26"/>
      <c r="BC282" s="135" t="s">
        <v>1408</v>
      </c>
      <c r="BD282" s="24">
        <v>43218</v>
      </c>
      <c r="BE282" s="135" t="s">
        <v>1409</v>
      </c>
      <c r="BF282" s="135" t="s">
        <v>594</v>
      </c>
      <c r="BG282" s="135" t="s">
        <v>65</v>
      </c>
      <c r="BH282" s="135"/>
      <c r="BI282" s="314"/>
      <c r="BJ282" s="314"/>
      <c r="BK282" s="24"/>
      <c r="BL282" s="24"/>
      <c r="BM282" s="24"/>
      <c r="BN282" s="24"/>
      <c r="BO282" s="24">
        <f>+AQ282+14</f>
        <v>43278</v>
      </c>
      <c r="BP282" s="24"/>
      <c r="BQ282" s="24"/>
      <c r="BR282" s="43"/>
      <c r="BS282" s="24"/>
      <c r="BT282" s="24"/>
      <c r="BU282" s="24"/>
      <c r="BV282" s="132" t="e">
        <f>IF(#REF!="COMPLETO","OK","PENDIENTES")</f>
        <v>#REF!</v>
      </c>
      <c r="BW282" s="132"/>
      <c r="BX282" s="132"/>
      <c r="BY282" s="132"/>
      <c r="BZ282" s="132"/>
      <c r="CA282" s="132"/>
      <c r="CB282" s="132"/>
      <c r="CC282" s="22"/>
      <c r="CG282" s="24" t="s">
        <v>105</v>
      </c>
      <c r="CH282" s="24"/>
      <c r="CI282" s="26"/>
      <c r="CJ282" s="26"/>
    </row>
    <row r="283" spans="1:88" ht="15" customHeight="1">
      <c r="A283" s="18">
        <v>2018</v>
      </c>
      <c r="B283" s="18" t="str">
        <f>+INDEX(BDD!F:F,MATCH(P283,BDD!D:D,0))&amp;"-"&amp;INDEX(BDD!E:E,MATCH(P283,BDD!D:D,0))</f>
        <v>S-C</v>
      </c>
      <c r="C283" s="360" t="s">
        <v>484</v>
      </c>
      <c r="D283" s="150" t="s">
        <v>77</v>
      </c>
      <c r="E283" s="132"/>
      <c r="F283" s="24"/>
      <c r="G283" s="346">
        <v>8000000013</v>
      </c>
      <c r="H283" s="25" t="s">
        <v>1410</v>
      </c>
      <c r="I283" s="329"/>
      <c r="J283" s="346">
        <v>8000000013</v>
      </c>
      <c r="K283" s="24"/>
      <c r="L283" s="24"/>
      <c r="M283" s="24"/>
      <c r="N283" s="340" t="s">
        <v>486</v>
      </c>
      <c r="O283" s="334">
        <v>207580</v>
      </c>
      <c r="P283" s="25" t="s">
        <v>241</v>
      </c>
      <c r="Q283" s="127" t="s">
        <v>282</v>
      </c>
      <c r="R283" s="128" t="s">
        <v>1411</v>
      </c>
      <c r="S283" s="24">
        <v>43216</v>
      </c>
      <c r="T283" s="36">
        <v>120</v>
      </c>
      <c r="U283" s="125" t="s">
        <v>118</v>
      </c>
      <c r="V283" s="88" t="s">
        <v>1412</v>
      </c>
      <c r="W283" s="129"/>
      <c r="X283" s="88">
        <v>43383</v>
      </c>
      <c r="Y283" s="159" t="s">
        <v>20</v>
      </c>
      <c r="Z283" s="133" t="s">
        <v>60</v>
      </c>
      <c r="AA283" s="133"/>
      <c r="AB283" s="148">
        <v>144</v>
      </c>
      <c r="AC283" s="134">
        <v>800</v>
      </c>
      <c r="AD283" s="134"/>
      <c r="AE283" s="403">
        <f t="shared" si="13"/>
        <v>115200</v>
      </c>
      <c r="AF283" s="132">
        <v>6</v>
      </c>
      <c r="AG283" s="130" t="s">
        <v>5</v>
      </c>
      <c r="AH283" s="159"/>
      <c r="AI283" s="130" t="s">
        <v>34</v>
      </c>
      <c r="AJ283" s="130"/>
      <c r="AK283" s="130"/>
      <c r="AL283" s="135" t="s">
        <v>1413</v>
      </c>
      <c r="AM283" s="314"/>
      <c r="AN283" s="26"/>
      <c r="AO283" s="26"/>
      <c r="AP283" s="26"/>
      <c r="AQ283" s="26">
        <v>43276</v>
      </c>
      <c r="AR283" s="24"/>
      <c r="AS283" s="24"/>
      <c r="AT283" s="26">
        <v>43279</v>
      </c>
      <c r="AU283" s="418">
        <f t="shared" si="14"/>
        <v>6</v>
      </c>
      <c r="AV283" s="418">
        <f t="shared" si="15"/>
        <v>2018</v>
      </c>
      <c r="AW283" s="26"/>
      <c r="AX283" s="28"/>
      <c r="AY283" s="28" t="s">
        <v>181</v>
      </c>
      <c r="AZ283" s="132" t="s">
        <v>37</v>
      </c>
      <c r="BA283" s="132"/>
      <c r="BB283" s="26"/>
      <c r="BC283" s="132" t="s">
        <v>1414</v>
      </c>
      <c r="BD283" s="24">
        <v>43260</v>
      </c>
      <c r="BE283" s="135" t="s">
        <v>1415</v>
      </c>
      <c r="BF283" s="135" t="s">
        <v>814</v>
      </c>
      <c r="BG283" s="135" t="s">
        <v>29</v>
      </c>
      <c r="BH283" s="135"/>
      <c r="BI283" s="314"/>
      <c r="BJ283" s="314"/>
      <c r="BK283" s="24"/>
      <c r="BL283" s="24"/>
      <c r="BM283" s="24"/>
      <c r="BN283" s="24"/>
      <c r="BO283" s="24"/>
      <c r="BP283" s="24"/>
      <c r="BQ283" s="24"/>
      <c r="BR283" s="43"/>
      <c r="BS283" s="24"/>
      <c r="BT283" s="24"/>
      <c r="BU283" s="24"/>
      <c r="BV283" s="132" t="e">
        <f>IF(#REF!="COMPLETO","OK","PENDIENTES")</f>
        <v>#REF!</v>
      </c>
      <c r="BW283" s="132"/>
      <c r="BX283" s="132"/>
      <c r="BY283" s="132"/>
      <c r="BZ283" s="132"/>
      <c r="CA283" s="132"/>
      <c r="CB283" s="132"/>
      <c r="CC283" s="22"/>
      <c r="CG283" s="24" t="s">
        <v>105</v>
      </c>
      <c r="CH283" s="24"/>
      <c r="CI283" s="26"/>
      <c r="CJ283" s="26"/>
    </row>
    <row r="284" spans="1:88" ht="15" customHeight="1">
      <c r="A284" s="18">
        <v>2018</v>
      </c>
      <c r="B284" s="18" t="str">
        <f>+INDEX(BDD!F:F,MATCH(P284,BDD!D:D,0))&amp;"-"&amp;INDEX(BDD!E:E,MATCH(P284,BDD!D:D,0))</f>
        <v>S-C</v>
      </c>
      <c r="C284" s="360" t="s">
        <v>484</v>
      </c>
      <c r="D284" s="150" t="s">
        <v>77</v>
      </c>
      <c r="E284" s="132"/>
      <c r="F284" s="24"/>
      <c r="G284" s="346">
        <v>8000000014</v>
      </c>
      <c r="H284" s="25" t="s">
        <v>1416</v>
      </c>
      <c r="I284" s="329"/>
      <c r="J284" s="346">
        <v>8000000014</v>
      </c>
      <c r="K284" s="24"/>
      <c r="L284" s="24"/>
      <c r="M284" s="24"/>
      <c r="N284" s="340" t="s">
        <v>486</v>
      </c>
      <c r="O284" s="334">
        <v>207580</v>
      </c>
      <c r="P284" s="25" t="s">
        <v>241</v>
      </c>
      <c r="Q284" s="127" t="s">
        <v>282</v>
      </c>
      <c r="R284" s="128" t="s">
        <v>1417</v>
      </c>
      <c r="S284" s="24">
        <v>43216</v>
      </c>
      <c r="T284" s="36">
        <v>120</v>
      </c>
      <c r="U284" s="125" t="s">
        <v>118</v>
      </c>
      <c r="V284" s="88" t="s">
        <v>1418</v>
      </c>
      <c r="W284" s="129"/>
      <c r="X284" s="88">
        <f>+BD284+T284</f>
        <v>43392</v>
      </c>
      <c r="Y284" s="130" t="s">
        <v>20</v>
      </c>
      <c r="Z284" s="133" t="s">
        <v>60</v>
      </c>
      <c r="AA284" s="133"/>
      <c r="AB284" s="148">
        <v>144</v>
      </c>
      <c r="AC284" s="134">
        <v>805</v>
      </c>
      <c r="AD284" s="134"/>
      <c r="AE284" s="403">
        <f t="shared" si="13"/>
        <v>115920</v>
      </c>
      <c r="AF284" s="132">
        <v>6</v>
      </c>
      <c r="AG284" s="130" t="s">
        <v>5</v>
      </c>
      <c r="AH284" s="130"/>
      <c r="AI284" s="130" t="s">
        <v>34</v>
      </c>
      <c r="AJ284" s="130"/>
      <c r="AK284" s="130"/>
      <c r="AL284" s="135" t="s">
        <v>1413</v>
      </c>
      <c r="AM284" s="314"/>
      <c r="AN284" s="26"/>
      <c r="AO284" s="26"/>
      <c r="AP284" s="26"/>
      <c r="AQ284" s="26">
        <v>43303</v>
      </c>
      <c r="AR284" s="24"/>
      <c r="AS284" s="24"/>
      <c r="AT284" s="24">
        <v>43306</v>
      </c>
      <c r="AU284" s="418">
        <f t="shared" si="14"/>
        <v>7</v>
      </c>
      <c r="AV284" s="418">
        <f t="shared" si="15"/>
        <v>2018</v>
      </c>
      <c r="AW284" s="24"/>
      <c r="AX284" s="28"/>
      <c r="AY284" s="28" t="s">
        <v>181</v>
      </c>
      <c r="AZ284" s="132" t="s">
        <v>9</v>
      </c>
      <c r="BA284" s="132"/>
      <c r="BB284" s="24"/>
      <c r="BC284" s="135" t="s">
        <v>1419</v>
      </c>
      <c r="BD284" s="26">
        <v>43272</v>
      </c>
      <c r="BE284" s="135" t="s">
        <v>1415</v>
      </c>
      <c r="BF284" s="135" t="s">
        <v>932</v>
      </c>
      <c r="BG284" s="135" t="s">
        <v>29</v>
      </c>
      <c r="BH284" s="135"/>
      <c r="BI284" s="314"/>
      <c r="BJ284" s="314"/>
      <c r="BK284" s="24"/>
      <c r="BL284" s="24"/>
      <c r="BM284" s="24"/>
      <c r="BN284" s="24"/>
      <c r="BO284" s="24"/>
      <c r="BP284" s="24"/>
      <c r="BQ284" s="24"/>
      <c r="BR284" s="43"/>
      <c r="BS284" s="24"/>
      <c r="BT284" s="24"/>
      <c r="BU284" s="24"/>
      <c r="BV284" s="132" t="e">
        <f>IF(#REF!="COMPLETO","OK","PENDIENTES")</f>
        <v>#REF!</v>
      </c>
      <c r="BW284" s="132"/>
      <c r="BX284" s="132"/>
      <c r="BY284" s="132"/>
      <c r="BZ284" s="132"/>
      <c r="CA284" s="132"/>
      <c r="CB284" s="132"/>
      <c r="CC284" s="22"/>
      <c r="CG284" s="24" t="s">
        <v>105</v>
      </c>
      <c r="CH284" s="24"/>
      <c r="CI284" s="24"/>
      <c r="CJ284" s="24"/>
    </row>
    <row r="285" spans="1:88" ht="15" customHeight="1">
      <c r="A285" s="18">
        <v>2018</v>
      </c>
      <c r="B285" s="18" t="str">
        <f>+INDEX(BDD!F:F,MATCH(P285,BDD!D:D,0))&amp;"-"&amp;INDEX(BDD!E:E,MATCH(P285,BDD!D:D,0))</f>
        <v>S-C</v>
      </c>
      <c r="C285" s="360" t="s">
        <v>484</v>
      </c>
      <c r="D285" s="150" t="s">
        <v>77</v>
      </c>
      <c r="E285" s="132"/>
      <c r="F285" s="24"/>
      <c r="G285" s="346">
        <v>8000000172</v>
      </c>
      <c r="H285" s="25" t="s">
        <v>1420</v>
      </c>
      <c r="I285" s="329"/>
      <c r="J285" s="346">
        <v>8000000172</v>
      </c>
      <c r="K285" s="24"/>
      <c r="L285" s="24"/>
      <c r="M285" s="24"/>
      <c r="N285" s="340" t="s">
        <v>486</v>
      </c>
      <c r="O285" s="334">
        <v>207580</v>
      </c>
      <c r="P285" s="25" t="s">
        <v>241</v>
      </c>
      <c r="Q285" s="127" t="s">
        <v>213</v>
      </c>
      <c r="R285" s="128" t="s">
        <v>1421</v>
      </c>
      <c r="S285" s="24">
        <v>43231</v>
      </c>
      <c r="T285" s="36" t="s">
        <v>19</v>
      </c>
      <c r="U285" s="125"/>
      <c r="V285" s="88" t="s">
        <v>1422</v>
      </c>
      <c r="W285" s="129"/>
      <c r="X285" s="88">
        <v>43294</v>
      </c>
      <c r="Y285" s="130" t="s">
        <v>20</v>
      </c>
      <c r="Z285" s="133" t="s">
        <v>72</v>
      </c>
      <c r="AA285" s="133"/>
      <c r="AB285" s="158">
        <v>265</v>
      </c>
      <c r="AC285" s="134">
        <v>786</v>
      </c>
      <c r="AD285" s="134"/>
      <c r="AE285" s="403">
        <f t="shared" si="13"/>
        <v>208290</v>
      </c>
      <c r="AF285" s="221">
        <v>10</v>
      </c>
      <c r="AG285" s="130" t="s">
        <v>5</v>
      </c>
      <c r="AH285" s="130"/>
      <c r="AI285" s="229" t="s">
        <v>34</v>
      </c>
      <c r="AJ285" s="229"/>
      <c r="AK285" s="229"/>
      <c r="AL285" s="135" t="s">
        <v>1413</v>
      </c>
      <c r="AM285" s="314"/>
      <c r="AN285" s="26"/>
      <c r="AO285" s="26"/>
      <c r="AP285" s="26"/>
      <c r="AQ285" s="26">
        <v>43329</v>
      </c>
      <c r="AR285" s="24"/>
      <c r="AS285" s="24"/>
      <c r="AT285" s="26">
        <v>43332</v>
      </c>
      <c r="AU285" s="418">
        <f t="shared" si="14"/>
        <v>8</v>
      </c>
      <c r="AV285" s="418">
        <f t="shared" si="15"/>
        <v>2018</v>
      </c>
      <c r="AW285" s="26"/>
      <c r="AX285" s="28"/>
      <c r="AY285" s="28" t="s">
        <v>218</v>
      </c>
      <c r="AZ285" s="132" t="s">
        <v>37</v>
      </c>
      <c r="BA285" s="132"/>
      <c r="BB285" s="26"/>
      <c r="BC285" s="135" t="s">
        <v>1423</v>
      </c>
      <c r="BD285" s="24">
        <v>43277</v>
      </c>
      <c r="BE285" s="135" t="s">
        <v>1214</v>
      </c>
      <c r="BF285" s="135" t="s">
        <v>1424</v>
      </c>
      <c r="BG285" s="135" t="s">
        <v>65</v>
      </c>
      <c r="BH285" s="135"/>
      <c r="BI285" s="314"/>
      <c r="BJ285" s="314"/>
      <c r="BK285" s="24"/>
      <c r="BL285" s="24"/>
      <c r="BM285" s="24"/>
      <c r="BN285" s="24"/>
      <c r="BO285" s="24"/>
      <c r="BP285" s="24"/>
      <c r="BQ285" s="24"/>
      <c r="BR285" s="43"/>
      <c r="BS285" s="24"/>
      <c r="BT285" s="24"/>
      <c r="BU285" s="24"/>
      <c r="BV285" s="132" t="e">
        <f>IF(#REF!="COMPLETO","OK","PENDIENTES")</f>
        <v>#REF!</v>
      </c>
      <c r="BW285" s="132"/>
      <c r="BX285" s="132"/>
      <c r="BY285" s="132"/>
      <c r="BZ285" s="132"/>
      <c r="CA285" s="132"/>
      <c r="CB285" s="132"/>
      <c r="CC285" s="22"/>
      <c r="CG285" s="24" t="s">
        <v>105</v>
      </c>
      <c r="CH285" s="24"/>
      <c r="CI285" s="26"/>
      <c r="CJ285" s="26"/>
    </row>
    <row r="286" spans="1:88" ht="15" customHeight="1">
      <c r="A286" s="18">
        <v>2018</v>
      </c>
      <c r="B286" s="18" t="str">
        <f>+INDEX(BDD!F:F,MATCH(P286,BDD!D:D,0))&amp;"-"&amp;INDEX(BDD!E:E,MATCH(P286,BDD!D:D,0))</f>
        <v>S-C</v>
      </c>
      <c r="C286" s="360" t="s">
        <v>484</v>
      </c>
      <c r="D286" s="150" t="s">
        <v>77</v>
      </c>
      <c r="E286" s="132"/>
      <c r="F286" s="24"/>
      <c r="G286" s="346">
        <v>8000000173</v>
      </c>
      <c r="H286" s="25" t="s">
        <v>1425</v>
      </c>
      <c r="I286" s="329"/>
      <c r="J286" s="346">
        <v>8000000173</v>
      </c>
      <c r="K286" s="24"/>
      <c r="L286" s="24"/>
      <c r="M286" s="24"/>
      <c r="N286" s="340" t="s">
        <v>486</v>
      </c>
      <c r="O286" s="334">
        <v>207580</v>
      </c>
      <c r="P286" s="25" t="s">
        <v>241</v>
      </c>
      <c r="Q286" s="127" t="s">
        <v>213</v>
      </c>
      <c r="R286" s="128" t="s">
        <v>1426</v>
      </c>
      <c r="S286" s="24">
        <v>43231</v>
      </c>
      <c r="T286" s="36" t="s">
        <v>19</v>
      </c>
      <c r="U286" s="125"/>
      <c r="V286" s="88" t="s">
        <v>1427</v>
      </c>
      <c r="W286" s="129"/>
      <c r="X286" s="88">
        <v>43294</v>
      </c>
      <c r="Y286" s="130" t="s">
        <v>20</v>
      </c>
      <c r="Z286" s="133" t="s">
        <v>72</v>
      </c>
      <c r="AA286" s="133"/>
      <c r="AB286" s="158">
        <v>265</v>
      </c>
      <c r="AC286" s="134">
        <v>791</v>
      </c>
      <c r="AD286" s="134"/>
      <c r="AE286" s="403">
        <f t="shared" si="13"/>
        <v>209615</v>
      </c>
      <c r="AF286" s="221">
        <v>10</v>
      </c>
      <c r="AG286" s="130" t="s">
        <v>5</v>
      </c>
      <c r="AH286" s="130"/>
      <c r="AI286" s="229" t="s">
        <v>34</v>
      </c>
      <c r="AJ286" s="229"/>
      <c r="AK286" s="229"/>
      <c r="AL286" s="135" t="s">
        <v>1413</v>
      </c>
      <c r="AM286" s="314"/>
      <c r="AN286" s="26"/>
      <c r="AO286" s="26"/>
      <c r="AP286" s="26"/>
      <c r="AQ286" s="26">
        <v>43328</v>
      </c>
      <c r="AR286" s="24"/>
      <c r="AS286" s="24"/>
      <c r="AT286" s="26">
        <v>43332</v>
      </c>
      <c r="AU286" s="418">
        <f t="shared" si="14"/>
        <v>8</v>
      </c>
      <c r="AV286" s="418">
        <f t="shared" si="15"/>
        <v>2018</v>
      </c>
      <c r="AW286" s="26"/>
      <c r="AX286" s="28"/>
      <c r="AY286" s="28" t="s">
        <v>218</v>
      </c>
      <c r="AZ286" s="132" t="s">
        <v>9</v>
      </c>
      <c r="BA286" s="132"/>
      <c r="BB286" s="26"/>
      <c r="BC286" s="135" t="s">
        <v>1428</v>
      </c>
      <c r="BD286" s="24">
        <v>43288</v>
      </c>
      <c r="BE286" s="135" t="s">
        <v>1214</v>
      </c>
      <c r="BF286" s="135" t="s">
        <v>600</v>
      </c>
      <c r="BG286" s="135" t="s">
        <v>65</v>
      </c>
      <c r="BH286" s="135"/>
      <c r="BI286" s="314"/>
      <c r="BJ286" s="314"/>
      <c r="BK286" s="24"/>
      <c r="BL286" s="24"/>
      <c r="BM286" s="24"/>
      <c r="BN286" s="24"/>
      <c r="BO286" s="24">
        <f>+AQ286+14</f>
        <v>43342</v>
      </c>
      <c r="BP286" s="24"/>
      <c r="BQ286" s="24"/>
      <c r="BR286" s="43"/>
      <c r="BS286" s="24"/>
      <c r="BT286" s="24"/>
      <c r="BU286" s="24"/>
      <c r="BV286" s="132" t="e">
        <f>IF(#REF!="COMPLETO","OK","PENDIENTES")</f>
        <v>#REF!</v>
      </c>
      <c r="BW286" s="132"/>
      <c r="BX286" s="132"/>
      <c r="BY286" s="132"/>
      <c r="BZ286" s="132"/>
      <c r="CA286" s="132"/>
      <c r="CB286" s="132"/>
      <c r="CC286" s="22"/>
      <c r="CG286" s="24" t="s">
        <v>105</v>
      </c>
      <c r="CH286" s="24"/>
      <c r="CI286" s="26"/>
      <c r="CJ286" s="26"/>
    </row>
    <row r="287" spans="1:88" ht="15" customHeight="1">
      <c r="A287" s="18">
        <v>2018</v>
      </c>
      <c r="B287" s="18" t="str">
        <f>+INDEX(BDD!F:F,MATCH(P287,BDD!D:D,0))&amp;"-"&amp;INDEX(BDD!E:E,MATCH(P287,BDD!D:D,0))</f>
        <v>S-C</v>
      </c>
      <c r="C287" s="360" t="s">
        <v>484</v>
      </c>
      <c r="D287" s="150" t="s">
        <v>77</v>
      </c>
      <c r="E287" s="132"/>
      <c r="F287" s="24"/>
      <c r="G287" s="346">
        <v>8000000174</v>
      </c>
      <c r="H287" s="25" t="s">
        <v>1429</v>
      </c>
      <c r="I287" s="329"/>
      <c r="J287" s="346">
        <v>8000000174</v>
      </c>
      <c r="K287" s="24"/>
      <c r="L287" s="24"/>
      <c r="M287" s="24"/>
      <c r="N287" s="340" t="s">
        <v>486</v>
      </c>
      <c r="O287" s="334">
        <v>207580</v>
      </c>
      <c r="P287" s="25" t="s">
        <v>241</v>
      </c>
      <c r="Q287" s="127" t="s">
        <v>213</v>
      </c>
      <c r="R287" s="128" t="s">
        <v>1421</v>
      </c>
      <c r="S287" s="24">
        <v>43231</v>
      </c>
      <c r="T287" s="36" t="s">
        <v>19</v>
      </c>
      <c r="U287" s="125"/>
      <c r="V287" s="88" t="s">
        <v>1430</v>
      </c>
      <c r="W287" s="129"/>
      <c r="X287" s="88">
        <v>43301</v>
      </c>
      <c r="Y287" s="130" t="s">
        <v>20</v>
      </c>
      <c r="Z287" s="133" t="s">
        <v>72</v>
      </c>
      <c r="AA287" s="133"/>
      <c r="AB287" s="158">
        <v>291.5</v>
      </c>
      <c r="AC287" s="134">
        <v>786</v>
      </c>
      <c r="AD287" s="134"/>
      <c r="AE287" s="403">
        <f t="shared" si="13"/>
        <v>229119</v>
      </c>
      <c r="AF287" s="221">
        <v>11</v>
      </c>
      <c r="AG287" s="130" t="s">
        <v>5</v>
      </c>
      <c r="AH287" s="130"/>
      <c r="AI287" s="229" t="s">
        <v>34</v>
      </c>
      <c r="AJ287" s="229"/>
      <c r="AK287" s="229"/>
      <c r="AL287" s="135" t="s">
        <v>1431</v>
      </c>
      <c r="AM287" s="314"/>
      <c r="AN287" s="26"/>
      <c r="AO287" s="26"/>
      <c r="AP287" s="26"/>
      <c r="AQ287" s="26">
        <v>43331</v>
      </c>
      <c r="AR287" s="24"/>
      <c r="AS287" s="24"/>
      <c r="AT287" s="24">
        <v>43337</v>
      </c>
      <c r="AU287" s="418">
        <f t="shared" si="14"/>
        <v>8</v>
      </c>
      <c r="AV287" s="418">
        <f t="shared" si="15"/>
        <v>2018</v>
      </c>
      <c r="AW287" s="24"/>
      <c r="AX287" s="28"/>
      <c r="AY287" s="28" t="s">
        <v>218</v>
      </c>
      <c r="AZ287" s="132" t="s">
        <v>37</v>
      </c>
      <c r="BA287" s="132"/>
      <c r="BB287" s="24"/>
      <c r="BC287" s="135" t="s">
        <v>1432</v>
      </c>
      <c r="BD287" s="24">
        <v>43288</v>
      </c>
      <c r="BE287" s="135" t="s">
        <v>1214</v>
      </c>
      <c r="BF287" s="135" t="s">
        <v>1352</v>
      </c>
      <c r="BG287" s="135" t="s">
        <v>65</v>
      </c>
      <c r="BH287" s="135"/>
      <c r="BI287" s="314"/>
      <c r="BJ287" s="314"/>
      <c r="BK287" s="24"/>
      <c r="BL287" s="24"/>
      <c r="BM287" s="24"/>
      <c r="BN287" s="24"/>
      <c r="BO287" s="24"/>
      <c r="BP287" s="24"/>
      <c r="BQ287" s="24"/>
      <c r="BR287" s="43"/>
      <c r="BS287" s="24"/>
      <c r="BT287" s="24"/>
      <c r="BU287" s="24"/>
      <c r="BV287" s="132" t="e">
        <f>IF(#REF!="COMPLETO","OK","PENDIENTES")</f>
        <v>#REF!</v>
      </c>
      <c r="BW287" s="132"/>
      <c r="BX287" s="132"/>
      <c r="BY287" s="132"/>
      <c r="BZ287" s="132"/>
      <c r="CA287" s="132"/>
      <c r="CB287" s="132"/>
      <c r="CC287" s="22"/>
      <c r="CG287" s="24" t="s">
        <v>105</v>
      </c>
      <c r="CH287" s="24"/>
      <c r="CI287" s="24"/>
      <c r="CJ287" s="24"/>
    </row>
    <row r="288" spans="1:88" ht="16.5" customHeight="1">
      <c r="A288" s="18">
        <v>2018</v>
      </c>
      <c r="B288" s="18" t="str">
        <f>+INDEX(BDD!F:F,MATCH(P288,BDD!D:D,0))&amp;"-"&amp;INDEX(BDD!E:E,MATCH(P288,BDD!D:D,0))</f>
        <v>S-C</v>
      </c>
      <c r="C288" s="360" t="s">
        <v>484</v>
      </c>
      <c r="D288" s="150" t="s">
        <v>77</v>
      </c>
      <c r="E288" s="132"/>
      <c r="F288" s="24"/>
      <c r="G288" s="346">
        <v>8000000175</v>
      </c>
      <c r="H288" s="25" t="s">
        <v>1433</v>
      </c>
      <c r="I288" s="329"/>
      <c r="J288" s="346">
        <v>8000000175</v>
      </c>
      <c r="K288" s="24"/>
      <c r="L288" s="24"/>
      <c r="M288" s="24"/>
      <c r="N288" s="340" t="s">
        <v>486</v>
      </c>
      <c r="O288" s="334">
        <v>207580</v>
      </c>
      <c r="P288" s="25" t="s">
        <v>241</v>
      </c>
      <c r="Q288" s="127" t="s">
        <v>213</v>
      </c>
      <c r="R288" s="128" t="s">
        <v>1426</v>
      </c>
      <c r="S288" s="24">
        <v>43231</v>
      </c>
      <c r="T288" s="36" t="s">
        <v>19</v>
      </c>
      <c r="U288" s="125"/>
      <c r="V288" s="88" t="s">
        <v>1434</v>
      </c>
      <c r="W288" s="129"/>
      <c r="X288" s="88">
        <v>43307</v>
      </c>
      <c r="Y288" s="130" t="s">
        <v>20</v>
      </c>
      <c r="Z288" s="133" t="s">
        <v>72</v>
      </c>
      <c r="AA288" s="133"/>
      <c r="AB288" s="158">
        <v>265</v>
      </c>
      <c r="AC288" s="134">
        <v>791</v>
      </c>
      <c r="AD288" s="134"/>
      <c r="AE288" s="403">
        <f t="shared" si="13"/>
        <v>209615</v>
      </c>
      <c r="AF288" s="221">
        <v>10</v>
      </c>
      <c r="AG288" s="130" t="s">
        <v>5</v>
      </c>
      <c r="AH288" s="130"/>
      <c r="AI288" s="229" t="s">
        <v>34</v>
      </c>
      <c r="AJ288" s="229"/>
      <c r="AK288" s="229"/>
      <c r="AL288" s="135" t="s">
        <v>1431</v>
      </c>
      <c r="AM288" s="314"/>
      <c r="AN288" s="26"/>
      <c r="AO288" s="26"/>
      <c r="AP288" s="26"/>
      <c r="AQ288" s="26">
        <v>43335</v>
      </c>
      <c r="AR288" s="24"/>
      <c r="AS288" s="24"/>
      <c r="AT288" s="24">
        <v>43339</v>
      </c>
      <c r="AU288" s="418">
        <f t="shared" si="14"/>
        <v>8</v>
      </c>
      <c r="AV288" s="418">
        <f t="shared" si="15"/>
        <v>2018</v>
      </c>
      <c r="AW288" s="24"/>
      <c r="AX288" s="28"/>
      <c r="AY288" s="28" t="s">
        <v>218</v>
      </c>
      <c r="AZ288" s="132" t="s">
        <v>9</v>
      </c>
      <c r="BA288" s="132"/>
      <c r="BB288" s="24"/>
      <c r="BC288" s="135" t="s">
        <v>1435</v>
      </c>
      <c r="BD288" s="24">
        <v>43294</v>
      </c>
      <c r="BE288" s="135" t="s">
        <v>1214</v>
      </c>
      <c r="BF288" s="135" t="s">
        <v>594</v>
      </c>
      <c r="BG288" s="135" t="s">
        <v>65</v>
      </c>
      <c r="BH288" s="135"/>
      <c r="BI288" s="314"/>
      <c r="BJ288" s="314"/>
      <c r="BK288" s="24"/>
      <c r="BL288" s="24"/>
      <c r="BM288" s="24"/>
      <c r="BN288" s="24"/>
      <c r="BO288" s="24">
        <f>+AQ288+15</f>
        <v>43350</v>
      </c>
      <c r="BP288" s="24"/>
      <c r="BQ288" s="24"/>
      <c r="BR288" s="43"/>
      <c r="BS288" s="24"/>
      <c r="BT288" s="24"/>
      <c r="BU288" s="24"/>
      <c r="BV288" s="132" t="e">
        <f>IF(#REF!="COMPLETO","OK","PENDIENTES")</f>
        <v>#REF!</v>
      </c>
      <c r="BW288" s="132"/>
      <c r="BX288" s="132"/>
      <c r="BY288" s="132"/>
      <c r="BZ288" s="132"/>
      <c r="CA288" s="132"/>
      <c r="CB288" s="132"/>
      <c r="CC288" s="22"/>
      <c r="CG288" s="24" t="s">
        <v>105</v>
      </c>
      <c r="CH288" s="24"/>
      <c r="CI288" s="24"/>
      <c r="CJ288" s="24"/>
    </row>
    <row r="289" spans="1:88" ht="15" customHeight="1">
      <c r="A289" s="18">
        <v>2018</v>
      </c>
      <c r="B289" s="18" t="str">
        <f>+INDEX(BDD!F:F,MATCH(P289,BDD!D:D,0))&amp;"-"&amp;INDEX(BDD!E:E,MATCH(P289,BDD!D:D,0))</f>
        <v>S-P</v>
      </c>
      <c r="C289" s="360" t="s">
        <v>484</v>
      </c>
      <c r="D289" s="150" t="s">
        <v>77</v>
      </c>
      <c r="E289" s="132"/>
      <c r="F289" s="24"/>
      <c r="G289" s="346">
        <v>8000000169</v>
      </c>
      <c r="H289" s="25" t="s">
        <v>1436</v>
      </c>
      <c r="I289" s="329"/>
      <c r="J289" s="346">
        <v>8000000169</v>
      </c>
      <c r="K289" s="24"/>
      <c r="L289" s="24"/>
      <c r="M289" s="24"/>
      <c r="N289" s="340" t="s">
        <v>486</v>
      </c>
      <c r="O289" s="334">
        <v>207498</v>
      </c>
      <c r="P289" s="25" t="s">
        <v>343</v>
      </c>
      <c r="Q289" s="127" t="s">
        <v>306</v>
      </c>
      <c r="R289" s="128" t="s">
        <v>1437</v>
      </c>
      <c r="S289" s="24">
        <v>43213</v>
      </c>
      <c r="T289" s="36" t="s">
        <v>19</v>
      </c>
      <c r="U289" s="125"/>
      <c r="V289" s="155">
        <v>22139</v>
      </c>
      <c r="W289" s="129"/>
      <c r="X289" s="88">
        <v>43291</v>
      </c>
      <c r="Y289" s="130" t="s">
        <v>20</v>
      </c>
      <c r="Z289" s="133" t="s">
        <v>60</v>
      </c>
      <c r="AA289" s="133"/>
      <c r="AB289" s="211">
        <v>243</v>
      </c>
      <c r="AC289" s="134">
        <v>808</v>
      </c>
      <c r="AD289" s="134"/>
      <c r="AE289" s="403">
        <f t="shared" si="13"/>
        <v>196344</v>
      </c>
      <c r="AF289" s="132">
        <v>9</v>
      </c>
      <c r="AG289" s="130" t="s">
        <v>5</v>
      </c>
      <c r="AH289" s="130"/>
      <c r="AI289" s="130" t="s">
        <v>34</v>
      </c>
      <c r="AJ289" s="159"/>
      <c r="AK289" s="159"/>
      <c r="AL289" s="135" t="s">
        <v>489</v>
      </c>
      <c r="AM289" s="314"/>
      <c r="AN289" s="26"/>
      <c r="AO289" s="26"/>
      <c r="AP289" s="26"/>
      <c r="AQ289" s="26">
        <v>43316</v>
      </c>
      <c r="AR289" s="24"/>
      <c r="AS289" s="24"/>
      <c r="AT289" s="24">
        <v>43319</v>
      </c>
      <c r="AU289" s="418">
        <f t="shared" si="14"/>
        <v>8</v>
      </c>
      <c r="AV289" s="418">
        <f t="shared" si="15"/>
        <v>2018</v>
      </c>
      <c r="AW289" s="24"/>
      <c r="AX289" s="28"/>
      <c r="AY289" s="28" t="s">
        <v>173</v>
      </c>
      <c r="AZ289" s="132" t="s">
        <v>37</v>
      </c>
      <c r="BA289" s="132"/>
      <c r="BB289" s="24"/>
      <c r="BC289" s="135" t="s">
        <v>1438</v>
      </c>
      <c r="BD289" s="26">
        <v>43276</v>
      </c>
      <c r="BE289" s="135" t="s">
        <v>1439</v>
      </c>
      <c r="BF289" s="135" t="s">
        <v>1440</v>
      </c>
      <c r="BG289" s="135" t="s">
        <v>14</v>
      </c>
      <c r="BH289" s="135"/>
      <c r="BI289" s="314"/>
      <c r="BJ289" s="314"/>
      <c r="BK289" s="24"/>
      <c r="BL289" s="24"/>
      <c r="BM289" s="24"/>
      <c r="BN289" s="24"/>
      <c r="BO289" s="24"/>
      <c r="BP289" s="24"/>
      <c r="BQ289" s="24"/>
      <c r="BR289" s="43"/>
      <c r="BS289" s="24"/>
      <c r="BT289" s="24"/>
      <c r="BU289" s="24"/>
      <c r="BV289" s="132" t="e">
        <f>IF(#REF!="COMPLETO","OK","PENDIENTES")</f>
        <v>#REF!</v>
      </c>
      <c r="BW289" s="132"/>
      <c r="BX289" s="132"/>
      <c r="BY289" s="132"/>
      <c r="BZ289" s="132"/>
      <c r="CA289" s="132"/>
      <c r="CB289" s="132"/>
      <c r="CC289" s="22"/>
      <c r="CG289" s="24" t="s">
        <v>105</v>
      </c>
      <c r="CH289" s="24"/>
      <c r="CI289" s="24"/>
      <c r="CJ289" s="24"/>
    </row>
    <row r="290" spans="1:88" ht="16.5" customHeight="1">
      <c r="A290" s="18">
        <v>2018</v>
      </c>
      <c r="B290" s="18" t="str">
        <f>+INDEX(BDD!F:F,MATCH(P290,BDD!D:D,0))&amp;"-"&amp;INDEX(BDD!E:E,MATCH(P290,BDD!D:D,0))</f>
        <v>S-P</v>
      </c>
      <c r="C290" s="360" t="s">
        <v>484</v>
      </c>
      <c r="D290" s="150" t="s">
        <v>77</v>
      </c>
      <c r="E290" s="132"/>
      <c r="F290" s="24"/>
      <c r="G290" s="346"/>
      <c r="H290" s="25" t="s">
        <v>1441</v>
      </c>
      <c r="I290" s="329"/>
      <c r="J290" s="346"/>
      <c r="K290" s="24"/>
      <c r="L290" s="24"/>
      <c r="M290" s="24"/>
      <c r="N290" s="340"/>
      <c r="O290" s="334">
        <v>207498</v>
      </c>
      <c r="P290" s="25" t="s">
        <v>343</v>
      </c>
      <c r="Q290" s="127" t="s">
        <v>306</v>
      </c>
      <c r="R290" s="128" t="s">
        <v>1442</v>
      </c>
      <c r="S290" s="24">
        <v>43213</v>
      </c>
      <c r="T290" s="36" t="s">
        <v>19</v>
      </c>
      <c r="U290" s="125"/>
      <c r="V290" s="155">
        <v>22071</v>
      </c>
      <c r="W290" s="129"/>
      <c r="X290" s="88">
        <v>43277</v>
      </c>
      <c r="Y290" s="130" t="s">
        <v>20</v>
      </c>
      <c r="Z290" s="133" t="s">
        <v>60</v>
      </c>
      <c r="AA290" s="133"/>
      <c r="AB290" s="148">
        <v>152</v>
      </c>
      <c r="AC290" s="134">
        <v>814</v>
      </c>
      <c r="AD290" s="134"/>
      <c r="AE290" s="403">
        <f t="shared" si="13"/>
        <v>123728</v>
      </c>
      <c r="AF290" s="132">
        <v>6</v>
      </c>
      <c r="AG290" s="130" t="s">
        <v>5</v>
      </c>
      <c r="AH290" s="130"/>
      <c r="AI290" s="130" t="s">
        <v>34</v>
      </c>
      <c r="AJ290" s="130"/>
      <c r="AK290" s="130"/>
      <c r="AL290" s="135" t="s">
        <v>489</v>
      </c>
      <c r="AM290" s="314"/>
      <c r="AN290" s="26"/>
      <c r="AO290" s="26"/>
      <c r="AP290" s="26"/>
      <c r="AQ290" s="26">
        <v>43308</v>
      </c>
      <c r="AR290" s="24"/>
      <c r="AS290" s="24"/>
      <c r="AT290" s="26">
        <v>43312</v>
      </c>
      <c r="AU290" s="418">
        <f t="shared" si="14"/>
        <v>7</v>
      </c>
      <c r="AV290" s="418">
        <f t="shared" si="15"/>
        <v>2018</v>
      </c>
      <c r="AW290" s="26"/>
      <c r="AX290" s="28"/>
      <c r="AY290" s="28" t="s">
        <v>173</v>
      </c>
      <c r="AZ290" s="132" t="s">
        <v>9</v>
      </c>
      <c r="BA290" s="132"/>
      <c r="BB290" s="26"/>
      <c r="BC290" s="135" t="s">
        <v>1443</v>
      </c>
      <c r="BD290" s="24">
        <v>43264</v>
      </c>
      <c r="BE290" s="135" t="s">
        <v>1444</v>
      </c>
      <c r="BF290" s="135" t="s">
        <v>1445</v>
      </c>
      <c r="BG290" s="135" t="s">
        <v>14</v>
      </c>
      <c r="BH290" s="135"/>
      <c r="BI290" s="314"/>
      <c r="BJ290" s="314"/>
      <c r="BK290" s="24"/>
      <c r="BL290" s="24"/>
      <c r="BM290" s="24"/>
      <c r="BN290" s="24"/>
      <c r="BO290" s="24">
        <f>+AQ290+14</f>
        <v>43322</v>
      </c>
      <c r="BP290" s="24"/>
      <c r="BQ290" s="24"/>
      <c r="BR290" s="43"/>
      <c r="BS290" s="24"/>
      <c r="BT290" s="24"/>
      <c r="BU290" s="24"/>
      <c r="BV290" s="132" t="e">
        <f>IF(#REF!="COMPLETO","OK","PENDIENTES")</f>
        <v>#REF!</v>
      </c>
      <c r="BW290" s="132"/>
      <c r="BX290" s="132"/>
      <c r="BY290" s="132"/>
      <c r="BZ290" s="132"/>
      <c r="CA290" s="132"/>
      <c r="CB290" s="132"/>
      <c r="CC290" s="22"/>
      <c r="CG290" s="24" t="s">
        <v>105</v>
      </c>
      <c r="CH290" s="24"/>
      <c r="CI290" s="26"/>
      <c r="CJ290" s="26"/>
    </row>
    <row r="291" spans="1:88" ht="13.5" customHeight="1">
      <c r="A291" s="18">
        <v>2018</v>
      </c>
      <c r="B291" s="18" t="str">
        <f>+INDEX(BDD!F:F,MATCH(P291,BDD!D:D,0))&amp;"-"&amp;INDEX(BDD!E:E,MATCH(P291,BDD!D:D,0))</f>
        <v>S-P</v>
      </c>
      <c r="C291" s="360" t="s">
        <v>484</v>
      </c>
      <c r="D291" s="150" t="s">
        <v>77</v>
      </c>
      <c r="E291" s="132"/>
      <c r="F291" s="24"/>
      <c r="G291" s="346"/>
      <c r="H291" s="25" t="s">
        <v>1446</v>
      </c>
      <c r="I291" s="329"/>
      <c r="J291" s="346"/>
      <c r="K291" s="24"/>
      <c r="L291" s="24"/>
      <c r="M291" s="24"/>
      <c r="N291" s="340"/>
      <c r="O291" s="334">
        <v>208510</v>
      </c>
      <c r="P291" s="25" t="s">
        <v>2</v>
      </c>
      <c r="Q291" s="127" t="s">
        <v>306</v>
      </c>
      <c r="R291" s="128" t="s">
        <v>1447</v>
      </c>
      <c r="S291" s="24">
        <v>43213</v>
      </c>
      <c r="T291" s="36" t="s">
        <v>19</v>
      </c>
      <c r="U291" s="125"/>
      <c r="V291" s="155">
        <v>21669</v>
      </c>
      <c r="W291" s="129"/>
      <c r="X291" s="88">
        <v>43257</v>
      </c>
      <c r="Y291" s="130" t="s">
        <v>20</v>
      </c>
      <c r="Z291" s="133" t="s">
        <v>60</v>
      </c>
      <c r="AA291" s="133"/>
      <c r="AB291" s="148">
        <v>425.6</v>
      </c>
      <c r="AC291" s="134">
        <v>908</v>
      </c>
      <c r="AD291" s="134"/>
      <c r="AE291" s="403">
        <f t="shared" si="13"/>
        <v>386444.80000000005</v>
      </c>
      <c r="AF291" s="132">
        <v>16</v>
      </c>
      <c r="AG291" s="130" t="s">
        <v>5</v>
      </c>
      <c r="AH291" s="130"/>
      <c r="AI291" s="130" t="s">
        <v>80</v>
      </c>
      <c r="AJ291" s="130"/>
      <c r="AK291" s="130"/>
      <c r="AL291" s="135" t="s">
        <v>489</v>
      </c>
      <c r="AM291" s="314"/>
      <c r="AN291" s="26"/>
      <c r="AO291" s="26"/>
      <c r="AP291" s="26"/>
      <c r="AQ291" s="26">
        <v>43281</v>
      </c>
      <c r="AR291" s="24"/>
      <c r="AS291" s="24"/>
      <c r="AT291" s="26">
        <v>43283</v>
      </c>
      <c r="AU291" s="418">
        <f t="shared" si="14"/>
        <v>7</v>
      </c>
      <c r="AV291" s="418">
        <f t="shared" si="15"/>
        <v>2018</v>
      </c>
      <c r="AW291" s="26"/>
      <c r="AX291" s="28"/>
      <c r="AY291" s="28" t="s">
        <v>149</v>
      </c>
      <c r="AZ291" s="132" t="s">
        <v>37</v>
      </c>
      <c r="BA291" s="132"/>
      <c r="BB291" s="26"/>
      <c r="BC291" s="135" t="s">
        <v>1448</v>
      </c>
      <c r="BD291" s="24">
        <v>43238</v>
      </c>
      <c r="BE291" s="135" t="s">
        <v>861</v>
      </c>
      <c r="BF291" s="135" t="s">
        <v>1449</v>
      </c>
      <c r="BG291" s="135" t="s">
        <v>178</v>
      </c>
      <c r="BH291" s="135"/>
      <c r="BI291" s="314"/>
      <c r="BJ291" s="314"/>
      <c r="BK291" s="24"/>
      <c r="BL291" s="24"/>
      <c r="BM291" s="24"/>
      <c r="BN291" s="24"/>
      <c r="BO291" s="24"/>
      <c r="BP291" s="24"/>
      <c r="BQ291" s="24"/>
      <c r="BR291" s="43"/>
      <c r="BS291" s="24"/>
      <c r="BT291" s="24"/>
      <c r="BU291" s="24"/>
      <c r="BV291" s="132" t="e">
        <f>IF(#REF!="COMPLETO","OK","PENDIENTES")</f>
        <v>#REF!</v>
      </c>
      <c r="BW291" s="132"/>
      <c r="BX291" s="132"/>
      <c r="BY291" s="132"/>
      <c r="BZ291" s="132"/>
      <c r="CA291" s="132"/>
      <c r="CB291" s="132"/>
      <c r="CC291" s="22"/>
      <c r="CG291" s="24" t="s">
        <v>105</v>
      </c>
      <c r="CH291" s="24"/>
      <c r="CI291" s="26"/>
      <c r="CJ291" s="26"/>
    </row>
    <row r="292" spans="1:88" ht="15.75" customHeight="1">
      <c r="A292" s="18">
        <v>2018</v>
      </c>
      <c r="B292" s="18" t="str">
        <f>+INDEX(BDD!F:F,MATCH(P292,BDD!D:D,0))&amp;"-"&amp;INDEX(BDD!E:E,MATCH(P292,BDD!D:D,0))</f>
        <v>S-P</v>
      </c>
      <c r="C292" s="360" t="s">
        <v>484</v>
      </c>
      <c r="D292" s="150" t="s">
        <v>77</v>
      </c>
      <c r="E292" s="132"/>
      <c r="F292" s="24"/>
      <c r="G292" s="346"/>
      <c r="H292" s="25" t="s">
        <v>1450</v>
      </c>
      <c r="I292" s="329"/>
      <c r="J292" s="346"/>
      <c r="K292" s="24"/>
      <c r="L292" s="24"/>
      <c r="M292" s="24"/>
      <c r="N292" s="340"/>
      <c r="O292" s="334">
        <v>208510</v>
      </c>
      <c r="P292" s="25" t="s">
        <v>2</v>
      </c>
      <c r="Q292" s="127" t="s">
        <v>306</v>
      </c>
      <c r="R292" s="128" t="s">
        <v>1451</v>
      </c>
      <c r="S292" s="24">
        <v>43213</v>
      </c>
      <c r="T292" s="36" t="s">
        <v>19</v>
      </c>
      <c r="U292" s="125"/>
      <c r="V292" s="155">
        <v>21591</v>
      </c>
      <c r="W292" s="129"/>
      <c r="X292" s="88">
        <v>43257</v>
      </c>
      <c r="Y292" s="130" t="s">
        <v>20</v>
      </c>
      <c r="Z292" s="133" t="s">
        <v>60</v>
      </c>
      <c r="AA292" s="133"/>
      <c r="AB292" s="148">
        <v>425.6</v>
      </c>
      <c r="AC292" s="134">
        <v>912</v>
      </c>
      <c r="AD292" s="134"/>
      <c r="AE292" s="403">
        <f t="shared" si="13"/>
        <v>388147.20000000001</v>
      </c>
      <c r="AF292" s="132">
        <v>16</v>
      </c>
      <c r="AG292" s="130" t="s">
        <v>5</v>
      </c>
      <c r="AH292" s="130"/>
      <c r="AI292" s="130" t="s">
        <v>80</v>
      </c>
      <c r="AJ292" s="130"/>
      <c r="AK292" s="130"/>
      <c r="AL292" s="135" t="s">
        <v>489</v>
      </c>
      <c r="AM292" s="314"/>
      <c r="AN292" s="26"/>
      <c r="AO292" s="26"/>
      <c r="AP292" s="26"/>
      <c r="AQ292" s="26">
        <v>43277</v>
      </c>
      <c r="AR292" s="24"/>
      <c r="AS292" s="24"/>
      <c r="AT292" s="26">
        <v>43284</v>
      </c>
      <c r="AU292" s="418">
        <f t="shared" si="14"/>
        <v>7</v>
      </c>
      <c r="AV292" s="418">
        <f t="shared" si="15"/>
        <v>2018</v>
      </c>
      <c r="AW292" s="26"/>
      <c r="AX292" s="28"/>
      <c r="AY292" s="28" t="s">
        <v>149</v>
      </c>
      <c r="AZ292" s="132" t="s">
        <v>9</v>
      </c>
      <c r="BA292" s="132"/>
      <c r="BB292" s="26"/>
      <c r="BC292" s="135" t="s">
        <v>1452</v>
      </c>
      <c r="BD292" s="24">
        <v>43230</v>
      </c>
      <c r="BE292" s="135" t="s">
        <v>861</v>
      </c>
      <c r="BF292" s="135" t="s">
        <v>790</v>
      </c>
      <c r="BG292" s="135" t="s">
        <v>65</v>
      </c>
      <c r="BH292" s="135"/>
      <c r="BI292" s="314"/>
      <c r="BJ292" s="314"/>
      <c r="BK292" s="24"/>
      <c r="BL292" s="24"/>
      <c r="BM292" s="24"/>
      <c r="BN292" s="24"/>
      <c r="BO292" s="24">
        <v>43290</v>
      </c>
      <c r="BP292" s="24"/>
      <c r="BQ292" s="24"/>
      <c r="BR292" s="43"/>
      <c r="BS292" s="24"/>
      <c r="BT292" s="24"/>
      <c r="BU292" s="24"/>
      <c r="BV292" s="132" t="e">
        <f>IF(#REF!="COMPLETO","OK","PENDIENTES")</f>
        <v>#REF!</v>
      </c>
      <c r="BW292" s="132"/>
      <c r="BX292" s="132"/>
      <c r="BY292" s="132"/>
      <c r="BZ292" s="132"/>
      <c r="CA292" s="132"/>
      <c r="CB292" s="132"/>
      <c r="CC292" s="22"/>
      <c r="CG292" s="24" t="s">
        <v>105</v>
      </c>
      <c r="CH292" s="24"/>
      <c r="CI292" s="26"/>
      <c r="CJ292" s="26"/>
    </row>
    <row r="293" spans="1:88" ht="15.75" customHeight="1">
      <c r="A293" s="18">
        <v>2018</v>
      </c>
      <c r="B293" s="18" t="str">
        <f>+INDEX(BDD!F:F,MATCH(P293,BDD!D:D,0))&amp;"-"&amp;INDEX(BDD!E:E,MATCH(P293,BDD!D:D,0))</f>
        <v>G-S</v>
      </c>
      <c r="C293" s="360" t="s">
        <v>484</v>
      </c>
      <c r="D293" s="150" t="s">
        <v>77</v>
      </c>
      <c r="E293" s="132"/>
      <c r="F293" s="24"/>
      <c r="G293" s="346">
        <v>8000000015</v>
      </c>
      <c r="H293" s="25" t="s">
        <v>1453</v>
      </c>
      <c r="I293" s="329"/>
      <c r="J293" s="346">
        <v>8000000015</v>
      </c>
      <c r="K293" s="24"/>
      <c r="L293" s="24"/>
      <c r="M293" s="24"/>
      <c r="N293" s="340" t="s">
        <v>486</v>
      </c>
      <c r="O293" s="334">
        <v>209979</v>
      </c>
      <c r="P293" s="25" t="s">
        <v>339</v>
      </c>
      <c r="Q293" s="127" t="s">
        <v>207</v>
      </c>
      <c r="R293" s="128">
        <v>4000682110</v>
      </c>
      <c r="S293" s="24">
        <v>43213</v>
      </c>
      <c r="T293" s="36" t="s">
        <v>19</v>
      </c>
      <c r="U293" s="125"/>
      <c r="V293" s="155">
        <v>4200597824</v>
      </c>
      <c r="W293" s="129"/>
      <c r="X293" s="88">
        <v>43259</v>
      </c>
      <c r="Y293" s="130" t="s">
        <v>20</v>
      </c>
      <c r="Z293" s="133" t="s">
        <v>72</v>
      </c>
      <c r="AA293" s="133"/>
      <c r="AB293" s="148">
        <v>588.10599999999999</v>
      </c>
      <c r="AC293" s="134">
        <v>525</v>
      </c>
      <c r="AD293" s="134"/>
      <c r="AE293" s="403">
        <f t="shared" si="13"/>
        <v>308755.65000000002</v>
      </c>
      <c r="AF293" s="132">
        <v>21</v>
      </c>
      <c r="AG293" s="130" t="s">
        <v>5</v>
      </c>
      <c r="AH293" s="130"/>
      <c r="AI293" s="130" t="s">
        <v>100</v>
      </c>
      <c r="AJ293" s="130"/>
      <c r="AK293" s="130"/>
      <c r="AL293" s="135" t="s">
        <v>489</v>
      </c>
      <c r="AM293" s="314"/>
      <c r="AN293" s="26"/>
      <c r="AO293" s="26"/>
      <c r="AP293" s="26"/>
      <c r="AQ293" s="26">
        <v>43276</v>
      </c>
      <c r="AR293" s="27"/>
      <c r="AS293" s="24"/>
      <c r="AT293" s="26">
        <v>43279</v>
      </c>
      <c r="AU293" s="418">
        <f t="shared" si="14"/>
        <v>6</v>
      </c>
      <c r="AV293" s="418">
        <f t="shared" si="15"/>
        <v>2018</v>
      </c>
      <c r="AW293" s="26"/>
      <c r="AX293" s="28"/>
      <c r="AY293" s="28" t="s">
        <v>162</v>
      </c>
      <c r="AZ293" s="132" t="s">
        <v>9</v>
      </c>
      <c r="BA293" s="132"/>
      <c r="BB293" s="26"/>
      <c r="BC293" s="135" t="s">
        <v>1454</v>
      </c>
      <c r="BD293" s="24">
        <v>43248</v>
      </c>
      <c r="BE293" s="135" t="s">
        <v>756</v>
      </c>
      <c r="BF293" s="135" t="s">
        <v>932</v>
      </c>
      <c r="BG293" s="135" t="s">
        <v>41</v>
      </c>
      <c r="BH293" s="135"/>
      <c r="BI293" s="314"/>
      <c r="BJ293" s="314"/>
      <c r="BK293" s="24"/>
      <c r="BL293" s="24"/>
      <c r="BM293" s="24"/>
      <c r="BN293" s="24"/>
      <c r="BO293" s="27">
        <v>43295</v>
      </c>
      <c r="BP293" s="27"/>
      <c r="BQ293" s="27"/>
      <c r="BR293" s="228"/>
      <c r="BS293" s="27"/>
      <c r="BT293" s="27"/>
      <c r="BU293" s="27"/>
      <c r="BV293" s="132" t="e">
        <f>IF(#REF!="COMPLETO","OK","PENDIENTES")</f>
        <v>#REF!</v>
      </c>
      <c r="BW293" s="132"/>
      <c r="BX293" s="132"/>
      <c r="BY293" s="132"/>
      <c r="BZ293" s="132"/>
      <c r="CA293" s="132"/>
      <c r="CB293" s="132"/>
      <c r="CC293" s="22"/>
      <c r="CG293" s="24" t="s">
        <v>105</v>
      </c>
      <c r="CH293" s="24"/>
      <c r="CI293" s="26"/>
      <c r="CJ293" s="26"/>
    </row>
    <row r="294" spans="1:88" ht="15" customHeight="1">
      <c r="A294" s="18">
        <v>2018</v>
      </c>
      <c r="B294" s="18" t="str">
        <f>+INDEX(BDD!F:F,MATCH(P294,BDD!D:D,0))&amp;"-"&amp;INDEX(BDD!E:E,MATCH(P294,BDD!D:D,0))</f>
        <v>S-S</v>
      </c>
      <c r="C294" s="360" t="s">
        <v>484</v>
      </c>
      <c r="D294" s="150" t="s">
        <v>77</v>
      </c>
      <c r="E294" s="132"/>
      <c r="F294" s="24"/>
      <c r="G294" s="346"/>
      <c r="H294" s="25" t="s">
        <v>1455</v>
      </c>
      <c r="I294" s="329"/>
      <c r="J294" s="346"/>
      <c r="K294" s="24"/>
      <c r="L294" s="24"/>
      <c r="M294" s="24"/>
      <c r="N294" s="340"/>
      <c r="O294" s="334">
        <v>206971</v>
      </c>
      <c r="P294" s="25" t="s">
        <v>340</v>
      </c>
      <c r="Q294" s="127" t="s">
        <v>213</v>
      </c>
      <c r="R294" s="128" t="s">
        <v>1355</v>
      </c>
      <c r="S294" s="26">
        <v>43172</v>
      </c>
      <c r="T294" s="36" t="s">
        <v>19</v>
      </c>
      <c r="U294" s="125"/>
      <c r="V294" s="155">
        <v>20180568</v>
      </c>
      <c r="W294" s="129"/>
      <c r="X294" s="88">
        <v>43248</v>
      </c>
      <c r="Y294" s="130" t="s">
        <v>20</v>
      </c>
      <c r="Z294" s="133" t="s">
        <v>72</v>
      </c>
      <c r="AA294" s="133"/>
      <c r="AB294" s="148">
        <v>125</v>
      </c>
      <c r="AC294" s="134">
        <v>518</v>
      </c>
      <c r="AD294" s="134"/>
      <c r="AE294" s="403">
        <f t="shared" si="13"/>
        <v>64750</v>
      </c>
      <c r="AF294" s="132">
        <v>5</v>
      </c>
      <c r="AG294" s="130" t="s">
        <v>5</v>
      </c>
      <c r="AH294" s="130"/>
      <c r="AI294" s="130" t="s">
        <v>71</v>
      </c>
      <c r="AJ294" s="130"/>
      <c r="AK294" s="130"/>
      <c r="AL294" s="135" t="s">
        <v>1350</v>
      </c>
      <c r="AM294" s="314"/>
      <c r="AN294" s="26"/>
      <c r="AO294" s="26"/>
      <c r="AP294" s="26"/>
      <c r="AQ294" s="26">
        <v>43264</v>
      </c>
      <c r="AR294" s="27"/>
      <c r="AS294" s="24"/>
      <c r="AT294" s="24">
        <v>43267</v>
      </c>
      <c r="AU294" s="418">
        <f t="shared" si="14"/>
        <v>6</v>
      </c>
      <c r="AV294" s="418">
        <f t="shared" si="15"/>
        <v>2018</v>
      </c>
      <c r="AW294" s="24"/>
      <c r="AX294" s="28"/>
      <c r="AY294" s="28" t="s">
        <v>193</v>
      </c>
      <c r="AZ294" s="132" t="s">
        <v>9</v>
      </c>
      <c r="BA294" s="132"/>
      <c r="BB294" s="24"/>
      <c r="BC294" s="135" t="s">
        <v>1456</v>
      </c>
      <c r="BD294" s="24">
        <v>43218</v>
      </c>
      <c r="BE294" s="135" t="s">
        <v>1357</v>
      </c>
      <c r="BF294" s="135" t="s">
        <v>594</v>
      </c>
      <c r="BG294" s="135" t="s">
        <v>65</v>
      </c>
      <c r="BH294" s="135"/>
      <c r="BI294" s="314"/>
      <c r="BJ294" s="314"/>
      <c r="BK294" s="24"/>
      <c r="BL294" s="24"/>
      <c r="BM294" s="24"/>
      <c r="BN294" s="24"/>
      <c r="BO294" s="27">
        <f>+AQ294+14</f>
        <v>43278</v>
      </c>
      <c r="BP294" s="27"/>
      <c r="BQ294" s="27"/>
      <c r="BR294" s="228"/>
      <c r="BS294" s="27"/>
      <c r="BT294" s="27"/>
      <c r="BU294" s="27"/>
      <c r="BV294" s="132" t="e">
        <f>IF(#REF!="COMPLETO","OK","PENDIENTES")</f>
        <v>#REF!</v>
      </c>
      <c r="BW294" s="132"/>
      <c r="BX294" s="132"/>
      <c r="BY294" s="132"/>
      <c r="BZ294" s="132"/>
      <c r="CA294" s="132"/>
      <c r="CB294" s="132"/>
      <c r="CC294" s="22"/>
      <c r="CG294" s="24" t="s">
        <v>105</v>
      </c>
      <c r="CH294" s="24"/>
      <c r="CI294" s="24"/>
      <c r="CJ294" s="24"/>
    </row>
    <row r="295" spans="1:88" ht="15" customHeight="1">
      <c r="A295" s="18">
        <v>2018</v>
      </c>
      <c r="B295" s="18" t="str">
        <f>+INDEX(BDD!F:F,MATCH(P295,BDD!D:D,0))&amp;"-"&amp;INDEX(BDD!E:E,MATCH(P295,BDD!D:D,0))</f>
        <v>E-S</v>
      </c>
      <c r="C295" s="360" t="s">
        <v>484</v>
      </c>
      <c r="D295" s="150" t="s">
        <v>77</v>
      </c>
      <c r="E295" s="132"/>
      <c r="F295" s="24"/>
      <c r="G295" s="346">
        <v>8000000016</v>
      </c>
      <c r="H295" s="25" t="s">
        <v>1457</v>
      </c>
      <c r="I295" s="329"/>
      <c r="J295" s="346">
        <v>8000000016</v>
      </c>
      <c r="K295" s="24"/>
      <c r="L295" s="24"/>
      <c r="M295" s="24"/>
      <c r="N295" s="340" t="s">
        <v>486</v>
      </c>
      <c r="O295" s="334">
        <v>203622</v>
      </c>
      <c r="P295" s="25" t="s">
        <v>341</v>
      </c>
      <c r="Q295" s="127" t="s">
        <v>207</v>
      </c>
      <c r="R295" s="128">
        <v>4000684541</v>
      </c>
      <c r="S295" s="24">
        <v>43235</v>
      </c>
      <c r="T295" s="36" t="s">
        <v>19</v>
      </c>
      <c r="U295" s="125"/>
      <c r="V295" s="155">
        <v>4200599036</v>
      </c>
      <c r="W295" s="129"/>
      <c r="X295" s="88">
        <v>43235</v>
      </c>
      <c r="Y295" s="130" t="s">
        <v>20</v>
      </c>
      <c r="Z295" s="133" t="s">
        <v>60</v>
      </c>
      <c r="AA295" s="133"/>
      <c r="AB295" s="148">
        <v>88</v>
      </c>
      <c r="AC295" s="134">
        <v>690</v>
      </c>
      <c r="AD295" s="134"/>
      <c r="AE295" s="403">
        <f t="shared" si="13"/>
        <v>60720</v>
      </c>
      <c r="AF295" s="132">
        <v>4</v>
      </c>
      <c r="AG295" s="130" t="s">
        <v>5</v>
      </c>
      <c r="AH295" s="130"/>
      <c r="AI295" s="130" t="s">
        <v>34</v>
      </c>
      <c r="AJ295" s="130"/>
      <c r="AK295" s="130"/>
      <c r="AL295" s="135" t="s">
        <v>1458</v>
      </c>
      <c r="AM295" s="314"/>
      <c r="AN295" s="26"/>
      <c r="AO295" s="26"/>
      <c r="AP295" s="26"/>
      <c r="AQ295" s="26">
        <v>43290</v>
      </c>
      <c r="AR295" s="24"/>
      <c r="AS295" s="24"/>
      <c r="AT295" s="24">
        <v>43292</v>
      </c>
      <c r="AU295" s="418">
        <f t="shared" si="14"/>
        <v>7</v>
      </c>
      <c r="AV295" s="418">
        <f t="shared" si="15"/>
        <v>2018</v>
      </c>
      <c r="AW295" s="24"/>
      <c r="AX295" s="28"/>
      <c r="AY295" s="28" t="s">
        <v>162</v>
      </c>
      <c r="AZ295" s="132" t="s">
        <v>9</v>
      </c>
      <c r="BA295" s="132"/>
      <c r="BB295" s="24"/>
      <c r="BC295" s="132" t="s">
        <v>1459</v>
      </c>
      <c r="BD295" s="24">
        <v>43262</v>
      </c>
      <c r="BE295" s="135" t="s">
        <v>579</v>
      </c>
      <c r="BF295" s="135"/>
      <c r="BG295" s="135" t="s">
        <v>41</v>
      </c>
      <c r="BH295" s="135"/>
      <c r="BI295" s="314"/>
      <c r="BJ295" s="314"/>
      <c r="BK295" s="24"/>
      <c r="BL295" s="24"/>
      <c r="BM295" s="24"/>
      <c r="BN295" s="24"/>
      <c r="BO295" s="24">
        <f>+AQ295+20</f>
        <v>43310</v>
      </c>
      <c r="BP295" s="24"/>
      <c r="BQ295" s="24"/>
      <c r="BR295" s="43"/>
      <c r="BS295" s="24"/>
      <c r="BT295" s="24"/>
      <c r="BU295" s="24"/>
      <c r="BV295" s="132" t="e">
        <f>IF(#REF!="COMPLETO","OK","PENDIENTES")</f>
        <v>#REF!</v>
      </c>
      <c r="BW295" s="132"/>
      <c r="BX295" s="132"/>
      <c r="BY295" s="132"/>
      <c r="BZ295" s="132"/>
      <c r="CA295" s="132"/>
      <c r="CB295" s="132"/>
      <c r="CC295" s="22"/>
      <c r="CG295" s="24" t="s">
        <v>105</v>
      </c>
      <c r="CH295" s="24"/>
      <c r="CI295" s="24"/>
      <c r="CJ295" s="24"/>
    </row>
    <row r="296" spans="1:88" ht="15" customHeight="1">
      <c r="A296" s="18">
        <v>2018</v>
      </c>
      <c r="B296" s="18" t="str">
        <f>+INDEX(BDD!F:F,MATCH(P296,BDD!D:D,0))&amp;"-"&amp;INDEX(BDD!E:E,MATCH(P296,BDD!D:D,0))</f>
        <v>E-S</v>
      </c>
      <c r="C296" s="360" t="s">
        <v>484</v>
      </c>
      <c r="D296" s="150" t="s">
        <v>77</v>
      </c>
      <c r="E296" s="132"/>
      <c r="F296" s="24"/>
      <c r="G296" s="346">
        <v>8000000017</v>
      </c>
      <c r="H296" s="25" t="s">
        <v>1460</v>
      </c>
      <c r="I296" s="329"/>
      <c r="J296" s="346">
        <v>8000000017</v>
      </c>
      <c r="K296" s="24"/>
      <c r="L296" s="24"/>
      <c r="M296" s="24"/>
      <c r="N296" s="340" t="s">
        <v>486</v>
      </c>
      <c r="O296" s="334">
        <v>206720</v>
      </c>
      <c r="P296" s="25" t="s">
        <v>336</v>
      </c>
      <c r="Q296" s="127" t="s">
        <v>207</v>
      </c>
      <c r="R296" s="128">
        <v>4000684543</v>
      </c>
      <c r="S296" s="24">
        <v>43235</v>
      </c>
      <c r="T296" s="36" t="s">
        <v>19</v>
      </c>
      <c r="U296" s="125"/>
      <c r="V296" s="155">
        <v>4200599976</v>
      </c>
      <c r="W296" s="129"/>
      <c r="X296" s="88">
        <v>43235</v>
      </c>
      <c r="Y296" s="130" t="s">
        <v>20</v>
      </c>
      <c r="Z296" s="133" t="s">
        <v>60</v>
      </c>
      <c r="AA296" s="133"/>
      <c r="AB296" s="148">
        <v>57.75</v>
      </c>
      <c r="AC296" s="134">
        <v>295</v>
      </c>
      <c r="AD296" s="134"/>
      <c r="AE296" s="403">
        <f t="shared" si="13"/>
        <v>17036.25</v>
      </c>
      <c r="AF296" s="132">
        <v>3</v>
      </c>
      <c r="AG296" s="130" t="s">
        <v>5</v>
      </c>
      <c r="AH296" s="130"/>
      <c r="AI296" s="130" t="s">
        <v>34</v>
      </c>
      <c r="AJ296" s="130"/>
      <c r="AK296" s="130"/>
      <c r="AL296" s="135" t="s">
        <v>1458</v>
      </c>
      <c r="AM296" s="314"/>
      <c r="AN296" s="26"/>
      <c r="AO296" s="26"/>
      <c r="AP296" s="26"/>
      <c r="AQ296" s="26">
        <v>43297</v>
      </c>
      <c r="AR296" s="24"/>
      <c r="AS296" s="24"/>
      <c r="AT296" s="24">
        <v>43299</v>
      </c>
      <c r="AU296" s="418">
        <f t="shared" si="14"/>
        <v>7</v>
      </c>
      <c r="AV296" s="418">
        <f t="shared" si="15"/>
        <v>2018</v>
      </c>
      <c r="AW296" s="24"/>
      <c r="AX296" s="28"/>
      <c r="AY296" s="28" t="s">
        <v>162</v>
      </c>
      <c r="AZ296" s="132" t="s">
        <v>9</v>
      </c>
      <c r="BA296" s="132"/>
      <c r="BB296" s="24"/>
      <c r="BC296" s="132" t="s">
        <v>1461</v>
      </c>
      <c r="BD296" s="24">
        <v>43268</v>
      </c>
      <c r="BE296" s="135" t="s">
        <v>652</v>
      </c>
      <c r="BF296" s="135" t="s">
        <v>932</v>
      </c>
      <c r="BG296" s="135" t="s">
        <v>41</v>
      </c>
      <c r="BH296" s="135"/>
      <c r="BI296" s="314"/>
      <c r="BJ296" s="314"/>
      <c r="BK296" s="24"/>
      <c r="BL296" s="24"/>
      <c r="BM296" s="24"/>
      <c r="BN296" s="24"/>
      <c r="BO296" s="24">
        <f>+AQ296+20</f>
        <v>43317</v>
      </c>
      <c r="BP296" s="24"/>
      <c r="BQ296" s="24"/>
      <c r="BR296" s="43"/>
      <c r="BS296" s="24"/>
      <c r="BT296" s="24"/>
      <c r="BU296" s="24"/>
      <c r="BV296" s="132" t="e">
        <f>IF(#REF!="COMPLETO","OK","PENDIENTES")</f>
        <v>#REF!</v>
      </c>
      <c r="BW296" s="132"/>
      <c r="BX296" s="132"/>
      <c r="BY296" s="132"/>
      <c r="BZ296" s="132"/>
      <c r="CA296" s="132"/>
      <c r="CB296" s="132"/>
      <c r="CC296" s="22"/>
      <c r="CG296" s="24" t="s">
        <v>105</v>
      </c>
      <c r="CH296" s="24"/>
      <c r="CI296" s="24"/>
      <c r="CJ296" s="24"/>
    </row>
    <row r="297" spans="1:88" ht="15" customHeight="1">
      <c r="A297" s="18">
        <v>2018</v>
      </c>
      <c r="B297" s="18" t="str">
        <f>+INDEX(BDD!F:F,MATCH(P297,BDD!D:D,0))&amp;"-"&amp;INDEX(BDD!E:E,MATCH(P297,BDD!D:D,0))</f>
        <v>E-S</v>
      </c>
      <c r="C297" s="360" t="s">
        <v>484</v>
      </c>
      <c r="D297" s="150" t="s">
        <v>77</v>
      </c>
      <c r="E297" s="132"/>
      <c r="F297" s="24"/>
      <c r="G297" s="346">
        <v>8000000177</v>
      </c>
      <c r="H297" s="25" t="s">
        <v>1462</v>
      </c>
      <c r="I297" s="329"/>
      <c r="J297" s="346">
        <v>8000000177</v>
      </c>
      <c r="K297" s="24"/>
      <c r="L297" s="24"/>
      <c r="M297" s="24"/>
      <c r="N297" s="340" t="s">
        <v>486</v>
      </c>
      <c r="O297" s="334">
        <v>209980</v>
      </c>
      <c r="P297" s="25" t="s">
        <v>310</v>
      </c>
      <c r="Q297" s="127" t="s">
        <v>187</v>
      </c>
      <c r="R297" s="128"/>
      <c r="S297" s="24"/>
      <c r="T297" s="36">
        <v>30</v>
      </c>
      <c r="U297" s="125" t="s">
        <v>118</v>
      </c>
      <c r="V297" s="155">
        <v>50433359</v>
      </c>
      <c r="W297" s="129"/>
      <c r="X297" s="88">
        <v>43399</v>
      </c>
      <c r="Y297" s="130" t="s">
        <v>20</v>
      </c>
      <c r="Z297" s="133" t="s">
        <v>81</v>
      </c>
      <c r="AA297" s="133"/>
      <c r="AB297" s="148">
        <v>0.18</v>
      </c>
      <c r="AC297" s="134">
        <v>12970</v>
      </c>
      <c r="AD297" s="134"/>
      <c r="AE297" s="403">
        <f t="shared" si="13"/>
        <v>2334.6</v>
      </c>
      <c r="AF297" s="132" t="str">
        <f>IF(W297=BDD!$P$1,IMPORTS!AB297/25,IF(W297=BDD!$P$2,IMPORTS!AB297/25,IF(IMPORTS!W297=BDD!$P$4,IMPORTS!AB297/25.5,"--")))</f>
        <v>--</v>
      </c>
      <c r="AG297" s="130" t="s">
        <v>5</v>
      </c>
      <c r="AH297" s="130"/>
      <c r="AI297" s="130" t="s">
        <v>6</v>
      </c>
      <c r="AJ297" s="130"/>
      <c r="AK297" s="130"/>
      <c r="AL297" s="135" t="s">
        <v>671</v>
      </c>
      <c r="AM297" s="314"/>
      <c r="AN297" s="26"/>
      <c r="AO297" s="26"/>
      <c r="AP297" s="26"/>
      <c r="AQ297" s="26">
        <v>43369</v>
      </c>
      <c r="AR297" s="24"/>
      <c r="AS297" s="24"/>
      <c r="AT297" s="24">
        <v>43378</v>
      </c>
      <c r="AU297" s="418">
        <f t="shared" si="14"/>
        <v>10</v>
      </c>
      <c r="AV297" s="418">
        <f t="shared" si="15"/>
        <v>2018</v>
      </c>
      <c r="AW297" s="24"/>
      <c r="AX297" s="28"/>
      <c r="AY297" s="28" t="s">
        <v>153</v>
      </c>
      <c r="AZ297" s="132" t="s">
        <v>37</v>
      </c>
      <c r="BA297" s="132"/>
      <c r="BB297" s="24"/>
      <c r="BC297" s="135" t="s">
        <v>1463</v>
      </c>
      <c r="BD297" s="24">
        <v>43368</v>
      </c>
      <c r="BE297" s="135"/>
      <c r="BF297" s="135"/>
      <c r="BG297" s="135" t="s">
        <v>12</v>
      </c>
      <c r="BH297" s="135"/>
      <c r="BI297" s="314"/>
      <c r="BJ297" s="314"/>
      <c r="BK297" s="24"/>
      <c r="BL297" s="24"/>
      <c r="BM297" s="24"/>
      <c r="BN297" s="24"/>
      <c r="BO297" s="24"/>
      <c r="BP297" s="24"/>
      <c r="BQ297" s="24"/>
      <c r="BR297" s="43"/>
      <c r="BS297" s="24"/>
      <c r="BT297" s="24"/>
      <c r="BU297" s="24"/>
      <c r="BV297" s="132" t="e">
        <f>IF(#REF!="COMPLETO","OK","PENDIENTES")</f>
        <v>#REF!</v>
      </c>
      <c r="BW297" s="132"/>
      <c r="BX297" s="132"/>
      <c r="BY297" s="132"/>
      <c r="BZ297" s="132"/>
      <c r="CA297" s="132"/>
      <c r="CB297" s="132"/>
      <c r="CC297" s="22"/>
      <c r="CG297" s="24" t="s">
        <v>105</v>
      </c>
      <c r="CH297" s="24"/>
      <c r="CI297" s="24"/>
      <c r="CJ297" s="24"/>
    </row>
    <row r="298" spans="1:88" ht="15" customHeight="1">
      <c r="A298" s="18">
        <v>2018</v>
      </c>
      <c r="B298" s="18" t="str">
        <f>+INDEX(BDD!F:F,MATCH(P298,BDD!D:D,0))&amp;"-"&amp;INDEX(BDD!E:E,MATCH(P298,BDD!D:D,0))</f>
        <v>E-S</v>
      </c>
      <c r="C298" s="360" t="s">
        <v>484</v>
      </c>
      <c r="D298" s="150" t="s">
        <v>77</v>
      </c>
      <c r="E298" s="132"/>
      <c r="F298" s="24"/>
      <c r="G298" s="346">
        <v>8000000177</v>
      </c>
      <c r="H298" s="25" t="s">
        <v>1464</v>
      </c>
      <c r="I298" s="329"/>
      <c r="J298" s="346">
        <v>8000000177</v>
      </c>
      <c r="K298" s="24"/>
      <c r="L298" s="24"/>
      <c r="M298" s="24"/>
      <c r="N298" s="340" t="s">
        <v>486</v>
      </c>
      <c r="O298" s="334">
        <v>209981</v>
      </c>
      <c r="P298" s="25" t="s">
        <v>312</v>
      </c>
      <c r="Q298" s="127" t="s">
        <v>187</v>
      </c>
      <c r="R298" s="128"/>
      <c r="S298" s="24"/>
      <c r="T298" s="36">
        <v>30</v>
      </c>
      <c r="U298" s="125" t="s">
        <v>118</v>
      </c>
      <c r="V298" s="155">
        <v>50433359</v>
      </c>
      <c r="W298" s="129"/>
      <c r="X298" s="88">
        <v>43399</v>
      </c>
      <c r="Y298" s="130" t="s">
        <v>20</v>
      </c>
      <c r="Z298" s="133" t="s">
        <v>81</v>
      </c>
      <c r="AA298" s="133"/>
      <c r="AB298" s="148">
        <v>0.24</v>
      </c>
      <c r="AC298" s="134">
        <v>5370</v>
      </c>
      <c r="AD298" s="134"/>
      <c r="AE298" s="403">
        <f t="shared" si="13"/>
        <v>1288.8</v>
      </c>
      <c r="AF298" s="132" t="str">
        <f>IF(W298=BDD!$P$1,IMPORTS!AB298/25,IF(W298=BDD!$P$2,IMPORTS!AB298/25,IF(IMPORTS!W298=BDD!$P$4,IMPORTS!AB298/25.5,"--")))</f>
        <v>--</v>
      </c>
      <c r="AG298" s="130" t="s">
        <v>5</v>
      </c>
      <c r="AH298" s="130"/>
      <c r="AI298" s="130" t="s">
        <v>6</v>
      </c>
      <c r="AJ298" s="130"/>
      <c r="AK298" s="130"/>
      <c r="AL298" s="135" t="s">
        <v>671</v>
      </c>
      <c r="AM298" s="314"/>
      <c r="AN298" s="26"/>
      <c r="AO298" s="26"/>
      <c r="AP298" s="26"/>
      <c r="AQ298" s="26">
        <v>43369</v>
      </c>
      <c r="AR298" s="24"/>
      <c r="AS298" s="24"/>
      <c r="AT298" s="24">
        <v>43378</v>
      </c>
      <c r="AU298" s="418">
        <f t="shared" si="14"/>
        <v>10</v>
      </c>
      <c r="AV298" s="418">
        <f t="shared" si="15"/>
        <v>2018</v>
      </c>
      <c r="AW298" s="24"/>
      <c r="AX298" s="28"/>
      <c r="AY298" s="28" t="s">
        <v>153</v>
      </c>
      <c r="AZ298" s="132" t="s">
        <v>37</v>
      </c>
      <c r="BA298" s="132"/>
      <c r="BB298" s="24"/>
      <c r="BC298" s="135" t="s">
        <v>1463</v>
      </c>
      <c r="BD298" s="24">
        <v>43368</v>
      </c>
      <c r="BE298" s="135"/>
      <c r="BF298" s="135"/>
      <c r="BG298" s="135" t="s">
        <v>12</v>
      </c>
      <c r="BH298" s="135"/>
      <c r="BI298" s="314"/>
      <c r="BJ298" s="314"/>
      <c r="BK298" s="24"/>
      <c r="BL298" s="24"/>
      <c r="BM298" s="24"/>
      <c r="BN298" s="24"/>
      <c r="BO298" s="24"/>
      <c r="BP298" s="24"/>
      <c r="BQ298" s="24"/>
      <c r="BR298" s="43"/>
      <c r="BS298" s="24"/>
      <c r="BT298" s="24"/>
      <c r="BU298" s="24"/>
      <c r="BV298" s="132" t="e">
        <f>IF(#REF!="COMPLETO","OK","PENDIENTES")</f>
        <v>#REF!</v>
      </c>
      <c r="BW298" s="132"/>
      <c r="BX298" s="132"/>
      <c r="BY298" s="132"/>
      <c r="BZ298" s="132"/>
      <c r="CA298" s="132"/>
      <c r="CB298" s="132"/>
      <c r="CC298" s="22"/>
      <c r="CG298" s="24" t="s">
        <v>105</v>
      </c>
      <c r="CH298" s="24"/>
      <c r="CI298" s="24"/>
      <c r="CJ298" s="24"/>
    </row>
    <row r="299" spans="1:88" ht="15" customHeight="1">
      <c r="A299" s="18">
        <v>2018</v>
      </c>
      <c r="B299" s="18" t="str">
        <f>+INDEX(BDD!F:F,MATCH(P299,BDD!D:D,0))&amp;"-"&amp;INDEX(BDD!E:E,MATCH(P299,BDD!D:D,0))</f>
        <v>E-S</v>
      </c>
      <c r="C299" s="360" t="s">
        <v>484</v>
      </c>
      <c r="D299" s="150" t="s">
        <v>77</v>
      </c>
      <c r="E299" s="132"/>
      <c r="F299" s="24"/>
      <c r="G299" s="346">
        <v>8000000177</v>
      </c>
      <c r="H299" s="25" t="s">
        <v>1465</v>
      </c>
      <c r="I299" s="329"/>
      <c r="J299" s="346">
        <v>8000000177</v>
      </c>
      <c r="K299" s="24"/>
      <c r="L299" s="24"/>
      <c r="M299" s="24"/>
      <c r="N299" s="340" t="s">
        <v>486</v>
      </c>
      <c r="O299" s="334">
        <v>209982</v>
      </c>
      <c r="P299" s="25" t="s">
        <v>314</v>
      </c>
      <c r="Q299" s="127" t="s">
        <v>187</v>
      </c>
      <c r="R299" s="128"/>
      <c r="S299" s="24"/>
      <c r="T299" s="36">
        <v>30</v>
      </c>
      <c r="U299" s="125" t="s">
        <v>118</v>
      </c>
      <c r="V299" s="155">
        <v>50433359</v>
      </c>
      <c r="W299" s="129"/>
      <c r="X299" s="88">
        <v>43399</v>
      </c>
      <c r="Y299" s="130" t="s">
        <v>20</v>
      </c>
      <c r="Z299" s="133" t="s">
        <v>81</v>
      </c>
      <c r="AA299" s="133"/>
      <c r="AB299" s="148">
        <v>0.3</v>
      </c>
      <c r="AC299" s="134">
        <v>5370</v>
      </c>
      <c r="AD299" s="134"/>
      <c r="AE299" s="403">
        <f t="shared" si="13"/>
        <v>1611</v>
      </c>
      <c r="AF299" s="132" t="str">
        <f>IF(W299=BDD!$P$1,IMPORTS!AB299/25,IF(W299=BDD!$P$2,IMPORTS!AB299/25,IF(IMPORTS!W299=BDD!$P$4,IMPORTS!AB299/25.5,"--")))</f>
        <v>--</v>
      </c>
      <c r="AG299" s="130" t="s">
        <v>5</v>
      </c>
      <c r="AH299" s="130"/>
      <c r="AI299" s="130" t="s">
        <v>6</v>
      </c>
      <c r="AJ299" s="130"/>
      <c r="AK299" s="130"/>
      <c r="AL299" s="135" t="s">
        <v>671</v>
      </c>
      <c r="AM299" s="314"/>
      <c r="AN299" s="26"/>
      <c r="AO299" s="26"/>
      <c r="AP299" s="26"/>
      <c r="AQ299" s="26">
        <v>43369</v>
      </c>
      <c r="AR299" s="24"/>
      <c r="AS299" s="24"/>
      <c r="AT299" s="24">
        <v>43378</v>
      </c>
      <c r="AU299" s="418">
        <f t="shared" si="14"/>
        <v>10</v>
      </c>
      <c r="AV299" s="418">
        <f t="shared" si="15"/>
        <v>2018</v>
      </c>
      <c r="AW299" s="24"/>
      <c r="AX299" s="28"/>
      <c r="AY299" s="28" t="s">
        <v>153</v>
      </c>
      <c r="AZ299" s="132" t="s">
        <v>37</v>
      </c>
      <c r="BA299" s="132"/>
      <c r="BB299" s="24"/>
      <c r="BC299" s="135" t="s">
        <v>1463</v>
      </c>
      <c r="BD299" s="24">
        <v>43368</v>
      </c>
      <c r="BE299" s="135"/>
      <c r="BF299" s="135"/>
      <c r="BG299" s="135" t="s">
        <v>12</v>
      </c>
      <c r="BH299" s="135"/>
      <c r="BI299" s="314"/>
      <c r="BJ299" s="314"/>
      <c r="BK299" s="24"/>
      <c r="BL299" s="24"/>
      <c r="BM299" s="24"/>
      <c r="BN299" s="24"/>
      <c r="BO299" s="24"/>
      <c r="BP299" s="24"/>
      <c r="BQ299" s="24"/>
      <c r="BR299" s="43"/>
      <c r="BS299" s="24"/>
      <c r="BT299" s="24"/>
      <c r="BU299" s="24"/>
      <c r="BV299" s="132" t="e">
        <f>IF(#REF!="COMPLETO","OK","PENDIENTES")</f>
        <v>#REF!</v>
      </c>
      <c r="BW299" s="132"/>
      <c r="BX299" s="132"/>
      <c r="BY299" s="132"/>
      <c r="BZ299" s="132"/>
      <c r="CA299" s="132"/>
      <c r="CB299" s="132"/>
      <c r="CC299" s="22"/>
      <c r="CG299" s="24" t="s">
        <v>105</v>
      </c>
      <c r="CH299" s="24"/>
      <c r="CI299" s="24"/>
      <c r="CJ299" s="24"/>
    </row>
    <row r="300" spans="1:88" ht="14.25" customHeight="1">
      <c r="A300" s="18">
        <v>2018</v>
      </c>
      <c r="B300" s="18" t="str">
        <f>+INDEX(BDD!F:F,MATCH(P300,BDD!D:D,0))&amp;"-"&amp;INDEX(BDD!E:E,MATCH(P300,BDD!D:D,0))</f>
        <v>G-S</v>
      </c>
      <c r="C300" s="360" t="s">
        <v>484</v>
      </c>
      <c r="D300" s="150" t="s">
        <v>77</v>
      </c>
      <c r="E300" s="132"/>
      <c r="F300" s="24"/>
      <c r="G300" s="346"/>
      <c r="H300" s="25" t="s">
        <v>1466</v>
      </c>
      <c r="I300" s="329"/>
      <c r="J300" s="346"/>
      <c r="K300" s="24"/>
      <c r="L300" s="24"/>
      <c r="M300" s="24"/>
      <c r="N300" s="340"/>
      <c r="O300" s="334">
        <v>209371</v>
      </c>
      <c r="P300" s="25" t="s">
        <v>147</v>
      </c>
      <c r="Q300" s="127" t="s">
        <v>306</v>
      </c>
      <c r="R300" s="128" t="s">
        <v>1467</v>
      </c>
      <c r="S300" s="24">
        <v>43242</v>
      </c>
      <c r="T300" s="36" t="s">
        <v>19</v>
      </c>
      <c r="U300" s="125"/>
      <c r="V300" s="155">
        <v>22272</v>
      </c>
      <c r="W300" s="129"/>
      <c r="X300" s="88">
        <v>43298</v>
      </c>
      <c r="Y300" s="130" t="s">
        <v>20</v>
      </c>
      <c r="Z300" s="133" t="s">
        <v>60</v>
      </c>
      <c r="AA300" s="133"/>
      <c r="AB300" s="148">
        <v>230</v>
      </c>
      <c r="AC300" s="134">
        <v>442</v>
      </c>
      <c r="AD300" s="134"/>
      <c r="AE300" s="403">
        <f t="shared" si="13"/>
        <v>101660</v>
      </c>
      <c r="AF300" s="132" t="str">
        <f>IF(W300=BDD!$P$1,IMPORTS!AB300/25,IF(W300=BDD!$P$2,IMPORTS!AB300/25,IF(IMPORTS!W300=BDD!$P$4,IMPORTS!AB300/25.5,"--")))</f>
        <v>--</v>
      </c>
      <c r="AG300" s="130" t="s">
        <v>46</v>
      </c>
      <c r="AH300" s="130"/>
      <c r="AI300" s="130" t="s">
        <v>100</v>
      </c>
      <c r="AJ300" s="130"/>
      <c r="AK300" s="130"/>
      <c r="AL300" s="135" t="s">
        <v>1468</v>
      </c>
      <c r="AM300" s="314"/>
      <c r="AN300" s="26"/>
      <c r="AO300" s="26"/>
      <c r="AP300" s="26"/>
      <c r="AQ300" s="26">
        <v>43300</v>
      </c>
      <c r="AR300" s="24"/>
      <c r="AS300" s="24"/>
      <c r="AT300" s="24">
        <v>43301</v>
      </c>
      <c r="AU300" s="418">
        <f t="shared" si="14"/>
        <v>7</v>
      </c>
      <c r="AV300" s="418">
        <f t="shared" si="15"/>
        <v>2018</v>
      </c>
      <c r="AW300" s="24"/>
      <c r="AX300" s="28"/>
      <c r="AY300" s="28" t="s">
        <v>215</v>
      </c>
      <c r="AZ300" s="132" t="s">
        <v>9</v>
      </c>
      <c r="BA300" s="132"/>
      <c r="BB300" s="24"/>
      <c r="BC300" s="135" t="s">
        <v>1469</v>
      </c>
      <c r="BD300" s="24">
        <v>43286</v>
      </c>
      <c r="BE300" s="135" t="s">
        <v>1470</v>
      </c>
      <c r="BF300" s="135" t="s">
        <v>1470</v>
      </c>
      <c r="BG300" s="135" t="s">
        <v>52</v>
      </c>
      <c r="BH300" s="135"/>
      <c r="BI300" s="314"/>
      <c r="BJ300" s="314"/>
      <c r="BK300" s="24"/>
      <c r="BL300" s="24"/>
      <c r="BM300" s="24"/>
      <c r="BN300" s="24"/>
      <c r="BO300" s="24"/>
      <c r="BP300" s="24"/>
      <c r="BQ300" s="24"/>
      <c r="BR300" s="43"/>
      <c r="BS300" s="24"/>
      <c r="BT300" s="24"/>
      <c r="BU300" s="24"/>
      <c r="BV300" s="132" t="e">
        <f>IF(#REF!="COMPLETO","OK","PENDIENTES")</f>
        <v>#REF!</v>
      </c>
      <c r="BW300" s="132"/>
      <c r="BX300" s="132"/>
      <c r="BY300" s="132"/>
      <c r="BZ300" s="132"/>
      <c r="CA300" s="132"/>
      <c r="CB300" s="132"/>
      <c r="CC300" s="22"/>
      <c r="CG300" s="24" t="s">
        <v>105</v>
      </c>
      <c r="CH300" s="24"/>
      <c r="CI300" s="24"/>
      <c r="CJ300" s="24"/>
    </row>
    <row r="301" spans="1:88" ht="15" customHeight="1">
      <c r="A301" s="18">
        <v>2018</v>
      </c>
      <c r="B301" s="18" t="str">
        <f>+INDEX(BDD!F:F,MATCH(P301,BDD!D:D,0))&amp;"-"&amp;INDEX(BDD!E:E,MATCH(P301,BDD!D:D,0))</f>
        <v>G-S</v>
      </c>
      <c r="C301" s="360" t="s">
        <v>484</v>
      </c>
      <c r="D301" s="150" t="s">
        <v>77</v>
      </c>
      <c r="E301" s="132"/>
      <c r="F301" s="24"/>
      <c r="G301" s="346"/>
      <c r="H301" s="25" t="s">
        <v>1471</v>
      </c>
      <c r="I301" s="329"/>
      <c r="J301" s="346"/>
      <c r="K301" s="24"/>
      <c r="L301" s="24"/>
      <c r="M301" s="24"/>
      <c r="N301" s="340"/>
      <c r="O301" s="334">
        <v>209371</v>
      </c>
      <c r="P301" s="25" t="s">
        <v>147</v>
      </c>
      <c r="Q301" s="127" t="s">
        <v>306</v>
      </c>
      <c r="R301" s="128" t="s">
        <v>1467</v>
      </c>
      <c r="S301" s="24">
        <v>43242</v>
      </c>
      <c r="T301" s="36" t="s">
        <v>19</v>
      </c>
      <c r="U301" s="125"/>
      <c r="V301" s="155">
        <v>22306</v>
      </c>
      <c r="W301" s="129"/>
      <c r="X301" s="88">
        <v>43298</v>
      </c>
      <c r="Y301" s="130" t="s">
        <v>20</v>
      </c>
      <c r="Z301" s="133" t="s">
        <v>60</v>
      </c>
      <c r="AA301" s="133"/>
      <c r="AB301" s="148">
        <v>900</v>
      </c>
      <c r="AC301" s="134">
        <v>442</v>
      </c>
      <c r="AD301" s="134"/>
      <c r="AE301" s="403">
        <f t="shared" si="13"/>
        <v>397800</v>
      </c>
      <c r="AF301" s="132" t="str">
        <f>IF(W301=BDD!$P$1,IMPORTS!AB301/25,IF(W301=BDD!$P$2,IMPORTS!AB301/25,IF(IMPORTS!W301=BDD!$P$4,IMPORTS!AB301/25.5,"--")))</f>
        <v>--</v>
      </c>
      <c r="AG301" s="130" t="s">
        <v>46</v>
      </c>
      <c r="AH301" s="130"/>
      <c r="AI301" s="130" t="s">
        <v>100</v>
      </c>
      <c r="AJ301" s="130"/>
      <c r="AK301" s="130"/>
      <c r="AL301" s="135" t="s">
        <v>1468</v>
      </c>
      <c r="AM301" s="314"/>
      <c r="AN301" s="26"/>
      <c r="AO301" s="26"/>
      <c r="AP301" s="26"/>
      <c r="AQ301" s="26">
        <f>+AQ300+2</f>
        <v>43302</v>
      </c>
      <c r="AR301" s="24"/>
      <c r="AS301" s="24"/>
      <c r="AT301" s="24">
        <v>43309</v>
      </c>
      <c r="AU301" s="418">
        <f t="shared" si="14"/>
        <v>7</v>
      </c>
      <c r="AV301" s="418">
        <f t="shared" si="15"/>
        <v>2018</v>
      </c>
      <c r="AW301" s="24"/>
      <c r="AX301" s="28"/>
      <c r="AY301" s="28" t="s">
        <v>215</v>
      </c>
      <c r="AZ301" s="132" t="s">
        <v>25</v>
      </c>
      <c r="BA301" s="132"/>
      <c r="BB301" s="24"/>
      <c r="BC301" s="135" t="s">
        <v>1472</v>
      </c>
      <c r="BD301" s="24">
        <v>43286</v>
      </c>
      <c r="BE301" s="135" t="s">
        <v>1470</v>
      </c>
      <c r="BF301" s="135" t="s">
        <v>1470</v>
      </c>
      <c r="BG301" s="135" t="s">
        <v>52</v>
      </c>
      <c r="BH301" s="135"/>
      <c r="BI301" s="314"/>
      <c r="BJ301" s="314"/>
      <c r="BK301" s="24"/>
      <c r="BL301" s="24"/>
      <c r="BM301" s="24"/>
      <c r="BN301" s="24"/>
      <c r="BO301" s="24"/>
      <c r="BP301" s="24"/>
      <c r="BQ301" s="24"/>
      <c r="BR301" s="43"/>
      <c r="BS301" s="24"/>
      <c r="BT301" s="24"/>
      <c r="BU301" s="24"/>
      <c r="BV301" s="132" t="e">
        <f>IF(#REF!="COMPLETO","OK","PENDIENTES")</f>
        <v>#REF!</v>
      </c>
      <c r="BW301" s="132"/>
      <c r="BX301" s="132"/>
      <c r="BY301" s="132"/>
      <c r="BZ301" s="132"/>
      <c r="CA301" s="132"/>
      <c r="CB301" s="132"/>
      <c r="CC301" s="22"/>
      <c r="CG301" s="24" t="s">
        <v>105</v>
      </c>
      <c r="CH301" s="24"/>
      <c r="CI301" s="24"/>
      <c r="CJ301" s="24"/>
    </row>
    <row r="302" spans="1:88" ht="15" customHeight="1">
      <c r="A302" s="18">
        <v>2018</v>
      </c>
      <c r="B302" s="18" t="str">
        <f>+INDEX(BDD!F:F,MATCH(P302,BDD!D:D,0))&amp;"-"&amp;INDEX(BDD!E:E,MATCH(P302,BDD!D:D,0))</f>
        <v>G-S</v>
      </c>
      <c r="C302" s="360" t="s">
        <v>484</v>
      </c>
      <c r="D302" s="150" t="s">
        <v>77</v>
      </c>
      <c r="E302" s="132"/>
      <c r="F302" s="24"/>
      <c r="G302" s="346"/>
      <c r="H302" s="25" t="s">
        <v>1473</v>
      </c>
      <c r="I302" s="329"/>
      <c r="J302" s="346"/>
      <c r="K302" s="24"/>
      <c r="L302" s="24"/>
      <c r="M302" s="24"/>
      <c r="N302" s="340"/>
      <c r="O302" s="334">
        <v>209371</v>
      </c>
      <c r="P302" s="25" t="s">
        <v>147</v>
      </c>
      <c r="Q302" s="127" t="s">
        <v>306</v>
      </c>
      <c r="R302" s="128" t="s">
        <v>1467</v>
      </c>
      <c r="S302" s="24">
        <v>43242</v>
      </c>
      <c r="T302" s="36" t="s">
        <v>19</v>
      </c>
      <c r="U302" s="125"/>
      <c r="V302" s="155">
        <v>22307</v>
      </c>
      <c r="W302" s="129"/>
      <c r="X302" s="88">
        <v>43298</v>
      </c>
      <c r="Y302" s="130" t="s">
        <v>20</v>
      </c>
      <c r="Z302" s="133" t="s">
        <v>60</v>
      </c>
      <c r="AA302" s="133"/>
      <c r="AB302" s="148">
        <v>340</v>
      </c>
      <c r="AC302" s="134">
        <v>442</v>
      </c>
      <c r="AD302" s="134"/>
      <c r="AE302" s="403">
        <f t="shared" si="13"/>
        <v>150280</v>
      </c>
      <c r="AF302" s="132" t="str">
        <f>IF(W302=BDD!$P$1,IMPORTS!AB302/25,IF(W302=BDD!$P$2,IMPORTS!AB302/25,IF(IMPORTS!W302=BDD!$P$4,IMPORTS!AB302/25.5,"--")))</f>
        <v>--</v>
      </c>
      <c r="AG302" s="130" t="s">
        <v>46</v>
      </c>
      <c r="AH302" s="130"/>
      <c r="AI302" s="130" t="s">
        <v>100</v>
      </c>
      <c r="AJ302" s="130"/>
      <c r="AK302" s="130"/>
      <c r="AL302" s="135" t="s">
        <v>1468</v>
      </c>
      <c r="AM302" s="314"/>
      <c r="AN302" s="26"/>
      <c r="AO302" s="26"/>
      <c r="AP302" s="26"/>
      <c r="AQ302" s="26">
        <v>43310</v>
      </c>
      <c r="AR302" s="24"/>
      <c r="AS302" s="24"/>
      <c r="AT302" s="24">
        <v>43311</v>
      </c>
      <c r="AU302" s="418">
        <f t="shared" si="14"/>
        <v>7</v>
      </c>
      <c r="AV302" s="418">
        <f t="shared" si="15"/>
        <v>2018</v>
      </c>
      <c r="AW302" s="24"/>
      <c r="AX302" s="28"/>
      <c r="AY302" s="28" t="s">
        <v>215</v>
      </c>
      <c r="AZ302" s="132" t="s">
        <v>37</v>
      </c>
      <c r="BA302" s="132"/>
      <c r="BB302" s="24"/>
      <c r="BC302" s="135" t="s">
        <v>1474</v>
      </c>
      <c r="BD302" s="24">
        <v>43286</v>
      </c>
      <c r="BE302" s="135" t="s">
        <v>1470</v>
      </c>
      <c r="BF302" s="135" t="s">
        <v>1470</v>
      </c>
      <c r="BG302" s="135" t="s">
        <v>52</v>
      </c>
      <c r="BH302" s="135"/>
      <c r="BI302" s="314"/>
      <c r="BJ302" s="314"/>
      <c r="BK302" s="24"/>
      <c r="BL302" s="24"/>
      <c r="BM302" s="24"/>
      <c r="BN302" s="24"/>
      <c r="BO302" s="24"/>
      <c r="BP302" s="24"/>
      <c r="BQ302" s="24"/>
      <c r="BR302" s="43"/>
      <c r="BS302" s="24"/>
      <c r="BT302" s="24"/>
      <c r="BU302" s="24"/>
      <c r="BV302" s="132" t="e">
        <f>IF(#REF!="COMPLETO","OK","PENDIENTES")</f>
        <v>#REF!</v>
      </c>
      <c r="BW302" s="132"/>
      <c r="BX302" s="132"/>
      <c r="BY302" s="132"/>
      <c r="BZ302" s="132"/>
      <c r="CA302" s="132"/>
      <c r="CB302" s="132"/>
      <c r="CC302" s="22"/>
      <c r="CG302" s="24" t="s">
        <v>105</v>
      </c>
      <c r="CH302" s="24"/>
      <c r="CI302" s="24"/>
      <c r="CJ302" s="24"/>
    </row>
    <row r="303" spans="1:88" ht="14.25" customHeight="1">
      <c r="A303" s="18">
        <v>2018</v>
      </c>
      <c r="B303" s="18" t="str">
        <f>+INDEX(BDD!F:F,MATCH(P303,BDD!D:D,0))&amp;"-"&amp;INDEX(BDD!E:E,MATCH(P303,BDD!D:D,0))</f>
        <v>G-S</v>
      </c>
      <c r="C303" s="360" t="s">
        <v>484</v>
      </c>
      <c r="D303" s="150" t="s">
        <v>77</v>
      </c>
      <c r="E303" s="132"/>
      <c r="F303" s="24"/>
      <c r="G303" s="346">
        <v>8000000168</v>
      </c>
      <c r="H303" s="25" t="s">
        <v>1475</v>
      </c>
      <c r="I303" s="329"/>
      <c r="J303" s="346">
        <v>8000000168</v>
      </c>
      <c r="K303" s="24"/>
      <c r="L303" s="24"/>
      <c r="M303" s="24"/>
      <c r="N303" s="340" t="s">
        <v>486</v>
      </c>
      <c r="O303" s="334">
        <v>209371</v>
      </c>
      <c r="P303" s="25" t="s">
        <v>147</v>
      </c>
      <c r="Q303" s="127" t="s">
        <v>306</v>
      </c>
      <c r="R303" s="128" t="s">
        <v>1467</v>
      </c>
      <c r="S303" s="24">
        <v>43242</v>
      </c>
      <c r="T303" s="36" t="s">
        <v>19</v>
      </c>
      <c r="U303" s="125"/>
      <c r="V303" s="155">
        <v>22308</v>
      </c>
      <c r="W303" s="129"/>
      <c r="X303" s="88">
        <v>43298</v>
      </c>
      <c r="Y303" s="130" t="s">
        <v>20</v>
      </c>
      <c r="Z303" s="133" t="s">
        <v>60</v>
      </c>
      <c r="AA303" s="133"/>
      <c r="AB303" s="148">
        <v>1360.127</v>
      </c>
      <c r="AC303" s="134">
        <v>442</v>
      </c>
      <c r="AD303" s="134"/>
      <c r="AE303" s="403">
        <f t="shared" si="13"/>
        <v>601176.13399999996</v>
      </c>
      <c r="AF303" s="132" t="str">
        <f>IF(W303=BDD!$P$1,IMPORTS!AB303/25,IF(W303=BDD!$P$2,IMPORTS!AB303/25,IF(IMPORTS!W303=BDD!$P$4,IMPORTS!AB303/25.5,"--")))</f>
        <v>--</v>
      </c>
      <c r="AG303" s="130" t="s">
        <v>46</v>
      </c>
      <c r="AH303" s="130"/>
      <c r="AI303" s="130" t="s">
        <v>100</v>
      </c>
      <c r="AJ303" s="130"/>
      <c r="AK303" s="130"/>
      <c r="AL303" s="135" t="s">
        <v>1468</v>
      </c>
      <c r="AM303" s="314"/>
      <c r="AN303" s="26"/>
      <c r="AO303" s="26"/>
      <c r="AP303" s="26"/>
      <c r="AQ303" s="26">
        <v>43313</v>
      </c>
      <c r="AR303" s="24"/>
      <c r="AS303" s="24"/>
      <c r="AT303" s="27">
        <v>43314</v>
      </c>
      <c r="AU303" s="418">
        <f t="shared" si="14"/>
        <v>8</v>
      </c>
      <c r="AV303" s="418">
        <f t="shared" si="15"/>
        <v>2018</v>
      </c>
      <c r="AW303" s="27"/>
      <c r="AX303" s="28"/>
      <c r="AY303" s="28" t="s">
        <v>215</v>
      </c>
      <c r="AZ303" s="132" t="s">
        <v>62</v>
      </c>
      <c r="BA303" s="132"/>
      <c r="BB303" s="27"/>
      <c r="BC303" s="145" t="s">
        <v>1476</v>
      </c>
      <c r="BD303" s="24">
        <v>43286</v>
      </c>
      <c r="BE303" s="135" t="s">
        <v>1470</v>
      </c>
      <c r="BF303" s="135" t="s">
        <v>1470</v>
      </c>
      <c r="BG303" s="135" t="s">
        <v>52</v>
      </c>
      <c r="BH303" s="135"/>
      <c r="BI303" s="314"/>
      <c r="BJ303" s="314"/>
      <c r="BK303" s="24"/>
      <c r="BL303" s="24"/>
      <c r="BM303" s="24"/>
      <c r="BN303" s="24"/>
      <c r="BO303" s="24"/>
      <c r="BP303" s="24"/>
      <c r="BQ303" s="24"/>
      <c r="BR303" s="43"/>
      <c r="BS303" s="24"/>
      <c r="BT303" s="24"/>
      <c r="BU303" s="24"/>
      <c r="BV303" s="132" t="e">
        <f>IF(#REF!="COMPLETO","OK","PENDIENTES")</f>
        <v>#REF!</v>
      </c>
      <c r="BW303" s="132"/>
      <c r="BX303" s="132"/>
      <c r="BY303" s="132"/>
      <c r="BZ303" s="132"/>
      <c r="CA303" s="132"/>
      <c r="CB303" s="132"/>
      <c r="CC303" s="22"/>
      <c r="CG303" s="24" t="s">
        <v>105</v>
      </c>
      <c r="CH303" s="24"/>
      <c r="CI303" s="27"/>
      <c r="CJ303" s="27"/>
    </row>
    <row r="304" spans="1:88" ht="14.25" customHeight="1">
      <c r="A304" s="18">
        <v>2018</v>
      </c>
      <c r="B304" s="18" t="str">
        <f>+INDEX(BDD!F:F,MATCH(P304,BDD!D:D,0))&amp;"-"&amp;INDEX(BDD!E:E,MATCH(P304,BDD!D:D,0))</f>
        <v>S-S</v>
      </c>
      <c r="C304" s="360" t="s">
        <v>484</v>
      </c>
      <c r="D304" s="150" t="s">
        <v>77</v>
      </c>
      <c r="E304" s="132"/>
      <c r="F304" s="24"/>
      <c r="G304" s="346">
        <v>8000000199</v>
      </c>
      <c r="H304" s="25" t="s">
        <v>1477</v>
      </c>
      <c r="I304" s="329"/>
      <c r="J304" s="346">
        <v>8000000199</v>
      </c>
      <c r="K304" s="24"/>
      <c r="L304" s="24"/>
      <c r="M304" s="24"/>
      <c r="N304" s="340" t="s">
        <v>486</v>
      </c>
      <c r="O304" s="334">
        <v>206971</v>
      </c>
      <c r="P304" s="25" t="s">
        <v>340</v>
      </c>
      <c r="Q304" s="127" t="s">
        <v>175</v>
      </c>
      <c r="R304" s="128">
        <v>5160</v>
      </c>
      <c r="S304" s="24">
        <v>43256</v>
      </c>
      <c r="T304" s="36" t="s">
        <v>19</v>
      </c>
      <c r="U304" s="125"/>
      <c r="V304" s="155">
        <v>18070014</v>
      </c>
      <c r="W304" s="129"/>
      <c r="X304" s="88">
        <v>43298</v>
      </c>
      <c r="Y304" s="130" t="s">
        <v>20</v>
      </c>
      <c r="Z304" s="133" t="s">
        <v>81</v>
      </c>
      <c r="AA304" s="133"/>
      <c r="AB304" s="148">
        <v>250</v>
      </c>
      <c r="AC304" s="134">
        <v>505</v>
      </c>
      <c r="AD304" s="134"/>
      <c r="AE304" s="403">
        <f t="shared" si="13"/>
        <v>126250</v>
      </c>
      <c r="AF304" s="132">
        <v>10</v>
      </c>
      <c r="AG304" s="130" t="s">
        <v>5</v>
      </c>
      <c r="AH304" s="130"/>
      <c r="AI304" s="130" t="s">
        <v>34</v>
      </c>
      <c r="AJ304" s="130"/>
      <c r="AK304" s="130"/>
      <c r="AL304" s="144" t="s">
        <v>582</v>
      </c>
      <c r="AM304" s="314"/>
      <c r="AN304" s="26"/>
      <c r="AO304" s="26"/>
      <c r="AP304" s="26"/>
      <c r="AQ304" s="26">
        <v>43347</v>
      </c>
      <c r="AR304" s="24"/>
      <c r="AS304" s="24"/>
      <c r="AT304" s="184">
        <v>43350</v>
      </c>
      <c r="AU304" s="418">
        <f t="shared" si="14"/>
        <v>9</v>
      </c>
      <c r="AV304" s="418">
        <f t="shared" si="15"/>
        <v>2018</v>
      </c>
      <c r="AW304" s="184"/>
      <c r="AX304" s="28"/>
      <c r="AY304" s="28" t="s">
        <v>239</v>
      </c>
      <c r="AZ304" s="132" t="s">
        <v>37</v>
      </c>
      <c r="BA304" s="132"/>
      <c r="BB304" s="184"/>
      <c r="BC304" s="145" t="s">
        <v>1478</v>
      </c>
      <c r="BD304" s="24">
        <v>43294</v>
      </c>
      <c r="BE304" s="27" t="s">
        <v>1479</v>
      </c>
      <c r="BF304" s="27" t="s">
        <v>1480</v>
      </c>
      <c r="BG304" s="144" t="s">
        <v>64</v>
      </c>
      <c r="BH304" s="144"/>
      <c r="BI304" s="314"/>
      <c r="BJ304" s="314"/>
      <c r="BK304" s="24"/>
      <c r="BL304" s="24"/>
      <c r="BM304" s="24"/>
      <c r="BN304" s="24"/>
      <c r="BO304" s="24"/>
      <c r="BP304" s="24"/>
      <c r="BQ304" s="24"/>
      <c r="BR304" s="43"/>
      <c r="BS304" s="24"/>
      <c r="BT304" s="24"/>
      <c r="BU304" s="24"/>
      <c r="BV304" s="132" t="e">
        <f>IF(#REF!="COMPLETO","OK","PENDIENTES")</f>
        <v>#REF!</v>
      </c>
      <c r="BW304" s="132"/>
      <c r="BX304" s="132"/>
      <c r="BY304" s="132"/>
      <c r="BZ304" s="132"/>
      <c r="CA304" s="132"/>
      <c r="CB304" s="132"/>
      <c r="CC304" s="22"/>
      <c r="CG304" s="24" t="s">
        <v>105</v>
      </c>
      <c r="CH304" s="24"/>
      <c r="CI304" s="184"/>
      <c r="CJ304" s="184"/>
    </row>
    <row r="305" spans="1:88" ht="15" customHeight="1">
      <c r="A305" s="18">
        <v>2018</v>
      </c>
      <c r="B305" s="18" t="str">
        <f>+INDEX(BDD!F:F,MATCH(P305,BDD!D:D,0))&amp;"-"&amp;INDEX(BDD!E:E,MATCH(P305,BDD!D:D,0))</f>
        <v>S-S</v>
      </c>
      <c r="C305" s="360" t="s">
        <v>484</v>
      </c>
      <c r="D305" s="150" t="s">
        <v>77</v>
      </c>
      <c r="E305" s="132"/>
      <c r="F305" s="24"/>
      <c r="G305" s="346">
        <v>8000000251</v>
      </c>
      <c r="H305" s="25" t="s">
        <v>1481</v>
      </c>
      <c r="I305" s="329"/>
      <c r="J305" s="346">
        <v>8000000251</v>
      </c>
      <c r="K305" s="24"/>
      <c r="L305" s="24"/>
      <c r="M305" s="24"/>
      <c r="N305" s="340" t="s">
        <v>486</v>
      </c>
      <c r="O305" s="334">
        <v>206971</v>
      </c>
      <c r="P305" s="25" t="s">
        <v>340</v>
      </c>
      <c r="Q305" s="127" t="s">
        <v>175</v>
      </c>
      <c r="R305" s="128">
        <v>5160</v>
      </c>
      <c r="S305" s="24">
        <v>43256</v>
      </c>
      <c r="T305" s="36" t="s">
        <v>19</v>
      </c>
      <c r="U305" s="125"/>
      <c r="V305" s="155" t="s">
        <v>1482</v>
      </c>
      <c r="W305" s="129"/>
      <c r="X305" s="88">
        <v>43290</v>
      </c>
      <c r="Y305" s="130" t="s">
        <v>20</v>
      </c>
      <c r="Z305" s="133" t="s">
        <v>81</v>
      </c>
      <c r="AA305" s="133"/>
      <c r="AB305" s="148">
        <v>250</v>
      </c>
      <c r="AC305" s="134">
        <v>514</v>
      </c>
      <c r="AD305" s="134"/>
      <c r="AE305" s="403">
        <f t="shared" si="13"/>
        <v>128500</v>
      </c>
      <c r="AF305" s="132">
        <v>10</v>
      </c>
      <c r="AG305" s="130" t="s">
        <v>5</v>
      </c>
      <c r="AH305" s="130"/>
      <c r="AI305" s="130" t="s">
        <v>34</v>
      </c>
      <c r="AJ305" s="130"/>
      <c r="AK305" s="130"/>
      <c r="AL305" s="135" t="s">
        <v>582</v>
      </c>
      <c r="AM305" s="314"/>
      <c r="AN305" s="26"/>
      <c r="AO305" s="26"/>
      <c r="AP305" s="26"/>
      <c r="AQ305" s="26">
        <v>43374</v>
      </c>
      <c r="AR305" s="24"/>
      <c r="AS305" s="24"/>
      <c r="AT305" s="24">
        <v>43376</v>
      </c>
      <c r="AU305" s="418">
        <f t="shared" si="14"/>
        <v>10</v>
      </c>
      <c r="AV305" s="418">
        <f t="shared" si="15"/>
        <v>2018</v>
      </c>
      <c r="AW305" s="24"/>
      <c r="AX305" s="28"/>
      <c r="AY305" s="28" t="s">
        <v>239</v>
      </c>
      <c r="AZ305" s="132" t="s">
        <v>9</v>
      </c>
      <c r="BA305" s="132"/>
      <c r="BB305" s="24"/>
      <c r="BC305" s="135" t="s">
        <v>1483</v>
      </c>
      <c r="BD305" s="24">
        <v>43296</v>
      </c>
      <c r="BE305" s="135" t="s">
        <v>1484</v>
      </c>
      <c r="BF305" s="135" t="s">
        <v>932</v>
      </c>
      <c r="BG305" s="144" t="s">
        <v>64</v>
      </c>
      <c r="BH305" s="144"/>
      <c r="BI305" s="314"/>
      <c r="BJ305" s="314"/>
      <c r="BK305" s="24"/>
      <c r="BL305" s="24"/>
      <c r="BM305" s="24"/>
      <c r="BN305" s="24"/>
      <c r="BO305" s="24">
        <f>+AQ305+21</f>
        <v>43395</v>
      </c>
      <c r="BP305" s="24"/>
      <c r="BQ305" s="24"/>
      <c r="BR305" s="43"/>
      <c r="BS305" s="24"/>
      <c r="BT305" s="24"/>
      <c r="BU305" s="24"/>
      <c r="BV305" s="132" t="e">
        <f>IF(#REF!="COMPLETO","OK","PENDIENTES")</f>
        <v>#REF!</v>
      </c>
      <c r="BW305" s="132"/>
      <c r="BX305" s="132"/>
      <c r="BY305" s="132"/>
      <c r="BZ305" s="132"/>
      <c r="CA305" s="132"/>
      <c r="CB305" s="132"/>
      <c r="CC305" s="22"/>
      <c r="CG305" s="24" t="s">
        <v>105</v>
      </c>
      <c r="CH305" s="24"/>
      <c r="CI305" s="24"/>
      <c r="CJ305" s="24"/>
    </row>
    <row r="306" spans="1:88" ht="15" customHeight="1">
      <c r="A306" s="18">
        <v>2018</v>
      </c>
      <c r="B306" s="18" t="str">
        <f>+INDEX(BDD!F:F,MATCH(P306,BDD!D:D,0))&amp;"-"&amp;INDEX(BDD!E:E,MATCH(P306,BDD!D:D,0))</f>
        <v>S-S</v>
      </c>
      <c r="C306" s="360" t="s">
        <v>484</v>
      </c>
      <c r="D306" s="150" t="s">
        <v>77</v>
      </c>
      <c r="E306" s="132"/>
      <c r="F306" s="24"/>
      <c r="G306" s="346">
        <v>8000000257</v>
      </c>
      <c r="H306" s="25" t="s">
        <v>1485</v>
      </c>
      <c r="I306" s="329"/>
      <c r="J306" s="346">
        <v>8000000257</v>
      </c>
      <c r="K306" s="24"/>
      <c r="L306" s="24"/>
      <c r="M306" s="24"/>
      <c r="N306" s="340" t="s">
        <v>486</v>
      </c>
      <c r="O306" s="334">
        <v>206971</v>
      </c>
      <c r="P306" s="25" t="s">
        <v>340</v>
      </c>
      <c r="Q306" s="127" t="s">
        <v>175</v>
      </c>
      <c r="R306" s="128">
        <v>5160</v>
      </c>
      <c r="S306" s="24">
        <v>43256</v>
      </c>
      <c r="T306" s="36" t="s">
        <v>19</v>
      </c>
      <c r="U306" s="125"/>
      <c r="V306" s="88" t="s">
        <v>1486</v>
      </c>
      <c r="W306" s="129"/>
      <c r="X306" s="88">
        <v>43335</v>
      </c>
      <c r="Y306" s="130" t="s">
        <v>20</v>
      </c>
      <c r="Z306" s="133" t="s">
        <v>81</v>
      </c>
      <c r="AA306" s="133"/>
      <c r="AB306" s="148">
        <v>250</v>
      </c>
      <c r="AC306" s="134">
        <v>505</v>
      </c>
      <c r="AD306" s="134"/>
      <c r="AE306" s="403">
        <f t="shared" si="13"/>
        <v>126250</v>
      </c>
      <c r="AF306" s="132">
        <v>10</v>
      </c>
      <c r="AG306" s="130" t="s">
        <v>5</v>
      </c>
      <c r="AH306" s="130"/>
      <c r="AI306" s="130" t="s">
        <v>34</v>
      </c>
      <c r="AJ306" s="130"/>
      <c r="AK306" s="130"/>
      <c r="AL306" s="135" t="s">
        <v>671</v>
      </c>
      <c r="AM306" s="314"/>
      <c r="AN306" s="26"/>
      <c r="AO306" s="26"/>
      <c r="AP306" s="26"/>
      <c r="AQ306" s="26">
        <v>43375</v>
      </c>
      <c r="AR306" s="24"/>
      <c r="AS306" s="24"/>
      <c r="AT306" s="26">
        <v>43378</v>
      </c>
      <c r="AU306" s="418">
        <f t="shared" si="14"/>
        <v>10</v>
      </c>
      <c r="AV306" s="418">
        <f t="shared" si="15"/>
        <v>2018</v>
      </c>
      <c r="AW306" s="26"/>
      <c r="AX306" s="28"/>
      <c r="AY306" s="28" t="s">
        <v>239</v>
      </c>
      <c r="AZ306" s="132" t="s">
        <v>37</v>
      </c>
      <c r="BA306" s="132"/>
      <c r="BB306" s="26"/>
      <c r="BC306" s="132" t="s">
        <v>1487</v>
      </c>
      <c r="BD306" s="24">
        <v>43321</v>
      </c>
      <c r="BE306" s="135" t="s">
        <v>1488</v>
      </c>
      <c r="BF306" s="135" t="s">
        <v>1489</v>
      </c>
      <c r="BG306" s="144" t="s">
        <v>64</v>
      </c>
      <c r="BH306" s="144"/>
      <c r="BI306" s="314"/>
      <c r="BJ306" s="314"/>
      <c r="BK306" s="24"/>
      <c r="BL306" s="24"/>
      <c r="BM306" s="24"/>
      <c r="BN306" s="24"/>
      <c r="BO306" s="24"/>
      <c r="BP306" s="24"/>
      <c r="BQ306" s="24"/>
      <c r="BR306" s="43"/>
      <c r="BS306" s="24"/>
      <c r="BT306" s="24"/>
      <c r="BU306" s="24"/>
      <c r="BV306" s="132" t="e">
        <f>IF(#REF!="COMPLETO","OK","PENDIENTES")</f>
        <v>#REF!</v>
      </c>
      <c r="BW306" s="132"/>
      <c r="BX306" s="132"/>
      <c r="BY306" s="132"/>
      <c r="BZ306" s="132"/>
      <c r="CA306" s="132"/>
      <c r="CB306" s="132"/>
      <c r="CC306" s="22"/>
      <c r="CG306" s="24" t="s">
        <v>105</v>
      </c>
      <c r="CH306" s="24"/>
      <c r="CI306" s="26"/>
      <c r="CJ306" s="26"/>
    </row>
    <row r="307" spans="1:88" ht="15" customHeight="1">
      <c r="A307" s="18">
        <v>2018</v>
      </c>
      <c r="B307" s="18" t="str">
        <f>+INDEX(BDD!F:F,MATCH(P307,BDD!D:D,0))&amp;"-"&amp;INDEX(BDD!E:E,MATCH(P307,BDD!D:D,0))</f>
        <v>S-S</v>
      </c>
      <c r="C307" s="360" t="s">
        <v>484</v>
      </c>
      <c r="D307" s="150" t="s">
        <v>77</v>
      </c>
      <c r="E307" s="132"/>
      <c r="F307" s="24"/>
      <c r="G307" s="346">
        <v>8000000263</v>
      </c>
      <c r="H307" s="25" t="s">
        <v>1490</v>
      </c>
      <c r="I307" s="329"/>
      <c r="J307" s="346">
        <v>8000000263</v>
      </c>
      <c r="K307" s="24"/>
      <c r="L307" s="24"/>
      <c r="M307" s="24"/>
      <c r="N307" s="340" t="s">
        <v>486</v>
      </c>
      <c r="O307" s="334">
        <v>206971</v>
      </c>
      <c r="P307" s="25" t="s">
        <v>340</v>
      </c>
      <c r="Q307" s="127" t="s">
        <v>175</v>
      </c>
      <c r="R307" s="128">
        <v>5160</v>
      </c>
      <c r="S307" s="24">
        <v>43256</v>
      </c>
      <c r="T307" s="36" t="s">
        <v>19</v>
      </c>
      <c r="U307" s="125"/>
      <c r="V307" s="147">
        <v>18080035</v>
      </c>
      <c r="W307" s="129"/>
      <c r="X307" s="88">
        <v>43347</v>
      </c>
      <c r="Y307" s="130" t="s">
        <v>20</v>
      </c>
      <c r="Z307" s="133" t="s">
        <v>81</v>
      </c>
      <c r="AA307" s="133"/>
      <c r="AB307" s="148">
        <v>275</v>
      </c>
      <c r="AC307" s="134">
        <v>505</v>
      </c>
      <c r="AD307" s="134"/>
      <c r="AE307" s="403">
        <f t="shared" si="13"/>
        <v>138875</v>
      </c>
      <c r="AF307" s="132">
        <v>11</v>
      </c>
      <c r="AG307" s="130" t="s">
        <v>5</v>
      </c>
      <c r="AH307" s="130"/>
      <c r="AI307" s="130" t="s">
        <v>34</v>
      </c>
      <c r="AJ307" s="130"/>
      <c r="AK307" s="130"/>
      <c r="AL307" s="135" t="s">
        <v>671</v>
      </c>
      <c r="AM307" s="314"/>
      <c r="AN307" s="26"/>
      <c r="AO307" s="26"/>
      <c r="AP307" s="26"/>
      <c r="AQ307" s="26">
        <v>43392</v>
      </c>
      <c r="AR307" s="24"/>
      <c r="AS307" s="24"/>
      <c r="AT307" s="26">
        <v>43399</v>
      </c>
      <c r="AU307" s="418">
        <f t="shared" si="14"/>
        <v>10</v>
      </c>
      <c r="AV307" s="418">
        <f t="shared" si="15"/>
        <v>2018</v>
      </c>
      <c r="AW307" s="26"/>
      <c r="AX307" s="28"/>
      <c r="AY307" s="28" t="s">
        <v>239</v>
      </c>
      <c r="AZ307" s="132" t="s">
        <v>37</v>
      </c>
      <c r="BA307" s="132"/>
      <c r="BB307" s="26"/>
      <c r="BC307" s="132" t="s">
        <v>1491</v>
      </c>
      <c r="BD307" s="24">
        <v>43331</v>
      </c>
      <c r="BE307" s="135" t="s">
        <v>1492</v>
      </c>
      <c r="BF307" s="135" t="s">
        <v>1493</v>
      </c>
      <c r="BG307" s="144" t="s">
        <v>64</v>
      </c>
      <c r="BH307" s="144"/>
      <c r="BI307" s="314"/>
      <c r="BJ307" s="314"/>
      <c r="BK307" s="24"/>
      <c r="BL307" s="24"/>
      <c r="BM307" s="24"/>
      <c r="BN307" s="24"/>
      <c r="BO307" s="24"/>
      <c r="BP307" s="24"/>
      <c r="BQ307" s="24"/>
      <c r="BR307" s="43"/>
      <c r="BS307" s="24"/>
      <c r="BT307" s="24"/>
      <c r="BU307" s="24"/>
      <c r="BV307" s="132" t="e">
        <f>IF(#REF!="COMPLETO","OK","PENDIENTES")</f>
        <v>#REF!</v>
      </c>
      <c r="BW307" s="132"/>
      <c r="BX307" s="132"/>
      <c r="BY307" s="132"/>
      <c r="BZ307" s="132"/>
      <c r="CA307" s="132"/>
      <c r="CB307" s="132"/>
      <c r="CC307" s="22"/>
      <c r="CG307" s="24" t="s">
        <v>105</v>
      </c>
      <c r="CH307" s="24"/>
      <c r="CI307" s="26"/>
      <c r="CJ307" s="26"/>
    </row>
    <row r="308" spans="1:88" ht="14.25" customHeight="1">
      <c r="A308" s="18">
        <v>2018</v>
      </c>
      <c r="B308" s="18" t="str">
        <f>+INDEX(BDD!F:F,MATCH(P308,BDD!D:D,0))&amp;"-"&amp;INDEX(BDD!E:E,MATCH(P308,BDD!D:D,0))</f>
        <v>S-S</v>
      </c>
      <c r="C308" s="360" t="s">
        <v>484</v>
      </c>
      <c r="D308" s="150" t="s">
        <v>77</v>
      </c>
      <c r="E308" s="132"/>
      <c r="F308" s="24"/>
      <c r="G308" s="346">
        <v>8000000268</v>
      </c>
      <c r="H308" s="25" t="s">
        <v>1494</v>
      </c>
      <c r="I308" s="329"/>
      <c r="J308" s="346">
        <v>8000000268</v>
      </c>
      <c r="K308" s="24"/>
      <c r="L308" s="24"/>
      <c r="M308" s="24"/>
      <c r="N308" s="340" t="s">
        <v>486</v>
      </c>
      <c r="O308" s="334">
        <v>206971</v>
      </c>
      <c r="P308" s="25" t="s">
        <v>340</v>
      </c>
      <c r="Q308" s="127" t="s">
        <v>175</v>
      </c>
      <c r="R308" s="128">
        <v>5160</v>
      </c>
      <c r="S308" s="24">
        <v>43256</v>
      </c>
      <c r="T308" s="36" t="s">
        <v>19</v>
      </c>
      <c r="U308" s="125"/>
      <c r="V308" s="147">
        <v>18090011</v>
      </c>
      <c r="W308" s="129"/>
      <c r="X308" s="88">
        <v>43374</v>
      </c>
      <c r="Y308" s="130" t="s">
        <v>20</v>
      </c>
      <c r="Z308" s="133" t="s">
        <v>81</v>
      </c>
      <c r="AA308" s="133"/>
      <c r="AB308" s="148">
        <v>100</v>
      </c>
      <c r="AC308" s="134">
        <v>505</v>
      </c>
      <c r="AD308" s="134"/>
      <c r="AE308" s="403">
        <f t="shared" si="13"/>
        <v>50500</v>
      </c>
      <c r="AF308" s="132">
        <v>4</v>
      </c>
      <c r="AG308" s="130" t="s">
        <v>5</v>
      </c>
      <c r="AH308" s="130"/>
      <c r="AI308" s="130" t="s">
        <v>34</v>
      </c>
      <c r="AJ308" s="130"/>
      <c r="AK308" s="130"/>
      <c r="AL308" s="135" t="s">
        <v>671</v>
      </c>
      <c r="AM308" s="314"/>
      <c r="AN308" s="26"/>
      <c r="AO308" s="26"/>
      <c r="AP308" s="26"/>
      <c r="AQ308" s="26">
        <v>43398</v>
      </c>
      <c r="AR308" s="24"/>
      <c r="AS308" s="24"/>
      <c r="AT308" s="24">
        <v>43400</v>
      </c>
      <c r="AU308" s="418">
        <f t="shared" si="14"/>
        <v>10</v>
      </c>
      <c r="AV308" s="418">
        <f t="shared" si="15"/>
        <v>2018</v>
      </c>
      <c r="AW308" s="24"/>
      <c r="AX308" s="28"/>
      <c r="AY308" s="28" t="s">
        <v>239</v>
      </c>
      <c r="AZ308" s="132" t="s">
        <v>37</v>
      </c>
      <c r="BA308" s="132"/>
      <c r="BB308" s="24"/>
      <c r="BC308" s="135" t="s">
        <v>1495</v>
      </c>
      <c r="BD308" s="26">
        <v>43348</v>
      </c>
      <c r="BE308" s="135" t="s">
        <v>1049</v>
      </c>
      <c r="BF308" s="135" t="s">
        <v>1496</v>
      </c>
      <c r="BG308" s="144" t="s">
        <v>14</v>
      </c>
      <c r="BH308" s="144"/>
      <c r="BI308" s="314"/>
      <c r="BJ308" s="314"/>
      <c r="BK308" s="26"/>
      <c r="BL308" s="26"/>
      <c r="BM308" s="26"/>
      <c r="BN308" s="26"/>
      <c r="BO308" s="24">
        <f>+AQ308+14</f>
        <v>43412</v>
      </c>
      <c r="BP308" s="24"/>
      <c r="BQ308" s="24"/>
      <c r="BR308" s="43"/>
      <c r="BS308" s="24"/>
      <c r="BT308" s="24"/>
      <c r="BU308" s="24"/>
      <c r="BV308" s="132" t="e">
        <f>IF(#REF!="COMPLETO","OK","PENDIENTES")</f>
        <v>#REF!</v>
      </c>
      <c r="BW308" s="132"/>
      <c r="BX308" s="132"/>
      <c r="BY308" s="132"/>
      <c r="BZ308" s="132"/>
      <c r="CA308" s="132"/>
      <c r="CB308" s="132"/>
      <c r="CC308" s="22"/>
      <c r="CG308" s="24" t="s">
        <v>105</v>
      </c>
      <c r="CH308" s="24"/>
      <c r="CI308" s="24"/>
      <c r="CJ308" s="24"/>
    </row>
    <row r="309" spans="1:88" ht="15" customHeight="1">
      <c r="A309" s="18">
        <v>2018</v>
      </c>
      <c r="B309" s="18" t="str">
        <f>+INDEX(BDD!F:F,MATCH(P309,BDD!D:D,0))&amp;"-"&amp;INDEX(BDD!E:E,MATCH(P309,BDD!D:D,0))</f>
        <v>S-S</v>
      </c>
      <c r="C309" s="360" t="s">
        <v>484</v>
      </c>
      <c r="D309" s="150" t="s">
        <v>77</v>
      </c>
      <c r="E309" s="132"/>
      <c r="F309" s="24"/>
      <c r="G309" s="346">
        <v>8000000252</v>
      </c>
      <c r="H309" s="25" t="s">
        <v>1497</v>
      </c>
      <c r="I309" s="329"/>
      <c r="J309" s="346">
        <v>8000000252</v>
      </c>
      <c r="K309" s="24"/>
      <c r="L309" s="24"/>
      <c r="M309" s="24"/>
      <c r="N309" s="340" t="s">
        <v>486</v>
      </c>
      <c r="O309" s="334">
        <v>206971</v>
      </c>
      <c r="P309" s="25" t="s">
        <v>340</v>
      </c>
      <c r="Q309" s="127" t="s">
        <v>175</v>
      </c>
      <c r="R309" s="128">
        <v>5160</v>
      </c>
      <c r="S309" s="24">
        <v>43256</v>
      </c>
      <c r="T309" s="36" t="s">
        <v>19</v>
      </c>
      <c r="U309" s="125"/>
      <c r="V309" s="88" t="s">
        <v>1498</v>
      </c>
      <c r="W309" s="129"/>
      <c r="X309" s="88">
        <v>43319</v>
      </c>
      <c r="Y309" s="130" t="s">
        <v>20</v>
      </c>
      <c r="Z309" s="133" t="s">
        <v>81</v>
      </c>
      <c r="AA309" s="133"/>
      <c r="AB309" s="148">
        <v>400</v>
      </c>
      <c r="AC309" s="134">
        <v>514</v>
      </c>
      <c r="AD309" s="134"/>
      <c r="AE309" s="403">
        <f t="shared" si="13"/>
        <v>205600</v>
      </c>
      <c r="AF309" s="132">
        <v>16</v>
      </c>
      <c r="AG309" s="130" t="s">
        <v>5</v>
      </c>
      <c r="AH309" s="130"/>
      <c r="AI309" s="130" t="s">
        <v>34</v>
      </c>
      <c r="AJ309" s="130"/>
      <c r="AK309" s="130"/>
      <c r="AL309" s="135" t="s">
        <v>671</v>
      </c>
      <c r="AM309" s="314"/>
      <c r="AN309" s="26"/>
      <c r="AO309" s="26"/>
      <c r="AP309" s="26"/>
      <c r="AQ309" s="26">
        <v>43374</v>
      </c>
      <c r="AR309" s="24"/>
      <c r="AS309" s="24"/>
      <c r="AT309" s="24">
        <v>43376</v>
      </c>
      <c r="AU309" s="418">
        <f t="shared" si="14"/>
        <v>10</v>
      </c>
      <c r="AV309" s="418">
        <f t="shared" si="15"/>
        <v>2018</v>
      </c>
      <c r="AW309" s="24"/>
      <c r="AX309" s="28"/>
      <c r="AY309" s="28" t="s">
        <v>239</v>
      </c>
      <c r="AZ309" s="132" t="s">
        <v>9</v>
      </c>
      <c r="BA309" s="132"/>
      <c r="BB309" s="24"/>
      <c r="BC309" s="132" t="s">
        <v>1499</v>
      </c>
      <c r="BD309" s="24">
        <v>43303</v>
      </c>
      <c r="BE309" s="135" t="s">
        <v>1500</v>
      </c>
      <c r="BF309" s="135" t="s">
        <v>932</v>
      </c>
      <c r="BG309" s="144" t="s">
        <v>64</v>
      </c>
      <c r="BH309" s="144"/>
      <c r="BI309" s="314"/>
      <c r="BJ309" s="314"/>
      <c r="BK309" s="24"/>
      <c r="BL309" s="24"/>
      <c r="BM309" s="24"/>
      <c r="BN309" s="24"/>
      <c r="BO309" s="24">
        <f>+AQ309+14</f>
        <v>43388</v>
      </c>
      <c r="BP309" s="24"/>
      <c r="BQ309" s="24"/>
      <c r="BR309" s="43"/>
      <c r="BS309" s="24"/>
      <c r="BT309" s="24"/>
      <c r="BU309" s="24"/>
      <c r="BV309" s="132" t="e">
        <f>IF(#REF!="COMPLETO","OK","PENDIENTES")</f>
        <v>#REF!</v>
      </c>
      <c r="BW309" s="132"/>
      <c r="BX309" s="132"/>
      <c r="BY309" s="132"/>
      <c r="BZ309" s="132"/>
      <c r="CA309" s="132"/>
      <c r="CB309" s="132"/>
      <c r="CC309" s="22"/>
      <c r="CG309" s="24" t="s">
        <v>105</v>
      </c>
      <c r="CH309" s="24"/>
      <c r="CI309" s="24"/>
      <c r="CJ309" s="24"/>
    </row>
    <row r="310" spans="1:88" ht="14.25" customHeight="1">
      <c r="A310" s="18">
        <v>2018</v>
      </c>
      <c r="B310" s="18" t="str">
        <f>+INDEX(BDD!F:F,MATCH(P310,BDD!D:D,0))&amp;"-"&amp;INDEX(BDD!E:E,MATCH(P310,BDD!D:D,0))</f>
        <v>S-S</v>
      </c>
      <c r="C310" s="360" t="s">
        <v>484</v>
      </c>
      <c r="D310" s="150" t="s">
        <v>77</v>
      </c>
      <c r="E310" s="132"/>
      <c r="F310" s="24"/>
      <c r="G310" s="346">
        <v>8000000253</v>
      </c>
      <c r="H310" s="25" t="s">
        <v>1501</v>
      </c>
      <c r="I310" s="329"/>
      <c r="J310" s="346">
        <v>8000000253</v>
      </c>
      <c r="K310" s="24"/>
      <c r="L310" s="24"/>
      <c r="M310" s="24"/>
      <c r="N310" s="340" t="s">
        <v>486</v>
      </c>
      <c r="O310" s="334">
        <v>206971</v>
      </c>
      <c r="P310" s="25" t="s">
        <v>340</v>
      </c>
      <c r="Q310" s="127" t="s">
        <v>175</v>
      </c>
      <c r="R310" s="128">
        <v>5160</v>
      </c>
      <c r="S310" s="24">
        <v>43256</v>
      </c>
      <c r="T310" s="36" t="s">
        <v>19</v>
      </c>
      <c r="U310" s="125"/>
      <c r="V310" s="88" t="s">
        <v>1502</v>
      </c>
      <c r="W310" s="129"/>
      <c r="X310" s="88">
        <v>43335</v>
      </c>
      <c r="Y310" s="130" t="s">
        <v>20</v>
      </c>
      <c r="Z310" s="133" t="s">
        <v>81</v>
      </c>
      <c r="AA310" s="133"/>
      <c r="AB310" s="148">
        <v>150</v>
      </c>
      <c r="AC310" s="134">
        <v>514</v>
      </c>
      <c r="AD310" s="134"/>
      <c r="AE310" s="403">
        <f t="shared" si="13"/>
        <v>77100</v>
      </c>
      <c r="AF310" s="132">
        <v>6</v>
      </c>
      <c r="AG310" s="130" t="s">
        <v>5</v>
      </c>
      <c r="AH310" s="130"/>
      <c r="AI310" s="130" t="s">
        <v>34</v>
      </c>
      <c r="AJ310" s="130"/>
      <c r="AK310" s="130"/>
      <c r="AL310" s="135" t="s">
        <v>671</v>
      </c>
      <c r="AM310" s="314"/>
      <c r="AN310" s="26"/>
      <c r="AO310" s="26"/>
      <c r="AP310" s="26"/>
      <c r="AQ310" s="26">
        <v>43374</v>
      </c>
      <c r="AR310" s="24"/>
      <c r="AS310" s="24"/>
      <c r="AT310" s="24">
        <v>43376</v>
      </c>
      <c r="AU310" s="418">
        <f t="shared" si="14"/>
        <v>10</v>
      </c>
      <c r="AV310" s="418">
        <f t="shared" si="15"/>
        <v>2018</v>
      </c>
      <c r="AW310" s="24"/>
      <c r="AX310" s="28"/>
      <c r="AY310" s="28" t="s">
        <v>239</v>
      </c>
      <c r="AZ310" s="132" t="s">
        <v>9</v>
      </c>
      <c r="BA310" s="132"/>
      <c r="BB310" s="24"/>
      <c r="BC310" s="135" t="s">
        <v>1503</v>
      </c>
      <c r="BD310" s="24">
        <v>43311</v>
      </c>
      <c r="BE310" s="135" t="s">
        <v>1504</v>
      </c>
      <c r="BF310" s="135" t="s">
        <v>932</v>
      </c>
      <c r="BG310" s="144" t="s">
        <v>64</v>
      </c>
      <c r="BH310" s="144"/>
      <c r="BI310" s="314"/>
      <c r="BJ310" s="314"/>
      <c r="BK310" s="24"/>
      <c r="BL310" s="24"/>
      <c r="BM310" s="24"/>
      <c r="BN310" s="24"/>
      <c r="BO310" s="24">
        <f>+AQ310+21</f>
        <v>43395</v>
      </c>
      <c r="BP310" s="24"/>
      <c r="BQ310" s="24"/>
      <c r="BR310" s="43"/>
      <c r="BS310" s="24"/>
      <c r="BT310" s="24"/>
      <c r="BU310" s="24"/>
      <c r="BV310" s="132" t="e">
        <f>IF(#REF!="COMPLETO","OK","PENDIENTES")</f>
        <v>#REF!</v>
      </c>
      <c r="BW310" s="132"/>
      <c r="BX310" s="132"/>
      <c r="BY310" s="132"/>
      <c r="BZ310" s="132"/>
      <c r="CA310" s="132"/>
      <c r="CB310" s="132"/>
      <c r="CC310" s="22"/>
      <c r="CG310" s="24" t="s">
        <v>105</v>
      </c>
      <c r="CH310" s="24"/>
      <c r="CI310" s="24"/>
      <c r="CJ310" s="24"/>
    </row>
    <row r="311" spans="1:88" ht="15" customHeight="1">
      <c r="A311" s="18">
        <v>2018</v>
      </c>
      <c r="B311" s="18" t="str">
        <f>+INDEX(BDD!F:F,MATCH(P311,BDD!D:D,0))&amp;"-"&amp;INDEX(BDD!E:E,MATCH(P311,BDD!D:D,0))</f>
        <v>S-S</v>
      </c>
      <c r="C311" s="360" t="s">
        <v>484</v>
      </c>
      <c r="D311" s="150" t="s">
        <v>77</v>
      </c>
      <c r="E311" s="132"/>
      <c r="F311" s="24"/>
      <c r="G311" s="346">
        <v>8000000194</v>
      </c>
      <c r="H311" s="25" t="s">
        <v>1505</v>
      </c>
      <c r="I311" s="329"/>
      <c r="J311" s="346">
        <v>8000000194</v>
      </c>
      <c r="K311" s="24"/>
      <c r="L311" s="24"/>
      <c r="M311" s="24"/>
      <c r="N311" s="340" t="s">
        <v>486</v>
      </c>
      <c r="O311" s="334">
        <v>206971</v>
      </c>
      <c r="P311" s="25" t="s">
        <v>340</v>
      </c>
      <c r="Q311" s="127" t="s">
        <v>175</v>
      </c>
      <c r="R311" s="128">
        <v>5160</v>
      </c>
      <c r="S311" s="24">
        <v>43256</v>
      </c>
      <c r="T311" s="36" t="s">
        <v>19</v>
      </c>
      <c r="U311" s="125"/>
      <c r="V311" s="147">
        <v>18080006</v>
      </c>
      <c r="W311" s="129"/>
      <c r="X311" s="88">
        <v>43335</v>
      </c>
      <c r="Y311" s="130" t="s">
        <v>20</v>
      </c>
      <c r="Z311" s="133" t="s">
        <v>81</v>
      </c>
      <c r="AA311" s="133"/>
      <c r="AB311" s="148">
        <v>325</v>
      </c>
      <c r="AC311" s="134">
        <v>514</v>
      </c>
      <c r="AD311" s="134"/>
      <c r="AE311" s="403">
        <f t="shared" si="13"/>
        <v>167050</v>
      </c>
      <c r="AF311" s="132">
        <v>13</v>
      </c>
      <c r="AG311" s="130" t="s">
        <v>5</v>
      </c>
      <c r="AH311" s="130"/>
      <c r="AI311" s="130" t="s">
        <v>34</v>
      </c>
      <c r="AJ311" s="130"/>
      <c r="AK311" s="130"/>
      <c r="AL311" s="135" t="s">
        <v>671</v>
      </c>
      <c r="AM311" s="314"/>
      <c r="AN311" s="26"/>
      <c r="AO311" s="26"/>
      <c r="AP311" s="26"/>
      <c r="AQ311" s="26">
        <v>43409</v>
      </c>
      <c r="AR311" s="24"/>
      <c r="AS311" s="24"/>
      <c r="AT311" s="24">
        <v>43411</v>
      </c>
      <c r="AU311" s="418">
        <f t="shared" si="14"/>
        <v>11</v>
      </c>
      <c r="AV311" s="418">
        <f t="shared" si="15"/>
        <v>2018</v>
      </c>
      <c r="AW311" s="24"/>
      <c r="AX311" s="28"/>
      <c r="AY311" s="28" t="s">
        <v>239</v>
      </c>
      <c r="AZ311" s="132" t="s">
        <v>9</v>
      </c>
      <c r="BA311" s="132"/>
      <c r="BB311" s="24"/>
      <c r="BC311" s="135" t="s">
        <v>1506</v>
      </c>
      <c r="BD311" s="24">
        <v>43318</v>
      </c>
      <c r="BE311" s="135" t="s">
        <v>1507</v>
      </c>
      <c r="BF311" s="135" t="s">
        <v>1508</v>
      </c>
      <c r="BG311" s="135" t="s">
        <v>64</v>
      </c>
      <c r="BH311" s="135"/>
      <c r="BI311" s="314"/>
      <c r="BJ311" s="314"/>
      <c r="BK311" s="24"/>
      <c r="BL311" s="24"/>
      <c r="BM311" s="24"/>
      <c r="BN311" s="24"/>
      <c r="BO311" s="24"/>
      <c r="BP311" s="24"/>
      <c r="BQ311" s="24"/>
      <c r="BR311" s="43"/>
      <c r="BS311" s="24"/>
      <c r="BT311" s="24"/>
      <c r="BU311" s="24"/>
      <c r="BV311" s="132" t="e">
        <f>IF(#REF!="COMPLETO","OK","PENDIENTES")</f>
        <v>#REF!</v>
      </c>
      <c r="BW311" s="132"/>
      <c r="BX311" s="132"/>
      <c r="BY311" s="132"/>
      <c r="BZ311" s="132"/>
      <c r="CA311" s="132"/>
      <c r="CB311" s="132"/>
      <c r="CC311" s="22"/>
      <c r="CG311" s="24" t="s">
        <v>105</v>
      </c>
      <c r="CH311" s="24"/>
      <c r="CI311" s="24"/>
      <c r="CJ311" s="24"/>
    </row>
    <row r="312" spans="1:88" ht="15" customHeight="1">
      <c r="A312" s="18">
        <v>2018</v>
      </c>
      <c r="B312" s="18" t="str">
        <f>+INDEX(BDD!F:F,MATCH(P312,BDD!D:D,0))&amp;"-"&amp;INDEX(BDD!E:E,MATCH(P312,BDD!D:D,0))</f>
        <v>S-P</v>
      </c>
      <c r="C312" s="360" t="s">
        <v>484</v>
      </c>
      <c r="D312" s="150" t="s">
        <v>77</v>
      </c>
      <c r="E312" s="132"/>
      <c r="F312" s="24"/>
      <c r="G312" s="346">
        <v>8000000243</v>
      </c>
      <c r="H312" s="25" t="s">
        <v>1509</v>
      </c>
      <c r="I312" s="329"/>
      <c r="J312" s="346">
        <v>8000000243</v>
      </c>
      <c r="K312" s="24"/>
      <c r="L312" s="24"/>
      <c r="M312" s="24"/>
      <c r="N312" s="340" t="s">
        <v>486</v>
      </c>
      <c r="O312" s="334">
        <v>209981</v>
      </c>
      <c r="P312" s="25" t="s">
        <v>2</v>
      </c>
      <c r="Q312" s="127" t="s">
        <v>213</v>
      </c>
      <c r="R312" s="128" t="s">
        <v>1510</v>
      </c>
      <c r="S312" s="24">
        <v>43259</v>
      </c>
      <c r="T312" s="36" t="s">
        <v>19</v>
      </c>
      <c r="U312" s="125"/>
      <c r="V312" s="147" t="s">
        <v>1511</v>
      </c>
      <c r="W312" s="129"/>
      <c r="X312" s="88">
        <v>43335</v>
      </c>
      <c r="Y312" s="130" t="s">
        <v>20</v>
      </c>
      <c r="Z312" s="133" t="s">
        <v>72</v>
      </c>
      <c r="AA312" s="133"/>
      <c r="AB312" s="148">
        <v>558.6</v>
      </c>
      <c r="AC312" s="134">
        <v>878</v>
      </c>
      <c r="AD312" s="134"/>
      <c r="AE312" s="403">
        <f t="shared" si="13"/>
        <v>490450.80000000005</v>
      </c>
      <c r="AF312" s="132">
        <v>21</v>
      </c>
      <c r="AG312" s="130" t="s">
        <v>5</v>
      </c>
      <c r="AH312" s="130"/>
      <c r="AI312" s="130" t="s">
        <v>80</v>
      </c>
      <c r="AJ312" s="130"/>
      <c r="AK312" s="130"/>
      <c r="AL312" s="135" t="s">
        <v>1512</v>
      </c>
      <c r="AM312" s="314"/>
      <c r="AN312" s="26"/>
      <c r="AO312" s="26"/>
      <c r="AP312" s="26"/>
      <c r="AQ312" s="26">
        <v>43365</v>
      </c>
      <c r="AR312" s="24"/>
      <c r="AS312" s="24"/>
      <c r="AT312" s="26">
        <v>43371</v>
      </c>
      <c r="AU312" s="418">
        <f t="shared" si="14"/>
        <v>9</v>
      </c>
      <c r="AV312" s="418">
        <f t="shared" si="15"/>
        <v>2018</v>
      </c>
      <c r="AW312" s="26"/>
      <c r="AX312" s="28"/>
      <c r="AY312" s="28" t="s">
        <v>149</v>
      </c>
      <c r="AZ312" s="132" t="s">
        <v>37</v>
      </c>
      <c r="BA312" s="132"/>
      <c r="BB312" s="26"/>
      <c r="BC312" s="135" t="s">
        <v>1513</v>
      </c>
      <c r="BD312" s="24">
        <v>43316</v>
      </c>
      <c r="BE312" s="135" t="s">
        <v>861</v>
      </c>
      <c r="BF312" s="135" t="s">
        <v>1514</v>
      </c>
      <c r="BG312" s="135" t="s">
        <v>29</v>
      </c>
      <c r="BH312" s="135"/>
      <c r="BI312" s="314"/>
      <c r="BJ312" s="314"/>
      <c r="BK312" s="24"/>
      <c r="BL312" s="24"/>
      <c r="BM312" s="24"/>
      <c r="BN312" s="24"/>
      <c r="BO312" s="24"/>
      <c r="BP312" s="24"/>
      <c r="BQ312" s="24"/>
      <c r="BR312" s="43"/>
      <c r="BS312" s="24"/>
      <c r="BT312" s="24"/>
      <c r="BU312" s="24"/>
      <c r="BV312" s="132" t="e">
        <f>IF(#REF!="COMPLETO","OK","PENDIENTES")</f>
        <v>#REF!</v>
      </c>
      <c r="BW312" s="132"/>
      <c r="BX312" s="132"/>
      <c r="BY312" s="132"/>
      <c r="BZ312" s="132"/>
      <c r="CA312" s="132"/>
      <c r="CB312" s="132"/>
      <c r="CC312" s="22"/>
      <c r="CG312" s="24" t="s">
        <v>105</v>
      </c>
      <c r="CH312" s="24"/>
      <c r="CI312" s="26"/>
      <c r="CJ312" s="26"/>
    </row>
    <row r="313" spans="1:88" ht="15" customHeight="1">
      <c r="A313" s="18">
        <v>2018</v>
      </c>
      <c r="B313" s="18" t="str">
        <f>+INDEX(BDD!F:F,MATCH(P313,BDD!D:D,0))&amp;"-"&amp;INDEX(BDD!E:E,MATCH(P313,BDD!D:D,0))</f>
        <v>S-P</v>
      </c>
      <c r="C313" s="360" t="s">
        <v>484</v>
      </c>
      <c r="D313" s="150" t="s">
        <v>77</v>
      </c>
      <c r="E313" s="132"/>
      <c r="F313" s="24"/>
      <c r="G313" s="346">
        <v>8000000227</v>
      </c>
      <c r="H313" s="25" t="s">
        <v>1515</v>
      </c>
      <c r="I313" s="329"/>
      <c r="J313" s="346">
        <v>8000000227</v>
      </c>
      <c r="K313" s="24"/>
      <c r="L313" s="24"/>
      <c r="M313" s="24"/>
      <c r="N313" s="340" t="s">
        <v>486</v>
      </c>
      <c r="O313" s="334">
        <v>209981</v>
      </c>
      <c r="P313" s="25" t="s">
        <v>2</v>
      </c>
      <c r="Q313" s="127" t="s">
        <v>213</v>
      </c>
      <c r="R313" s="128" t="s">
        <v>1516</v>
      </c>
      <c r="S313" s="24">
        <v>43259</v>
      </c>
      <c r="T313" s="36" t="s">
        <v>19</v>
      </c>
      <c r="U313" s="125"/>
      <c r="V313" s="147">
        <v>201810089</v>
      </c>
      <c r="W313" s="129"/>
      <c r="X313" s="88">
        <v>43332</v>
      </c>
      <c r="Y313" s="130" t="s">
        <v>20</v>
      </c>
      <c r="Z313" s="133" t="s">
        <v>72</v>
      </c>
      <c r="AA313" s="133"/>
      <c r="AB313" s="148">
        <v>424.05599999999998</v>
      </c>
      <c r="AC313" s="134">
        <v>883</v>
      </c>
      <c r="AD313" s="134"/>
      <c r="AE313" s="403">
        <f t="shared" si="13"/>
        <v>374441.44799999997</v>
      </c>
      <c r="AF313" s="132">
        <v>16</v>
      </c>
      <c r="AG313" s="130" t="s">
        <v>5</v>
      </c>
      <c r="AH313" s="130"/>
      <c r="AI313" s="130" t="s">
        <v>80</v>
      </c>
      <c r="AJ313" s="130"/>
      <c r="AK313" s="130"/>
      <c r="AL313" s="135" t="s">
        <v>1512</v>
      </c>
      <c r="AM313" s="314"/>
      <c r="AN313" s="26"/>
      <c r="AO313" s="26"/>
      <c r="AP313" s="26"/>
      <c r="AQ313" s="26">
        <v>43352</v>
      </c>
      <c r="AR313" s="24"/>
      <c r="AS313" s="24"/>
      <c r="AT313" s="24">
        <v>43355</v>
      </c>
      <c r="AU313" s="418">
        <f t="shared" si="14"/>
        <v>9</v>
      </c>
      <c r="AV313" s="418">
        <f t="shared" si="15"/>
        <v>2018</v>
      </c>
      <c r="AW313" s="24"/>
      <c r="AX313" s="28"/>
      <c r="AY313" s="28" t="s">
        <v>149</v>
      </c>
      <c r="AZ313" s="132" t="s">
        <v>9</v>
      </c>
      <c r="BA313" s="132"/>
      <c r="BB313" s="24"/>
      <c r="BC313" s="135" t="s">
        <v>1517</v>
      </c>
      <c r="BD313" s="24">
        <v>43306</v>
      </c>
      <c r="BE313" s="135" t="s">
        <v>861</v>
      </c>
      <c r="BF313" s="135" t="s">
        <v>1518</v>
      </c>
      <c r="BG313" s="135" t="s">
        <v>65</v>
      </c>
      <c r="BH313" s="135"/>
      <c r="BI313" s="314"/>
      <c r="BJ313" s="314"/>
      <c r="BK313" s="24"/>
      <c r="BL313" s="24"/>
      <c r="BM313" s="24"/>
      <c r="BN313" s="24"/>
      <c r="BO313" s="24"/>
      <c r="BP313" s="24"/>
      <c r="BQ313" s="24"/>
      <c r="BR313" s="43"/>
      <c r="BS313" s="24"/>
      <c r="BT313" s="24"/>
      <c r="BU313" s="24"/>
      <c r="BV313" s="132" t="e">
        <f>IF(#REF!="COMPLETO","OK","PENDIENTES")</f>
        <v>#REF!</v>
      </c>
      <c r="BW313" s="132"/>
      <c r="BX313" s="132"/>
      <c r="BY313" s="132"/>
      <c r="BZ313" s="132"/>
      <c r="CA313" s="132"/>
      <c r="CB313" s="132"/>
      <c r="CC313" s="22"/>
      <c r="CG313" s="24" t="s">
        <v>105</v>
      </c>
      <c r="CH313" s="24"/>
      <c r="CI313" s="24"/>
      <c r="CJ313" s="24"/>
    </row>
    <row r="314" spans="1:88" ht="15" customHeight="1">
      <c r="A314" s="18">
        <v>2018</v>
      </c>
      <c r="B314" s="18" t="str">
        <f>+INDEX(BDD!F:F,MATCH(P314,BDD!D:D,0))&amp;"-"&amp;INDEX(BDD!E:E,MATCH(P314,BDD!D:D,0))</f>
        <v>S-P</v>
      </c>
      <c r="C314" s="360" t="s">
        <v>484</v>
      </c>
      <c r="D314" s="150" t="s">
        <v>77</v>
      </c>
      <c r="E314" s="132"/>
      <c r="F314" s="24"/>
      <c r="G314" s="346">
        <v>8000000181</v>
      </c>
      <c r="H314" s="25" t="s">
        <v>1519</v>
      </c>
      <c r="I314" s="329"/>
      <c r="J314" s="346">
        <v>8000000181</v>
      </c>
      <c r="K314" s="24"/>
      <c r="L314" s="24"/>
      <c r="M314" s="24"/>
      <c r="N314" s="340" t="s">
        <v>486</v>
      </c>
      <c r="O314" s="334">
        <v>209981</v>
      </c>
      <c r="P314" s="25" t="s">
        <v>2</v>
      </c>
      <c r="Q314" s="127" t="s">
        <v>213</v>
      </c>
      <c r="R314" s="128" t="s">
        <v>1516</v>
      </c>
      <c r="S314" s="24">
        <v>43259</v>
      </c>
      <c r="T314" s="36" t="s">
        <v>19</v>
      </c>
      <c r="U314" s="125"/>
      <c r="V314" s="147" t="s">
        <v>1520</v>
      </c>
      <c r="W314" s="129"/>
      <c r="X314" s="88">
        <v>43340</v>
      </c>
      <c r="Y314" s="130" t="s">
        <v>20</v>
      </c>
      <c r="Z314" s="133" t="s">
        <v>72</v>
      </c>
      <c r="AA314" s="133"/>
      <c r="AB314" s="148">
        <v>106.4</v>
      </c>
      <c r="AC314" s="134">
        <v>883</v>
      </c>
      <c r="AD314" s="134"/>
      <c r="AE314" s="403">
        <f t="shared" si="13"/>
        <v>93951.200000000012</v>
      </c>
      <c r="AF314" s="132">
        <v>4</v>
      </c>
      <c r="AG314" s="130" t="s">
        <v>5</v>
      </c>
      <c r="AH314" s="130"/>
      <c r="AI314" s="130" t="s">
        <v>80</v>
      </c>
      <c r="AJ314" s="130"/>
      <c r="AK314" s="130"/>
      <c r="AL314" s="135" t="s">
        <v>1512</v>
      </c>
      <c r="AM314" s="314"/>
      <c r="AN314" s="26"/>
      <c r="AO314" s="26"/>
      <c r="AP314" s="26"/>
      <c r="AQ314" s="26">
        <v>43384</v>
      </c>
      <c r="AR314" s="24"/>
      <c r="AS314" s="24"/>
      <c r="AT314" s="24">
        <v>43388</v>
      </c>
      <c r="AU314" s="418">
        <f t="shared" si="14"/>
        <v>10</v>
      </c>
      <c r="AV314" s="418">
        <f t="shared" si="15"/>
        <v>2018</v>
      </c>
      <c r="AW314" s="24"/>
      <c r="AX314" s="28"/>
      <c r="AY314" s="28" t="s">
        <v>149</v>
      </c>
      <c r="AZ314" s="132" t="s">
        <v>9</v>
      </c>
      <c r="BA314" s="132"/>
      <c r="BB314" s="24"/>
      <c r="BC314" s="135" t="s">
        <v>1521</v>
      </c>
      <c r="BD314" s="24">
        <v>43313</v>
      </c>
      <c r="BE314" s="135" t="s">
        <v>1522</v>
      </c>
      <c r="BF314" s="135" t="s">
        <v>769</v>
      </c>
      <c r="BG314" s="135" t="s">
        <v>65</v>
      </c>
      <c r="BH314" s="135"/>
      <c r="BI314" s="314"/>
      <c r="BJ314" s="314"/>
      <c r="BK314" s="24"/>
      <c r="BL314" s="24"/>
      <c r="BM314" s="24"/>
      <c r="BN314" s="24"/>
      <c r="BO314" s="24">
        <v>43398</v>
      </c>
      <c r="BP314" s="24"/>
      <c r="BQ314" s="24"/>
      <c r="BR314" s="43"/>
      <c r="BS314" s="24"/>
      <c r="BT314" s="24"/>
      <c r="BU314" s="24"/>
      <c r="BV314" s="132" t="e">
        <f>IF(#REF!="COMPLETO","OK","PENDIENTES")</f>
        <v>#REF!</v>
      </c>
      <c r="BW314" s="132"/>
      <c r="BX314" s="132"/>
      <c r="BY314" s="132"/>
      <c r="BZ314" s="132"/>
      <c r="CA314" s="132"/>
      <c r="CB314" s="132"/>
      <c r="CC314" s="22"/>
      <c r="CG314" s="24" t="s">
        <v>105</v>
      </c>
      <c r="CH314" s="24"/>
      <c r="CI314" s="24"/>
      <c r="CJ314" s="24"/>
    </row>
    <row r="315" spans="1:88" ht="15" customHeight="1">
      <c r="A315" s="18">
        <v>2018</v>
      </c>
      <c r="B315" s="18" t="str">
        <f>+INDEX(BDD!F:F,MATCH(P315,BDD!D:D,0))&amp;"-"&amp;INDEX(BDD!E:E,MATCH(P315,BDD!D:D,0))</f>
        <v>S-S</v>
      </c>
      <c r="C315" s="360" t="s">
        <v>484</v>
      </c>
      <c r="D315" s="150" t="s">
        <v>77</v>
      </c>
      <c r="E315" s="132"/>
      <c r="F315" s="24"/>
      <c r="G315" s="346">
        <v>8000000176</v>
      </c>
      <c r="H315" s="25" t="s">
        <v>1523</v>
      </c>
      <c r="I315" s="329"/>
      <c r="J315" s="346">
        <v>8000000176</v>
      </c>
      <c r="K315" s="24"/>
      <c r="L315" s="24"/>
      <c r="M315" s="24"/>
      <c r="N315" s="340" t="s">
        <v>486</v>
      </c>
      <c r="O315" s="334">
        <v>207578</v>
      </c>
      <c r="P315" s="25" t="s">
        <v>316</v>
      </c>
      <c r="Q315" s="127" t="s">
        <v>213</v>
      </c>
      <c r="R315" s="128" t="s">
        <v>1524</v>
      </c>
      <c r="S315" s="24">
        <v>43266</v>
      </c>
      <c r="T315" s="36">
        <v>90</v>
      </c>
      <c r="U315" s="125" t="s">
        <v>118</v>
      </c>
      <c r="V315" s="147" t="s">
        <v>1525</v>
      </c>
      <c r="W315" s="129"/>
      <c r="X315" s="88">
        <f>IF(RIGHT(U315,3)="ETA",AQ315+T315,IF(RIGHT(U315,2)="BL",BD315+T315," "))</f>
        <v>43396</v>
      </c>
      <c r="Y315" s="130" t="s">
        <v>20</v>
      </c>
      <c r="Z315" s="133" t="s">
        <v>72</v>
      </c>
      <c r="AA315" s="133"/>
      <c r="AB315" s="148">
        <v>448</v>
      </c>
      <c r="AC315" s="134">
        <v>266</v>
      </c>
      <c r="AD315" s="134"/>
      <c r="AE315" s="403">
        <f t="shared" si="13"/>
        <v>119168</v>
      </c>
      <c r="AF315" s="132">
        <v>16</v>
      </c>
      <c r="AG315" s="130" t="s">
        <v>21</v>
      </c>
      <c r="AH315" s="130"/>
      <c r="AI315" s="130" t="s">
        <v>34</v>
      </c>
      <c r="AJ315" s="130"/>
      <c r="AK315" s="130"/>
      <c r="AL315" s="135" t="s">
        <v>671</v>
      </c>
      <c r="AM315" s="314"/>
      <c r="AN315" s="26"/>
      <c r="AO315" s="26"/>
      <c r="AP315" s="26"/>
      <c r="AQ315" s="26">
        <v>43337</v>
      </c>
      <c r="AR315" s="24"/>
      <c r="AS315" s="24"/>
      <c r="AT315" s="164">
        <v>43341</v>
      </c>
      <c r="AU315" s="418">
        <f t="shared" si="14"/>
        <v>8</v>
      </c>
      <c r="AV315" s="418">
        <f t="shared" si="15"/>
        <v>2018</v>
      </c>
      <c r="AW315" s="164"/>
      <c r="AX315" s="28"/>
      <c r="AY315" s="28" t="s">
        <v>311</v>
      </c>
      <c r="AZ315" s="132" t="s">
        <v>37</v>
      </c>
      <c r="BA315" s="132"/>
      <c r="BB315" s="164"/>
      <c r="BC315" s="135" t="s">
        <v>1526</v>
      </c>
      <c r="BD315" s="24">
        <v>43306</v>
      </c>
      <c r="BE315" s="135" t="s">
        <v>1527</v>
      </c>
      <c r="BF315" s="135" t="s">
        <v>1528</v>
      </c>
      <c r="BG315" s="135" t="s">
        <v>174</v>
      </c>
      <c r="BH315" s="135"/>
      <c r="BI315" s="314"/>
      <c r="BJ315" s="314"/>
      <c r="BK315" s="24"/>
      <c r="BL315" s="24"/>
      <c r="BM315" s="24"/>
      <c r="BN315" s="24"/>
      <c r="BO315" s="24">
        <f>+AQ315+14</f>
        <v>43351</v>
      </c>
      <c r="BP315" s="24"/>
      <c r="BQ315" s="24"/>
      <c r="BR315" s="43"/>
      <c r="BS315" s="24"/>
      <c r="BT315" s="24"/>
      <c r="BU315" s="24"/>
      <c r="BV315" s="132" t="e">
        <f>IF(#REF!="COMPLETO","OK","PENDIENTES")</f>
        <v>#REF!</v>
      </c>
      <c r="BW315" s="132"/>
      <c r="BX315" s="132"/>
      <c r="BY315" s="132"/>
      <c r="BZ315" s="132"/>
      <c r="CA315" s="132"/>
      <c r="CB315" s="132"/>
      <c r="CC315" s="22"/>
      <c r="CG315" s="24" t="s">
        <v>105</v>
      </c>
      <c r="CH315" s="24"/>
      <c r="CI315" s="164"/>
      <c r="CJ315" s="164"/>
    </row>
    <row r="316" spans="1:88" ht="15" customHeight="1">
      <c r="A316" s="18">
        <v>2018</v>
      </c>
      <c r="B316" s="18" t="str">
        <f>+INDEX(BDD!F:F,MATCH(P316,BDD!D:D,0))&amp;"-"&amp;INDEX(BDD!E:E,MATCH(P316,BDD!D:D,0))</f>
        <v>S-S</v>
      </c>
      <c r="C316" s="360" t="s">
        <v>484</v>
      </c>
      <c r="D316" s="150" t="s">
        <v>77</v>
      </c>
      <c r="E316" s="132"/>
      <c r="F316" s="24"/>
      <c r="G316" s="346">
        <v>8000000200</v>
      </c>
      <c r="H316" s="25" t="s">
        <v>1529</v>
      </c>
      <c r="I316" s="329"/>
      <c r="J316" s="346">
        <v>8000000200</v>
      </c>
      <c r="K316" s="24"/>
      <c r="L316" s="24"/>
      <c r="M316" s="24"/>
      <c r="N316" s="340" t="s">
        <v>486</v>
      </c>
      <c r="O316" s="334">
        <v>207578</v>
      </c>
      <c r="P316" s="25" t="s">
        <v>316</v>
      </c>
      <c r="Q316" s="127" t="s">
        <v>213</v>
      </c>
      <c r="R316" s="128" t="s">
        <v>1530</v>
      </c>
      <c r="S316" s="24">
        <v>43266</v>
      </c>
      <c r="T316" s="36">
        <v>90</v>
      </c>
      <c r="U316" s="125" t="s">
        <v>118</v>
      </c>
      <c r="V316" s="147" t="s">
        <v>1531</v>
      </c>
      <c r="W316" s="129"/>
      <c r="X316" s="88">
        <f>IF(RIGHT(U316,3)="ETA",AQ316+T316,IF(RIGHT(U316,2)="BL",BD316+T316," "))</f>
        <v>43396</v>
      </c>
      <c r="Y316" s="130" t="s">
        <v>20</v>
      </c>
      <c r="Z316" s="133" t="s">
        <v>72</v>
      </c>
      <c r="AA316" s="133"/>
      <c r="AB316" s="148">
        <v>1092</v>
      </c>
      <c r="AC316" s="134">
        <v>271</v>
      </c>
      <c r="AD316" s="134"/>
      <c r="AE316" s="403">
        <f t="shared" si="13"/>
        <v>295932</v>
      </c>
      <c r="AF316" s="132">
        <v>39</v>
      </c>
      <c r="AG316" s="130" t="s">
        <v>21</v>
      </c>
      <c r="AH316" s="130"/>
      <c r="AI316" s="130" t="s">
        <v>34</v>
      </c>
      <c r="AJ316" s="130"/>
      <c r="AK316" s="130"/>
      <c r="AL316" s="135" t="s">
        <v>671</v>
      </c>
      <c r="AM316" s="314"/>
      <c r="AN316" s="26"/>
      <c r="AO316" s="26"/>
      <c r="AP316" s="26"/>
      <c r="AQ316" s="26">
        <v>43348</v>
      </c>
      <c r="AR316" s="24"/>
      <c r="AS316" s="24"/>
      <c r="AT316" s="24">
        <v>43349</v>
      </c>
      <c r="AU316" s="418">
        <f t="shared" si="14"/>
        <v>9</v>
      </c>
      <c r="AV316" s="418">
        <f t="shared" si="15"/>
        <v>2018</v>
      </c>
      <c r="AW316" s="24"/>
      <c r="AX316" s="28"/>
      <c r="AY316" s="28" t="s">
        <v>311</v>
      </c>
      <c r="AZ316" s="132" t="s">
        <v>9</v>
      </c>
      <c r="BA316" s="132"/>
      <c r="BB316" s="24"/>
      <c r="BC316" s="135" t="s">
        <v>1532</v>
      </c>
      <c r="BD316" s="24">
        <v>43306</v>
      </c>
      <c r="BE316" s="135" t="s">
        <v>1527</v>
      </c>
      <c r="BF316" s="135" t="s">
        <v>1533</v>
      </c>
      <c r="BG316" s="135" t="s">
        <v>174</v>
      </c>
      <c r="BH316" s="135"/>
      <c r="BI316" s="314"/>
      <c r="BJ316" s="314"/>
      <c r="BK316" s="24"/>
      <c r="BL316" s="24"/>
      <c r="BM316" s="24"/>
      <c r="BN316" s="24"/>
      <c r="BO316" s="24">
        <f>+AQ316+14</f>
        <v>43362</v>
      </c>
      <c r="BP316" s="24"/>
      <c r="BQ316" s="24"/>
      <c r="BR316" s="43"/>
      <c r="BS316" s="24"/>
      <c r="BT316" s="24"/>
      <c r="BU316" s="24"/>
      <c r="BV316" s="132" t="e">
        <f>IF(#REF!="COMPLETO","OK","PENDIENTES")</f>
        <v>#REF!</v>
      </c>
      <c r="BW316" s="132"/>
      <c r="BX316" s="132"/>
      <c r="BY316" s="132"/>
      <c r="BZ316" s="132"/>
      <c r="CA316" s="132"/>
      <c r="CB316" s="132"/>
      <c r="CC316" s="22"/>
      <c r="CG316" s="24" t="s">
        <v>105</v>
      </c>
      <c r="CH316" s="24"/>
      <c r="CI316" s="24"/>
      <c r="CJ316" s="24"/>
    </row>
    <row r="317" spans="1:88" ht="15" customHeight="1">
      <c r="A317" s="18">
        <v>2018</v>
      </c>
      <c r="B317" s="18" t="str">
        <f>+INDEX(BDD!F:F,MATCH(P317,BDD!D:D,0))&amp;"-"&amp;INDEX(BDD!E:E,MATCH(P317,BDD!D:D,0))</f>
        <v>E-S</v>
      </c>
      <c r="C317" s="360" t="s">
        <v>484</v>
      </c>
      <c r="D317" s="150" t="s">
        <v>77</v>
      </c>
      <c r="E317" s="132"/>
      <c r="F317" s="24"/>
      <c r="G317" s="346">
        <v>8000000178</v>
      </c>
      <c r="H317" s="25" t="s">
        <v>1534</v>
      </c>
      <c r="I317" s="329"/>
      <c r="J317" s="346">
        <v>8000000178</v>
      </c>
      <c r="K317" s="24"/>
      <c r="L317" s="24"/>
      <c r="M317" s="24"/>
      <c r="N317" s="340" t="s">
        <v>486</v>
      </c>
      <c r="O317" s="334">
        <v>209980</v>
      </c>
      <c r="P317" s="25" t="s">
        <v>310</v>
      </c>
      <c r="Q317" s="127" t="s">
        <v>187</v>
      </c>
      <c r="R317" s="128" t="s">
        <v>1535</v>
      </c>
      <c r="S317" s="24"/>
      <c r="T317" s="36">
        <v>30</v>
      </c>
      <c r="U317" s="125" t="s">
        <v>118</v>
      </c>
      <c r="V317" s="155">
        <v>50434568</v>
      </c>
      <c r="W317" s="129"/>
      <c r="X317" s="88">
        <f>IF(RIGHT(U317,3)="ETA",AQ317+T317,IF(RIGHT(U317,2)="BL",BD317+T317," "))</f>
        <v>43393</v>
      </c>
      <c r="Y317" s="130" t="s">
        <v>20</v>
      </c>
      <c r="Z317" s="133" t="s">
        <v>81</v>
      </c>
      <c r="AA317" s="133"/>
      <c r="AB317" s="148">
        <v>3.82</v>
      </c>
      <c r="AC317" s="134">
        <v>12970</v>
      </c>
      <c r="AD317" s="134"/>
      <c r="AE317" s="403">
        <f t="shared" si="13"/>
        <v>49545.4</v>
      </c>
      <c r="AF317" s="132" t="str">
        <f>IF(W317=BDD!$P$1,IMPORTS!AB317/25,IF(W317=BDD!$P$2,IMPORTS!AB317/25,IF(IMPORTS!W317=BDD!$P$4,IMPORTS!AB317/25.5,"--")))</f>
        <v>--</v>
      </c>
      <c r="AG317" s="130" t="s">
        <v>5</v>
      </c>
      <c r="AH317" s="130"/>
      <c r="AI317" s="130" t="s">
        <v>6</v>
      </c>
      <c r="AJ317" s="130"/>
      <c r="AK317" s="130"/>
      <c r="AL317" s="135" t="s">
        <v>671</v>
      </c>
      <c r="AM317" s="314"/>
      <c r="AN317" s="26"/>
      <c r="AO317" s="26"/>
      <c r="AP317" s="26"/>
      <c r="AQ317" s="26">
        <v>43419</v>
      </c>
      <c r="AR317" s="24"/>
      <c r="AS317" s="24"/>
      <c r="AT317" s="24">
        <v>43421</v>
      </c>
      <c r="AU317" s="418">
        <f t="shared" si="14"/>
        <v>11</v>
      </c>
      <c r="AV317" s="418">
        <f t="shared" si="15"/>
        <v>2018</v>
      </c>
      <c r="AW317" s="24"/>
      <c r="AX317" s="28"/>
      <c r="AY317" s="28" t="s">
        <v>153</v>
      </c>
      <c r="AZ317" s="132" t="s">
        <v>37</v>
      </c>
      <c r="BA317" s="132"/>
      <c r="BB317" s="24"/>
      <c r="BC317" s="135" t="s">
        <v>1536</v>
      </c>
      <c r="BD317" s="26">
        <v>43363</v>
      </c>
      <c r="BE317" s="135" t="s">
        <v>1537</v>
      </c>
      <c r="BF317" s="135" t="s">
        <v>1334</v>
      </c>
      <c r="BG317" s="135" t="s">
        <v>14</v>
      </c>
      <c r="BH317" s="135"/>
      <c r="BI317" s="314"/>
      <c r="BJ317" s="314"/>
      <c r="BK317" s="26"/>
      <c r="BL317" s="26"/>
      <c r="BM317" s="26"/>
      <c r="BN317" s="26"/>
      <c r="BO317" s="24"/>
      <c r="BP317" s="24"/>
      <c r="BQ317" s="24"/>
      <c r="BR317" s="43"/>
      <c r="BS317" s="24"/>
      <c r="BT317" s="24"/>
      <c r="BU317" s="24"/>
      <c r="BV317" s="132" t="e">
        <f>IF(#REF!="COMPLETO","OK","PENDIENTES")</f>
        <v>#REF!</v>
      </c>
      <c r="BW317" s="132"/>
      <c r="BX317" s="132"/>
      <c r="BY317" s="132"/>
      <c r="BZ317" s="132"/>
      <c r="CA317" s="132"/>
      <c r="CB317" s="132"/>
      <c r="CC317" s="22"/>
      <c r="CG317" s="24" t="s">
        <v>105</v>
      </c>
      <c r="CH317" s="24"/>
      <c r="CI317" s="24"/>
      <c r="CJ317" s="24"/>
    </row>
    <row r="318" spans="1:88" ht="15" customHeight="1">
      <c r="A318" s="18">
        <v>2018</v>
      </c>
      <c r="B318" s="18" t="str">
        <f>+INDEX(BDD!F:F,MATCH(P318,BDD!D:D,0))&amp;"-"&amp;INDEX(BDD!E:E,MATCH(P318,BDD!D:D,0))</f>
        <v>E-S</v>
      </c>
      <c r="C318" s="360" t="s">
        <v>484</v>
      </c>
      <c r="D318" s="150" t="s">
        <v>77</v>
      </c>
      <c r="E318" s="132"/>
      <c r="F318" s="24"/>
      <c r="G318" s="346">
        <v>8000000178</v>
      </c>
      <c r="H318" s="25" t="s">
        <v>1538</v>
      </c>
      <c r="I318" s="329"/>
      <c r="J318" s="346">
        <v>8000000178</v>
      </c>
      <c r="K318" s="24"/>
      <c r="L318" s="24"/>
      <c r="M318" s="24"/>
      <c r="N318" s="340" t="s">
        <v>486</v>
      </c>
      <c r="O318" s="334">
        <v>209981</v>
      </c>
      <c r="P318" s="25" t="s">
        <v>312</v>
      </c>
      <c r="Q318" s="127" t="s">
        <v>187</v>
      </c>
      <c r="R318" s="128" t="s">
        <v>1535</v>
      </c>
      <c r="S318" s="24"/>
      <c r="T318" s="36">
        <v>30</v>
      </c>
      <c r="U318" s="125" t="s">
        <v>118</v>
      </c>
      <c r="V318" s="155">
        <v>50434568</v>
      </c>
      <c r="W318" s="129"/>
      <c r="X318" s="88">
        <f>IF(RIGHT(U318,3)="ETA",AQ318+T318,IF(RIGHT(U318,2)="BL",BD318+T318," "))</f>
        <v>43393</v>
      </c>
      <c r="Y318" s="130" t="s">
        <v>20</v>
      </c>
      <c r="Z318" s="133" t="s">
        <v>81</v>
      </c>
      <c r="AA318" s="133"/>
      <c r="AB318" s="148">
        <v>1.86</v>
      </c>
      <c r="AC318" s="134">
        <v>5370</v>
      </c>
      <c r="AD318" s="134"/>
      <c r="AE318" s="403">
        <f t="shared" si="13"/>
        <v>9988.2000000000007</v>
      </c>
      <c r="AF318" s="132" t="str">
        <f>IF(W318=BDD!$P$1,IMPORTS!AB318/25,IF(W318=BDD!$P$2,IMPORTS!AB318/25,IF(IMPORTS!W318=BDD!$P$4,IMPORTS!AB318/25.5,"--")))</f>
        <v>--</v>
      </c>
      <c r="AG318" s="130" t="s">
        <v>5</v>
      </c>
      <c r="AH318" s="130"/>
      <c r="AI318" s="130" t="s">
        <v>6</v>
      </c>
      <c r="AJ318" s="130"/>
      <c r="AK318" s="130"/>
      <c r="AL318" s="135" t="s">
        <v>671</v>
      </c>
      <c r="AM318" s="314"/>
      <c r="AN318" s="26"/>
      <c r="AO318" s="26"/>
      <c r="AP318" s="26"/>
      <c r="AQ318" s="26">
        <v>43419</v>
      </c>
      <c r="AR318" s="24"/>
      <c r="AS318" s="24"/>
      <c r="AT318" s="24">
        <v>43421</v>
      </c>
      <c r="AU318" s="418">
        <f t="shared" si="14"/>
        <v>11</v>
      </c>
      <c r="AV318" s="418">
        <f t="shared" si="15"/>
        <v>2018</v>
      </c>
      <c r="AW318" s="24"/>
      <c r="AX318" s="28"/>
      <c r="AY318" s="28" t="s">
        <v>153</v>
      </c>
      <c r="AZ318" s="132" t="s">
        <v>37</v>
      </c>
      <c r="BA318" s="132"/>
      <c r="BB318" s="24"/>
      <c r="BC318" s="135" t="s">
        <v>1536</v>
      </c>
      <c r="BD318" s="26">
        <v>43363</v>
      </c>
      <c r="BE318" s="135" t="s">
        <v>1537</v>
      </c>
      <c r="BF318" s="135" t="s">
        <v>1334</v>
      </c>
      <c r="BG318" s="135" t="s">
        <v>14</v>
      </c>
      <c r="BH318" s="135"/>
      <c r="BI318" s="314"/>
      <c r="BJ318" s="314"/>
      <c r="BK318" s="26"/>
      <c r="BL318" s="26"/>
      <c r="BM318" s="26"/>
      <c r="BN318" s="26"/>
      <c r="BO318" s="24"/>
      <c r="BP318" s="24"/>
      <c r="BQ318" s="24"/>
      <c r="BR318" s="43"/>
      <c r="BS318" s="24"/>
      <c r="BT318" s="24"/>
      <c r="BU318" s="24"/>
      <c r="BV318" s="132" t="e">
        <f>IF(#REF!="COMPLETO","OK","PENDIENTES")</f>
        <v>#REF!</v>
      </c>
      <c r="BW318" s="132"/>
      <c r="BX318" s="132"/>
      <c r="BY318" s="132"/>
      <c r="BZ318" s="132"/>
      <c r="CA318" s="132"/>
      <c r="CB318" s="132"/>
      <c r="CC318" s="22"/>
      <c r="CG318" s="24" t="s">
        <v>105</v>
      </c>
      <c r="CH318" s="24"/>
      <c r="CI318" s="24"/>
      <c r="CJ318" s="24"/>
    </row>
    <row r="319" spans="1:88" ht="15" customHeight="1">
      <c r="A319" s="18">
        <v>2018</v>
      </c>
      <c r="B319" s="18" t="str">
        <f>+INDEX(BDD!F:F,MATCH(P319,BDD!D:D,0))&amp;"-"&amp;INDEX(BDD!E:E,MATCH(P319,BDD!D:D,0))</f>
        <v>E-S</v>
      </c>
      <c r="C319" s="360" t="s">
        <v>484</v>
      </c>
      <c r="D319" s="150" t="s">
        <v>77</v>
      </c>
      <c r="E319" s="132"/>
      <c r="F319" s="24"/>
      <c r="G319" s="346">
        <v>8000000178</v>
      </c>
      <c r="H319" s="25" t="s">
        <v>1539</v>
      </c>
      <c r="I319" s="329"/>
      <c r="J319" s="346">
        <v>8000000178</v>
      </c>
      <c r="K319" s="24"/>
      <c r="L319" s="24"/>
      <c r="M319" s="24"/>
      <c r="N319" s="340" t="s">
        <v>486</v>
      </c>
      <c r="O319" s="334">
        <v>209982</v>
      </c>
      <c r="P319" s="25" t="s">
        <v>314</v>
      </c>
      <c r="Q319" s="127" t="s">
        <v>187</v>
      </c>
      <c r="R319" s="128" t="s">
        <v>1535</v>
      </c>
      <c r="S319" s="24"/>
      <c r="T319" s="36">
        <v>30</v>
      </c>
      <c r="U319" s="125" t="s">
        <v>118</v>
      </c>
      <c r="V319" s="155">
        <v>50434568</v>
      </c>
      <c r="W319" s="129"/>
      <c r="X319" s="88">
        <f>IF(RIGHT(U319,3)="ETA",AQ319+T319,IF(RIGHT(U319,2)="BL",BD319+T319," "))</f>
        <v>43393</v>
      </c>
      <c r="Y319" s="130" t="s">
        <v>20</v>
      </c>
      <c r="Z319" s="133" t="s">
        <v>81</v>
      </c>
      <c r="AA319" s="133"/>
      <c r="AB319" s="148">
        <v>2.1</v>
      </c>
      <c r="AC319" s="134">
        <v>5370</v>
      </c>
      <c r="AD319" s="134"/>
      <c r="AE319" s="403">
        <f t="shared" si="13"/>
        <v>11277</v>
      </c>
      <c r="AF319" s="132" t="str">
        <f>IF(W319=BDD!$P$1,IMPORTS!AB319/25,IF(W319=BDD!$P$2,IMPORTS!AB319/25,IF(IMPORTS!W319=BDD!$P$4,IMPORTS!AB319/25.5,"--")))</f>
        <v>--</v>
      </c>
      <c r="AG319" s="130" t="s">
        <v>5</v>
      </c>
      <c r="AH319" s="130"/>
      <c r="AI319" s="130" t="s">
        <v>6</v>
      </c>
      <c r="AJ319" s="130"/>
      <c r="AK319" s="130"/>
      <c r="AL319" s="135" t="s">
        <v>671</v>
      </c>
      <c r="AM319" s="314"/>
      <c r="AN319" s="26"/>
      <c r="AO319" s="26"/>
      <c r="AP319" s="26"/>
      <c r="AQ319" s="26">
        <v>43419</v>
      </c>
      <c r="AR319" s="24"/>
      <c r="AS319" s="24"/>
      <c r="AT319" s="24">
        <v>43421</v>
      </c>
      <c r="AU319" s="418">
        <f t="shared" si="14"/>
        <v>11</v>
      </c>
      <c r="AV319" s="418">
        <f t="shared" si="15"/>
        <v>2018</v>
      </c>
      <c r="AW319" s="24"/>
      <c r="AX319" s="28"/>
      <c r="AY319" s="28" t="s">
        <v>153</v>
      </c>
      <c r="AZ319" s="132" t="s">
        <v>37</v>
      </c>
      <c r="BA319" s="132"/>
      <c r="BB319" s="24"/>
      <c r="BC319" s="135" t="s">
        <v>1536</v>
      </c>
      <c r="BD319" s="26">
        <v>43363</v>
      </c>
      <c r="BE319" s="135" t="s">
        <v>1537</v>
      </c>
      <c r="BF319" s="135" t="s">
        <v>1334</v>
      </c>
      <c r="BG319" s="135" t="s">
        <v>14</v>
      </c>
      <c r="BH319" s="135"/>
      <c r="BI319" s="314"/>
      <c r="BJ319" s="314"/>
      <c r="BK319" s="26"/>
      <c r="BL319" s="26"/>
      <c r="BM319" s="26"/>
      <c r="BN319" s="26"/>
      <c r="BO319" s="24"/>
      <c r="BP319" s="24"/>
      <c r="BQ319" s="24"/>
      <c r="BR319" s="43"/>
      <c r="BS319" s="24"/>
      <c r="BT319" s="24"/>
      <c r="BU319" s="24"/>
      <c r="BV319" s="132" t="e">
        <f>IF(#REF!="COMPLETO","OK","PENDIENTES")</f>
        <v>#REF!</v>
      </c>
      <c r="BW319" s="132"/>
      <c r="BX319" s="132"/>
      <c r="BY319" s="132"/>
      <c r="BZ319" s="132"/>
      <c r="CA319" s="132"/>
      <c r="CB319" s="132"/>
      <c r="CC319" s="22"/>
      <c r="CG319" s="24" t="s">
        <v>105</v>
      </c>
      <c r="CH319" s="24"/>
      <c r="CI319" s="24"/>
      <c r="CJ319" s="24"/>
    </row>
    <row r="320" spans="1:88" ht="15" customHeight="1">
      <c r="A320" s="18">
        <v>2018</v>
      </c>
      <c r="B320" s="18" t="str">
        <f>+INDEX(BDD!F:F,MATCH(P320,BDD!D:D,0))&amp;"-"&amp;INDEX(BDD!E:E,MATCH(P320,BDD!D:D,0))</f>
        <v>G-S</v>
      </c>
      <c r="C320" s="360" t="s">
        <v>484</v>
      </c>
      <c r="D320" s="150" t="s">
        <v>77</v>
      </c>
      <c r="E320" s="132"/>
      <c r="F320" s="24"/>
      <c r="G320" s="346">
        <v>8000000210</v>
      </c>
      <c r="H320" s="25" t="s">
        <v>1540</v>
      </c>
      <c r="I320" s="329"/>
      <c r="J320" s="346">
        <v>8000000210</v>
      </c>
      <c r="K320" s="24"/>
      <c r="L320" s="24"/>
      <c r="M320" s="24"/>
      <c r="N320" s="340" t="s">
        <v>486</v>
      </c>
      <c r="O320" s="334"/>
      <c r="P320" s="25" t="s">
        <v>333</v>
      </c>
      <c r="Q320" s="127" t="s">
        <v>306</v>
      </c>
      <c r="R320" s="128" t="s">
        <v>1541</v>
      </c>
      <c r="S320" s="24">
        <v>43277</v>
      </c>
      <c r="T320" s="36" t="s">
        <v>19</v>
      </c>
      <c r="U320" s="125"/>
      <c r="V320" s="147" t="s">
        <v>1542</v>
      </c>
      <c r="W320" s="129"/>
      <c r="X320" s="88">
        <v>43325</v>
      </c>
      <c r="Y320" s="130" t="s">
        <v>20</v>
      </c>
      <c r="Z320" s="133" t="s">
        <v>60</v>
      </c>
      <c r="AA320" s="133"/>
      <c r="AB320" s="148">
        <v>2640</v>
      </c>
      <c r="AC320" s="134">
        <v>155</v>
      </c>
      <c r="AD320" s="134"/>
      <c r="AE320" s="403">
        <f t="shared" si="13"/>
        <v>409200</v>
      </c>
      <c r="AF320" s="132" t="str">
        <f>IF(W320=BDD!$P$1,IMPORTS!AB320/25,IF(W320=BDD!$P$2,IMPORTS!AB320/25,IF(IMPORTS!W320=BDD!$P$4,IMPORTS!AB320/25.5,"--")))</f>
        <v>--</v>
      </c>
      <c r="AG320" s="130" t="s">
        <v>46</v>
      </c>
      <c r="AH320" s="130"/>
      <c r="AI320" s="130" t="s">
        <v>100</v>
      </c>
      <c r="AJ320" s="130"/>
      <c r="AK320" s="130"/>
      <c r="AL320" s="135" t="s">
        <v>1543</v>
      </c>
      <c r="AM320" s="314"/>
      <c r="AN320" s="26"/>
      <c r="AO320" s="26"/>
      <c r="AP320" s="26"/>
      <c r="AQ320" s="26">
        <v>43344</v>
      </c>
      <c r="AR320" s="24"/>
      <c r="AS320" s="24"/>
      <c r="AT320" s="24">
        <v>43346</v>
      </c>
      <c r="AU320" s="418">
        <f t="shared" si="14"/>
        <v>9</v>
      </c>
      <c r="AV320" s="418">
        <f t="shared" si="15"/>
        <v>2018</v>
      </c>
      <c r="AW320" s="24"/>
      <c r="AX320" s="28"/>
      <c r="AY320" s="28" t="s">
        <v>230</v>
      </c>
      <c r="AZ320" s="132" t="s">
        <v>9</v>
      </c>
      <c r="BA320" s="132"/>
      <c r="BB320" s="24"/>
      <c r="BC320" s="135" t="s">
        <v>1544</v>
      </c>
      <c r="BD320" s="26">
        <v>43304</v>
      </c>
      <c r="BE320" s="135" t="s">
        <v>1545</v>
      </c>
      <c r="BF320" s="135" t="s">
        <v>1545</v>
      </c>
      <c r="BG320" s="135" t="s">
        <v>52</v>
      </c>
      <c r="BH320" s="135"/>
      <c r="BI320" s="314"/>
      <c r="BJ320" s="314"/>
      <c r="BK320" s="24"/>
      <c r="BL320" s="24"/>
      <c r="BM320" s="24"/>
      <c r="BN320" s="24"/>
      <c r="BO320" s="24"/>
      <c r="BP320" s="24"/>
      <c r="BQ320" s="24"/>
      <c r="BR320" s="43"/>
      <c r="BS320" s="24"/>
      <c r="BT320" s="24"/>
      <c r="BU320" s="24"/>
      <c r="BV320" s="132" t="e">
        <f>IF(#REF!="COMPLETO","OK","PENDIENTES")</f>
        <v>#REF!</v>
      </c>
      <c r="BW320" s="132"/>
      <c r="BX320" s="132"/>
      <c r="BY320" s="132"/>
      <c r="BZ320" s="132"/>
      <c r="CA320" s="132"/>
      <c r="CB320" s="132"/>
      <c r="CC320" s="22"/>
      <c r="CG320" s="24" t="s">
        <v>105</v>
      </c>
      <c r="CH320" s="24"/>
      <c r="CI320" s="24"/>
      <c r="CJ320" s="24"/>
    </row>
    <row r="321" spans="1:88" ht="15" customHeight="1">
      <c r="A321" s="18">
        <v>2018</v>
      </c>
      <c r="B321" s="18" t="str">
        <f>+INDEX(BDD!F:F,MATCH(P321,BDD!D:D,0))&amp;"-"&amp;INDEX(BDD!E:E,MATCH(P321,BDD!D:D,0))</f>
        <v>G-S</v>
      </c>
      <c r="C321" s="360" t="s">
        <v>484</v>
      </c>
      <c r="D321" s="150" t="s">
        <v>77</v>
      </c>
      <c r="E321" s="132"/>
      <c r="F321" s="24"/>
      <c r="G321" s="346">
        <v>8000000214</v>
      </c>
      <c r="H321" s="25" t="s">
        <v>1546</v>
      </c>
      <c r="I321" s="329"/>
      <c r="J321" s="346">
        <v>8000000214</v>
      </c>
      <c r="K321" s="24"/>
      <c r="L321" s="24"/>
      <c r="M321" s="24"/>
      <c r="N321" s="340" t="s">
        <v>486</v>
      </c>
      <c r="O321" s="334"/>
      <c r="P321" s="25" t="s">
        <v>333</v>
      </c>
      <c r="Q321" s="127" t="s">
        <v>306</v>
      </c>
      <c r="R321" s="128" t="s">
        <v>1541</v>
      </c>
      <c r="S321" s="24">
        <v>43277</v>
      </c>
      <c r="T321" s="36" t="s">
        <v>19</v>
      </c>
      <c r="U321" s="125"/>
      <c r="V321" s="147" t="s">
        <v>1547</v>
      </c>
      <c r="W321" s="129"/>
      <c r="X321" s="88">
        <v>43325</v>
      </c>
      <c r="Y321" s="130" t="s">
        <v>20</v>
      </c>
      <c r="Z321" s="133" t="s">
        <v>60</v>
      </c>
      <c r="AA321" s="133"/>
      <c r="AB321" s="148">
        <v>2640</v>
      </c>
      <c r="AC321" s="134">
        <v>155</v>
      </c>
      <c r="AD321" s="134"/>
      <c r="AE321" s="403">
        <f t="shared" si="13"/>
        <v>409200</v>
      </c>
      <c r="AF321" s="132" t="str">
        <f>IF(W321=BDD!$P$1,IMPORTS!AB321/25,IF(W321=BDD!$P$2,IMPORTS!AB321/25,IF(IMPORTS!W321=BDD!$P$4,IMPORTS!AB321/25.5,"--")))</f>
        <v>--</v>
      </c>
      <c r="AG321" s="130" t="s">
        <v>46</v>
      </c>
      <c r="AH321" s="130"/>
      <c r="AI321" s="130" t="s">
        <v>100</v>
      </c>
      <c r="AJ321" s="130"/>
      <c r="AK321" s="130"/>
      <c r="AL321" s="135" t="s">
        <v>1543</v>
      </c>
      <c r="AM321" s="314"/>
      <c r="AN321" s="26"/>
      <c r="AO321" s="26"/>
      <c r="AP321" s="26"/>
      <c r="AQ321" s="26">
        <v>43347</v>
      </c>
      <c r="AR321" s="27"/>
      <c r="AS321" s="24"/>
      <c r="AT321" s="24">
        <v>43348</v>
      </c>
      <c r="AU321" s="418">
        <f t="shared" si="14"/>
        <v>9</v>
      </c>
      <c r="AV321" s="418">
        <f t="shared" si="15"/>
        <v>2018</v>
      </c>
      <c r="AW321" s="24"/>
      <c r="AX321" s="28"/>
      <c r="AY321" s="28" t="s">
        <v>230</v>
      </c>
      <c r="AZ321" s="132" t="s">
        <v>25</v>
      </c>
      <c r="BA321" s="132"/>
      <c r="BB321" s="24"/>
      <c r="BC321" s="135" t="s">
        <v>1548</v>
      </c>
      <c r="BD321" s="26">
        <v>43304</v>
      </c>
      <c r="BE321" s="135" t="s">
        <v>1545</v>
      </c>
      <c r="BF321" s="135" t="s">
        <v>1545</v>
      </c>
      <c r="BG321" s="135" t="s">
        <v>52</v>
      </c>
      <c r="BH321" s="135"/>
      <c r="BI321" s="314"/>
      <c r="BJ321" s="314"/>
      <c r="BK321" s="24"/>
      <c r="BL321" s="24"/>
      <c r="BM321" s="24"/>
      <c r="BN321" s="24"/>
      <c r="BO321" s="27"/>
      <c r="BP321" s="27"/>
      <c r="BQ321" s="27"/>
      <c r="BR321" s="228"/>
      <c r="BS321" s="27"/>
      <c r="BT321" s="27"/>
      <c r="BU321" s="27"/>
      <c r="BV321" s="132" t="e">
        <f>IF(#REF!="COMPLETO","OK","PENDIENTES")</f>
        <v>#REF!</v>
      </c>
      <c r="BW321" s="132"/>
      <c r="BX321" s="132"/>
      <c r="BY321" s="132"/>
      <c r="BZ321" s="132"/>
      <c r="CA321" s="132"/>
      <c r="CB321" s="132"/>
      <c r="CC321" s="22"/>
      <c r="CG321" s="24" t="s">
        <v>105</v>
      </c>
      <c r="CH321" s="24"/>
      <c r="CI321" s="24"/>
      <c r="CJ321" s="24"/>
    </row>
    <row r="322" spans="1:88" ht="15" customHeight="1">
      <c r="A322" s="18">
        <v>2018</v>
      </c>
      <c r="B322" s="18" t="str">
        <f>+INDEX(BDD!F:F,MATCH(P322,BDD!D:D,0))&amp;"-"&amp;INDEX(BDD!E:E,MATCH(P322,BDD!D:D,0))</f>
        <v>G-S</v>
      </c>
      <c r="C322" s="360" t="s">
        <v>484</v>
      </c>
      <c r="D322" s="150" t="s">
        <v>77</v>
      </c>
      <c r="E322" s="132"/>
      <c r="F322" s="24"/>
      <c r="G322" s="346">
        <v>8000000221</v>
      </c>
      <c r="H322" s="25" t="s">
        <v>1549</v>
      </c>
      <c r="I322" s="329"/>
      <c r="J322" s="346">
        <v>8000000221</v>
      </c>
      <c r="K322" s="24"/>
      <c r="L322" s="24"/>
      <c r="M322" s="24"/>
      <c r="N322" s="340" t="s">
        <v>486</v>
      </c>
      <c r="O322" s="334"/>
      <c r="P322" s="25" t="s">
        <v>333</v>
      </c>
      <c r="Q322" s="127" t="s">
        <v>306</v>
      </c>
      <c r="R322" s="128" t="s">
        <v>1541</v>
      </c>
      <c r="S322" s="24">
        <v>43277</v>
      </c>
      <c r="T322" s="36" t="s">
        <v>19</v>
      </c>
      <c r="U322" s="125"/>
      <c r="V322" s="147" t="s">
        <v>1550</v>
      </c>
      <c r="W322" s="129"/>
      <c r="X322" s="88">
        <v>43325</v>
      </c>
      <c r="Y322" s="130" t="s">
        <v>20</v>
      </c>
      <c r="Z322" s="133" t="s">
        <v>60</v>
      </c>
      <c r="AA322" s="133"/>
      <c r="AB322" s="148">
        <v>850</v>
      </c>
      <c r="AC322" s="134">
        <v>155</v>
      </c>
      <c r="AD322" s="134"/>
      <c r="AE322" s="403">
        <f t="shared" ref="AE322:AE385" si="16">AB322*AC322</f>
        <v>131750</v>
      </c>
      <c r="AF322" s="132" t="str">
        <f>IF(W322=BDD!$P$1,IMPORTS!AB322/25,IF(W322=BDD!$P$2,IMPORTS!AB322/25,IF(IMPORTS!W322=BDD!$P$4,IMPORTS!AB322/25.5,"--")))</f>
        <v>--</v>
      </c>
      <c r="AG322" s="130" t="s">
        <v>46</v>
      </c>
      <c r="AH322" s="130"/>
      <c r="AI322" s="130" t="s">
        <v>100</v>
      </c>
      <c r="AJ322" s="130"/>
      <c r="AK322" s="130"/>
      <c r="AL322" s="135" t="s">
        <v>1543</v>
      </c>
      <c r="AM322" s="314"/>
      <c r="AN322" s="26"/>
      <c r="AO322" s="26"/>
      <c r="AP322" s="26"/>
      <c r="AQ322" s="26">
        <v>43350</v>
      </c>
      <c r="AR322" s="24"/>
      <c r="AS322" s="24"/>
      <c r="AT322" s="24">
        <v>43351</v>
      </c>
      <c r="AU322" s="418">
        <f t="shared" si="14"/>
        <v>9</v>
      </c>
      <c r="AV322" s="418">
        <f t="shared" si="15"/>
        <v>2018</v>
      </c>
      <c r="AW322" s="24"/>
      <c r="AX322" s="28"/>
      <c r="AY322" s="28" t="s">
        <v>230</v>
      </c>
      <c r="AZ322" s="132" t="s">
        <v>37</v>
      </c>
      <c r="BA322" s="132"/>
      <c r="BB322" s="24"/>
      <c r="BC322" s="135" t="s">
        <v>1551</v>
      </c>
      <c r="BD322" s="26">
        <v>43304</v>
      </c>
      <c r="BE322" s="135" t="s">
        <v>1545</v>
      </c>
      <c r="BF322" s="135" t="s">
        <v>1545</v>
      </c>
      <c r="BG322" s="135" t="s">
        <v>52</v>
      </c>
      <c r="BH322" s="135"/>
      <c r="BI322" s="314"/>
      <c r="BJ322" s="314"/>
      <c r="BK322" s="24"/>
      <c r="BL322" s="24"/>
      <c r="BM322" s="24"/>
      <c r="BN322" s="24"/>
      <c r="BO322" s="24"/>
      <c r="BP322" s="24"/>
      <c r="BQ322" s="24"/>
      <c r="BR322" s="43"/>
      <c r="BS322" s="24"/>
      <c r="BT322" s="24"/>
      <c r="BU322" s="24"/>
      <c r="BV322" s="132" t="e">
        <f>IF(#REF!="COMPLETO","OK","PENDIENTES")</f>
        <v>#REF!</v>
      </c>
      <c r="BW322" s="132"/>
      <c r="BX322" s="132"/>
      <c r="BY322" s="132"/>
      <c r="BZ322" s="132"/>
      <c r="CA322" s="132"/>
      <c r="CB322" s="132"/>
      <c r="CC322" s="22"/>
      <c r="CG322" s="24" t="s">
        <v>105</v>
      </c>
      <c r="CH322" s="24"/>
      <c r="CI322" s="24"/>
      <c r="CJ322" s="24"/>
    </row>
    <row r="323" spans="1:88" ht="15" customHeight="1">
      <c r="A323" s="18">
        <v>2018</v>
      </c>
      <c r="B323" s="18" t="str">
        <f>+INDEX(BDD!F:F,MATCH(P323,BDD!D:D,0))&amp;"-"&amp;INDEX(BDD!E:E,MATCH(P323,BDD!D:D,0))</f>
        <v>G-S</v>
      </c>
      <c r="C323" s="360" t="s">
        <v>484</v>
      </c>
      <c r="D323" s="150" t="s">
        <v>77</v>
      </c>
      <c r="E323" s="132"/>
      <c r="F323" s="24"/>
      <c r="G323" s="346">
        <v>8000000224</v>
      </c>
      <c r="H323" s="25" t="s">
        <v>1552</v>
      </c>
      <c r="I323" s="329"/>
      <c r="J323" s="346">
        <v>8000000224</v>
      </c>
      <c r="K323" s="24"/>
      <c r="L323" s="24"/>
      <c r="M323" s="24"/>
      <c r="N323" s="340" t="s">
        <v>486</v>
      </c>
      <c r="O323" s="334"/>
      <c r="P323" s="25" t="s">
        <v>333</v>
      </c>
      <c r="Q323" s="127" t="s">
        <v>306</v>
      </c>
      <c r="R323" s="128" t="s">
        <v>1541</v>
      </c>
      <c r="S323" s="24">
        <v>43277</v>
      </c>
      <c r="T323" s="36" t="s">
        <v>19</v>
      </c>
      <c r="U323" s="125"/>
      <c r="V323" s="147" t="s">
        <v>1553</v>
      </c>
      <c r="W323" s="129"/>
      <c r="X323" s="88">
        <v>43325</v>
      </c>
      <c r="Y323" s="130" t="s">
        <v>20</v>
      </c>
      <c r="Z323" s="133" t="s">
        <v>60</v>
      </c>
      <c r="AA323" s="133"/>
      <c r="AB323" s="148">
        <v>1275</v>
      </c>
      <c r="AC323" s="134">
        <v>155</v>
      </c>
      <c r="AD323" s="134"/>
      <c r="AE323" s="403">
        <f t="shared" si="16"/>
        <v>197625</v>
      </c>
      <c r="AF323" s="132" t="str">
        <f>IF(W323=BDD!$P$1,IMPORTS!AB323/25,IF(W323=BDD!$P$2,IMPORTS!AB323/25,IF(IMPORTS!W323=BDD!$P$4,IMPORTS!AB323/25.5,"--")))</f>
        <v>--</v>
      </c>
      <c r="AG323" s="130" t="s">
        <v>46</v>
      </c>
      <c r="AH323" s="130"/>
      <c r="AI323" s="130" t="s">
        <v>100</v>
      </c>
      <c r="AJ323" s="130"/>
      <c r="AK323" s="130"/>
      <c r="AL323" s="135" t="s">
        <v>1543</v>
      </c>
      <c r="AM323" s="314"/>
      <c r="AN323" s="26"/>
      <c r="AO323" s="26"/>
      <c r="AP323" s="26"/>
      <c r="AQ323" s="26">
        <v>43353</v>
      </c>
      <c r="AR323" s="24"/>
      <c r="AS323" s="24"/>
      <c r="AT323" s="24">
        <v>43354</v>
      </c>
      <c r="AU323" s="418">
        <f t="shared" ref="AU323:AU386" si="17">MONTH(AT323)</f>
        <v>9</v>
      </c>
      <c r="AV323" s="418">
        <f t="shared" ref="AV323:AV386" si="18">YEAR(AT323)</f>
        <v>2018</v>
      </c>
      <c r="AW323" s="24"/>
      <c r="AX323" s="28"/>
      <c r="AY323" s="28" t="s">
        <v>230</v>
      </c>
      <c r="AZ323" s="132" t="s">
        <v>62</v>
      </c>
      <c r="BA323" s="132"/>
      <c r="BB323" s="24"/>
      <c r="BC323" s="135" t="s">
        <v>1554</v>
      </c>
      <c r="BD323" s="26">
        <v>43304</v>
      </c>
      <c r="BE323" s="135" t="s">
        <v>1545</v>
      </c>
      <c r="BF323" s="135" t="s">
        <v>1545</v>
      </c>
      <c r="BG323" s="135" t="s">
        <v>52</v>
      </c>
      <c r="BH323" s="135"/>
      <c r="BI323" s="314"/>
      <c r="BJ323" s="314"/>
      <c r="BK323" s="24"/>
      <c r="BL323" s="24"/>
      <c r="BM323" s="24"/>
      <c r="BN323" s="24"/>
      <c r="BO323" s="24"/>
      <c r="BP323" s="24"/>
      <c r="BQ323" s="24"/>
      <c r="BR323" s="43"/>
      <c r="BS323" s="24"/>
      <c r="BT323" s="24"/>
      <c r="BU323" s="24"/>
      <c r="BV323" s="132" t="e">
        <f>IF(#REF!="COMPLETO","OK","PENDIENTES")</f>
        <v>#REF!</v>
      </c>
      <c r="BW323" s="132"/>
      <c r="BX323" s="132"/>
      <c r="BY323" s="132"/>
      <c r="BZ323" s="132"/>
      <c r="CA323" s="132"/>
      <c r="CB323" s="132"/>
      <c r="CC323" s="22"/>
      <c r="CG323" s="24" t="s">
        <v>105</v>
      </c>
      <c r="CH323" s="24"/>
      <c r="CI323" s="24"/>
      <c r="CJ323" s="24"/>
    </row>
    <row r="324" spans="1:88" ht="15" customHeight="1">
      <c r="A324" s="18">
        <v>2018</v>
      </c>
      <c r="B324" s="18" t="str">
        <f>+INDEX(BDD!F:F,MATCH(P324,BDD!D:D,0))&amp;"-"&amp;INDEX(BDD!E:E,MATCH(P324,BDD!D:D,0))</f>
        <v>G-S</v>
      </c>
      <c r="C324" s="360" t="s">
        <v>484</v>
      </c>
      <c r="D324" s="150" t="s">
        <v>77</v>
      </c>
      <c r="E324" s="132"/>
      <c r="F324" s="24"/>
      <c r="G324" s="346">
        <v>8000000211</v>
      </c>
      <c r="H324" s="25" t="s">
        <v>1555</v>
      </c>
      <c r="I324" s="329"/>
      <c r="J324" s="346">
        <v>8000000211</v>
      </c>
      <c r="K324" s="24"/>
      <c r="L324" s="24"/>
      <c r="M324" s="24"/>
      <c r="N324" s="340" t="s">
        <v>486</v>
      </c>
      <c r="O324" s="334"/>
      <c r="P324" s="25" t="s">
        <v>332</v>
      </c>
      <c r="Q324" s="127" t="s">
        <v>306</v>
      </c>
      <c r="R324" s="128" t="s">
        <v>1556</v>
      </c>
      <c r="S324" s="24">
        <v>43277</v>
      </c>
      <c r="T324" s="36" t="s">
        <v>19</v>
      </c>
      <c r="U324" s="125"/>
      <c r="V324" s="230" t="s">
        <v>1557</v>
      </c>
      <c r="W324" s="172"/>
      <c r="X324" s="88">
        <v>43322</v>
      </c>
      <c r="Y324" s="130" t="s">
        <v>20</v>
      </c>
      <c r="Z324" s="133" t="s">
        <v>60</v>
      </c>
      <c r="AA324" s="133"/>
      <c r="AB324" s="148">
        <v>400</v>
      </c>
      <c r="AC324" s="134">
        <v>193</v>
      </c>
      <c r="AD324" s="134"/>
      <c r="AE324" s="403">
        <f t="shared" si="16"/>
        <v>77200</v>
      </c>
      <c r="AF324" s="132" t="str">
        <f>IF(W324=BDD!$P$1,IMPORTS!AB324/25,IF(W324=BDD!$P$2,IMPORTS!AB324/25,IF(IMPORTS!W324=BDD!$P$4,IMPORTS!AB324/25.5,"--")))</f>
        <v>--</v>
      </c>
      <c r="AG324" s="130" t="s">
        <v>46</v>
      </c>
      <c r="AH324" s="130"/>
      <c r="AI324" s="130" t="s">
        <v>100</v>
      </c>
      <c r="AJ324" s="130"/>
      <c r="AK324" s="130"/>
      <c r="AL324" s="135" t="s">
        <v>1543</v>
      </c>
      <c r="AM324" s="314"/>
      <c r="AN324" s="26"/>
      <c r="AO324" s="26"/>
      <c r="AP324" s="26"/>
      <c r="AQ324" s="26">
        <v>43344</v>
      </c>
      <c r="AR324" s="24"/>
      <c r="AS324" s="24"/>
      <c r="AT324" s="24">
        <v>43346</v>
      </c>
      <c r="AU324" s="418">
        <f t="shared" si="17"/>
        <v>9</v>
      </c>
      <c r="AV324" s="418">
        <f t="shared" si="18"/>
        <v>2018</v>
      </c>
      <c r="AW324" s="24"/>
      <c r="AX324" s="28"/>
      <c r="AY324" s="28" t="s">
        <v>230</v>
      </c>
      <c r="AZ324" s="132" t="s">
        <v>9</v>
      </c>
      <c r="BA324" s="132"/>
      <c r="BB324" s="24"/>
      <c r="BC324" s="135">
        <v>1</v>
      </c>
      <c r="BD324" s="26">
        <v>43304</v>
      </c>
      <c r="BE324" s="135" t="s">
        <v>1545</v>
      </c>
      <c r="BF324" s="135" t="s">
        <v>1545</v>
      </c>
      <c r="BG324" s="135" t="s">
        <v>52</v>
      </c>
      <c r="BH324" s="135"/>
      <c r="BI324" s="314"/>
      <c r="BJ324" s="314"/>
      <c r="BK324" s="24"/>
      <c r="BL324" s="24"/>
      <c r="BM324" s="24"/>
      <c r="BN324" s="24"/>
      <c r="BO324" s="24"/>
      <c r="BP324" s="24"/>
      <c r="BQ324" s="24"/>
      <c r="BR324" s="43"/>
      <c r="BS324" s="24"/>
      <c r="BT324" s="24"/>
      <c r="BU324" s="24"/>
      <c r="BV324" s="132" t="e">
        <f>IF(#REF!="COMPLETO","OK","PENDIENTES")</f>
        <v>#REF!</v>
      </c>
      <c r="BW324" s="132"/>
      <c r="BX324" s="132"/>
      <c r="BY324" s="132"/>
      <c r="BZ324" s="132"/>
      <c r="CA324" s="132"/>
      <c r="CB324" s="132"/>
      <c r="CC324" s="22"/>
      <c r="CG324" s="24" t="s">
        <v>105</v>
      </c>
      <c r="CH324" s="24"/>
      <c r="CI324" s="24"/>
      <c r="CJ324" s="24"/>
    </row>
    <row r="325" spans="1:88" ht="15" customHeight="1">
      <c r="A325" s="18">
        <v>2018</v>
      </c>
      <c r="B325" s="18" t="str">
        <f>+INDEX(BDD!F:F,MATCH(P325,BDD!D:D,0))&amp;"-"&amp;INDEX(BDD!E:E,MATCH(P325,BDD!D:D,0))</f>
        <v>G-S</v>
      </c>
      <c r="C325" s="360" t="s">
        <v>484</v>
      </c>
      <c r="D325" s="150" t="s">
        <v>77</v>
      </c>
      <c r="E325" s="132"/>
      <c r="F325" s="24"/>
      <c r="G325" s="346">
        <v>8000000215</v>
      </c>
      <c r="H325" s="25" t="s">
        <v>1558</v>
      </c>
      <c r="I325" s="329"/>
      <c r="J325" s="346">
        <v>8000000215</v>
      </c>
      <c r="K325" s="24"/>
      <c r="L325" s="24"/>
      <c r="M325" s="24"/>
      <c r="N325" s="340" t="s">
        <v>486</v>
      </c>
      <c r="O325" s="334"/>
      <c r="P325" s="25" t="s">
        <v>332</v>
      </c>
      <c r="Q325" s="127" t="s">
        <v>306</v>
      </c>
      <c r="R325" s="128" t="s">
        <v>1556</v>
      </c>
      <c r="S325" s="24">
        <v>43277</v>
      </c>
      <c r="T325" s="36" t="s">
        <v>19</v>
      </c>
      <c r="U325" s="125"/>
      <c r="V325" s="230" t="s">
        <v>1559</v>
      </c>
      <c r="W325" s="172"/>
      <c r="X325" s="88">
        <v>43322</v>
      </c>
      <c r="Y325" s="130" t="s">
        <v>20</v>
      </c>
      <c r="Z325" s="133" t="s">
        <v>60</v>
      </c>
      <c r="AA325" s="133"/>
      <c r="AB325" s="148">
        <v>350</v>
      </c>
      <c r="AC325" s="134">
        <v>193</v>
      </c>
      <c r="AD325" s="134"/>
      <c r="AE325" s="403">
        <f t="shared" si="16"/>
        <v>67550</v>
      </c>
      <c r="AF325" s="132" t="str">
        <f>IF(W325=BDD!$P$1,IMPORTS!AB325/25,IF(W325=BDD!$P$2,IMPORTS!AB325/25,IF(IMPORTS!W325=BDD!$P$4,IMPORTS!AB325/25.5,"--")))</f>
        <v>--</v>
      </c>
      <c r="AG325" s="130" t="s">
        <v>46</v>
      </c>
      <c r="AH325" s="130"/>
      <c r="AI325" s="130" t="s">
        <v>100</v>
      </c>
      <c r="AJ325" s="130"/>
      <c r="AK325" s="130"/>
      <c r="AL325" s="135" t="s">
        <v>1543</v>
      </c>
      <c r="AM325" s="314"/>
      <c r="AN325" s="26"/>
      <c r="AO325" s="26"/>
      <c r="AP325" s="26"/>
      <c r="AQ325" s="26">
        <v>43347</v>
      </c>
      <c r="AR325" s="24"/>
      <c r="AS325" s="24"/>
      <c r="AT325" s="24">
        <v>43348</v>
      </c>
      <c r="AU325" s="418">
        <f t="shared" si="17"/>
        <v>9</v>
      </c>
      <c r="AV325" s="418">
        <f t="shared" si="18"/>
        <v>2018</v>
      </c>
      <c r="AW325" s="24"/>
      <c r="AX325" s="28"/>
      <c r="AY325" s="28" t="s">
        <v>230</v>
      </c>
      <c r="AZ325" s="132" t="s">
        <v>25</v>
      </c>
      <c r="BA325" s="132"/>
      <c r="BB325" s="24"/>
      <c r="BC325" s="135">
        <v>2</v>
      </c>
      <c r="BD325" s="26">
        <v>43304</v>
      </c>
      <c r="BE325" s="135" t="s">
        <v>1545</v>
      </c>
      <c r="BF325" s="135" t="s">
        <v>1545</v>
      </c>
      <c r="BG325" s="135" t="s">
        <v>52</v>
      </c>
      <c r="BH325" s="135"/>
      <c r="BI325" s="314"/>
      <c r="BJ325" s="314"/>
      <c r="BK325" s="24"/>
      <c r="BL325" s="24"/>
      <c r="BM325" s="24"/>
      <c r="BN325" s="24"/>
      <c r="BO325" s="24"/>
      <c r="BP325" s="24"/>
      <c r="BQ325" s="24"/>
      <c r="BR325" s="43"/>
      <c r="BS325" s="24"/>
      <c r="BT325" s="24"/>
      <c r="BU325" s="24"/>
      <c r="BV325" s="132" t="e">
        <f>IF(#REF!="COMPLETO","OK","PENDIENTES")</f>
        <v>#REF!</v>
      </c>
      <c r="BW325" s="132"/>
      <c r="BX325" s="132"/>
      <c r="BY325" s="132"/>
      <c r="BZ325" s="132"/>
      <c r="CA325" s="132"/>
      <c r="CB325" s="132"/>
      <c r="CC325" s="22"/>
      <c r="CG325" s="24" t="s">
        <v>105</v>
      </c>
      <c r="CH325" s="24"/>
      <c r="CI325" s="24"/>
      <c r="CJ325" s="24"/>
    </row>
    <row r="326" spans="1:88" ht="15" customHeight="1">
      <c r="A326" s="18">
        <v>2018</v>
      </c>
      <c r="B326" s="18" t="str">
        <f>+INDEX(BDD!F:F,MATCH(P326,BDD!D:D,0))&amp;"-"&amp;INDEX(BDD!E:E,MATCH(P326,BDD!D:D,0))</f>
        <v>G-S</v>
      </c>
      <c r="C326" s="360" t="s">
        <v>484</v>
      </c>
      <c r="D326" s="150" t="s">
        <v>77</v>
      </c>
      <c r="E326" s="132"/>
      <c r="F326" s="24"/>
      <c r="G326" s="346">
        <v>8000000222</v>
      </c>
      <c r="H326" s="25" t="s">
        <v>1560</v>
      </c>
      <c r="I326" s="329"/>
      <c r="J326" s="346">
        <v>8000000222</v>
      </c>
      <c r="K326" s="24"/>
      <c r="L326" s="24"/>
      <c r="M326" s="24"/>
      <c r="N326" s="340" t="s">
        <v>486</v>
      </c>
      <c r="O326" s="334"/>
      <c r="P326" s="25" t="s">
        <v>332</v>
      </c>
      <c r="Q326" s="127" t="s">
        <v>306</v>
      </c>
      <c r="R326" s="128" t="s">
        <v>1556</v>
      </c>
      <c r="S326" s="24">
        <v>43277</v>
      </c>
      <c r="T326" s="36" t="s">
        <v>19</v>
      </c>
      <c r="U326" s="125"/>
      <c r="V326" s="230" t="s">
        <v>1561</v>
      </c>
      <c r="W326" s="172"/>
      <c r="X326" s="88">
        <v>43322</v>
      </c>
      <c r="Y326" s="130" t="s">
        <v>20</v>
      </c>
      <c r="Z326" s="133" t="s">
        <v>60</v>
      </c>
      <c r="AA326" s="133"/>
      <c r="AB326" s="148">
        <v>100</v>
      </c>
      <c r="AC326" s="134">
        <v>193</v>
      </c>
      <c r="AD326" s="134"/>
      <c r="AE326" s="403">
        <f t="shared" si="16"/>
        <v>19300</v>
      </c>
      <c r="AF326" s="132" t="str">
        <f>IF(W326=BDD!$P$1,IMPORTS!AB326/25,IF(W326=BDD!$P$2,IMPORTS!AB326/25,IF(IMPORTS!W326=BDD!$P$4,IMPORTS!AB326/25.5,"--")))</f>
        <v>--</v>
      </c>
      <c r="AG326" s="130" t="s">
        <v>46</v>
      </c>
      <c r="AH326" s="130"/>
      <c r="AI326" s="130" t="s">
        <v>100</v>
      </c>
      <c r="AJ326" s="130"/>
      <c r="AK326" s="130"/>
      <c r="AL326" s="135" t="s">
        <v>1543</v>
      </c>
      <c r="AM326" s="314"/>
      <c r="AN326" s="26"/>
      <c r="AO326" s="26"/>
      <c r="AP326" s="26"/>
      <c r="AQ326" s="26">
        <v>43350</v>
      </c>
      <c r="AR326" s="24"/>
      <c r="AS326" s="24"/>
      <c r="AT326" s="24">
        <v>43351</v>
      </c>
      <c r="AU326" s="418">
        <f t="shared" si="17"/>
        <v>9</v>
      </c>
      <c r="AV326" s="418">
        <f t="shared" si="18"/>
        <v>2018</v>
      </c>
      <c r="AW326" s="24"/>
      <c r="AX326" s="28"/>
      <c r="AY326" s="28" t="s">
        <v>230</v>
      </c>
      <c r="AZ326" s="132" t="s">
        <v>37</v>
      </c>
      <c r="BA326" s="132"/>
      <c r="BB326" s="24"/>
      <c r="BC326" s="135">
        <v>3</v>
      </c>
      <c r="BD326" s="26">
        <v>43304</v>
      </c>
      <c r="BE326" s="135" t="s">
        <v>1545</v>
      </c>
      <c r="BF326" s="135" t="s">
        <v>1545</v>
      </c>
      <c r="BG326" s="135" t="s">
        <v>52</v>
      </c>
      <c r="BH326" s="135"/>
      <c r="BI326" s="314"/>
      <c r="BJ326" s="314"/>
      <c r="BK326" s="24"/>
      <c r="BL326" s="24"/>
      <c r="BM326" s="24"/>
      <c r="BN326" s="24"/>
      <c r="BO326" s="24"/>
      <c r="BP326" s="24"/>
      <c r="BQ326" s="24"/>
      <c r="BR326" s="43"/>
      <c r="BS326" s="24"/>
      <c r="BT326" s="24"/>
      <c r="BU326" s="24"/>
      <c r="BV326" s="132" t="e">
        <f>IF(#REF!="COMPLETO","OK","PENDIENTES")</f>
        <v>#REF!</v>
      </c>
      <c r="BW326" s="132"/>
      <c r="BX326" s="132"/>
      <c r="BY326" s="132"/>
      <c r="BZ326" s="132"/>
      <c r="CA326" s="132"/>
      <c r="CB326" s="132"/>
      <c r="CC326" s="22"/>
      <c r="CG326" s="24" t="s">
        <v>105</v>
      </c>
      <c r="CH326" s="24"/>
      <c r="CI326" s="24"/>
      <c r="CJ326" s="24"/>
    </row>
    <row r="327" spans="1:88" ht="15" customHeight="1">
      <c r="A327" s="18">
        <v>2018</v>
      </c>
      <c r="B327" s="18" t="str">
        <f>+INDEX(BDD!F:F,MATCH(P327,BDD!D:D,0))&amp;"-"&amp;INDEX(BDD!E:E,MATCH(P327,BDD!D:D,0))</f>
        <v>G-S</v>
      </c>
      <c r="C327" s="360" t="s">
        <v>484</v>
      </c>
      <c r="D327" s="150" t="s">
        <v>77</v>
      </c>
      <c r="E327" s="132"/>
      <c r="F327" s="24"/>
      <c r="G327" s="346">
        <v>8000000225</v>
      </c>
      <c r="H327" s="25" t="s">
        <v>1562</v>
      </c>
      <c r="I327" s="329"/>
      <c r="J327" s="346">
        <v>8000000225</v>
      </c>
      <c r="K327" s="24"/>
      <c r="L327" s="24"/>
      <c r="M327" s="24"/>
      <c r="N327" s="340" t="s">
        <v>486</v>
      </c>
      <c r="O327" s="334"/>
      <c r="P327" s="25" t="s">
        <v>332</v>
      </c>
      <c r="Q327" s="127" t="s">
        <v>306</v>
      </c>
      <c r="R327" s="128" t="s">
        <v>1556</v>
      </c>
      <c r="S327" s="24">
        <v>43277</v>
      </c>
      <c r="T327" s="36" t="s">
        <v>19</v>
      </c>
      <c r="U327" s="125"/>
      <c r="V327" s="230" t="s">
        <v>1563</v>
      </c>
      <c r="W327" s="172"/>
      <c r="X327" s="88">
        <v>43322</v>
      </c>
      <c r="Y327" s="130" t="s">
        <v>20</v>
      </c>
      <c r="Z327" s="133" t="s">
        <v>60</v>
      </c>
      <c r="AA327" s="133"/>
      <c r="AB327" s="148">
        <v>250</v>
      </c>
      <c r="AC327" s="134">
        <v>193</v>
      </c>
      <c r="AD327" s="134"/>
      <c r="AE327" s="403">
        <f t="shared" si="16"/>
        <v>48250</v>
      </c>
      <c r="AF327" s="132" t="str">
        <f>IF(W327=BDD!$P$1,IMPORTS!AB327/25,IF(W327=BDD!$P$2,IMPORTS!AB327/25,IF(IMPORTS!W327=BDD!$P$4,IMPORTS!AB327/25.5,"--")))</f>
        <v>--</v>
      </c>
      <c r="AG327" s="130" t="s">
        <v>46</v>
      </c>
      <c r="AH327" s="130"/>
      <c r="AI327" s="130" t="s">
        <v>100</v>
      </c>
      <c r="AJ327" s="130"/>
      <c r="AK327" s="130"/>
      <c r="AL327" s="135" t="s">
        <v>1543</v>
      </c>
      <c r="AM327" s="314"/>
      <c r="AN327" s="26"/>
      <c r="AO327" s="26"/>
      <c r="AP327" s="26"/>
      <c r="AQ327" s="26">
        <v>43353</v>
      </c>
      <c r="AR327" s="24"/>
      <c r="AS327" s="24"/>
      <c r="AT327" s="24">
        <v>43354</v>
      </c>
      <c r="AU327" s="418">
        <f t="shared" si="17"/>
        <v>9</v>
      </c>
      <c r="AV327" s="418">
        <f t="shared" si="18"/>
        <v>2018</v>
      </c>
      <c r="AW327" s="24"/>
      <c r="AX327" s="28"/>
      <c r="AY327" s="28" t="s">
        <v>230</v>
      </c>
      <c r="AZ327" s="132" t="s">
        <v>62</v>
      </c>
      <c r="BA327" s="132"/>
      <c r="BB327" s="24"/>
      <c r="BC327" s="132">
        <v>4</v>
      </c>
      <c r="BD327" s="26">
        <v>43304</v>
      </c>
      <c r="BE327" s="135" t="s">
        <v>1545</v>
      </c>
      <c r="BF327" s="135" t="s">
        <v>1545</v>
      </c>
      <c r="BG327" s="135" t="s">
        <v>52</v>
      </c>
      <c r="BH327" s="135"/>
      <c r="BI327" s="314"/>
      <c r="BJ327" s="314"/>
      <c r="BK327" s="24"/>
      <c r="BL327" s="24"/>
      <c r="BM327" s="24"/>
      <c r="BN327" s="24"/>
      <c r="BO327" s="24"/>
      <c r="BP327" s="24"/>
      <c r="BQ327" s="24"/>
      <c r="BR327" s="43"/>
      <c r="BS327" s="24"/>
      <c r="BT327" s="24"/>
      <c r="BU327" s="24"/>
      <c r="BV327" s="132" t="e">
        <f>IF(#REF!="COMPLETO","OK","PENDIENTES")</f>
        <v>#REF!</v>
      </c>
      <c r="BW327" s="132"/>
      <c r="BX327" s="132"/>
      <c r="BY327" s="132"/>
      <c r="BZ327" s="132"/>
      <c r="CA327" s="132"/>
      <c r="CB327" s="132"/>
      <c r="CC327" s="22"/>
      <c r="CG327" s="24" t="s">
        <v>105</v>
      </c>
      <c r="CH327" s="24"/>
      <c r="CI327" s="24"/>
      <c r="CJ327" s="24"/>
    </row>
    <row r="328" spans="1:88" ht="15" customHeight="1">
      <c r="A328" s="18">
        <v>2018</v>
      </c>
      <c r="B328" s="18" t="str">
        <f>+INDEX(BDD!F:F,MATCH(P328,BDD!D:D,0))&amp;"-"&amp;INDEX(BDD!E:E,MATCH(P328,BDD!D:D,0))</f>
        <v>G-S</v>
      </c>
      <c r="C328" s="360" t="s">
        <v>484</v>
      </c>
      <c r="D328" s="150" t="s">
        <v>77</v>
      </c>
      <c r="E328" s="132"/>
      <c r="F328" s="24"/>
      <c r="G328" s="346">
        <v>8000000212</v>
      </c>
      <c r="H328" s="25" t="s">
        <v>1564</v>
      </c>
      <c r="I328" s="329"/>
      <c r="J328" s="346">
        <v>8000000212</v>
      </c>
      <c r="K328" s="24"/>
      <c r="L328" s="24"/>
      <c r="M328" s="24"/>
      <c r="N328" s="340" t="s">
        <v>486</v>
      </c>
      <c r="O328" s="334"/>
      <c r="P328" s="25" t="s">
        <v>142</v>
      </c>
      <c r="Q328" s="127" t="s">
        <v>306</v>
      </c>
      <c r="R328" s="128" t="s">
        <v>1565</v>
      </c>
      <c r="S328" s="24">
        <v>43277</v>
      </c>
      <c r="T328" s="36" t="s">
        <v>19</v>
      </c>
      <c r="U328" s="125"/>
      <c r="V328" s="147" t="s">
        <v>1566</v>
      </c>
      <c r="W328" s="129"/>
      <c r="X328" s="88">
        <v>43325</v>
      </c>
      <c r="Y328" s="130" t="s">
        <v>20</v>
      </c>
      <c r="Z328" s="133" t="s">
        <v>60</v>
      </c>
      <c r="AA328" s="133"/>
      <c r="AB328" s="148">
        <v>880</v>
      </c>
      <c r="AC328" s="134">
        <v>453</v>
      </c>
      <c r="AD328" s="134"/>
      <c r="AE328" s="403">
        <f t="shared" si="16"/>
        <v>398640</v>
      </c>
      <c r="AF328" s="132" t="str">
        <f>IF(W328=BDD!$P$1,IMPORTS!AB328/25,IF(W328=BDD!$P$2,IMPORTS!AB328/25,IF(IMPORTS!W328=BDD!$P$4,IMPORTS!AB328/25.5,"--")))</f>
        <v>--</v>
      </c>
      <c r="AG328" s="130" t="s">
        <v>46</v>
      </c>
      <c r="AH328" s="130"/>
      <c r="AI328" s="130" t="s">
        <v>100</v>
      </c>
      <c r="AJ328" s="130"/>
      <c r="AK328" s="130"/>
      <c r="AL328" s="135" t="s">
        <v>1543</v>
      </c>
      <c r="AM328" s="314"/>
      <c r="AN328" s="26"/>
      <c r="AO328" s="26"/>
      <c r="AP328" s="26"/>
      <c r="AQ328" s="26">
        <v>43344</v>
      </c>
      <c r="AR328" s="24"/>
      <c r="AS328" s="24"/>
      <c r="AT328" s="24">
        <v>43346</v>
      </c>
      <c r="AU328" s="418">
        <f t="shared" si="17"/>
        <v>9</v>
      </c>
      <c r="AV328" s="418">
        <f t="shared" si="18"/>
        <v>2018</v>
      </c>
      <c r="AW328" s="24"/>
      <c r="AX328" s="28"/>
      <c r="AY328" s="28" t="s">
        <v>230</v>
      </c>
      <c r="AZ328" s="132" t="s">
        <v>9</v>
      </c>
      <c r="BA328" s="132"/>
      <c r="BB328" s="24"/>
      <c r="BC328" s="132" t="s">
        <v>1567</v>
      </c>
      <c r="BD328" s="26">
        <v>43304</v>
      </c>
      <c r="BE328" s="135" t="s">
        <v>1545</v>
      </c>
      <c r="BF328" s="135" t="s">
        <v>1545</v>
      </c>
      <c r="BG328" s="135" t="s">
        <v>52</v>
      </c>
      <c r="BH328" s="135"/>
      <c r="BI328" s="314"/>
      <c r="BJ328" s="314"/>
      <c r="BK328" s="24"/>
      <c r="BL328" s="24"/>
      <c r="BM328" s="24"/>
      <c r="BN328" s="24"/>
      <c r="BO328" s="24"/>
      <c r="BP328" s="24"/>
      <c r="BQ328" s="24"/>
      <c r="BR328" s="43"/>
      <c r="BS328" s="24"/>
      <c r="BT328" s="24"/>
      <c r="BU328" s="24"/>
      <c r="BV328" s="132" t="e">
        <f>IF(#REF!="COMPLETO","OK","PENDIENTES")</f>
        <v>#REF!</v>
      </c>
      <c r="BW328" s="132"/>
      <c r="BX328" s="132"/>
      <c r="BY328" s="132"/>
      <c r="BZ328" s="132"/>
      <c r="CA328" s="132"/>
      <c r="CB328" s="132"/>
      <c r="CC328" s="22"/>
      <c r="CG328" s="24" t="s">
        <v>105</v>
      </c>
      <c r="CH328" s="24"/>
      <c r="CI328" s="24"/>
      <c r="CJ328" s="24"/>
    </row>
    <row r="329" spans="1:88" ht="14.25" customHeight="1">
      <c r="A329" s="18">
        <v>2018</v>
      </c>
      <c r="B329" s="18" t="str">
        <f>+INDEX(BDD!F:F,MATCH(P329,BDD!D:D,0))&amp;"-"&amp;INDEX(BDD!E:E,MATCH(P329,BDD!D:D,0))</f>
        <v>G-S</v>
      </c>
      <c r="C329" s="360" t="s">
        <v>484</v>
      </c>
      <c r="D329" s="150" t="s">
        <v>77</v>
      </c>
      <c r="E329" s="132"/>
      <c r="F329" s="24"/>
      <c r="G329" s="346">
        <v>8000000216</v>
      </c>
      <c r="H329" s="25" t="s">
        <v>1568</v>
      </c>
      <c r="I329" s="329"/>
      <c r="J329" s="346">
        <v>8000000216</v>
      </c>
      <c r="K329" s="24"/>
      <c r="L329" s="24"/>
      <c r="M329" s="24"/>
      <c r="N329" s="340" t="s">
        <v>486</v>
      </c>
      <c r="O329" s="334"/>
      <c r="P329" s="25" t="s">
        <v>142</v>
      </c>
      <c r="Q329" s="127" t="s">
        <v>306</v>
      </c>
      <c r="R329" s="128" t="s">
        <v>1565</v>
      </c>
      <c r="S329" s="24">
        <v>43277</v>
      </c>
      <c r="T329" s="36" t="s">
        <v>19</v>
      </c>
      <c r="U329" s="125"/>
      <c r="V329" s="147" t="s">
        <v>1569</v>
      </c>
      <c r="W329" s="129"/>
      <c r="X329" s="88">
        <v>43325</v>
      </c>
      <c r="Y329" s="130" t="s">
        <v>20</v>
      </c>
      <c r="Z329" s="133" t="s">
        <v>60</v>
      </c>
      <c r="AA329" s="133"/>
      <c r="AB329" s="148">
        <v>1210</v>
      </c>
      <c r="AC329" s="134">
        <v>453</v>
      </c>
      <c r="AD329" s="134"/>
      <c r="AE329" s="403">
        <f t="shared" si="16"/>
        <v>548130</v>
      </c>
      <c r="AF329" s="132" t="str">
        <f>IF(W329=BDD!$P$1,IMPORTS!AB329/25,IF(W329=BDD!$P$2,IMPORTS!AB329/25,IF(IMPORTS!W329=BDD!$P$4,IMPORTS!AB329/25.5,"--")))</f>
        <v>--</v>
      </c>
      <c r="AG329" s="130" t="s">
        <v>46</v>
      </c>
      <c r="AH329" s="130"/>
      <c r="AI329" s="130" t="s">
        <v>100</v>
      </c>
      <c r="AJ329" s="130"/>
      <c r="AK329" s="130"/>
      <c r="AL329" s="135" t="s">
        <v>1543</v>
      </c>
      <c r="AM329" s="314"/>
      <c r="AN329" s="26"/>
      <c r="AO329" s="26"/>
      <c r="AP329" s="26"/>
      <c r="AQ329" s="26">
        <v>43347</v>
      </c>
      <c r="AR329" s="24"/>
      <c r="AS329" s="24"/>
      <c r="AT329" s="24">
        <v>43348</v>
      </c>
      <c r="AU329" s="418">
        <f t="shared" si="17"/>
        <v>9</v>
      </c>
      <c r="AV329" s="418">
        <f t="shared" si="18"/>
        <v>2018</v>
      </c>
      <c r="AW329" s="24"/>
      <c r="AX329" s="28"/>
      <c r="AY329" s="28" t="s">
        <v>230</v>
      </c>
      <c r="AZ329" s="132" t="s">
        <v>25</v>
      </c>
      <c r="BA329" s="132"/>
      <c r="BB329" s="24"/>
      <c r="BC329" s="144" t="s">
        <v>1570</v>
      </c>
      <c r="BD329" s="26">
        <v>43304</v>
      </c>
      <c r="BE329" s="135" t="s">
        <v>1545</v>
      </c>
      <c r="BF329" s="135" t="s">
        <v>1545</v>
      </c>
      <c r="BG329" s="135" t="s">
        <v>52</v>
      </c>
      <c r="BH329" s="135"/>
      <c r="BI329" s="314"/>
      <c r="BJ329" s="314"/>
      <c r="BK329" s="24"/>
      <c r="BL329" s="24"/>
      <c r="BM329" s="24"/>
      <c r="BN329" s="24"/>
      <c r="BO329" s="24"/>
      <c r="BP329" s="24"/>
      <c r="BQ329" s="24"/>
      <c r="BR329" s="43"/>
      <c r="BS329" s="24"/>
      <c r="BT329" s="24"/>
      <c r="BU329" s="24"/>
      <c r="BV329" s="132" t="e">
        <f>IF(#REF!="COMPLETO","OK","PENDIENTES")</f>
        <v>#REF!</v>
      </c>
      <c r="BW329" s="132"/>
      <c r="BX329" s="132"/>
      <c r="BY329" s="132"/>
      <c r="BZ329" s="132"/>
      <c r="CA329" s="132"/>
      <c r="CB329" s="132"/>
      <c r="CC329" s="22"/>
      <c r="CG329" s="24" t="s">
        <v>105</v>
      </c>
      <c r="CH329" s="24"/>
      <c r="CI329" s="24"/>
      <c r="CJ329" s="24"/>
    </row>
    <row r="330" spans="1:88" ht="15" customHeight="1">
      <c r="A330" s="18">
        <v>2018</v>
      </c>
      <c r="B330" s="18" t="str">
        <f>+INDEX(BDD!F:F,MATCH(P330,BDD!D:D,0))&amp;"-"&amp;INDEX(BDD!E:E,MATCH(P330,BDD!D:D,0))</f>
        <v>G-S</v>
      </c>
      <c r="C330" s="360" t="s">
        <v>484</v>
      </c>
      <c r="D330" s="150" t="s">
        <v>77</v>
      </c>
      <c r="E330" s="132"/>
      <c r="F330" s="24"/>
      <c r="G330" s="346">
        <v>8000000223</v>
      </c>
      <c r="H330" s="25" t="s">
        <v>1571</v>
      </c>
      <c r="I330" s="329"/>
      <c r="J330" s="346">
        <v>8000000223</v>
      </c>
      <c r="K330" s="24"/>
      <c r="L330" s="24"/>
      <c r="M330" s="24"/>
      <c r="N330" s="340" t="s">
        <v>486</v>
      </c>
      <c r="O330" s="334"/>
      <c r="P330" s="25" t="s">
        <v>142</v>
      </c>
      <c r="Q330" s="127" t="s">
        <v>306</v>
      </c>
      <c r="R330" s="128" t="s">
        <v>1565</v>
      </c>
      <c r="S330" s="24">
        <v>43277</v>
      </c>
      <c r="T330" s="36" t="s">
        <v>19</v>
      </c>
      <c r="U330" s="125"/>
      <c r="V330" s="147" t="s">
        <v>1572</v>
      </c>
      <c r="W330" s="129"/>
      <c r="X330" s="88">
        <v>43325</v>
      </c>
      <c r="Y330" s="130" t="s">
        <v>20</v>
      </c>
      <c r="Z330" s="133" t="s">
        <v>60</v>
      </c>
      <c r="AA330" s="133"/>
      <c r="AB330" s="148">
        <v>1870</v>
      </c>
      <c r="AC330" s="134">
        <v>453</v>
      </c>
      <c r="AD330" s="134"/>
      <c r="AE330" s="403">
        <f t="shared" si="16"/>
        <v>847110</v>
      </c>
      <c r="AF330" s="132" t="str">
        <f>IF(W330=BDD!$P$1,IMPORTS!AB330/25,IF(W330=BDD!$P$2,IMPORTS!AB330/25,IF(IMPORTS!W330=BDD!$P$4,IMPORTS!AB330/25.5,"--")))</f>
        <v>--</v>
      </c>
      <c r="AG330" s="130" t="s">
        <v>46</v>
      </c>
      <c r="AH330" s="130"/>
      <c r="AI330" s="130" t="s">
        <v>100</v>
      </c>
      <c r="AJ330" s="130"/>
      <c r="AK330" s="130"/>
      <c r="AL330" s="135" t="s">
        <v>1543</v>
      </c>
      <c r="AM330" s="314"/>
      <c r="AN330" s="26"/>
      <c r="AO330" s="26"/>
      <c r="AP330" s="26"/>
      <c r="AQ330" s="26">
        <v>43350</v>
      </c>
      <c r="AR330" s="24"/>
      <c r="AS330" s="24"/>
      <c r="AT330" s="24">
        <v>43351</v>
      </c>
      <c r="AU330" s="418">
        <f t="shared" si="17"/>
        <v>9</v>
      </c>
      <c r="AV330" s="418">
        <f t="shared" si="18"/>
        <v>2018</v>
      </c>
      <c r="AW330" s="24"/>
      <c r="AX330" s="28"/>
      <c r="AY330" s="28" t="s">
        <v>230</v>
      </c>
      <c r="AZ330" s="132" t="s">
        <v>37</v>
      </c>
      <c r="BA330" s="132"/>
      <c r="BB330" s="24"/>
      <c r="BC330" s="144" t="s">
        <v>1573</v>
      </c>
      <c r="BD330" s="26">
        <v>43304</v>
      </c>
      <c r="BE330" s="135" t="s">
        <v>1545</v>
      </c>
      <c r="BF330" s="135" t="s">
        <v>1545</v>
      </c>
      <c r="BG330" s="135" t="s">
        <v>52</v>
      </c>
      <c r="BH330" s="135"/>
      <c r="BI330" s="314"/>
      <c r="BJ330" s="314"/>
      <c r="BK330" s="24"/>
      <c r="BL330" s="24"/>
      <c r="BM330" s="24"/>
      <c r="BN330" s="24"/>
      <c r="BO330" s="24"/>
      <c r="BP330" s="24"/>
      <c r="BQ330" s="24"/>
      <c r="BR330" s="43"/>
      <c r="BS330" s="24"/>
      <c r="BT330" s="24"/>
      <c r="BU330" s="24"/>
      <c r="BV330" s="132" t="e">
        <f>IF(#REF!="COMPLETO","OK","PENDIENTES")</f>
        <v>#REF!</v>
      </c>
      <c r="BW330" s="132"/>
      <c r="BX330" s="132"/>
      <c r="BY330" s="132"/>
      <c r="BZ330" s="132"/>
      <c r="CA330" s="132"/>
      <c r="CB330" s="132"/>
      <c r="CC330" s="22"/>
      <c r="CG330" s="24" t="s">
        <v>105</v>
      </c>
      <c r="CH330" s="24"/>
      <c r="CI330" s="24"/>
      <c r="CJ330" s="24"/>
    </row>
    <row r="331" spans="1:88" ht="15" customHeight="1">
      <c r="A331" s="18">
        <v>2018</v>
      </c>
      <c r="B331" s="18" t="str">
        <f>+INDEX(BDD!F:F,MATCH(P331,BDD!D:D,0))&amp;"-"&amp;INDEX(BDD!E:E,MATCH(P331,BDD!D:D,0))</f>
        <v>G-S</v>
      </c>
      <c r="C331" s="360" t="s">
        <v>484</v>
      </c>
      <c r="D331" s="150" t="s">
        <v>77</v>
      </c>
      <c r="E331" s="132"/>
      <c r="F331" s="24"/>
      <c r="G331" s="346">
        <v>8000000226</v>
      </c>
      <c r="H331" s="25" t="s">
        <v>1574</v>
      </c>
      <c r="I331" s="329"/>
      <c r="J331" s="346">
        <v>8000000226</v>
      </c>
      <c r="K331" s="24"/>
      <c r="L331" s="24"/>
      <c r="M331" s="24"/>
      <c r="N331" s="340" t="s">
        <v>486</v>
      </c>
      <c r="O331" s="334"/>
      <c r="P331" s="25" t="s">
        <v>142</v>
      </c>
      <c r="Q331" s="127" t="s">
        <v>306</v>
      </c>
      <c r="R331" s="128" t="s">
        <v>1565</v>
      </c>
      <c r="S331" s="24">
        <v>43277</v>
      </c>
      <c r="T331" s="36" t="s">
        <v>19</v>
      </c>
      <c r="U331" s="125"/>
      <c r="V331" s="147" t="s">
        <v>1575</v>
      </c>
      <c r="W331" s="129"/>
      <c r="X331" s="88">
        <v>43325</v>
      </c>
      <c r="Y331" s="130" t="s">
        <v>20</v>
      </c>
      <c r="Z331" s="133" t="s">
        <v>60</v>
      </c>
      <c r="AA331" s="133"/>
      <c r="AB331" s="148">
        <v>1540</v>
      </c>
      <c r="AC331" s="134">
        <v>453</v>
      </c>
      <c r="AD331" s="134"/>
      <c r="AE331" s="403">
        <f t="shared" si="16"/>
        <v>697620</v>
      </c>
      <c r="AF331" s="132" t="str">
        <f>IF(W331=BDD!$P$1,IMPORTS!AB331/25,IF(W331=BDD!$P$2,IMPORTS!AB331/25,IF(IMPORTS!W331=BDD!$P$4,IMPORTS!AB331/25.5,"--")))</f>
        <v>--</v>
      </c>
      <c r="AG331" s="130" t="s">
        <v>46</v>
      </c>
      <c r="AH331" s="130"/>
      <c r="AI331" s="130" t="s">
        <v>100</v>
      </c>
      <c r="AJ331" s="130"/>
      <c r="AK331" s="130"/>
      <c r="AL331" s="135" t="s">
        <v>1543</v>
      </c>
      <c r="AM331" s="314"/>
      <c r="AN331" s="26"/>
      <c r="AO331" s="26"/>
      <c r="AP331" s="26"/>
      <c r="AQ331" s="26">
        <v>43353</v>
      </c>
      <c r="AR331" s="24"/>
      <c r="AS331" s="24"/>
      <c r="AT331" s="24">
        <v>43354</v>
      </c>
      <c r="AU331" s="418">
        <f t="shared" si="17"/>
        <v>9</v>
      </c>
      <c r="AV331" s="418">
        <f t="shared" si="18"/>
        <v>2018</v>
      </c>
      <c r="AW331" s="24"/>
      <c r="AX331" s="28"/>
      <c r="AY331" s="28" t="s">
        <v>230</v>
      </c>
      <c r="AZ331" s="132" t="s">
        <v>62</v>
      </c>
      <c r="BA331" s="132"/>
      <c r="BB331" s="24"/>
      <c r="BC331" s="135" t="s">
        <v>1576</v>
      </c>
      <c r="BD331" s="26">
        <v>43304</v>
      </c>
      <c r="BE331" s="135" t="s">
        <v>1545</v>
      </c>
      <c r="BF331" s="135" t="s">
        <v>1545</v>
      </c>
      <c r="BG331" s="135" t="s">
        <v>52</v>
      </c>
      <c r="BH331" s="135"/>
      <c r="BI331" s="314"/>
      <c r="BJ331" s="314"/>
      <c r="BK331" s="24"/>
      <c r="BL331" s="24"/>
      <c r="BM331" s="24"/>
      <c r="BN331" s="24"/>
      <c r="BO331" s="24"/>
      <c r="BP331" s="24"/>
      <c r="BQ331" s="24"/>
      <c r="BR331" s="43"/>
      <c r="BS331" s="24"/>
      <c r="BT331" s="24"/>
      <c r="BU331" s="24"/>
      <c r="BV331" s="132" t="e">
        <f>IF(#REF!="COMPLETO","OK","PENDIENTES")</f>
        <v>#REF!</v>
      </c>
      <c r="BW331" s="132"/>
      <c r="BX331" s="132"/>
      <c r="BY331" s="132"/>
      <c r="BZ331" s="132"/>
      <c r="CA331" s="132"/>
      <c r="CB331" s="132"/>
      <c r="CC331" s="22"/>
      <c r="CG331" s="24" t="s">
        <v>105</v>
      </c>
      <c r="CH331" s="24"/>
      <c r="CI331" s="24"/>
      <c r="CJ331" s="24"/>
    </row>
    <row r="332" spans="1:88" ht="15" customHeight="1">
      <c r="A332" s="18">
        <v>2018</v>
      </c>
      <c r="B332" s="18" t="str">
        <f>+INDEX(BDD!F:F,MATCH(P332,BDD!D:D,0))&amp;"-"&amp;INDEX(BDD!E:E,MATCH(P332,BDD!D:D,0))</f>
        <v>S-S</v>
      </c>
      <c r="C332" s="360" t="s">
        <v>484</v>
      </c>
      <c r="D332" s="150" t="s">
        <v>77</v>
      </c>
      <c r="E332" s="132"/>
      <c r="F332" s="24"/>
      <c r="G332" s="346">
        <v>8000000213</v>
      </c>
      <c r="H332" s="25" t="s">
        <v>1577</v>
      </c>
      <c r="I332" s="329"/>
      <c r="J332" s="346">
        <v>8000000213</v>
      </c>
      <c r="K332" s="24"/>
      <c r="L332" s="24"/>
      <c r="M332" s="24"/>
      <c r="N332" s="340" t="s">
        <v>486</v>
      </c>
      <c r="O332" s="334"/>
      <c r="P332" s="25" t="s">
        <v>152</v>
      </c>
      <c r="Q332" s="127" t="s">
        <v>306</v>
      </c>
      <c r="R332" s="128" t="s">
        <v>1578</v>
      </c>
      <c r="S332" s="24">
        <v>43278</v>
      </c>
      <c r="T332" s="36" t="s">
        <v>19</v>
      </c>
      <c r="U332" s="125"/>
      <c r="V332" s="147">
        <v>22497</v>
      </c>
      <c r="W332" s="129"/>
      <c r="X332" s="88">
        <v>43325</v>
      </c>
      <c r="Y332" s="130" t="s">
        <v>20</v>
      </c>
      <c r="Z332" s="133" t="s">
        <v>60</v>
      </c>
      <c r="AA332" s="133"/>
      <c r="AB332" s="148">
        <v>318.75</v>
      </c>
      <c r="AC332" s="134">
        <v>633</v>
      </c>
      <c r="AD332" s="134"/>
      <c r="AE332" s="403">
        <f t="shared" si="16"/>
        <v>201768.75</v>
      </c>
      <c r="AF332" s="132" t="str">
        <f>IF(W332=BDD!$P$1,IMPORTS!AB332/25,IF(W332=BDD!$P$2,IMPORTS!AB332/25,IF(IMPORTS!W332=BDD!$P$4,IMPORTS!AB332/25.5,"--")))</f>
        <v>--</v>
      </c>
      <c r="AG332" s="130" t="s">
        <v>58</v>
      </c>
      <c r="AH332" s="130"/>
      <c r="AI332" s="130" t="s">
        <v>34</v>
      </c>
      <c r="AJ332" s="130"/>
      <c r="AK332" s="130"/>
      <c r="AL332" s="135" t="s">
        <v>1543</v>
      </c>
      <c r="AM332" s="314"/>
      <c r="AN332" s="26"/>
      <c r="AO332" s="26"/>
      <c r="AP332" s="26"/>
      <c r="AQ332" s="26">
        <v>43344</v>
      </c>
      <c r="AR332" s="24"/>
      <c r="AS332" s="24"/>
      <c r="AT332" s="24">
        <v>43346</v>
      </c>
      <c r="AU332" s="418">
        <f t="shared" si="17"/>
        <v>9</v>
      </c>
      <c r="AV332" s="418">
        <f t="shared" si="18"/>
        <v>2018</v>
      </c>
      <c r="AW332" s="24"/>
      <c r="AX332" s="28"/>
      <c r="AY332" s="28" t="s">
        <v>230</v>
      </c>
      <c r="AZ332" s="132" t="s">
        <v>9</v>
      </c>
      <c r="BA332" s="132"/>
      <c r="BB332" s="24"/>
      <c r="BC332" s="135" t="s">
        <v>1579</v>
      </c>
      <c r="BD332" s="26">
        <v>43304</v>
      </c>
      <c r="BE332" s="135" t="s">
        <v>1545</v>
      </c>
      <c r="BF332" s="135" t="s">
        <v>1545</v>
      </c>
      <c r="BG332" s="135" t="s">
        <v>52</v>
      </c>
      <c r="BH332" s="135"/>
      <c r="BI332" s="314"/>
      <c r="BJ332" s="314"/>
      <c r="BK332" s="24"/>
      <c r="BL332" s="24"/>
      <c r="BM332" s="24"/>
      <c r="BN332" s="24"/>
      <c r="BO332" s="24"/>
      <c r="BP332" s="24"/>
      <c r="BQ332" s="24"/>
      <c r="BR332" s="43"/>
      <c r="BS332" s="24"/>
      <c r="BT332" s="24"/>
      <c r="BU332" s="24"/>
      <c r="BV332" s="132" t="e">
        <f>IF(#REF!="COMPLETO","OK","PENDIENTES")</f>
        <v>#REF!</v>
      </c>
      <c r="BW332" s="132"/>
      <c r="BX332" s="132"/>
      <c r="BY332" s="132"/>
      <c r="BZ332" s="132"/>
      <c r="CA332" s="132"/>
      <c r="CB332" s="132"/>
      <c r="CC332" s="22"/>
      <c r="CG332" s="24" t="s">
        <v>105</v>
      </c>
      <c r="CH332" s="24"/>
      <c r="CI332" s="24"/>
      <c r="CJ332" s="24"/>
    </row>
    <row r="333" spans="1:88" ht="15" customHeight="1">
      <c r="A333" s="18">
        <v>2018</v>
      </c>
      <c r="B333" s="18" t="str">
        <f>+INDEX(BDD!F:F,MATCH(P333,BDD!D:D,0))&amp;"-"&amp;INDEX(BDD!E:E,MATCH(P333,BDD!D:D,0))</f>
        <v>S-S</v>
      </c>
      <c r="C333" s="360" t="s">
        <v>484</v>
      </c>
      <c r="D333" s="150" t="s">
        <v>77</v>
      </c>
      <c r="E333" s="132"/>
      <c r="F333" s="24"/>
      <c r="G333" s="346">
        <v>8000000217</v>
      </c>
      <c r="H333" s="25" t="s">
        <v>1580</v>
      </c>
      <c r="I333" s="329"/>
      <c r="J333" s="346">
        <v>8000000217</v>
      </c>
      <c r="K333" s="24"/>
      <c r="L333" s="24"/>
      <c r="M333" s="24"/>
      <c r="N333" s="340" t="s">
        <v>486</v>
      </c>
      <c r="O333" s="334"/>
      <c r="P333" s="25" t="s">
        <v>152</v>
      </c>
      <c r="Q333" s="127" t="s">
        <v>306</v>
      </c>
      <c r="R333" s="128" t="s">
        <v>1578</v>
      </c>
      <c r="S333" s="24">
        <v>43278</v>
      </c>
      <c r="T333" s="36" t="s">
        <v>19</v>
      </c>
      <c r="U333" s="125"/>
      <c r="V333" s="147" t="s">
        <v>1581</v>
      </c>
      <c r="W333" s="129"/>
      <c r="X333" s="88">
        <v>43325</v>
      </c>
      <c r="Y333" s="130" t="s">
        <v>20</v>
      </c>
      <c r="Z333" s="133" t="s">
        <v>60</v>
      </c>
      <c r="AA333" s="133"/>
      <c r="AB333" s="148">
        <v>341.25</v>
      </c>
      <c r="AC333" s="134">
        <v>633</v>
      </c>
      <c r="AD333" s="134"/>
      <c r="AE333" s="403">
        <f t="shared" si="16"/>
        <v>216011.25</v>
      </c>
      <c r="AF333" s="132" t="str">
        <f>IF(W333=BDD!$P$1,IMPORTS!AB333/25,IF(W333=BDD!$P$2,IMPORTS!AB333/25,IF(IMPORTS!W333=BDD!$P$4,IMPORTS!AB333/25.5,"--")))</f>
        <v>--</v>
      </c>
      <c r="AG333" s="130" t="s">
        <v>58</v>
      </c>
      <c r="AH333" s="130"/>
      <c r="AI333" s="130" t="s">
        <v>34</v>
      </c>
      <c r="AJ333" s="130"/>
      <c r="AK333" s="130"/>
      <c r="AL333" s="135" t="s">
        <v>1543</v>
      </c>
      <c r="AM333" s="314"/>
      <c r="AN333" s="26"/>
      <c r="AO333" s="26"/>
      <c r="AP333" s="26"/>
      <c r="AQ333" s="26">
        <v>43347</v>
      </c>
      <c r="AR333" s="24"/>
      <c r="AS333" s="24"/>
      <c r="AT333" s="24">
        <v>43348</v>
      </c>
      <c r="AU333" s="418">
        <f t="shared" si="17"/>
        <v>9</v>
      </c>
      <c r="AV333" s="418">
        <f t="shared" si="18"/>
        <v>2018</v>
      </c>
      <c r="AW333" s="24"/>
      <c r="AX333" s="28"/>
      <c r="AY333" s="28" t="s">
        <v>230</v>
      </c>
      <c r="AZ333" s="132" t="s">
        <v>25</v>
      </c>
      <c r="BA333" s="132"/>
      <c r="BB333" s="24"/>
      <c r="BC333" s="135" t="s">
        <v>1582</v>
      </c>
      <c r="BD333" s="26">
        <v>43304</v>
      </c>
      <c r="BE333" s="135" t="s">
        <v>1545</v>
      </c>
      <c r="BF333" s="135" t="s">
        <v>1545</v>
      </c>
      <c r="BG333" s="135" t="s">
        <v>52</v>
      </c>
      <c r="BH333" s="135"/>
      <c r="BI333" s="314"/>
      <c r="BJ333" s="314"/>
      <c r="BK333" s="24"/>
      <c r="BL333" s="24"/>
      <c r="BM333" s="24"/>
      <c r="BN333" s="24"/>
      <c r="BO333" s="24"/>
      <c r="BP333" s="24"/>
      <c r="BQ333" s="24"/>
      <c r="BR333" s="43"/>
      <c r="BS333" s="24"/>
      <c r="BT333" s="24"/>
      <c r="BU333" s="24"/>
      <c r="BV333" s="132" t="e">
        <f>IF(#REF!="COMPLETO","OK","PENDIENTES")</f>
        <v>#REF!</v>
      </c>
      <c r="BW333" s="132"/>
      <c r="BX333" s="132"/>
      <c r="BY333" s="132"/>
      <c r="BZ333" s="132"/>
      <c r="CA333" s="132"/>
      <c r="CB333" s="132"/>
      <c r="CC333" s="22"/>
      <c r="CG333" s="24" t="s">
        <v>105</v>
      </c>
      <c r="CH333" s="24"/>
      <c r="CI333" s="24"/>
      <c r="CJ333" s="24"/>
    </row>
    <row r="334" spans="1:88" ht="15" customHeight="1">
      <c r="A334" s="18">
        <v>2018</v>
      </c>
      <c r="B334" s="18" t="str">
        <f>+INDEX(BDD!F:F,MATCH(P334,BDD!D:D,0))&amp;"-"&amp;INDEX(BDD!E:E,MATCH(P334,BDD!D:D,0))</f>
        <v>S-S</v>
      </c>
      <c r="C334" s="360" t="s">
        <v>484</v>
      </c>
      <c r="D334" s="150" t="s">
        <v>77</v>
      </c>
      <c r="E334" s="132"/>
      <c r="F334" s="24"/>
      <c r="G334" s="346">
        <v>8000000182</v>
      </c>
      <c r="H334" s="25" t="s">
        <v>1583</v>
      </c>
      <c r="I334" s="329"/>
      <c r="J334" s="346">
        <v>8000000182</v>
      </c>
      <c r="K334" s="24"/>
      <c r="L334" s="24"/>
      <c r="M334" s="24"/>
      <c r="N334" s="340" t="s">
        <v>486</v>
      </c>
      <c r="O334" s="334">
        <v>206914</v>
      </c>
      <c r="P334" s="25" t="s">
        <v>335</v>
      </c>
      <c r="Q334" s="127" t="s">
        <v>225</v>
      </c>
      <c r="R334" s="128" t="s">
        <v>1584</v>
      </c>
      <c r="S334" s="24">
        <v>43280</v>
      </c>
      <c r="T334" s="36">
        <v>90</v>
      </c>
      <c r="U334" s="125" t="s">
        <v>118</v>
      </c>
      <c r="V334" s="147" t="s">
        <v>1585</v>
      </c>
      <c r="W334" s="129"/>
      <c r="X334" s="88">
        <f>IF(RIGHT(U334,3)="ETA",AQ334+T334,IF(RIGHT(U334,2)="BL",BD334+T334," "))</f>
        <v>43419</v>
      </c>
      <c r="Y334" s="130" t="s">
        <v>20</v>
      </c>
      <c r="Z334" s="133" t="s">
        <v>60</v>
      </c>
      <c r="AA334" s="133"/>
      <c r="AB334" s="148">
        <v>900</v>
      </c>
      <c r="AC334" s="134">
        <v>136</v>
      </c>
      <c r="AD334" s="134"/>
      <c r="AE334" s="403">
        <f t="shared" si="16"/>
        <v>122400</v>
      </c>
      <c r="AF334" s="132" t="str">
        <f>IF(W334=BDD!$P$1,IMPORTS!AB334/25,IF(W334=BDD!$P$2,IMPORTS!AB334/25,IF(IMPORTS!W334=BDD!$P$4,IMPORTS!AB334/25.5,"--")))</f>
        <v>--</v>
      </c>
      <c r="AG334" s="130" t="s">
        <v>58</v>
      </c>
      <c r="AH334" s="130"/>
      <c r="AI334" s="130" t="s">
        <v>34</v>
      </c>
      <c r="AJ334" s="130"/>
      <c r="AK334" s="130"/>
      <c r="AL334" s="135" t="s">
        <v>671</v>
      </c>
      <c r="AM334" s="314"/>
      <c r="AN334" s="26"/>
      <c r="AO334" s="26"/>
      <c r="AP334" s="26"/>
      <c r="AQ334" s="26">
        <v>43382</v>
      </c>
      <c r="AR334" s="24"/>
      <c r="AS334" s="24"/>
      <c r="AT334" s="26">
        <v>43414</v>
      </c>
      <c r="AU334" s="418">
        <f t="shared" si="17"/>
        <v>11</v>
      </c>
      <c r="AV334" s="418">
        <f t="shared" si="18"/>
        <v>2018</v>
      </c>
      <c r="AW334" s="26"/>
      <c r="AX334" s="28"/>
      <c r="AY334" s="28" t="s">
        <v>607</v>
      </c>
      <c r="AZ334" s="132" t="s">
        <v>37</v>
      </c>
      <c r="BA334" s="132"/>
      <c r="BB334" s="26"/>
      <c r="BC334" s="135" t="s">
        <v>1586</v>
      </c>
      <c r="BD334" s="24">
        <v>43329</v>
      </c>
      <c r="BE334" s="135" t="s">
        <v>1587</v>
      </c>
      <c r="BF334" s="135" t="s">
        <v>1587</v>
      </c>
      <c r="BG334" s="135" t="s">
        <v>52</v>
      </c>
      <c r="BH334" s="135"/>
      <c r="BI334" s="314"/>
      <c r="BJ334" s="314"/>
      <c r="BK334" s="24"/>
      <c r="BL334" s="24"/>
      <c r="BM334" s="24"/>
      <c r="BN334" s="24"/>
      <c r="BO334" s="24"/>
      <c r="BP334" s="24"/>
      <c r="BQ334" s="24"/>
      <c r="BR334" s="43"/>
      <c r="BS334" s="24"/>
      <c r="BT334" s="24"/>
      <c r="BU334" s="24"/>
      <c r="BV334" s="132" t="e">
        <f>IF(#REF!="COMPLETO","OK","PENDIENTES")</f>
        <v>#REF!</v>
      </c>
      <c r="BW334" s="132"/>
      <c r="BX334" s="132"/>
      <c r="BY334" s="132"/>
      <c r="BZ334" s="132"/>
      <c r="CA334" s="132"/>
      <c r="CB334" s="132"/>
      <c r="CC334" s="22"/>
      <c r="CG334" s="24" t="s">
        <v>105</v>
      </c>
      <c r="CH334" s="24"/>
      <c r="CI334" s="26"/>
      <c r="CJ334" s="26"/>
    </row>
    <row r="335" spans="1:88" ht="15" customHeight="1">
      <c r="A335" s="18">
        <v>2018</v>
      </c>
      <c r="B335" s="18" t="str">
        <f>+INDEX(BDD!F:F,MATCH(P335,BDD!D:D,0))&amp;"-"&amp;INDEX(BDD!E:E,MATCH(P335,BDD!D:D,0))</f>
        <v>S-S</v>
      </c>
      <c r="C335" s="360" t="s">
        <v>484</v>
      </c>
      <c r="D335" s="150" t="s">
        <v>77</v>
      </c>
      <c r="E335" s="132"/>
      <c r="F335" s="24"/>
      <c r="G335" s="346">
        <v>8000000180</v>
      </c>
      <c r="H335" s="25" t="s">
        <v>1588</v>
      </c>
      <c r="I335" s="329"/>
      <c r="J335" s="346">
        <v>8000000180</v>
      </c>
      <c r="K335" s="24"/>
      <c r="L335" s="24"/>
      <c r="M335" s="24"/>
      <c r="N335" s="340" t="s">
        <v>486</v>
      </c>
      <c r="O335" s="334">
        <v>206966</v>
      </c>
      <c r="P335" s="25" t="s">
        <v>152</v>
      </c>
      <c r="Q335" s="127" t="s">
        <v>225</v>
      </c>
      <c r="R335" s="128" t="s">
        <v>1584</v>
      </c>
      <c r="S335" s="24">
        <v>43280</v>
      </c>
      <c r="T335" s="36">
        <v>90</v>
      </c>
      <c r="U335" s="125" t="s">
        <v>118</v>
      </c>
      <c r="V335" s="147" t="s">
        <v>1589</v>
      </c>
      <c r="W335" s="129"/>
      <c r="X335" s="88">
        <f>IF(RIGHT(U335,3)="ETA",AQ335+T335,IF(RIGHT(U335,2)="BL",BD335+T335," "))</f>
        <v>43415</v>
      </c>
      <c r="Y335" s="130" t="s">
        <v>20</v>
      </c>
      <c r="Z335" s="133" t="s">
        <v>60</v>
      </c>
      <c r="AA335" s="133"/>
      <c r="AB335" s="148">
        <v>400</v>
      </c>
      <c r="AC335" s="134">
        <v>631</v>
      </c>
      <c r="AD335" s="134"/>
      <c r="AE335" s="403">
        <f t="shared" si="16"/>
        <v>252400</v>
      </c>
      <c r="AF335" s="132" t="str">
        <f>IF(W335=BDD!$P$1,IMPORTS!AB335/25,IF(W335=BDD!$P$2,IMPORTS!AB335/25,IF(IMPORTS!W335=BDD!$P$4,IMPORTS!AB335/25.5,"--")))</f>
        <v>--</v>
      </c>
      <c r="AG335" s="130" t="s">
        <v>58</v>
      </c>
      <c r="AH335" s="130"/>
      <c r="AI335" s="130" t="s">
        <v>34</v>
      </c>
      <c r="AJ335" s="130"/>
      <c r="AK335" s="130"/>
      <c r="AL335" s="135" t="s">
        <v>671</v>
      </c>
      <c r="AM335" s="314"/>
      <c r="AN335" s="26"/>
      <c r="AO335" s="26"/>
      <c r="AP335" s="26"/>
      <c r="AQ335" s="26">
        <v>43376</v>
      </c>
      <c r="AR335" s="24"/>
      <c r="AS335" s="24"/>
      <c r="AT335" s="24">
        <v>43384</v>
      </c>
      <c r="AU335" s="418">
        <f t="shared" si="17"/>
        <v>10</v>
      </c>
      <c r="AV335" s="418">
        <f t="shared" si="18"/>
        <v>2018</v>
      </c>
      <c r="AW335" s="24"/>
      <c r="AX335" s="28"/>
      <c r="AY335" s="28" t="s">
        <v>230</v>
      </c>
      <c r="AZ335" s="132" t="s">
        <v>37</v>
      </c>
      <c r="BA335" s="132"/>
      <c r="BB335" s="24"/>
      <c r="BC335" s="135" t="s">
        <v>1590</v>
      </c>
      <c r="BD335" s="24">
        <v>43325</v>
      </c>
      <c r="BE335" s="135" t="s">
        <v>1591</v>
      </c>
      <c r="BF335" s="135" t="s">
        <v>1591</v>
      </c>
      <c r="BG335" s="135" t="s">
        <v>52</v>
      </c>
      <c r="BH335" s="135"/>
      <c r="BI335" s="314"/>
      <c r="BJ335" s="314"/>
      <c r="BK335" s="24"/>
      <c r="BL335" s="24"/>
      <c r="BM335" s="24"/>
      <c r="BN335" s="24"/>
      <c r="BO335" s="24"/>
      <c r="BP335" s="24"/>
      <c r="BQ335" s="24"/>
      <c r="BR335" s="43"/>
      <c r="BS335" s="24"/>
      <c r="BT335" s="24"/>
      <c r="BU335" s="24"/>
      <c r="BV335" s="132" t="e">
        <f>IF(#REF!="COMPLETO","OK","PENDIENTES")</f>
        <v>#REF!</v>
      </c>
      <c r="BW335" s="132"/>
      <c r="BX335" s="132"/>
      <c r="BY335" s="132"/>
      <c r="BZ335" s="132"/>
      <c r="CA335" s="132"/>
      <c r="CB335" s="132"/>
      <c r="CC335" s="22"/>
      <c r="CG335" s="24" t="s">
        <v>105</v>
      </c>
      <c r="CH335" s="24"/>
      <c r="CI335" s="24"/>
      <c r="CJ335" s="24"/>
    </row>
    <row r="336" spans="1:88" ht="15" customHeight="1">
      <c r="A336" s="18">
        <v>2018</v>
      </c>
      <c r="B336" s="18" t="str">
        <f>+INDEX(BDD!F:F,MATCH(P336,BDD!D:D,0))&amp;"-"&amp;INDEX(BDD!E:E,MATCH(P336,BDD!D:D,0))</f>
        <v>E-S</v>
      </c>
      <c r="C336" s="360" t="s">
        <v>484</v>
      </c>
      <c r="D336" s="150" t="s">
        <v>77</v>
      </c>
      <c r="E336" s="132"/>
      <c r="F336" s="24"/>
      <c r="G336" s="346">
        <v>8000000179</v>
      </c>
      <c r="H336" s="25" t="s">
        <v>1592</v>
      </c>
      <c r="I336" s="329"/>
      <c r="J336" s="346">
        <v>8000000179</v>
      </c>
      <c r="K336" s="24"/>
      <c r="L336" s="24"/>
      <c r="M336" s="24"/>
      <c r="N336" s="340" t="s">
        <v>486</v>
      </c>
      <c r="O336" s="334"/>
      <c r="P336" s="25" t="s">
        <v>351</v>
      </c>
      <c r="Q336" s="127" t="s">
        <v>306</v>
      </c>
      <c r="R336" s="128" t="s">
        <v>1593</v>
      </c>
      <c r="S336" s="24">
        <v>43284</v>
      </c>
      <c r="T336" s="36" t="s">
        <v>19</v>
      </c>
      <c r="U336" s="125"/>
      <c r="V336" s="147" t="s">
        <v>1594</v>
      </c>
      <c r="W336" s="129"/>
      <c r="X336" s="88">
        <v>43370</v>
      </c>
      <c r="Y336" s="130" t="s">
        <v>20</v>
      </c>
      <c r="Z336" s="133" t="s">
        <v>60</v>
      </c>
      <c r="AA336" s="133"/>
      <c r="AB336" s="148">
        <v>56</v>
      </c>
      <c r="AC336" s="134">
        <v>375</v>
      </c>
      <c r="AD336" s="134"/>
      <c r="AE336" s="403">
        <f t="shared" si="16"/>
        <v>21000</v>
      </c>
      <c r="AF336" s="132">
        <v>2</v>
      </c>
      <c r="AG336" s="130" t="s">
        <v>21</v>
      </c>
      <c r="AH336" s="130"/>
      <c r="AI336" s="130" t="s">
        <v>71</v>
      </c>
      <c r="AJ336" s="130"/>
      <c r="AK336" s="130"/>
      <c r="AL336" s="135" t="s">
        <v>1543</v>
      </c>
      <c r="AM336" s="314"/>
      <c r="AN336" s="26"/>
      <c r="AO336" s="26"/>
      <c r="AP336" s="26"/>
      <c r="AQ336" s="26">
        <v>43401</v>
      </c>
      <c r="AR336" s="24"/>
      <c r="AS336" s="24"/>
      <c r="AT336" s="26">
        <v>43404</v>
      </c>
      <c r="AU336" s="418">
        <f t="shared" si="17"/>
        <v>10</v>
      </c>
      <c r="AV336" s="418">
        <f t="shared" si="18"/>
        <v>2018</v>
      </c>
      <c r="AW336" s="26"/>
      <c r="AX336" s="28"/>
      <c r="AY336" s="28" t="s">
        <v>281</v>
      </c>
      <c r="AZ336" s="132" t="s">
        <v>37</v>
      </c>
      <c r="BA336" s="132"/>
      <c r="BB336" s="26"/>
      <c r="BC336" s="135" t="s">
        <v>1595</v>
      </c>
      <c r="BD336" s="24">
        <v>43367</v>
      </c>
      <c r="BE336" s="135" t="s">
        <v>1596</v>
      </c>
      <c r="BF336" s="135" t="s">
        <v>1597</v>
      </c>
      <c r="BG336" s="135" t="s">
        <v>65</v>
      </c>
      <c r="BH336" s="135"/>
      <c r="BI336" s="314"/>
      <c r="BJ336" s="314"/>
      <c r="BK336" s="24"/>
      <c r="BL336" s="24"/>
      <c r="BM336" s="24"/>
      <c r="BN336" s="24"/>
      <c r="BO336" s="24"/>
      <c r="BP336" s="24"/>
      <c r="BQ336" s="24"/>
      <c r="BR336" s="43"/>
      <c r="BS336" s="24"/>
      <c r="BT336" s="24"/>
      <c r="BU336" s="24"/>
      <c r="BV336" s="132" t="e">
        <f>IF(#REF!="COMPLETO","OK","PENDIENTES")</f>
        <v>#REF!</v>
      </c>
      <c r="BW336" s="132"/>
      <c r="BX336" s="132"/>
      <c r="BY336" s="132"/>
      <c r="BZ336" s="132"/>
      <c r="CA336" s="132"/>
      <c r="CB336" s="132"/>
      <c r="CC336" s="22"/>
      <c r="CG336" s="24" t="s">
        <v>105</v>
      </c>
      <c r="CH336" s="24"/>
      <c r="CI336" s="26"/>
      <c r="CJ336" s="26"/>
    </row>
    <row r="337" spans="1:88" ht="15" customHeight="1">
      <c r="A337" s="18">
        <v>2018</v>
      </c>
      <c r="B337" s="18" t="str">
        <f>+INDEX(BDD!F:F,MATCH(P337,BDD!D:D,0))&amp;"-"&amp;INDEX(BDD!E:E,MATCH(P337,BDD!D:D,0))</f>
        <v>E-S</v>
      </c>
      <c r="C337" s="360" t="s">
        <v>484</v>
      </c>
      <c r="D337" s="150" t="s">
        <v>77</v>
      </c>
      <c r="E337" s="132"/>
      <c r="F337" s="24"/>
      <c r="G337" s="346">
        <v>8000000209</v>
      </c>
      <c r="H337" s="25" t="s">
        <v>1598</v>
      </c>
      <c r="I337" s="329"/>
      <c r="J337" s="346">
        <v>8000000209</v>
      </c>
      <c r="K337" s="24"/>
      <c r="L337" s="24"/>
      <c r="M337" s="24"/>
      <c r="N337" s="340" t="s">
        <v>486</v>
      </c>
      <c r="O337" s="334">
        <v>209865</v>
      </c>
      <c r="P337" s="25" t="s">
        <v>277</v>
      </c>
      <c r="Q337" s="127" t="s">
        <v>213</v>
      </c>
      <c r="R337" s="128" t="s">
        <v>1599</v>
      </c>
      <c r="S337" s="24">
        <v>43297</v>
      </c>
      <c r="T337" s="36" t="s">
        <v>19</v>
      </c>
      <c r="U337" s="125"/>
      <c r="V337" s="147" t="s">
        <v>1600</v>
      </c>
      <c r="W337" s="129"/>
      <c r="X337" s="88">
        <v>43329</v>
      </c>
      <c r="Y337" s="130" t="s">
        <v>20</v>
      </c>
      <c r="Z337" s="133" t="s">
        <v>72</v>
      </c>
      <c r="AA337" s="133"/>
      <c r="AB337" s="148">
        <f>10677.77/1000</f>
        <v>10.677770000000001</v>
      </c>
      <c r="AC337" s="134">
        <v>10938.571443288252</v>
      </c>
      <c r="AD337" s="134"/>
      <c r="AE337" s="403">
        <f t="shared" si="16"/>
        <v>116799.55</v>
      </c>
      <c r="AF337" s="132">
        <v>1</v>
      </c>
      <c r="AG337" s="130" t="s">
        <v>5</v>
      </c>
      <c r="AH337" s="130"/>
      <c r="AI337" s="130" t="s">
        <v>93</v>
      </c>
      <c r="AJ337" s="130"/>
      <c r="AK337" s="130"/>
      <c r="AL337" s="135" t="s">
        <v>1543</v>
      </c>
      <c r="AM337" s="314"/>
      <c r="AN337" s="26"/>
      <c r="AO337" s="26"/>
      <c r="AP337" s="26"/>
      <c r="AQ337" s="26">
        <v>43351</v>
      </c>
      <c r="AR337" s="24"/>
      <c r="AS337" s="24"/>
      <c r="AT337" s="26">
        <v>43354</v>
      </c>
      <c r="AU337" s="418">
        <f t="shared" si="17"/>
        <v>9</v>
      </c>
      <c r="AV337" s="418">
        <f t="shared" si="18"/>
        <v>2018</v>
      </c>
      <c r="AW337" s="26"/>
      <c r="AX337" s="28"/>
      <c r="AY337" s="28" t="s">
        <v>221</v>
      </c>
      <c r="AZ337" s="132" t="s">
        <v>37</v>
      </c>
      <c r="BA337" s="132"/>
      <c r="BB337" s="26"/>
      <c r="BC337" s="231" t="s">
        <v>1601</v>
      </c>
      <c r="BD337" s="24">
        <v>43329</v>
      </c>
      <c r="BE337" s="135" t="s">
        <v>1602</v>
      </c>
      <c r="BF337" s="135" t="s">
        <v>1603</v>
      </c>
      <c r="BG337" s="135" t="s">
        <v>96</v>
      </c>
      <c r="BH337" s="135"/>
      <c r="BI337" s="314"/>
      <c r="BJ337" s="314"/>
      <c r="BK337" s="24"/>
      <c r="BL337" s="24"/>
      <c r="BM337" s="24"/>
      <c r="BN337" s="24"/>
      <c r="BO337" s="24"/>
      <c r="BP337" s="24"/>
      <c r="BQ337" s="24"/>
      <c r="BR337" s="43"/>
      <c r="BS337" s="24"/>
      <c r="BT337" s="24"/>
      <c r="BU337" s="24"/>
      <c r="BV337" s="132" t="e">
        <f>IF(#REF!="COMPLETO","OK","PENDIENTES")</f>
        <v>#REF!</v>
      </c>
      <c r="BW337" s="132"/>
      <c r="BX337" s="132"/>
      <c r="BY337" s="132"/>
      <c r="BZ337" s="132"/>
      <c r="CA337" s="132"/>
      <c r="CB337" s="132"/>
      <c r="CC337" s="22"/>
      <c r="CG337" s="24" t="s">
        <v>105</v>
      </c>
      <c r="CH337" s="24"/>
      <c r="CI337" s="26"/>
      <c r="CJ337" s="26"/>
    </row>
    <row r="338" spans="1:88" ht="15" customHeight="1">
      <c r="A338" s="18">
        <v>2018</v>
      </c>
      <c r="B338" s="18" t="str">
        <f>+INDEX(BDD!F:F,MATCH(P338,BDD!D:D,0))&amp;"-"&amp;INDEX(BDD!E:E,MATCH(P338,BDD!D:D,0))</f>
        <v>G-S</v>
      </c>
      <c r="C338" s="360" t="s">
        <v>484</v>
      </c>
      <c r="D338" s="150" t="s">
        <v>77</v>
      </c>
      <c r="E338" s="132"/>
      <c r="F338" s="24"/>
      <c r="G338" s="346"/>
      <c r="H338" s="25" t="s">
        <v>1604</v>
      </c>
      <c r="I338" s="329"/>
      <c r="J338" s="346"/>
      <c r="K338" s="24"/>
      <c r="L338" s="24"/>
      <c r="M338" s="24"/>
      <c r="N338" s="340"/>
      <c r="O338" s="334">
        <v>207791</v>
      </c>
      <c r="P338" s="25" t="s">
        <v>98</v>
      </c>
      <c r="Q338" s="127" t="s">
        <v>285</v>
      </c>
      <c r="R338" s="128" t="s">
        <v>1605</v>
      </c>
      <c r="S338" s="24">
        <v>43327</v>
      </c>
      <c r="T338" s="36" t="s">
        <v>19</v>
      </c>
      <c r="U338" s="125"/>
      <c r="V338" s="147" t="s">
        <v>1606</v>
      </c>
      <c r="W338" s="129"/>
      <c r="X338" s="88">
        <v>43326</v>
      </c>
      <c r="Y338" s="130" t="s">
        <v>20</v>
      </c>
      <c r="Z338" s="133" t="s">
        <v>60</v>
      </c>
      <c r="AA338" s="133"/>
      <c r="AB338" s="148">
        <v>838</v>
      </c>
      <c r="AC338" s="134">
        <v>304.5</v>
      </c>
      <c r="AD338" s="134"/>
      <c r="AE338" s="403">
        <f t="shared" si="16"/>
        <v>255171</v>
      </c>
      <c r="AF338" s="132" t="str">
        <f>IF(W338=BDD!$P$1,IMPORTS!AB338/25,IF(W338=BDD!$P$2,IMPORTS!AB338/25,IF(IMPORTS!W338=BDD!$P$4,IMPORTS!AB338/25.5,"--")))</f>
        <v>--</v>
      </c>
      <c r="AG338" s="130" t="s">
        <v>46</v>
      </c>
      <c r="AH338" s="130"/>
      <c r="AI338" s="130" t="s">
        <v>100</v>
      </c>
      <c r="AJ338" s="130"/>
      <c r="AK338" s="130"/>
      <c r="AL338" s="135" t="s">
        <v>743</v>
      </c>
      <c r="AM338" s="314"/>
      <c r="AN338" s="26"/>
      <c r="AO338" s="26"/>
      <c r="AP338" s="26"/>
      <c r="AQ338" s="26">
        <v>43346</v>
      </c>
      <c r="AR338" s="24"/>
      <c r="AS338" s="24"/>
      <c r="AT338" s="24">
        <v>43348</v>
      </c>
      <c r="AU338" s="418">
        <f t="shared" si="17"/>
        <v>9</v>
      </c>
      <c r="AV338" s="418">
        <f t="shared" si="18"/>
        <v>2018</v>
      </c>
      <c r="AW338" s="24"/>
      <c r="AX338" s="28"/>
      <c r="AY338" s="28" t="s">
        <v>281</v>
      </c>
      <c r="AZ338" s="132" t="s">
        <v>9</v>
      </c>
      <c r="BA338" s="132"/>
      <c r="BB338" s="24"/>
      <c r="BC338" s="135">
        <v>6</v>
      </c>
      <c r="BD338" s="24">
        <v>43313</v>
      </c>
      <c r="BE338" s="135" t="s">
        <v>1607</v>
      </c>
      <c r="BF338" s="135" t="s">
        <v>1607</v>
      </c>
      <c r="BG338" s="135" t="s">
        <v>52</v>
      </c>
      <c r="BH338" s="135"/>
      <c r="BI338" s="314"/>
      <c r="BJ338" s="314"/>
      <c r="BK338" s="24"/>
      <c r="BL338" s="24"/>
      <c r="BM338" s="24"/>
      <c r="BN338" s="24"/>
      <c r="BO338" s="24"/>
      <c r="BP338" s="24"/>
      <c r="BQ338" s="24"/>
      <c r="BR338" s="43"/>
      <c r="BS338" s="24"/>
      <c r="BT338" s="24"/>
      <c r="BU338" s="24"/>
      <c r="BV338" s="132" t="e">
        <f>IF(#REF!="COMPLETO","OK","PENDIENTES")</f>
        <v>#REF!</v>
      </c>
      <c r="BW338" s="132"/>
      <c r="BX338" s="132"/>
      <c r="BY338" s="132"/>
      <c r="BZ338" s="132"/>
      <c r="CA338" s="132"/>
      <c r="CB338" s="132"/>
      <c r="CC338" s="22"/>
      <c r="CG338" s="24" t="s">
        <v>105</v>
      </c>
      <c r="CH338" s="24"/>
      <c r="CI338" s="24"/>
      <c r="CJ338" s="24"/>
    </row>
    <row r="339" spans="1:88" ht="15" customHeight="1">
      <c r="A339" s="18">
        <v>2018</v>
      </c>
      <c r="B339" s="18" t="str">
        <f>+INDEX(BDD!F:F,MATCH(P339,BDD!D:D,0))&amp;"-"&amp;INDEX(BDD!E:E,MATCH(P339,BDD!D:D,0))</f>
        <v>G-S</v>
      </c>
      <c r="C339" s="360" t="s">
        <v>484</v>
      </c>
      <c r="D339" s="150" t="s">
        <v>77</v>
      </c>
      <c r="E339" s="132"/>
      <c r="F339" s="24"/>
      <c r="G339" s="346"/>
      <c r="H339" s="25" t="s">
        <v>1608</v>
      </c>
      <c r="I339" s="329"/>
      <c r="J339" s="346"/>
      <c r="K339" s="24"/>
      <c r="L339" s="24"/>
      <c r="M339" s="24"/>
      <c r="N339" s="340"/>
      <c r="O339" s="334">
        <v>207791</v>
      </c>
      <c r="P339" s="25" t="s">
        <v>98</v>
      </c>
      <c r="Q339" s="127" t="s">
        <v>285</v>
      </c>
      <c r="R339" s="128" t="s">
        <v>1605</v>
      </c>
      <c r="S339" s="24">
        <v>43327</v>
      </c>
      <c r="T339" s="36" t="s">
        <v>19</v>
      </c>
      <c r="U339" s="125"/>
      <c r="V339" s="147" t="s">
        <v>1609</v>
      </c>
      <c r="W339" s="129"/>
      <c r="X339" s="88">
        <v>43326</v>
      </c>
      <c r="Y339" s="130" t="s">
        <v>20</v>
      </c>
      <c r="Z339" s="133" t="s">
        <v>60</v>
      </c>
      <c r="AA339" s="133"/>
      <c r="AB339" s="158">
        <v>3200</v>
      </c>
      <c r="AC339" s="134">
        <v>304.5</v>
      </c>
      <c r="AD339" s="134"/>
      <c r="AE339" s="403">
        <f t="shared" si="16"/>
        <v>974400</v>
      </c>
      <c r="AF339" s="132" t="str">
        <f>IF(W339=BDD!$P$1,IMPORTS!AB339/25,IF(W339=BDD!$P$2,IMPORTS!AB339/25,IF(IMPORTS!W339=BDD!$P$4,IMPORTS!AB339/25.5,"--")))</f>
        <v>--</v>
      </c>
      <c r="AG339" s="130" t="s">
        <v>46</v>
      </c>
      <c r="AH339" s="130"/>
      <c r="AI339" s="130" t="s">
        <v>100</v>
      </c>
      <c r="AJ339" s="130"/>
      <c r="AK339" s="130"/>
      <c r="AL339" s="135" t="s">
        <v>743</v>
      </c>
      <c r="AM339" s="314"/>
      <c r="AN339" s="26"/>
      <c r="AO339" s="26"/>
      <c r="AP339" s="26"/>
      <c r="AQ339" s="26">
        <f>+AQ338+2</f>
        <v>43348</v>
      </c>
      <c r="AR339" s="24"/>
      <c r="AS339" s="24"/>
      <c r="AT339" s="24">
        <v>43363</v>
      </c>
      <c r="AU339" s="418">
        <f t="shared" si="17"/>
        <v>9</v>
      </c>
      <c r="AV339" s="418">
        <f t="shared" si="18"/>
        <v>2018</v>
      </c>
      <c r="AW339" s="24"/>
      <c r="AX339" s="28"/>
      <c r="AY339" s="28" t="s">
        <v>281</v>
      </c>
      <c r="AZ339" s="132" t="s">
        <v>25</v>
      </c>
      <c r="BA339" s="132"/>
      <c r="BB339" s="24"/>
      <c r="BC339" s="135">
        <v>7</v>
      </c>
      <c r="BD339" s="24">
        <v>43313</v>
      </c>
      <c r="BE339" s="135" t="s">
        <v>1607</v>
      </c>
      <c r="BF339" s="135" t="s">
        <v>1607</v>
      </c>
      <c r="BG339" s="135" t="s">
        <v>52</v>
      </c>
      <c r="BH339" s="135"/>
      <c r="BI339" s="314"/>
      <c r="BJ339" s="314"/>
      <c r="BK339" s="24"/>
      <c r="BL339" s="24"/>
      <c r="BM339" s="24"/>
      <c r="BN339" s="24"/>
      <c r="BO339" s="24"/>
      <c r="BP339" s="24"/>
      <c r="BQ339" s="24"/>
      <c r="BR339" s="43"/>
      <c r="BS339" s="24"/>
      <c r="BT339" s="24"/>
      <c r="BU339" s="24"/>
      <c r="BV339" s="132" t="e">
        <f>IF(#REF!="COMPLETO","OK","PENDIENTES")</f>
        <v>#REF!</v>
      </c>
      <c r="BW339" s="132"/>
      <c r="BX339" s="132"/>
      <c r="BY339" s="132"/>
      <c r="BZ339" s="132"/>
      <c r="CA339" s="132"/>
      <c r="CB339" s="132"/>
      <c r="CC339" s="22"/>
      <c r="CG339" s="24" t="s">
        <v>105</v>
      </c>
      <c r="CH339" s="24"/>
      <c r="CI339" s="24"/>
      <c r="CJ339" s="24"/>
    </row>
    <row r="340" spans="1:88" ht="15" customHeight="1">
      <c r="A340" s="18">
        <v>2018</v>
      </c>
      <c r="B340" s="18" t="str">
        <f>+INDEX(BDD!F:F,MATCH(P340,BDD!D:D,0))&amp;"-"&amp;INDEX(BDD!E:E,MATCH(P340,BDD!D:D,0))</f>
        <v>G-S</v>
      </c>
      <c r="C340" s="360" t="s">
        <v>484</v>
      </c>
      <c r="D340" s="150" t="s">
        <v>77</v>
      </c>
      <c r="E340" s="132"/>
      <c r="F340" s="24"/>
      <c r="G340" s="346"/>
      <c r="H340" s="25" t="s">
        <v>1610</v>
      </c>
      <c r="I340" s="329"/>
      <c r="J340" s="346"/>
      <c r="K340" s="24"/>
      <c r="L340" s="24"/>
      <c r="M340" s="24"/>
      <c r="N340" s="340"/>
      <c r="O340" s="334">
        <v>207791</v>
      </c>
      <c r="P340" s="25" t="s">
        <v>98</v>
      </c>
      <c r="Q340" s="127" t="s">
        <v>285</v>
      </c>
      <c r="R340" s="128" t="s">
        <v>1605</v>
      </c>
      <c r="S340" s="24">
        <v>43327</v>
      </c>
      <c r="T340" s="36" t="s">
        <v>19</v>
      </c>
      <c r="U340" s="125"/>
      <c r="V340" s="147" t="s">
        <v>1611</v>
      </c>
      <c r="W340" s="129"/>
      <c r="X340" s="88">
        <v>43326</v>
      </c>
      <c r="Y340" s="130" t="s">
        <v>20</v>
      </c>
      <c r="Z340" s="133" t="s">
        <v>60</v>
      </c>
      <c r="AA340" s="133"/>
      <c r="AB340" s="158">
        <v>300</v>
      </c>
      <c r="AC340" s="134">
        <v>304.5</v>
      </c>
      <c r="AD340" s="134"/>
      <c r="AE340" s="403">
        <f t="shared" si="16"/>
        <v>91350</v>
      </c>
      <c r="AF340" s="132" t="str">
        <f>IF(W340=BDD!$P$1,IMPORTS!AB340/25,IF(W340=BDD!$P$2,IMPORTS!AB340/25,IF(IMPORTS!W340=BDD!$P$4,IMPORTS!AB340/25.5,"--")))</f>
        <v>--</v>
      </c>
      <c r="AG340" s="130" t="s">
        <v>46</v>
      </c>
      <c r="AH340" s="130"/>
      <c r="AI340" s="130" t="s">
        <v>100</v>
      </c>
      <c r="AJ340" s="130"/>
      <c r="AK340" s="130"/>
      <c r="AL340" s="135" t="s">
        <v>743</v>
      </c>
      <c r="AM340" s="314"/>
      <c r="AN340" s="26"/>
      <c r="AO340" s="26"/>
      <c r="AP340" s="26"/>
      <c r="AQ340" s="26">
        <v>43364</v>
      </c>
      <c r="AR340" s="24"/>
      <c r="AS340" s="24"/>
      <c r="AT340" s="24">
        <v>43366</v>
      </c>
      <c r="AU340" s="418">
        <f t="shared" si="17"/>
        <v>9</v>
      </c>
      <c r="AV340" s="418">
        <f t="shared" si="18"/>
        <v>2018</v>
      </c>
      <c r="AW340" s="24"/>
      <c r="AX340" s="28"/>
      <c r="AY340" s="28" t="s">
        <v>281</v>
      </c>
      <c r="AZ340" s="132" t="s">
        <v>37</v>
      </c>
      <c r="BA340" s="132"/>
      <c r="BB340" s="24"/>
      <c r="BC340" s="135">
        <v>8</v>
      </c>
      <c r="BD340" s="24">
        <v>43313</v>
      </c>
      <c r="BE340" s="135" t="s">
        <v>1607</v>
      </c>
      <c r="BF340" s="135" t="s">
        <v>1607</v>
      </c>
      <c r="BG340" s="135" t="s">
        <v>52</v>
      </c>
      <c r="BH340" s="135"/>
      <c r="BI340" s="314"/>
      <c r="BJ340" s="314"/>
      <c r="BK340" s="24"/>
      <c r="BL340" s="24"/>
      <c r="BM340" s="24"/>
      <c r="BN340" s="24"/>
      <c r="BO340" s="24"/>
      <c r="BP340" s="24"/>
      <c r="BQ340" s="24"/>
      <c r="BR340" s="43"/>
      <c r="BS340" s="24"/>
      <c r="BT340" s="24"/>
      <c r="BU340" s="24"/>
      <c r="BV340" s="132" t="e">
        <f>IF(#REF!="COMPLETO","OK","PENDIENTES")</f>
        <v>#REF!</v>
      </c>
      <c r="BW340" s="132"/>
      <c r="BX340" s="132"/>
      <c r="BY340" s="132"/>
      <c r="BZ340" s="132"/>
      <c r="CA340" s="132"/>
      <c r="CB340" s="132"/>
      <c r="CC340" s="22"/>
      <c r="CG340" s="24" t="s">
        <v>105</v>
      </c>
      <c r="CH340" s="24"/>
      <c r="CI340" s="24"/>
      <c r="CJ340" s="24"/>
    </row>
    <row r="341" spans="1:88" ht="15" customHeight="1">
      <c r="A341" s="18">
        <v>2018</v>
      </c>
      <c r="B341" s="18" t="str">
        <f>+INDEX(BDD!F:F,MATCH(P341,BDD!D:D,0))&amp;"-"&amp;INDEX(BDD!E:E,MATCH(P341,BDD!D:D,0))</f>
        <v>G-S</v>
      </c>
      <c r="C341" s="360" t="s">
        <v>484</v>
      </c>
      <c r="D341" s="150" t="s">
        <v>77</v>
      </c>
      <c r="E341" s="132"/>
      <c r="F341" s="24"/>
      <c r="G341" s="346"/>
      <c r="H341" s="25" t="s">
        <v>1612</v>
      </c>
      <c r="I341" s="329"/>
      <c r="J341" s="346"/>
      <c r="K341" s="24"/>
      <c r="L341" s="24"/>
      <c r="M341" s="24"/>
      <c r="N341" s="340"/>
      <c r="O341" s="334">
        <v>207791</v>
      </c>
      <c r="P341" s="25" t="s">
        <v>98</v>
      </c>
      <c r="Q341" s="127" t="s">
        <v>285</v>
      </c>
      <c r="R341" s="128" t="s">
        <v>1605</v>
      </c>
      <c r="S341" s="24">
        <v>43327</v>
      </c>
      <c r="T341" s="36" t="s">
        <v>19</v>
      </c>
      <c r="U341" s="125"/>
      <c r="V341" s="147" t="s">
        <v>1613</v>
      </c>
      <c r="W341" s="129"/>
      <c r="X341" s="88">
        <v>43326</v>
      </c>
      <c r="Y341" s="130" t="s">
        <v>20</v>
      </c>
      <c r="Z341" s="133" t="s">
        <v>60</v>
      </c>
      <c r="AA341" s="133"/>
      <c r="AB341" s="158">
        <v>150</v>
      </c>
      <c r="AC341" s="134">
        <v>304.5</v>
      </c>
      <c r="AD341" s="134"/>
      <c r="AE341" s="403">
        <f t="shared" si="16"/>
        <v>45675</v>
      </c>
      <c r="AF341" s="132" t="str">
        <f>IF(W341=BDD!$P$1,IMPORTS!AB341/25,IF(W341=BDD!$P$2,IMPORTS!AB341/25,IF(IMPORTS!W341=BDD!$P$4,IMPORTS!AB341/25.5,"--")))</f>
        <v>--</v>
      </c>
      <c r="AG341" s="130" t="s">
        <v>46</v>
      </c>
      <c r="AH341" s="130"/>
      <c r="AI341" s="130" t="s">
        <v>100</v>
      </c>
      <c r="AJ341" s="130"/>
      <c r="AK341" s="130"/>
      <c r="AL341" s="135" t="s">
        <v>743</v>
      </c>
      <c r="AM341" s="314"/>
      <c r="AN341" s="26"/>
      <c r="AO341" s="26"/>
      <c r="AP341" s="26"/>
      <c r="AQ341" s="26">
        <v>43368</v>
      </c>
      <c r="AR341" s="24"/>
      <c r="AS341" s="24"/>
      <c r="AT341" s="26">
        <v>43371</v>
      </c>
      <c r="AU341" s="418">
        <f t="shared" si="17"/>
        <v>9</v>
      </c>
      <c r="AV341" s="418">
        <f t="shared" si="18"/>
        <v>2018</v>
      </c>
      <c r="AW341" s="26"/>
      <c r="AX341" s="28"/>
      <c r="AY341" s="28" t="s">
        <v>281</v>
      </c>
      <c r="AZ341" s="132" t="s">
        <v>62</v>
      </c>
      <c r="BA341" s="132"/>
      <c r="BB341" s="26"/>
      <c r="BC341" s="135">
        <v>9</v>
      </c>
      <c r="BD341" s="24">
        <v>43313</v>
      </c>
      <c r="BE341" s="135" t="s">
        <v>1607</v>
      </c>
      <c r="BF341" s="135" t="s">
        <v>1607</v>
      </c>
      <c r="BG341" s="135" t="s">
        <v>52</v>
      </c>
      <c r="BH341" s="135"/>
      <c r="BI341" s="314"/>
      <c r="BJ341" s="314"/>
      <c r="BK341" s="24"/>
      <c r="BL341" s="24"/>
      <c r="BM341" s="24"/>
      <c r="BN341" s="24"/>
      <c r="BO341" s="24"/>
      <c r="BP341" s="24"/>
      <c r="BQ341" s="24"/>
      <c r="BR341" s="43"/>
      <c r="BS341" s="24"/>
      <c r="BT341" s="24"/>
      <c r="BU341" s="24"/>
      <c r="BV341" s="132" t="e">
        <f>IF(#REF!="COMPLETO","OK","PENDIENTES")</f>
        <v>#REF!</v>
      </c>
      <c r="BW341" s="132"/>
      <c r="BX341" s="132"/>
      <c r="BY341" s="132"/>
      <c r="BZ341" s="132"/>
      <c r="CA341" s="132"/>
      <c r="CB341" s="132"/>
      <c r="CC341" s="22"/>
      <c r="CG341" s="24" t="s">
        <v>105</v>
      </c>
      <c r="CH341" s="24"/>
      <c r="CI341" s="26"/>
      <c r="CJ341" s="26"/>
    </row>
    <row r="342" spans="1:88" ht="15" customHeight="1">
      <c r="A342" s="18">
        <v>2018</v>
      </c>
      <c r="B342" s="18" t="str">
        <f>+INDEX(BDD!F:F,MATCH(P342,BDD!D:D,0))&amp;"-"&amp;INDEX(BDD!E:E,MATCH(P342,BDD!D:D,0))</f>
        <v>G-S</v>
      </c>
      <c r="C342" s="360" t="s">
        <v>484</v>
      </c>
      <c r="D342" s="150" t="s">
        <v>77</v>
      </c>
      <c r="E342" s="132"/>
      <c r="F342" s="24"/>
      <c r="G342" s="346">
        <v>8000000234</v>
      </c>
      <c r="H342" s="25" t="s">
        <v>1614</v>
      </c>
      <c r="I342" s="329"/>
      <c r="J342" s="346">
        <v>8000000234</v>
      </c>
      <c r="K342" s="24"/>
      <c r="L342" s="24"/>
      <c r="M342" s="24"/>
      <c r="N342" s="340" t="s">
        <v>486</v>
      </c>
      <c r="O342" s="334">
        <v>206597</v>
      </c>
      <c r="P342" s="25" t="s">
        <v>104</v>
      </c>
      <c r="Q342" s="127" t="s">
        <v>90</v>
      </c>
      <c r="R342" s="128" t="s">
        <v>1615</v>
      </c>
      <c r="S342" s="24">
        <v>43329</v>
      </c>
      <c r="T342" s="36">
        <v>180</v>
      </c>
      <c r="U342" s="125" t="s">
        <v>118</v>
      </c>
      <c r="V342" s="147" t="s">
        <v>1616</v>
      </c>
      <c r="W342" s="129"/>
      <c r="X342" s="88">
        <f>IF(RIGHT(U342,3)="ETA",AQ342+T342,IF(RIGHT(U342,2)="BL",BD342+T342," "))</f>
        <v>43516</v>
      </c>
      <c r="Y342" s="130" t="s">
        <v>20</v>
      </c>
      <c r="Z342" s="133" t="s">
        <v>60</v>
      </c>
      <c r="AA342" s="133"/>
      <c r="AB342" s="158">
        <v>1300</v>
      </c>
      <c r="AC342" s="134">
        <v>312.5</v>
      </c>
      <c r="AD342" s="134"/>
      <c r="AE342" s="403">
        <f t="shared" si="16"/>
        <v>406250</v>
      </c>
      <c r="AF342" s="132" t="str">
        <f>IF(W342=BDD!$P$1,IMPORTS!AB342/25,IF(W342=BDD!$P$2,IMPORTS!AB342/25,IF(IMPORTS!W342=BDD!$P$4,IMPORTS!AB342/25.5,"--")))</f>
        <v>--</v>
      </c>
      <c r="AG342" s="130" t="s">
        <v>46</v>
      </c>
      <c r="AH342" s="130"/>
      <c r="AI342" s="130" t="s">
        <v>100</v>
      </c>
      <c r="AJ342" s="130"/>
      <c r="AK342" s="130"/>
      <c r="AL342" s="135" t="s">
        <v>743</v>
      </c>
      <c r="AM342" s="314"/>
      <c r="AN342" s="26"/>
      <c r="AO342" s="26"/>
      <c r="AP342" s="26"/>
      <c r="AQ342" s="26">
        <v>43361</v>
      </c>
      <c r="AR342" s="24"/>
      <c r="AS342" s="24"/>
      <c r="AT342" s="24">
        <v>43365</v>
      </c>
      <c r="AU342" s="418">
        <f t="shared" si="17"/>
        <v>9</v>
      </c>
      <c r="AV342" s="418">
        <f t="shared" si="18"/>
        <v>2018</v>
      </c>
      <c r="AW342" s="24"/>
      <c r="AX342" s="28"/>
      <c r="AY342" s="28" t="s">
        <v>245</v>
      </c>
      <c r="AZ342" s="132" t="s">
        <v>25</v>
      </c>
      <c r="BA342" s="132"/>
      <c r="BB342" s="24"/>
      <c r="BC342" s="135" t="s">
        <v>1617</v>
      </c>
      <c r="BD342" s="24">
        <v>43336</v>
      </c>
      <c r="BE342" s="135" t="s">
        <v>1618</v>
      </c>
      <c r="BF342" s="135" t="s">
        <v>1618</v>
      </c>
      <c r="BG342" s="135" t="s">
        <v>52</v>
      </c>
      <c r="BH342" s="135"/>
      <c r="BI342" s="314"/>
      <c r="BJ342" s="314"/>
      <c r="BK342" s="24"/>
      <c r="BL342" s="24"/>
      <c r="BM342" s="24"/>
      <c r="BN342" s="24"/>
      <c r="BO342" s="24"/>
      <c r="BP342" s="24"/>
      <c r="BQ342" s="24"/>
      <c r="BR342" s="43"/>
      <c r="BS342" s="24"/>
      <c r="BT342" s="24"/>
      <c r="BU342" s="24"/>
      <c r="BV342" s="132" t="e">
        <f>IF(#REF!="COMPLETO","OK","PENDIENTES")</f>
        <v>#REF!</v>
      </c>
      <c r="BW342" s="132"/>
      <c r="BX342" s="132"/>
      <c r="BY342" s="132"/>
      <c r="BZ342" s="132"/>
      <c r="CA342" s="132"/>
      <c r="CB342" s="132"/>
      <c r="CC342" s="22"/>
      <c r="CG342" s="24" t="s">
        <v>105</v>
      </c>
      <c r="CH342" s="24"/>
      <c r="CI342" s="24"/>
      <c r="CJ342" s="24"/>
    </row>
    <row r="343" spans="1:88" ht="15" customHeight="1">
      <c r="A343" s="18">
        <v>2018</v>
      </c>
      <c r="B343" s="18" t="str">
        <f>+INDEX(BDD!F:F,MATCH(P343,BDD!D:D,0))&amp;"-"&amp;INDEX(BDD!E:E,MATCH(P343,BDD!D:D,0))</f>
        <v>G-S</v>
      </c>
      <c r="C343" s="360" t="s">
        <v>484</v>
      </c>
      <c r="D343" s="150" t="s">
        <v>77</v>
      </c>
      <c r="E343" s="132"/>
      <c r="F343" s="24"/>
      <c r="G343" s="346">
        <v>8000000239</v>
      </c>
      <c r="H343" s="25" t="s">
        <v>1619</v>
      </c>
      <c r="I343" s="329"/>
      <c r="J343" s="346">
        <v>8000000239</v>
      </c>
      <c r="K343" s="24"/>
      <c r="L343" s="24"/>
      <c r="M343" s="24"/>
      <c r="N343" s="340" t="s">
        <v>486</v>
      </c>
      <c r="O343" s="334">
        <v>206597</v>
      </c>
      <c r="P343" s="25" t="s">
        <v>104</v>
      </c>
      <c r="Q343" s="127" t="s">
        <v>90</v>
      </c>
      <c r="R343" s="128" t="s">
        <v>1615</v>
      </c>
      <c r="S343" s="24">
        <v>43329</v>
      </c>
      <c r="T343" s="36">
        <v>180</v>
      </c>
      <c r="U343" s="125" t="s">
        <v>118</v>
      </c>
      <c r="V343" s="147" t="s">
        <v>1616</v>
      </c>
      <c r="W343" s="129"/>
      <c r="X343" s="88">
        <f>IF(RIGHT(U343,3)="ETA",AQ343+T343,IF(RIGHT(U343,2)="BL",BD343+T343," "))</f>
        <v>43516</v>
      </c>
      <c r="Y343" s="130" t="s">
        <v>20</v>
      </c>
      <c r="Z343" s="133" t="s">
        <v>60</v>
      </c>
      <c r="AA343" s="133"/>
      <c r="AB343" s="158">
        <v>1200</v>
      </c>
      <c r="AC343" s="134">
        <v>312.5</v>
      </c>
      <c r="AD343" s="134"/>
      <c r="AE343" s="403">
        <f t="shared" si="16"/>
        <v>375000</v>
      </c>
      <c r="AF343" s="132" t="str">
        <f>IF(W343=BDD!$P$1,IMPORTS!AB343/25,IF(W343=BDD!$P$2,IMPORTS!AB343/25,IF(IMPORTS!W343=BDD!$P$4,IMPORTS!AB343/25.5,"--")))</f>
        <v>--</v>
      </c>
      <c r="AG343" s="130" t="s">
        <v>46</v>
      </c>
      <c r="AH343" s="130"/>
      <c r="AI343" s="130" t="s">
        <v>100</v>
      </c>
      <c r="AJ343" s="130"/>
      <c r="AK343" s="130"/>
      <c r="AL343" s="135" t="s">
        <v>743</v>
      </c>
      <c r="AM343" s="314"/>
      <c r="AN343" s="26"/>
      <c r="AO343" s="26"/>
      <c r="AP343" s="26"/>
      <c r="AQ343" s="26">
        <v>43366</v>
      </c>
      <c r="AR343" s="24"/>
      <c r="AS343" s="24"/>
      <c r="AT343" s="24">
        <v>43367</v>
      </c>
      <c r="AU343" s="418">
        <f t="shared" si="17"/>
        <v>9</v>
      </c>
      <c r="AV343" s="418">
        <f t="shared" si="18"/>
        <v>2018</v>
      </c>
      <c r="AW343" s="24"/>
      <c r="AX343" s="28"/>
      <c r="AY343" s="28" t="s">
        <v>245</v>
      </c>
      <c r="AZ343" s="132" t="s">
        <v>37</v>
      </c>
      <c r="BA343" s="132"/>
      <c r="BB343" s="24"/>
      <c r="BC343" s="135" t="s">
        <v>1617</v>
      </c>
      <c r="BD343" s="24">
        <v>43336</v>
      </c>
      <c r="BE343" s="135" t="s">
        <v>1618</v>
      </c>
      <c r="BF343" s="135" t="s">
        <v>1618</v>
      </c>
      <c r="BG343" s="135" t="s">
        <v>52</v>
      </c>
      <c r="BH343" s="135"/>
      <c r="BI343" s="314"/>
      <c r="BJ343" s="314"/>
      <c r="BK343" s="24"/>
      <c r="BL343" s="24"/>
      <c r="BM343" s="24"/>
      <c r="BN343" s="24"/>
      <c r="BO343" s="24"/>
      <c r="BP343" s="24"/>
      <c r="BQ343" s="24"/>
      <c r="BR343" s="43"/>
      <c r="BS343" s="24"/>
      <c r="BT343" s="24"/>
      <c r="BU343" s="24"/>
      <c r="BV343" s="132" t="e">
        <f>IF(#REF!="COMPLETO","OK","PENDIENTES")</f>
        <v>#REF!</v>
      </c>
      <c r="BW343" s="132"/>
      <c r="BX343" s="132"/>
      <c r="BY343" s="132"/>
      <c r="BZ343" s="132"/>
      <c r="CA343" s="132"/>
      <c r="CB343" s="132"/>
      <c r="CC343" s="22"/>
      <c r="CG343" s="24" t="s">
        <v>105</v>
      </c>
      <c r="CH343" s="24"/>
      <c r="CI343" s="24"/>
      <c r="CJ343" s="24"/>
    </row>
    <row r="344" spans="1:88" ht="15" customHeight="1">
      <c r="A344" s="18">
        <v>2018</v>
      </c>
      <c r="B344" s="18" t="str">
        <f>+INDEX(BDD!F:F,MATCH(P344,BDD!D:D,0))&amp;"-"&amp;INDEX(BDD!E:E,MATCH(P344,BDD!D:D,0))</f>
        <v>G-S</v>
      </c>
      <c r="C344" s="360" t="s">
        <v>484</v>
      </c>
      <c r="D344" s="150" t="s">
        <v>77</v>
      </c>
      <c r="E344" s="132"/>
      <c r="F344" s="24"/>
      <c r="G344" s="346">
        <v>8000000247</v>
      </c>
      <c r="H344" s="25" t="s">
        <v>1620</v>
      </c>
      <c r="I344" s="329"/>
      <c r="J344" s="346">
        <v>8000000247</v>
      </c>
      <c r="K344" s="24"/>
      <c r="L344" s="24"/>
      <c r="M344" s="24"/>
      <c r="N344" s="340" t="s">
        <v>486</v>
      </c>
      <c r="O344" s="334">
        <v>206597</v>
      </c>
      <c r="P344" s="25" t="s">
        <v>104</v>
      </c>
      <c r="Q344" s="127" t="s">
        <v>90</v>
      </c>
      <c r="R344" s="128" t="s">
        <v>1615</v>
      </c>
      <c r="S344" s="24">
        <v>43329</v>
      </c>
      <c r="T344" s="36">
        <v>180</v>
      </c>
      <c r="U344" s="125" t="s">
        <v>118</v>
      </c>
      <c r="V344" s="147" t="s">
        <v>1616</v>
      </c>
      <c r="W344" s="129"/>
      <c r="X344" s="88">
        <f>IF(RIGHT(U344,3)="ETA",AQ344+T344,IF(RIGHT(U344,2)="BL",BD344+T344," "))</f>
        <v>43516</v>
      </c>
      <c r="Y344" s="130" t="s">
        <v>20</v>
      </c>
      <c r="Z344" s="133" t="s">
        <v>60</v>
      </c>
      <c r="AA344" s="133"/>
      <c r="AB344" s="158">
        <v>300</v>
      </c>
      <c r="AC344" s="134">
        <v>312.5</v>
      </c>
      <c r="AD344" s="134"/>
      <c r="AE344" s="403">
        <f t="shared" si="16"/>
        <v>93750</v>
      </c>
      <c r="AF344" s="132" t="str">
        <f>IF(W344=BDD!$P$1,IMPORTS!AB344/25,IF(W344=BDD!$P$2,IMPORTS!AB344/25,IF(IMPORTS!W344=BDD!$P$4,IMPORTS!AB344/25.5,"--")))</f>
        <v>--</v>
      </c>
      <c r="AG344" s="130" t="s">
        <v>46</v>
      </c>
      <c r="AH344" s="130"/>
      <c r="AI344" s="130" t="s">
        <v>100</v>
      </c>
      <c r="AJ344" s="130"/>
      <c r="AK344" s="130"/>
      <c r="AL344" s="135" t="s">
        <v>743</v>
      </c>
      <c r="AM344" s="314"/>
      <c r="AN344" s="26"/>
      <c r="AO344" s="26"/>
      <c r="AP344" s="26"/>
      <c r="AQ344" s="26">
        <v>43369</v>
      </c>
      <c r="AR344" s="24"/>
      <c r="AS344" s="24"/>
      <c r="AT344" s="24">
        <v>43371</v>
      </c>
      <c r="AU344" s="418">
        <f t="shared" si="17"/>
        <v>9</v>
      </c>
      <c r="AV344" s="418">
        <f t="shared" si="18"/>
        <v>2018</v>
      </c>
      <c r="AW344" s="24"/>
      <c r="AX344" s="28"/>
      <c r="AY344" s="28" t="s">
        <v>245</v>
      </c>
      <c r="AZ344" s="132" t="s">
        <v>62</v>
      </c>
      <c r="BA344" s="132"/>
      <c r="BB344" s="24"/>
      <c r="BC344" s="135" t="s">
        <v>1617</v>
      </c>
      <c r="BD344" s="24">
        <v>43336</v>
      </c>
      <c r="BE344" s="135" t="s">
        <v>1618</v>
      </c>
      <c r="BF344" s="135" t="s">
        <v>1618</v>
      </c>
      <c r="BG344" s="135" t="s">
        <v>52</v>
      </c>
      <c r="BH344" s="135"/>
      <c r="BI344" s="314"/>
      <c r="BJ344" s="314"/>
      <c r="BK344" s="24"/>
      <c r="BL344" s="24"/>
      <c r="BM344" s="24"/>
      <c r="BN344" s="24"/>
      <c r="BO344" s="24"/>
      <c r="BP344" s="24"/>
      <c r="BQ344" s="24"/>
      <c r="BR344" s="43"/>
      <c r="BS344" s="24"/>
      <c r="BT344" s="24"/>
      <c r="BU344" s="24"/>
      <c r="BV344" s="132" t="e">
        <f>IF(#REF!="COMPLETO","OK","PENDIENTES")</f>
        <v>#REF!</v>
      </c>
      <c r="BW344" s="132"/>
      <c r="BX344" s="132"/>
      <c r="BY344" s="132"/>
      <c r="BZ344" s="132"/>
      <c r="CA344" s="132"/>
      <c r="CB344" s="132"/>
      <c r="CC344" s="22"/>
      <c r="CG344" s="24" t="s">
        <v>105</v>
      </c>
      <c r="CH344" s="24"/>
      <c r="CI344" s="24"/>
      <c r="CJ344" s="24"/>
    </row>
    <row r="345" spans="1:88" ht="15" customHeight="1">
      <c r="A345" s="18">
        <v>2018</v>
      </c>
      <c r="B345" s="18" t="str">
        <f>+INDEX(BDD!F:F,MATCH(P345,BDD!D:D,0))&amp;"-"&amp;INDEX(BDD!E:E,MATCH(P345,BDD!D:D,0))</f>
        <v>G-C</v>
      </c>
      <c r="C345" s="360" t="s">
        <v>484</v>
      </c>
      <c r="D345" s="150" t="s">
        <v>77</v>
      </c>
      <c r="E345" s="132"/>
      <c r="F345" s="24"/>
      <c r="G345" s="346">
        <v>8000000219</v>
      </c>
      <c r="H345" s="25" t="s">
        <v>1621</v>
      </c>
      <c r="I345" s="329"/>
      <c r="J345" s="346">
        <v>8000000219</v>
      </c>
      <c r="K345" s="24"/>
      <c r="L345" s="24"/>
      <c r="M345" s="24"/>
      <c r="N345" s="340" t="s">
        <v>486</v>
      </c>
      <c r="O345" s="334"/>
      <c r="P345" s="25" t="s">
        <v>226</v>
      </c>
      <c r="Q345" s="127" t="s">
        <v>163</v>
      </c>
      <c r="R345" s="128" t="s">
        <v>1622</v>
      </c>
      <c r="S345" s="24">
        <v>43331</v>
      </c>
      <c r="T345" s="36" t="s">
        <v>19</v>
      </c>
      <c r="U345" s="125"/>
      <c r="V345" s="147" t="s">
        <v>1623</v>
      </c>
      <c r="W345" s="129"/>
      <c r="X345" s="88">
        <v>43328</v>
      </c>
      <c r="Y345" s="130" t="s">
        <v>20</v>
      </c>
      <c r="Z345" s="133" t="s">
        <v>60</v>
      </c>
      <c r="AA345" s="133"/>
      <c r="AB345" s="158">
        <v>1200</v>
      </c>
      <c r="AC345" s="134">
        <v>277.5</v>
      </c>
      <c r="AD345" s="134"/>
      <c r="AE345" s="403">
        <f t="shared" si="16"/>
        <v>333000</v>
      </c>
      <c r="AF345" s="132" t="str">
        <f>IF(W345=BDD!$P$1,IMPORTS!AB345/25,IF(W345=BDD!$P$2,IMPORTS!AB345/25,IF(IMPORTS!W345=BDD!$P$4,IMPORTS!AB345/25.5,"--")))</f>
        <v>--</v>
      </c>
      <c r="AG345" s="130" t="s">
        <v>46</v>
      </c>
      <c r="AH345" s="130"/>
      <c r="AI345" s="130" t="s">
        <v>100</v>
      </c>
      <c r="AJ345" s="130"/>
      <c r="AK345" s="130"/>
      <c r="AL345" s="135" t="s">
        <v>743</v>
      </c>
      <c r="AM345" s="314"/>
      <c r="AN345" s="26"/>
      <c r="AO345" s="26"/>
      <c r="AP345" s="26"/>
      <c r="AQ345" s="26">
        <v>43346</v>
      </c>
      <c r="AR345" s="24"/>
      <c r="AS345" s="24"/>
      <c r="AT345" s="24">
        <v>43348</v>
      </c>
      <c r="AU345" s="418">
        <f t="shared" si="17"/>
        <v>9</v>
      </c>
      <c r="AV345" s="418">
        <f t="shared" si="18"/>
        <v>2018</v>
      </c>
      <c r="AW345" s="24"/>
      <c r="AX345" s="28"/>
      <c r="AY345" s="28" t="s">
        <v>269</v>
      </c>
      <c r="AZ345" s="132" t="s">
        <v>9</v>
      </c>
      <c r="BA345" s="132"/>
      <c r="BB345" s="24"/>
      <c r="BC345" s="135">
        <v>6</v>
      </c>
      <c r="BD345" s="24">
        <v>43318</v>
      </c>
      <c r="BE345" s="135" t="s">
        <v>1607</v>
      </c>
      <c r="BF345" s="135" t="s">
        <v>1607</v>
      </c>
      <c r="BG345" s="135" t="s">
        <v>52</v>
      </c>
      <c r="BH345" s="135"/>
      <c r="BI345" s="314"/>
      <c r="BJ345" s="314"/>
      <c r="BK345" s="24"/>
      <c r="BL345" s="24"/>
      <c r="BM345" s="24"/>
      <c r="BN345" s="24"/>
      <c r="BO345" s="24"/>
      <c r="BP345" s="24"/>
      <c r="BQ345" s="24"/>
      <c r="BR345" s="43"/>
      <c r="BS345" s="24"/>
      <c r="BT345" s="24"/>
      <c r="BU345" s="24"/>
      <c r="BV345" s="132" t="e">
        <f>IF(#REF!="COMPLETO","OK","PENDIENTES")</f>
        <v>#REF!</v>
      </c>
      <c r="BW345" s="132"/>
      <c r="BX345" s="132"/>
      <c r="BY345" s="132"/>
      <c r="BZ345" s="132"/>
      <c r="CA345" s="132"/>
      <c r="CB345" s="132"/>
      <c r="CC345" s="22"/>
      <c r="CG345" s="24" t="s">
        <v>105</v>
      </c>
      <c r="CH345" s="24"/>
      <c r="CI345" s="24"/>
      <c r="CJ345" s="24"/>
    </row>
    <row r="346" spans="1:88" ht="15" customHeight="1">
      <c r="A346" s="18">
        <v>2018</v>
      </c>
      <c r="B346" s="18" t="str">
        <f>+INDEX(BDD!F:F,MATCH(P346,BDD!D:D,0))&amp;"-"&amp;INDEX(BDD!E:E,MATCH(P346,BDD!D:D,0))</f>
        <v>G-C</v>
      </c>
      <c r="C346" s="360" t="s">
        <v>484</v>
      </c>
      <c r="D346" s="150" t="s">
        <v>77</v>
      </c>
      <c r="E346" s="132"/>
      <c r="F346" s="24"/>
      <c r="G346" s="346">
        <v>8000000229</v>
      </c>
      <c r="H346" s="25" t="s">
        <v>1624</v>
      </c>
      <c r="I346" s="329"/>
      <c r="J346" s="346">
        <v>8000000229</v>
      </c>
      <c r="K346" s="24"/>
      <c r="L346" s="24"/>
      <c r="M346" s="24"/>
      <c r="N346" s="340" t="s">
        <v>486</v>
      </c>
      <c r="O346" s="334"/>
      <c r="P346" s="25" t="s">
        <v>226</v>
      </c>
      <c r="Q346" s="127" t="s">
        <v>163</v>
      </c>
      <c r="R346" s="128" t="s">
        <v>1622</v>
      </c>
      <c r="S346" s="24">
        <v>43331</v>
      </c>
      <c r="T346" s="36" t="s">
        <v>19</v>
      </c>
      <c r="U346" s="125"/>
      <c r="V346" s="147" t="s">
        <v>1625</v>
      </c>
      <c r="W346" s="129"/>
      <c r="X346" s="88">
        <v>43328</v>
      </c>
      <c r="Y346" s="130" t="s">
        <v>20</v>
      </c>
      <c r="Z346" s="133" t="s">
        <v>60</v>
      </c>
      <c r="AA346" s="133"/>
      <c r="AB346" s="158">
        <v>2000</v>
      </c>
      <c r="AC346" s="134">
        <v>277.5</v>
      </c>
      <c r="AD346" s="134"/>
      <c r="AE346" s="403">
        <f t="shared" si="16"/>
        <v>555000</v>
      </c>
      <c r="AF346" s="132" t="str">
        <f>IF(W346=BDD!$P$1,IMPORTS!AB346/25,IF(W346=BDD!$P$2,IMPORTS!AB346/25,IF(IMPORTS!W346=BDD!$P$4,IMPORTS!AB346/25.5,"--")))</f>
        <v>--</v>
      </c>
      <c r="AG346" s="130" t="s">
        <v>46</v>
      </c>
      <c r="AH346" s="130"/>
      <c r="AI346" s="130" t="s">
        <v>100</v>
      </c>
      <c r="AJ346" s="130"/>
      <c r="AK346" s="130"/>
      <c r="AL346" s="135" t="s">
        <v>743</v>
      </c>
      <c r="AM346" s="314"/>
      <c r="AN346" s="26"/>
      <c r="AO346" s="26"/>
      <c r="AP346" s="26"/>
      <c r="AQ346" s="26">
        <f>+AQ345+2</f>
        <v>43348</v>
      </c>
      <c r="AR346" s="24"/>
      <c r="AS346" s="24"/>
      <c r="AT346" s="24">
        <v>43363</v>
      </c>
      <c r="AU346" s="418">
        <f t="shared" si="17"/>
        <v>9</v>
      </c>
      <c r="AV346" s="418">
        <f t="shared" si="18"/>
        <v>2018</v>
      </c>
      <c r="AW346" s="24"/>
      <c r="AX346" s="28"/>
      <c r="AY346" s="28" t="s">
        <v>269</v>
      </c>
      <c r="AZ346" s="132" t="s">
        <v>25</v>
      </c>
      <c r="BA346" s="132"/>
      <c r="BB346" s="24"/>
      <c r="BC346" s="135">
        <v>7</v>
      </c>
      <c r="BD346" s="24">
        <v>43318</v>
      </c>
      <c r="BE346" s="135" t="s">
        <v>1607</v>
      </c>
      <c r="BF346" s="135" t="s">
        <v>1607</v>
      </c>
      <c r="BG346" s="135" t="s">
        <v>52</v>
      </c>
      <c r="BH346" s="135"/>
      <c r="BI346" s="314"/>
      <c r="BJ346" s="314"/>
      <c r="BK346" s="24"/>
      <c r="BL346" s="24"/>
      <c r="BM346" s="24"/>
      <c r="BN346" s="24"/>
      <c r="BO346" s="24"/>
      <c r="BP346" s="24"/>
      <c r="BQ346" s="24"/>
      <c r="BR346" s="43"/>
      <c r="BS346" s="24"/>
      <c r="BT346" s="24"/>
      <c r="BU346" s="24"/>
      <c r="BV346" s="132" t="e">
        <f>IF(#REF!="COMPLETO","OK","PENDIENTES")</f>
        <v>#REF!</v>
      </c>
      <c r="BW346" s="132"/>
      <c r="BX346" s="132"/>
      <c r="BY346" s="132"/>
      <c r="BZ346" s="132"/>
      <c r="CA346" s="132"/>
      <c r="CB346" s="132"/>
      <c r="CC346" s="22"/>
      <c r="CG346" s="24" t="s">
        <v>105</v>
      </c>
      <c r="CH346" s="24"/>
      <c r="CI346" s="24"/>
      <c r="CJ346" s="24"/>
    </row>
    <row r="347" spans="1:88" ht="15.75" customHeight="1">
      <c r="A347" s="18">
        <v>2018</v>
      </c>
      <c r="B347" s="18" t="str">
        <f>+INDEX(BDD!F:F,MATCH(P347,BDD!D:D,0))&amp;"-"&amp;INDEX(BDD!E:E,MATCH(P347,BDD!D:D,0))</f>
        <v>G-C</v>
      </c>
      <c r="C347" s="360" t="s">
        <v>484</v>
      </c>
      <c r="D347" s="150" t="s">
        <v>77</v>
      </c>
      <c r="E347" s="132"/>
      <c r="F347" s="24"/>
      <c r="G347" s="346">
        <v>8000000236</v>
      </c>
      <c r="H347" s="25" t="s">
        <v>1626</v>
      </c>
      <c r="I347" s="329"/>
      <c r="J347" s="346">
        <v>8000000236</v>
      </c>
      <c r="K347" s="24"/>
      <c r="L347" s="24"/>
      <c r="M347" s="24"/>
      <c r="N347" s="340" t="s">
        <v>486</v>
      </c>
      <c r="O347" s="334"/>
      <c r="P347" s="25" t="s">
        <v>226</v>
      </c>
      <c r="Q347" s="127" t="s">
        <v>163</v>
      </c>
      <c r="R347" s="128" t="s">
        <v>1622</v>
      </c>
      <c r="S347" s="24">
        <v>43331</v>
      </c>
      <c r="T347" s="36" t="s">
        <v>19</v>
      </c>
      <c r="U347" s="125"/>
      <c r="V347" s="147" t="s">
        <v>1627</v>
      </c>
      <c r="W347" s="129"/>
      <c r="X347" s="88">
        <v>43328</v>
      </c>
      <c r="Y347" s="130" t="s">
        <v>20</v>
      </c>
      <c r="Z347" s="133" t="s">
        <v>60</v>
      </c>
      <c r="AA347" s="133"/>
      <c r="AB347" s="158">
        <v>1950</v>
      </c>
      <c r="AC347" s="134">
        <v>277.5</v>
      </c>
      <c r="AD347" s="134"/>
      <c r="AE347" s="403">
        <f t="shared" si="16"/>
        <v>541125</v>
      </c>
      <c r="AF347" s="132" t="str">
        <f>IF(W347=BDD!$P$1,IMPORTS!AB347/25,IF(W347=BDD!$P$2,IMPORTS!AB347/25,IF(IMPORTS!W347=BDD!$P$4,IMPORTS!AB347/25.5,"--")))</f>
        <v>--</v>
      </c>
      <c r="AG347" s="130" t="s">
        <v>46</v>
      </c>
      <c r="AH347" s="130"/>
      <c r="AI347" s="130" t="s">
        <v>100</v>
      </c>
      <c r="AJ347" s="130"/>
      <c r="AK347" s="130"/>
      <c r="AL347" s="135" t="s">
        <v>743</v>
      </c>
      <c r="AM347" s="314"/>
      <c r="AN347" s="26"/>
      <c r="AO347" s="26"/>
      <c r="AP347" s="26"/>
      <c r="AQ347" s="26">
        <v>43364</v>
      </c>
      <c r="AR347" s="24"/>
      <c r="AS347" s="24"/>
      <c r="AT347" s="24">
        <v>43366</v>
      </c>
      <c r="AU347" s="418">
        <f t="shared" si="17"/>
        <v>9</v>
      </c>
      <c r="AV347" s="418">
        <f t="shared" si="18"/>
        <v>2018</v>
      </c>
      <c r="AW347" s="24"/>
      <c r="AX347" s="28"/>
      <c r="AY347" s="28" t="s">
        <v>269</v>
      </c>
      <c r="AZ347" s="132" t="s">
        <v>37</v>
      </c>
      <c r="BA347" s="132"/>
      <c r="BB347" s="24"/>
      <c r="BC347" s="135">
        <v>8</v>
      </c>
      <c r="BD347" s="24">
        <v>43318</v>
      </c>
      <c r="BE347" s="135" t="s">
        <v>1607</v>
      </c>
      <c r="BF347" s="135" t="s">
        <v>1607</v>
      </c>
      <c r="BG347" s="135" t="s">
        <v>52</v>
      </c>
      <c r="BH347" s="135"/>
      <c r="BI347" s="314"/>
      <c r="BJ347" s="314"/>
      <c r="BK347" s="24"/>
      <c r="BL347" s="24"/>
      <c r="BM347" s="24"/>
      <c r="BN347" s="24"/>
      <c r="BO347" s="24"/>
      <c r="BP347" s="24"/>
      <c r="BQ347" s="24"/>
      <c r="BR347" s="43"/>
      <c r="BS347" s="24"/>
      <c r="BT347" s="24"/>
      <c r="BU347" s="24"/>
      <c r="BV347" s="132" t="e">
        <f>IF(#REF!="COMPLETO","OK","PENDIENTES")</f>
        <v>#REF!</v>
      </c>
      <c r="BW347" s="132"/>
      <c r="BX347" s="132"/>
      <c r="BY347" s="132"/>
      <c r="BZ347" s="132"/>
      <c r="CA347" s="132"/>
      <c r="CB347" s="132"/>
      <c r="CC347" s="22"/>
      <c r="CG347" s="24" t="s">
        <v>105</v>
      </c>
      <c r="CH347" s="24"/>
      <c r="CI347" s="24"/>
      <c r="CJ347" s="24"/>
    </row>
    <row r="348" spans="1:88" ht="15" customHeight="1">
      <c r="A348" s="18">
        <v>2018</v>
      </c>
      <c r="B348" s="18" t="str">
        <f>+INDEX(BDD!F:F,MATCH(P348,BDD!D:D,0))&amp;"-"&amp;INDEX(BDD!E:E,MATCH(P348,BDD!D:D,0))</f>
        <v>G-C</v>
      </c>
      <c r="C348" s="360" t="s">
        <v>484</v>
      </c>
      <c r="D348" s="150" t="s">
        <v>77</v>
      </c>
      <c r="E348" s="132"/>
      <c r="F348" s="24"/>
      <c r="G348" s="346">
        <v>8000000240</v>
      </c>
      <c r="H348" s="25" t="s">
        <v>1628</v>
      </c>
      <c r="I348" s="329"/>
      <c r="J348" s="346">
        <v>8000000240</v>
      </c>
      <c r="K348" s="24"/>
      <c r="L348" s="24"/>
      <c r="M348" s="24"/>
      <c r="N348" s="340" t="s">
        <v>486</v>
      </c>
      <c r="O348" s="334"/>
      <c r="P348" s="25" t="s">
        <v>226</v>
      </c>
      <c r="Q348" s="127" t="s">
        <v>163</v>
      </c>
      <c r="R348" s="128" t="s">
        <v>1622</v>
      </c>
      <c r="S348" s="24">
        <v>43331</v>
      </c>
      <c r="T348" s="36" t="s">
        <v>19</v>
      </c>
      <c r="U348" s="125"/>
      <c r="V348" s="147" t="s">
        <v>1629</v>
      </c>
      <c r="W348" s="129"/>
      <c r="X348" s="88">
        <v>43328</v>
      </c>
      <c r="Y348" s="130" t="s">
        <v>20</v>
      </c>
      <c r="Z348" s="133" t="s">
        <v>60</v>
      </c>
      <c r="AA348" s="133"/>
      <c r="AB348" s="158">
        <v>450</v>
      </c>
      <c r="AC348" s="134">
        <v>277.5</v>
      </c>
      <c r="AD348" s="134"/>
      <c r="AE348" s="403">
        <f t="shared" si="16"/>
        <v>124875</v>
      </c>
      <c r="AF348" s="132" t="str">
        <f>IF(W348=BDD!$P$1,IMPORTS!AB348/25,IF(W348=BDD!$P$2,IMPORTS!AB348/25,IF(IMPORTS!W348=BDD!$P$4,IMPORTS!AB348/25.5,"--")))</f>
        <v>--</v>
      </c>
      <c r="AG348" s="130" t="s">
        <v>46</v>
      </c>
      <c r="AH348" s="130"/>
      <c r="AI348" s="130" t="s">
        <v>100</v>
      </c>
      <c r="AJ348" s="130"/>
      <c r="AK348" s="130"/>
      <c r="AL348" s="135" t="s">
        <v>743</v>
      </c>
      <c r="AM348" s="314"/>
      <c r="AN348" s="26"/>
      <c r="AO348" s="26"/>
      <c r="AP348" s="26"/>
      <c r="AQ348" s="26">
        <v>43366</v>
      </c>
      <c r="AR348" s="24"/>
      <c r="AS348" s="24"/>
      <c r="AT348" s="24">
        <v>43367</v>
      </c>
      <c r="AU348" s="418">
        <f t="shared" si="17"/>
        <v>9</v>
      </c>
      <c r="AV348" s="418">
        <f t="shared" si="18"/>
        <v>2018</v>
      </c>
      <c r="AW348" s="24"/>
      <c r="AX348" s="28"/>
      <c r="AY348" s="28" t="s">
        <v>269</v>
      </c>
      <c r="AZ348" s="132" t="s">
        <v>50</v>
      </c>
      <c r="BA348" s="132"/>
      <c r="BB348" s="24"/>
      <c r="BC348" s="135">
        <v>9</v>
      </c>
      <c r="BD348" s="24">
        <v>43318</v>
      </c>
      <c r="BE348" s="135" t="s">
        <v>1607</v>
      </c>
      <c r="BF348" s="135" t="s">
        <v>1607</v>
      </c>
      <c r="BG348" s="135" t="s">
        <v>52</v>
      </c>
      <c r="BH348" s="135"/>
      <c r="BI348" s="314"/>
      <c r="BJ348" s="314"/>
      <c r="BK348" s="24"/>
      <c r="BL348" s="24"/>
      <c r="BM348" s="24"/>
      <c r="BN348" s="24"/>
      <c r="BO348" s="24"/>
      <c r="BP348" s="24"/>
      <c r="BQ348" s="24"/>
      <c r="BR348" s="43"/>
      <c r="BS348" s="24"/>
      <c r="BT348" s="24"/>
      <c r="BU348" s="24"/>
      <c r="BV348" s="132" t="e">
        <f>IF(#REF!="COMPLETO","OK","PENDIENTES")</f>
        <v>#REF!</v>
      </c>
      <c r="BW348" s="132"/>
      <c r="BX348" s="132"/>
      <c r="BY348" s="132"/>
      <c r="BZ348" s="132"/>
      <c r="CA348" s="132"/>
      <c r="CB348" s="132"/>
      <c r="CC348" s="22"/>
      <c r="CG348" s="24" t="s">
        <v>105</v>
      </c>
      <c r="CH348" s="24"/>
      <c r="CI348" s="24"/>
      <c r="CJ348" s="24"/>
    </row>
    <row r="349" spans="1:88" ht="15" customHeight="1">
      <c r="A349" s="18">
        <v>2018</v>
      </c>
      <c r="B349" s="18" t="str">
        <f>+INDEX(BDD!F:F,MATCH(P349,BDD!D:D,0))&amp;"-"&amp;INDEX(BDD!E:E,MATCH(P349,BDD!D:D,0))</f>
        <v>G-C</v>
      </c>
      <c r="C349" s="360" t="s">
        <v>484</v>
      </c>
      <c r="D349" s="150" t="s">
        <v>77</v>
      </c>
      <c r="E349" s="132"/>
      <c r="F349" s="24"/>
      <c r="G349" s="346">
        <v>8000000245</v>
      </c>
      <c r="H349" s="25" t="s">
        <v>1630</v>
      </c>
      <c r="I349" s="329"/>
      <c r="J349" s="346">
        <v>8000000245</v>
      </c>
      <c r="K349" s="24"/>
      <c r="L349" s="24"/>
      <c r="M349" s="24"/>
      <c r="N349" s="340" t="s">
        <v>486</v>
      </c>
      <c r="O349" s="334"/>
      <c r="P349" s="25" t="s">
        <v>226</v>
      </c>
      <c r="Q349" s="127" t="s">
        <v>163</v>
      </c>
      <c r="R349" s="128" t="s">
        <v>1622</v>
      </c>
      <c r="S349" s="24">
        <v>43331</v>
      </c>
      <c r="T349" s="36" t="s">
        <v>19</v>
      </c>
      <c r="U349" s="125"/>
      <c r="V349" s="147" t="s">
        <v>1631</v>
      </c>
      <c r="W349" s="129"/>
      <c r="X349" s="88">
        <v>43328</v>
      </c>
      <c r="Y349" s="130" t="s">
        <v>20</v>
      </c>
      <c r="Z349" s="133" t="s">
        <v>60</v>
      </c>
      <c r="AA349" s="133"/>
      <c r="AB349" s="158">
        <v>1072.25</v>
      </c>
      <c r="AC349" s="134">
        <v>277.5</v>
      </c>
      <c r="AD349" s="134"/>
      <c r="AE349" s="403">
        <f t="shared" si="16"/>
        <v>297549.375</v>
      </c>
      <c r="AF349" s="132" t="str">
        <f>IF(W349=BDD!$P$1,IMPORTS!AB349/25,IF(W349=BDD!$P$2,IMPORTS!AB349/25,IF(IMPORTS!W349=BDD!$P$4,IMPORTS!AB349/25.5,"--")))</f>
        <v>--</v>
      </c>
      <c r="AG349" s="130" t="s">
        <v>46</v>
      </c>
      <c r="AH349" s="130"/>
      <c r="AI349" s="130" t="s">
        <v>100</v>
      </c>
      <c r="AJ349" s="130"/>
      <c r="AK349" s="130"/>
      <c r="AL349" s="135" t="s">
        <v>743</v>
      </c>
      <c r="AM349" s="314"/>
      <c r="AN349" s="26"/>
      <c r="AO349" s="26"/>
      <c r="AP349" s="26"/>
      <c r="AQ349" s="26">
        <v>43368</v>
      </c>
      <c r="AR349" s="24"/>
      <c r="AS349" s="24"/>
      <c r="AT349" s="26">
        <v>43371</v>
      </c>
      <c r="AU349" s="418">
        <f t="shared" si="17"/>
        <v>9</v>
      </c>
      <c r="AV349" s="418">
        <f t="shared" si="18"/>
        <v>2018</v>
      </c>
      <c r="AW349" s="26"/>
      <c r="AX349" s="28"/>
      <c r="AY349" s="28" t="s">
        <v>269</v>
      </c>
      <c r="AZ349" s="132" t="s">
        <v>62</v>
      </c>
      <c r="BA349" s="132"/>
      <c r="BB349" s="26"/>
      <c r="BC349" s="232" t="s">
        <v>1632</v>
      </c>
      <c r="BD349" s="24">
        <v>43318</v>
      </c>
      <c r="BE349" s="135" t="s">
        <v>1607</v>
      </c>
      <c r="BF349" s="135" t="s">
        <v>1607</v>
      </c>
      <c r="BG349" s="135" t="s">
        <v>52</v>
      </c>
      <c r="BH349" s="135"/>
      <c r="BI349" s="314"/>
      <c r="BJ349" s="314"/>
      <c r="BK349" s="24"/>
      <c r="BL349" s="24"/>
      <c r="BM349" s="24"/>
      <c r="BN349" s="24"/>
      <c r="BO349" s="24"/>
      <c r="BP349" s="24"/>
      <c r="BQ349" s="24"/>
      <c r="BR349" s="43"/>
      <c r="BS349" s="24"/>
      <c r="BT349" s="24"/>
      <c r="BU349" s="24"/>
      <c r="BV349" s="132" t="e">
        <f>IF(#REF!="COMPLETO","OK","PENDIENTES")</f>
        <v>#REF!</v>
      </c>
      <c r="BW349" s="132"/>
      <c r="BX349" s="132"/>
      <c r="BY349" s="132"/>
      <c r="BZ349" s="132"/>
      <c r="CA349" s="132"/>
      <c r="CB349" s="132"/>
      <c r="CC349" s="22"/>
      <c r="CG349" s="24" t="s">
        <v>105</v>
      </c>
      <c r="CH349" s="24"/>
      <c r="CI349" s="26"/>
      <c r="CJ349" s="26"/>
    </row>
    <row r="350" spans="1:88" ht="15" customHeight="1">
      <c r="A350" s="18">
        <v>2018</v>
      </c>
      <c r="B350" s="18" t="str">
        <f>+INDEX(BDD!F:F,MATCH(P350,BDD!D:D,0))&amp;"-"&amp;INDEX(BDD!E:E,MATCH(P350,BDD!D:D,0))</f>
        <v>G-S</v>
      </c>
      <c r="C350" s="360" t="s">
        <v>484</v>
      </c>
      <c r="D350" s="150" t="s">
        <v>77</v>
      </c>
      <c r="E350" s="132"/>
      <c r="F350" s="24"/>
      <c r="G350" s="346">
        <v>8000000230</v>
      </c>
      <c r="H350" s="25" t="s">
        <v>1633</v>
      </c>
      <c r="I350" s="329"/>
      <c r="J350" s="346">
        <v>8000000230</v>
      </c>
      <c r="K350" s="24"/>
      <c r="L350" s="24"/>
      <c r="M350" s="24"/>
      <c r="N350" s="340" t="s">
        <v>486</v>
      </c>
      <c r="O350" s="334"/>
      <c r="P350" s="25" t="s">
        <v>353</v>
      </c>
      <c r="Q350" s="127" t="s">
        <v>163</v>
      </c>
      <c r="R350" s="128" t="s">
        <v>1622</v>
      </c>
      <c r="S350" s="24">
        <v>43331</v>
      </c>
      <c r="T350" s="36" t="s">
        <v>19</v>
      </c>
      <c r="U350" s="125"/>
      <c r="V350" s="147" t="s">
        <v>1634</v>
      </c>
      <c r="W350" s="129"/>
      <c r="X350" s="88">
        <v>43328</v>
      </c>
      <c r="Y350" s="130" t="s">
        <v>20</v>
      </c>
      <c r="Z350" s="133" t="s">
        <v>60</v>
      </c>
      <c r="AA350" s="133"/>
      <c r="AB350" s="148">
        <v>800</v>
      </c>
      <c r="AC350" s="134">
        <v>311.5</v>
      </c>
      <c r="AD350" s="134"/>
      <c r="AE350" s="403">
        <f t="shared" si="16"/>
        <v>249200</v>
      </c>
      <c r="AF350" s="132" t="str">
        <f>IF(W350=BDD!$P$1,IMPORTS!AB350/25,IF(W350=BDD!$P$2,IMPORTS!AB350/25,IF(IMPORTS!W350=BDD!$P$4,IMPORTS!AB350/25.5,"--")))</f>
        <v>--</v>
      </c>
      <c r="AG350" s="130" t="s">
        <v>46</v>
      </c>
      <c r="AH350" s="130"/>
      <c r="AI350" s="130" t="s">
        <v>100</v>
      </c>
      <c r="AJ350" s="130"/>
      <c r="AK350" s="130"/>
      <c r="AL350" s="135" t="s">
        <v>743</v>
      </c>
      <c r="AM350" s="314"/>
      <c r="AN350" s="26"/>
      <c r="AO350" s="26"/>
      <c r="AP350" s="26"/>
      <c r="AQ350" s="26">
        <v>43348</v>
      </c>
      <c r="AR350" s="24"/>
      <c r="AS350" s="24"/>
      <c r="AT350" s="24">
        <v>43363</v>
      </c>
      <c r="AU350" s="418">
        <f t="shared" si="17"/>
        <v>9</v>
      </c>
      <c r="AV350" s="418">
        <f t="shared" si="18"/>
        <v>2018</v>
      </c>
      <c r="AW350" s="24"/>
      <c r="AX350" s="28"/>
      <c r="AY350" s="28" t="s">
        <v>269</v>
      </c>
      <c r="AZ350" s="132" t="s">
        <v>25</v>
      </c>
      <c r="BA350" s="132"/>
      <c r="BB350" s="24"/>
      <c r="BC350" s="135">
        <v>23</v>
      </c>
      <c r="BD350" s="24">
        <v>43318</v>
      </c>
      <c r="BE350" s="135" t="s">
        <v>1607</v>
      </c>
      <c r="BF350" s="135" t="s">
        <v>1607</v>
      </c>
      <c r="BG350" s="135" t="s">
        <v>52</v>
      </c>
      <c r="BH350" s="135"/>
      <c r="BI350" s="314"/>
      <c r="BJ350" s="314"/>
      <c r="BK350" s="24"/>
      <c r="BL350" s="24"/>
      <c r="BM350" s="24"/>
      <c r="BN350" s="24"/>
      <c r="BO350" s="24"/>
      <c r="BP350" s="24"/>
      <c r="BQ350" s="24"/>
      <c r="BR350" s="43"/>
      <c r="BS350" s="24"/>
      <c r="BT350" s="24"/>
      <c r="BU350" s="24"/>
      <c r="BV350" s="132" t="e">
        <f>IF(#REF!="COMPLETO","OK","PENDIENTES")</f>
        <v>#REF!</v>
      </c>
      <c r="BW350" s="132"/>
      <c r="BX350" s="132"/>
      <c r="BY350" s="132"/>
      <c r="BZ350" s="132"/>
      <c r="CA350" s="132"/>
      <c r="CB350" s="132"/>
      <c r="CC350" s="22"/>
      <c r="CG350" s="24" t="s">
        <v>105</v>
      </c>
      <c r="CH350" s="24"/>
      <c r="CI350" s="24"/>
      <c r="CJ350" s="24"/>
    </row>
    <row r="351" spans="1:88" ht="15" customHeight="1">
      <c r="A351" s="18">
        <v>2018</v>
      </c>
      <c r="B351" s="18" t="str">
        <f>+INDEX(BDD!F:F,MATCH(P351,BDD!D:D,0))&amp;"-"&amp;INDEX(BDD!E:E,MATCH(P351,BDD!D:D,0))</f>
        <v>G-S</v>
      </c>
      <c r="C351" s="360" t="s">
        <v>484</v>
      </c>
      <c r="D351" s="150" t="s">
        <v>77</v>
      </c>
      <c r="E351" s="132"/>
      <c r="F351" s="24"/>
      <c r="G351" s="346">
        <v>8000000237</v>
      </c>
      <c r="H351" s="25" t="s">
        <v>1635</v>
      </c>
      <c r="I351" s="329"/>
      <c r="J351" s="346">
        <v>8000000237</v>
      </c>
      <c r="K351" s="24"/>
      <c r="L351" s="24"/>
      <c r="M351" s="24"/>
      <c r="N351" s="340" t="s">
        <v>486</v>
      </c>
      <c r="O351" s="334"/>
      <c r="P351" s="25" t="s">
        <v>353</v>
      </c>
      <c r="Q351" s="127" t="s">
        <v>163</v>
      </c>
      <c r="R351" s="128" t="s">
        <v>1622</v>
      </c>
      <c r="S351" s="24">
        <v>43331</v>
      </c>
      <c r="T351" s="36" t="s">
        <v>19</v>
      </c>
      <c r="U351" s="125"/>
      <c r="V351" s="147" t="s">
        <v>1636</v>
      </c>
      <c r="W351" s="129"/>
      <c r="X351" s="88">
        <v>43328</v>
      </c>
      <c r="Y351" s="130" t="s">
        <v>20</v>
      </c>
      <c r="Z351" s="133" t="s">
        <v>60</v>
      </c>
      <c r="AA351" s="133"/>
      <c r="AB351" s="148">
        <v>500</v>
      </c>
      <c r="AC351" s="134">
        <v>311.5</v>
      </c>
      <c r="AD351" s="134"/>
      <c r="AE351" s="403">
        <f t="shared" si="16"/>
        <v>155750</v>
      </c>
      <c r="AF351" s="132" t="str">
        <f>IF(W351=BDD!$P$1,IMPORTS!AB351/25,IF(W351=BDD!$P$2,IMPORTS!AB351/25,IF(IMPORTS!W351=BDD!$P$4,IMPORTS!AB351/25.5,"--")))</f>
        <v>--</v>
      </c>
      <c r="AG351" s="130" t="s">
        <v>46</v>
      </c>
      <c r="AH351" s="130"/>
      <c r="AI351" s="130" t="s">
        <v>100</v>
      </c>
      <c r="AJ351" s="130"/>
      <c r="AK351" s="130"/>
      <c r="AL351" s="135" t="s">
        <v>743</v>
      </c>
      <c r="AM351" s="314"/>
      <c r="AN351" s="26"/>
      <c r="AO351" s="26"/>
      <c r="AP351" s="26"/>
      <c r="AQ351" s="26">
        <v>43364</v>
      </c>
      <c r="AR351" s="24"/>
      <c r="AS351" s="24"/>
      <c r="AT351" s="24">
        <v>43366</v>
      </c>
      <c r="AU351" s="418">
        <f t="shared" si="17"/>
        <v>9</v>
      </c>
      <c r="AV351" s="418">
        <f t="shared" si="18"/>
        <v>2018</v>
      </c>
      <c r="AW351" s="24"/>
      <c r="AX351" s="28"/>
      <c r="AY351" s="28" t="s">
        <v>269</v>
      </c>
      <c r="AZ351" s="132" t="s">
        <v>37</v>
      </c>
      <c r="BA351" s="132"/>
      <c r="BB351" s="24"/>
      <c r="BC351" s="135">
        <v>24</v>
      </c>
      <c r="BD351" s="24">
        <v>43318</v>
      </c>
      <c r="BE351" s="135" t="s">
        <v>1607</v>
      </c>
      <c r="BF351" s="135" t="s">
        <v>1607</v>
      </c>
      <c r="BG351" s="135" t="s">
        <v>52</v>
      </c>
      <c r="BH351" s="135"/>
      <c r="BI351" s="314"/>
      <c r="BJ351" s="314"/>
      <c r="BK351" s="24"/>
      <c r="BL351" s="24"/>
      <c r="BM351" s="24"/>
      <c r="BN351" s="24"/>
      <c r="BO351" s="24"/>
      <c r="BP351" s="24"/>
      <c r="BQ351" s="24"/>
      <c r="BR351" s="43"/>
      <c r="BS351" s="24"/>
      <c r="BT351" s="24"/>
      <c r="BU351" s="24"/>
      <c r="BV351" s="132" t="e">
        <f>IF(#REF!="COMPLETO","OK","PENDIENTES")</f>
        <v>#REF!</v>
      </c>
      <c r="BW351" s="132"/>
      <c r="BX351" s="132"/>
      <c r="BY351" s="132"/>
      <c r="BZ351" s="132"/>
      <c r="CA351" s="132"/>
      <c r="CB351" s="132"/>
      <c r="CC351" s="22"/>
      <c r="CG351" s="24" t="s">
        <v>105</v>
      </c>
      <c r="CH351" s="24"/>
      <c r="CI351" s="24"/>
      <c r="CJ351" s="24"/>
    </row>
    <row r="352" spans="1:88" ht="15" customHeight="1">
      <c r="A352" s="18">
        <v>2018</v>
      </c>
      <c r="B352" s="18" t="str">
        <f>+INDEX(BDD!F:F,MATCH(P352,BDD!D:D,0))&amp;"-"&amp;INDEX(BDD!E:E,MATCH(P352,BDD!D:D,0))</f>
        <v>G-S</v>
      </c>
      <c r="C352" s="360" t="s">
        <v>484</v>
      </c>
      <c r="D352" s="150" t="s">
        <v>77</v>
      </c>
      <c r="E352" s="132"/>
      <c r="F352" s="24"/>
      <c r="G352" s="346">
        <v>8000000246</v>
      </c>
      <c r="H352" s="25" t="s">
        <v>1637</v>
      </c>
      <c r="I352" s="329"/>
      <c r="J352" s="346">
        <v>8000000246</v>
      </c>
      <c r="K352" s="24"/>
      <c r="L352" s="24"/>
      <c r="M352" s="24"/>
      <c r="N352" s="340" t="s">
        <v>486</v>
      </c>
      <c r="O352" s="334"/>
      <c r="P352" s="25" t="s">
        <v>353</v>
      </c>
      <c r="Q352" s="127" t="s">
        <v>163</v>
      </c>
      <c r="R352" s="128" t="s">
        <v>1622</v>
      </c>
      <c r="S352" s="24">
        <v>43331</v>
      </c>
      <c r="T352" s="36" t="s">
        <v>19</v>
      </c>
      <c r="U352" s="125"/>
      <c r="V352" s="147" t="s">
        <v>1638</v>
      </c>
      <c r="W352" s="129"/>
      <c r="X352" s="88">
        <v>43328</v>
      </c>
      <c r="Y352" s="130" t="s">
        <v>20</v>
      </c>
      <c r="Z352" s="133" t="s">
        <v>60</v>
      </c>
      <c r="AA352" s="133"/>
      <c r="AB352" s="148">
        <v>295.64999999999998</v>
      </c>
      <c r="AC352" s="134">
        <v>311.5</v>
      </c>
      <c r="AD352" s="134"/>
      <c r="AE352" s="403">
        <f t="shared" si="16"/>
        <v>92094.974999999991</v>
      </c>
      <c r="AF352" s="132" t="str">
        <f>IF(W352=BDD!$P$1,IMPORTS!AB352/25,IF(W352=BDD!$P$2,IMPORTS!AB352/25,IF(IMPORTS!W352=BDD!$P$4,IMPORTS!AB352/25.5,"--")))</f>
        <v>--</v>
      </c>
      <c r="AG352" s="130" t="s">
        <v>46</v>
      </c>
      <c r="AH352" s="130"/>
      <c r="AI352" s="130" t="s">
        <v>100</v>
      </c>
      <c r="AJ352" s="130"/>
      <c r="AK352" s="130"/>
      <c r="AL352" s="135" t="s">
        <v>743</v>
      </c>
      <c r="AM352" s="314"/>
      <c r="AN352" s="26"/>
      <c r="AO352" s="26"/>
      <c r="AP352" s="26"/>
      <c r="AQ352" s="26">
        <v>43368</v>
      </c>
      <c r="AR352" s="24"/>
      <c r="AS352" s="24"/>
      <c r="AT352" s="26">
        <v>43371</v>
      </c>
      <c r="AU352" s="418">
        <f t="shared" si="17"/>
        <v>9</v>
      </c>
      <c r="AV352" s="418">
        <f t="shared" si="18"/>
        <v>2018</v>
      </c>
      <c r="AW352" s="26"/>
      <c r="AX352" s="28"/>
      <c r="AY352" s="28" t="s">
        <v>269</v>
      </c>
      <c r="AZ352" s="132" t="s">
        <v>62</v>
      </c>
      <c r="BA352" s="132"/>
      <c r="BB352" s="26"/>
      <c r="BC352" s="135">
        <v>25</v>
      </c>
      <c r="BD352" s="24">
        <v>43318</v>
      </c>
      <c r="BE352" s="135" t="s">
        <v>1607</v>
      </c>
      <c r="BF352" s="135" t="s">
        <v>1607</v>
      </c>
      <c r="BG352" s="135" t="s">
        <v>52</v>
      </c>
      <c r="BH352" s="135"/>
      <c r="BI352" s="314"/>
      <c r="BJ352" s="314"/>
      <c r="BK352" s="24"/>
      <c r="BL352" s="24"/>
      <c r="BM352" s="24"/>
      <c r="BN352" s="24"/>
      <c r="BO352" s="24"/>
      <c r="BP352" s="24"/>
      <c r="BQ352" s="24"/>
      <c r="BR352" s="43"/>
      <c r="BS352" s="24"/>
      <c r="BT352" s="24"/>
      <c r="BU352" s="24"/>
      <c r="BV352" s="132" t="e">
        <f>IF(#REF!="COMPLETO","OK","PENDIENTES")</f>
        <v>#REF!</v>
      </c>
      <c r="BW352" s="132"/>
      <c r="BX352" s="132"/>
      <c r="BY352" s="132"/>
      <c r="BZ352" s="132"/>
      <c r="CA352" s="132"/>
      <c r="CB352" s="132"/>
      <c r="CC352" s="22"/>
      <c r="CG352" s="24" t="s">
        <v>105</v>
      </c>
      <c r="CH352" s="24"/>
      <c r="CI352" s="26"/>
      <c r="CJ352" s="26"/>
    </row>
    <row r="353" spans="1:88" ht="15" customHeight="1">
      <c r="A353" s="18">
        <v>2018</v>
      </c>
      <c r="B353" s="18" t="str">
        <f>+INDEX(BDD!F:F,MATCH(P353,BDD!D:D,0))&amp;"-"&amp;INDEX(BDD!E:E,MATCH(P353,BDD!D:D,0))</f>
        <v>G-S</v>
      </c>
      <c r="C353" s="360" t="s">
        <v>484</v>
      </c>
      <c r="D353" s="150" t="s">
        <v>77</v>
      </c>
      <c r="E353" s="132"/>
      <c r="F353" s="24"/>
      <c r="G353" s="346">
        <v>8000000220</v>
      </c>
      <c r="H353" s="25" t="s">
        <v>1639</v>
      </c>
      <c r="I353" s="329"/>
      <c r="J353" s="346">
        <v>8000000220</v>
      </c>
      <c r="K353" s="24"/>
      <c r="L353" s="24"/>
      <c r="M353" s="24"/>
      <c r="N353" s="340" t="s">
        <v>486</v>
      </c>
      <c r="O353" s="334"/>
      <c r="P353" s="25" t="s">
        <v>354</v>
      </c>
      <c r="Q353" s="127" t="s">
        <v>163</v>
      </c>
      <c r="R353" s="128" t="s">
        <v>1622</v>
      </c>
      <c r="S353" s="24">
        <v>43331</v>
      </c>
      <c r="T353" s="36" t="s">
        <v>19</v>
      </c>
      <c r="U353" s="125"/>
      <c r="V353" s="147" t="s">
        <v>1640</v>
      </c>
      <c r="W353" s="129"/>
      <c r="X353" s="88">
        <v>43328</v>
      </c>
      <c r="Y353" s="130" t="s">
        <v>20</v>
      </c>
      <c r="Z353" s="133" t="s">
        <v>60</v>
      </c>
      <c r="AA353" s="133"/>
      <c r="AB353" s="233">
        <v>1299.5999999999999</v>
      </c>
      <c r="AC353" s="134">
        <v>308.5</v>
      </c>
      <c r="AD353" s="134"/>
      <c r="AE353" s="403">
        <f t="shared" si="16"/>
        <v>400926.6</v>
      </c>
      <c r="AF353" s="132" t="str">
        <f>IF(W353=BDD!$P$1,IMPORTS!AB353/25,IF(W353=BDD!$P$2,IMPORTS!AB353/25,IF(IMPORTS!W353=BDD!$P$4,IMPORTS!AB353/25.5,"--")))</f>
        <v>--</v>
      </c>
      <c r="AG353" s="130" t="s">
        <v>46</v>
      </c>
      <c r="AH353" s="130"/>
      <c r="AI353" s="130" t="s">
        <v>100</v>
      </c>
      <c r="AJ353" s="130"/>
      <c r="AK353" s="130"/>
      <c r="AL353" s="135" t="s">
        <v>743</v>
      </c>
      <c r="AM353" s="314"/>
      <c r="AN353" s="26"/>
      <c r="AO353" s="26"/>
      <c r="AP353" s="26"/>
      <c r="AQ353" s="26">
        <v>43346</v>
      </c>
      <c r="AR353" s="24"/>
      <c r="AS353" s="24"/>
      <c r="AT353" s="24">
        <v>43348</v>
      </c>
      <c r="AU353" s="418">
        <f t="shared" si="17"/>
        <v>9</v>
      </c>
      <c r="AV353" s="418">
        <f t="shared" si="18"/>
        <v>2018</v>
      </c>
      <c r="AW353" s="24"/>
      <c r="AX353" s="28"/>
      <c r="AY353" s="28" t="s">
        <v>269</v>
      </c>
      <c r="AZ353" s="132" t="s">
        <v>9</v>
      </c>
      <c r="BA353" s="132"/>
      <c r="BB353" s="24"/>
      <c r="BC353" s="135">
        <v>16</v>
      </c>
      <c r="BD353" s="24">
        <v>43318</v>
      </c>
      <c r="BE353" s="135" t="s">
        <v>1607</v>
      </c>
      <c r="BF353" s="135" t="s">
        <v>1607</v>
      </c>
      <c r="BG353" s="135" t="s">
        <v>52</v>
      </c>
      <c r="BH353" s="135"/>
      <c r="BI353" s="314"/>
      <c r="BJ353" s="314"/>
      <c r="BK353" s="24"/>
      <c r="BL353" s="24"/>
      <c r="BM353" s="24"/>
      <c r="BN353" s="24"/>
      <c r="BO353" s="24"/>
      <c r="BP353" s="24"/>
      <c r="BQ353" s="24"/>
      <c r="BR353" s="43"/>
      <c r="BS353" s="24"/>
      <c r="BT353" s="24"/>
      <c r="BU353" s="24"/>
      <c r="BV353" s="132" t="e">
        <f>IF(#REF!="COMPLETO","OK","PENDIENTES")</f>
        <v>#REF!</v>
      </c>
      <c r="BW353" s="132"/>
      <c r="BX353" s="132"/>
      <c r="BY353" s="132"/>
      <c r="BZ353" s="132"/>
      <c r="CA353" s="132"/>
      <c r="CB353" s="132"/>
      <c r="CC353" s="22"/>
      <c r="CG353" s="24" t="s">
        <v>105</v>
      </c>
      <c r="CH353" s="24"/>
      <c r="CI353" s="24"/>
      <c r="CJ353" s="24"/>
    </row>
    <row r="354" spans="1:88" ht="15" customHeight="1">
      <c r="A354" s="18">
        <v>2018</v>
      </c>
      <c r="B354" s="18" t="str">
        <f>+INDEX(BDD!F:F,MATCH(P354,BDD!D:D,0))&amp;"-"&amp;INDEX(BDD!E:E,MATCH(P354,BDD!D:D,0))</f>
        <v>G-S</v>
      </c>
      <c r="C354" s="360" t="s">
        <v>484</v>
      </c>
      <c r="D354" s="150" t="s">
        <v>77</v>
      </c>
      <c r="E354" s="132"/>
      <c r="F354" s="24"/>
      <c r="G354" s="346">
        <v>8000000231</v>
      </c>
      <c r="H354" s="25" t="s">
        <v>1641</v>
      </c>
      <c r="I354" s="329"/>
      <c r="J354" s="346">
        <v>8000000231</v>
      </c>
      <c r="K354" s="24"/>
      <c r="L354" s="24"/>
      <c r="M354" s="24"/>
      <c r="N354" s="340" t="s">
        <v>486</v>
      </c>
      <c r="O354" s="334"/>
      <c r="P354" s="25" t="s">
        <v>354</v>
      </c>
      <c r="Q354" s="127" t="s">
        <v>163</v>
      </c>
      <c r="R354" s="128" t="s">
        <v>1622</v>
      </c>
      <c r="S354" s="24">
        <v>43331</v>
      </c>
      <c r="T354" s="36" t="s">
        <v>19</v>
      </c>
      <c r="U354" s="125"/>
      <c r="V354" s="147" t="s">
        <v>1642</v>
      </c>
      <c r="W354" s="129"/>
      <c r="X354" s="88">
        <v>43328</v>
      </c>
      <c r="Y354" s="130" t="s">
        <v>20</v>
      </c>
      <c r="Z354" s="133" t="s">
        <v>60</v>
      </c>
      <c r="AA354" s="133"/>
      <c r="AB354" s="148">
        <v>1000</v>
      </c>
      <c r="AC354" s="134">
        <v>308.5</v>
      </c>
      <c r="AD354" s="134"/>
      <c r="AE354" s="403">
        <f t="shared" si="16"/>
        <v>308500</v>
      </c>
      <c r="AF354" s="132" t="str">
        <f>IF(W354=BDD!$P$1,IMPORTS!AB354/25,IF(W354=BDD!$P$2,IMPORTS!AB354/25,IF(IMPORTS!W354=BDD!$P$4,IMPORTS!AB354/25.5,"--")))</f>
        <v>--</v>
      </c>
      <c r="AG354" s="130" t="s">
        <v>46</v>
      </c>
      <c r="AH354" s="130"/>
      <c r="AI354" s="130" t="s">
        <v>100</v>
      </c>
      <c r="AJ354" s="130"/>
      <c r="AK354" s="130"/>
      <c r="AL354" s="135" t="s">
        <v>743</v>
      </c>
      <c r="AM354" s="314"/>
      <c r="AN354" s="26"/>
      <c r="AO354" s="26"/>
      <c r="AP354" s="26"/>
      <c r="AQ354" s="26">
        <f>+AQ353+2</f>
        <v>43348</v>
      </c>
      <c r="AR354" s="24"/>
      <c r="AS354" s="24"/>
      <c r="AT354" s="24">
        <v>43363</v>
      </c>
      <c r="AU354" s="418">
        <f t="shared" si="17"/>
        <v>9</v>
      </c>
      <c r="AV354" s="418">
        <f t="shared" si="18"/>
        <v>2018</v>
      </c>
      <c r="AW354" s="24"/>
      <c r="AX354" s="28"/>
      <c r="AY354" s="28" t="s">
        <v>269</v>
      </c>
      <c r="AZ354" s="132" t="s">
        <v>25</v>
      </c>
      <c r="BA354" s="132"/>
      <c r="BB354" s="24"/>
      <c r="BC354" s="232" t="s">
        <v>1643</v>
      </c>
      <c r="BD354" s="24">
        <v>43318</v>
      </c>
      <c r="BE354" s="135" t="s">
        <v>1607</v>
      </c>
      <c r="BF354" s="135" t="s">
        <v>1607</v>
      </c>
      <c r="BG354" s="135" t="s">
        <v>52</v>
      </c>
      <c r="BH354" s="135"/>
      <c r="BI354" s="314"/>
      <c r="BJ354" s="314"/>
      <c r="BK354" s="24"/>
      <c r="BL354" s="24"/>
      <c r="BM354" s="24"/>
      <c r="BN354" s="24"/>
      <c r="BO354" s="24"/>
      <c r="BP354" s="24"/>
      <c r="BQ354" s="24"/>
      <c r="BR354" s="43"/>
      <c r="BS354" s="24"/>
      <c r="BT354" s="24"/>
      <c r="BU354" s="24"/>
      <c r="BV354" s="132" t="e">
        <f>IF(#REF!="COMPLETO","OK","PENDIENTES")</f>
        <v>#REF!</v>
      </c>
      <c r="BW354" s="132"/>
      <c r="BX354" s="132"/>
      <c r="BY354" s="132"/>
      <c r="BZ354" s="132"/>
      <c r="CA354" s="132"/>
      <c r="CB354" s="132"/>
      <c r="CC354" s="22"/>
      <c r="CG354" s="24" t="s">
        <v>105</v>
      </c>
      <c r="CH354" s="24"/>
      <c r="CI354" s="24"/>
      <c r="CJ354" s="24"/>
    </row>
    <row r="355" spans="1:88" ht="15" customHeight="1">
      <c r="A355" s="18">
        <v>2018</v>
      </c>
      <c r="B355" s="18" t="str">
        <f>+INDEX(BDD!F:F,MATCH(P355,BDD!D:D,0))&amp;"-"&amp;INDEX(BDD!E:E,MATCH(P355,BDD!D:D,0))</f>
        <v>G-S</v>
      </c>
      <c r="C355" s="360" t="s">
        <v>484</v>
      </c>
      <c r="D355" s="150" t="s">
        <v>77</v>
      </c>
      <c r="E355" s="132"/>
      <c r="F355" s="24"/>
      <c r="G355" s="346">
        <v>8000000238</v>
      </c>
      <c r="H355" s="25" t="s">
        <v>1644</v>
      </c>
      <c r="I355" s="329"/>
      <c r="J355" s="346">
        <v>8000000238</v>
      </c>
      <c r="K355" s="24"/>
      <c r="L355" s="24"/>
      <c r="M355" s="24"/>
      <c r="N355" s="340" t="s">
        <v>486</v>
      </c>
      <c r="O355" s="334"/>
      <c r="P355" s="25" t="s">
        <v>354</v>
      </c>
      <c r="Q355" s="127" t="s">
        <v>163</v>
      </c>
      <c r="R355" s="128" t="s">
        <v>1622</v>
      </c>
      <c r="S355" s="24">
        <v>43331</v>
      </c>
      <c r="T355" s="36" t="s">
        <v>19</v>
      </c>
      <c r="U355" s="125"/>
      <c r="V355" s="147" t="s">
        <v>1645</v>
      </c>
      <c r="W355" s="129"/>
      <c r="X355" s="88">
        <v>43328</v>
      </c>
      <c r="Y355" s="130" t="s">
        <v>20</v>
      </c>
      <c r="Z355" s="133" t="s">
        <v>60</v>
      </c>
      <c r="AA355" s="133"/>
      <c r="AB355" s="148">
        <v>450</v>
      </c>
      <c r="AC355" s="134">
        <v>308.5</v>
      </c>
      <c r="AD355" s="134"/>
      <c r="AE355" s="403">
        <f t="shared" si="16"/>
        <v>138825</v>
      </c>
      <c r="AF355" s="132" t="str">
        <f>IF(W355=BDD!$P$1,IMPORTS!AB355/25,IF(W355=BDD!$P$2,IMPORTS!AB355/25,IF(IMPORTS!W355=BDD!$P$4,IMPORTS!AB355/25.5,"--")))</f>
        <v>--</v>
      </c>
      <c r="AG355" s="130" t="s">
        <v>46</v>
      </c>
      <c r="AH355" s="130"/>
      <c r="AI355" s="130" t="s">
        <v>100</v>
      </c>
      <c r="AJ355" s="130"/>
      <c r="AK355" s="130"/>
      <c r="AL355" s="135" t="s">
        <v>743</v>
      </c>
      <c r="AM355" s="314"/>
      <c r="AN355" s="26"/>
      <c r="AO355" s="26"/>
      <c r="AP355" s="26"/>
      <c r="AQ355" s="26">
        <v>43364</v>
      </c>
      <c r="AR355" s="24"/>
      <c r="AS355" s="24"/>
      <c r="AT355" s="24">
        <v>43366</v>
      </c>
      <c r="AU355" s="418">
        <f t="shared" si="17"/>
        <v>9</v>
      </c>
      <c r="AV355" s="418">
        <f t="shared" si="18"/>
        <v>2018</v>
      </c>
      <c r="AW355" s="24"/>
      <c r="AX355" s="28"/>
      <c r="AY355" s="28" t="s">
        <v>269</v>
      </c>
      <c r="AZ355" s="132" t="s">
        <v>37</v>
      </c>
      <c r="BA355" s="132"/>
      <c r="BB355" s="24"/>
      <c r="BC355" s="135">
        <v>18</v>
      </c>
      <c r="BD355" s="24">
        <v>43318</v>
      </c>
      <c r="BE355" s="135" t="s">
        <v>1607</v>
      </c>
      <c r="BF355" s="135" t="s">
        <v>1607</v>
      </c>
      <c r="BG355" s="135" t="s">
        <v>52</v>
      </c>
      <c r="BH355" s="135"/>
      <c r="BI355" s="314"/>
      <c r="BJ355" s="314"/>
      <c r="BK355" s="24"/>
      <c r="BL355" s="24"/>
      <c r="BM355" s="24"/>
      <c r="BN355" s="24"/>
      <c r="BO355" s="24"/>
      <c r="BP355" s="24"/>
      <c r="BQ355" s="24"/>
      <c r="BR355" s="43"/>
      <c r="BS355" s="24"/>
      <c r="BT355" s="24"/>
      <c r="BU355" s="24"/>
      <c r="BV355" s="132" t="e">
        <f>IF(#REF!="COMPLETO","OK","PENDIENTES")</f>
        <v>#REF!</v>
      </c>
      <c r="BW355" s="132"/>
      <c r="BX355" s="132"/>
      <c r="BY355" s="132"/>
      <c r="BZ355" s="132"/>
      <c r="CA355" s="132"/>
      <c r="CB355" s="132"/>
      <c r="CC355" s="22"/>
      <c r="CG355" s="24" t="s">
        <v>105</v>
      </c>
      <c r="CH355" s="24"/>
      <c r="CI355" s="24"/>
      <c r="CJ355" s="24"/>
    </row>
    <row r="356" spans="1:88" ht="15" customHeight="1">
      <c r="A356" s="18">
        <v>2018</v>
      </c>
      <c r="B356" s="18" t="str">
        <f>+INDEX(BDD!F:F,MATCH(P356,BDD!D:D,0))&amp;"-"&amp;INDEX(BDD!E:E,MATCH(P356,BDD!D:D,0))</f>
        <v>S-S</v>
      </c>
      <c r="C356" s="360" t="s">
        <v>484</v>
      </c>
      <c r="D356" s="150" t="s">
        <v>77</v>
      </c>
      <c r="E356" s="132" t="s">
        <v>51</v>
      </c>
      <c r="F356" s="24"/>
      <c r="G356" s="346">
        <v>8000000183</v>
      </c>
      <c r="H356" s="25" t="s">
        <v>1646</v>
      </c>
      <c r="I356" s="329"/>
      <c r="J356" s="346">
        <v>8000000183</v>
      </c>
      <c r="K356" s="24"/>
      <c r="L356" s="24"/>
      <c r="M356" s="24"/>
      <c r="N356" s="340" t="s">
        <v>486</v>
      </c>
      <c r="O356" s="334">
        <v>207579</v>
      </c>
      <c r="P356" s="25" t="s">
        <v>238</v>
      </c>
      <c r="Q356" s="127" t="s">
        <v>151</v>
      </c>
      <c r="R356" s="128" t="s">
        <v>1647</v>
      </c>
      <c r="S356" s="24">
        <v>43319</v>
      </c>
      <c r="T356" s="36">
        <v>90</v>
      </c>
      <c r="U356" s="125" t="s">
        <v>118</v>
      </c>
      <c r="V356" s="147" t="s">
        <v>1648</v>
      </c>
      <c r="W356" s="129"/>
      <c r="X356" s="88">
        <v>43468</v>
      </c>
      <c r="Y356" s="130" t="s">
        <v>20</v>
      </c>
      <c r="Z356" s="133" t="s">
        <v>60</v>
      </c>
      <c r="AA356" s="133"/>
      <c r="AB356" s="148">
        <v>200</v>
      </c>
      <c r="AC356" s="134">
        <v>283</v>
      </c>
      <c r="AD356" s="134"/>
      <c r="AE356" s="403">
        <f t="shared" si="16"/>
        <v>56600</v>
      </c>
      <c r="AF356" s="132" t="str">
        <f>IF(W356=BDD!$P$1,IMPORTS!AB356/25,IF(W356=BDD!$P$2,IMPORTS!AB356/25,IF(IMPORTS!W356=BDD!$P$4,IMPORTS!AB356/25.5,"--")))</f>
        <v>--</v>
      </c>
      <c r="AG356" s="130" t="s">
        <v>58</v>
      </c>
      <c r="AH356" s="130"/>
      <c r="AI356" s="130" t="s">
        <v>34</v>
      </c>
      <c r="AJ356" s="130"/>
      <c r="AK356" s="130"/>
      <c r="AL356" s="135" t="s">
        <v>1649</v>
      </c>
      <c r="AM356" s="314"/>
      <c r="AN356" s="26"/>
      <c r="AO356" s="26"/>
      <c r="AP356" s="26"/>
      <c r="AQ356" s="26">
        <v>43423</v>
      </c>
      <c r="AR356" s="24"/>
      <c r="AS356" s="24"/>
      <c r="AT356" s="24">
        <v>43440</v>
      </c>
      <c r="AU356" s="418">
        <f t="shared" si="17"/>
        <v>12</v>
      </c>
      <c r="AV356" s="418">
        <f t="shared" si="18"/>
        <v>2018</v>
      </c>
      <c r="AW356" s="24"/>
      <c r="AX356" s="28"/>
      <c r="AY356" s="28" t="s">
        <v>607</v>
      </c>
      <c r="AZ356" s="132" t="s">
        <v>37</v>
      </c>
      <c r="BA356" s="132"/>
      <c r="BB356" s="24"/>
      <c r="BC356" s="135" t="s">
        <v>1650</v>
      </c>
      <c r="BD356" s="26">
        <v>43378</v>
      </c>
      <c r="BE356" s="135" t="s">
        <v>1651</v>
      </c>
      <c r="BF356" s="135" t="s">
        <v>1651</v>
      </c>
      <c r="BG356" s="135" t="s">
        <v>52</v>
      </c>
      <c r="BH356" s="135"/>
      <c r="BI356" s="314"/>
      <c r="BJ356" s="314"/>
      <c r="BK356" s="24"/>
      <c r="BL356" s="24"/>
      <c r="BM356" s="24"/>
      <c r="BN356" s="24"/>
      <c r="BO356" s="24"/>
      <c r="BP356" s="24"/>
      <c r="BQ356" s="24"/>
      <c r="BR356" s="43"/>
      <c r="BS356" s="24"/>
      <c r="BT356" s="24"/>
      <c r="BU356" s="24"/>
      <c r="BV356" s="132" t="e">
        <f>IF(#REF!="COMPLETO","OK","PENDIENTES")</f>
        <v>#REF!</v>
      </c>
      <c r="BW356" s="132"/>
      <c r="BX356" s="132"/>
      <c r="BY356" s="132"/>
      <c r="BZ356" s="132"/>
      <c r="CA356" s="132"/>
      <c r="CB356" s="132"/>
      <c r="CC356" s="22"/>
      <c r="CG356" s="24" t="s">
        <v>105</v>
      </c>
      <c r="CH356" s="24"/>
      <c r="CI356" s="24"/>
      <c r="CJ356" s="24"/>
    </row>
    <row r="357" spans="1:88" ht="15" customHeight="1">
      <c r="A357" s="18">
        <v>2018</v>
      </c>
      <c r="B357" s="18" t="str">
        <f>+INDEX(BDD!F:F,MATCH(P357,BDD!D:D,0))&amp;"-"&amp;INDEX(BDD!E:E,MATCH(P357,BDD!D:D,0))</f>
        <v>S-S</v>
      </c>
      <c r="C357" s="360" t="s">
        <v>484</v>
      </c>
      <c r="D357" s="150" t="s">
        <v>77</v>
      </c>
      <c r="E357" s="132"/>
      <c r="F357" s="24"/>
      <c r="G357" s="346">
        <v>8000000265</v>
      </c>
      <c r="H357" s="25" t="s">
        <v>1652</v>
      </c>
      <c r="I357" s="329"/>
      <c r="J357" s="346">
        <v>8000000265</v>
      </c>
      <c r="K357" s="24"/>
      <c r="L357" s="24"/>
      <c r="M357" s="24"/>
      <c r="N357" s="340" t="s">
        <v>486</v>
      </c>
      <c r="O357" s="334">
        <v>206914</v>
      </c>
      <c r="P357" s="25" t="s">
        <v>335</v>
      </c>
      <c r="Q357" s="127" t="s">
        <v>264</v>
      </c>
      <c r="R357" s="128" t="s">
        <v>1653</v>
      </c>
      <c r="S357" s="24">
        <v>43318</v>
      </c>
      <c r="T357" s="36">
        <v>60</v>
      </c>
      <c r="U357" s="125" t="s">
        <v>118</v>
      </c>
      <c r="V357" s="147" t="s">
        <v>1653</v>
      </c>
      <c r="W357" s="129"/>
      <c r="X357" s="88">
        <v>43410</v>
      </c>
      <c r="Y357" s="130" t="s">
        <v>20</v>
      </c>
      <c r="Z357" s="133" t="s">
        <v>60</v>
      </c>
      <c r="AA357" s="133"/>
      <c r="AB357" s="148">
        <v>399</v>
      </c>
      <c r="AC357" s="134">
        <v>150.6</v>
      </c>
      <c r="AD357" s="134"/>
      <c r="AE357" s="403">
        <f t="shared" si="16"/>
        <v>60089.399999999994</v>
      </c>
      <c r="AF357" s="132">
        <v>14</v>
      </c>
      <c r="AG357" s="130" t="s">
        <v>21</v>
      </c>
      <c r="AH357" s="130"/>
      <c r="AI357" s="130" t="s">
        <v>34</v>
      </c>
      <c r="AJ357" s="130"/>
      <c r="AK357" s="130"/>
      <c r="AL357" s="135" t="s">
        <v>743</v>
      </c>
      <c r="AM357" s="314"/>
      <c r="AN357" s="26"/>
      <c r="AO357" s="26"/>
      <c r="AP357" s="26"/>
      <c r="AQ357" s="26">
        <v>43390</v>
      </c>
      <c r="AR357" s="24"/>
      <c r="AS357" s="24"/>
      <c r="AT357" s="24">
        <v>43393</v>
      </c>
      <c r="AU357" s="418">
        <f t="shared" si="17"/>
        <v>10</v>
      </c>
      <c r="AV357" s="418">
        <f t="shared" si="18"/>
        <v>2018</v>
      </c>
      <c r="AW357" s="24"/>
      <c r="AX357" s="28"/>
      <c r="AY357" s="28" t="s">
        <v>139</v>
      </c>
      <c r="AZ357" s="132" t="s">
        <v>9</v>
      </c>
      <c r="BA357" s="132"/>
      <c r="BB357" s="24"/>
      <c r="BC357" s="135" t="s">
        <v>1654</v>
      </c>
      <c r="BD357" s="24">
        <v>43347</v>
      </c>
      <c r="BE357" s="135" t="s">
        <v>1655</v>
      </c>
      <c r="BF357" s="135" t="s">
        <v>1251</v>
      </c>
      <c r="BG357" s="135" t="s">
        <v>174</v>
      </c>
      <c r="BH357" s="135"/>
      <c r="BI357" s="314"/>
      <c r="BJ357" s="314"/>
      <c r="BK357" s="24"/>
      <c r="BL357" s="24"/>
      <c r="BM357" s="24"/>
      <c r="BN357" s="24"/>
      <c r="BO357" s="24"/>
      <c r="BP357" s="24"/>
      <c r="BQ357" s="24"/>
      <c r="BR357" s="43"/>
      <c r="BS357" s="24"/>
      <c r="BT357" s="24"/>
      <c r="BU357" s="24"/>
      <c r="BV357" s="132" t="e">
        <f>IF(#REF!="COMPLETO","OK","PENDIENTES")</f>
        <v>#REF!</v>
      </c>
      <c r="BW357" s="132"/>
      <c r="BX357" s="132"/>
      <c r="BY357" s="132"/>
      <c r="BZ357" s="132"/>
      <c r="CA357" s="132"/>
      <c r="CB357" s="132"/>
      <c r="CC357" s="22"/>
      <c r="CG357" s="24" t="s">
        <v>105</v>
      </c>
      <c r="CH357" s="24"/>
      <c r="CI357" s="24"/>
      <c r="CJ357" s="24"/>
    </row>
    <row r="358" spans="1:88" ht="15" customHeight="1">
      <c r="A358" s="18">
        <v>2018</v>
      </c>
      <c r="B358" s="18" t="str">
        <f>+INDEX(BDD!F:F,MATCH(P358,BDD!D:D,0))&amp;"-"&amp;INDEX(BDD!E:E,MATCH(P358,BDD!D:D,0))</f>
        <v>S-S</v>
      </c>
      <c r="C358" s="360" t="s">
        <v>484</v>
      </c>
      <c r="D358" s="150" t="s">
        <v>77</v>
      </c>
      <c r="E358" s="132" t="s">
        <v>51</v>
      </c>
      <c r="F358" s="24"/>
      <c r="G358" s="346">
        <v>8000000184</v>
      </c>
      <c r="H358" s="25" t="s">
        <v>1656</v>
      </c>
      <c r="I358" s="329"/>
      <c r="J358" s="346">
        <v>8000000184</v>
      </c>
      <c r="K358" s="24"/>
      <c r="L358" s="24"/>
      <c r="M358" s="24"/>
      <c r="N358" s="340" t="s">
        <v>486</v>
      </c>
      <c r="O358" s="334"/>
      <c r="P358" s="25" t="s">
        <v>238</v>
      </c>
      <c r="Q358" s="127" t="s">
        <v>199</v>
      </c>
      <c r="R358" s="128" t="s">
        <v>1657</v>
      </c>
      <c r="S358" s="24">
        <v>43320</v>
      </c>
      <c r="T358" s="36" t="s">
        <v>19</v>
      </c>
      <c r="U358" s="125"/>
      <c r="V358" s="147" t="s">
        <v>1658</v>
      </c>
      <c r="W358" s="129"/>
      <c r="X358" s="88">
        <v>43363</v>
      </c>
      <c r="Y358" s="130" t="s">
        <v>20</v>
      </c>
      <c r="Z358" s="133" t="s">
        <v>60</v>
      </c>
      <c r="AA358" s="133"/>
      <c r="AB358" s="148">
        <v>113.6</v>
      </c>
      <c r="AC358" s="134">
        <v>300</v>
      </c>
      <c r="AD358" s="134"/>
      <c r="AE358" s="403">
        <f t="shared" si="16"/>
        <v>34080</v>
      </c>
      <c r="AF358" s="132">
        <f>+AB358/28.6</f>
        <v>3.9720279720279716</v>
      </c>
      <c r="AG358" s="130" t="s">
        <v>21</v>
      </c>
      <c r="AH358" s="130"/>
      <c r="AI358" s="130" t="s">
        <v>34</v>
      </c>
      <c r="AJ358" s="130"/>
      <c r="AK358" s="130"/>
      <c r="AL358" s="135" t="s">
        <v>743</v>
      </c>
      <c r="AM358" s="314"/>
      <c r="AN358" s="26"/>
      <c r="AO358" s="26"/>
      <c r="AP358" s="26"/>
      <c r="AQ358" s="26">
        <v>43425</v>
      </c>
      <c r="AR358" s="24"/>
      <c r="AS358" s="24"/>
      <c r="AT358" s="24">
        <v>43426</v>
      </c>
      <c r="AU358" s="418">
        <f t="shared" si="17"/>
        <v>11</v>
      </c>
      <c r="AV358" s="418">
        <f t="shared" si="18"/>
        <v>2018</v>
      </c>
      <c r="AW358" s="24"/>
      <c r="AX358" s="28"/>
      <c r="AY358" s="28" t="s">
        <v>311</v>
      </c>
      <c r="AZ358" s="132" t="s">
        <v>9</v>
      </c>
      <c r="BA358" s="132"/>
      <c r="BB358" s="24"/>
      <c r="BC358" s="135" t="s">
        <v>1659</v>
      </c>
      <c r="BD358" s="24">
        <v>43352</v>
      </c>
      <c r="BE358" s="135" t="s">
        <v>1660</v>
      </c>
      <c r="BF358" s="135" t="s">
        <v>1661</v>
      </c>
      <c r="BG358" s="135" t="s">
        <v>174</v>
      </c>
      <c r="BH358" s="135"/>
      <c r="BI358" s="314"/>
      <c r="BJ358" s="314"/>
      <c r="BK358" s="24"/>
      <c r="BL358" s="24"/>
      <c r="BM358" s="24"/>
      <c r="BN358" s="24"/>
      <c r="BO358" s="24">
        <v>43446</v>
      </c>
      <c r="BP358" s="24"/>
      <c r="BQ358" s="24"/>
      <c r="BR358" s="43"/>
      <c r="BS358" s="24"/>
      <c r="BT358" s="24"/>
      <c r="BU358" s="24"/>
      <c r="BV358" s="132" t="e">
        <f>IF(#REF!="COMPLETO","OK","PENDIENTES")</f>
        <v>#REF!</v>
      </c>
      <c r="BW358" s="132"/>
      <c r="BX358" s="132"/>
      <c r="BY358" s="132"/>
      <c r="BZ358" s="132"/>
      <c r="CA358" s="132"/>
      <c r="CB358" s="132"/>
      <c r="CC358" s="22"/>
      <c r="CG358" s="24" t="s">
        <v>105</v>
      </c>
      <c r="CH358" s="24"/>
      <c r="CI358" s="24"/>
      <c r="CJ358" s="24"/>
    </row>
    <row r="359" spans="1:88" ht="15" customHeight="1">
      <c r="A359" s="18">
        <v>2018</v>
      </c>
      <c r="B359" s="18" t="str">
        <f>+INDEX(BDD!F:F,MATCH(P359,BDD!D:D,0))&amp;"-"&amp;INDEX(BDD!E:E,MATCH(P359,BDD!D:D,0))</f>
        <v>G-S</v>
      </c>
      <c r="C359" s="360" t="s">
        <v>484</v>
      </c>
      <c r="D359" s="150" t="s">
        <v>77</v>
      </c>
      <c r="E359" s="132"/>
      <c r="F359" s="24"/>
      <c r="G359" s="346">
        <v>8000000232</v>
      </c>
      <c r="H359" s="25" t="s">
        <v>1662</v>
      </c>
      <c r="I359" s="329"/>
      <c r="J359" s="346">
        <v>8000000232</v>
      </c>
      <c r="K359" s="24"/>
      <c r="L359" s="24"/>
      <c r="M359" s="24"/>
      <c r="N359" s="340" t="s">
        <v>486</v>
      </c>
      <c r="O359" s="334">
        <v>207485</v>
      </c>
      <c r="P359" s="25" t="s">
        <v>353</v>
      </c>
      <c r="Q359" s="127" t="s">
        <v>252</v>
      </c>
      <c r="R359" s="128" t="s">
        <v>1663</v>
      </c>
      <c r="S359" s="24">
        <v>43319</v>
      </c>
      <c r="T359" s="36" t="s">
        <v>19</v>
      </c>
      <c r="U359" s="125"/>
      <c r="V359" s="147" t="s">
        <v>1664</v>
      </c>
      <c r="W359" s="129"/>
      <c r="X359" s="88">
        <v>43353</v>
      </c>
      <c r="Y359" s="130" t="s">
        <v>20</v>
      </c>
      <c r="Z359" s="133" t="s">
        <v>60</v>
      </c>
      <c r="AA359" s="133"/>
      <c r="AB359" s="148">
        <v>700</v>
      </c>
      <c r="AC359" s="134">
        <v>305.5</v>
      </c>
      <c r="AD359" s="134"/>
      <c r="AE359" s="403">
        <f t="shared" si="16"/>
        <v>213850</v>
      </c>
      <c r="AF359" s="132" t="str">
        <f>IF(W359=BDD!$P$1,IMPORTS!AB359/25,IF(W359=BDD!$P$2,IMPORTS!AB359/25,IF(IMPORTS!W359=BDD!$P$4,IMPORTS!AB359/25.5,"--")))</f>
        <v>--</v>
      </c>
      <c r="AG359" s="130" t="s">
        <v>46</v>
      </c>
      <c r="AH359" s="130"/>
      <c r="AI359" s="130" t="s">
        <v>100</v>
      </c>
      <c r="AJ359" s="130"/>
      <c r="AK359" s="130"/>
      <c r="AL359" s="135" t="s">
        <v>1665</v>
      </c>
      <c r="AM359" s="314"/>
      <c r="AN359" s="26"/>
      <c r="AO359" s="26"/>
      <c r="AP359" s="26"/>
      <c r="AQ359" s="26">
        <v>43363</v>
      </c>
      <c r="AR359" s="24"/>
      <c r="AS359" s="24"/>
      <c r="AT359" s="24">
        <v>43364</v>
      </c>
      <c r="AU359" s="418">
        <f t="shared" si="17"/>
        <v>9</v>
      </c>
      <c r="AV359" s="418">
        <f t="shared" si="18"/>
        <v>2018</v>
      </c>
      <c r="AW359" s="24"/>
      <c r="AX359" s="28"/>
      <c r="AY359" s="28" t="s">
        <v>205</v>
      </c>
      <c r="AZ359" s="132" t="s">
        <v>9</v>
      </c>
      <c r="BA359" s="132"/>
      <c r="BB359" s="24"/>
      <c r="BC359" s="135">
        <v>6</v>
      </c>
      <c r="BD359" s="24">
        <v>43336</v>
      </c>
      <c r="BE359" s="135" t="s">
        <v>1666</v>
      </c>
      <c r="BF359" s="135" t="s">
        <v>1666</v>
      </c>
      <c r="BG359" s="135" t="s">
        <v>52</v>
      </c>
      <c r="BH359" s="135"/>
      <c r="BI359" s="314"/>
      <c r="BJ359" s="314"/>
      <c r="BK359" s="24"/>
      <c r="BL359" s="24"/>
      <c r="BM359" s="24"/>
      <c r="BN359" s="24"/>
      <c r="BO359" s="24"/>
      <c r="BP359" s="24"/>
      <c r="BQ359" s="24"/>
      <c r="BR359" s="43"/>
      <c r="BS359" s="24"/>
      <c r="BT359" s="24"/>
      <c r="BU359" s="24"/>
      <c r="BV359" s="132" t="e">
        <f>IF(#REF!="COMPLETO","OK","PENDIENTES")</f>
        <v>#REF!</v>
      </c>
      <c r="BW359" s="132"/>
      <c r="BX359" s="132"/>
      <c r="BY359" s="132"/>
      <c r="BZ359" s="132"/>
      <c r="CA359" s="132"/>
      <c r="CB359" s="132"/>
      <c r="CC359" s="22"/>
      <c r="CG359" s="24" t="s">
        <v>105</v>
      </c>
      <c r="CH359" s="24"/>
      <c r="CI359" s="24"/>
      <c r="CJ359" s="24"/>
    </row>
    <row r="360" spans="1:88" ht="15" customHeight="1">
      <c r="A360" s="18">
        <v>2018</v>
      </c>
      <c r="B360" s="18" t="str">
        <f>+INDEX(BDD!F:F,MATCH(P360,BDD!D:D,0))&amp;"-"&amp;INDEX(BDD!E:E,MATCH(P360,BDD!D:D,0))</f>
        <v>G-S</v>
      </c>
      <c r="C360" s="360" t="s">
        <v>484</v>
      </c>
      <c r="D360" s="150" t="s">
        <v>77</v>
      </c>
      <c r="E360" s="132"/>
      <c r="F360" s="24"/>
      <c r="G360" s="346">
        <v>8000000241</v>
      </c>
      <c r="H360" s="25" t="s">
        <v>1667</v>
      </c>
      <c r="I360" s="329"/>
      <c r="J360" s="346">
        <v>8000000241</v>
      </c>
      <c r="K360" s="24"/>
      <c r="L360" s="24"/>
      <c r="M360" s="24"/>
      <c r="N360" s="340" t="s">
        <v>486</v>
      </c>
      <c r="O360" s="334">
        <v>207485</v>
      </c>
      <c r="P360" s="25" t="s">
        <v>353</v>
      </c>
      <c r="Q360" s="127" t="s">
        <v>252</v>
      </c>
      <c r="R360" s="128" t="s">
        <v>1663</v>
      </c>
      <c r="S360" s="24">
        <v>43319</v>
      </c>
      <c r="T360" s="36" t="s">
        <v>19</v>
      </c>
      <c r="U360" s="125"/>
      <c r="V360" s="147" t="s">
        <v>1668</v>
      </c>
      <c r="W360" s="129"/>
      <c r="X360" s="88">
        <v>43350</v>
      </c>
      <c r="Y360" s="130" t="s">
        <v>20</v>
      </c>
      <c r="Z360" s="133" t="s">
        <v>60</v>
      </c>
      <c r="AA360" s="133"/>
      <c r="AB360" s="148">
        <v>900</v>
      </c>
      <c r="AC360" s="134">
        <v>305.5</v>
      </c>
      <c r="AD360" s="134"/>
      <c r="AE360" s="403">
        <f t="shared" si="16"/>
        <v>274950</v>
      </c>
      <c r="AF360" s="132" t="str">
        <f>IF(W360=BDD!$P$1,IMPORTS!AB360/25,IF(W360=BDD!$P$2,IMPORTS!AB360/25,IF(IMPORTS!W360=BDD!$P$4,IMPORTS!AB360/25.5,"--")))</f>
        <v>--</v>
      </c>
      <c r="AG360" s="130" t="s">
        <v>46</v>
      </c>
      <c r="AH360" s="130"/>
      <c r="AI360" s="130" t="s">
        <v>100</v>
      </c>
      <c r="AJ360" s="130"/>
      <c r="AK360" s="130"/>
      <c r="AL360" s="135" t="s">
        <v>1665</v>
      </c>
      <c r="AM360" s="314"/>
      <c r="AN360" s="26"/>
      <c r="AO360" s="26"/>
      <c r="AP360" s="26"/>
      <c r="AQ360" s="26">
        <v>43366</v>
      </c>
      <c r="AR360" s="24"/>
      <c r="AS360" s="24"/>
      <c r="AT360" s="24">
        <v>43370</v>
      </c>
      <c r="AU360" s="418">
        <f t="shared" si="17"/>
        <v>9</v>
      </c>
      <c r="AV360" s="418">
        <f t="shared" si="18"/>
        <v>2018</v>
      </c>
      <c r="AW360" s="24"/>
      <c r="AX360" s="28"/>
      <c r="AY360" s="28" t="s">
        <v>205</v>
      </c>
      <c r="AZ360" s="132" t="s">
        <v>25</v>
      </c>
      <c r="BA360" s="132"/>
      <c r="BB360" s="24"/>
      <c r="BC360" s="135">
        <v>13</v>
      </c>
      <c r="BD360" s="24">
        <v>43336</v>
      </c>
      <c r="BE360" s="135" t="s">
        <v>1666</v>
      </c>
      <c r="BF360" s="135" t="s">
        <v>1666</v>
      </c>
      <c r="BG360" s="135" t="s">
        <v>52</v>
      </c>
      <c r="BH360" s="135"/>
      <c r="BI360" s="314"/>
      <c r="BJ360" s="314"/>
      <c r="BK360" s="24"/>
      <c r="BL360" s="24"/>
      <c r="BM360" s="24"/>
      <c r="BN360" s="24"/>
      <c r="BO360" s="24"/>
      <c r="BP360" s="24"/>
      <c r="BQ360" s="24"/>
      <c r="BR360" s="43"/>
      <c r="BS360" s="24"/>
      <c r="BT360" s="24"/>
      <c r="BU360" s="24"/>
      <c r="BV360" s="132" t="e">
        <f>IF(#REF!="COMPLETO","OK","PENDIENTES")</f>
        <v>#REF!</v>
      </c>
      <c r="BW360" s="132"/>
      <c r="BX360" s="132"/>
      <c r="BY360" s="132"/>
      <c r="BZ360" s="132"/>
      <c r="CA360" s="132"/>
      <c r="CB360" s="132"/>
      <c r="CC360" s="22"/>
      <c r="CG360" s="24" t="s">
        <v>105</v>
      </c>
      <c r="CH360" s="24"/>
      <c r="CI360" s="24"/>
      <c r="CJ360" s="24"/>
    </row>
    <row r="361" spans="1:88" ht="15" customHeight="1">
      <c r="A361" s="18">
        <v>2018</v>
      </c>
      <c r="B361" s="18" t="str">
        <f>+INDEX(BDD!F:F,MATCH(P361,BDD!D:D,0))&amp;"-"&amp;INDEX(BDD!E:E,MATCH(P361,BDD!D:D,0))</f>
        <v>G-S</v>
      </c>
      <c r="C361" s="360" t="s">
        <v>484</v>
      </c>
      <c r="D361" s="150" t="s">
        <v>77</v>
      </c>
      <c r="E361" s="132"/>
      <c r="F361" s="24"/>
      <c r="G361" s="346">
        <v>8000000248</v>
      </c>
      <c r="H361" s="25" t="s">
        <v>1669</v>
      </c>
      <c r="I361" s="329"/>
      <c r="J361" s="346">
        <v>8000000248</v>
      </c>
      <c r="K361" s="24"/>
      <c r="L361" s="24"/>
      <c r="M361" s="24"/>
      <c r="N361" s="340" t="s">
        <v>486</v>
      </c>
      <c r="O361" s="334">
        <v>207485</v>
      </c>
      <c r="P361" s="25" t="s">
        <v>353</v>
      </c>
      <c r="Q361" s="127" t="s">
        <v>252</v>
      </c>
      <c r="R361" s="128" t="s">
        <v>1663</v>
      </c>
      <c r="S361" s="24">
        <v>43319</v>
      </c>
      <c r="T361" s="36" t="s">
        <v>19</v>
      </c>
      <c r="U361" s="125"/>
      <c r="V361" s="147" t="s">
        <v>1670</v>
      </c>
      <c r="W361" s="129"/>
      <c r="X361" s="88">
        <v>43353</v>
      </c>
      <c r="Y361" s="130" t="s">
        <v>20</v>
      </c>
      <c r="Z361" s="133" t="s">
        <v>60</v>
      </c>
      <c r="AA361" s="133"/>
      <c r="AB361" s="148">
        <v>500</v>
      </c>
      <c r="AC361" s="134">
        <v>305.5</v>
      </c>
      <c r="AD361" s="134"/>
      <c r="AE361" s="403">
        <f t="shared" si="16"/>
        <v>152750</v>
      </c>
      <c r="AF361" s="132" t="str">
        <f>IF(W361=BDD!$P$1,IMPORTS!AB361/25,IF(W361=BDD!$P$2,IMPORTS!AB361/25,IF(IMPORTS!W361=BDD!$P$4,IMPORTS!AB361/25.5,"--")))</f>
        <v>--</v>
      </c>
      <c r="AG361" s="130" t="s">
        <v>46</v>
      </c>
      <c r="AH361" s="130"/>
      <c r="AI361" s="130" t="s">
        <v>100</v>
      </c>
      <c r="AJ361" s="130"/>
      <c r="AK361" s="130"/>
      <c r="AL361" s="135" t="s">
        <v>1665</v>
      </c>
      <c r="AM361" s="314"/>
      <c r="AN361" s="26"/>
      <c r="AO361" s="26"/>
      <c r="AP361" s="26"/>
      <c r="AQ361" s="26">
        <v>43371</v>
      </c>
      <c r="AR361" s="24"/>
      <c r="AS361" s="24"/>
      <c r="AT361" s="24">
        <v>43373</v>
      </c>
      <c r="AU361" s="418">
        <f t="shared" si="17"/>
        <v>9</v>
      </c>
      <c r="AV361" s="418">
        <f t="shared" si="18"/>
        <v>2018</v>
      </c>
      <c r="AW361" s="24"/>
      <c r="AX361" s="28"/>
      <c r="AY361" s="28" t="s">
        <v>205</v>
      </c>
      <c r="AZ361" s="132" t="s">
        <v>37</v>
      </c>
      <c r="BA361" s="132"/>
      <c r="BB361" s="24"/>
      <c r="BC361" s="135">
        <v>14</v>
      </c>
      <c r="BD361" s="24">
        <v>43336</v>
      </c>
      <c r="BE361" s="135" t="s">
        <v>1666</v>
      </c>
      <c r="BF361" s="135" t="s">
        <v>1666</v>
      </c>
      <c r="BG361" s="135" t="s">
        <v>52</v>
      </c>
      <c r="BH361" s="135"/>
      <c r="BI361" s="314"/>
      <c r="BJ361" s="314"/>
      <c r="BK361" s="24"/>
      <c r="BL361" s="24"/>
      <c r="BM361" s="24"/>
      <c r="BN361" s="24"/>
      <c r="BO361" s="24"/>
      <c r="BP361" s="24"/>
      <c r="BQ361" s="24"/>
      <c r="BR361" s="43"/>
      <c r="BS361" s="24"/>
      <c r="BT361" s="24"/>
      <c r="BU361" s="24"/>
      <c r="BV361" s="132" t="e">
        <f>IF(#REF!="COMPLETO","OK","PENDIENTES")</f>
        <v>#REF!</v>
      </c>
      <c r="BW361" s="132"/>
      <c r="BX361" s="132"/>
      <c r="BY361" s="132"/>
      <c r="BZ361" s="132"/>
      <c r="CA361" s="132"/>
      <c r="CB361" s="132"/>
      <c r="CC361" s="22"/>
      <c r="CG361" s="24" t="s">
        <v>105</v>
      </c>
      <c r="CH361" s="24"/>
      <c r="CI361" s="24"/>
      <c r="CJ361" s="24"/>
    </row>
    <row r="362" spans="1:88" ht="15" customHeight="1">
      <c r="A362" s="18">
        <v>2018</v>
      </c>
      <c r="B362" s="18" t="str">
        <f>+INDEX(BDD!F:F,MATCH(P362,BDD!D:D,0))&amp;"-"&amp;INDEX(BDD!E:E,MATCH(P362,BDD!D:D,0))</f>
        <v>G-S</v>
      </c>
      <c r="C362" s="360" t="s">
        <v>484</v>
      </c>
      <c r="D362" s="150" t="s">
        <v>77</v>
      </c>
      <c r="E362" s="132"/>
      <c r="F362" s="24"/>
      <c r="G362" s="346">
        <v>8000000255</v>
      </c>
      <c r="H362" s="25" t="s">
        <v>1671</v>
      </c>
      <c r="I362" s="329"/>
      <c r="J362" s="346">
        <v>8000000255</v>
      </c>
      <c r="K362" s="24"/>
      <c r="L362" s="24"/>
      <c r="M362" s="24"/>
      <c r="N362" s="340" t="s">
        <v>486</v>
      </c>
      <c r="O362" s="334">
        <v>207485</v>
      </c>
      <c r="P362" s="25" t="s">
        <v>353</v>
      </c>
      <c r="Q362" s="127" t="s">
        <v>252</v>
      </c>
      <c r="R362" s="128" t="s">
        <v>1663</v>
      </c>
      <c r="S362" s="24">
        <v>43319</v>
      </c>
      <c r="T362" s="36" t="s">
        <v>19</v>
      </c>
      <c r="U362" s="125"/>
      <c r="V362" s="147" t="s">
        <v>1672</v>
      </c>
      <c r="W362" s="129"/>
      <c r="X362" s="88">
        <v>43353</v>
      </c>
      <c r="Y362" s="130" t="s">
        <v>20</v>
      </c>
      <c r="Z362" s="133" t="s">
        <v>60</v>
      </c>
      <c r="AA362" s="133"/>
      <c r="AB362" s="148">
        <v>805.65</v>
      </c>
      <c r="AC362" s="134">
        <v>305.5</v>
      </c>
      <c r="AD362" s="134"/>
      <c r="AE362" s="403">
        <f t="shared" si="16"/>
        <v>246126.07499999998</v>
      </c>
      <c r="AF362" s="132" t="str">
        <f>IF(W362=BDD!$P$1,IMPORTS!AB362/25,IF(W362=BDD!$P$2,IMPORTS!AB362/25,IF(IMPORTS!W362=BDD!$P$4,IMPORTS!AB362/25.5,"--")))</f>
        <v>--</v>
      </c>
      <c r="AG362" s="130" t="s">
        <v>46</v>
      </c>
      <c r="AH362" s="130"/>
      <c r="AI362" s="130" t="s">
        <v>100</v>
      </c>
      <c r="AJ362" s="130"/>
      <c r="AK362" s="130"/>
      <c r="AL362" s="135" t="s">
        <v>1665</v>
      </c>
      <c r="AM362" s="314"/>
      <c r="AN362" s="26"/>
      <c r="AO362" s="26"/>
      <c r="AP362" s="26"/>
      <c r="AQ362" s="26">
        <v>43375</v>
      </c>
      <c r="AR362" s="24"/>
      <c r="AS362" s="24"/>
      <c r="AT362" s="24">
        <v>43378</v>
      </c>
      <c r="AU362" s="418">
        <f t="shared" si="17"/>
        <v>10</v>
      </c>
      <c r="AV362" s="418">
        <f t="shared" si="18"/>
        <v>2018</v>
      </c>
      <c r="AW362" s="24"/>
      <c r="AX362" s="28"/>
      <c r="AY362" s="28" t="s">
        <v>205</v>
      </c>
      <c r="AZ362" s="132" t="s">
        <v>62</v>
      </c>
      <c r="BA362" s="132"/>
      <c r="BB362" s="24"/>
      <c r="BC362" s="135">
        <v>15</v>
      </c>
      <c r="BD362" s="24">
        <v>43336</v>
      </c>
      <c r="BE362" s="135" t="s">
        <v>1666</v>
      </c>
      <c r="BF362" s="135" t="s">
        <v>1666</v>
      </c>
      <c r="BG362" s="135" t="s">
        <v>52</v>
      </c>
      <c r="BH362" s="135"/>
      <c r="BI362" s="314"/>
      <c r="BJ362" s="314"/>
      <c r="BK362" s="24"/>
      <c r="BL362" s="24"/>
      <c r="BM362" s="24"/>
      <c r="BN362" s="24"/>
      <c r="BO362" s="24"/>
      <c r="BP362" s="24"/>
      <c r="BQ362" s="24"/>
      <c r="BR362" s="43"/>
      <c r="BS362" s="24"/>
      <c r="BT362" s="24"/>
      <c r="BU362" s="24"/>
      <c r="BV362" s="132" t="e">
        <f>IF(#REF!="COMPLETO","OK","PENDIENTES")</f>
        <v>#REF!</v>
      </c>
      <c r="BW362" s="132"/>
      <c r="BX362" s="132"/>
      <c r="BY362" s="132"/>
      <c r="BZ362" s="132"/>
      <c r="CA362" s="132"/>
      <c r="CB362" s="132"/>
      <c r="CC362" s="22"/>
      <c r="CG362" s="24" t="s">
        <v>105</v>
      </c>
      <c r="CH362" s="24"/>
      <c r="CI362" s="24"/>
      <c r="CJ362" s="24"/>
    </row>
    <row r="363" spans="1:88" ht="15" customHeight="1">
      <c r="A363" s="18">
        <v>2018</v>
      </c>
      <c r="B363" s="18" t="str">
        <f>+INDEX(BDD!F:F,MATCH(P363,BDD!D:D,0))&amp;"-"&amp;INDEX(BDD!E:E,MATCH(P363,BDD!D:D,0))</f>
        <v>G-S</v>
      </c>
      <c r="C363" s="360" t="s">
        <v>484</v>
      </c>
      <c r="D363" s="150" t="s">
        <v>77</v>
      </c>
      <c r="E363" s="132"/>
      <c r="F363" s="24"/>
      <c r="G363" s="346">
        <v>8000000233</v>
      </c>
      <c r="H363" s="25" t="s">
        <v>1673</v>
      </c>
      <c r="I363" s="329"/>
      <c r="J363" s="346">
        <v>8000000233</v>
      </c>
      <c r="K363" s="24"/>
      <c r="L363" s="24"/>
      <c r="M363" s="24"/>
      <c r="N363" s="340" t="s">
        <v>486</v>
      </c>
      <c r="O363" s="334">
        <v>207951</v>
      </c>
      <c r="P363" s="25" t="s">
        <v>354</v>
      </c>
      <c r="Q363" s="127" t="s">
        <v>252</v>
      </c>
      <c r="R363" s="128" t="s">
        <v>1663</v>
      </c>
      <c r="S363" s="24">
        <v>43319</v>
      </c>
      <c r="T363" s="36" t="s">
        <v>19</v>
      </c>
      <c r="U363" s="125"/>
      <c r="V363" s="147" t="s">
        <v>1674</v>
      </c>
      <c r="W363" s="129"/>
      <c r="X363" s="88">
        <v>43353</v>
      </c>
      <c r="Y363" s="130" t="s">
        <v>20</v>
      </c>
      <c r="Z363" s="133" t="s">
        <v>60</v>
      </c>
      <c r="AA363" s="133"/>
      <c r="AB363" s="148">
        <v>1550</v>
      </c>
      <c r="AC363" s="134">
        <v>295.5</v>
      </c>
      <c r="AD363" s="134"/>
      <c r="AE363" s="403">
        <f t="shared" si="16"/>
        <v>458025</v>
      </c>
      <c r="AF363" s="132" t="str">
        <f>IF(W363=BDD!$P$1,IMPORTS!AB363/25,IF(W363=BDD!$P$2,IMPORTS!AB363/25,IF(IMPORTS!W363=BDD!$P$4,IMPORTS!AB363/25.5,"--")))</f>
        <v>--</v>
      </c>
      <c r="AG363" s="130" t="s">
        <v>46</v>
      </c>
      <c r="AH363" s="130"/>
      <c r="AI363" s="130" t="s">
        <v>100</v>
      </c>
      <c r="AJ363" s="130"/>
      <c r="AK363" s="130"/>
      <c r="AL363" s="135" t="s">
        <v>1665</v>
      </c>
      <c r="AM363" s="314"/>
      <c r="AN363" s="26"/>
      <c r="AO363" s="26"/>
      <c r="AP363" s="26"/>
      <c r="AQ363" s="26">
        <v>43363</v>
      </c>
      <c r="AR363" s="24"/>
      <c r="AS363" s="24"/>
      <c r="AT363" s="24">
        <v>43364</v>
      </c>
      <c r="AU363" s="418">
        <f t="shared" si="17"/>
        <v>9</v>
      </c>
      <c r="AV363" s="418">
        <f t="shared" si="18"/>
        <v>2018</v>
      </c>
      <c r="AW363" s="24"/>
      <c r="AX363" s="28"/>
      <c r="AY363" s="28" t="s">
        <v>205</v>
      </c>
      <c r="AZ363" s="132" t="s">
        <v>9</v>
      </c>
      <c r="BA363" s="132"/>
      <c r="BB363" s="24"/>
      <c r="BC363" s="135">
        <v>12</v>
      </c>
      <c r="BD363" s="24">
        <v>43336</v>
      </c>
      <c r="BE363" s="135" t="s">
        <v>1666</v>
      </c>
      <c r="BF363" s="135" t="s">
        <v>1666</v>
      </c>
      <c r="BG363" s="135" t="s">
        <v>52</v>
      </c>
      <c r="BH363" s="135"/>
      <c r="BI363" s="314"/>
      <c r="BJ363" s="314"/>
      <c r="BK363" s="24"/>
      <c r="BL363" s="24"/>
      <c r="BM363" s="24"/>
      <c r="BN363" s="24"/>
      <c r="BO363" s="24"/>
      <c r="BP363" s="24"/>
      <c r="BQ363" s="24"/>
      <c r="BR363" s="43"/>
      <c r="BS363" s="24"/>
      <c r="BT363" s="24"/>
      <c r="BU363" s="24"/>
      <c r="BV363" s="132" t="e">
        <f>IF(#REF!="COMPLETO","OK","PENDIENTES")</f>
        <v>#REF!</v>
      </c>
      <c r="BW363" s="132"/>
      <c r="BX363" s="132"/>
      <c r="BY363" s="132"/>
      <c r="BZ363" s="132"/>
      <c r="CA363" s="132"/>
      <c r="CB363" s="132"/>
      <c r="CC363" s="22"/>
      <c r="CG363" s="24" t="s">
        <v>105</v>
      </c>
      <c r="CH363" s="24"/>
      <c r="CI363" s="24"/>
      <c r="CJ363" s="24"/>
    </row>
    <row r="364" spans="1:88" ht="15" customHeight="1">
      <c r="A364" s="18">
        <v>2018</v>
      </c>
      <c r="B364" s="18" t="str">
        <f>+INDEX(BDD!F:F,MATCH(P364,BDD!D:D,0))&amp;"-"&amp;INDEX(BDD!E:E,MATCH(P364,BDD!D:D,0))</f>
        <v>G-S</v>
      </c>
      <c r="C364" s="360" t="s">
        <v>484</v>
      </c>
      <c r="D364" s="150" t="s">
        <v>77</v>
      </c>
      <c r="E364" s="132"/>
      <c r="F364" s="24"/>
      <c r="G364" s="346">
        <v>8000000242</v>
      </c>
      <c r="H364" s="25" t="s">
        <v>1675</v>
      </c>
      <c r="I364" s="329"/>
      <c r="J364" s="346">
        <v>8000000242</v>
      </c>
      <c r="K364" s="24"/>
      <c r="L364" s="24"/>
      <c r="M364" s="24"/>
      <c r="N364" s="340" t="s">
        <v>486</v>
      </c>
      <c r="O364" s="334">
        <v>207951</v>
      </c>
      <c r="P364" s="25" t="s">
        <v>354</v>
      </c>
      <c r="Q364" s="127" t="s">
        <v>252</v>
      </c>
      <c r="R364" s="128" t="s">
        <v>1663</v>
      </c>
      <c r="S364" s="24">
        <v>43319</v>
      </c>
      <c r="T364" s="36" t="s">
        <v>19</v>
      </c>
      <c r="U364" s="125"/>
      <c r="V364" s="147" t="s">
        <v>1676</v>
      </c>
      <c r="W364" s="129"/>
      <c r="X364" s="88">
        <v>43350</v>
      </c>
      <c r="Y364" s="130" t="s">
        <v>20</v>
      </c>
      <c r="Z364" s="133" t="s">
        <v>60</v>
      </c>
      <c r="AA364" s="133"/>
      <c r="AB364" s="148">
        <v>2200</v>
      </c>
      <c r="AC364" s="134">
        <v>295.5</v>
      </c>
      <c r="AD364" s="134"/>
      <c r="AE364" s="403">
        <f t="shared" si="16"/>
        <v>650100</v>
      </c>
      <c r="AF364" s="132" t="str">
        <f>IF(W364=BDD!$P$1,IMPORTS!AB364/25,IF(W364=BDD!$P$2,IMPORTS!AB364/25,IF(IMPORTS!W364=BDD!$P$4,IMPORTS!AB364/25.5,"--")))</f>
        <v>--</v>
      </c>
      <c r="AG364" s="130" t="s">
        <v>46</v>
      </c>
      <c r="AH364" s="130"/>
      <c r="AI364" s="130" t="s">
        <v>100</v>
      </c>
      <c r="AJ364" s="130"/>
      <c r="AK364" s="130"/>
      <c r="AL364" s="135" t="s">
        <v>1665</v>
      </c>
      <c r="AM364" s="314"/>
      <c r="AN364" s="26"/>
      <c r="AO364" s="26"/>
      <c r="AP364" s="26"/>
      <c r="AQ364" s="26">
        <v>43366</v>
      </c>
      <c r="AR364" s="24"/>
      <c r="AS364" s="24"/>
      <c r="AT364" s="24">
        <v>43370</v>
      </c>
      <c r="AU364" s="418">
        <f t="shared" si="17"/>
        <v>9</v>
      </c>
      <c r="AV364" s="418">
        <f t="shared" si="18"/>
        <v>2018</v>
      </c>
      <c r="AW364" s="24"/>
      <c r="AX364" s="28"/>
      <c r="AY364" s="28" t="s">
        <v>205</v>
      </c>
      <c r="AZ364" s="132" t="s">
        <v>25</v>
      </c>
      <c r="BA364" s="132"/>
      <c r="BB364" s="24"/>
      <c r="BC364" s="128">
        <v>16</v>
      </c>
      <c r="BD364" s="24">
        <v>43336</v>
      </c>
      <c r="BE364" s="135" t="s">
        <v>1666</v>
      </c>
      <c r="BF364" s="135" t="s">
        <v>1666</v>
      </c>
      <c r="BG364" s="135" t="s">
        <v>52</v>
      </c>
      <c r="BH364" s="135"/>
      <c r="BI364" s="314"/>
      <c r="BJ364" s="314"/>
      <c r="BK364" s="24"/>
      <c r="BL364" s="24"/>
      <c r="BM364" s="24"/>
      <c r="BN364" s="24"/>
      <c r="BO364" s="24"/>
      <c r="BP364" s="24"/>
      <c r="BQ364" s="24"/>
      <c r="BR364" s="43"/>
      <c r="BS364" s="24"/>
      <c r="BT364" s="24"/>
      <c r="BU364" s="24"/>
      <c r="BV364" s="132" t="e">
        <f>IF(#REF!="COMPLETO","OK","PENDIENTES")</f>
        <v>#REF!</v>
      </c>
      <c r="BW364" s="132"/>
      <c r="BX364" s="132"/>
      <c r="BY364" s="132"/>
      <c r="BZ364" s="132"/>
      <c r="CA364" s="132"/>
      <c r="CB364" s="132"/>
      <c r="CC364" s="22"/>
      <c r="CG364" s="24" t="s">
        <v>105</v>
      </c>
      <c r="CH364" s="24"/>
      <c r="CI364" s="24"/>
      <c r="CJ364" s="24"/>
    </row>
    <row r="365" spans="1:88" ht="15" customHeight="1">
      <c r="A365" s="18">
        <v>2018</v>
      </c>
      <c r="B365" s="18" t="str">
        <f>+INDEX(BDD!F:F,MATCH(P365,BDD!D:D,0))&amp;"-"&amp;INDEX(BDD!E:E,MATCH(P365,BDD!D:D,0))</f>
        <v>G-S</v>
      </c>
      <c r="C365" s="360" t="s">
        <v>484</v>
      </c>
      <c r="D365" s="150" t="s">
        <v>77</v>
      </c>
      <c r="E365" s="132"/>
      <c r="F365" s="24"/>
      <c r="G365" s="346">
        <v>8000000249</v>
      </c>
      <c r="H365" s="25" t="s">
        <v>1677</v>
      </c>
      <c r="I365" s="329"/>
      <c r="J365" s="346">
        <v>8000000249</v>
      </c>
      <c r="K365" s="24"/>
      <c r="L365" s="24"/>
      <c r="M365" s="24"/>
      <c r="N365" s="340" t="s">
        <v>486</v>
      </c>
      <c r="O365" s="334">
        <v>207951</v>
      </c>
      <c r="P365" s="25" t="s">
        <v>354</v>
      </c>
      <c r="Q365" s="127" t="s">
        <v>252</v>
      </c>
      <c r="R365" s="128" t="s">
        <v>1663</v>
      </c>
      <c r="S365" s="24">
        <v>43319</v>
      </c>
      <c r="T365" s="36" t="s">
        <v>19</v>
      </c>
      <c r="U365" s="125"/>
      <c r="V365" s="147" t="s">
        <v>1678</v>
      </c>
      <c r="W365" s="129"/>
      <c r="X365" s="88">
        <v>43350</v>
      </c>
      <c r="Y365" s="130" t="s">
        <v>20</v>
      </c>
      <c r="Z365" s="133" t="s">
        <v>60</v>
      </c>
      <c r="AA365" s="133"/>
      <c r="AB365" s="148">
        <v>2000</v>
      </c>
      <c r="AC365" s="134">
        <v>295.5</v>
      </c>
      <c r="AD365" s="134"/>
      <c r="AE365" s="403">
        <f t="shared" si="16"/>
        <v>591000</v>
      </c>
      <c r="AF365" s="132" t="str">
        <f>IF(W365=BDD!$P$1,IMPORTS!AB365/25,IF(W365=BDD!$P$2,IMPORTS!AB365/25,IF(IMPORTS!W365=BDD!$P$4,IMPORTS!AB365/25.5,"--")))</f>
        <v>--</v>
      </c>
      <c r="AG365" s="130" t="s">
        <v>46</v>
      </c>
      <c r="AH365" s="130"/>
      <c r="AI365" s="130" t="s">
        <v>100</v>
      </c>
      <c r="AJ365" s="130"/>
      <c r="AK365" s="130"/>
      <c r="AL365" s="135" t="s">
        <v>1665</v>
      </c>
      <c r="AM365" s="314"/>
      <c r="AN365" s="26"/>
      <c r="AO365" s="26"/>
      <c r="AP365" s="26"/>
      <c r="AQ365" s="26">
        <v>43371</v>
      </c>
      <c r="AR365" s="24"/>
      <c r="AS365" s="24"/>
      <c r="AT365" s="24">
        <v>43373</v>
      </c>
      <c r="AU365" s="418">
        <f t="shared" si="17"/>
        <v>9</v>
      </c>
      <c r="AV365" s="418">
        <f t="shared" si="18"/>
        <v>2018</v>
      </c>
      <c r="AW365" s="24"/>
      <c r="AX365" s="28"/>
      <c r="AY365" s="28" t="s">
        <v>205</v>
      </c>
      <c r="AZ365" s="132" t="s">
        <v>37</v>
      </c>
      <c r="BA365" s="132"/>
      <c r="BB365" s="24"/>
      <c r="BC365" s="132">
        <v>17</v>
      </c>
      <c r="BD365" s="24">
        <v>43336</v>
      </c>
      <c r="BE365" s="135" t="s">
        <v>1666</v>
      </c>
      <c r="BF365" s="135" t="s">
        <v>1666</v>
      </c>
      <c r="BG365" s="135" t="s">
        <v>52</v>
      </c>
      <c r="BH365" s="135"/>
      <c r="BI365" s="314"/>
      <c r="BJ365" s="314"/>
      <c r="BK365" s="24"/>
      <c r="BL365" s="24"/>
      <c r="BM365" s="24"/>
      <c r="BN365" s="24"/>
      <c r="BO365" s="24"/>
      <c r="BP365" s="24"/>
      <c r="BQ365" s="24"/>
      <c r="BR365" s="43"/>
      <c r="BS365" s="24"/>
      <c r="BT365" s="24"/>
      <c r="BU365" s="24"/>
      <c r="BV365" s="132" t="e">
        <f>IF(#REF!="COMPLETO","OK","PENDIENTES")</f>
        <v>#REF!</v>
      </c>
      <c r="BW365" s="132"/>
      <c r="BX365" s="132"/>
      <c r="BY365" s="132"/>
      <c r="BZ365" s="132"/>
      <c r="CA365" s="132"/>
      <c r="CB365" s="132"/>
      <c r="CC365" s="22"/>
      <c r="CG365" s="24" t="s">
        <v>105</v>
      </c>
      <c r="CH365" s="24"/>
      <c r="CI365" s="24"/>
      <c r="CJ365" s="24"/>
    </row>
    <row r="366" spans="1:88" ht="15" customHeight="1">
      <c r="A366" s="18">
        <v>2018</v>
      </c>
      <c r="B366" s="18" t="str">
        <f>+INDEX(BDD!F:F,MATCH(P366,BDD!D:D,0))&amp;"-"&amp;INDEX(BDD!E:E,MATCH(P366,BDD!D:D,0))</f>
        <v>G-S</v>
      </c>
      <c r="C366" s="360" t="s">
        <v>484</v>
      </c>
      <c r="D366" s="150" t="s">
        <v>77</v>
      </c>
      <c r="E366" s="132"/>
      <c r="F366" s="24"/>
      <c r="G366" s="346">
        <v>8000000250</v>
      </c>
      <c r="H366" s="25" t="s">
        <v>1679</v>
      </c>
      <c r="I366" s="329"/>
      <c r="J366" s="346">
        <v>8000000250</v>
      </c>
      <c r="K366" s="24"/>
      <c r="L366" s="24"/>
      <c r="M366" s="24"/>
      <c r="N366" s="340" t="s">
        <v>486</v>
      </c>
      <c r="O366" s="334">
        <v>207951</v>
      </c>
      <c r="P366" s="25" t="s">
        <v>354</v>
      </c>
      <c r="Q366" s="127" t="s">
        <v>252</v>
      </c>
      <c r="R366" s="128" t="s">
        <v>1663</v>
      </c>
      <c r="S366" s="24">
        <v>43319</v>
      </c>
      <c r="T366" s="36" t="s">
        <v>19</v>
      </c>
      <c r="U366" s="125"/>
      <c r="V366" s="147" t="s">
        <v>1680</v>
      </c>
      <c r="W366" s="129"/>
      <c r="X366" s="88">
        <v>43350</v>
      </c>
      <c r="Y366" s="130" t="s">
        <v>20</v>
      </c>
      <c r="Z366" s="133" t="s">
        <v>60</v>
      </c>
      <c r="AA366" s="133"/>
      <c r="AB366" s="148">
        <v>200</v>
      </c>
      <c r="AC366" s="134">
        <v>295.5</v>
      </c>
      <c r="AD366" s="134"/>
      <c r="AE366" s="403">
        <f t="shared" si="16"/>
        <v>59100</v>
      </c>
      <c r="AF366" s="132" t="str">
        <f>IF(W366=BDD!$P$1,IMPORTS!AB366/25,IF(W366=BDD!$P$2,IMPORTS!AB366/25,IF(IMPORTS!W366=BDD!$P$4,IMPORTS!AB366/25.5,"--")))</f>
        <v>--</v>
      </c>
      <c r="AG366" s="130" t="s">
        <v>46</v>
      </c>
      <c r="AH366" s="130"/>
      <c r="AI366" s="130" t="s">
        <v>100</v>
      </c>
      <c r="AJ366" s="130"/>
      <c r="AK366" s="130"/>
      <c r="AL366" s="135" t="s">
        <v>1665</v>
      </c>
      <c r="AM366" s="314"/>
      <c r="AN366" s="26"/>
      <c r="AO366" s="26"/>
      <c r="AP366" s="26"/>
      <c r="AQ366" s="26">
        <v>43373</v>
      </c>
      <c r="AR366" s="24"/>
      <c r="AS366" s="24"/>
      <c r="AT366" s="24">
        <v>43374</v>
      </c>
      <c r="AU366" s="418">
        <f t="shared" si="17"/>
        <v>10</v>
      </c>
      <c r="AV366" s="418">
        <f t="shared" si="18"/>
        <v>2018</v>
      </c>
      <c r="AW366" s="24"/>
      <c r="AX366" s="28"/>
      <c r="AY366" s="28" t="s">
        <v>205</v>
      </c>
      <c r="AZ366" s="132" t="s">
        <v>50</v>
      </c>
      <c r="BA366" s="132"/>
      <c r="BB366" s="24"/>
      <c r="BC366" s="132">
        <v>18</v>
      </c>
      <c r="BD366" s="24">
        <v>43336</v>
      </c>
      <c r="BE366" s="135" t="s">
        <v>1666</v>
      </c>
      <c r="BF366" s="135" t="s">
        <v>1666</v>
      </c>
      <c r="BG366" s="135" t="s">
        <v>52</v>
      </c>
      <c r="BH366" s="135"/>
      <c r="BI366" s="314"/>
      <c r="BJ366" s="314"/>
      <c r="BK366" s="24"/>
      <c r="BL366" s="24"/>
      <c r="BM366" s="24"/>
      <c r="BN366" s="24"/>
      <c r="BO366" s="24"/>
      <c r="BP366" s="24"/>
      <c r="BQ366" s="24"/>
      <c r="BR366" s="43"/>
      <c r="BS366" s="24"/>
      <c r="BT366" s="24"/>
      <c r="BU366" s="24"/>
      <c r="BV366" s="132" t="e">
        <f>IF(#REF!="COMPLETO","OK","PENDIENTES")</f>
        <v>#REF!</v>
      </c>
      <c r="BW366" s="132"/>
      <c r="BX366" s="132"/>
      <c r="BY366" s="132"/>
      <c r="BZ366" s="132"/>
      <c r="CA366" s="132"/>
      <c r="CB366" s="132"/>
      <c r="CC366" s="22"/>
      <c r="CG366" s="24" t="s">
        <v>105</v>
      </c>
      <c r="CH366" s="24"/>
      <c r="CI366" s="24"/>
      <c r="CJ366" s="24"/>
    </row>
    <row r="367" spans="1:88" ht="15" customHeight="1">
      <c r="A367" s="18">
        <v>2018</v>
      </c>
      <c r="B367" s="18" t="str">
        <f>+INDEX(BDD!F:F,MATCH(P367,BDD!D:D,0))&amp;"-"&amp;INDEX(BDD!E:E,MATCH(P367,BDD!D:D,0))</f>
        <v>G-S</v>
      </c>
      <c r="C367" s="360" t="s">
        <v>484</v>
      </c>
      <c r="D367" s="150" t="s">
        <v>77</v>
      </c>
      <c r="E367" s="132"/>
      <c r="F367" s="24"/>
      <c r="G367" s="346">
        <v>8000000256</v>
      </c>
      <c r="H367" s="25" t="s">
        <v>1681</v>
      </c>
      <c r="I367" s="329"/>
      <c r="J367" s="346">
        <v>8000000256</v>
      </c>
      <c r="K367" s="24"/>
      <c r="L367" s="24"/>
      <c r="M367" s="24"/>
      <c r="N367" s="340" t="s">
        <v>486</v>
      </c>
      <c r="O367" s="334">
        <v>207951</v>
      </c>
      <c r="P367" s="25" t="s">
        <v>354</v>
      </c>
      <c r="Q367" s="127" t="s">
        <v>252</v>
      </c>
      <c r="R367" s="128" t="s">
        <v>1663</v>
      </c>
      <c r="S367" s="24">
        <v>43319</v>
      </c>
      <c r="T367" s="36" t="s">
        <v>19</v>
      </c>
      <c r="U367" s="125"/>
      <c r="V367" s="147" t="s">
        <v>1682</v>
      </c>
      <c r="W367" s="129"/>
      <c r="X367" s="88">
        <v>43353</v>
      </c>
      <c r="Y367" s="130" t="s">
        <v>20</v>
      </c>
      <c r="Z367" s="133" t="s">
        <v>60</v>
      </c>
      <c r="AA367" s="133"/>
      <c r="AB367" s="148">
        <v>885</v>
      </c>
      <c r="AC367" s="134">
        <v>295.5</v>
      </c>
      <c r="AD367" s="134"/>
      <c r="AE367" s="403">
        <f t="shared" si="16"/>
        <v>261517.5</v>
      </c>
      <c r="AF367" s="132" t="str">
        <f>IF(W367=BDD!$P$1,IMPORTS!AB367/25,IF(W367=BDD!$P$2,IMPORTS!AB367/25,IF(IMPORTS!W367=BDD!$P$4,IMPORTS!AB367/25.5,"--")))</f>
        <v>--</v>
      </c>
      <c r="AG367" s="130" t="s">
        <v>46</v>
      </c>
      <c r="AH367" s="130"/>
      <c r="AI367" s="130" t="s">
        <v>100</v>
      </c>
      <c r="AJ367" s="130"/>
      <c r="AK367" s="130"/>
      <c r="AL367" s="135" t="s">
        <v>1665</v>
      </c>
      <c r="AM367" s="314"/>
      <c r="AN367" s="26"/>
      <c r="AO367" s="26"/>
      <c r="AP367" s="26"/>
      <c r="AQ367" s="26">
        <v>43375</v>
      </c>
      <c r="AR367" s="24"/>
      <c r="AS367" s="24"/>
      <c r="AT367" s="24">
        <v>43378</v>
      </c>
      <c r="AU367" s="418">
        <f t="shared" si="17"/>
        <v>10</v>
      </c>
      <c r="AV367" s="418">
        <f t="shared" si="18"/>
        <v>2018</v>
      </c>
      <c r="AW367" s="24"/>
      <c r="AX367" s="28"/>
      <c r="AY367" s="28" t="s">
        <v>205</v>
      </c>
      <c r="AZ367" s="132" t="s">
        <v>62</v>
      </c>
      <c r="BA367" s="132"/>
      <c r="BB367" s="24"/>
      <c r="BC367" s="135">
        <v>19</v>
      </c>
      <c r="BD367" s="24">
        <v>43336</v>
      </c>
      <c r="BE367" s="135" t="s">
        <v>1666</v>
      </c>
      <c r="BF367" s="135" t="s">
        <v>1666</v>
      </c>
      <c r="BG367" s="135" t="s">
        <v>52</v>
      </c>
      <c r="BH367" s="135"/>
      <c r="BI367" s="314"/>
      <c r="BJ367" s="314"/>
      <c r="BK367" s="24"/>
      <c r="BL367" s="24"/>
      <c r="BM367" s="24"/>
      <c r="BN367" s="24"/>
      <c r="BO367" s="24"/>
      <c r="BP367" s="24"/>
      <c r="BQ367" s="24"/>
      <c r="BR367" s="43"/>
      <c r="BS367" s="24"/>
      <c r="BT367" s="24"/>
      <c r="BU367" s="24"/>
      <c r="BV367" s="132" t="e">
        <f>IF(#REF!="COMPLETO","OK","PENDIENTES")</f>
        <v>#REF!</v>
      </c>
      <c r="BW367" s="132"/>
      <c r="BX367" s="132"/>
      <c r="BY367" s="132"/>
      <c r="BZ367" s="132"/>
      <c r="CA367" s="132"/>
      <c r="CB367" s="132"/>
      <c r="CC367" s="22"/>
      <c r="CG367" s="24" t="s">
        <v>105</v>
      </c>
      <c r="CH367" s="24"/>
      <c r="CI367" s="24"/>
      <c r="CJ367" s="24"/>
    </row>
    <row r="368" spans="1:88" ht="15" customHeight="1">
      <c r="A368" s="18">
        <v>2018</v>
      </c>
      <c r="B368" s="18" t="str">
        <f>+INDEX(BDD!F:F,MATCH(P368,BDD!D:D,0))&amp;"-"&amp;INDEX(BDD!E:E,MATCH(P368,BDD!D:D,0))</f>
        <v>S-P</v>
      </c>
      <c r="C368" s="360" t="s">
        <v>484</v>
      </c>
      <c r="D368" s="150" t="s">
        <v>77</v>
      </c>
      <c r="E368" s="132"/>
      <c r="F368" s="24"/>
      <c r="G368" s="346">
        <v>8000000185</v>
      </c>
      <c r="H368" s="25" t="s">
        <v>1683</v>
      </c>
      <c r="I368" s="329"/>
      <c r="J368" s="346">
        <v>8000000185</v>
      </c>
      <c r="K368" s="24"/>
      <c r="L368" s="24"/>
      <c r="M368" s="24"/>
      <c r="N368" s="340" t="s">
        <v>486</v>
      </c>
      <c r="O368" s="334">
        <v>208510</v>
      </c>
      <c r="P368" s="25" t="s">
        <v>2</v>
      </c>
      <c r="Q368" s="127" t="s">
        <v>306</v>
      </c>
      <c r="R368" s="128" t="s">
        <v>1684</v>
      </c>
      <c r="S368" s="24">
        <v>43328</v>
      </c>
      <c r="T368" s="36">
        <v>90</v>
      </c>
      <c r="U368" s="125" t="s">
        <v>118</v>
      </c>
      <c r="V368" s="147" t="s">
        <v>1685</v>
      </c>
      <c r="W368" s="129"/>
      <c r="X368" s="88">
        <v>43503</v>
      </c>
      <c r="Y368" s="130" t="s">
        <v>20</v>
      </c>
      <c r="Z368" s="133" t="s">
        <v>60</v>
      </c>
      <c r="AA368" s="133"/>
      <c r="AB368" s="148">
        <v>505.4</v>
      </c>
      <c r="AC368" s="134">
        <v>860</v>
      </c>
      <c r="AD368" s="134"/>
      <c r="AE368" s="403">
        <f t="shared" si="16"/>
        <v>434644</v>
      </c>
      <c r="AF368" s="132">
        <v>19</v>
      </c>
      <c r="AG368" s="130" t="s">
        <v>5</v>
      </c>
      <c r="AH368" s="130"/>
      <c r="AI368" s="130" t="s">
        <v>80</v>
      </c>
      <c r="AJ368" s="130"/>
      <c r="AK368" s="130"/>
      <c r="AL368" s="135" t="s">
        <v>1686</v>
      </c>
      <c r="AM368" s="314"/>
      <c r="AN368" s="26"/>
      <c r="AO368" s="26"/>
      <c r="AP368" s="26"/>
      <c r="AQ368" s="26">
        <v>43400</v>
      </c>
      <c r="AR368" s="24"/>
      <c r="AS368" s="24"/>
      <c r="AT368" s="24">
        <v>43406</v>
      </c>
      <c r="AU368" s="418">
        <f t="shared" si="17"/>
        <v>11</v>
      </c>
      <c r="AV368" s="418">
        <f t="shared" si="18"/>
        <v>2018</v>
      </c>
      <c r="AW368" s="24"/>
      <c r="AX368" s="28"/>
      <c r="AY368" s="28" t="s">
        <v>149</v>
      </c>
      <c r="AZ368" s="132" t="s">
        <v>37</v>
      </c>
      <c r="BA368" s="132"/>
      <c r="BB368" s="24"/>
      <c r="BC368" s="135" t="s">
        <v>1687</v>
      </c>
      <c r="BD368" s="26">
        <v>43363</v>
      </c>
      <c r="BE368" s="135" t="s">
        <v>861</v>
      </c>
      <c r="BF368" s="135" t="s">
        <v>1440</v>
      </c>
      <c r="BG368" s="135" t="s">
        <v>29</v>
      </c>
      <c r="BH368" s="135"/>
      <c r="BI368" s="314"/>
      <c r="BJ368" s="314"/>
      <c r="BK368" s="24"/>
      <c r="BL368" s="24"/>
      <c r="BM368" s="24"/>
      <c r="BN368" s="24"/>
      <c r="BO368" s="24"/>
      <c r="BP368" s="24"/>
      <c r="BQ368" s="24"/>
      <c r="BR368" s="43"/>
      <c r="BS368" s="24"/>
      <c r="BT368" s="24"/>
      <c r="BU368" s="24"/>
      <c r="BV368" s="132" t="e">
        <f>IF(#REF!="COMPLETO","OK","PENDIENTES")</f>
        <v>#REF!</v>
      </c>
      <c r="BW368" s="132"/>
      <c r="BX368" s="132"/>
      <c r="BY368" s="132"/>
      <c r="BZ368" s="132"/>
      <c r="CA368" s="132"/>
      <c r="CB368" s="132"/>
      <c r="CC368" s="22"/>
      <c r="CG368" s="24" t="s">
        <v>105</v>
      </c>
      <c r="CH368" s="24"/>
      <c r="CI368" s="24"/>
      <c r="CJ368" s="24"/>
    </row>
    <row r="369" spans="1:88" ht="15" customHeight="1">
      <c r="A369" s="18">
        <v>2018</v>
      </c>
      <c r="B369" s="18" t="str">
        <f>+INDEX(BDD!F:F,MATCH(P369,BDD!D:D,0))&amp;"-"&amp;INDEX(BDD!E:E,MATCH(P369,BDD!D:D,0))</f>
        <v>S-P</v>
      </c>
      <c r="C369" s="360" t="s">
        <v>484</v>
      </c>
      <c r="D369" s="150" t="s">
        <v>77</v>
      </c>
      <c r="E369" s="132"/>
      <c r="F369" s="24"/>
      <c r="G369" s="346">
        <v>8000000186</v>
      </c>
      <c r="H369" s="25" t="s">
        <v>1688</v>
      </c>
      <c r="I369" s="329"/>
      <c r="J369" s="346">
        <v>8000000186</v>
      </c>
      <c r="K369" s="24"/>
      <c r="L369" s="24"/>
      <c r="M369" s="24"/>
      <c r="N369" s="340" t="s">
        <v>486</v>
      </c>
      <c r="O369" s="334">
        <v>208510</v>
      </c>
      <c r="P369" s="25" t="s">
        <v>2</v>
      </c>
      <c r="Q369" s="127" t="s">
        <v>306</v>
      </c>
      <c r="R369" s="128" t="s">
        <v>1689</v>
      </c>
      <c r="S369" s="24">
        <v>43328</v>
      </c>
      <c r="T369" s="36">
        <v>90</v>
      </c>
      <c r="U369" s="125" t="s">
        <v>118</v>
      </c>
      <c r="V369" s="147" t="s">
        <v>1690</v>
      </c>
      <c r="W369" s="129"/>
      <c r="X369" s="88">
        <v>43496</v>
      </c>
      <c r="Y369" s="130" t="s">
        <v>20</v>
      </c>
      <c r="Z369" s="133" t="s">
        <v>60</v>
      </c>
      <c r="AA369" s="133"/>
      <c r="AB369" s="148">
        <v>505.4</v>
      </c>
      <c r="AC369" s="134">
        <v>865</v>
      </c>
      <c r="AD369" s="134"/>
      <c r="AE369" s="403">
        <f t="shared" si="16"/>
        <v>437171</v>
      </c>
      <c r="AF369" s="132">
        <v>19</v>
      </c>
      <c r="AG369" s="130" t="s">
        <v>5</v>
      </c>
      <c r="AH369" s="130"/>
      <c r="AI369" s="130" t="s">
        <v>80</v>
      </c>
      <c r="AJ369" s="130"/>
      <c r="AK369" s="130"/>
      <c r="AL369" s="135" t="s">
        <v>1686</v>
      </c>
      <c r="AM369" s="314"/>
      <c r="AN369" s="26"/>
      <c r="AO369" s="26"/>
      <c r="AP369" s="26"/>
      <c r="AQ369" s="26">
        <v>43416</v>
      </c>
      <c r="AR369" s="24"/>
      <c r="AS369" s="24"/>
      <c r="AT369" s="24">
        <v>43418</v>
      </c>
      <c r="AU369" s="418">
        <f t="shared" si="17"/>
        <v>11</v>
      </c>
      <c r="AV369" s="418">
        <f t="shared" si="18"/>
        <v>2018</v>
      </c>
      <c r="AW369" s="24"/>
      <c r="AX369" s="28"/>
      <c r="AY369" s="28" t="s">
        <v>149</v>
      </c>
      <c r="AZ369" s="132" t="s">
        <v>9</v>
      </c>
      <c r="BA369" s="132"/>
      <c r="BB369" s="24"/>
      <c r="BC369" s="135" t="s">
        <v>1691</v>
      </c>
      <c r="BD369" s="26">
        <v>43361</v>
      </c>
      <c r="BE369" s="135" t="s">
        <v>1522</v>
      </c>
      <c r="BF369" s="135" t="s">
        <v>932</v>
      </c>
      <c r="BG369" s="135" t="s">
        <v>29</v>
      </c>
      <c r="BH369" s="135"/>
      <c r="BI369" s="314"/>
      <c r="BJ369" s="314"/>
      <c r="BK369" s="24"/>
      <c r="BL369" s="24"/>
      <c r="BM369" s="24"/>
      <c r="BN369" s="24"/>
      <c r="BO369" s="24">
        <f>+AQ369+14</f>
        <v>43430</v>
      </c>
      <c r="BP369" s="24"/>
      <c r="BQ369" s="24"/>
      <c r="BR369" s="43"/>
      <c r="BS369" s="24"/>
      <c r="BT369" s="24"/>
      <c r="BU369" s="24"/>
      <c r="BV369" s="132" t="e">
        <f>IF(#REF!="COMPLETO","OK","PENDIENTES")</f>
        <v>#REF!</v>
      </c>
      <c r="BW369" s="132"/>
      <c r="BX369" s="132"/>
      <c r="BY369" s="132"/>
      <c r="BZ369" s="132"/>
      <c r="CA369" s="132"/>
      <c r="CB369" s="132"/>
      <c r="CC369" s="22"/>
      <c r="CG369" s="24" t="s">
        <v>105</v>
      </c>
      <c r="CH369" s="24"/>
      <c r="CI369" s="24"/>
      <c r="CJ369" s="24"/>
    </row>
    <row r="370" spans="1:88" ht="15" customHeight="1">
      <c r="A370" s="18">
        <v>2018</v>
      </c>
      <c r="B370" s="18" t="str">
        <f>+INDEX(BDD!F:F,MATCH(P370,BDD!D:D,0))&amp;"-"&amp;INDEX(BDD!E:E,MATCH(P370,BDD!D:D,0))</f>
        <v>S-P</v>
      </c>
      <c r="C370" s="360" t="s">
        <v>484</v>
      </c>
      <c r="D370" s="150" t="s">
        <v>77</v>
      </c>
      <c r="E370" s="132"/>
      <c r="F370" s="24"/>
      <c r="G370" s="346">
        <v>8000000187</v>
      </c>
      <c r="H370" s="25" t="s">
        <v>1692</v>
      </c>
      <c r="I370" s="329"/>
      <c r="J370" s="346">
        <v>8000000187</v>
      </c>
      <c r="K370" s="24"/>
      <c r="L370" s="24"/>
      <c r="M370" s="24"/>
      <c r="N370" s="340" t="s">
        <v>486</v>
      </c>
      <c r="O370" s="334">
        <v>206766</v>
      </c>
      <c r="P370" s="25" t="s">
        <v>2</v>
      </c>
      <c r="Q370" s="127" t="s">
        <v>306</v>
      </c>
      <c r="R370" s="128" t="s">
        <v>1693</v>
      </c>
      <c r="S370" s="24">
        <v>43327</v>
      </c>
      <c r="T370" s="36">
        <v>90</v>
      </c>
      <c r="U370" s="125" t="s">
        <v>118</v>
      </c>
      <c r="V370" s="147" t="s">
        <v>1694</v>
      </c>
      <c r="W370" s="129"/>
      <c r="X370" s="88">
        <v>43525</v>
      </c>
      <c r="Y370" s="130" t="s">
        <v>20</v>
      </c>
      <c r="Z370" s="133" t="s">
        <v>60</v>
      </c>
      <c r="AA370" s="133"/>
      <c r="AB370" s="148">
        <v>96</v>
      </c>
      <c r="AC370" s="134">
        <v>877</v>
      </c>
      <c r="AD370" s="134"/>
      <c r="AE370" s="403">
        <f t="shared" si="16"/>
        <v>84192</v>
      </c>
      <c r="AF370" s="132">
        <v>4</v>
      </c>
      <c r="AG370" s="130" t="s">
        <v>5</v>
      </c>
      <c r="AH370" s="130"/>
      <c r="AI370" s="130" t="s">
        <v>86</v>
      </c>
      <c r="AJ370" s="130"/>
      <c r="AK370" s="130"/>
      <c r="AL370" s="135" t="s">
        <v>1686</v>
      </c>
      <c r="AM370" s="314"/>
      <c r="AN370" s="26"/>
      <c r="AO370" s="26"/>
      <c r="AP370" s="26"/>
      <c r="AQ370" s="26">
        <v>43406</v>
      </c>
      <c r="AR370" s="24"/>
      <c r="AS370" s="24"/>
      <c r="AT370" s="24">
        <v>43407</v>
      </c>
      <c r="AU370" s="418">
        <f t="shared" si="17"/>
        <v>11</v>
      </c>
      <c r="AV370" s="418">
        <f t="shared" si="18"/>
        <v>2018</v>
      </c>
      <c r="AW370" s="24"/>
      <c r="AX370" s="28"/>
      <c r="AY370" s="28" t="s">
        <v>302</v>
      </c>
      <c r="AZ370" s="132" t="s">
        <v>37</v>
      </c>
      <c r="BA370" s="132"/>
      <c r="BB370" s="24"/>
      <c r="BC370" s="135" t="s">
        <v>1695</v>
      </c>
      <c r="BD370" s="24">
        <v>43379</v>
      </c>
      <c r="BE370" s="135" t="s">
        <v>755</v>
      </c>
      <c r="BF370" s="135" t="s">
        <v>885</v>
      </c>
      <c r="BG370" s="135" t="s">
        <v>41</v>
      </c>
      <c r="BH370" s="135"/>
      <c r="BI370" s="314"/>
      <c r="BJ370" s="314"/>
      <c r="BK370" s="26"/>
      <c r="BL370" s="26"/>
      <c r="BM370" s="26"/>
      <c r="BN370" s="26"/>
      <c r="BO370" s="24"/>
      <c r="BP370" s="24"/>
      <c r="BQ370" s="24"/>
      <c r="BR370" s="43"/>
      <c r="BS370" s="24"/>
      <c r="BT370" s="24"/>
      <c r="BU370" s="24"/>
      <c r="BV370" s="132" t="e">
        <f>IF(#REF!="COMPLETO","OK","PENDIENTES")</f>
        <v>#REF!</v>
      </c>
      <c r="BW370" s="132"/>
      <c r="BX370" s="132"/>
      <c r="BY370" s="132"/>
      <c r="BZ370" s="132"/>
      <c r="CA370" s="132"/>
      <c r="CB370" s="132"/>
      <c r="CC370" s="22"/>
      <c r="CG370" s="24" t="s">
        <v>105</v>
      </c>
      <c r="CH370" s="24"/>
      <c r="CI370" s="24"/>
      <c r="CJ370" s="24"/>
    </row>
    <row r="371" spans="1:88" ht="14.25" customHeight="1">
      <c r="A371" s="18">
        <v>2018</v>
      </c>
      <c r="B371" s="18" t="str">
        <f>+INDEX(BDD!F:F,MATCH(P371,BDD!D:D,0))&amp;"-"&amp;INDEX(BDD!E:E,MATCH(P371,BDD!D:D,0))</f>
        <v>S-P</v>
      </c>
      <c r="C371" s="360" t="s">
        <v>484</v>
      </c>
      <c r="D371" s="150" t="s">
        <v>77</v>
      </c>
      <c r="E371" s="132"/>
      <c r="F371" s="24"/>
      <c r="G371" s="346">
        <v>8000000188</v>
      </c>
      <c r="H371" s="25" t="s">
        <v>1696</v>
      </c>
      <c r="I371" s="329"/>
      <c r="J371" s="346">
        <v>8000000188</v>
      </c>
      <c r="K371" s="24"/>
      <c r="L371" s="24"/>
      <c r="M371" s="24"/>
      <c r="N371" s="340" t="s">
        <v>486</v>
      </c>
      <c r="O371" s="334">
        <v>206766</v>
      </c>
      <c r="P371" s="25" t="s">
        <v>2</v>
      </c>
      <c r="Q371" s="127" t="s">
        <v>306</v>
      </c>
      <c r="R371" s="128" t="s">
        <v>1697</v>
      </c>
      <c r="S371" s="24">
        <v>43327</v>
      </c>
      <c r="T371" s="36">
        <v>90</v>
      </c>
      <c r="U371" s="125" t="s">
        <v>118</v>
      </c>
      <c r="V371" s="147" t="s">
        <v>1698</v>
      </c>
      <c r="W371" s="129"/>
      <c r="X371" s="88">
        <v>43525</v>
      </c>
      <c r="Y371" s="130" t="s">
        <v>20</v>
      </c>
      <c r="Z371" s="133" t="s">
        <v>60</v>
      </c>
      <c r="AA371" s="133"/>
      <c r="AB371" s="148">
        <v>120</v>
      </c>
      <c r="AC371" s="134">
        <v>887</v>
      </c>
      <c r="AD371" s="134"/>
      <c r="AE371" s="403">
        <f t="shared" si="16"/>
        <v>106440</v>
      </c>
      <c r="AF371" s="132">
        <v>5</v>
      </c>
      <c r="AG371" s="130" t="s">
        <v>5</v>
      </c>
      <c r="AH371" s="130"/>
      <c r="AI371" s="130" t="s">
        <v>86</v>
      </c>
      <c r="AJ371" s="130"/>
      <c r="AK371" s="130"/>
      <c r="AL371" s="135" t="s">
        <v>1686</v>
      </c>
      <c r="AM371" s="314"/>
      <c r="AN371" s="26"/>
      <c r="AO371" s="26"/>
      <c r="AP371" s="26"/>
      <c r="AQ371" s="26">
        <v>43402</v>
      </c>
      <c r="AR371" s="24"/>
      <c r="AS371" s="24"/>
      <c r="AT371" s="24">
        <v>43406</v>
      </c>
      <c r="AU371" s="418">
        <f t="shared" si="17"/>
        <v>11</v>
      </c>
      <c r="AV371" s="418">
        <f t="shared" si="18"/>
        <v>2018</v>
      </c>
      <c r="AW371" s="24"/>
      <c r="AX371" s="28"/>
      <c r="AY371" s="28" t="s">
        <v>302</v>
      </c>
      <c r="AZ371" s="132" t="s">
        <v>9</v>
      </c>
      <c r="BA371" s="132"/>
      <c r="BB371" s="24"/>
      <c r="BC371" s="135" t="s">
        <v>1699</v>
      </c>
      <c r="BD371" s="24">
        <v>43379</v>
      </c>
      <c r="BE371" s="135" t="s">
        <v>755</v>
      </c>
      <c r="BF371" s="135" t="s">
        <v>932</v>
      </c>
      <c r="BG371" s="135" t="s">
        <v>41</v>
      </c>
      <c r="BH371" s="135"/>
      <c r="BI371" s="314"/>
      <c r="BJ371" s="314"/>
      <c r="BK371" s="26"/>
      <c r="BL371" s="26"/>
      <c r="BM371" s="26"/>
      <c r="BN371" s="26"/>
      <c r="BO371" s="24">
        <v>43422</v>
      </c>
      <c r="BP371" s="24"/>
      <c r="BQ371" s="24"/>
      <c r="BR371" s="43"/>
      <c r="BS371" s="24"/>
      <c r="BT371" s="24"/>
      <c r="BU371" s="24"/>
      <c r="BV371" s="132" t="e">
        <f>IF(#REF!="COMPLETO","OK","PENDIENTES")</f>
        <v>#REF!</v>
      </c>
      <c r="BW371" s="132"/>
      <c r="BX371" s="132"/>
      <c r="BY371" s="132"/>
      <c r="BZ371" s="132"/>
      <c r="CA371" s="132"/>
      <c r="CB371" s="132"/>
      <c r="CC371" s="22"/>
      <c r="CG371" s="24" t="s">
        <v>105</v>
      </c>
      <c r="CH371" s="24"/>
      <c r="CI371" s="24"/>
      <c r="CJ371" s="24"/>
    </row>
    <row r="372" spans="1:88" ht="15.75" customHeight="1">
      <c r="A372" s="18">
        <v>2018</v>
      </c>
      <c r="B372" s="18" t="str">
        <f>+INDEX(BDD!F:F,MATCH(P372,BDD!D:D,0))&amp;"-"&amp;INDEX(BDD!E:E,MATCH(P372,BDD!D:D,0))</f>
        <v>S-C</v>
      </c>
      <c r="C372" s="360" t="s">
        <v>484</v>
      </c>
      <c r="D372" s="150" t="s">
        <v>77</v>
      </c>
      <c r="E372" s="132"/>
      <c r="F372" s="24"/>
      <c r="G372" s="346">
        <v>8000000189</v>
      </c>
      <c r="H372" s="25" t="s">
        <v>1700</v>
      </c>
      <c r="I372" s="329"/>
      <c r="J372" s="346">
        <v>8000000189</v>
      </c>
      <c r="K372" s="24"/>
      <c r="L372" s="24"/>
      <c r="M372" s="24"/>
      <c r="N372" s="340" t="s">
        <v>486</v>
      </c>
      <c r="O372" s="334">
        <v>207580</v>
      </c>
      <c r="P372" s="25" t="s">
        <v>241</v>
      </c>
      <c r="Q372" s="127" t="s">
        <v>213</v>
      </c>
      <c r="R372" s="128" t="s">
        <v>1701</v>
      </c>
      <c r="S372" s="24">
        <v>43343</v>
      </c>
      <c r="T372" s="36" t="s">
        <v>19</v>
      </c>
      <c r="U372" s="125"/>
      <c r="V372" s="147" t="s">
        <v>1702</v>
      </c>
      <c r="W372" s="129"/>
      <c r="X372" s="88">
        <v>43426</v>
      </c>
      <c r="Y372" s="130" t="s">
        <v>20</v>
      </c>
      <c r="Z372" s="133" t="s">
        <v>72</v>
      </c>
      <c r="AA372" s="133"/>
      <c r="AB372" s="148">
        <v>540</v>
      </c>
      <c r="AC372" s="134">
        <v>776</v>
      </c>
      <c r="AD372" s="134"/>
      <c r="AE372" s="403">
        <f t="shared" si="16"/>
        <v>419040</v>
      </c>
      <c r="AF372" s="132">
        <v>20</v>
      </c>
      <c r="AG372" s="130" t="s">
        <v>5</v>
      </c>
      <c r="AH372" s="130"/>
      <c r="AI372" s="130" t="s">
        <v>34</v>
      </c>
      <c r="AJ372" s="130"/>
      <c r="AK372" s="130"/>
      <c r="AL372" s="135" t="s">
        <v>1703</v>
      </c>
      <c r="AM372" s="314"/>
      <c r="AN372" s="26"/>
      <c r="AO372" s="26"/>
      <c r="AP372" s="26"/>
      <c r="AQ372" s="26">
        <v>43451</v>
      </c>
      <c r="AR372" s="24"/>
      <c r="AS372" s="24"/>
      <c r="AT372" s="24">
        <v>43454</v>
      </c>
      <c r="AU372" s="418">
        <f t="shared" si="17"/>
        <v>12</v>
      </c>
      <c r="AV372" s="418">
        <f t="shared" si="18"/>
        <v>2018</v>
      </c>
      <c r="AW372" s="24"/>
      <c r="AX372" s="28"/>
      <c r="AY372" s="28" t="s">
        <v>218</v>
      </c>
      <c r="AZ372" s="132" t="s">
        <v>37</v>
      </c>
      <c r="BA372" s="132"/>
      <c r="BB372" s="24"/>
      <c r="BC372" s="135" t="s">
        <v>1704</v>
      </c>
      <c r="BD372" s="24">
        <v>43411</v>
      </c>
      <c r="BE372" s="135" t="s">
        <v>1214</v>
      </c>
      <c r="BF372" s="135" t="s">
        <v>1705</v>
      </c>
      <c r="BG372" s="135" t="s">
        <v>65</v>
      </c>
      <c r="BH372" s="135"/>
      <c r="BI372" s="314"/>
      <c r="BJ372" s="314"/>
      <c r="BK372" s="24"/>
      <c r="BL372" s="24"/>
      <c r="BM372" s="24"/>
      <c r="BN372" s="24"/>
      <c r="BO372" s="24">
        <f>+AQ372+14</f>
        <v>43465</v>
      </c>
      <c r="BP372" s="24"/>
      <c r="BQ372" s="24"/>
      <c r="BR372" s="43"/>
      <c r="BS372" s="24"/>
      <c r="BT372" s="24"/>
      <c r="BU372" s="24"/>
      <c r="BV372" s="132" t="e">
        <f>IF(#REF!="COMPLETO","OK","PENDIENTES")</f>
        <v>#REF!</v>
      </c>
      <c r="BW372" s="132"/>
      <c r="BX372" s="132"/>
      <c r="BY372" s="132"/>
      <c r="BZ372" s="132"/>
      <c r="CA372" s="132"/>
      <c r="CB372" s="132"/>
      <c r="CC372" s="22"/>
      <c r="CG372" s="24" t="s">
        <v>105</v>
      </c>
      <c r="CH372" s="24"/>
      <c r="CI372" s="24"/>
      <c r="CJ372" s="24"/>
    </row>
    <row r="373" spans="1:88" ht="15" customHeight="1">
      <c r="A373" s="18">
        <v>2018</v>
      </c>
      <c r="B373" s="18" t="str">
        <f>+INDEX(BDD!F:F,MATCH(P373,BDD!D:D,0))&amp;"-"&amp;INDEX(BDD!E:E,MATCH(P373,BDD!D:D,0))</f>
        <v>S-C</v>
      </c>
      <c r="C373" s="360" t="s">
        <v>484</v>
      </c>
      <c r="D373" s="150" t="s">
        <v>77</v>
      </c>
      <c r="E373" s="132"/>
      <c r="F373" s="24"/>
      <c r="G373" s="346">
        <v>8000000190</v>
      </c>
      <c r="H373" s="25" t="s">
        <v>1706</v>
      </c>
      <c r="I373" s="329"/>
      <c r="J373" s="346">
        <v>8000000190</v>
      </c>
      <c r="K373" s="24"/>
      <c r="L373" s="24"/>
      <c r="M373" s="24"/>
      <c r="N373" s="340" t="s">
        <v>486</v>
      </c>
      <c r="O373" s="334">
        <v>207580</v>
      </c>
      <c r="P373" s="25" t="s">
        <v>241</v>
      </c>
      <c r="Q373" s="127" t="s">
        <v>213</v>
      </c>
      <c r="R373" s="128" t="s">
        <v>1701</v>
      </c>
      <c r="S373" s="24">
        <v>43343</v>
      </c>
      <c r="T373" s="36" t="s">
        <v>19</v>
      </c>
      <c r="U373" s="125"/>
      <c r="V373" s="147" t="s">
        <v>1707</v>
      </c>
      <c r="W373" s="129"/>
      <c r="X373" s="88">
        <v>43438</v>
      </c>
      <c r="Y373" s="130" t="s">
        <v>20</v>
      </c>
      <c r="Z373" s="133" t="s">
        <v>72</v>
      </c>
      <c r="AA373" s="133"/>
      <c r="AB373" s="148">
        <v>540</v>
      </c>
      <c r="AC373" s="134">
        <v>786</v>
      </c>
      <c r="AD373" s="134"/>
      <c r="AE373" s="403">
        <f t="shared" si="16"/>
        <v>424440</v>
      </c>
      <c r="AF373" s="132">
        <v>20</v>
      </c>
      <c r="AG373" s="130" t="s">
        <v>5</v>
      </c>
      <c r="AH373" s="130"/>
      <c r="AI373" s="130" t="s">
        <v>34</v>
      </c>
      <c r="AJ373" s="130"/>
      <c r="AK373" s="130"/>
      <c r="AL373" s="135" t="s">
        <v>1703</v>
      </c>
      <c r="AM373" s="314"/>
      <c r="AN373" s="26"/>
      <c r="AO373" s="26"/>
      <c r="AP373" s="26"/>
      <c r="AQ373" s="26">
        <v>43468</v>
      </c>
      <c r="AR373" s="24"/>
      <c r="AS373" s="24"/>
      <c r="AT373" s="24">
        <v>43472</v>
      </c>
      <c r="AU373" s="418">
        <f t="shared" si="17"/>
        <v>1</v>
      </c>
      <c r="AV373" s="418">
        <f t="shared" si="18"/>
        <v>2019</v>
      </c>
      <c r="AW373" s="24"/>
      <c r="AX373" s="28"/>
      <c r="AY373" s="28" t="s">
        <v>218</v>
      </c>
      <c r="AZ373" s="132" t="s">
        <v>9</v>
      </c>
      <c r="BA373" s="132"/>
      <c r="BB373" s="24"/>
      <c r="BC373" s="135" t="s">
        <v>1708</v>
      </c>
      <c r="BD373" s="24">
        <v>43424</v>
      </c>
      <c r="BE373" s="135" t="s">
        <v>1214</v>
      </c>
      <c r="BF373" s="135" t="s">
        <v>600</v>
      </c>
      <c r="BG373" s="135" t="s">
        <v>65</v>
      </c>
      <c r="BH373" s="135"/>
      <c r="BI373" s="314"/>
      <c r="BJ373" s="314"/>
      <c r="BK373" s="24"/>
      <c r="BL373" s="24"/>
      <c r="BM373" s="24"/>
      <c r="BN373" s="24"/>
      <c r="BO373" s="24">
        <v>43483</v>
      </c>
      <c r="BP373" s="24"/>
      <c r="BQ373" s="24"/>
      <c r="BR373" s="43"/>
      <c r="BS373" s="24"/>
      <c r="BT373" s="24"/>
      <c r="BU373" s="24"/>
      <c r="BV373" s="132" t="e">
        <f>IF(#REF!="COMPLETO","OK","PENDIENTES")</f>
        <v>#REF!</v>
      </c>
      <c r="BW373" s="132"/>
      <c r="BX373" s="132"/>
      <c r="BY373" s="132"/>
      <c r="BZ373" s="132"/>
      <c r="CA373" s="132"/>
      <c r="CB373" s="132"/>
      <c r="CC373" s="22"/>
      <c r="CG373" s="24" t="s">
        <v>105</v>
      </c>
      <c r="CH373" s="24"/>
      <c r="CI373" s="24"/>
      <c r="CJ373" s="24"/>
    </row>
    <row r="374" spans="1:88" ht="15" customHeight="1">
      <c r="A374" s="18">
        <v>2018</v>
      </c>
      <c r="B374" s="18" t="str">
        <f>+INDEX(BDD!F:F,MATCH(P374,BDD!D:D,0))&amp;"-"&amp;INDEX(BDD!E:E,MATCH(P374,BDD!D:D,0))</f>
        <v>S-C</v>
      </c>
      <c r="C374" s="360" t="s">
        <v>484</v>
      </c>
      <c r="D374" s="150" t="s">
        <v>77</v>
      </c>
      <c r="E374" s="132"/>
      <c r="F374" s="24"/>
      <c r="G374" s="346">
        <v>8000000191</v>
      </c>
      <c r="H374" s="25" t="s">
        <v>1709</v>
      </c>
      <c r="I374" s="329"/>
      <c r="J374" s="346">
        <v>8000000191</v>
      </c>
      <c r="K374" s="24"/>
      <c r="L374" s="24"/>
      <c r="M374" s="24"/>
      <c r="N374" s="340" t="s">
        <v>486</v>
      </c>
      <c r="O374" s="334">
        <v>207580</v>
      </c>
      <c r="P374" s="25" t="s">
        <v>241</v>
      </c>
      <c r="Q374" s="127" t="s">
        <v>231</v>
      </c>
      <c r="R374" s="128" t="s">
        <v>1710</v>
      </c>
      <c r="S374" s="24">
        <v>43342</v>
      </c>
      <c r="T374" s="36">
        <v>180</v>
      </c>
      <c r="U374" s="125" t="s">
        <v>118</v>
      </c>
      <c r="V374" s="147" t="s">
        <v>1711</v>
      </c>
      <c r="W374" s="129"/>
      <c r="X374" s="88">
        <v>43598</v>
      </c>
      <c r="Y374" s="130" t="s">
        <v>20</v>
      </c>
      <c r="Z374" s="133" t="s">
        <v>60</v>
      </c>
      <c r="AA374" s="133"/>
      <c r="AB374" s="148">
        <v>54</v>
      </c>
      <c r="AC374" s="134">
        <v>786</v>
      </c>
      <c r="AD374" s="134"/>
      <c r="AE374" s="403">
        <f t="shared" si="16"/>
        <v>42444</v>
      </c>
      <c r="AF374" s="132">
        <v>2</v>
      </c>
      <c r="AG374" s="130" t="s">
        <v>5</v>
      </c>
      <c r="AH374" s="130"/>
      <c r="AI374" s="130" t="s">
        <v>34</v>
      </c>
      <c r="AJ374" s="130"/>
      <c r="AK374" s="130"/>
      <c r="AL374" s="135" t="s">
        <v>1712</v>
      </c>
      <c r="AM374" s="314"/>
      <c r="AN374" s="26"/>
      <c r="AO374" s="26"/>
      <c r="AP374" s="26"/>
      <c r="AQ374" s="26">
        <v>43414</v>
      </c>
      <c r="AR374" s="24"/>
      <c r="AS374" s="24"/>
      <c r="AT374" s="24">
        <v>43417</v>
      </c>
      <c r="AU374" s="418">
        <f t="shared" si="17"/>
        <v>11</v>
      </c>
      <c r="AV374" s="418">
        <f t="shared" si="18"/>
        <v>2018</v>
      </c>
      <c r="AW374" s="24"/>
      <c r="AX374" s="28"/>
      <c r="AY374" s="28" t="s">
        <v>181</v>
      </c>
      <c r="AZ374" s="132" t="s">
        <v>37</v>
      </c>
      <c r="BA374" s="132"/>
      <c r="BB374" s="24"/>
      <c r="BC374" s="135" t="s">
        <v>1713</v>
      </c>
      <c r="BD374" s="24">
        <v>43410</v>
      </c>
      <c r="BE374" s="135" t="s">
        <v>1714</v>
      </c>
      <c r="BF374" s="135" t="s">
        <v>1714</v>
      </c>
      <c r="BG374" s="135" t="s">
        <v>64</v>
      </c>
      <c r="BH374" s="135"/>
      <c r="BI374" s="314"/>
      <c r="BJ374" s="314"/>
      <c r="BK374" s="24"/>
      <c r="BL374" s="24"/>
      <c r="BM374" s="24"/>
      <c r="BN374" s="24"/>
      <c r="BO374" s="24">
        <f>+AQ374+14</f>
        <v>43428</v>
      </c>
      <c r="BP374" s="24"/>
      <c r="BQ374" s="24"/>
      <c r="BR374" s="43"/>
      <c r="BS374" s="24"/>
      <c r="BT374" s="24"/>
      <c r="BU374" s="24"/>
      <c r="BV374" s="132" t="e">
        <f>IF(#REF!="COMPLETO","OK","PENDIENTES")</f>
        <v>#REF!</v>
      </c>
      <c r="BW374" s="132"/>
      <c r="BX374" s="132"/>
      <c r="BY374" s="132"/>
      <c r="BZ374" s="132"/>
      <c r="CA374" s="132"/>
      <c r="CB374" s="132"/>
      <c r="CC374" s="22"/>
      <c r="CG374" s="24" t="s">
        <v>105</v>
      </c>
      <c r="CH374" s="24"/>
      <c r="CI374" s="24"/>
      <c r="CJ374" s="24"/>
    </row>
    <row r="375" spans="1:88" ht="15" customHeight="1">
      <c r="A375" s="18">
        <v>2018</v>
      </c>
      <c r="B375" s="18" t="str">
        <f>+INDEX(BDD!F:F,MATCH(P375,BDD!D:D,0))&amp;"-"&amp;INDEX(BDD!E:E,MATCH(P375,BDD!D:D,0))</f>
        <v>S-C</v>
      </c>
      <c r="C375" s="360" t="s">
        <v>484</v>
      </c>
      <c r="D375" s="150" t="s">
        <v>77</v>
      </c>
      <c r="E375" s="132"/>
      <c r="F375" s="24"/>
      <c r="G375" s="346">
        <v>8000000192</v>
      </c>
      <c r="H375" s="25" t="s">
        <v>1715</v>
      </c>
      <c r="I375" s="329"/>
      <c r="J375" s="346">
        <v>8000000192</v>
      </c>
      <c r="K375" s="24"/>
      <c r="L375" s="24"/>
      <c r="M375" s="24"/>
      <c r="N375" s="340" t="s">
        <v>486</v>
      </c>
      <c r="O375" s="334">
        <v>207580</v>
      </c>
      <c r="P375" s="25" t="s">
        <v>241</v>
      </c>
      <c r="Q375" s="127" t="s">
        <v>231</v>
      </c>
      <c r="R375" s="128" t="s">
        <v>1716</v>
      </c>
      <c r="S375" s="24">
        <v>43342</v>
      </c>
      <c r="T375" s="36">
        <v>180</v>
      </c>
      <c r="U375" s="125" t="s">
        <v>118</v>
      </c>
      <c r="V375" s="147" t="s">
        <v>1717</v>
      </c>
      <c r="W375" s="129"/>
      <c r="X375" s="88">
        <v>43579</v>
      </c>
      <c r="Y375" s="130" t="s">
        <v>20</v>
      </c>
      <c r="Z375" s="133" t="s">
        <v>60</v>
      </c>
      <c r="AA375" s="133"/>
      <c r="AB375" s="148">
        <v>513</v>
      </c>
      <c r="AC375" s="134">
        <v>796</v>
      </c>
      <c r="AD375" s="134"/>
      <c r="AE375" s="403">
        <f t="shared" si="16"/>
        <v>408348</v>
      </c>
      <c r="AF375" s="132">
        <v>19</v>
      </c>
      <c r="AG375" s="130" t="s">
        <v>5</v>
      </c>
      <c r="AH375" s="130"/>
      <c r="AI375" s="130" t="s">
        <v>34</v>
      </c>
      <c r="AJ375" s="130"/>
      <c r="AK375" s="130"/>
      <c r="AL375" s="135" t="s">
        <v>1718</v>
      </c>
      <c r="AM375" s="314"/>
      <c r="AN375" s="26"/>
      <c r="AO375" s="26"/>
      <c r="AP375" s="26"/>
      <c r="AQ375" s="26">
        <v>43423</v>
      </c>
      <c r="AR375" s="24"/>
      <c r="AS375" s="24"/>
      <c r="AT375" s="24">
        <v>43425</v>
      </c>
      <c r="AU375" s="418">
        <f t="shared" si="17"/>
        <v>11</v>
      </c>
      <c r="AV375" s="418">
        <f t="shared" si="18"/>
        <v>2018</v>
      </c>
      <c r="AW375" s="24"/>
      <c r="AX375" s="28"/>
      <c r="AY375" s="28" t="s">
        <v>181</v>
      </c>
      <c r="AZ375" s="132" t="s">
        <v>9</v>
      </c>
      <c r="BA375" s="132"/>
      <c r="BB375" s="24"/>
      <c r="BC375" s="135" t="s">
        <v>1719</v>
      </c>
      <c r="BD375" s="24">
        <v>43394</v>
      </c>
      <c r="BE375" s="135" t="s">
        <v>1415</v>
      </c>
      <c r="BF375" s="135" t="s">
        <v>932</v>
      </c>
      <c r="BG375" s="135" t="s">
        <v>29</v>
      </c>
      <c r="BH375" s="135"/>
      <c r="BI375" s="314"/>
      <c r="BJ375" s="314"/>
      <c r="BK375" s="24"/>
      <c r="BL375" s="24"/>
      <c r="BM375" s="24"/>
      <c r="BN375" s="24"/>
      <c r="BO375" s="24">
        <v>43434</v>
      </c>
      <c r="BP375" s="24"/>
      <c r="BQ375" s="24"/>
      <c r="BR375" s="43"/>
      <c r="BS375" s="24"/>
      <c r="BT375" s="24"/>
      <c r="BU375" s="24"/>
      <c r="BV375" s="132" t="e">
        <f>IF(#REF!="COMPLETO","OK","PENDIENTES")</f>
        <v>#REF!</v>
      </c>
      <c r="BW375" s="132"/>
      <c r="BX375" s="132"/>
      <c r="BY375" s="132"/>
      <c r="BZ375" s="132"/>
      <c r="CA375" s="132"/>
      <c r="CB375" s="132"/>
      <c r="CC375" s="22"/>
      <c r="CG375" s="24" t="s">
        <v>105</v>
      </c>
      <c r="CH375" s="24"/>
      <c r="CI375" s="24"/>
      <c r="CJ375" s="24"/>
    </row>
    <row r="376" spans="1:88" ht="15" customHeight="1">
      <c r="A376" s="18">
        <v>2018</v>
      </c>
      <c r="B376" s="18" t="str">
        <f>+INDEX(BDD!F:F,MATCH(P376,BDD!D:D,0))&amp;"-"&amp;INDEX(BDD!E:E,MATCH(P376,BDD!D:D,0))</f>
        <v>S-C</v>
      </c>
      <c r="C376" s="360" t="s">
        <v>484</v>
      </c>
      <c r="D376" s="150" t="s">
        <v>77</v>
      </c>
      <c r="E376" s="132"/>
      <c r="F376" s="24"/>
      <c r="G376" s="346">
        <v>8000000193</v>
      </c>
      <c r="H376" s="25" t="s">
        <v>1720</v>
      </c>
      <c r="I376" s="329"/>
      <c r="J376" s="346">
        <v>8000000193</v>
      </c>
      <c r="K376" s="24"/>
      <c r="L376" s="24"/>
      <c r="M376" s="24"/>
      <c r="N376" s="340" t="s">
        <v>486</v>
      </c>
      <c r="O376" s="334">
        <v>207580</v>
      </c>
      <c r="P376" s="25" t="s">
        <v>241</v>
      </c>
      <c r="Q376" s="127" t="s">
        <v>231</v>
      </c>
      <c r="R376" s="128" t="s">
        <v>1710</v>
      </c>
      <c r="S376" s="24">
        <v>43342</v>
      </c>
      <c r="T376" s="36">
        <v>180</v>
      </c>
      <c r="U376" s="125" t="s">
        <v>118</v>
      </c>
      <c r="V376" s="147" t="s">
        <v>1721</v>
      </c>
      <c r="W376" s="129"/>
      <c r="X376" s="88">
        <v>43598</v>
      </c>
      <c r="Y376" s="130" t="s">
        <v>20</v>
      </c>
      <c r="Z376" s="133" t="s">
        <v>60</v>
      </c>
      <c r="AA376" s="133"/>
      <c r="AB376" s="148">
        <v>459</v>
      </c>
      <c r="AC376" s="134">
        <v>786</v>
      </c>
      <c r="AD376" s="134"/>
      <c r="AE376" s="403">
        <f t="shared" si="16"/>
        <v>360774</v>
      </c>
      <c r="AF376" s="132">
        <v>17</v>
      </c>
      <c r="AG376" s="130" t="s">
        <v>5</v>
      </c>
      <c r="AH376" s="130"/>
      <c r="AI376" s="130" t="s">
        <v>34</v>
      </c>
      <c r="AJ376" s="130"/>
      <c r="AK376" s="130"/>
      <c r="AL376" s="135" t="s">
        <v>1712</v>
      </c>
      <c r="AM376" s="314"/>
      <c r="AN376" s="26"/>
      <c r="AO376" s="26"/>
      <c r="AP376" s="26"/>
      <c r="AQ376" s="26">
        <v>43423</v>
      </c>
      <c r="AR376" s="24"/>
      <c r="AS376" s="24"/>
      <c r="AT376" s="26">
        <v>43427</v>
      </c>
      <c r="AU376" s="418">
        <f t="shared" si="17"/>
        <v>11</v>
      </c>
      <c r="AV376" s="418">
        <f t="shared" si="18"/>
        <v>2018</v>
      </c>
      <c r="AW376" s="26"/>
      <c r="AX376" s="28"/>
      <c r="AY376" s="28" t="s">
        <v>181</v>
      </c>
      <c r="AZ376" s="132" t="s">
        <v>37</v>
      </c>
      <c r="BA376" s="132"/>
      <c r="BB376" s="26"/>
      <c r="BC376" s="135" t="s">
        <v>1722</v>
      </c>
      <c r="BD376" s="24">
        <v>43410</v>
      </c>
      <c r="BE376" s="135" t="s">
        <v>1415</v>
      </c>
      <c r="BF376" s="135" t="s">
        <v>579</v>
      </c>
      <c r="BG376" s="135" t="s">
        <v>29</v>
      </c>
      <c r="BH376" s="135"/>
      <c r="BI376" s="314"/>
      <c r="BJ376" s="314"/>
      <c r="BK376" s="24"/>
      <c r="BL376" s="24"/>
      <c r="BM376" s="24"/>
      <c r="BN376" s="24"/>
      <c r="BO376" s="24">
        <f>+AQ376+11</f>
        <v>43434</v>
      </c>
      <c r="BP376" s="24"/>
      <c r="BQ376" s="24"/>
      <c r="BR376" s="43"/>
      <c r="BS376" s="24"/>
      <c r="BT376" s="24"/>
      <c r="BU376" s="24"/>
      <c r="BV376" s="132" t="e">
        <f>IF(#REF!="COMPLETO","OK","PENDIENTES")</f>
        <v>#REF!</v>
      </c>
      <c r="BW376" s="132"/>
      <c r="BX376" s="132"/>
      <c r="BY376" s="132"/>
      <c r="BZ376" s="132"/>
      <c r="CA376" s="132"/>
      <c r="CB376" s="132"/>
      <c r="CC376" s="22"/>
      <c r="CG376" s="24" t="s">
        <v>105</v>
      </c>
      <c r="CH376" s="24"/>
      <c r="CI376" s="26"/>
      <c r="CJ376" s="26"/>
    </row>
    <row r="377" spans="1:88" ht="15" customHeight="1">
      <c r="A377" s="18">
        <v>2018</v>
      </c>
      <c r="B377" s="18" t="str">
        <f>+INDEX(BDD!F:F,MATCH(P377,BDD!D:D,0))&amp;"-"&amp;INDEX(BDD!E:E,MATCH(P377,BDD!D:D,0))</f>
        <v>S-C</v>
      </c>
      <c r="C377" s="360" t="s">
        <v>484</v>
      </c>
      <c r="D377" s="152" t="s">
        <v>92</v>
      </c>
      <c r="E377" s="132"/>
      <c r="F377" s="24"/>
      <c r="G377" s="346"/>
      <c r="H377" s="25" t="s">
        <v>1723</v>
      </c>
      <c r="I377" s="330"/>
      <c r="J377" s="346"/>
      <c r="K377" s="24"/>
      <c r="L377" s="24"/>
      <c r="M377" s="24"/>
      <c r="N377" s="340"/>
      <c r="O377" s="334"/>
      <c r="P377" s="25" t="s">
        <v>241</v>
      </c>
      <c r="Q377" s="127" t="s">
        <v>231</v>
      </c>
      <c r="R377" s="128"/>
      <c r="S377" s="24"/>
      <c r="T377" s="36"/>
      <c r="U377" s="125"/>
      <c r="V377" s="147"/>
      <c r="W377" s="129"/>
      <c r="X377" s="88"/>
      <c r="Y377" s="130"/>
      <c r="Z377" s="133"/>
      <c r="AA377" s="133"/>
      <c r="AB377" s="148"/>
      <c r="AC377" s="134"/>
      <c r="AD377" s="134"/>
      <c r="AE377" s="403">
        <f t="shared" si="16"/>
        <v>0</v>
      </c>
      <c r="AF377" s="132"/>
      <c r="AG377" s="130"/>
      <c r="AH377" s="130"/>
      <c r="AI377" s="130"/>
      <c r="AJ377" s="130"/>
      <c r="AK377" s="130"/>
      <c r="AL377" s="135"/>
      <c r="AM377" s="314"/>
      <c r="AN377" s="26"/>
      <c r="AO377" s="26"/>
      <c r="AP377" s="26"/>
      <c r="AQ377" s="26"/>
      <c r="AR377" s="24"/>
      <c r="AS377" s="24"/>
      <c r="AT377" s="24"/>
      <c r="AU377" s="418">
        <f t="shared" si="17"/>
        <v>1</v>
      </c>
      <c r="AV377" s="418">
        <f t="shared" si="18"/>
        <v>1900</v>
      </c>
      <c r="AW377" s="24"/>
      <c r="AX377" s="28"/>
      <c r="AY377" s="28"/>
      <c r="AZ377" s="132"/>
      <c r="BA377" s="132"/>
      <c r="BB377" s="24"/>
      <c r="BC377" s="135"/>
      <c r="BD377" s="24"/>
      <c r="BE377" s="135"/>
      <c r="BF377" s="135"/>
      <c r="BG377" s="135"/>
      <c r="BH377" s="135"/>
      <c r="BI377" s="314"/>
      <c r="BJ377" s="314"/>
      <c r="BK377" s="24"/>
      <c r="BL377" s="24"/>
      <c r="BM377" s="24"/>
      <c r="BN377" s="24"/>
      <c r="BO377" s="24"/>
      <c r="BP377" s="24"/>
      <c r="BQ377" s="24"/>
      <c r="BR377" s="43"/>
      <c r="BS377" s="24"/>
      <c r="BT377" s="24"/>
      <c r="BU377" s="24"/>
      <c r="BV377" s="132"/>
      <c r="BW377" s="132"/>
      <c r="BX377" s="132"/>
      <c r="BY377" s="132"/>
      <c r="BZ377" s="132"/>
      <c r="CA377" s="132"/>
      <c r="CB377" s="132"/>
      <c r="CC377" s="22"/>
      <c r="CD377" s="22"/>
      <c r="CE377" s="22"/>
      <c r="CF377" s="22"/>
      <c r="CG377" s="24"/>
      <c r="CH377" s="24"/>
      <c r="CI377" s="24"/>
      <c r="CJ377" s="24"/>
    </row>
    <row r="378" spans="1:88" ht="15" customHeight="1">
      <c r="A378" s="18">
        <v>2018</v>
      </c>
      <c r="B378" s="18" t="str">
        <f>+INDEX(BDD!F:F,MATCH(P378,BDD!D:D,0))&amp;"-"&amp;INDEX(BDD!E:E,MATCH(P378,BDD!D:D,0))</f>
        <v>G-S</v>
      </c>
      <c r="C378" s="360" t="s">
        <v>484</v>
      </c>
      <c r="D378" s="150" t="s">
        <v>77</v>
      </c>
      <c r="E378" s="132"/>
      <c r="F378" s="24"/>
      <c r="G378" s="346">
        <v>8000000264</v>
      </c>
      <c r="H378" s="25" t="s">
        <v>1724</v>
      </c>
      <c r="I378" s="329"/>
      <c r="J378" s="346">
        <v>8000000264</v>
      </c>
      <c r="K378" s="24"/>
      <c r="L378" s="24"/>
      <c r="M378" s="24"/>
      <c r="N378" s="340" t="s">
        <v>486</v>
      </c>
      <c r="O378" s="334">
        <v>204817</v>
      </c>
      <c r="P378" s="25" t="s">
        <v>346</v>
      </c>
      <c r="Q378" s="127" t="s">
        <v>273</v>
      </c>
      <c r="R378" s="128" t="s">
        <v>1725</v>
      </c>
      <c r="S378" s="24">
        <v>43350</v>
      </c>
      <c r="T378" s="36" t="s">
        <v>19</v>
      </c>
      <c r="U378" s="125"/>
      <c r="V378" s="147" t="s">
        <v>1726</v>
      </c>
      <c r="W378" s="129"/>
      <c r="X378" s="88">
        <v>43384</v>
      </c>
      <c r="Y378" s="130" t="s">
        <v>20</v>
      </c>
      <c r="Z378" s="133" t="s">
        <v>60</v>
      </c>
      <c r="AA378" s="133"/>
      <c r="AB378" s="148">
        <v>400.5</v>
      </c>
      <c r="AC378" s="134">
        <v>362</v>
      </c>
      <c r="AD378" s="134"/>
      <c r="AE378" s="403">
        <f t="shared" si="16"/>
        <v>144981</v>
      </c>
      <c r="AF378" s="132" t="str">
        <f>IF(W378=BDD!$P$1,IMPORTS!AB378/25,IF(W378=BDD!$P$2,IMPORTS!AB378/25,IF(IMPORTS!W378=BDD!$P$4,IMPORTS!AB378/25.5,"--")))</f>
        <v>--</v>
      </c>
      <c r="AG378" s="130" t="s">
        <v>58</v>
      </c>
      <c r="AH378" s="130"/>
      <c r="AI378" s="130" t="s">
        <v>71</v>
      </c>
      <c r="AJ378" s="130"/>
      <c r="AK378" s="130"/>
      <c r="AL378" s="135" t="s">
        <v>1727</v>
      </c>
      <c r="AM378" s="314"/>
      <c r="AN378" s="26"/>
      <c r="AO378" s="26"/>
      <c r="AP378" s="26"/>
      <c r="AQ378" s="26">
        <v>43397</v>
      </c>
      <c r="AR378" s="24"/>
      <c r="AS378" s="24"/>
      <c r="AT378" s="26">
        <v>43397</v>
      </c>
      <c r="AU378" s="418">
        <f t="shared" si="17"/>
        <v>10</v>
      </c>
      <c r="AV378" s="418">
        <f t="shared" si="18"/>
        <v>2018</v>
      </c>
      <c r="AW378" s="26"/>
      <c r="AX378" s="28"/>
      <c r="AY378" s="28" t="s">
        <v>321</v>
      </c>
      <c r="AZ378" s="132" t="s">
        <v>9</v>
      </c>
      <c r="BA378" s="132"/>
      <c r="BB378" s="26"/>
      <c r="BC378" s="135" t="s">
        <v>1728</v>
      </c>
      <c r="BD378" s="24">
        <v>43720</v>
      </c>
      <c r="BE378" s="135" t="s">
        <v>1729</v>
      </c>
      <c r="BF378" s="135" t="s">
        <v>1729</v>
      </c>
      <c r="BG378" s="135" t="s">
        <v>52</v>
      </c>
      <c r="BH378" s="135"/>
      <c r="BI378" s="314"/>
      <c r="BJ378" s="314"/>
      <c r="BK378" s="24"/>
      <c r="BL378" s="24"/>
      <c r="BM378" s="24"/>
      <c r="BN378" s="24"/>
      <c r="BO378" s="24"/>
      <c r="BP378" s="24"/>
      <c r="BQ378" s="24"/>
      <c r="BR378" s="43"/>
      <c r="BS378" s="24"/>
      <c r="BT378" s="24"/>
      <c r="BU378" s="24"/>
      <c r="BV378" s="132" t="e">
        <f>IF(#REF!="COMPLETO","OK","PENDIENTES")</f>
        <v>#REF!</v>
      </c>
      <c r="BW378" s="132"/>
      <c r="BX378" s="132"/>
      <c r="BY378" s="132"/>
      <c r="BZ378" s="132"/>
      <c r="CA378" s="132"/>
      <c r="CB378" s="132"/>
      <c r="CC378" s="22"/>
      <c r="CG378" s="24" t="s">
        <v>105</v>
      </c>
      <c r="CH378" s="24"/>
      <c r="CI378" s="26"/>
      <c r="CJ378" s="26"/>
    </row>
    <row r="379" spans="1:88" ht="15" customHeight="1">
      <c r="A379" s="18">
        <v>2018</v>
      </c>
      <c r="B379" s="18" t="str">
        <f>+INDEX(BDD!F:F,MATCH(P379,BDD!D:D,0))&amp;"-"&amp;INDEX(BDD!E:E,MATCH(P379,BDD!D:D,0))</f>
        <v>G-S</v>
      </c>
      <c r="C379" s="360" t="s">
        <v>484</v>
      </c>
      <c r="D379" s="150" t="s">
        <v>77</v>
      </c>
      <c r="E379" s="132"/>
      <c r="F379" s="24"/>
      <c r="G379" s="346">
        <v>8000000269</v>
      </c>
      <c r="H379" s="25" t="s">
        <v>1730</v>
      </c>
      <c r="I379" s="329"/>
      <c r="J379" s="346">
        <v>8000000269</v>
      </c>
      <c r="K379" s="24"/>
      <c r="L379" s="24"/>
      <c r="M379" s="24"/>
      <c r="N379" s="340" t="s">
        <v>486</v>
      </c>
      <c r="O379" s="334">
        <v>204817</v>
      </c>
      <c r="P379" s="25" t="s">
        <v>346</v>
      </c>
      <c r="Q379" s="127" t="s">
        <v>273</v>
      </c>
      <c r="R379" s="128" t="s">
        <v>1725</v>
      </c>
      <c r="S379" s="24">
        <v>43350</v>
      </c>
      <c r="T379" s="36" t="s">
        <v>19</v>
      </c>
      <c r="U379" s="125"/>
      <c r="V379" s="147" t="s">
        <v>1731</v>
      </c>
      <c r="W379" s="129"/>
      <c r="X379" s="88">
        <v>43384</v>
      </c>
      <c r="Y379" s="130" t="s">
        <v>20</v>
      </c>
      <c r="Z379" s="133" t="s">
        <v>60</v>
      </c>
      <c r="AA379" s="133"/>
      <c r="AB379" s="148">
        <v>150</v>
      </c>
      <c r="AC379" s="134">
        <v>362</v>
      </c>
      <c r="AD379" s="134"/>
      <c r="AE379" s="403">
        <f t="shared" si="16"/>
        <v>54300</v>
      </c>
      <c r="AF379" s="132" t="str">
        <f>IF(W379=BDD!$P$1,IMPORTS!AB379/25,IF(W379=BDD!$P$2,IMPORTS!AB379/25,IF(IMPORTS!W379=BDD!$P$4,IMPORTS!AB379/25.5,"--")))</f>
        <v>--</v>
      </c>
      <c r="AG379" s="130" t="s">
        <v>58</v>
      </c>
      <c r="AH379" s="130"/>
      <c r="AI379" s="130" t="s">
        <v>71</v>
      </c>
      <c r="AJ379" s="130"/>
      <c r="AK379" s="130"/>
      <c r="AL379" s="135" t="s">
        <v>1727</v>
      </c>
      <c r="AM379" s="314"/>
      <c r="AN379" s="26"/>
      <c r="AO379" s="26"/>
      <c r="AP379" s="26"/>
      <c r="AQ379" s="26">
        <v>43400</v>
      </c>
      <c r="AR379" s="24"/>
      <c r="AS379" s="24"/>
      <c r="AT379" s="26">
        <v>43400</v>
      </c>
      <c r="AU379" s="418">
        <f t="shared" si="17"/>
        <v>10</v>
      </c>
      <c r="AV379" s="418">
        <f t="shared" si="18"/>
        <v>2018</v>
      </c>
      <c r="AW379" s="26"/>
      <c r="AX379" s="28"/>
      <c r="AY379" s="28" t="s">
        <v>321</v>
      </c>
      <c r="AZ379" s="132" t="s">
        <v>25</v>
      </c>
      <c r="BA379" s="132"/>
      <c r="BB379" s="26"/>
      <c r="BC379" s="135" t="s">
        <v>1732</v>
      </c>
      <c r="BD379" s="24">
        <v>43720</v>
      </c>
      <c r="BE379" s="135" t="s">
        <v>1729</v>
      </c>
      <c r="BF379" s="135" t="s">
        <v>1729</v>
      </c>
      <c r="BG379" s="135" t="s">
        <v>52</v>
      </c>
      <c r="BH379" s="135"/>
      <c r="BI379" s="314"/>
      <c r="BJ379" s="314"/>
      <c r="BK379" s="24"/>
      <c r="BL379" s="24"/>
      <c r="BM379" s="24"/>
      <c r="BN379" s="24"/>
      <c r="BO379" s="24"/>
      <c r="BP379" s="24"/>
      <c r="BQ379" s="24"/>
      <c r="BR379" s="43"/>
      <c r="BS379" s="24"/>
      <c r="BT379" s="24"/>
      <c r="BU379" s="24"/>
      <c r="BV379" s="132" t="e">
        <f>IF(#REF!="COMPLETO","OK","PENDIENTES")</f>
        <v>#REF!</v>
      </c>
      <c r="BW379" s="132"/>
      <c r="BX379" s="132"/>
      <c r="BY379" s="132"/>
      <c r="BZ379" s="132"/>
      <c r="CA379" s="132"/>
      <c r="CB379" s="132"/>
      <c r="CC379" s="22"/>
      <c r="CG379" s="24" t="s">
        <v>105</v>
      </c>
      <c r="CH379" s="24"/>
      <c r="CI379" s="26"/>
      <c r="CJ379" s="26"/>
    </row>
    <row r="380" spans="1:88" ht="15" customHeight="1">
      <c r="A380" s="18">
        <v>2018</v>
      </c>
      <c r="B380" s="18" t="str">
        <f>+INDEX(BDD!F:F,MATCH(P380,BDD!D:D,0))&amp;"-"&amp;INDEX(BDD!E:E,MATCH(P380,BDD!D:D,0))</f>
        <v>G-S</v>
      </c>
      <c r="C380" s="360" t="s">
        <v>484</v>
      </c>
      <c r="D380" s="150" t="s">
        <v>77</v>
      </c>
      <c r="E380" s="132"/>
      <c r="F380" s="24"/>
      <c r="G380" s="346">
        <v>8000000273</v>
      </c>
      <c r="H380" s="25" t="s">
        <v>1733</v>
      </c>
      <c r="I380" s="329"/>
      <c r="J380" s="346">
        <v>8000000273</v>
      </c>
      <c r="K380" s="24"/>
      <c r="L380" s="24"/>
      <c r="M380" s="24"/>
      <c r="N380" s="340" t="s">
        <v>486</v>
      </c>
      <c r="O380" s="334">
        <v>204817</v>
      </c>
      <c r="P380" s="25" t="s">
        <v>346</v>
      </c>
      <c r="Q380" s="127" t="s">
        <v>273</v>
      </c>
      <c r="R380" s="128" t="s">
        <v>1725</v>
      </c>
      <c r="S380" s="24">
        <v>43350</v>
      </c>
      <c r="T380" s="36" t="s">
        <v>19</v>
      </c>
      <c r="U380" s="125"/>
      <c r="V380" s="147" t="s">
        <v>1734</v>
      </c>
      <c r="W380" s="129"/>
      <c r="X380" s="88">
        <v>43384</v>
      </c>
      <c r="Y380" s="130" t="s">
        <v>20</v>
      </c>
      <c r="Z380" s="133" t="s">
        <v>60</v>
      </c>
      <c r="AA380" s="133"/>
      <c r="AB380" s="148">
        <v>300</v>
      </c>
      <c r="AC380" s="134">
        <v>362</v>
      </c>
      <c r="AD380" s="134"/>
      <c r="AE380" s="403">
        <f t="shared" si="16"/>
        <v>108600</v>
      </c>
      <c r="AF380" s="132" t="str">
        <f>IF(W380=BDD!$P$1,IMPORTS!AB380/25,IF(W380=BDD!$P$2,IMPORTS!AB380/25,IF(IMPORTS!W380=BDD!$P$4,IMPORTS!AB380/25.5,"--")))</f>
        <v>--</v>
      </c>
      <c r="AG380" s="130" t="s">
        <v>58</v>
      </c>
      <c r="AH380" s="130"/>
      <c r="AI380" s="130" t="s">
        <v>71</v>
      </c>
      <c r="AJ380" s="130"/>
      <c r="AK380" s="130"/>
      <c r="AL380" s="135" t="s">
        <v>1727</v>
      </c>
      <c r="AM380" s="314"/>
      <c r="AN380" s="26"/>
      <c r="AO380" s="26"/>
      <c r="AP380" s="26"/>
      <c r="AQ380" s="26">
        <v>43403</v>
      </c>
      <c r="AR380" s="24"/>
      <c r="AS380" s="24"/>
      <c r="AT380" s="24">
        <v>43405</v>
      </c>
      <c r="AU380" s="418">
        <f t="shared" si="17"/>
        <v>11</v>
      </c>
      <c r="AV380" s="418">
        <f t="shared" si="18"/>
        <v>2018</v>
      </c>
      <c r="AW380" s="24"/>
      <c r="AX380" s="28"/>
      <c r="AY380" s="28" t="s">
        <v>321</v>
      </c>
      <c r="AZ380" s="132" t="s">
        <v>37</v>
      </c>
      <c r="BA380" s="132"/>
      <c r="BB380" s="24"/>
      <c r="BC380" s="135" t="s">
        <v>1735</v>
      </c>
      <c r="BD380" s="24">
        <v>43720</v>
      </c>
      <c r="BE380" s="135" t="s">
        <v>1729</v>
      </c>
      <c r="BF380" s="135" t="s">
        <v>1729</v>
      </c>
      <c r="BG380" s="135" t="s">
        <v>52</v>
      </c>
      <c r="BH380" s="135"/>
      <c r="BI380" s="314"/>
      <c r="BJ380" s="314"/>
      <c r="BK380" s="24"/>
      <c r="BL380" s="24"/>
      <c r="BM380" s="24"/>
      <c r="BN380" s="24"/>
      <c r="BO380" s="24"/>
      <c r="BP380" s="24"/>
      <c r="BQ380" s="24"/>
      <c r="BR380" s="43"/>
      <c r="BS380" s="24"/>
      <c r="BT380" s="24"/>
      <c r="BU380" s="24"/>
      <c r="BV380" s="132" t="e">
        <f>IF(#REF!="COMPLETO","OK","PENDIENTES")</f>
        <v>#REF!</v>
      </c>
      <c r="BW380" s="132"/>
      <c r="BX380" s="132"/>
      <c r="BY380" s="132"/>
      <c r="BZ380" s="132"/>
      <c r="CA380" s="132"/>
      <c r="CB380" s="132"/>
      <c r="CC380" s="22"/>
      <c r="CG380" s="24" t="s">
        <v>105</v>
      </c>
      <c r="CH380" s="24"/>
      <c r="CI380" s="24"/>
      <c r="CJ380" s="24"/>
    </row>
    <row r="381" spans="1:88" ht="15" customHeight="1">
      <c r="A381" s="18">
        <v>2018</v>
      </c>
      <c r="B381" s="18" t="str">
        <f>+INDEX(BDD!F:F,MATCH(P381,BDD!D:D,0))&amp;"-"&amp;INDEX(BDD!E:E,MATCH(P381,BDD!D:D,0))</f>
        <v>G-S</v>
      </c>
      <c r="C381" s="360" t="s">
        <v>484</v>
      </c>
      <c r="D381" s="150" t="s">
        <v>77</v>
      </c>
      <c r="E381" s="132"/>
      <c r="F381" s="24"/>
      <c r="G381" s="346">
        <v>8000000281</v>
      </c>
      <c r="H381" s="25" t="s">
        <v>1736</v>
      </c>
      <c r="I381" s="329"/>
      <c r="J381" s="346">
        <v>8000000281</v>
      </c>
      <c r="K381" s="24"/>
      <c r="L381" s="24"/>
      <c r="M381" s="24"/>
      <c r="N381" s="340" t="s">
        <v>486</v>
      </c>
      <c r="O381" s="334">
        <v>204817</v>
      </c>
      <c r="P381" s="25" t="s">
        <v>346</v>
      </c>
      <c r="Q381" s="127" t="s">
        <v>273</v>
      </c>
      <c r="R381" s="128" t="s">
        <v>1725</v>
      </c>
      <c r="S381" s="24">
        <v>43350</v>
      </c>
      <c r="T381" s="36" t="s">
        <v>19</v>
      </c>
      <c r="U381" s="125"/>
      <c r="V381" s="147" t="s">
        <v>1737</v>
      </c>
      <c r="W381" s="129"/>
      <c r="X381" s="88">
        <v>43384</v>
      </c>
      <c r="Y381" s="130" t="s">
        <v>20</v>
      </c>
      <c r="Z381" s="133" t="s">
        <v>60</v>
      </c>
      <c r="AA381" s="133"/>
      <c r="AB381" s="148">
        <v>150</v>
      </c>
      <c r="AC381" s="134">
        <v>362</v>
      </c>
      <c r="AD381" s="134"/>
      <c r="AE381" s="403">
        <f t="shared" si="16"/>
        <v>54300</v>
      </c>
      <c r="AF381" s="132" t="str">
        <f>IF(W381=BDD!$P$1,IMPORTS!AB381/25,IF(W381=BDD!$P$2,IMPORTS!AB381/25,IF(IMPORTS!W381=BDD!$P$4,IMPORTS!AB381/25.5,"--")))</f>
        <v>--</v>
      </c>
      <c r="AG381" s="130" t="s">
        <v>58</v>
      </c>
      <c r="AH381" s="130"/>
      <c r="AI381" s="130" t="s">
        <v>71</v>
      </c>
      <c r="AJ381" s="130"/>
      <c r="AK381" s="130"/>
      <c r="AL381" s="135" t="s">
        <v>1727</v>
      </c>
      <c r="AM381" s="314"/>
      <c r="AN381" s="26"/>
      <c r="AO381" s="26"/>
      <c r="AP381" s="26"/>
      <c r="AQ381" s="26">
        <v>43416</v>
      </c>
      <c r="AR381" s="24"/>
      <c r="AS381" s="24"/>
      <c r="AT381" s="24">
        <v>43419</v>
      </c>
      <c r="AU381" s="418">
        <f t="shared" si="17"/>
        <v>11</v>
      </c>
      <c r="AV381" s="418">
        <f t="shared" si="18"/>
        <v>2018</v>
      </c>
      <c r="AW381" s="24"/>
      <c r="AX381" s="28"/>
      <c r="AY381" s="28" t="s">
        <v>321</v>
      </c>
      <c r="AZ381" s="132" t="s">
        <v>62</v>
      </c>
      <c r="BA381" s="132"/>
      <c r="BB381" s="24"/>
      <c r="BC381" s="135" t="s">
        <v>1738</v>
      </c>
      <c r="BD381" s="24">
        <v>43720</v>
      </c>
      <c r="BE381" s="135" t="s">
        <v>1729</v>
      </c>
      <c r="BF381" s="135" t="s">
        <v>1729</v>
      </c>
      <c r="BG381" s="135" t="s">
        <v>52</v>
      </c>
      <c r="BH381" s="135"/>
      <c r="BI381" s="314"/>
      <c r="BJ381" s="314"/>
      <c r="BK381" s="24"/>
      <c r="BL381" s="24"/>
      <c r="BM381" s="24"/>
      <c r="BN381" s="24"/>
      <c r="BO381" s="24"/>
      <c r="BP381" s="24"/>
      <c r="BQ381" s="24"/>
      <c r="BR381" s="43"/>
      <c r="BS381" s="24"/>
      <c r="BT381" s="24"/>
      <c r="BU381" s="24"/>
      <c r="BV381" s="132" t="e">
        <f>IF(#REF!="COMPLETO","OK","PENDIENTES")</f>
        <v>#REF!</v>
      </c>
      <c r="BW381" s="132"/>
      <c r="BX381" s="132"/>
      <c r="BY381" s="132"/>
      <c r="BZ381" s="132"/>
      <c r="CA381" s="132"/>
      <c r="CB381" s="132"/>
      <c r="CC381" s="22"/>
      <c r="CG381" s="24" t="s">
        <v>105</v>
      </c>
      <c r="CH381" s="24"/>
      <c r="CI381" s="24"/>
      <c r="CJ381" s="24"/>
    </row>
    <row r="382" spans="1:88" ht="15" customHeight="1">
      <c r="A382" s="18">
        <v>2018</v>
      </c>
      <c r="B382" s="18" t="str">
        <f>+INDEX(BDD!F:F,MATCH(P382,BDD!D:D,0))&amp;"-"&amp;INDEX(BDD!E:E,MATCH(P382,BDD!D:D,0))</f>
        <v>E-S</v>
      </c>
      <c r="C382" s="360" t="s">
        <v>484</v>
      </c>
      <c r="D382" s="150" t="s">
        <v>77</v>
      </c>
      <c r="E382" s="132"/>
      <c r="F382" s="24"/>
      <c r="G382" s="346">
        <v>8000000195</v>
      </c>
      <c r="H382" s="25" t="s">
        <v>1739</v>
      </c>
      <c r="I382" s="329"/>
      <c r="J382" s="346">
        <v>8000000195</v>
      </c>
      <c r="K382" s="24"/>
      <c r="L382" s="24"/>
      <c r="M382" s="24"/>
      <c r="N382" s="340" t="s">
        <v>486</v>
      </c>
      <c r="O382" s="334">
        <v>204826</v>
      </c>
      <c r="P382" s="25" t="s">
        <v>351</v>
      </c>
      <c r="Q382" s="127" t="s">
        <v>252</v>
      </c>
      <c r="R382" s="128" t="s">
        <v>1740</v>
      </c>
      <c r="S382" s="24">
        <v>43349</v>
      </c>
      <c r="T382" s="36" t="s">
        <v>19</v>
      </c>
      <c r="U382" s="125"/>
      <c r="V382" s="147" t="s">
        <v>1741</v>
      </c>
      <c r="W382" s="129"/>
      <c r="X382" s="88">
        <v>43410</v>
      </c>
      <c r="Y382" s="130" t="s">
        <v>20</v>
      </c>
      <c r="Z382" s="133" t="s">
        <v>60</v>
      </c>
      <c r="AA382" s="133"/>
      <c r="AB382" s="148">
        <v>172.8</v>
      </c>
      <c r="AC382" s="134">
        <v>360</v>
      </c>
      <c r="AD382" s="134"/>
      <c r="AE382" s="403">
        <f t="shared" si="16"/>
        <v>62208.000000000007</v>
      </c>
      <c r="AF382" s="132">
        <v>6</v>
      </c>
      <c r="AG382" s="130" t="s">
        <v>21</v>
      </c>
      <c r="AH382" s="130"/>
      <c r="AI382" s="130" t="s">
        <v>71</v>
      </c>
      <c r="AJ382" s="130"/>
      <c r="AK382" s="130"/>
      <c r="AL382" s="135" t="s">
        <v>1703</v>
      </c>
      <c r="AM382" s="314"/>
      <c r="AN382" s="26"/>
      <c r="AO382" s="26"/>
      <c r="AP382" s="26"/>
      <c r="AQ382" s="26">
        <v>43441</v>
      </c>
      <c r="AR382" s="24"/>
      <c r="AS382" s="24"/>
      <c r="AT382" s="24">
        <v>43444</v>
      </c>
      <c r="AU382" s="418">
        <f t="shared" si="17"/>
        <v>12</v>
      </c>
      <c r="AV382" s="418">
        <f t="shared" si="18"/>
        <v>2018</v>
      </c>
      <c r="AW382" s="24"/>
      <c r="AX382" s="28"/>
      <c r="AY382" s="28" t="s">
        <v>281</v>
      </c>
      <c r="AZ382" s="132" t="s">
        <v>37</v>
      </c>
      <c r="BA382" s="132"/>
      <c r="BB382" s="24"/>
      <c r="BC382" s="135" t="s">
        <v>1742</v>
      </c>
      <c r="BD382" s="24">
        <v>43400</v>
      </c>
      <c r="BE382" s="135" t="s">
        <v>1743</v>
      </c>
      <c r="BF382" s="135" t="s">
        <v>797</v>
      </c>
      <c r="BG382" s="135" t="s">
        <v>64</v>
      </c>
      <c r="BH382" s="135"/>
      <c r="BI382" s="314"/>
      <c r="BJ382" s="314"/>
      <c r="BK382" s="24"/>
      <c r="BL382" s="24"/>
      <c r="BM382" s="24"/>
      <c r="BN382" s="24"/>
      <c r="BO382" s="24"/>
      <c r="BP382" s="24"/>
      <c r="BQ382" s="24"/>
      <c r="BR382" s="43"/>
      <c r="BS382" s="24"/>
      <c r="BT382" s="24"/>
      <c r="BU382" s="24"/>
      <c r="BV382" s="132" t="e">
        <f>IF(#REF!="COMPLETO","OK","PENDIENTES")</f>
        <v>#REF!</v>
      </c>
      <c r="BW382" s="132"/>
      <c r="BX382" s="132"/>
      <c r="BY382" s="132"/>
      <c r="BZ382" s="132"/>
      <c r="CA382" s="132"/>
      <c r="CB382" s="132"/>
      <c r="CC382" s="22"/>
      <c r="CG382" s="24" t="s">
        <v>105</v>
      </c>
      <c r="CH382" s="24"/>
      <c r="CI382" s="24"/>
      <c r="CJ382" s="24"/>
    </row>
    <row r="383" spans="1:88" ht="15" customHeight="1">
      <c r="A383" s="18">
        <v>2018</v>
      </c>
      <c r="B383" s="18" t="str">
        <f>+INDEX(BDD!F:F,MATCH(P383,BDD!D:D,0))&amp;"-"&amp;INDEX(BDD!E:E,MATCH(P383,BDD!D:D,0))</f>
        <v>S-S</v>
      </c>
      <c r="C383" s="360" t="s">
        <v>484</v>
      </c>
      <c r="D383" s="150" t="s">
        <v>77</v>
      </c>
      <c r="E383" s="132" t="s">
        <v>51</v>
      </c>
      <c r="F383" s="24"/>
      <c r="G383" s="346">
        <v>8000000196</v>
      </c>
      <c r="H383" s="25" t="s">
        <v>1744</v>
      </c>
      <c r="I383" s="329"/>
      <c r="J383" s="346">
        <v>8000000196</v>
      </c>
      <c r="K383" s="24"/>
      <c r="L383" s="24"/>
      <c r="M383" s="24"/>
      <c r="N383" s="340" t="s">
        <v>486</v>
      </c>
      <c r="O383" s="334">
        <v>207579</v>
      </c>
      <c r="P383" s="25" t="s">
        <v>238</v>
      </c>
      <c r="Q383" s="127" t="s">
        <v>66</v>
      </c>
      <c r="R383" s="128" t="s">
        <v>1745</v>
      </c>
      <c r="S383" s="24">
        <v>43349</v>
      </c>
      <c r="T383" s="36">
        <v>90</v>
      </c>
      <c r="U383" s="125" t="s">
        <v>118</v>
      </c>
      <c r="V383" s="147" t="s">
        <v>1746</v>
      </c>
      <c r="W383" s="129"/>
      <c r="X383" s="88">
        <v>43479</v>
      </c>
      <c r="Y383" s="130" t="s">
        <v>20</v>
      </c>
      <c r="Z383" s="133" t="s">
        <v>60</v>
      </c>
      <c r="AA383" s="133"/>
      <c r="AB383" s="148">
        <v>130</v>
      </c>
      <c r="AC383" s="134">
        <v>283</v>
      </c>
      <c r="AD383" s="134"/>
      <c r="AE383" s="403">
        <f t="shared" si="16"/>
        <v>36790</v>
      </c>
      <c r="AF383" s="132">
        <v>5</v>
      </c>
      <c r="AG383" s="130" t="s">
        <v>21</v>
      </c>
      <c r="AH383" s="130"/>
      <c r="AI383" s="130" t="s">
        <v>34</v>
      </c>
      <c r="AJ383" s="130"/>
      <c r="AK383" s="130"/>
      <c r="AL383" s="135" t="s">
        <v>605</v>
      </c>
      <c r="AM383" s="314"/>
      <c r="AN383" s="26"/>
      <c r="AO383" s="26"/>
      <c r="AP383" s="26"/>
      <c r="AQ383" s="26">
        <v>43443</v>
      </c>
      <c r="AR383" s="24"/>
      <c r="AS383" s="24"/>
      <c r="AT383" s="26">
        <v>43446</v>
      </c>
      <c r="AU383" s="418">
        <f t="shared" si="17"/>
        <v>12</v>
      </c>
      <c r="AV383" s="418">
        <f t="shared" si="18"/>
        <v>2018</v>
      </c>
      <c r="AW383" s="26"/>
      <c r="AX383" s="28"/>
      <c r="AY383" s="28" t="s">
        <v>311</v>
      </c>
      <c r="AZ383" s="132" t="s">
        <v>37</v>
      </c>
      <c r="BA383" s="132"/>
      <c r="BB383" s="26"/>
      <c r="BC383" s="135" t="s">
        <v>1747</v>
      </c>
      <c r="BD383" s="26">
        <v>43388</v>
      </c>
      <c r="BE383" s="135" t="s">
        <v>1748</v>
      </c>
      <c r="BF383" s="135" t="s">
        <v>1749</v>
      </c>
      <c r="BG383" s="135" t="s">
        <v>28</v>
      </c>
      <c r="BH383" s="135"/>
      <c r="BI383" s="314"/>
      <c r="BJ383" s="314"/>
      <c r="BK383" s="24"/>
      <c r="BL383" s="24"/>
      <c r="BM383" s="24"/>
      <c r="BN383" s="24"/>
      <c r="BO383" s="24">
        <f>+AQ383+14</f>
        <v>43457</v>
      </c>
      <c r="BP383" s="24"/>
      <c r="BQ383" s="24"/>
      <c r="BR383" s="43"/>
      <c r="BS383" s="24"/>
      <c r="BT383" s="24"/>
      <c r="BU383" s="24"/>
      <c r="BV383" s="132" t="e">
        <f>IF(#REF!="COMPLETO","OK","PENDIENTES")</f>
        <v>#REF!</v>
      </c>
      <c r="BW383" s="132"/>
      <c r="BX383" s="132"/>
      <c r="BY383" s="132"/>
      <c r="BZ383" s="132"/>
      <c r="CA383" s="132"/>
      <c r="CB383" s="132"/>
      <c r="CC383" s="22"/>
      <c r="CG383" s="24" t="s">
        <v>105</v>
      </c>
      <c r="CH383" s="24"/>
      <c r="CI383" s="26"/>
      <c r="CJ383" s="26"/>
    </row>
    <row r="384" spans="1:88" ht="15" customHeight="1">
      <c r="A384" s="18">
        <v>2018</v>
      </c>
      <c r="B384" s="18" t="str">
        <f>+INDEX(BDD!F:F,MATCH(P384,BDD!D:D,0))&amp;"-"&amp;INDEX(BDD!E:E,MATCH(P384,BDD!D:D,0))</f>
        <v>S-S</v>
      </c>
      <c r="C384" s="360" t="s">
        <v>484</v>
      </c>
      <c r="D384" s="150" t="s">
        <v>77</v>
      </c>
      <c r="E384" s="132" t="s">
        <v>51</v>
      </c>
      <c r="F384" s="24"/>
      <c r="G384" s="346">
        <v>8000000197</v>
      </c>
      <c r="H384" s="25" t="s">
        <v>1750</v>
      </c>
      <c r="I384" s="329"/>
      <c r="J384" s="346">
        <v>8000000197</v>
      </c>
      <c r="K384" s="24"/>
      <c r="L384" s="24"/>
      <c r="M384" s="24"/>
      <c r="N384" s="340" t="s">
        <v>486</v>
      </c>
      <c r="O384" s="334">
        <v>207579</v>
      </c>
      <c r="P384" s="25" t="s">
        <v>238</v>
      </c>
      <c r="Q384" s="127" t="s">
        <v>66</v>
      </c>
      <c r="R384" s="128" t="s">
        <v>1745</v>
      </c>
      <c r="S384" s="24">
        <v>43349</v>
      </c>
      <c r="T384" s="36">
        <v>90</v>
      </c>
      <c r="U384" s="125" t="s">
        <v>118</v>
      </c>
      <c r="V384" s="147" t="s">
        <v>1751</v>
      </c>
      <c r="W384" s="129"/>
      <c r="X384" s="88">
        <v>43487</v>
      </c>
      <c r="Y384" s="130" t="s">
        <v>20</v>
      </c>
      <c r="Z384" s="133" t="s">
        <v>60</v>
      </c>
      <c r="AA384" s="133"/>
      <c r="AB384" s="148">
        <v>76</v>
      </c>
      <c r="AC384" s="134">
        <v>285</v>
      </c>
      <c r="AD384" s="134"/>
      <c r="AE384" s="403">
        <f t="shared" si="16"/>
        <v>21660</v>
      </c>
      <c r="AF384" s="132">
        <v>3</v>
      </c>
      <c r="AG384" s="130" t="s">
        <v>21</v>
      </c>
      <c r="AH384" s="130"/>
      <c r="AI384" s="130" t="s">
        <v>34</v>
      </c>
      <c r="AJ384" s="130"/>
      <c r="AK384" s="130"/>
      <c r="AL384" s="135" t="s">
        <v>605</v>
      </c>
      <c r="AM384" s="314"/>
      <c r="AN384" s="26"/>
      <c r="AO384" s="26"/>
      <c r="AP384" s="26"/>
      <c r="AQ384" s="26">
        <v>43439</v>
      </c>
      <c r="AR384" s="24"/>
      <c r="AS384" s="24"/>
      <c r="AT384" s="24">
        <v>43440</v>
      </c>
      <c r="AU384" s="418">
        <f t="shared" si="17"/>
        <v>12</v>
      </c>
      <c r="AV384" s="418">
        <f t="shared" si="18"/>
        <v>2018</v>
      </c>
      <c r="AW384" s="24"/>
      <c r="AX384" s="28"/>
      <c r="AY384" s="28" t="s">
        <v>311</v>
      </c>
      <c r="AZ384" s="132" t="s">
        <v>9</v>
      </c>
      <c r="BA384" s="132"/>
      <c r="BB384" s="24"/>
      <c r="BC384" s="144" t="s">
        <v>1752</v>
      </c>
      <c r="BD384" s="26">
        <v>43392</v>
      </c>
      <c r="BE384" s="135" t="s">
        <v>1660</v>
      </c>
      <c r="BF384" s="135" t="s">
        <v>1753</v>
      </c>
      <c r="BG384" s="135" t="s">
        <v>174</v>
      </c>
      <c r="BH384" s="135"/>
      <c r="BI384" s="314"/>
      <c r="BJ384" s="314"/>
      <c r="BK384" s="24"/>
      <c r="BL384" s="24"/>
      <c r="BM384" s="24"/>
      <c r="BN384" s="24"/>
      <c r="BO384" s="24">
        <f>+AQ384+14</f>
        <v>43453</v>
      </c>
      <c r="BP384" s="24"/>
      <c r="BQ384" s="24"/>
      <c r="BR384" s="43"/>
      <c r="BS384" s="24"/>
      <c r="BT384" s="24"/>
      <c r="BU384" s="24"/>
      <c r="BV384" s="132" t="e">
        <f>IF(#REF!="COMPLETO","OK","PENDIENTES")</f>
        <v>#REF!</v>
      </c>
      <c r="BW384" s="132"/>
      <c r="BX384" s="132"/>
      <c r="BY384" s="132"/>
      <c r="BZ384" s="132"/>
      <c r="CA384" s="132"/>
      <c r="CB384" s="132"/>
      <c r="CC384" s="22"/>
      <c r="CG384" s="24" t="s">
        <v>105</v>
      </c>
      <c r="CH384" s="24"/>
      <c r="CI384" s="24"/>
      <c r="CJ384" s="24"/>
    </row>
    <row r="385" spans="1:88" ht="15.75" customHeight="1">
      <c r="A385" s="18">
        <v>2018</v>
      </c>
      <c r="B385" s="18" t="str">
        <f>+INDEX(BDD!F:F,MATCH(P385,BDD!D:D,0))&amp;"-"&amp;INDEX(BDD!E:E,MATCH(P385,BDD!D:D,0))</f>
        <v>S-P</v>
      </c>
      <c r="C385" s="125" t="s">
        <v>484</v>
      </c>
      <c r="D385" s="150" t="s">
        <v>77</v>
      </c>
      <c r="E385" s="132"/>
      <c r="F385" s="24"/>
      <c r="G385" s="346">
        <v>8000000198</v>
      </c>
      <c r="H385" s="125" t="s">
        <v>1754</v>
      </c>
      <c r="I385" s="329"/>
      <c r="J385" s="346">
        <v>8000000198</v>
      </c>
      <c r="K385" s="24"/>
      <c r="L385" s="24"/>
      <c r="M385" s="24"/>
      <c r="N385" s="340" t="s">
        <v>486</v>
      </c>
      <c r="O385" s="334">
        <v>206710</v>
      </c>
      <c r="P385" s="25" t="s">
        <v>232</v>
      </c>
      <c r="Q385" s="127" t="s">
        <v>288</v>
      </c>
      <c r="R385" s="128" t="s">
        <v>1755</v>
      </c>
      <c r="S385" s="88">
        <v>43362</v>
      </c>
      <c r="T385" s="36" t="s">
        <v>4</v>
      </c>
      <c r="U385" s="125"/>
      <c r="V385" s="147" t="s">
        <v>1756</v>
      </c>
      <c r="W385" s="129"/>
      <c r="X385" s="88">
        <v>43368</v>
      </c>
      <c r="Y385" s="130" t="s">
        <v>20</v>
      </c>
      <c r="Z385" s="133" t="s">
        <v>60</v>
      </c>
      <c r="AA385" s="133"/>
      <c r="AB385" s="148">
        <v>72</v>
      </c>
      <c r="AC385" s="134">
        <v>331</v>
      </c>
      <c r="AD385" s="134"/>
      <c r="AE385" s="403">
        <f t="shared" si="16"/>
        <v>23832</v>
      </c>
      <c r="AF385" s="132">
        <v>3</v>
      </c>
      <c r="AG385" s="130" t="s">
        <v>5</v>
      </c>
      <c r="AH385" s="130"/>
      <c r="AI385" s="130" t="s">
        <v>71</v>
      </c>
      <c r="AJ385" s="130"/>
      <c r="AK385" s="130"/>
      <c r="AL385" s="135" t="s">
        <v>624</v>
      </c>
      <c r="AM385" s="314"/>
      <c r="AN385" s="26"/>
      <c r="AO385" s="26"/>
      <c r="AP385" s="26"/>
      <c r="AQ385" s="26">
        <v>43441</v>
      </c>
      <c r="AR385" s="24"/>
      <c r="AS385" s="24"/>
      <c r="AT385" s="24">
        <v>43444</v>
      </c>
      <c r="AU385" s="418">
        <f t="shared" si="17"/>
        <v>12</v>
      </c>
      <c r="AV385" s="418">
        <f t="shared" si="18"/>
        <v>2018</v>
      </c>
      <c r="AW385" s="24"/>
      <c r="AX385" s="28"/>
      <c r="AY385" s="28" t="s">
        <v>269</v>
      </c>
      <c r="AZ385" s="132" t="s">
        <v>9</v>
      </c>
      <c r="BA385" s="132"/>
      <c r="BB385" s="24"/>
      <c r="BC385" s="144" t="s">
        <v>1757</v>
      </c>
      <c r="BD385" s="24">
        <v>43390</v>
      </c>
      <c r="BE385" s="135" t="s">
        <v>1758</v>
      </c>
      <c r="BF385" s="135" t="s">
        <v>594</v>
      </c>
      <c r="BG385" s="135" t="s">
        <v>14</v>
      </c>
      <c r="BH385" s="135"/>
      <c r="BI385" s="314"/>
      <c r="BJ385" s="314"/>
      <c r="BK385" s="24"/>
      <c r="BL385" s="24"/>
      <c r="BM385" s="24"/>
      <c r="BN385" s="24"/>
      <c r="BO385" s="24">
        <v>43461</v>
      </c>
      <c r="BP385" s="24"/>
      <c r="BQ385" s="24"/>
      <c r="BR385" s="43"/>
      <c r="BS385" s="24"/>
      <c r="BT385" s="24"/>
      <c r="BU385" s="24"/>
      <c r="BV385" s="132" t="e">
        <f>IF(#REF!="COMPLETO","OK","PENDIENTES")</f>
        <v>#REF!</v>
      </c>
      <c r="BW385" s="132"/>
      <c r="BX385" s="132"/>
      <c r="BY385" s="132"/>
      <c r="BZ385" s="132"/>
      <c r="CA385" s="132"/>
      <c r="CB385" s="132"/>
      <c r="CC385" s="22"/>
      <c r="CG385" s="24" t="s">
        <v>105</v>
      </c>
      <c r="CH385" s="24"/>
      <c r="CI385" s="24"/>
      <c r="CJ385" s="24"/>
    </row>
    <row r="386" spans="1:88" ht="15" customHeight="1">
      <c r="A386" s="18">
        <v>2018</v>
      </c>
      <c r="B386" s="18" t="str">
        <f>+INDEX(BDD!F:F,MATCH(P386,BDD!D:D,0))&amp;"-"&amp;INDEX(BDD!E:E,MATCH(P386,BDD!D:D,0))</f>
        <v>S-P</v>
      </c>
      <c r="C386" s="125" t="s">
        <v>484</v>
      </c>
      <c r="D386" s="150" t="s">
        <v>77</v>
      </c>
      <c r="E386" s="132"/>
      <c r="F386" s="24"/>
      <c r="G386" s="346">
        <v>8000000319</v>
      </c>
      <c r="H386" s="125" t="s">
        <v>1759</v>
      </c>
      <c r="I386" s="329"/>
      <c r="J386" s="346">
        <v>8000000319</v>
      </c>
      <c r="K386" s="24"/>
      <c r="L386" s="24"/>
      <c r="M386" s="24"/>
      <c r="N386" s="340" t="s">
        <v>486</v>
      </c>
      <c r="O386" s="334">
        <v>206710</v>
      </c>
      <c r="P386" s="25" t="s">
        <v>232</v>
      </c>
      <c r="Q386" s="127" t="s">
        <v>288</v>
      </c>
      <c r="R386" s="128" t="s">
        <v>1760</v>
      </c>
      <c r="S386" s="88">
        <v>43362</v>
      </c>
      <c r="T386" s="36" t="s">
        <v>4</v>
      </c>
      <c r="U386" s="125"/>
      <c r="V386" s="147" t="s">
        <v>1761</v>
      </c>
      <c r="W386" s="129"/>
      <c r="X386" s="88">
        <v>43368</v>
      </c>
      <c r="Y386" s="130" t="s">
        <v>20</v>
      </c>
      <c r="Z386" s="133" t="s">
        <v>60</v>
      </c>
      <c r="AA386" s="133"/>
      <c r="AB386" s="148">
        <v>96</v>
      </c>
      <c r="AC386" s="134">
        <v>331</v>
      </c>
      <c r="AD386" s="134"/>
      <c r="AE386" s="403">
        <f t="shared" ref="AE386:AE449" si="19">AB386*AC386</f>
        <v>31776</v>
      </c>
      <c r="AF386" s="132">
        <v>4</v>
      </c>
      <c r="AG386" s="130" t="s">
        <v>5</v>
      </c>
      <c r="AH386" s="130"/>
      <c r="AI386" s="130" t="s">
        <v>71</v>
      </c>
      <c r="AJ386" s="130"/>
      <c r="AK386" s="130"/>
      <c r="AL386" s="135" t="s">
        <v>624</v>
      </c>
      <c r="AM386" s="314"/>
      <c r="AN386" s="26"/>
      <c r="AO386" s="26"/>
      <c r="AP386" s="26"/>
      <c r="AQ386" s="26">
        <v>43461</v>
      </c>
      <c r="AR386" s="24"/>
      <c r="AS386" s="24"/>
      <c r="AT386" s="26">
        <v>43467</v>
      </c>
      <c r="AU386" s="418">
        <f t="shared" si="17"/>
        <v>1</v>
      </c>
      <c r="AV386" s="418">
        <f t="shared" si="18"/>
        <v>2019</v>
      </c>
      <c r="AW386" s="26"/>
      <c r="AX386" s="28"/>
      <c r="AY386" s="28" t="s">
        <v>269</v>
      </c>
      <c r="AZ386" s="132" t="s">
        <v>9</v>
      </c>
      <c r="BA386" s="132"/>
      <c r="BB386" s="26"/>
      <c r="BC386" s="135" t="s">
        <v>1762</v>
      </c>
      <c r="BD386" s="24">
        <v>43411</v>
      </c>
      <c r="BE386" s="135" t="s">
        <v>1763</v>
      </c>
      <c r="BF386" s="135" t="s">
        <v>1764</v>
      </c>
      <c r="BG386" s="135" t="s">
        <v>14</v>
      </c>
      <c r="BH386" s="135"/>
      <c r="BI386" s="314"/>
      <c r="BJ386" s="314"/>
      <c r="BK386" s="24"/>
      <c r="BL386" s="24"/>
      <c r="BM386" s="24"/>
      <c r="BN386" s="24"/>
      <c r="BO386" s="24">
        <f>+AQ386+14</f>
        <v>43475</v>
      </c>
      <c r="BP386" s="24"/>
      <c r="BQ386" s="24"/>
      <c r="BR386" s="43"/>
      <c r="BS386" s="24"/>
      <c r="BT386" s="24"/>
      <c r="BU386" s="24"/>
      <c r="BV386" s="132" t="e">
        <f>IF(#REF!="COMPLETO","OK","PENDIENTES")</f>
        <v>#REF!</v>
      </c>
      <c r="BW386" s="132"/>
      <c r="BX386" s="132"/>
      <c r="BY386" s="132"/>
      <c r="BZ386" s="132"/>
      <c r="CA386" s="132"/>
      <c r="CB386" s="132"/>
      <c r="CC386" s="22"/>
      <c r="CG386" s="24" t="s">
        <v>105</v>
      </c>
      <c r="CH386" s="24"/>
      <c r="CI386" s="26"/>
      <c r="CJ386" s="26"/>
    </row>
    <row r="387" spans="1:88" ht="15" customHeight="1">
      <c r="A387" s="18">
        <v>2018</v>
      </c>
      <c r="B387" s="18" t="str">
        <f>+INDEX(BDD!F:F,MATCH(P387,BDD!D:D,0))&amp;"-"&amp;INDEX(BDD!E:E,MATCH(P387,BDD!D:D,0))</f>
        <v>G-S</v>
      </c>
      <c r="C387" s="125" t="s">
        <v>484</v>
      </c>
      <c r="D387" s="150" t="s">
        <v>77</v>
      </c>
      <c r="E387" s="132"/>
      <c r="F387" s="24"/>
      <c r="G387" s="346">
        <v>8000000285</v>
      </c>
      <c r="H387" s="125" t="s">
        <v>1765</v>
      </c>
      <c r="I387" s="329"/>
      <c r="J387" s="346">
        <v>8000000285</v>
      </c>
      <c r="K387" s="24"/>
      <c r="L387" s="24"/>
      <c r="M387" s="24"/>
      <c r="N387" s="340" t="s">
        <v>486</v>
      </c>
      <c r="O387" s="334">
        <v>207791</v>
      </c>
      <c r="P387" s="25" t="s">
        <v>98</v>
      </c>
      <c r="Q387" s="127" t="s">
        <v>90</v>
      </c>
      <c r="R387" s="232" t="s">
        <v>944</v>
      </c>
      <c r="S387" s="89"/>
      <c r="T387" s="36">
        <v>180</v>
      </c>
      <c r="U387" s="125" t="s">
        <v>118</v>
      </c>
      <c r="V387" s="147" t="s">
        <v>1766</v>
      </c>
      <c r="W387" s="129"/>
      <c r="X387" s="88">
        <v>43515</v>
      </c>
      <c r="Y387" s="130" t="s">
        <v>20</v>
      </c>
      <c r="Z387" s="133" t="s">
        <v>60</v>
      </c>
      <c r="AA387" s="133"/>
      <c r="AB387" s="148">
        <v>2970</v>
      </c>
      <c r="AC387" s="134">
        <v>309.5</v>
      </c>
      <c r="AD387" s="134"/>
      <c r="AE387" s="403">
        <f t="shared" si="19"/>
        <v>919215</v>
      </c>
      <c r="AF387" s="132" t="str">
        <f>IF(W387=BDD!$P$1,IMPORTS!AB387/25,IF(W387=BDD!$P$2,IMPORTS!AB387/25,IF(IMPORTS!W387=BDD!$P$4,IMPORTS!AB387/25.5,"--")))</f>
        <v>--</v>
      </c>
      <c r="AG387" s="130" t="s">
        <v>46</v>
      </c>
      <c r="AH387" s="130"/>
      <c r="AI387" s="130" t="s">
        <v>100</v>
      </c>
      <c r="AJ387" s="130"/>
      <c r="AK387" s="130"/>
      <c r="AL387" s="135" t="s">
        <v>605</v>
      </c>
      <c r="AM387" s="314"/>
      <c r="AN387" s="26"/>
      <c r="AO387" s="26"/>
      <c r="AP387" s="26"/>
      <c r="AQ387" s="26">
        <v>43431</v>
      </c>
      <c r="AR387" s="24"/>
      <c r="AS387" s="24"/>
      <c r="AT387" s="24">
        <v>43432</v>
      </c>
      <c r="AU387" s="418">
        <f t="shared" ref="AU387:AU450" si="20">MONTH(AT387)</f>
        <v>11</v>
      </c>
      <c r="AV387" s="418">
        <f t="shared" ref="AV387:AV450" si="21">YEAR(AT387)</f>
        <v>2018</v>
      </c>
      <c r="AW387" s="24"/>
      <c r="AX387" s="28"/>
      <c r="AY387" s="28" t="s">
        <v>245</v>
      </c>
      <c r="AZ387" s="132" t="s">
        <v>9</v>
      </c>
      <c r="BA387" s="132"/>
      <c r="BB387" s="24"/>
      <c r="BC387" s="135" t="s">
        <v>1767</v>
      </c>
      <c r="BD387" s="24">
        <v>43413</v>
      </c>
      <c r="BE387" s="135" t="s">
        <v>1768</v>
      </c>
      <c r="BF387" s="135" t="s">
        <v>1768</v>
      </c>
      <c r="BG387" s="135" t="s">
        <v>52</v>
      </c>
      <c r="BH387" s="135"/>
      <c r="BI387" s="314"/>
      <c r="BJ387" s="314"/>
      <c r="BK387" s="24"/>
      <c r="BL387" s="24"/>
      <c r="BM387" s="24"/>
      <c r="BN387" s="24"/>
      <c r="BO387" s="24"/>
      <c r="BP387" s="24"/>
      <c r="BQ387" s="24"/>
      <c r="BR387" s="43"/>
      <c r="BS387" s="24"/>
      <c r="BT387" s="24"/>
      <c r="BU387" s="24"/>
      <c r="BV387" s="132" t="e">
        <f>IF(#REF!="COMPLETO","OK","PENDIENTES")</f>
        <v>#REF!</v>
      </c>
      <c r="BW387" s="132"/>
      <c r="BX387" s="132"/>
      <c r="BY387" s="132"/>
      <c r="BZ387" s="132"/>
      <c r="CA387" s="132"/>
      <c r="CB387" s="132"/>
      <c r="CC387" s="22"/>
      <c r="CG387" s="24" t="s">
        <v>105</v>
      </c>
      <c r="CH387" s="24"/>
      <c r="CI387" s="24"/>
      <c r="CJ387" s="24"/>
    </row>
    <row r="388" spans="1:88" ht="15" customHeight="1">
      <c r="A388" s="18">
        <v>2018</v>
      </c>
      <c r="B388" s="18" t="str">
        <f>+INDEX(BDD!F:F,MATCH(P388,BDD!D:D,0))&amp;"-"&amp;INDEX(BDD!E:E,MATCH(P388,BDD!D:D,0))</f>
        <v>S-P</v>
      </c>
      <c r="C388" s="125" t="s">
        <v>484</v>
      </c>
      <c r="D388" s="150" t="s">
        <v>77</v>
      </c>
      <c r="E388" s="132"/>
      <c r="F388" s="24"/>
      <c r="G388" s="346">
        <v>8000000201</v>
      </c>
      <c r="H388" s="125" t="s">
        <v>1769</v>
      </c>
      <c r="I388" s="329"/>
      <c r="J388" s="346">
        <v>8000000201</v>
      </c>
      <c r="K388" s="24"/>
      <c r="L388" s="24"/>
      <c r="M388" s="24"/>
      <c r="N388" s="340" t="s">
        <v>486</v>
      </c>
      <c r="O388" s="334">
        <v>207374</v>
      </c>
      <c r="P388" s="25" t="s">
        <v>232</v>
      </c>
      <c r="Q388" s="127" t="s">
        <v>288</v>
      </c>
      <c r="R388" s="128" t="s">
        <v>1770</v>
      </c>
      <c r="S388" s="89">
        <v>43362</v>
      </c>
      <c r="T388" s="36" t="s">
        <v>4</v>
      </c>
      <c r="U388" s="125"/>
      <c r="V388" s="147" t="s">
        <v>1771</v>
      </c>
      <c r="W388" s="129"/>
      <c r="X388" s="88">
        <v>43368</v>
      </c>
      <c r="Y388" s="130" t="s">
        <v>20</v>
      </c>
      <c r="Z388" s="133" t="s">
        <v>60</v>
      </c>
      <c r="AA388" s="133"/>
      <c r="AB388" s="148">
        <v>192</v>
      </c>
      <c r="AC388" s="134">
        <v>377</v>
      </c>
      <c r="AD388" s="134"/>
      <c r="AE388" s="403">
        <f t="shared" si="19"/>
        <v>72384</v>
      </c>
      <c r="AF388" s="132">
        <v>8</v>
      </c>
      <c r="AG388" s="130" t="s">
        <v>5</v>
      </c>
      <c r="AH388" s="130"/>
      <c r="AI388" s="130" t="s">
        <v>34</v>
      </c>
      <c r="AJ388" s="130"/>
      <c r="AK388" s="130"/>
      <c r="AL388" s="135" t="s">
        <v>605</v>
      </c>
      <c r="AM388" s="314"/>
      <c r="AN388" s="26"/>
      <c r="AO388" s="26"/>
      <c r="AP388" s="26"/>
      <c r="AQ388" s="26">
        <v>43445</v>
      </c>
      <c r="AR388" s="24"/>
      <c r="AS388" s="24"/>
      <c r="AT388" s="26">
        <v>43448</v>
      </c>
      <c r="AU388" s="418">
        <f t="shared" si="20"/>
        <v>12</v>
      </c>
      <c r="AV388" s="418">
        <f t="shared" si="21"/>
        <v>2018</v>
      </c>
      <c r="AW388" s="26"/>
      <c r="AX388" s="28"/>
      <c r="AY388" s="28" t="s">
        <v>269</v>
      </c>
      <c r="AZ388" s="132" t="s">
        <v>37</v>
      </c>
      <c r="BA388" s="132"/>
      <c r="BB388" s="26"/>
      <c r="BC388" s="135" t="s">
        <v>1772</v>
      </c>
      <c r="BD388" s="24">
        <v>43395</v>
      </c>
      <c r="BE388" s="135" t="s">
        <v>1773</v>
      </c>
      <c r="BF388" s="135" t="s">
        <v>870</v>
      </c>
      <c r="BG388" s="135" t="s">
        <v>64</v>
      </c>
      <c r="BH388" s="135"/>
      <c r="BI388" s="314"/>
      <c r="BJ388" s="314"/>
      <c r="BK388" s="24"/>
      <c r="BL388" s="24"/>
      <c r="BM388" s="24"/>
      <c r="BN388" s="24"/>
      <c r="BO388" s="24"/>
      <c r="BP388" s="24"/>
      <c r="BQ388" s="24"/>
      <c r="BR388" s="43"/>
      <c r="BS388" s="24"/>
      <c r="BT388" s="24"/>
      <c r="BU388" s="24"/>
      <c r="BV388" s="132" t="e">
        <f>IF(#REF!="COMPLETO","OK","PENDIENTES")</f>
        <v>#REF!</v>
      </c>
      <c r="BW388" s="132"/>
      <c r="BX388" s="132"/>
      <c r="BY388" s="132"/>
      <c r="BZ388" s="132"/>
      <c r="CA388" s="132"/>
      <c r="CB388" s="132"/>
      <c r="CC388" s="22"/>
      <c r="CG388" s="24" t="s">
        <v>105</v>
      </c>
      <c r="CH388" s="24"/>
      <c r="CI388" s="26"/>
      <c r="CJ388" s="26"/>
    </row>
    <row r="389" spans="1:88" ht="15" customHeight="1">
      <c r="A389" s="18">
        <v>2018</v>
      </c>
      <c r="B389" s="18" t="str">
        <f>+INDEX(BDD!F:F,MATCH(P389,BDD!D:D,0))&amp;"-"&amp;INDEX(BDD!E:E,MATCH(P389,BDD!D:D,0))</f>
        <v>S-P</v>
      </c>
      <c r="C389" s="125" t="s">
        <v>484</v>
      </c>
      <c r="D389" s="150" t="s">
        <v>77</v>
      </c>
      <c r="E389" s="132"/>
      <c r="F389" s="24"/>
      <c r="G389" s="346">
        <v>8000000202</v>
      </c>
      <c r="H389" s="125" t="s">
        <v>1774</v>
      </c>
      <c r="I389" s="329"/>
      <c r="J389" s="346">
        <v>8000000202</v>
      </c>
      <c r="K389" s="24"/>
      <c r="L389" s="24"/>
      <c r="M389" s="24"/>
      <c r="N389" s="340" t="s">
        <v>486</v>
      </c>
      <c r="O389" s="334">
        <v>207374</v>
      </c>
      <c r="P389" s="25" t="s">
        <v>232</v>
      </c>
      <c r="Q389" s="127" t="s">
        <v>288</v>
      </c>
      <c r="R389" s="128" t="s">
        <v>1775</v>
      </c>
      <c r="S389" s="89">
        <v>43362</v>
      </c>
      <c r="T389" s="36" t="s">
        <v>4</v>
      </c>
      <c r="U389" s="125"/>
      <c r="V389" s="147" t="s">
        <v>1776</v>
      </c>
      <c r="W389" s="129"/>
      <c r="X389" s="88">
        <v>43368</v>
      </c>
      <c r="Y389" s="130" t="s">
        <v>20</v>
      </c>
      <c r="Z389" s="133" t="s">
        <v>60</v>
      </c>
      <c r="AA389" s="133"/>
      <c r="AB389" s="148">
        <v>192</v>
      </c>
      <c r="AC389" s="134">
        <v>387</v>
      </c>
      <c r="AD389" s="134"/>
      <c r="AE389" s="403">
        <f t="shared" si="19"/>
        <v>74304</v>
      </c>
      <c r="AF389" s="132">
        <v>8</v>
      </c>
      <c r="AG389" s="130" t="s">
        <v>5</v>
      </c>
      <c r="AH389" s="130"/>
      <c r="AI389" s="130" t="s">
        <v>34</v>
      </c>
      <c r="AJ389" s="130"/>
      <c r="AK389" s="130"/>
      <c r="AL389" s="135" t="s">
        <v>605</v>
      </c>
      <c r="AM389" s="314"/>
      <c r="AN389" s="26"/>
      <c r="AO389" s="26"/>
      <c r="AP389" s="26"/>
      <c r="AQ389" s="26">
        <v>43437</v>
      </c>
      <c r="AR389" s="24"/>
      <c r="AS389" s="24"/>
      <c r="AT389" s="24">
        <v>43439</v>
      </c>
      <c r="AU389" s="418">
        <f t="shared" si="20"/>
        <v>12</v>
      </c>
      <c r="AV389" s="418">
        <f t="shared" si="21"/>
        <v>2018</v>
      </c>
      <c r="AW389" s="24"/>
      <c r="AX389" s="28"/>
      <c r="AY389" s="28" t="s">
        <v>269</v>
      </c>
      <c r="AZ389" s="132" t="s">
        <v>9</v>
      </c>
      <c r="BA389" s="132"/>
      <c r="BB389" s="24"/>
      <c r="BC389" s="135" t="s">
        <v>1777</v>
      </c>
      <c r="BD389" s="24">
        <v>43395</v>
      </c>
      <c r="BE389" s="135" t="s">
        <v>1773</v>
      </c>
      <c r="BF389" s="135" t="s">
        <v>932</v>
      </c>
      <c r="BG389" s="135" t="s">
        <v>64</v>
      </c>
      <c r="BH389" s="135"/>
      <c r="BI389" s="314"/>
      <c r="BJ389" s="314"/>
      <c r="BK389" s="24"/>
      <c r="BL389" s="24"/>
      <c r="BM389" s="24"/>
      <c r="BN389" s="24"/>
      <c r="BO389" s="24"/>
      <c r="BP389" s="24"/>
      <c r="BQ389" s="24"/>
      <c r="BR389" s="43"/>
      <c r="BS389" s="24"/>
      <c r="BT389" s="24"/>
      <c r="BU389" s="24"/>
      <c r="BV389" s="132" t="e">
        <f>IF(#REF!="COMPLETO","OK","PENDIENTES")</f>
        <v>#REF!</v>
      </c>
      <c r="BW389" s="132"/>
      <c r="BX389" s="132"/>
      <c r="BY389" s="132"/>
      <c r="BZ389" s="132"/>
      <c r="CA389" s="132"/>
      <c r="CB389" s="132"/>
      <c r="CC389" s="22"/>
      <c r="CG389" s="24" t="s">
        <v>105</v>
      </c>
      <c r="CH389" s="24"/>
      <c r="CI389" s="24"/>
      <c r="CJ389" s="24"/>
    </row>
    <row r="390" spans="1:88" ht="15" customHeight="1">
      <c r="A390" s="18">
        <v>2018</v>
      </c>
      <c r="B390" s="18" t="str">
        <f>+INDEX(BDD!F:F,MATCH(P390,BDD!D:D,0))&amp;"-"&amp;INDEX(BDD!E:E,MATCH(P390,BDD!D:D,0))</f>
        <v>S-S</v>
      </c>
      <c r="C390" s="125" t="s">
        <v>484</v>
      </c>
      <c r="D390" s="150" t="s">
        <v>77</v>
      </c>
      <c r="E390" s="132"/>
      <c r="F390" s="24"/>
      <c r="G390" s="346">
        <v>8000000286</v>
      </c>
      <c r="H390" s="125" t="s">
        <v>1778</v>
      </c>
      <c r="I390" s="329"/>
      <c r="J390" s="346">
        <v>8000000286</v>
      </c>
      <c r="K390" s="24"/>
      <c r="L390" s="24"/>
      <c r="M390" s="24"/>
      <c r="N390" s="340" t="s">
        <v>486</v>
      </c>
      <c r="O390" s="334">
        <v>207578</v>
      </c>
      <c r="P390" s="25" t="s">
        <v>316</v>
      </c>
      <c r="Q390" s="127" t="s">
        <v>213</v>
      </c>
      <c r="R390" s="232" t="s">
        <v>1779</v>
      </c>
      <c r="S390" s="89">
        <v>43362</v>
      </c>
      <c r="T390" s="36">
        <v>120</v>
      </c>
      <c r="U390" s="125" t="s">
        <v>118</v>
      </c>
      <c r="V390" s="147" t="s">
        <v>1780</v>
      </c>
      <c r="W390" s="129"/>
      <c r="X390" s="88">
        <f>IF(RIGHT(U390,3)="ETA",AQ390+T390,IF(RIGHT(U390,2)="BL",BD390+T390," "))</f>
        <v>43530</v>
      </c>
      <c r="Y390" s="130" t="s">
        <v>20</v>
      </c>
      <c r="Z390" s="133" t="s">
        <v>60</v>
      </c>
      <c r="AA390" s="133"/>
      <c r="AB390" s="148">
        <v>1080</v>
      </c>
      <c r="AC390" s="134">
        <v>259</v>
      </c>
      <c r="AD390" s="134"/>
      <c r="AE390" s="403">
        <f t="shared" si="19"/>
        <v>279720</v>
      </c>
      <c r="AF390" s="132" t="str">
        <f>IF(W390=BDD!$P$1,IMPORTS!AB390/25,IF(W390=BDD!$P$2,IMPORTS!AB390/25,IF(IMPORTS!W390=BDD!$P$4,IMPORTS!AB390/25.5,"--")))</f>
        <v>--</v>
      </c>
      <c r="AG390" s="130" t="s">
        <v>58</v>
      </c>
      <c r="AH390" s="130"/>
      <c r="AI390" s="130" t="s">
        <v>34</v>
      </c>
      <c r="AJ390" s="130"/>
      <c r="AK390" s="130"/>
      <c r="AL390" s="135" t="s">
        <v>1703</v>
      </c>
      <c r="AM390" s="314"/>
      <c r="AN390" s="26"/>
      <c r="AO390" s="26"/>
      <c r="AP390" s="26"/>
      <c r="AQ390" s="26">
        <v>43444</v>
      </c>
      <c r="AR390" s="24"/>
      <c r="AS390" s="24"/>
      <c r="AT390" s="26">
        <v>43455</v>
      </c>
      <c r="AU390" s="418">
        <f t="shared" si="20"/>
        <v>12</v>
      </c>
      <c r="AV390" s="418">
        <f t="shared" si="21"/>
        <v>2018</v>
      </c>
      <c r="AW390" s="26"/>
      <c r="AX390" s="28"/>
      <c r="AY390" s="28" t="s">
        <v>607</v>
      </c>
      <c r="AZ390" s="132" t="s">
        <v>37</v>
      </c>
      <c r="BA390" s="132"/>
      <c r="BB390" s="26"/>
      <c r="BC390" s="135" t="s">
        <v>1781</v>
      </c>
      <c r="BD390" s="24">
        <v>43410</v>
      </c>
      <c r="BE390" s="135" t="s">
        <v>1782</v>
      </c>
      <c r="BF390" s="135" t="s">
        <v>1782</v>
      </c>
      <c r="BG390" s="135" t="s">
        <v>52</v>
      </c>
      <c r="BH390" s="135"/>
      <c r="BI390" s="314"/>
      <c r="BJ390" s="314"/>
      <c r="BK390" s="24"/>
      <c r="BL390" s="24"/>
      <c r="BM390" s="24"/>
      <c r="BN390" s="24"/>
      <c r="BO390" s="24"/>
      <c r="BP390" s="24"/>
      <c r="BQ390" s="24"/>
      <c r="BR390" s="43"/>
      <c r="BS390" s="24"/>
      <c r="BT390" s="24"/>
      <c r="BU390" s="24"/>
      <c r="BV390" s="132" t="e">
        <f>IF(#REF!="COMPLETO","OK","PENDIENTES")</f>
        <v>#REF!</v>
      </c>
      <c r="BW390" s="132"/>
      <c r="BX390" s="132"/>
      <c r="BY390" s="132"/>
      <c r="BZ390" s="132"/>
      <c r="CA390" s="132"/>
      <c r="CB390" s="132"/>
      <c r="CC390" s="22"/>
      <c r="CG390" s="24" t="s">
        <v>105</v>
      </c>
      <c r="CH390" s="24"/>
      <c r="CI390" s="26"/>
      <c r="CJ390" s="26"/>
    </row>
    <row r="391" spans="1:88" ht="15" customHeight="1">
      <c r="A391" s="18">
        <v>2018</v>
      </c>
      <c r="B391" s="18" t="str">
        <f>+INDEX(BDD!F:F,MATCH(P391,BDD!D:D,0))&amp;"-"&amp;INDEX(BDD!E:E,MATCH(P391,BDD!D:D,0))</f>
        <v>S-S</v>
      </c>
      <c r="C391" s="125" t="s">
        <v>484</v>
      </c>
      <c r="D391" s="150" t="s">
        <v>77</v>
      </c>
      <c r="E391" s="132"/>
      <c r="F391" s="24"/>
      <c r="G391" s="346">
        <v>8000000310</v>
      </c>
      <c r="H391" s="125" t="s">
        <v>1783</v>
      </c>
      <c r="I391" s="329"/>
      <c r="J391" s="346">
        <v>8000000310</v>
      </c>
      <c r="K391" s="24"/>
      <c r="L391" s="24"/>
      <c r="M391" s="24"/>
      <c r="N391" s="340" t="s">
        <v>486</v>
      </c>
      <c r="O391" s="334">
        <v>206971</v>
      </c>
      <c r="P391" s="25" t="s">
        <v>340</v>
      </c>
      <c r="Q391" s="127" t="s">
        <v>213</v>
      </c>
      <c r="R391" s="232" t="s">
        <v>1784</v>
      </c>
      <c r="S391" s="89">
        <v>43362</v>
      </c>
      <c r="T391" s="36">
        <v>120</v>
      </c>
      <c r="U391" s="125" t="s">
        <v>118</v>
      </c>
      <c r="V391" s="147" t="s">
        <v>1785</v>
      </c>
      <c r="W391" s="129"/>
      <c r="X391" s="88">
        <f>IF(RIGHT(U391,3)="ETA",AQ391+T391,IF(RIGHT(U391,2)="BL",BD391+T391," "))</f>
        <v>43535</v>
      </c>
      <c r="Y391" s="130" t="s">
        <v>20</v>
      </c>
      <c r="Z391" s="133" t="s">
        <v>60</v>
      </c>
      <c r="AA391" s="133"/>
      <c r="AB391" s="148">
        <v>750</v>
      </c>
      <c r="AC391" s="134">
        <v>548.76</v>
      </c>
      <c r="AD391" s="134"/>
      <c r="AE391" s="403">
        <f t="shared" si="19"/>
        <v>411570</v>
      </c>
      <c r="AF391" s="132">
        <v>30</v>
      </c>
      <c r="AG391" s="130" t="s">
        <v>5</v>
      </c>
      <c r="AH391" s="130"/>
      <c r="AI391" s="130" t="s">
        <v>34</v>
      </c>
      <c r="AJ391" s="130"/>
      <c r="AK391" s="130"/>
      <c r="AL391" s="135" t="s">
        <v>1703</v>
      </c>
      <c r="AM391" s="314"/>
      <c r="AN391" s="26"/>
      <c r="AO391" s="26"/>
      <c r="AP391" s="26"/>
      <c r="AQ391" s="26">
        <v>43462</v>
      </c>
      <c r="AR391" s="24"/>
      <c r="AS391" s="24"/>
      <c r="AT391" s="26">
        <v>43467</v>
      </c>
      <c r="AU391" s="418">
        <f t="shared" si="20"/>
        <v>1</v>
      </c>
      <c r="AV391" s="418">
        <f t="shared" si="21"/>
        <v>2019</v>
      </c>
      <c r="AW391" s="26"/>
      <c r="AX391" s="28"/>
      <c r="AY391" s="28" t="s">
        <v>193</v>
      </c>
      <c r="AZ391" s="132" t="s">
        <v>9</v>
      </c>
      <c r="BA391" s="132"/>
      <c r="BB391" s="26"/>
      <c r="BC391" s="135" t="s">
        <v>1786</v>
      </c>
      <c r="BD391" s="24">
        <v>43415</v>
      </c>
      <c r="BE391" s="135" t="s">
        <v>1787</v>
      </c>
      <c r="BF391" s="135" t="s">
        <v>589</v>
      </c>
      <c r="BG391" s="135" t="s">
        <v>65</v>
      </c>
      <c r="BH391" s="135"/>
      <c r="BI391" s="314"/>
      <c r="BJ391" s="314"/>
      <c r="BK391" s="24"/>
      <c r="BL391" s="24"/>
      <c r="BM391" s="24"/>
      <c r="BN391" s="24"/>
      <c r="BO391" s="24">
        <f>+AQ391+14</f>
        <v>43476</v>
      </c>
      <c r="BP391" s="24"/>
      <c r="BQ391" s="24"/>
      <c r="BR391" s="43"/>
      <c r="BS391" s="24"/>
      <c r="BT391" s="24"/>
      <c r="BU391" s="24"/>
      <c r="BV391" s="132" t="e">
        <f>IF(#REF!="COMPLETO","OK","PENDIENTES")</f>
        <v>#REF!</v>
      </c>
      <c r="BW391" s="132"/>
      <c r="BX391" s="132"/>
      <c r="BY391" s="132"/>
      <c r="BZ391" s="132"/>
      <c r="CA391" s="132"/>
      <c r="CB391" s="132"/>
      <c r="CC391" s="22"/>
      <c r="CG391" s="24" t="s">
        <v>105</v>
      </c>
      <c r="CH391" s="24"/>
      <c r="CI391" s="26"/>
      <c r="CJ391" s="26"/>
    </row>
    <row r="392" spans="1:88" ht="15" customHeight="1">
      <c r="A392" s="18">
        <v>2018</v>
      </c>
      <c r="B392" s="18" t="str">
        <f>+INDEX(BDD!F:F,MATCH(P392,BDD!D:D,0))&amp;"-"&amp;INDEX(BDD!E:E,MATCH(P392,BDD!D:D,0))</f>
        <v>S-S</v>
      </c>
      <c r="C392" s="125" t="s">
        <v>484</v>
      </c>
      <c r="D392" s="150" t="s">
        <v>77</v>
      </c>
      <c r="E392" s="132"/>
      <c r="F392" s="24"/>
      <c r="G392" s="346">
        <v>8000000311</v>
      </c>
      <c r="H392" s="125" t="s">
        <v>1788</v>
      </c>
      <c r="I392" s="329"/>
      <c r="J392" s="346">
        <v>8000000311</v>
      </c>
      <c r="K392" s="24"/>
      <c r="L392" s="24"/>
      <c r="M392" s="24"/>
      <c r="N392" s="340" t="s">
        <v>486</v>
      </c>
      <c r="O392" s="334">
        <v>206971</v>
      </c>
      <c r="P392" s="25" t="s">
        <v>340</v>
      </c>
      <c r="Q392" s="127" t="s">
        <v>213</v>
      </c>
      <c r="R392" s="232" t="s">
        <v>1784</v>
      </c>
      <c r="S392" s="89">
        <v>43362</v>
      </c>
      <c r="T392" s="36">
        <v>120</v>
      </c>
      <c r="U392" s="125" t="s">
        <v>118</v>
      </c>
      <c r="V392" s="147" t="s">
        <v>1789</v>
      </c>
      <c r="W392" s="129"/>
      <c r="X392" s="88">
        <f>IF(RIGHT(U392,3)="ETA",AQ392+T392,IF(RIGHT(U392,2)="BL",BD392+T392," "))</f>
        <v>43542</v>
      </c>
      <c r="Y392" s="130" t="s">
        <v>20</v>
      </c>
      <c r="Z392" s="133" t="s">
        <v>60</v>
      </c>
      <c r="AA392" s="133"/>
      <c r="AB392" s="148">
        <v>250</v>
      </c>
      <c r="AC392" s="134">
        <v>548.76</v>
      </c>
      <c r="AD392" s="134"/>
      <c r="AE392" s="403">
        <f t="shared" si="19"/>
        <v>137190</v>
      </c>
      <c r="AF392" s="132">
        <v>10</v>
      </c>
      <c r="AG392" s="130" t="s">
        <v>5</v>
      </c>
      <c r="AH392" s="130"/>
      <c r="AI392" s="130" t="s">
        <v>34</v>
      </c>
      <c r="AJ392" s="130"/>
      <c r="AK392" s="130"/>
      <c r="AL392" s="135" t="s">
        <v>1703</v>
      </c>
      <c r="AM392" s="314"/>
      <c r="AN392" s="26"/>
      <c r="AO392" s="26"/>
      <c r="AP392" s="26"/>
      <c r="AQ392" s="26">
        <v>43461</v>
      </c>
      <c r="AR392" s="24"/>
      <c r="AS392" s="24"/>
      <c r="AT392" s="26">
        <v>43467</v>
      </c>
      <c r="AU392" s="418">
        <f t="shared" si="20"/>
        <v>1</v>
      </c>
      <c r="AV392" s="418">
        <f t="shared" si="21"/>
        <v>2019</v>
      </c>
      <c r="AW392" s="26"/>
      <c r="AX392" s="28"/>
      <c r="AY392" s="28" t="s">
        <v>193</v>
      </c>
      <c r="AZ392" s="132" t="s">
        <v>9</v>
      </c>
      <c r="BA392" s="132"/>
      <c r="BB392" s="26"/>
      <c r="BC392" s="135" t="s">
        <v>1790</v>
      </c>
      <c r="BD392" s="24">
        <v>43422</v>
      </c>
      <c r="BE392" s="135" t="s">
        <v>1791</v>
      </c>
      <c r="BF392" s="135" t="s">
        <v>589</v>
      </c>
      <c r="BG392" s="135" t="s">
        <v>65</v>
      </c>
      <c r="BH392" s="135"/>
      <c r="BI392" s="314"/>
      <c r="BJ392" s="314"/>
      <c r="BK392" s="24"/>
      <c r="BL392" s="24"/>
      <c r="BM392" s="24"/>
      <c r="BN392" s="24"/>
      <c r="BO392" s="24"/>
      <c r="BP392" s="24"/>
      <c r="BQ392" s="24"/>
      <c r="BR392" s="43"/>
      <c r="BS392" s="24"/>
      <c r="BT392" s="24"/>
      <c r="BU392" s="24"/>
      <c r="BV392" s="132" t="e">
        <f>IF(#REF!="COMPLETO","OK","PENDIENTES")</f>
        <v>#REF!</v>
      </c>
      <c r="BW392" s="132"/>
      <c r="BX392" s="132"/>
      <c r="BY392" s="132"/>
      <c r="BZ392" s="132"/>
      <c r="CA392" s="132"/>
      <c r="CB392" s="132"/>
      <c r="CC392" s="22"/>
      <c r="CG392" s="24" t="s">
        <v>105</v>
      </c>
      <c r="CH392" s="24"/>
      <c r="CI392" s="26"/>
      <c r="CJ392" s="26"/>
    </row>
    <row r="393" spans="1:88" ht="15" customHeight="1">
      <c r="A393" s="18">
        <v>2018</v>
      </c>
      <c r="B393" s="18" t="str">
        <f>+INDEX(BDD!F:F,MATCH(P393,BDD!D:D,0))&amp;"-"&amp;INDEX(BDD!E:E,MATCH(P393,BDD!D:D,0))</f>
        <v>S-S</v>
      </c>
      <c r="C393" s="125" t="s">
        <v>484</v>
      </c>
      <c r="D393" s="150" t="s">
        <v>77</v>
      </c>
      <c r="E393" s="132"/>
      <c r="F393" s="24"/>
      <c r="G393" s="346">
        <v>8000000297</v>
      </c>
      <c r="H393" s="125" t="s">
        <v>1792</v>
      </c>
      <c r="I393" s="329"/>
      <c r="J393" s="346">
        <v>8000000297</v>
      </c>
      <c r="K393" s="24"/>
      <c r="L393" s="24"/>
      <c r="M393" s="24"/>
      <c r="N393" s="340" t="s">
        <v>486</v>
      </c>
      <c r="O393" s="334">
        <v>207578</v>
      </c>
      <c r="P393" s="25" t="s">
        <v>229</v>
      </c>
      <c r="Q393" s="127" t="s">
        <v>175</v>
      </c>
      <c r="R393" s="232" t="s">
        <v>1793</v>
      </c>
      <c r="S393" s="89">
        <v>43367</v>
      </c>
      <c r="T393" s="36" t="s">
        <v>19</v>
      </c>
      <c r="U393" s="125"/>
      <c r="V393" s="147" t="s">
        <v>1794</v>
      </c>
      <c r="W393" s="129"/>
      <c r="X393" s="88">
        <v>43420</v>
      </c>
      <c r="Y393" s="130" t="s">
        <v>20</v>
      </c>
      <c r="Z393" s="133" t="s">
        <v>81</v>
      </c>
      <c r="AA393" s="133"/>
      <c r="AB393" s="148">
        <v>504</v>
      </c>
      <c r="AC393" s="134">
        <v>260</v>
      </c>
      <c r="AD393" s="134"/>
      <c r="AE393" s="403">
        <f t="shared" si="19"/>
        <v>131040</v>
      </c>
      <c r="AF393" s="132">
        <v>18</v>
      </c>
      <c r="AG393" s="130" t="s">
        <v>21</v>
      </c>
      <c r="AH393" s="130"/>
      <c r="AI393" s="130" t="s">
        <v>34</v>
      </c>
      <c r="AJ393" s="130"/>
      <c r="AK393" s="130"/>
      <c r="AL393" s="135" t="s">
        <v>605</v>
      </c>
      <c r="AM393" s="314"/>
      <c r="AN393" s="26"/>
      <c r="AO393" s="26"/>
      <c r="AP393" s="26"/>
      <c r="AQ393" s="26">
        <v>43460</v>
      </c>
      <c r="AR393" s="24"/>
      <c r="AS393" s="24"/>
      <c r="AT393" s="24">
        <v>43461</v>
      </c>
      <c r="AU393" s="418">
        <f t="shared" si="20"/>
        <v>12</v>
      </c>
      <c r="AV393" s="418">
        <f t="shared" si="21"/>
        <v>2018</v>
      </c>
      <c r="AW393" s="24"/>
      <c r="AX393" s="28"/>
      <c r="AY393" s="28" t="s">
        <v>311</v>
      </c>
      <c r="AZ393" s="132" t="s">
        <v>9</v>
      </c>
      <c r="BA393" s="132"/>
      <c r="BB393" s="24"/>
      <c r="BC393" s="135" t="s">
        <v>1795</v>
      </c>
      <c r="BD393" s="24">
        <v>43409</v>
      </c>
      <c r="BE393" s="135" t="s">
        <v>1660</v>
      </c>
      <c r="BF393" s="135" t="s">
        <v>1796</v>
      </c>
      <c r="BG393" s="135" t="s">
        <v>174</v>
      </c>
      <c r="BH393" s="135"/>
      <c r="BI393" s="314"/>
      <c r="BJ393" s="314"/>
      <c r="BK393" s="24"/>
      <c r="BL393" s="24"/>
      <c r="BM393" s="24"/>
      <c r="BN393" s="24"/>
      <c r="BO393" s="24">
        <f>+AQ393+14</f>
        <v>43474</v>
      </c>
      <c r="BP393" s="24"/>
      <c r="BQ393" s="24"/>
      <c r="BR393" s="43"/>
      <c r="BS393" s="24"/>
      <c r="BT393" s="24"/>
      <c r="BU393" s="24"/>
      <c r="BV393" s="132" t="e">
        <f>IF(#REF!="COMPLETO","OK","PENDIENTES")</f>
        <v>#REF!</v>
      </c>
      <c r="BW393" s="132"/>
      <c r="BX393" s="132"/>
      <c r="BY393" s="132"/>
      <c r="BZ393" s="132"/>
      <c r="CA393" s="132"/>
      <c r="CB393" s="132"/>
      <c r="CC393" s="22"/>
      <c r="CG393" s="24" t="s">
        <v>105</v>
      </c>
      <c r="CH393" s="24"/>
      <c r="CI393" s="24"/>
      <c r="CJ393" s="24"/>
    </row>
    <row r="394" spans="1:88" ht="15" customHeight="1">
      <c r="A394" s="18">
        <v>2018</v>
      </c>
      <c r="B394" s="18" t="str">
        <f>+INDEX(BDD!F:F,MATCH(P394,BDD!D:D,0))&amp;"-"&amp;INDEX(BDD!E:E,MATCH(P394,BDD!D:D,0))</f>
        <v>S-S</v>
      </c>
      <c r="C394" s="125" t="s">
        <v>484</v>
      </c>
      <c r="D394" s="150" t="s">
        <v>77</v>
      </c>
      <c r="E394" s="132"/>
      <c r="F394" s="24"/>
      <c r="G394" s="346">
        <v>8000000333</v>
      </c>
      <c r="H394" s="125" t="s">
        <v>1797</v>
      </c>
      <c r="I394" s="329"/>
      <c r="J394" s="346">
        <v>8000000333</v>
      </c>
      <c r="K394" s="24"/>
      <c r="L394" s="24"/>
      <c r="M394" s="24"/>
      <c r="N394" s="340" t="s">
        <v>486</v>
      </c>
      <c r="O394" s="334">
        <v>207578</v>
      </c>
      <c r="P394" s="25" t="s">
        <v>229</v>
      </c>
      <c r="Q394" s="127" t="s">
        <v>175</v>
      </c>
      <c r="R394" s="232" t="s">
        <v>1793</v>
      </c>
      <c r="S394" s="89">
        <v>43367</v>
      </c>
      <c r="T394" s="36" t="s">
        <v>19</v>
      </c>
      <c r="U394" s="125"/>
      <c r="V394" s="147" t="s">
        <v>1798</v>
      </c>
      <c r="W394" s="129"/>
      <c r="X394" s="88">
        <v>43453</v>
      </c>
      <c r="Y394" s="130" t="s">
        <v>20</v>
      </c>
      <c r="Z394" s="133" t="s">
        <v>81</v>
      </c>
      <c r="AA394" s="133"/>
      <c r="AB394" s="148">
        <v>504</v>
      </c>
      <c r="AC394" s="134">
        <v>260</v>
      </c>
      <c r="AD394" s="134"/>
      <c r="AE394" s="403">
        <f t="shared" si="19"/>
        <v>131040</v>
      </c>
      <c r="AF394" s="132">
        <v>18</v>
      </c>
      <c r="AG394" s="130" t="s">
        <v>21</v>
      </c>
      <c r="AH394" s="130"/>
      <c r="AI394" s="130" t="s">
        <v>34</v>
      </c>
      <c r="AJ394" s="130"/>
      <c r="AK394" s="130"/>
      <c r="AL394" s="135" t="s">
        <v>605</v>
      </c>
      <c r="AM394" s="314"/>
      <c r="AN394" s="26"/>
      <c r="AO394" s="26"/>
      <c r="AP394" s="26"/>
      <c r="AQ394" s="26">
        <v>43488</v>
      </c>
      <c r="AR394" s="24"/>
      <c r="AS394" s="24"/>
      <c r="AT394" s="24">
        <v>43489</v>
      </c>
      <c r="AU394" s="418">
        <f t="shared" si="20"/>
        <v>1</v>
      </c>
      <c r="AV394" s="418">
        <f t="shared" si="21"/>
        <v>2019</v>
      </c>
      <c r="AW394" s="24"/>
      <c r="AX394" s="28"/>
      <c r="AY394" s="28" t="s">
        <v>311</v>
      </c>
      <c r="AZ394" s="132" t="s">
        <v>9</v>
      </c>
      <c r="BA394" s="132"/>
      <c r="BB394" s="24"/>
      <c r="BC394" s="135" t="s">
        <v>1799</v>
      </c>
      <c r="BD394" s="24">
        <v>43436</v>
      </c>
      <c r="BE394" s="135" t="s">
        <v>1800</v>
      </c>
      <c r="BF394" s="135" t="s">
        <v>1251</v>
      </c>
      <c r="BG394" s="135" t="s">
        <v>174</v>
      </c>
      <c r="BH394" s="135"/>
      <c r="BI394" s="314"/>
      <c r="BJ394" s="314"/>
      <c r="BK394" s="24"/>
      <c r="BL394" s="24"/>
      <c r="BM394" s="24"/>
      <c r="BN394" s="24"/>
      <c r="BO394" s="24">
        <f>+AQ394+14</f>
        <v>43502</v>
      </c>
      <c r="BP394" s="24"/>
      <c r="BQ394" s="24"/>
      <c r="BR394" s="43"/>
      <c r="BS394" s="24"/>
      <c r="BT394" s="24"/>
      <c r="BU394" s="24"/>
      <c r="BV394" s="132" t="e">
        <f>IF(#REF!="COMPLETO","OK","PENDIENTES")</f>
        <v>#REF!</v>
      </c>
      <c r="BW394" s="132"/>
      <c r="BX394" s="132"/>
      <c r="BY394" s="132"/>
      <c r="BZ394" s="132"/>
      <c r="CA394" s="132"/>
      <c r="CB394" s="132"/>
      <c r="CC394" s="22"/>
      <c r="CG394" s="24" t="s">
        <v>105</v>
      </c>
      <c r="CH394" s="24"/>
      <c r="CI394" s="24"/>
      <c r="CJ394" s="24"/>
    </row>
    <row r="395" spans="1:88" ht="15" customHeight="1">
      <c r="A395" s="18">
        <v>2018</v>
      </c>
      <c r="B395" s="18" t="str">
        <f>+INDEX(BDD!F:F,MATCH(P395,BDD!D:D,0))&amp;"-"&amp;INDEX(BDD!E:E,MATCH(P395,BDD!D:D,0))</f>
        <v>-</v>
      </c>
      <c r="C395" s="125" t="s">
        <v>484</v>
      </c>
      <c r="D395" s="150" t="s">
        <v>77</v>
      </c>
      <c r="E395" s="132"/>
      <c r="F395" s="24"/>
      <c r="G395" s="346">
        <v>8000000206</v>
      </c>
      <c r="H395" s="125" t="s">
        <v>1801</v>
      </c>
      <c r="I395" s="329"/>
      <c r="J395" s="346">
        <v>8000000206</v>
      </c>
      <c r="K395" s="24"/>
      <c r="L395" s="24"/>
      <c r="M395" s="24"/>
      <c r="N395" s="340" t="s">
        <v>1802</v>
      </c>
      <c r="O395" s="334"/>
      <c r="P395" s="25" t="s">
        <v>192</v>
      </c>
      <c r="Q395" s="127" t="s">
        <v>129</v>
      </c>
      <c r="R395" s="232"/>
      <c r="S395" s="89"/>
      <c r="T395" s="36" t="s">
        <v>19</v>
      </c>
      <c r="U395" s="125"/>
      <c r="V395" s="147" t="s">
        <v>1803</v>
      </c>
      <c r="W395" s="129"/>
      <c r="X395" s="88">
        <v>43395</v>
      </c>
      <c r="Y395" s="130" t="s">
        <v>20</v>
      </c>
      <c r="Z395" s="133" t="s">
        <v>60</v>
      </c>
      <c r="AA395" s="133"/>
      <c r="AB395" s="148">
        <v>1</v>
      </c>
      <c r="AC395" s="134">
        <v>65945</v>
      </c>
      <c r="AD395" s="134"/>
      <c r="AE395" s="403">
        <f t="shared" si="19"/>
        <v>65945</v>
      </c>
      <c r="AF395" s="132" t="str">
        <f>IF(W395=BDD!$P$1,IMPORTS!AB395/25,IF(W395=BDD!$P$2,IMPORTS!AB395/25,IF(IMPORTS!W395=BDD!$P$4,IMPORTS!AB395/25.5,"--")))</f>
        <v>--</v>
      </c>
      <c r="AG395" s="130" t="s">
        <v>21</v>
      </c>
      <c r="AH395" s="130"/>
      <c r="AI395" s="130"/>
      <c r="AJ395" s="130"/>
      <c r="AK395" s="130"/>
      <c r="AL395" s="24" t="s">
        <v>1804</v>
      </c>
      <c r="AM395" s="314"/>
      <c r="AN395" s="26"/>
      <c r="AO395" s="26"/>
      <c r="AP395" s="26"/>
      <c r="AQ395" s="26">
        <v>43459</v>
      </c>
      <c r="AR395" s="24"/>
      <c r="AS395" s="24"/>
      <c r="AT395" s="24">
        <v>43473</v>
      </c>
      <c r="AU395" s="418">
        <f t="shared" si="20"/>
        <v>1</v>
      </c>
      <c r="AV395" s="418">
        <f t="shared" si="21"/>
        <v>2019</v>
      </c>
      <c r="AW395" s="24"/>
      <c r="AX395" s="28"/>
      <c r="AY395" s="28" t="s">
        <v>236</v>
      </c>
      <c r="AZ395" s="132" t="s">
        <v>9</v>
      </c>
      <c r="BA395" s="132"/>
      <c r="BB395" s="24"/>
      <c r="BC395" s="135" t="s">
        <v>1805</v>
      </c>
      <c r="BD395" s="24">
        <v>43427</v>
      </c>
      <c r="BE395" s="135" t="s">
        <v>1806</v>
      </c>
      <c r="BF395" s="135" t="s">
        <v>1807</v>
      </c>
      <c r="BG395" s="135" t="s">
        <v>29</v>
      </c>
      <c r="BH395" s="135"/>
      <c r="BI395" s="314"/>
      <c r="BJ395" s="314"/>
      <c r="BK395" s="24"/>
      <c r="BL395" s="24"/>
      <c r="BM395" s="24"/>
      <c r="BN395" s="24"/>
      <c r="BO395" s="24"/>
      <c r="BP395" s="24"/>
      <c r="BQ395" s="24"/>
      <c r="BR395" s="43"/>
      <c r="BS395" s="24"/>
      <c r="BT395" s="24"/>
      <c r="BU395" s="24"/>
      <c r="BV395" s="132" t="e">
        <f>IF(#REF!="COMPLETO","OK","PENDIENTES")</f>
        <v>#REF!</v>
      </c>
      <c r="BW395" s="132"/>
      <c r="BX395" s="132"/>
      <c r="BY395" s="132"/>
      <c r="BZ395" s="132"/>
      <c r="CA395" s="132"/>
      <c r="CB395" s="132"/>
      <c r="CC395" s="22"/>
      <c r="CG395" s="24" t="s">
        <v>105</v>
      </c>
      <c r="CH395" s="24"/>
      <c r="CI395" s="24"/>
      <c r="CJ395" s="24"/>
    </row>
    <row r="396" spans="1:88" ht="15.75" customHeight="1">
      <c r="A396" s="18">
        <v>2018</v>
      </c>
      <c r="B396" s="18" t="str">
        <f>+INDEX(BDD!F:F,MATCH(P396,BDD!D:D,0))&amp;"-"&amp;INDEX(BDD!E:E,MATCH(P396,BDD!D:D,0))</f>
        <v>-</v>
      </c>
      <c r="C396" s="125" t="s">
        <v>484</v>
      </c>
      <c r="D396" s="150" t="s">
        <v>77</v>
      </c>
      <c r="E396" s="132"/>
      <c r="F396" s="24"/>
      <c r="G396" s="346">
        <v>8000000207</v>
      </c>
      <c r="H396" s="125" t="s">
        <v>1808</v>
      </c>
      <c r="I396" s="329"/>
      <c r="J396" s="346">
        <v>8000000207</v>
      </c>
      <c r="K396" s="24"/>
      <c r="L396" s="24"/>
      <c r="M396" s="24"/>
      <c r="N396" s="340" t="s">
        <v>1802</v>
      </c>
      <c r="O396" s="334"/>
      <c r="P396" s="25" t="s">
        <v>192</v>
      </c>
      <c r="Q396" s="127" t="s">
        <v>129</v>
      </c>
      <c r="R396" s="232"/>
      <c r="S396" s="89"/>
      <c r="T396" s="36" t="s">
        <v>19</v>
      </c>
      <c r="U396" s="125"/>
      <c r="V396" s="147" t="s">
        <v>1809</v>
      </c>
      <c r="W396" s="129"/>
      <c r="X396" s="88">
        <v>43395</v>
      </c>
      <c r="Y396" s="130" t="s">
        <v>20</v>
      </c>
      <c r="Z396" s="133" t="s">
        <v>60</v>
      </c>
      <c r="AA396" s="133"/>
      <c r="AB396" s="148">
        <v>1</v>
      </c>
      <c r="AC396" s="134">
        <v>65195</v>
      </c>
      <c r="AD396" s="134"/>
      <c r="AE396" s="403">
        <f t="shared" si="19"/>
        <v>65195</v>
      </c>
      <c r="AF396" s="132" t="str">
        <f>IF(W396=BDD!$P$1,IMPORTS!AB396/25,IF(W396=BDD!$P$2,IMPORTS!AB396/25,IF(IMPORTS!W396=BDD!$P$4,IMPORTS!AB396/25.5,"--")))</f>
        <v>--</v>
      </c>
      <c r="AG396" s="130" t="s">
        <v>21</v>
      </c>
      <c r="AH396" s="130"/>
      <c r="AI396" s="130"/>
      <c r="AJ396" s="130"/>
      <c r="AK396" s="130"/>
      <c r="AL396" s="24" t="s">
        <v>1804</v>
      </c>
      <c r="AM396" s="314"/>
      <c r="AN396" s="26"/>
      <c r="AO396" s="26"/>
      <c r="AP396" s="26"/>
      <c r="AQ396" s="26">
        <v>43443</v>
      </c>
      <c r="AR396" s="24"/>
      <c r="AS396" s="24"/>
      <c r="AT396" s="24">
        <v>43447</v>
      </c>
      <c r="AU396" s="418">
        <f t="shared" si="20"/>
        <v>12</v>
      </c>
      <c r="AV396" s="418">
        <f t="shared" si="21"/>
        <v>2018</v>
      </c>
      <c r="AW396" s="24"/>
      <c r="AX396" s="28"/>
      <c r="AY396" s="28" t="s">
        <v>236</v>
      </c>
      <c r="AZ396" s="132" t="s">
        <v>37</v>
      </c>
      <c r="BA396" s="132"/>
      <c r="BB396" s="24"/>
      <c r="BC396" s="135" t="s">
        <v>1810</v>
      </c>
      <c r="BD396" s="24">
        <v>43428</v>
      </c>
      <c r="BE396" s="135" t="s">
        <v>1811</v>
      </c>
      <c r="BF396" s="135" t="s">
        <v>1811</v>
      </c>
      <c r="BG396" s="135" t="s">
        <v>29</v>
      </c>
      <c r="BH396" s="135"/>
      <c r="BI396" s="314"/>
      <c r="BJ396" s="314"/>
      <c r="BK396" s="24"/>
      <c r="BL396" s="24"/>
      <c r="BM396" s="24"/>
      <c r="BN396" s="24"/>
      <c r="BO396" s="24"/>
      <c r="BP396" s="24"/>
      <c r="BQ396" s="24"/>
      <c r="BR396" s="43"/>
      <c r="BS396" s="24"/>
      <c r="BT396" s="24"/>
      <c r="BU396" s="24"/>
      <c r="BV396" s="132" t="e">
        <f>IF(#REF!="COMPLETO","OK","PENDIENTES")</f>
        <v>#REF!</v>
      </c>
      <c r="BW396" s="132"/>
      <c r="BX396" s="132"/>
      <c r="BY396" s="132"/>
      <c r="BZ396" s="132"/>
      <c r="CA396" s="132"/>
      <c r="CB396" s="132"/>
      <c r="CC396" s="22"/>
      <c r="CG396" s="24" t="s">
        <v>105</v>
      </c>
      <c r="CH396" s="24"/>
      <c r="CI396" s="24"/>
      <c r="CJ396" s="24"/>
    </row>
    <row r="397" spans="1:88" ht="15" customHeight="1">
      <c r="A397" s="18">
        <v>2018</v>
      </c>
      <c r="B397" s="18" t="str">
        <f>+INDEX(BDD!F:F,MATCH(P397,BDD!D:D,0))&amp;"-"&amp;INDEX(BDD!E:E,MATCH(P397,BDD!D:D,0))</f>
        <v>E-S</v>
      </c>
      <c r="C397" s="125" t="s">
        <v>484</v>
      </c>
      <c r="D397" s="150" t="s">
        <v>77</v>
      </c>
      <c r="E397" s="132"/>
      <c r="F397" s="24"/>
      <c r="G397" s="346">
        <v>8000000208</v>
      </c>
      <c r="H397" s="125" t="s">
        <v>1812</v>
      </c>
      <c r="I397" s="329"/>
      <c r="J397" s="346">
        <v>8000000208</v>
      </c>
      <c r="K397" s="24"/>
      <c r="L397" s="24"/>
      <c r="M397" s="24"/>
      <c r="N397" s="340" t="s">
        <v>486</v>
      </c>
      <c r="O397" s="334">
        <v>204825</v>
      </c>
      <c r="P397" s="25" t="s">
        <v>31</v>
      </c>
      <c r="Q397" s="127" t="s">
        <v>146</v>
      </c>
      <c r="R397" s="232" t="s">
        <v>1813</v>
      </c>
      <c r="S397" s="232"/>
      <c r="T397" s="36">
        <v>90</v>
      </c>
      <c r="U397" s="125" t="s">
        <v>118</v>
      </c>
      <c r="V397" s="147" t="s">
        <v>1814</v>
      </c>
      <c r="W397" s="129"/>
      <c r="X397" s="88">
        <v>43489</v>
      </c>
      <c r="Y397" s="130" t="s">
        <v>20</v>
      </c>
      <c r="Z397" s="133" t="s">
        <v>60</v>
      </c>
      <c r="AA397" s="133"/>
      <c r="AB397" s="148">
        <v>27.21</v>
      </c>
      <c r="AC397" s="134">
        <v>1166.8871738331495</v>
      </c>
      <c r="AD397" s="134"/>
      <c r="AE397" s="403">
        <f t="shared" si="19"/>
        <v>31751</v>
      </c>
      <c r="AF397" s="132">
        <v>2</v>
      </c>
      <c r="AG397" s="130" t="s">
        <v>21</v>
      </c>
      <c r="AH397" s="130"/>
      <c r="AI397" s="130" t="s">
        <v>100</v>
      </c>
      <c r="AJ397" s="130"/>
      <c r="AK397" s="130"/>
      <c r="AL397" s="135" t="s">
        <v>1727</v>
      </c>
      <c r="AM397" s="314"/>
      <c r="AN397" s="26"/>
      <c r="AO397" s="26"/>
      <c r="AP397" s="26"/>
      <c r="AQ397" s="26">
        <v>43423</v>
      </c>
      <c r="AR397" s="24"/>
      <c r="AS397" s="24"/>
      <c r="AT397" s="24">
        <v>43425</v>
      </c>
      <c r="AU397" s="418">
        <f t="shared" si="20"/>
        <v>11</v>
      </c>
      <c r="AV397" s="418">
        <f t="shared" si="21"/>
        <v>2018</v>
      </c>
      <c r="AW397" s="24"/>
      <c r="AX397" s="28"/>
      <c r="AY397" s="28" t="s">
        <v>127</v>
      </c>
      <c r="AZ397" s="132" t="s">
        <v>37</v>
      </c>
      <c r="BA397" s="132"/>
      <c r="BB397" s="24"/>
      <c r="BC397" s="135" t="s">
        <v>1815</v>
      </c>
      <c r="BD397" s="24">
        <v>43395</v>
      </c>
      <c r="BE397" s="135" t="s">
        <v>1816</v>
      </c>
      <c r="BF397" s="135" t="s">
        <v>1817</v>
      </c>
      <c r="BG397" s="135" t="s">
        <v>53</v>
      </c>
      <c r="BH397" s="135"/>
      <c r="BI397" s="314"/>
      <c r="BJ397" s="314"/>
      <c r="BK397" s="24"/>
      <c r="BL397" s="24"/>
      <c r="BM397" s="24"/>
      <c r="BN397" s="24"/>
      <c r="BO397" s="24"/>
      <c r="BP397" s="24"/>
      <c r="BQ397" s="24"/>
      <c r="BR397" s="43"/>
      <c r="BS397" s="24"/>
      <c r="BT397" s="24"/>
      <c r="BU397" s="24"/>
      <c r="BV397" s="132" t="e">
        <f>IF(#REF!="COMPLETO","OK","PENDIENTES")</f>
        <v>#REF!</v>
      </c>
      <c r="BW397" s="132"/>
      <c r="BX397" s="132"/>
      <c r="BY397" s="132"/>
      <c r="BZ397" s="132"/>
      <c r="CA397" s="132"/>
      <c r="CB397" s="132"/>
      <c r="CC397" s="22"/>
      <c r="CG397" s="24" t="s">
        <v>105</v>
      </c>
      <c r="CH397" s="24"/>
      <c r="CI397" s="24"/>
      <c r="CJ397" s="24"/>
    </row>
    <row r="398" spans="1:88" ht="14.25" customHeight="1">
      <c r="A398" s="18">
        <v>2018</v>
      </c>
      <c r="B398" s="18" t="str">
        <f>+INDEX(BDD!F:F,MATCH(P398,BDD!D:D,0))&amp;"-"&amp;INDEX(BDD!E:E,MATCH(P398,BDD!D:D,0))</f>
        <v>S-C</v>
      </c>
      <c r="C398" s="125" t="s">
        <v>484</v>
      </c>
      <c r="D398" s="150" t="s">
        <v>77</v>
      </c>
      <c r="E398" s="132"/>
      <c r="F398" s="24"/>
      <c r="G398" s="346">
        <v>8000000284</v>
      </c>
      <c r="H398" s="125" t="s">
        <v>1818</v>
      </c>
      <c r="I398" s="329"/>
      <c r="J398" s="346">
        <v>8000000284</v>
      </c>
      <c r="K398" s="24"/>
      <c r="L398" s="24"/>
      <c r="M398" s="24"/>
      <c r="N398" s="340" t="s">
        <v>486</v>
      </c>
      <c r="O398" s="334">
        <v>207580</v>
      </c>
      <c r="P398" s="25" t="s">
        <v>241</v>
      </c>
      <c r="Q398" s="127" t="s">
        <v>231</v>
      </c>
      <c r="R398" s="128" t="s">
        <v>1716</v>
      </c>
      <c r="S398" s="24">
        <v>43342</v>
      </c>
      <c r="T398" s="36">
        <v>180</v>
      </c>
      <c r="U398" s="125" t="s">
        <v>118</v>
      </c>
      <c r="V398" s="147" t="s">
        <v>1819</v>
      </c>
      <c r="W398" s="129"/>
      <c r="X398" s="88">
        <f>IF(RIGHT(U398,3)="ETA",AQ398+T398,IF(RIGHT(U398,2)="BL",BD398+T398," "))</f>
        <v>43580</v>
      </c>
      <c r="Y398" s="130" t="s">
        <v>20</v>
      </c>
      <c r="Z398" s="133" t="s">
        <v>60</v>
      </c>
      <c r="AA398" s="133"/>
      <c r="AB398" s="148">
        <v>81</v>
      </c>
      <c r="AC398" s="134">
        <v>796</v>
      </c>
      <c r="AD398" s="134"/>
      <c r="AE398" s="403">
        <f t="shared" si="19"/>
        <v>64476</v>
      </c>
      <c r="AF398" s="132">
        <f>+AB398/27</f>
        <v>3</v>
      </c>
      <c r="AG398" s="130" t="s">
        <v>5</v>
      </c>
      <c r="AH398" s="130"/>
      <c r="AI398" s="130" t="s">
        <v>34</v>
      </c>
      <c r="AJ398" s="130"/>
      <c r="AK398" s="130"/>
      <c r="AL398" s="135" t="s">
        <v>1727</v>
      </c>
      <c r="AM398" s="314"/>
      <c r="AN398" s="26"/>
      <c r="AO398" s="26"/>
      <c r="AP398" s="26"/>
      <c r="AQ398" s="26">
        <v>43430</v>
      </c>
      <c r="AR398" s="24"/>
      <c r="AS398" s="24"/>
      <c r="AT398" s="24">
        <v>43432</v>
      </c>
      <c r="AU398" s="418">
        <f t="shared" si="20"/>
        <v>11</v>
      </c>
      <c r="AV398" s="418">
        <f t="shared" si="21"/>
        <v>2018</v>
      </c>
      <c r="AW398" s="24"/>
      <c r="AX398" s="28"/>
      <c r="AY398" s="28" t="s">
        <v>181</v>
      </c>
      <c r="AZ398" s="132" t="s">
        <v>9</v>
      </c>
      <c r="BA398" s="132"/>
      <c r="BB398" s="24"/>
      <c r="BC398" s="135" t="s">
        <v>1820</v>
      </c>
      <c r="BD398" s="24">
        <v>43400</v>
      </c>
      <c r="BE398" s="135" t="s">
        <v>1714</v>
      </c>
      <c r="BF398" s="135" t="s">
        <v>932</v>
      </c>
      <c r="BG398" s="135" t="s">
        <v>64</v>
      </c>
      <c r="BH398" s="135"/>
      <c r="BI398" s="314"/>
      <c r="BJ398" s="314"/>
      <c r="BK398" s="24"/>
      <c r="BL398" s="24"/>
      <c r="BM398" s="24"/>
      <c r="BN398" s="24"/>
      <c r="BO398" s="24"/>
      <c r="BP398" s="24"/>
      <c r="BQ398" s="24"/>
      <c r="BR398" s="43"/>
      <c r="BS398" s="24"/>
      <c r="BT398" s="24"/>
      <c r="BU398" s="24"/>
      <c r="BV398" s="132" t="e">
        <f>IF(#REF!="COMPLETO","OK","PENDIENTES")</f>
        <v>#REF!</v>
      </c>
      <c r="BW398" s="132"/>
      <c r="BX398" s="132"/>
      <c r="BY398" s="132"/>
      <c r="BZ398" s="132"/>
      <c r="CA398" s="132"/>
      <c r="CB398" s="132"/>
      <c r="CC398" s="22"/>
      <c r="CG398" s="24" t="s">
        <v>105</v>
      </c>
      <c r="CH398" s="24"/>
      <c r="CI398" s="24"/>
      <c r="CJ398" s="24"/>
    </row>
    <row r="399" spans="1:88" ht="15" customHeight="1">
      <c r="A399" s="18">
        <v>2018</v>
      </c>
      <c r="B399" s="18" t="str">
        <f>+INDEX(BDD!F:F,MATCH(P399,BDD!D:D,0))&amp;"-"&amp;INDEX(BDD!E:E,MATCH(P399,BDD!D:D,0))</f>
        <v>E-S</v>
      </c>
      <c r="C399" s="125" t="s">
        <v>484</v>
      </c>
      <c r="D399" s="150" t="s">
        <v>77</v>
      </c>
      <c r="E399" s="132"/>
      <c r="F399" s="24"/>
      <c r="G399" s="346">
        <v>8000000254</v>
      </c>
      <c r="H399" s="125" t="s">
        <v>1821</v>
      </c>
      <c r="I399" s="329"/>
      <c r="J399" s="346">
        <v>8000000254</v>
      </c>
      <c r="K399" s="24"/>
      <c r="L399" s="24"/>
      <c r="M399" s="24"/>
      <c r="N399" s="340" t="s">
        <v>486</v>
      </c>
      <c r="O399" s="334">
        <v>204582</v>
      </c>
      <c r="P399" s="25" t="s">
        <v>120</v>
      </c>
      <c r="Q399" s="127" t="s">
        <v>159</v>
      </c>
      <c r="R399" s="232" t="s">
        <v>944</v>
      </c>
      <c r="S399" s="89">
        <v>43375</v>
      </c>
      <c r="T399" s="36">
        <v>90</v>
      </c>
      <c r="U399" s="125" t="s">
        <v>118</v>
      </c>
      <c r="V399" s="147" t="s">
        <v>1822</v>
      </c>
      <c r="W399" s="129"/>
      <c r="X399" s="88">
        <v>43488</v>
      </c>
      <c r="Y399" s="130" t="s">
        <v>20</v>
      </c>
      <c r="Z399" s="133" t="s">
        <v>81</v>
      </c>
      <c r="AA399" s="133"/>
      <c r="AB399" s="148">
        <v>80</v>
      </c>
      <c r="AC399" s="134">
        <v>480</v>
      </c>
      <c r="AD399" s="134"/>
      <c r="AE399" s="403">
        <f t="shared" si="19"/>
        <v>38400</v>
      </c>
      <c r="AF399" s="132">
        <v>4</v>
      </c>
      <c r="AG399" s="130" t="s">
        <v>5</v>
      </c>
      <c r="AH399" s="130"/>
      <c r="AI399" s="130" t="s">
        <v>71</v>
      </c>
      <c r="AJ399" s="130"/>
      <c r="AK399" s="130"/>
      <c r="AL399" s="135" t="s">
        <v>605</v>
      </c>
      <c r="AM399" s="314"/>
      <c r="AN399" s="26"/>
      <c r="AO399" s="26"/>
      <c r="AP399" s="26"/>
      <c r="AQ399" s="26">
        <v>43418</v>
      </c>
      <c r="AR399" s="24"/>
      <c r="AS399" s="24"/>
      <c r="AT399" s="24">
        <v>43420</v>
      </c>
      <c r="AU399" s="418">
        <f t="shared" si="20"/>
        <v>11</v>
      </c>
      <c r="AV399" s="418">
        <f t="shared" si="21"/>
        <v>2018</v>
      </c>
      <c r="AW399" s="24"/>
      <c r="AX399" s="28"/>
      <c r="AY399" s="28" t="s">
        <v>299</v>
      </c>
      <c r="AZ399" s="132" t="s">
        <v>37</v>
      </c>
      <c r="BA399" s="132"/>
      <c r="BB399" s="24"/>
      <c r="BC399" s="135" t="s">
        <v>1823</v>
      </c>
      <c r="BD399" s="24">
        <v>43394</v>
      </c>
      <c r="BE399" s="135" t="s">
        <v>1824</v>
      </c>
      <c r="BF399" s="135" t="s">
        <v>1824</v>
      </c>
      <c r="BG399" s="135" t="s">
        <v>64</v>
      </c>
      <c r="BH399" s="135"/>
      <c r="BI399" s="314"/>
      <c r="BJ399" s="314"/>
      <c r="BK399" s="24"/>
      <c r="BL399" s="24"/>
      <c r="BM399" s="24"/>
      <c r="BN399" s="24"/>
      <c r="BO399" s="24"/>
      <c r="BP399" s="24"/>
      <c r="BQ399" s="24"/>
      <c r="BR399" s="43"/>
      <c r="BS399" s="24"/>
      <c r="BT399" s="24"/>
      <c r="BU399" s="24"/>
      <c r="BV399" s="132" t="e">
        <f>IF(#REF!="COMPLETO","OK","PENDIENTES")</f>
        <v>#REF!</v>
      </c>
      <c r="BW399" s="132"/>
      <c r="BX399" s="132"/>
      <c r="BY399" s="132"/>
      <c r="BZ399" s="132"/>
      <c r="CA399" s="132"/>
      <c r="CB399" s="132"/>
      <c r="CC399" s="22"/>
      <c r="CG399" s="24" t="s">
        <v>105</v>
      </c>
      <c r="CH399" s="24"/>
      <c r="CI399" s="24"/>
      <c r="CJ399" s="24"/>
    </row>
    <row r="400" spans="1:88" ht="15" customHeight="1">
      <c r="A400" s="18">
        <v>2018</v>
      </c>
      <c r="B400" s="18" t="str">
        <f>+INDEX(BDD!F:F,MATCH(P400,BDD!D:D,0))&amp;"-"&amp;INDEX(BDD!E:E,MATCH(P400,BDD!D:D,0))</f>
        <v>G-C</v>
      </c>
      <c r="C400" s="125" t="s">
        <v>484</v>
      </c>
      <c r="D400" s="150" t="s">
        <v>77</v>
      </c>
      <c r="E400" s="132"/>
      <c r="F400" s="24"/>
      <c r="G400" s="346">
        <v>8000000277</v>
      </c>
      <c r="H400" s="125" t="s">
        <v>1825</v>
      </c>
      <c r="I400" s="329"/>
      <c r="J400" s="346">
        <v>8000000277</v>
      </c>
      <c r="K400" s="24"/>
      <c r="L400" s="24"/>
      <c r="M400" s="24"/>
      <c r="N400" s="340" t="s">
        <v>486</v>
      </c>
      <c r="O400" s="334">
        <v>206573</v>
      </c>
      <c r="P400" s="25" t="s">
        <v>226</v>
      </c>
      <c r="Q400" s="127" t="s">
        <v>163</v>
      </c>
      <c r="R400" s="128" t="s">
        <v>1622</v>
      </c>
      <c r="S400" s="89">
        <v>43371</v>
      </c>
      <c r="T400" s="36" t="s">
        <v>19</v>
      </c>
      <c r="U400" s="125"/>
      <c r="V400" s="147" t="s">
        <v>1826</v>
      </c>
      <c r="W400" s="129"/>
      <c r="X400" s="88">
        <v>43396</v>
      </c>
      <c r="Y400" s="130" t="s">
        <v>20</v>
      </c>
      <c r="Z400" s="133" t="s">
        <v>60</v>
      </c>
      <c r="AA400" s="133"/>
      <c r="AB400" s="148">
        <v>300</v>
      </c>
      <c r="AC400" s="134">
        <v>287</v>
      </c>
      <c r="AD400" s="134"/>
      <c r="AE400" s="403">
        <f t="shared" si="19"/>
        <v>86100</v>
      </c>
      <c r="AF400" s="132" t="str">
        <f>IF(W400=BDD!$P$1,IMPORTS!AB400/25,IF(W400=BDD!$P$2,IMPORTS!AB400/25,IF(IMPORTS!W400=BDD!$P$4,IMPORTS!AB400/25.5,"--")))</f>
        <v>--</v>
      </c>
      <c r="AG400" s="130" t="s">
        <v>46</v>
      </c>
      <c r="AH400" s="130"/>
      <c r="AI400" s="130" t="s">
        <v>100</v>
      </c>
      <c r="AJ400" s="130"/>
      <c r="AK400" s="130"/>
      <c r="AL400" s="135" t="s">
        <v>605</v>
      </c>
      <c r="AM400" s="314"/>
      <c r="AN400" s="26"/>
      <c r="AO400" s="26"/>
      <c r="AP400" s="26"/>
      <c r="AQ400" s="26">
        <v>43415</v>
      </c>
      <c r="AR400" s="24"/>
      <c r="AS400" s="24"/>
      <c r="AT400" s="24">
        <v>43418</v>
      </c>
      <c r="AU400" s="418">
        <f t="shared" si="20"/>
        <v>11</v>
      </c>
      <c r="AV400" s="418">
        <f t="shared" si="21"/>
        <v>2018</v>
      </c>
      <c r="AW400" s="24"/>
      <c r="AX400" s="28"/>
      <c r="AY400" s="28" t="s">
        <v>269</v>
      </c>
      <c r="AZ400" s="132" t="s">
        <v>9</v>
      </c>
      <c r="BA400" s="132"/>
      <c r="BB400" s="24"/>
      <c r="BC400" s="135">
        <v>9</v>
      </c>
      <c r="BD400" s="24">
        <v>43383</v>
      </c>
      <c r="BE400" s="135" t="s">
        <v>1827</v>
      </c>
      <c r="BF400" s="135" t="s">
        <v>1827</v>
      </c>
      <c r="BG400" s="135" t="s">
        <v>52</v>
      </c>
      <c r="BH400" s="135"/>
      <c r="BI400" s="314"/>
      <c r="BJ400" s="314"/>
      <c r="BK400" s="24"/>
      <c r="BL400" s="24"/>
      <c r="BM400" s="24"/>
      <c r="BN400" s="24"/>
      <c r="BO400" s="24"/>
      <c r="BP400" s="24"/>
      <c r="BQ400" s="24"/>
      <c r="BR400" s="43"/>
      <c r="BS400" s="24"/>
      <c r="BT400" s="24"/>
      <c r="BU400" s="24"/>
      <c r="BV400" s="132" t="e">
        <f>IF(#REF!="COMPLETO","OK","PENDIENTES")</f>
        <v>#REF!</v>
      </c>
      <c r="BW400" s="132"/>
      <c r="BX400" s="132"/>
      <c r="BY400" s="132"/>
      <c r="BZ400" s="132"/>
      <c r="CA400" s="132"/>
      <c r="CB400" s="132"/>
      <c r="CC400" s="22"/>
      <c r="CG400" s="24" t="s">
        <v>105</v>
      </c>
      <c r="CH400" s="24"/>
      <c r="CI400" s="24"/>
      <c r="CJ400" s="24"/>
    </row>
    <row r="401" spans="1:88" ht="15" customHeight="1">
      <c r="A401" s="18">
        <v>2018</v>
      </c>
      <c r="B401" s="18" t="str">
        <f>+INDEX(BDD!F:F,MATCH(P401,BDD!D:D,0))&amp;"-"&amp;INDEX(BDD!E:E,MATCH(P401,BDD!D:D,0))</f>
        <v>G-C</v>
      </c>
      <c r="C401" s="125" t="s">
        <v>484</v>
      </c>
      <c r="D401" s="150" t="s">
        <v>77</v>
      </c>
      <c r="E401" s="132"/>
      <c r="F401" s="24"/>
      <c r="G401" s="346">
        <v>8000000278</v>
      </c>
      <c r="H401" s="125" t="s">
        <v>1828</v>
      </c>
      <c r="I401" s="329"/>
      <c r="J401" s="346">
        <v>8000000278</v>
      </c>
      <c r="K401" s="24"/>
      <c r="L401" s="24"/>
      <c r="M401" s="24"/>
      <c r="N401" s="340" t="s">
        <v>486</v>
      </c>
      <c r="O401" s="334">
        <v>206573</v>
      </c>
      <c r="P401" s="25" t="s">
        <v>226</v>
      </c>
      <c r="Q401" s="127" t="s">
        <v>163</v>
      </c>
      <c r="R401" s="128" t="s">
        <v>1622</v>
      </c>
      <c r="S401" s="89">
        <v>43371</v>
      </c>
      <c r="T401" s="36" t="s">
        <v>19</v>
      </c>
      <c r="U401" s="125"/>
      <c r="V401" s="147" t="s">
        <v>1829</v>
      </c>
      <c r="W401" s="129"/>
      <c r="X401" s="88">
        <v>43396</v>
      </c>
      <c r="Y401" s="130" t="s">
        <v>20</v>
      </c>
      <c r="Z401" s="133" t="s">
        <v>60</v>
      </c>
      <c r="AA401" s="133"/>
      <c r="AB401" s="148">
        <v>1350</v>
      </c>
      <c r="AC401" s="134">
        <v>287</v>
      </c>
      <c r="AD401" s="134"/>
      <c r="AE401" s="403">
        <f t="shared" si="19"/>
        <v>387450</v>
      </c>
      <c r="AF401" s="132" t="str">
        <f>IF(W401=BDD!$P$1,IMPORTS!AB401/25,IF(W401=BDD!$P$2,IMPORTS!AB401/25,IF(IMPORTS!W401=BDD!$P$4,IMPORTS!AB401/25.5,"--")))</f>
        <v>--</v>
      </c>
      <c r="AG401" s="130" t="s">
        <v>46</v>
      </c>
      <c r="AH401" s="130"/>
      <c r="AI401" s="130" t="s">
        <v>100</v>
      </c>
      <c r="AJ401" s="130"/>
      <c r="AK401" s="130"/>
      <c r="AL401" s="135" t="s">
        <v>605</v>
      </c>
      <c r="AM401" s="314"/>
      <c r="AN401" s="26"/>
      <c r="AO401" s="26"/>
      <c r="AP401" s="26"/>
      <c r="AQ401" s="26">
        <v>43420</v>
      </c>
      <c r="AR401" s="24"/>
      <c r="AS401" s="24"/>
      <c r="AT401" s="24">
        <v>43426</v>
      </c>
      <c r="AU401" s="418">
        <f t="shared" si="20"/>
        <v>11</v>
      </c>
      <c r="AV401" s="418">
        <f t="shared" si="21"/>
        <v>2018</v>
      </c>
      <c r="AW401" s="24"/>
      <c r="AX401" s="28"/>
      <c r="AY401" s="28" t="s">
        <v>269</v>
      </c>
      <c r="AZ401" s="132" t="s">
        <v>25</v>
      </c>
      <c r="BA401" s="132"/>
      <c r="BB401" s="24"/>
      <c r="BC401" s="135">
        <v>10</v>
      </c>
      <c r="BD401" s="24">
        <v>43383</v>
      </c>
      <c r="BE401" s="135" t="s">
        <v>1827</v>
      </c>
      <c r="BF401" s="135" t="s">
        <v>1827</v>
      </c>
      <c r="BG401" s="135" t="s">
        <v>52</v>
      </c>
      <c r="BH401" s="135"/>
      <c r="BI401" s="314"/>
      <c r="BJ401" s="314"/>
      <c r="BK401" s="24"/>
      <c r="BL401" s="24"/>
      <c r="BM401" s="24"/>
      <c r="BN401" s="24"/>
      <c r="BO401" s="24"/>
      <c r="BP401" s="24"/>
      <c r="BQ401" s="24"/>
      <c r="BR401" s="43"/>
      <c r="BS401" s="24"/>
      <c r="BT401" s="24"/>
      <c r="BU401" s="24"/>
      <c r="BV401" s="132" t="e">
        <f>IF(#REF!="COMPLETO","OK","PENDIENTES")</f>
        <v>#REF!</v>
      </c>
      <c r="BW401" s="132"/>
      <c r="BX401" s="132"/>
      <c r="BY401" s="132"/>
      <c r="BZ401" s="132"/>
      <c r="CA401" s="132"/>
      <c r="CB401" s="132"/>
      <c r="CC401" s="22"/>
      <c r="CG401" s="24" t="s">
        <v>105</v>
      </c>
      <c r="CH401" s="24"/>
      <c r="CI401" s="24"/>
      <c r="CJ401" s="24"/>
    </row>
    <row r="402" spans="1:88" ht="15" customHeight="1">
      <c r="A402" s="18">
        <v>2018</v>
      </c>
      <c r="B402" s="18" t="str">
        <f>+INDEX(BDD!F:F,MATCH(P402,BDD!D:D,0))&amp;"-"&amp;INDEX(BDD!E:E,MATCH(P402,BDD!D:D,0))</f>
        <v>G-C</v>
      </c>
      <c r="C402" s="125" t="s">
        <v>484</v>
      </c>
      <c r="D402" s="150" t="s">
        <v>77</v>
      </c>
      <c r="E402" s="132"/>
      <c r="F402" s="24"/>
      <c r="G402" s="346">
        <v>8000000279</v>
      </c>
      <c r="H402" s="125" t="s">
        <v>1830</v>
      </c>
      <c r="I402" s="329"/>
      <c r="J402" s="346">
        <v>8000000279</v>
      </c>
      <c r="K402" s="24"/>
      <c r="L402" s="24"/>
      <c r="M402" s="24"/>
      <c r="N402" s="340" t="s">
        <v>486</v>
      </c>
      <c r="O402" s="334">
        <v>206573</v>
      </c>
      <c r="P402" s="25" t="s">
        <v>226</v>
      </c>
      <c r="Q402" s="127" t="s">
        <v>163</v>
      </c>
      <c r="R402" s="128" t="s">
        <v>1622</v>
      </c>
      <c r="S402" s="89">
        <v>43371</v>
      </c>
      <c r="T402" s="36" t="s">
        <v>19</v>
      </c>
      <c r="U402" s="125"/>
      <c r="V402" s="147" t="s">
        <v>1831</v>
      </c>
      <c r="W402" s="129"/>
      <c r="X402" s="88">
        <v>43396</v>
      </c>
      <c r="Y402" s="130" t="s">
        <v>20</v>
      </c>
      <c r="Z402" s="133" t="s">
        <v>60</v>
      </c>
      <c r="AA402" s="133"/>
      <c r="AB402" s="148">
        <v>500</v>
      </c>
      <c r="AC402" s="134">
        <v>287</v>
      </c>
      <c r="AD402" s="134"/>
      <c r="AE402" s="403">
        <f t="shared" si="19"/>
        <v>143500</v>
      </c>
      <c r="AF402" s="132" t="str">
        <f>IF(W402=BDD!$P$1,IMPORTS!AB402/25,IF(W402=BDD!$P$2,IMPORTS!AB402/25,IF(IMPORTS!W402=BDD!$P$4,IMPORTS!AB402/25.5,"--")))</f>
        <v>--</v>
      </c>
      <c r="AG402" s="130" t="s">
        <v>46</v>
      </c>
      <c r="AH402" s="130"/>
      <c r="AI402" s="130" t="s">
        <v>100</v>
      </c>
      <c r="AJ402" s="130"/>
      <c r="AK402" s="130"/>
      <c r="AL402" s="135" t="s">
        <v>605</v>
      </c>
      <c r="AM402" s="314"/>
      <c r="AN402" s="26"/>
      <c r="AO402" s="26"/>
      <c r="AP402" s="26"/>
      <c r="AQ402" s="26">
        <v>43428</v>
      </c>
      <c r="AR402" s="24"/>
      <c r="AS402" s="24"/>
      <c r="AT402" s="24">
        <v>43430</v>
      </c>
      <c r="AU402" s="418">
        <f t="shared" si="20"/>
        <v>11</v>
      </c>
      <c r="AV402" s="418">
        <f t="shared" si="21"/>
        <v>2018</v>
      </c>
      <c r="AW402" s="24"/>
      <c r="AX402" s="28"/>
      <c r="AY402" s="28" t="s">
        <v>269</v>
      </c>
      <c r="AZ402" s="132" t="s">
        <v>37</v>
      </c>
      <c r="BA402" s="132"/>
      <c r="BB402" s="24"/>
      <c r="BC402" s="135">
        <v>11</v>
      </c>
      <c r="BD402" s="24">
        <v>43383</v>
      </c>
      <c r="BE402" s="135" t="s">
        <v>1827</v>
      </c>
      <c r="BF402" s="135" t="s">
        <v>1827</v>
      </c>
      <c r="BG402" s="135" t="s">
        <v>52</v>
      </c>
      <c r="BH402" s="135"/>
      <c r="BI402" s="314"/>
      <c r="BJ402" s="314"/>
      <c r="BK402" s="24"/>
      <c r="BL402" s="24"/>
      <c r="BM402" s="24"/>
      <c r="BN402" s="24"/>
      <c r="BO402" s="24"/>
      <c r="BP402" s="24"/>
      <c r="BQ402" s="24"/>
      <c r="BR402" s="43"/>
      <c r="BS402" s="24"/>
      <c r="BT402" s="24"/>
      <c r="BU402" s="24"/>
      <c r="BV402" s="132" t="e">
        <f>IF(#REF!="COMPLETO","OK","PENDIENTES")</f>
        <v>#REF!</v>
      </c>
      <c r="BW402" s="132"/>
      <c r="BX402" s="132"/>
      <c r="BY402" s="132"/>
      <c r="BZ402" s="132"/>
      <c r="CA402" s="132"/>
      <c r="CB402" s="132"/>
      <c r="CC402" s="22"/>
      <c r="CG402" s="24" t="s">
        <v>105</v>
      </c>
      <c r="CH402" s="24"/>
      <c r="CI402" s="24"/>
      <c r="CJ402" s="24"/>
    </row>
    <row r="403" spans="1:88" ht="15" customHeight="1">
      <c r="A403" s="18">
        <v>2018</v>
      </c>
      <c r="B403" s="18" t="str">
        <f>+INDEX(BDD!F:F,MATCH(P403,BDD!D:D,0))&amp;"-"&amp;INDEX(BDD!E:E,MATCH(P403,BDD!D:D,0))</f>
        <v>G-C</v>
      </c>
      <c r="C403" s="125" t="s">
        <v>484</v>
      </c>
      <c r="D403" s="150" t="s">
        <v>77</v>
      </c>
      <c r="E403" s="132"/>
      <c r="F403" s="24"/>
      <c r="G403" s="346">
        <v>8000000280</v>
      </c>
      <c r="H403" s="125" t="s">
        <v>1832</v>
      </c>
      <c r="I403" s="329"/>
      <c r="J403" s="346">
        <v>8000000280</v>
      </c>
      <c r="K403" s="24"/>
      <c r="L403" s="24"/>
      <c r="M403" s="24"/>
      <c r="N403" s="340" t="s">
        <v>486</v>
      </c>
      <c r="O403" s="334">
        <v>206573</v>
      </c>
      <c r="P403" s="25" t="s">
        <v>226</v>
      </c>
      <c r="Q403" s="127" t="s">
        <v>163</v>
      </c>
      <c r="R403" s="128" t="s">
        <v>1622</v>
      </c>
      <c r="S403" s="89">
        <v>43371</v>
      </c>
      <c r="T403" s="36" t="s">
        <v>19</v>
      </c>
      <c r="U403" s="125"/>
      <c r="V403" s="147" t="s">
        <v>1833</v>
      </c>
      <c r="W403" s="129"/>
      <c r="X403" s="88">
        <v>43396</v>
      </c>
      <c r="Y403" s="130" t="s">
        <v>20</v>
      </c>
      <c r="Z403" s="133" t="s">
        <v>60</v>
      </c>
      <c r="AA403" s="133"/>
      <c r="AB403" s="148">
        <v>550</v>
      </c>
      <c r="AC403" s="134">
        <v>287</v>
      </c>
      <c r="AD403" s="134"/>
      <c r="AE403" s="403">
        <f t="shared" si="19"/>
        <v>157850</v>
      </c>
      <c r="AF403" s="132" t="str">
        <f>IF(W403=BDD!$P$1,IMPORTS!AB403/25,IF(W403=BDD!$P$2,IMPORTS!AB403/25,IF(IMPORTS!W403=BDD!$P$4,IMPORTS!AB403/25.5,"--")))</f>
        <v>--</v>
      </c>
      <c r="AG403" s="130" t="s">
        <v>46</v>
      </c>
      <c r="AH403" s="130"/>
      <c r="AI403" s="130" t="s">
        <v>100</v>
      </c>
      <c r="AJ403" s="130"/>
      <c r="AK403" s="130"/>
      <c r="AL403" s="135" t="s">
        <v>605</v>
      </c>
      <c r="AM403" s="314"/>
      <c r="AN403" s="26"/>
      <c r="AO403" s="26"/>
      <c r="AP403" s="26"/>
      <c r="AQ403" s="26">
        <v>43432</v>
      </c>
      <c r="AR403" s="24"/>
      <c r="AS403" s="24"/>
      <c r="AT403" s="24">
        <v>43433</v>
      </c>
      <c r="AU403" s="418">
        <f t="shared" si="20"/>
        <v>11</v>
      </c>
      <c r="AV403" s="418">
        <f t="shared" si="21"/>
        <v>2018</v>
      </c>
      <c r="AW403" s="24"/>
      <c r="AX403" s="28"/>
      <c r="AY403" s="28" t="s">
        <v>269</v>
      </c>
      <c r="AZ403" s="132" t="s">
        <v>62</v>
      </c>
      <c r="BA403" s="132"/>
      <c r="BB403" s="24"/>
      <c r="BC403" s="135">
        <v>12</v>
      </c>
      <c r="BD403" s="24">
        <v>43383</v>
      </c>
      <c r="BE403" s="135" t="s">
        <v>1827</v>
      </c>
      <c r="BF403" s="135" t="s">
        <v>1827</v>
      </c>
      <c r="BG403" s="135" t="s">
        <v>52</v>
      </c>
      <c r="BH403" s="135"/>
      <c r="BI403" s="314"/>
      <c r="BJ403" s="314"/>
      <c r="BK403" s="24"/>
      <c r="BL403" s="24"/>
      <c r="BM403" s="24"/>
      <c r="BN403" s="24"/>
      <c r="BO403" s="24"/>
      <c r="BP403" s="24"/>
      <c r="BQ403" s="24"/>
      <c r="BR403" s="43"/>
      <c r="BS403" s="24"/>
      <c r="BT403" s="24"/>
      <c r="BU403" s="24"/>
      <c r="BV403" s="132" t="e">
        <f>IF(#REF!="COMPLETO","OK","PENDIENTES")</f>
        <v>#REF!</v>
      </c>
      <c r="BW403" s="132"/>
      <c r="BX403" s="132"/>
      <c r="BY403" s="132"/>
      <c r="BZ403" s="132"/>
      <c r="CA403" s="132"/>
      <c r="CB403" s="132"/>
      <c r="CC403" s="22"/>
      <c r="CG403" s="24" t="s">
        <v>105</v>
      </c>
      <c r="CH403" s="24"/>
      <c r="CI403" s="24"/>
      <c r="CJ403" s="24"/>
    </row>
    <row r="404" spans="1:88" ht="15" customHeight="1">
      <c r="A404" s="18">
        <v>2018</v>
      </c>
      <c r="B404" s="18" t="str">
        <f>+INDEX(BDD!F:F,MATCH(P404,BDD!D:D,0))&amp;"-"&amp;INDEX(BDD!E:E,MATCH(P404,BDD!D:D,0))</f>
        <v>G-S</v>
      </c>
      <c r="C404" s="125" t="s">
        <v>484</v>
      </c>
      <c r="D404" s="150" t="s">
        <v>77</v>
      </c>
      <c r="E404" s="132"/>
      <c r="F404" s="24"/>
      <c r="G404" s="346">
        <v>8000000274</v>
      </c>
      <c r="H404" s="125" t="s">
        <v>1834</v>
      </c>
      <c r="I404" s="329"/>
      <c r="J404" s="346">
        <v>8000000274</v>
      </c>
      <c r="K404" s="24"/>
      <c r="L404" s="24"/>
      <c r="M404" s="24"/>
      <c r="N404" s="340" t="s">
        <v>486</v>
      </c>
      <c r="O404" s="334">
        <v>206569</v>
      </c>
      <c r="P404" s="25" t="s">
        <v>142</v>
      </c>
      <c r="Q404" s="127" t="s">
        <v>273</v>
      </c>
      <c r="R404" s="232"/>
      <c r="S404" s="89"/>
      <c r="T404" s="36" t="s">
        <v>19</v>
      </c>
      <c r="U404" s="125"/>
      <c r="V404" s="147" t="s">
        <v>1835</v>
      </c>
      <c r="W404" s="129"/>
      <c r="X404" s="88">
        <v>43391</v>
      </c>
      <c r="Y404" s="130" t="s">
        <v>20</v>
      </c>
      <c r="Z404" s="133" t="s">
        <v>60</v>
      </c>
      <c r="AA404" s="133"/>
      <c r="AB404" s="148">
        <v>770</v>
      </c>
      <c r="AC404" s="134">
        <v>460</v>
      </c>
      <c r="AD404" s="134"/>
      <c r="AE404" s="403">
        <f t="shared" si="19"/>
        <v>354200</v>
      </c>
      <c r="AF404" s="132" t="str">
        <f>IF(W404=BDD!$P$1,IMPORTS!AB404/25,IF(W404=BDD!$P$2,IMPORTS!AB404/25,IF(IMPORTS!W404=BDD!$P$4,IMPORTS!AB404/25.5,"--")))</f>
        <v>--</v>
      </c>
      <c r="AG404" s="130" t="s">
        <v>46</v>
      </c>
      <c r="AH404" s="130"/>
      <c r="AI404" s="130" t="s">
        <v>100</v>
      </c>
      <c r="AJ404" s="130"/>
      <c r="AK404" s="130"/>
      <c r="AL404" s="135" t="s">
        <v>1727</v>
      </c>
      <c r="AM404" s="314"/>
      <c r="AN404" s="26"/>
      <c r="AO404" s="26"/>
      <c r="AP404" s="26"/>
      <c r="AQ404" s="26">
        <v>43403</v>
      </c>
      <c r="AR404" s="24"/>
      <c r="AS404" s="24"/>
      <c r="AT404" s="24">
        <v>43405</v>
      </c>
      <c r="AU404" s="418">
        <f t="shared" si="20"/>
        <v>11</v>
      </c>
      <c r="AV404" s="418">
        <f t="shared" si="21"/>
        <v>2018</v>
      </c>
      <c r="AW404" s="24"/>
      <c r="AX404" s="28"/>
      <c r="AY404" s="28" t="s">
        <v>321</v>
      </c>
      <c r="AZ404" s="132" t="s">
        <v>37</v>
      </c>
      <c r="BA404" s="132"/>
      <c r="BB404" s="24"/>
      <c r="BC404" s="135" t="s">
        <v>1836</v>
      </c>
      <c r="BD404" s="24">
        <v>43367</v>
      </c>
      <c r="BE404" s="135" t="s">
        <v>1729</v>
      </c>
      <c r="BF404" s="135" t="s">
        <v>1729</v>
      </c>
      <c r="BG404" s="135" t="s">
        <v>52</v>
      </c>
      <c r="BH404" s="135"/>
      <c r="BI404" s="314"/>
      <c r="BJ404" s="314"/>
      <c r="BK404" s="24"/>
      <c r="BL404" s="24"/>
      <c r="BM404" s="24"/>
      <c r="BN404" s="24"/>
      <c r="BO404" s="24"/>
      <c r="BP404" s="24"/>
      <c r="BQ404" s="24"/>
      <c r="BR404" s="43"/>
      <c r="BS404" s="24"/>
      <c r="BT404" s="24"/>
      <c r="BU404" s="24"/>
      <c r="BV404" s="132" t="e">
        <f>IF(#REF!="COMPLETO","OK","PENDIENTES")</f>
        <v>#REF!</v>
      </c>
      <c r="BW404" s="132"/>
      <c r="BX404" s="132"/>
      <c r="BY404" s="132"/>
      <c r="BZ404" s="132"/>
      <c r="CA404" s="132"/>
      <c r="CB404" s="132"/>
      <c r="CC404" s="22"/>
      <c r="CG404" s="24" t="s">
        <v>105</v>
      </c>
      <c r="CH404" s="24"/>
      <c r="CI404" s="24"/>
      <c r="CJ404" s="24"/>
    </row>
    <row r="405" spans="1:88" ht="15" customHeight="1">
      <c r="A405" s="18">
        <v>2018</v>
      </c>
      <c r="B405" s="18" t="str">
        <f>+INDEX(BDD!F:F,MATCH(P405,BDD!D:D,0))&amp;"-"&amp;INDEX(BDD!E:E,MATCH(P405,BDD!D:D,0))</f>
        <v>G-S</v>
      </c>
      <c r="C405" s="125" t="s">
        <v>484</v>
      </c>
      <c r="D405" s="150" t="s">
        <v>77</v>
      </c>
      <c r="E405" s="132"/>
      <c r="F405" s="24"/>
      <c r="G405" s="346">
        <v>8000000275</v>
      </c>
      <c r="H405" s="125" t="s">
        <v>1837</v>
      </c>
      <c r="I405" s="329"/>
      <c r="J405" s="346">
        <v>8000000275</v>
      </c>
      <c r="K405" s="24"/>
      <c r="L405" s="24"/>
      <c r="M405" s="24"/>
      <c r="N405" s="340" t="s">
        <v>486</v>
      </c>
      <c r="O405" s="334">
        <v>206569</v>
      </c>
      <c r="P405" s="25" t="s">
        <v>142</v>
      </c>
      <c r="Q405" s="127" t="s">
        <v>273</v>
      </c>
      <c r="R405" s="232"/>
      <c r="S405" s="89"/>
      <c r="T405" s="36" t="s">
        <v>19</v>
      </c>
      <c r="U405" s="125"/>
      <c r="V405" s="147" t="s">
        <v>1838</v>
      </c>
      <c r="W405" s="129"/>
      <c r="X405" s="88">
        <v>43391</v>
      </c>
      <c r="Y405" s="130" t="s">
        <v>20</v>
      </c>
      <c r="Z405" s="133" t="s">
        <v>60</v>
      </c>
      <c r="AA405" s="133"/>
      <c r="AB405" s="148">
        <v>550</v>
      </c>
      <c r="AC405" s="134">
        <v>460</v>
      </c>
      <c r="AD405" s="134"/>
      <c r="AE405" s="403">
        <f t="shared" si="19"/>
        <v>253000</v>
      </c>
      <c r="AF405" s="132" t="str">
        <f>IF(W405=BDD!$P$1,IMPORTS!AB405/25,IF(W405=BDD!$P$2,IMPORTS!AB405/25,IF(IMPORTS!W405=BDD!$P$4,IMPORTS!AB405/25.5,"--")))</f>
        <v>--</v>
      </c>
      <c r="AG405" s="130" t="s">
        <v>46</v>
      </c>
      <c r="AH405" s="130"/>
      <c r="AI405" s="130" t="s">
        <v>100</v>
      </c>
      <c r="AJ405" s="130"/>
      <c r="AK405" s="130"/>
      <c r="AL405" s="135" t="s">
        <v>1727</v>
      </c>
      <c r="AM405" s="314"/>
      <c r="AN405" s="26"/>
      <c r="AO405" s="26"/>
      <c r="AP405" s="26"/>
      <c r="AQ405" s="26">
        <v>43414</v>
      </c>
      <c r="AR405" s="24"/>
      <c r="AS405" s="24"/>
      <c r="AT405" s="24">
        <v>43414</v>
      </c>
      <c r="AU405" s="418">
        <f t="shared" si="20"/>
        <v>11</v>
      </c>
      <c r="AV405" s="418">
        <f t="shared" si="21"/>
        <v>2018</v>
      </c>
      <c r="AW405" s="24"/>
      <c r="AX405" s="28"/>
      <c r="AY405" s="28" t="s">
        <v>321</v>
      </c>
      <c r="AZ405" s="132" t="s">
        <v>50</v>
      </c>
      <c r="BA405" s="132"/>
      <c r="BB405" s="24"/>
      <c r="BC405" s="135" t="s">
        <v>1839</v>
      </c>
      <c r="BD405" s="24">
        <v>43367</v>
      </c>
      <c r="BE405" s="135" t="s">
        <v>1729</v>
      </c>
      <c r="BF405" s="135" t="s">
        <v>1729</v>
      </c>
      <c r="BG405" s="135" t="s">
        <v>52</v>
      </c>
      <c r="BH405" s="135"/>
      <c r="BI405" s="314"/>
      <c r="BJ405" s="314"/>
      <c r="BK405" s="24"/>
      <c r="BL405" s="24"/>
      <c r="BM405" s="24"/>
      <c r="BN405" s="24"/>
      <c r="BO405" s="24"/>
      <c r="BP405" s="24"/>
      <c r="BQ405" s="24"/>
      <c r="BR405" s="43"/>
      <c r="BS405" s="24"/>
      <c r="BT405" s="24"/>
      <c r="BU405" s="24"/>
      <c r="BV405" s="132" t="e">
        <f>IF(#REF!="COMPLETO","OK","PENDIENTES")</f>
        <v>#REF!</v>
      </c>
      <c r="BW405" s="132"/>
      <c r="BX405" s="132"/>
      <c r="BY405" s="132"/>
      <c r="BZ405" s="132"/>
      <c r="CA405" s="132"/>
      <c r="CB405" s="132"/>
      <c r="CC405" s="22"/>
      <c r="CG405" s="24" t="s">
        <v>105</v>
      </c>
      <c r="CH405" s="24"/>
      <c r="CI405" s="24"/>
      <c r="CJ405" s="24"/>
    </row>
    <row r="406" spans="1:88" ht="15" customHeight="1">
      <c r="A406" s="18">
        <v>2018</v>
      </c>
      <c r="B406" s="18" t="str">
        <f>+INDEX(BDD!F:F,MATCH(P406,BDD!D:D,0))&amp;"-"&amp;INDEX(BDD!E:E,MATCH(P406,BDD!D:D,0))</f>
        <v>G-S</v>
      </c>
      <c r="C406" s="125" t="s">
        <v>484</v>
      </c>
      <c r="D406" s="150" t="s">
        <v>77</v>
      </c>
      <c r="E406" s="132"/>
      <c r="F406" s="24"/>
      <c r="G406" s="346">
        <v>8000000282</v>
      </c>
      <c r="H406" s="125" t="s">
        <v>1840</v>
      </c>
      <c r="I406" s="329"/>
      <c r="J406" s="346">
        <v>8000000282</v>
      </c>
      <c r="K406" s="24"/>
      <c r="L406" s="24"/>
      <c r="M406" s="24"/>
      <c r="N406" s="340" t="s">
        <v>486</v>
      </c>
      <c r="O406" s="334">
        <v>206569</v>
      </c>
      <c r="P406" s="25" t="s">
        <v>142</v>
      </c>
      <c r="Q406" s="127" t="s">
        <v>273</v>
      </c>
      <c r="R406" s="232"/>
      <c r="S406" s="89"/>
      <c r="T406" s="36" t="s">
        <v>19</v>
      </c>
      <c r="U406" s="125"/>
      <c r="V406" s="147" t="s">
        <v>1841</v>
      </c>
      <c r="W406" s="129"/>
      <c r="X406" s="88">
        <v>43391</v>
      </c>
      <c r="Y406" s="130" t="s">
        <v>20</v>
      </c>
      <c r="Z406" s="133" t="s">
        <v>60</v>
      </c>
      <c r="AA406" s="133"/>
      <c r="AB406" s="148">
        <v>1100</v>
      </c>
      <c r="AC406" s="134">
        <v>460</v>
      </c>
      <c r="AD406" s="134"/>
      <c r="AE406" s="403">
        <f t="shared" si="19"/>
        <v>506000</v>
      </c>
      <c r="AF406" s="132" t="str">
        <f>IF(W406=BDD!$P$1,IMPORTS!AB406/25,IF(W406=BDD!$P$2,IMPORTS!AB406/25,IF(IMPORTS!W406=BDD!$P$4,IMPORTS!AB406/25.5,"--")))</f>
        <v>--</v>
      </c>
      <c r="AG406" s="130" t="s">
        <v>46</v>
      </c>
      <c r="AH406" s="130"/>
      <c r="AI406" s="130" t="s">
        <v>100</v>
      </c>
      <c r="AJ406" s="130"/>
      <c r="AK406" s="130"/>
      <c r="AL406" s="135" t="s">
        <v>1727</v>
      </c>
      <c r="AM406" s="314"/>
      <c r="AN406" s="26"/>
      <c r="AO406" s="26"/>
      <c r="AP406" s="26"/>
      <c r="AQ406" s="26">
        <v>43416</v>
      </c>
      <c r="AR406" s="24"/>
      <c r="AS406" s="24"/>
      <c r="AT406" s="24">
        <v>43419</v>
      </c>
      <c r="AU406" s="418">
        <f t="shared" si="20"/>
        <v>11</v>
      </c>
      <c r="AV406" s="418">
        <f t="shared" si="21"/>
        <v>2018</v>
      </c>
      <c r="AW406" s="24"/>
      <c r="AX406" s="28"/>
      <c r="AY406" s="28" t="s">
        <v>321</v>
      </c>
      <c r="AZ406" s="132" t="s">
        <v>62</v>
      </c>
      <c r="BA406" s="132"/>
      <c r="BB406" s="24"/>
      <c r="BC406" s="135" t="s">
        <v>1842</v>
      </c>
      <c r="BD406" s="24">
        <v>43367</v>
      </c>
      <c r="BE406" s="135" t="s">
        <v>1729</v>
      </c>
      <c r="BF406" s="135" t="s">
        <v>1729</v>
      </c>
      <c r="BG406" s="135" t="s">
        <v>52</v>
      </c>
      <c r="BH406" s="135"/>
      <c r="BI406" s="314"/>
      <c r="BJ406" s="314"/>
      <c r="BK406" s="24"/>
      <c r="BL406" s="24"/>
      <c r="BM406" s="24"/>
      <c r="BN406" s="24"/>
      <c r="BO406" s="24"/>
      <c r="BP406" s="24"/>
      <c r="BQ406" s="24"/>
      <c r="BR406" s="43"/>
      <c r="BS406" s="24"/>
      <c r="BT406" s="24"/>
      <c r="BU406" s="24"/>
      <c r="BV406" s="132" t="e">
        <f>IF(#REF!="COMPLETO","OK","PENDIENTES")</f>
        <v>#REF!</v>
      </c>
      <c r="BW406" s="132"/>
      <c r="BX406" s="132"/>
      <c r="BY406" s="132"/>
      <c r="BZ406" s="132"/>
      <c r="CA406" s="132"/>
      <c r="CB406" s="132"/>
      <c r="CC406" s="22"/>
      <c r="CG406" s="24" t="s">
        <v>105</v>
      </c>
      <c r="CH406" s="24"/>
      <c r="CI406" s="24"/>
      <c r="CJ406" s="24"/>
    </row>
    <row r="407" spans="1:88" ht="15" customHeight="1">
      <c r="A407" s="18">
        <v>2018</v>
      </c>
      <c r="B407" s="18" t="str">
        <f>+INDEX(BDD!F:F,MATCH(P407,BDD!D:D,0))&amp;"-"&amp;INDEX(BDD!E:E,MATCH(P407,BDD!D:D,0))</f>
        <v>E-S</v>
      </c>
      <c r="C407" s="125" t="s">
        <v>484</v>
      </c>
      <c r="D407" s="150" t="s">
        <v>77</v>
      </c>
      <c r="E407" s="132"/>
      <c r="F407" s="24"/>
      <c r="G407" s="346">
        <v>8000000258</v>
      </c>
      <c r="H407" s="125" t="s">
        <v>1843</v>
      </c>
      <c r="I407" s="329"/>
      <c r="J407" s="346">
        <v>8000000258</v>
      </c>
      <c r="K407" s="24"/>
      <c r="L407" s="24"/>
      <c r="M407" s="24"/>
      <c r="N407" s="340" t="s">
        <v>486</v>
      </c>
      <c r="O407" s="334">
        <v>204207</v>
      </c>
      <c r="P407" s="25" t="s">
        <v>295</v>
      </c>
      <c r="Q407" s="127" t="s">
        <v>258</v>
      </c>
      <c r="R407" s="232" t="s">
        <v>1844</v>
      </c>
      <c r="S407" s="89">
        <v>43383</v>
      </c>
      <c r="T407" s="36">
        <v>150</v>
      </c>
      <c r="U407" s="125" t="s">
        <v>118</v>
      </c>
      <c r="V407" s="147" t="s">
        <v>1845</v>
      </c>
      <c r="W407" s="129"/>
      <c r="X407" s="88">
        <v>43572</v>
      </c>
      <c r="Y407" s="130" t="s">
        <v>20</v>
      </c>
      <c r="Z407" s="133" t="s">
        <v>81</v>
      </c>
      <c r="AA407" s="133"/>
      <c r="AB407" s="148">
        <v>49</v>
      </c>
      <c r="AC407" s="134">
        <v>1290</v>
      </c>
      <c r="AD407" s="134"/>
      <c r="AE407" s="403">
        <f t="shared" si="19"/>
        <v>63210</v>
      </c>
      <c r="AF407" s="132">
        <v>2</v>
      </c>
      <c r="AG407" s="130" t="s">
        <v>5</v>
      </c>
      <c r="AH407" s="130"/>
      <c r="AI407" s="130" t="s">
        <v>34</v>
      </c>
      <c r="AJ407" s="130"/>
      <c r="AK407" s="130"/>
      <c r="AL407" s="135" t="s">
        <v>1846</v>
      </c>
      <c r="AM407" s="314"/>
      <c r="AN407" s="26"/>
      <c r="AO407" s="26"/>
      <c r="AP407" s="26"/>
      <c r="AQ407" s="26">
        <v>43469</v>
      </c>
      <c r="AR407" s="24"/>
      <c r="AS407" s="24"/>
      <c r="AT407" s="24">
        <v>43472</v>
      </c>
      <c r="AU407" s="418">
        <f t="shared" si="20"/>
        <v>1</v>
      </c>
      <c r="AV407" s="418">
        <f t="shared" si="21"/>
        <v>2019</v>
      </c>
      <c r="AW407" s="24"/>
      <c r="AX407" s="28"/>
      <c r="AY407" s="28" t="s">
        <v>82</v>
      </c>
      <c r="AZ407" s="132" t="s">
        <v>37</v>
      </c>
      <c r="BA407" s="132"/>
      <c r="BB407" s="24"/>
      <c r="BC407" s="135" t="s">
        <v>1847</v>
      </c>
      <c r="BD407" s="24">
        <v>43419</v>
      </c>
      <c r="BE407" s="135" t="s">
        <v>1000</v>
      </c>
      <c r="BF407" s="135" t="s">
        <v>756</v>
      </c>
      <c r="BG407" s="135" t="s">
        <v>41</v>
      </c>
      <c r="BH407" s="135"/>
      <c r="BI407" s="314"/>
      <c r="BJ407" s="314"/>
      <c r="BK407" s="24"/>
      <c r="BL407" s="24"/>
      <c r="BM407" s="24"/>
      <c r="BN407" s="24"/>
      <c r="BO407" s="24"/>
      <c r="BP407" s="24"/>
      <c r="BQ407" s="24"/>
      <c r="BR407" s="43"/>
      <c r="BS407" s="24"/>
      <c r="BT407" s="24"/>
      <c r="BU407" s="24"/>
      <c r="BV407" s="132" t="e">
        <f>IF(#REF!="COMPLETO","OK","PENDIENTES")</f>
        <v>#REF!</v>
      </c>
      <c r="BW407" s="132"/>
      <c r="BX407" s="132"/>
      <c r="BY407" s="132"/>
      <c r="BZ407" s="132"/>
      <c r="CA407" s="132"/>
      <c r="CB407" s="132"/>
      <c r="CC407" s="22"/>
      <c r="CG407" s="24" t="s">
        <v>105</v>
      </c>
      <c r="CH407" s="24"/>
      <c r="CI407" s="24"/>
      <c r="CJ407" s="24"/>
    </row>
    <row r="408" spans="1:88" ht="15" customHeight="1">
      <c r="A408" s="18">
        <v>2018</v>
      </c>
      <c r="B408" s="18" t="str">
        <f>+INDEX(BDD!F:F,MATCH(P408,BDD!D:D,0))&amp;"-"&amp;INDEX(BDD!E:E,MATCH(P408,BDD!D:D,0))</f>
        <v>E-S</v>
      </c>
      <c r="C408" s="125" t="s">
        <v>484</v>
      </c>
      <c r="D408" s="150" t="s">
        <v>77</v>
      </c>
      <c r="E408" s="132"/>
      <c r="F408" s="24"/>
      <c r="G408" s="346">
        <v>8000000335</v>
      </c>
      <c r="H408" s="125" t="s">
        <v>1848</v>
      </c>
      <c r="I408" s="329"/>
      <c r="J408" s="346">
        <v>8000000335</v>
      </c>
      <c r="K408" s="24"/>
      <c r="L408" s="24"/>
      <c r="M408" s="24"/>
      <c r="N408" s="340" t="s">
        <v>486</v>
      </c>
      <c r="O408" s="334">
        <v>204207</v>
      </c>
      <c r="P408" s="25" t="s">
        <v>295</v>
      </c>
      <c r="Q408" s="127" t="s">
        <v>258</v>
      </c>
      <c r="R408" s="232" t="s">
        <v>1849</v>
      </c>
      <c r="S408" s="89">
        <v>43383</v>
      </c>
      <c r="T408" s="36">
        <v>150</v>
      </c>
      <c r="U408" s="125" t="s">
        <v>118</v>
      </c>
      <c r="V408" s="147" t="s">
        <v>1850</v>
      </c>
      <c r="W408" s="129"/>
      <c r="X408" s="88">
        <v>43598</v>
      </c>
      <c r="Y408" s="130" t="s">
        <v>20</v>
      </c>
      <c r="Z408" s="133" t="s">
        <v>81</v>
      </c>
      <c r="AA408" s="133"/>
      <c r="AB408" s="148">
        <v>49</v>
      </c>
      <c r="AC408" s="134">
        <v>1290</v>
      </c>
      <c r="AD408" s="134"/>
      <c r="AE408" s="403">
        <f t="shared" si="19"/>
        <v>63210</v>
      </c>
      <c r="AF408" s="132">
        <v>2</v>
      </c>
      <c r="AG408" s="130" t="s">
        <v>5</v>
      </c>
      <c r="AH408" s="130"/>
      <c r="AI408" s="130" t="s">
        <v>34</v>
      </c>
      <c r="AJ408" s="130"/>
      <c r="AK408" s="130"/>
      <c r="AL408" s="135" t="s">
        <v>1846</v>
      </c>
      <c r="AM408" s="314"/>
      <c r="AN408" s="26"/>
      <c r="AO408" s="26"/>
      <c r="AP408" s="26"/>
      <c r="AQ408" s="26">
        <v>43490</v>
      </c>
      <c r="AR408" s="24"/>
      <c r="AS408" s="24"/>
      <c r="AT408" s="24">
        <v>43493</v>
      </c>
      <c r="AU408" s="418">
        <f t="shared" si="20"/>
        <v>1</v>
      </c>
      <c r="AV408" s="418">
        <f t="shared" si="21"/>
        <v>2019</v>
      </c>
      <c r="AW408" s="24"/>
      <c r="AX408" s="28"/>
      <c r="AY408" s="28" t="s">
        <v>82</v>
      </c>
      <c r="AZ408" s="132" t="s">
        <v>37</v>
      </c>
      <c r="BA408" s="132"/>
      <c r="BB408" s="24"/>
      <c r="BC408" s="135" t="s">
        <v>1851</v>
      </c>
      <c r="BD408" s="24">
        <v>43438</v>
      </c>
      <c r="BE408" s="135" t="s">
        <v>1852</v>
      </c>
      <c r="BF408" s="135" t="s">
        <v>865</v>
      </c>
      <c r="BG408" s="135" t="s">
        <v>41</v>
      </c>
      <c r="BH408" s="135"/>
      <c r="BI408" s="314"/>
      <c r="BJ408" s="314"/>
      <c r="BK408" s="24"/>
      <c r="BL408" s="24"/>
      <c r="BM408" s="24"/>
      <c r="BN408" s="24"/>
      <c r="BO408" s="24"/>
      <c r="BP408" s="24"/>
      <c r="BQ408" s="24"/>
      <c r="BR408" s="43"/>
      <c r="BS408" s="24"/>
      <c r="BT408" s="24"/>
      <c r="BU408" s="24"/>
      <c r="BV408" s="132" t="e">
        <f>IF(#REF!="COMPLETO","OK","PENDIENTES")</f>
        <v>#REF!</v>
      </c>
      <c r="BW408" s="132"/>
      <c r="BX408" s="132"/>
      <c r="BY408" s="132"/>
      <c r="BZ408" s="132"/>
      <c r="CA408" s="132"/>
      <c r="CB408" s="132"/>
      <c r="CC408" s="22"/>
      <c r="CG408" s="24" t="s">
        <v>105</v>
      </c>
      <c r="CH408" s="24"/>
      <c r="CI408" s="24"/>
      <c r="CJ408" s="24"/>
    </row>
    <row r="409" spans="1:88" ht="15" customHeight="1">
      <c r="A409" s="18">
        <v>2018</v>
      </c>
      <c r="B409" s="18" t="str">
        <f>+INDEX(BDD!F:F,MATCH(P409,BDD!D:D,0))&amp;"-"&amp;INDEX(BDD!E:E,MATCH(P409,BDD!D:D,0))</f>
        <v>E-S</v>
      </c>
      <c r="C409" s="125" t="s">
        <v>484</v>
      </c>
      <c r="D409" s="150" t="s">
        <v>77</v>
      </c>
      <c r="E409" s="132"/>
      <c r="F409" s="24"/>
      <c r="G409" s="346">
        <v>8000000345</v>
      </c>
      <c r="H409" s="125" t="s">
        <v>1853</v>
      </c>
      <c r="I409" s="329"/>
      <c r="J409" s="346">
        <v>8000000345</v>
      </c>
      <c r="K409" s="24"/>
      <c r="L409" s="24"/>
      <c r="M409" s="24"/>
      <c r="N409" s="340" t="s">
        <v>486</v>
      </c>
      <c r="O409" s="334">
        <v>204207</v>
      </c>
      <c r="P409" s="25" t="s">
        <v>295</v>
      </c>
      <c r="Q409" s="127" t="s">
        <v>258</v>
      </c>
      <c r="R409" s="232" t="s">
        <v>1854</v>
      </c>
      <c r="S409" s="89">
        <v>43383</v>
      </c>
      <c r="T409" s="36">
        <v>150</v>
      </c>
      <c r="U409" s="125" t="s">
        <v>118</v>
      </c>
      <c r="V409" s="147" t="s">
        <v>1855</v>
      </c>
      <c r="W409" s="129"/>
      <c r="X409" s="88">
        <v>43606</v>
      </c>
      <c r="Y409" s="130" t="s">
        <v>20</v>
      </c>
      <c r="Z409" s="133" t="s">
        <v>81</v>
      </c>
      <c r="AA409" s="133"/>
      <c r="AB409" s="148">
        <v>49</v>
      </c>
      <c r="AC409" s="134">
        <v>1290</v>
      </c>
      <c r="AD409" s="134"/>
      <c r="AE409" s="403">
        <f t="shared" si="19"/>
        <v>63210</v>
      </c>
      <c r="AF409" s="132">
        <v>2</v>
      </c>
      <c r="AG409" s="130" t="s">
        <v>5</v>
      </c>
      <c r="AH409" s="130"/>
      <c r="AI409" s="130" t="s">
        <v>34</v>
      </c>
      <c r="AJ409" s="130"/>
      <c r="AK409" s="130"/>
      <c r="AL409" s="135" t="s">
        <v>1846</v>
      </c>
      <c r="AM409" s="314"/>
      <c r="AN409" s="26"/>
      <c r="AO409" s="26"/>
      <c r="AP409" s="26"/>
      <c r="AQ409" s="26">
        <v>43504</v>
      </c>
      <c r="AR409" s="41"/>
      <c r="AS409" s="41"/>
      <c r="AT409" s="24">
        <v>43507</v>
      </c>
      <c r="AU409" s="418">
        <f t="shared" si="20"/>
        <v>2</v>
      </c>
      <c r="AV409" s="418">
        <f t="shared" si="21"/>
        <v>2019</v>
      </c>
      <c r="AW409" s="24"/>
      <c r="AX409" s="28"/>
      <c r="AY409" s="28" t="s">
        <v>82</v>
      </c>
      <c r="AZ409" s="132" t="s">
        <v>37</v>
      </c>
      <c r="BA409" s="132"/>
      <c r="BB409" s="24"/>
      <c r="BC409" s="135" t="s">
        <v>1856</v>
      </c>
      <c r="BD409" s="24">
        <v>43455</v>
      </c>
      <c r="BE409" s="135" t="s">
        <v>1000</v>
      </c>
      <c r="BF409" s="135" t="s">
        <v>1005</v>
      </c>
      <c r="BG409" s="135" t="s">
        <v>41</v>
      </c>
      <c r="BH409" s="135"/>
      <c r="BI409" s="314"/>
      <c r="BJ409" s="314"/>
      <c r="BK409" s="24"/>
      <c r="BL409" s="24"/>
      <c r="BM409" s="24"/>
      <c r="BN409" s="24"/>
      <c r="BO409" s="24"/>
      <c r="BP409" s="24"/>
      <c r="BQ409" s="24"/>
      <c r="BR409" s="43"/>
      <c r="BS409" s="24"/>
      <c r="BT409" s="24"/>
      <c r="BU409" s="24"/>
      <c r="BV409" s="132" t="e">
        <f>IF(#REF!="COMPLETO","OK","PENDIENTES")</f>
        <v>#REF!</v>
      </c>
      <c r="BW409" s="132"/>
      <c r="BX409" s="132"/>
      <c r="BY409" s="132"/>
      <c r="BZ409" s="132"/>
      <c r="CA409" s="132"/>
      <c r="CB409" s="132"/>
      <c r="CC409" s="22"/>
      <c r="CG409" s="24" t="s">
        <v>105</v>
      </c>
      <c r="CH409" s="24"/>
      <c r="CI409" s="24"/>
      <c r="CJ409" s="24"/>
    </row>
    <row r="410" spans="1:88" ht="15" customHeight="1">
      <c r="A410" s="18">
        <v>2018</v>
      </c>
      <c r="B410" s="18" t="str">
        <f>+INDEX(BDD!F:F,MATCH(P410,BDD!D:D,0))&amp;"-"&amp;INDEX(BDD!E:E,MATCH(P410,BDD!D:D,0))</f>
        <v>E-S</v>
      </c>
      <c r="C410" s="125" t="s">
        <v>484</v>
      </c>
      <c r="D410" s="150" t="s">
        <v>77</v>
      </c>
      <c r="E410" s="132"/>
      <c r="F410" s="24"/>
      <c r="G410" s="346">
        <v>8000000347</v>
      </c>
      <c r="H410" s="125" t="s">
        <v>1857</v>
      </c>
      <c r="I410" s="329"/>
      <c r="J410" s="346">
        <v>8000000347</v>
      </c>
      <c r="K410" s="24"/>
      <c r="L410" s="24"/>
      <c r="M410" s="24"/>
      <c r="N410" s="340" t="s">
        <v>486</v>
      </c>
      <c r="O410" s="334">
        <v>204207</v>
      </c>
      <c r="P410" s="25" t="s">
        <v>295</v>
      </c>
      <c r="Q410" s="127" t="s">
        <v>258</v>
      </c>
      <c r="R410" s="232" t="s">
        <v>1858</v>
      </c>
      <c r="S410" s="89">
        <v>43383</v>
      </c>
      <c r="T410" s="36">
        <v>150</v>
      </c>
      <c r="U410" s="125" t="s">
        <v>118</v>
      </c>
      <c r="V410" s="147" t="s">
        <v>1859</v>
      </c>
      <c r="W410" s="129"/>
      <c r="X410" s="88">
        <v>43618</v>
      </c>
      <c r="Y410" s="130" t="s">
        <v>20</v>
      </c>
      <c r="Z410" s="133" t="s">
        <v>81</v>
      </c>
      <c r="AA410" s="133"/>
      <c r="AB410" s="148">
        <v>49</v>
      </c>
      <c r="AC410" s="134">
        <v>1290</v>
      </c>
      <c r="AD410" s="134"/>
      <c r="AE410" s="403">
        <f t="shared" si="19"/>
        <v>63210</v>
      </c>
      <c r="AF410" s="132">
        <v>2</v>
      </c>
      <c r="AG410" s="130" t="s">
        <v>5</v>
      </c>
      <c r="AH410" s="130"/>
      <c r="AI410" s="130" t="s">
        <v>34</v>
      </c>
      <c r="AJ410" s="130"/>
      <c r="AK410" s="130"/>
      <c r="AL410" s="135" t="s">
        <v>1846</v>
      </c>
      <c r="AM410" s="314"/>
      <c r="AN410" s="26"/>
      <c r="AO410" s="26"/>
      <c r="AP410" s="26"/>
      <c r="AQ410" s="26">
        <v>43513</v>
      </c>
      <c r="AR410" s="41"/>
      <c r="AS410" s="41"/>
      <c r="AT410" s="24">
        <v>43515</v>
      </c>
      <c r="AU410" s="418">
        <f t="shared" si="20"/>
        <v>2</v>
      </c>
      <c r="AV410" s="418">
        <f t="shared" si="21"/>
        <v>2019</v>
      </c>
      <c r="AW410" s="24"/>
      <c r="AX410" s="28"/>
      <c r="AY410" s="28" t="s">
        <v>82</v>
      </c>
      <c r="AZ410" s="132" t="s">
        <v>37</v>
      </c>
      <c r="BA410" s="132"/>
      <c r="BB410" s="24"/>
      <c r="BC410" s="135" t="s">
        <v>1860</v>
      </c>
      <c r="BD410" s="24">
        <v>43467</v>
      </c>
      <c r="BE410" s="135" t="s">
        <v>1861</v>
      </c>
      <c r="BF410" s="135" t="s">
        <v>1862</v>
      </c>
      <c r="BG410" s="135" t="s">
        <v>65</v>
      </c>
      <c r="BH410" s="135"/>
      <c r="BI410" s="314"/>
      <c r="BJ410" s="314"/>
      <c r="BK410" s="24"/>
      <c r="BL410" s="24"/>
      <c r="BM410" s="24"/>
      <c r="BN410" s="24"/>
      <c r="BO410" s="24"/>
      <c r="BP410" s="24"/>
      <c r="BQ410" s="24"/>
      <c r="BR410" s="43"/>
      <c r="BS410" s="24"/>
      <c r="BT410" s="24"/>
      <c r="BU410" s="24"/>
      <c r="BV410" s="132" t="e">
        <f>IF(#REF!="COMPLETO","OK","PENDIENTES")</f>
        <v>#REF!</v>
      </c>
      <c r="BW410" s="132"/>
      <c r="BX410" s="132"/>
      <c r="BY410" s="132"/>
      <c r="BZ410" s="132"/>
      <c r="CA410" s="132"/>
      <c r="CB410" s="132"/>
      <c r="CC410" s="22"/>
      <c r="CG410" s="24" t="s">
        <v>105</v>
      </c>
      <c r="CH410" s="24"/>
      <c r="CI410" s="24"/>
      <c r="CJ410" s="24"/>
    </row>
    <row r="411" spans="1:88" ht="15" customHeight="1">
      <c r="A411" s="18">
        <v>2018</v>
      </c>
      <c r="B411" s="18" t="str">
        <f>+INDEX(BDD!F:F,MATCH(P411,BDD!D:D,0))&amp;"-"&amp;INDEX(BDD!E:E,MATCH(P411,BDD!D:D,0))</f>
        <v>E-S</v>
      </c>
      <c r="C411" s="125" t="s">
        <v>484</v>
      </c>
      <c r="D411" s="150" t="s">
        <v>77</v>
      </c>
      <c r="E411" s="132"/>
      <c r="F411" s="24"/>
      <c r="G411" s="346">
        <v>8000000260</v>
      </c>
      <c r="H411" s="125" t="s">
        <v>1863</v>
      </c>
      <c r="I411" s="329"/>
      <c r="J411" s="346">
        <v>8000000260</v>
      </c>
      <c r="K411" s="24"/>
      <c r="L411" s="24"/>
      <c r="M411" s="24"/>
      <c r="N411" s="340" t="s">
        <v>486</v>
      </c>
      <c r="O411" s="334">
        <v>208053</v>
      </c>
      <c r="P411" s="25" t="s">
        <v>111</v>
      </c>
      <c r="Q411" s="127" t="s">
        <v>276</v>
      </c>
      <c r="R411" s="232" t="s">
        <v>1864</v>
      </c>
      <c r="S411" s="89">
        <v>43411</v>
      </c>
      <c r="T411" s="36">
        <v>120</v>
      </c>
      <c r="U411" s="125" t="s">
        <v>131</v>
      </c>
      <c r="V411" s="147" t="s">
        <v>1865</v>
      </c>
      <c r="W411" s="129"/>
      <c r="X411" s="88">
        <f>+BD411+T411</f>
        <v>43552</v>
      </c>
      <c r="Y411" s="130" t="s">
        <v>20</v>
      </c>
      <c r="Z411" s="133" t="s">
        <v>81</v>
      </c>
      <c r="AA411" s="133"/>
      <c r="AB411" s="148">
        <v>28.6</v>
      </c>
      <c r="AC411" s="134">
        <v>335</v>
      </c>
      <c r="AD411" s="134"/>
      <c r="AE411" s="403">
        <f t="shared" si="19"/>
        <v>9581</v>
      </c>
      <c r="AF411" s="132">
        <v>1</v>
      </c>
      <c r="AG411" s="130" t="s">
        <v>21</v>
      </c>
      <c r="AH411" s="130"/>
      <c r="AI411" s="130" t="s">
        <v>71</v>
      </c>
      <c r="AJ411" s="130"/>
      <c r="AK411" s="130"/>
      <c r="AL411" s="24" t="s">
        <v>1804</v>
      </c>
      <c r="AM411" s="314"/>
      <c r="AN411" s="26"/>
      <c r="AO411" s="26"/>
      <c r="AP411" s="26"/>
      <c r="AQ411" s="26">
        <v>43470</v>
      </c>
      <c r="AR411" s="24"/>
      <c r="AS411" s="24"/>
      <c r="AT411" s="26">
        <v>43473</v>
      </c>
      <c r="AU411" s="418">
        <f t="shared" si="20"/>
        <v>1</v>
      </c>
      <c r="AV411" s="418">
        <f t="shared" si="21"/>
        <v>2019</v>
      </c>
      <c r="AW411" s="26"/>
      <c r="AX411" s="28"/>
      <c r="AY411" s="28" t="s">
        <v>139</v>
      </c>
      <c r="AZ411" s="132" t="s">
        <v>37</v>
      </c>
      <c r="BA411" s="132"/>
      <c r="BB411" s="26"/>
      <c r="BC411" s="135" t="s">
        <v>1866</v>
      </c>
      <c r="BD411" s="24">
        <v>43432</v>
      </c>
      <c r="BE411" s="154" t="s">
        <v>1867</v>
      </c>
      <c r="BF411" s="154" t="s">
        <v>1868</v>
      </c>
      <c r="BG411" s="135" t="s">
        <v>74</v>
      </c>
      <c r="BH411" s="135"/>
      <c r="BI411" s="314"/>
      <c r="BJ411" s="314"/>
      <c r="BK411" s="24"/>
      <c r="BL411" s="24"/>
      <c r="BM411" s="24"/>
      <c r="BN411" s="24"/>
      <c r="BO411" s="24"/>
      <c r="BP411" s="24"/>
      <c r="BQ411" s="24"/>
      <c r="BR411" s="43"/>
      <c r="BS411" s="24"/>
      <c r="BT411" s="24"/>
      <c r="BU411" s="24"/>
      <c r="BV411" s="132" t="e">
        <f>IF(#REF!="COMPLETO","OK","PENDIENTES")</f>
        <v>#REF!</v>
      </c>
      <c r="BW411" s="132"/>
      <c r="BX411" s="132"/>
      <c r="BY411" s="132"/>
      <c r="BZ411" s="132"/>
      <c r="CA411" s="132"/>
      <c r="CB411" s="132"/>
      <c r="CC411" s="22"/>
      <c r="CG411" s="24" t="s">
        <v>105</v>
      </c>
      <c r="CH411" s="24"/>
      <c r="CI411" s="26"/>
      <c r="CJ411" s="26"/>
    </row>
    <row r="412" spans="1:88" ht="15" customHeight="1">
      <c r="A412" s="18">
        <v>2018</v>
      </c>
      <c r="B412" s="18" t="str">
        <f>+INDEX(BDD!F:F,MATCH(P412,BDD!D:D,0))&amp;"-"&amp;INDEX(BDD!E:E,MATCH(P412,BDD!D:D,0))</f>
        <v>S-P</v>
      </c>
      <c r="C412" s="125" t="s">
        <v>484</v>
      </c>
      <c r="D412" s="150" t="s">
        <v>77</v>
      </c>
      <c r="E412" s="132"/>
      <c r="F412" s="24"/>
      <c r="G412" s="346">
        <v>8000000290</v>
      </c>
      <c r="H412" s="125" t="s">
        <v>1869</v>
      </c>
      <c r="I412" s="329"/>
      <c r="J412" s="346">
        <v>8000000290</v>
      </c>
      <c r="K412" s="24"/>
      <c r="L412" s="24"/>
      <c r="M412" s="24"/>
      <c r="N412" s="340" t="s">
        <v>486</v>
      </c>
      <c r="O412" s="334">
        <v>206766</v>
      </c>
      <c r="P412" s="25" t="s">
        <v>2</v>
      </c>
      <c r="Q412" s="127" t="s">
        <v>237</v>
      </c>
      <c r="R412" s="232" t="s">
        <v>1870</v>
      </c>
      <c r="S412" s="89">
        <v>43397</v>
      </c>
      <c r="T412" s="36">
        <v>120</v>
      </c>
      <c r="U412" s="125" t="s">
        <v>118</v>
      </c>
      <c r="V412" s="147" t="s">
        <v>1871</v>
      </c>
      <c r="W412" s="129"/>
      <c r="X412" s="88">
        <v>43549</v>
      </c>
      <c r="Y412" s="130" t="s">
        <v>20</v>
      </c>
      <c r="Z412" s="133" t="s">
        <v>60</v>
      </c>
      <c r="AA412" s="133"/>
      <c r="AB412" s="148">
        <v>600</v>
      </c>
      <c r="AC412" s="134">
        <v>880</v>
      </c>
      <c r="AD412" s="134"/>
      <c r="AE412" s="403">
        <f t="shared" si="19"/>
        <v>528000</v>
      </c>
      <c r="AF412" s="132">
        <v>25</v>
      </c>
      <c r="AG412" s="130" t="s">
        <v>5</v>
      </c>
      <c r="AH412" s="130"/>
      <c r="AI412" s="130" t="s">
        <v>86</v>
      </c>
      <c r="AJ412" s="130"/>
      <c r="AK412" s="130"/>
      <c r="AL412" s="135" t="s">
        <v>1872</v>
      </c>
      <c r="AM412" s="314"/>
      <c r="AN412" s="26"/>
      <c r="AO412" s="26"/>
      <c r="AP412" s="26"/>
      <c r="AQ412" s="26">
        <v>43450</v>
      </c>
      <c r="AR412" s="24"/>
      <c r="AS412" s="24"/>
      <c r="AT412" s="24">
        <v>43458</v>
      </c>
      <c r="AU412" s="418">
        <f t="shared" si="20"/>
        <v>12</v>
      </c>
      <c r="AV412" s="418">
        <f t="shared" si="21"/>
        <v>2018</v>
      </c>
      <c r="AW412" s="24"/>
      <c r="AX412" s="28"/>
      <c r="AY412" s="28" t="s">
        <v>302</v>
      </c>
      <c r="AZ412" s="132" t="s">
        <v>37</v>
      </c>
      <c r="BA412" s="132"/>
      <c r="BB412" s="24"/>
      <c r="BC412" s="135" t="s">
        <v>1873</v>
      </c>
      <c r="BD412" s="24">
        <v>43428</v>
      </c>
      <c r="BE412" s="154" t="s">
        <v>755</v>
      </c>
      <c r="BF412" s="154" t="s">
        <v>783</v>
      </c>
      <c r="BG412" s="135" t="s">
        <v>41</v>
      </c>
      <c r="BH412" s="135"/>
      <c r="BI412" s="314"/>
      <c r="BJ412" s="314"/>
      <c r="BK412" s="24"/>
      <c r="BL412" s="24"/>
      <c r="BM412" s="24"/>
      <c r="BN412" s="24"/>
      <c r="BO412" s="24">
        <f>+AQ412+21</f>
        <v>43471</v>
      </c>
      <c r="BP412" s="24"/>
      <c r="BQ412" s="24"/>
      <c r="BR412" s="43"/>
      <c r="BS412" s="24"/>
      <c r="BT412" s="24"/>
      <c r="BU412" s="24"/>
      <c r="BV412" s="132" t="e">
        <f>IF(#REF!="COMPLETO","OK","PENDIENTES")</f>
        <v>#REF!</v>
      </c>
      <c r="BW412" s="132"/>
      <c r="BX412" s="132"/>
      <c r="BY412" s="132"/>
      <c r="BZ412" s="132"/>
      <c r="CA412" s="132"/>
      <c r="CB412" s="132"/>
      <c r="CC412" s="22"/>
      <c r="CG412" s="24" t="s">
        <v>105</v>
      </c>
      <c r="CH412" s="24"/>
      <c r="CI412" s="24"/>
      <c r="CJ412" s="24"/>
    </row>
    <row r="413" spans="1:88" ht="15" customHeight="1">
      <c r="A413" s="18">
        <v>2018</v>
      </c>
      <c r="B413" s="18" t="str">
        <f>+INDEX(BDD!F:F,MATCH(P413,BDD!D:D,0))&amp;"-"&amp;INDEX(BDD!E:E,MATCH(P413,BDD!D:D,0))</f>
        <v>S-P</v>
      </c>
      <c r="C413" s="125" t="s">
        <v>484</v>
      </c>
      <c r="D413" s="150" t="s">
        <v>77</v>
      </c>
      <c r="E413" s="132"/>
      <c r="F413" s="24"/>
      <c r="G413" s="346">
        <v>8000000298</v>
      </c>
      <c r="H413" s="125" t="s">
        <v>1874</v>
      </c>
      <c r="I413" s="329"/>
      <c r="J413" s="346">
        <v>8000000298</v>
      </c>
      <c r="K413" s="24"/>
      <c r="L413" s="24"/>
      <c r="M413" s="24"/>
      <c r="N413" s="340" t="s">
        <v>486</v>
      </c>
      <c r="O413" s="334">
        <v>206766</v>
      </c>
      <c r="P413" s="25" t="s">
        <v>2</v>
      </c>
      <c r="Q413" s="127" t="s">
        <v>237</v>
      </c>
      <c r="R413" s="232" t="s">
        <v>1875</v>
      </c>
      <c r="S413" s="89">
        <v>43397</v>
      </c>
      <c r="T413" s="36">
        <v>120</v>
      </c>
      <c r="U413" s="125" t="s">
        <v>118</v>
      </c>
      <c r="V413" s="147" t="s">
        <v>1876</v>
      </c>
      <c r="W413" s="129"/>
      <c r="X413" s="88">
        <v>43549</v>
      </c>
      <c r="Y413" s="130" t="s">
        <v>20</v>
      </c>
      <c r="Z413" s="133" t="s">
        <v>60</v>
      </c>
      <c r="AA413" s="133"/>
      <c r="AB413" s="148">
        <v>600</v>
      </c>
      <c r="AC413" s="134">
        <v>890</v>
      </c>
      <c r="AD413" s="134"/>
      <c r="AE413" s="403">
        <f t="shared" si="19"/>
        <v>534000</v>
      </c>
      <c r="AF413" s="132">
        <v>25</v>
      </c>
      <c r="AG413" s="130" t="s">
        <v>5</v>
      </c>
      <c r="AH413" s="130"/>
      <c r="AI413" s="130" t="s">
        <v>86</v>
      </c>
      <c r="AJ413" s="130"/>
      <c r="AK413" s="130"/>
      <c r="AL413" s="135" t="s">
        <v>1872</v>
      </c>
      <c r="AM413" s="314"/>
      <c r="AN413" s="26"/>
      <c r="AO413" s="26"/>
      <c r="AP413" s="26"/>
      <c r="AQ413" s="26">
        <v>43458</v>
      </c>
      <c r="AR413" s="24"/>
      <c r="AS413" s="24"/>
      <c r="AT413" s="24">
        <v>43462</v>
      </c>
      <c r="AU413" s="418">
        <f t="shared" si="20"/>
        <v>12</v>
      </c>
      <c r="AV413" s="418">
        <f t="shared" si="21"/>
        <v>2018</v>
      </c>
      <c r="AW413" s="24"/>
      <c r="AX413" s="28"/>
      <c r="AY413" s="28" t="s">
        <v>302</v>
      </c>
      <c r="AZ413" s="132" t="s">
        <v>9</v>
      </c>
      <c r="BA413" s="132"/>
      <c r="BB413" s="24"/>
      <c r="BC413" s="135" t="s">
        <v>1877</v>
      </c>
      <c r="BD413" s="24">
        <v>43428</v>
      </c>
      <c r="BE413" s="154" t="s">
        <v>755</v>
      </c>
      <c r="BF413" s="154"/>
      <c r="BG413" s="135" t="s">
        <v>41</v>
      </c>
      <c r="BH413" s="135"/>
      <c r="BI413" s="314"/>
      <c r="BJ413" s="314"/>
      <c r="BK413" s="24"/>
      <c r="BL413" s="24"/>
      <c r="BM413" s="24"/>
      <c r="BN413" s="24"/>
      <c r="BO413" s="24">
        <f>+AQ413+21</f>
        <v>43479</v>
      </c>
      <c r="BP413" s="24"/>
      <c r="BQ413" s="24"/>
      <c r="BR413" s="43"/>
      <c r="BS413" s="24"/>
      <c r="BT413" s="24"/>
      <c r="BU413" s="24"/>
      <c r="BV413" s="132" t="e">
        <f>IF(#REF!="COMPLETO","OK","PENDIENTES")</f>
        <v>#REF!</v>
      </c>
      <c r="BW413" s="132"/>
      <c r="BX413" s="132"/>
      <c r="BY413" s="132"/>
      <c r="BZ413" s="132"/>
      <c r="CA413" s="132"/>
      <c r="CB413" s="132"/>
      <c r="CC413" s="22"/>
      <c r="CG413" s="24" t="s">
        <v>105</v>
      </c>
      <c r="CH413" s="24"/>
      <c r="CI413" s="24"/>
      <c r="CJ413" s="24"/>
    </row>
    <row r="414" spans="1:88" ht="15" customHeight="1">
      <c r="A414" s="18">
        <v>2018</v>
      </c>
      <c r="B414" s="18" t="str">
        <f>+INDEX(BDD!F:F,MATCH(P414,BDD!D:D,0))&amp;"-"&amp;INDEX(BDD!E:E,MATCH(P414,BDD!D:D,0))</f>
        <v>E-S</v>
      </c>
      <c r="C414" s="125" t="s">
        <v>484</v>
      </c>
      <c r="D414" s="150" t="s">
        <v>77</v>
      </c>
      <c r="E414" s="132"/>
      <c r="F414" s="24"/>
      <c r="G414" s="346">
        <v>8000000305</v>
      </c>
      <c r="H414" s="125" t="s">
        <v>1878</v>
      </c>
      <c r="I414" s="329"/>
      <c r="J414" s="346">
        <v>8000000305</v>
      </c>
      <c r="K414" s="24"/>
      <c r="L414" s="24"/>
      <c r="M414" s="24"/>
      <c r="N414" s="340" t="s">
        <v>486</v>
      </c>
      <c r="O414" s="334">
        <v>203622</v>
      </c>
      <c r="P414" s="25" t="s">
        <v>341</v>
      </c>
      <c r="Q414" s="127" t="s">
        <v>207</v>
      </c>
      <c r="R414" s="232" t="s">
        <v>1879</v>
      </c>
      <c r="S414" s="89">
        <v>43398</v>
      </c>
      <c r="T414" s="36">
        <v>60</v>
      </c>
      <c r="U414" s="125" t="s">
        <v>131</v>
      </c>
      <c r="V414" s="147" t="s">
        <v>1880</v>
      </c>
      <c r="W414" s="129"/>
      <c r="X414" s="88">
        <v>43521</v>
      </c>
      <c r="Y414" s="130" t="s">
        <v>20</v>
      </c>
      <c r="Z414" s="133" t="s">
        <v>72</v>
      </c>
      <c r="AA414" s="133"/>
      <c r="AB414" s="148">
        <v>44</v>
      </c>
      <c r="AC414" s="134">
        <v>690</v>
      </c>
      <c r="AD414" s="134"/>
      <c r="AE414" s="403">
        <f t="shared" si="19"/>
        <v>30360</v>
      </c>
      <c r="AF414" s="132">
        <v>2</v>
      </c>
      <c r="AG414" s="130" t="s">
        <v>5</v>
      </c>
      <c r="AH414" s="130"/>
      <c r="AI414" s="130" t="s">
        <v>34</v>
      </c>
      <c r="AJ414" s="130"/>
      <c r="AK414" s="130"/>
      <c r="AL414" s="24" t="s">
        <v>1804</v>
      </c>
      <c r="AM414" s="314"/>
      <c r="AN414" s="26"/>
      <c r="AO414" s="26"/>
      <c r="AP414" s="26"/>
      <c r="AQ414" s="26">
        <v>43455</v>
      </c>
      <c r="AR414" s="24"/>
      <c r="AS414" s="24"/>
      <c r="AT414" s="26">
        <v>43460</v>
      </c>
      <c r="AU414" s="418">
        <f t="shared" si="20"/>
        <v>12</v>
      </c>
      <c r="AV414" s="418">
        <f t="shared" si="21"/>
        <v>2018</v>
      </c>
      <c r="AW414" s="26"/>
      <c r="AX414" s="28"/>
      <c r="AY414" s="28" t="s">
        <v>162</v>
      </c>
      <c r="AZ414" s="132" t="s">
        <v>37</v>
      </c>
      <c r="BA414" s="132"/>
      <c r="BB414" s="26"/>
      <c r="BC414" s="135" t="s">
        <v>1881</v>
      </c>
      <c r="BD414" s="24">
        <v>43429</v>
      </c>
      <c r="BE414" s="154" t="s">
        <v>814</v>
      </c>
      <c r="BF414" s="154" t="s">
        <v>814</v>
      </c>
      <c r="BG414" s="135" t="s">
        <v>64</v>
      </c>
      <c r="BH414" s="135"/>
      <c r="BI414" s="314"/>
      <c r="BJ414" s="314"/>
      <c r="BK414" s="24"/>
      <c r="BL414" s="24"/>
      <c r="BM414" s="24"/>
      <c r="BN414" s="24"/>
      <c r="BO414" s="24"/>
      <c r="BP414" s="24"/>
      <c r="BQ414" s="24"/>
      <c r="BR414" s="43"/>
      <c r="BS414" s="24"/>
      <c r="BT414" s="24"/>
      <c r="BU414" s="24"/>
      <c r="BV414" s="132" t="e">
        <f>IF(#REF!="COMPLETO","OK","PENDIENTES")</f>
        <v>#REF!</v>
      </c>
      <c r="BW414" s="132"/>
      <c r="BX414" s="132"/>
      <c r="BY414" s="132"/>
      <c r="BZ414" s="132"/>
      <c r="CA414" s="132"/>
      <c r="CB414" s="132"/>
      <c r="CC414" s="22"/>
      <c r="CG414" s="24" t="s">
        <v>105</v>
      </c>
      <c r="CH414" s="24"/>
      <c r="CI414" s="26"/>
      <c r="CJ414" s="26"/>
    </row>
    <row r="415" spans="1:88" ht="15.75" customHeight="1">
      <c r="A415" s="18">
        <v>2018</v>
      </c>
      <c r="B415" s="18" t="str">
        <f>+INDEX(BDD!F:F,MATCH(P415,BDD!D:D,0))&amp;"-"&amp;INDEX(BDD!E:E,MATCH(P415,BDD!D:D,0))</f>
        <v>E-S</v>
      </c>
      <c r="C415" s="125" t="s">
        <v>484</v>
      </c>
      <c r="D415" s="150" t="s">
        <v>77</v>
      </c>
      <c r="E415" s="132"/>
      <c r="F415" s="24"/>
      <c r="G415" s="346">
        <v>8000000316</v>
      </c>
      <c r="H415" s="125" t="s">
        <v>1882</v>
      </c>
      <c r="I415" s="329"/>
      <c r="J415" s="346">
        <v>8000000316</v>
      </c>
      <c r="K415" s="24"/>
      <c r="L415" s="24"/>
      <c r="M415" s="24"/>
      <c r="N415" s="340" t="s">
        <v>486</v>
      </c>
      <c r="O415" s="334">
        <v>203622</v>
      </c>
      <c r="P415" s="25" t="s">
        <v>341</v>
      </c>
      <c r="Q415" s="127" t="s">
        <v>207</v>
      </c>
      <c r="R415" s="232" t="s">
        <v>1883</v>
      </c>
      <c r="S415" s="89">
        <v>43398</v>
      </c>
      <c r="T415" s="36">
        <v>60</v>
      </c>
      <c r="U415" s="125" t="s">
        <v>131</v>
      </c>
      <c r="V415" s="147" t="s">
        <v>1884</v>
      </c>
      <c r="W415" s="129"/>
      <c r="X415" s="88">
        <f>+BD415+60</f>
        <v>43490</v>
      </c>
      <c r="Y415" s="130" t="s">
        <v>20</v>
      </c>
      <c r="Z415" s="133" t="s">
        <v>72</v>
      </c>
      <c r="AA415" s="133"/>
      <c r="AB415" s="148">
        <v>44</v>
      </c>
      <c r="AC415" s="134">
        <v>695</v>
      </c>
      <c r="AD415" s="134"/>
      <c r="AE415" s="403">
        <f t="shared" si="19"/>
        <v>30580</v>
      </c>
      <c r="AF415" s="132">
        <v>2</v>
      </c>
      <c r="AG415" s="130" t="s">
        <v>5</v>
      </c>
      <c r="AH415" s="130"/>
      <c r="AI415" s="130" t="s">
        <v>34</v>
      </c>
      <c r="AJ415" s="130"/>
      <c r="AK415" s="130"/>
      <c r="AL415" s="24" t="s">
        <v>1804</v>
      </c>
      <c r="AM415" s="314"/>
      <c r="AN415" s="26"/>
      <c r="AO415" s="26"/>
      <c r="AP415" s="26"/>
      <c r="AQ415" s="26">
        <v>43458</v>
      </c>
      <c r="AR415" s="24"/>
      <c r="AS415" s="24"/>
      <c r="AT415" s="24">
        <v>43461</v>
      </c>
      <c r="AU415" s="418">
        <f t="shared" si="20"/>
        <v>12</v>
      </c>
      <c r="AV415" s="418">
        <f t="shared" si="21"/>
        <v>2018</v>
      </c>
      <c r="AW415" s="24"/>
      <c r="AX415" s="28"/>
      <c r="AY415" s="28" t="s">
        <v>162</v>
      </c>
      <c r="AZ415" s="132" t="s">
        <v>9</v>
      </c>
      <c r="BA415" s="132"/>
      <c r="BB415" s="24"/>
      <c r="BC415" s="135" t="s">
        <v>1885</v>
      </c>
      <c r="BD415" s="24">
        <v>43430</v>
      </c>
      <c r="BE415" s="154" t="s">
        <v>814</v>
      </c>
      <c r="BF415" s="154" t="s">
        <v>932</v>
      </c>
      <c r="BG415" s="135" t="s">
        <v>41</v>
      </c>
      <c r="BH415" s="135"/>
      <c r="BI415" s="314"/>
      <c r="BJ415" s="314"/>
      <c r="BK415" s="24"/>
      <c r="BL415" s="24"/>
      <c r="BM415" s="24"/>
      <c r="BN415" s="24"/>
      <c r="BO415" s="24"/>
      <c r="BP415" s="24"/>
      <c r="BQ415" s="24"/>
      <c r="BR415" s="43"/>
      <c r="BS415" s="24"/>
      <c r="BT415" s="24"/>
      <c r="BU415" s="24"/>
      <c r="BV415" s="132" t="e">
        <f>IF(#REF!="COMPLETO","OK","PENDIENTES")</f>
        <v>#REF!</v>
      </c>
      <c r="BW415" s="132"/>
      <c r="BX415" s="132"/>
      <c r="BY415" s="132"/>
      <c r="BZ415" s="132"/>
      <c r="CA415" s="132"/>
      <c r="CB415" s="132"/>
      <c r="CC415" s="22"/>
      <c r="CG415" s="24" t="s">
        <v>105</v>
      </c>
      <c r="CH415" s="24"/>
      <c r="CI415" s="24"/>
      <c r="CJ415" s="24"/>
    </row>
    <row r="416" spans="1:88" ht="15" customHeight="1">
      <c r="A416" s="18">
        <v>2018</v>
      </c>
      <c r="B416" s="18" t="str">
        <f>+INDEX(BDD!F:F,MATCH(P416,BDD!D:D,0))&amp;"-"&amp;INDEX(BDD!E:E,MATCH(P416,BDD!D:D,0))</f>
        <v>S-S</v>
      </c>
      <c r="C416" s="125" t="s">
        <v>484</v>
      </c>
      <c r="D416" s="150" t="s">
        <v>77</v>
      </c>
      <c r="E416" s="132"/>
      <c r="F416" s="24"/>
      <c r="G416" s="346">
        <v>8000000344</v>
      </c>
      <c r="H416" s="125" t="s">
        <v>1886</v>
      </c>
      <c r="I416" s="329"/>
      <c r="J416" s="346">
        <v>8000000344</v>
      </c>
      <c r="K416" s="24"/>
      <c r="L416" s="24"/>
      <c r="M416" s="24"/>
      <c r="N416" s="340" t="s">
        <v>486</v>
      </c>
      <c r="O416" s="334">
        <v>206914</v>
      </c>
      <c r="P416" s="25" t="s">
        <v>335</v>
      </c>
      <c r="Q416" s="127" t="s">
        <v>264</v>
      </c>
      <c r="R416" s="232" t="s">
        <v>1887</v>
      </c>
      <c r="S416" s="89">
        <v>43397</v>
      </c>
      <c r="T416" s="36">
        <v>90</v>
      </c>
      <c r="U416" s="125" t="s">
        <v>118</v>
      </c>
      <c r="V416" s="147" t="s">
        <v>1887</v>
      </c>
      <c r="W416" s="129"/>
      <c r="X416" s="88">
        <v>43531</v>
      </c>
      <c r="Y416" s="130" t="s">
        <v>20</v>
      </c>
      <c r="Z416" s="133" t="s">
        <v>60</v>
      </c>
      <c r="AA416" s="133"/>
      <c r="AB416" s="148">
        <v>800.4</v>
      </c>
      <c r="AC416" s="134">
        <v>135</v>
      </c>
      <c r="AD416" s="134"/>
      <c r="AE416" s="403">
        <f t="shared" si="19"/>
        <v>108054</v>
      </c>
      <c r="AF416" s="132" t="str">
        <f>IF(W416=BDD!$P$1,IMPORTS!AB416/25,IF(W416=BDD!$P$2,IMPORTS!AB416/25,IF(IMPORTS!W416=BDD!$P$4,IMPORTS!AB416/25.5,"--")))</f>
        <v>--</v>
      </c>
      <c r="AG416" s="130" t="s">
        <v>58</v>
      </c>
      <c r="AH416" s="130"/>
      <c r="AI416" s="130" t="s">
        <v>34</v>
      </c>
      <c r="AJ416" s="130"/>
      <c r="AK416" s="130"/>
      <c r="AL416" s="135" t="s">
        <v>1703</v>
      </c>
      <c r="AM416" s="314"/>
      <c r="AN416" s="26"/>
      <c r="AO416" s="26"/>
      <c r="AP416" s="26"/>
      <c r="AQ416" s="26">
        <v>43495</v>
      </c>
      <c r="AR416" s="24"/>
      <c r="AS416" s="24"/>
      <c r="AT416" s="24">
        <v>43507</v>
      </c>
      <c r="AU416" s="418">
        <f t="shared" si="20"/>
        <v>2</v>
      </c>
      <c r="AV416" s="418">
        <f t="shared" si="21"/>
        <v>2019</v>
      </c>
      <c r="AW416" s="24"/>
      <c r="AX416" s="28"/>
      <c r="AY416" s="28" t="s">
        <v>95</v>
      </c>
      <c r="AZ416" s="132" t="s">
        <v>37</v>
      </c>
      <c r="BA416" s="132"/>
      <c r="BB416" s="24"/>
      <c r="BC416" s="135" t="s">
        <v>1888</v>
      </c>
      <c r="BD416" s="24">
        <v>43440</v>
      </c>
      <c r="BE416" s="154" t="s">
        <v>1889</v>
      </c>
      <c r="BF416" s="154" t="s">
        <v>1889</v>
      </c>
      <c r="BG416" s="135" t="s">
        <v>52</v>
      </c>
      <c r="BH416" s="135"/>
      <c r="BI416" s="314"/>
      <c r="BJ416" s="314"/>
      <c r="BK416" s="24"/>
      <c r="BL416" s="24"/>
      <c r="BM416" s="24"/>
      <c r="BN416" s="24"/>
      <c r="BO416" s="24"/>
      <c r="BP416" s="24"/>
      <c r="BQ416" s="24"/>
      <c r="BR416" s="43"/>
      <c r="BS416" s="24"/>
      <c r="BT416" s="24"/>
      <c r="BU416" s="24"/>
      <c r="BV416" s="132" t="e">
        <f>IF(#REF!="COMPLETO","OK","PENDIENTES")</f>
        <v>#REF!</v>
      </c>
      <c r="BW416" s="132"/>
      <c r="BX416" s="132"/>
      <c r="BY416" s="132"/>
      <c r="BZ416" s="132"/>
      <c r="CA416" s="132"/>
      <c r="CB416" s="132"/>
      <c r="CC416" s="22"/>
      <c r="CG416" s="24" t="s">
        <v>105</v>
      </c>
      <c r="CH416" s="24"/>
      <c r="CI416" s="24"/>
      <c r="CJ416" s="24"/>
    </row>
    <row r="417" spans="1:88" ht="15" customHeight="1">
      <c r="A417" s="18">
        <v>2018</v>
      </c>
      <c r="B417" s="18" t="str">
        <f>+INDEX(BDD!F:F,MATCH(P417,BDD!D:D,0))&amp;"-"&amp;INDEX(BDD!E:E,MATCH(P417,BDD!D:D,0))</f>
        <v>S-S</v>
      </c>
      <c r="C417" s="125" t="s">
        <v>484</v>
      </c>
      <c r="D417" s="150" t="s">
        <v>77</v>
      </c>
      <c r="E417" s="132"/>
      <c r="F417" s="24"/>
      <c r="G417" s="346">
        <v>8000000334</v>
      </c>
      <c r="H417" s="125" t="s">
        <v>1890</v>
      </c>
      <c r="I417" s="329"/>
      <c r="J417" s="346">
        <v>8000000334</v>
      </c>
      <c r="K417" s="24"/>
      <c r="L417" s="24"/>
      <c r="M417" s="24"/>
      <c r="N417" s="340" t="s">
        <v>486</v>
      </c>
      <c r="O417" s="334">
        <v>206914</v>
      </c>
      <c r="P417" s="25" t="s">
        <v>335</v>
      </c>
      <c r="Q417" s="127" t="s">
        <v>264</v>
      </c>
      <c r="R417" s="232" t="s">
        <v>1891</v>
      </c>
      <c r="S417" s="89">
        <v>43397</v>
      </c>
      <c r="T417" s="36">
        <v>90</v>
      </c>
      <c r="U417" s="125" t="s">
        <v>118</v>
      </c>
      <c r="V417" s="232" t="s">
        <v>1891</v>
      </c>
      <c r="W417" s="151"/>
      <c r="X417" s="88">
        <v>43538</v>
      </c>
      <c r="Y417" s="130" t="s">
        <v>20</v>
      </c>
      <c r="Z417" s="133" t="s">
        <v>60</v>
      </c>
      <c r="AA417" s="133"/>
      <c r="AB417" s="148">
        <v>399</v>
      </c>
      <c r="AC417" s="134">
        <v>145</v>
      </c>
      <c r="AD417" s="134"/>
      <c r="AE417" s="403">
        <f t="shared" si="19"/>
        <v>57855</v>
      </c>
      <c r="AF417" s="132">
        <v>14</v>
      </c>
      <c r="AG417" s="130" t="s">
        <v>21</v>
      </c>
      <c r="AH417" s="130"/>
      <c r="AI417" s="130" t="s">
        <v>34</v>
      </c>
      <c r="AJ417" s="130"/>
      <c r="AK417" s="130"/>
      <c r="AL417" s="135" t="s">
        <v>1703</v>
      </c>
      <c r="AM417" s="314"/>
      <c r="AN417" s="26"/>
      <c r="AO417" s="26"/>
      <c r="AP417" s="26"/>
      <c r="AQ417" s="26">
        <v>43488</v>
      </c>
      <c r="AR417" s="24"/>
      <c r="AS417" s="24"/>
      <c r="AT417" s="24">
        <v>43489</v>
      </c>
      <c r="AU417" s="418">
        <f t="shared" si="20"/>
        <v>1</v>
      </c>
      <c r="AV417" s="418">
        <f t="shared" si="21"/>
        <v>2019</v>
      </c>
      <c r="AW417" s="24"/>
      <c r="AX417" s="28"/>
      <c r="AY417" s="28" t="s">
        <v>139</v>
      </c>
      <c r="AZ417" s="132" t="s">
        <v>9</v>
      </c>
      <c r="BA417" s="132"/>
      <c r="BB417" s="24"/>
      <c r="BC417" s="135" t="s">
        <v>1892</v>
      </c>
      <c r="BD417" s="24">
        <v>43443</v>
      </c>
      <c r="BE417" s="154" t="s">
        <v>1893</v>
      </c>
      <c r="BF417" s="154" t="s">
        <v>1251</v>
      </c>
      <c r="BG417" s="135" t="s">
        <v>174</v>
      </c>
      <c r="BH417" s="135"/>
      <c r="BI417" s="314"/>
      <c r="BJ417" s="314"/>
      <c r="BK417" s="24"/>
      <c r="BL417" s="24"/>
      <c r="BM417" s="24"/>
      <c r="BN417" s="24"/>
      <c r="BO417" s="24">
        <v>43506</v>
      </c>
      <c r="BP417" s="24"/>
      <c r="BQ417" s="24"/>
      <c r="BR417" s="43"/>
      <c r="BS417" s="24"/>
      <c r="BT417" s="24"/>
      <c r="BU417" s="24"/>
      <c r="BV417" s="132" t="e">
        <f>IF(#REF!="COMPLETO","OK","PENDIENTES")</f>
        <v>#REF!</v>
      </c>
      <c r="BW417" s="132"/>
      <c r="BX417" s="132"/>
      <c r="BY417" s="132"/>
      <c r="BZ417" s="132"/>
      <c r="CA417" s="132"/>
      <c r="CB417" s="132"/>
      <c r="CC417" s="22"/>
      <c r="CG417" s="24" t="s">
        <v>105</v>
      </c>
      <c r="CH417" s="24"/>
      <c r="CI417" s="24"/>
      <c r="CJ417" s="24"/>
    </row>
    <row r="418" spans="1:88" ht="15" customHeight="1">
      <c r="A418" s="18">
        <v>2018</v>
      </c>
      <c r="B418" s="18" t="str">
        <f>+INDEX(BDD!F:F,MATCH(P418,BDD!D:D,0))&amp;"-"&amp;INDEX(BDD!E:E,MATCH(P418,BDD!D:D,0))</f>
        <v>G-S</v>
      </c>
      <c r="C418" s="125" t="s">
        <v>484</v>
      </c>
      <c r="D418" s="150" t="s">
        <v>77</v>
      </c>
      <c r="E418" s="132"/>
      <c r="F418" s="24"/>
      <c r="G418" s="346">
        <v>8000000289</v>
      </c>
      <c r="H418" s="125" t="s">
        <v>1894</v>
      </c>
      <c r="I418" s="329"/>
      <c r="J418" s="346">
        <v>8000000289</v>
      </c>
      <c r="K418" s="24"/>
      <c r="L418" s="24"/>
      <c r="M418" s="24"/>
      <c r="N418" s="340" t="s">
        <v>486</v>
      </c>
      <c r="O418" s="334">
        <v>207485</v>
      </c>
      <c r="P418" s="25" t="s">
        <v>353</v>
      </c>
      <c r="Q418" s="127" t="s">
        <v>237</v>
      </c>
      <c r="R418" s="232" t="s">
        <v>1895</v>
      </c>
      <c r="S418" s="89">
        <v>43398</v>
      </c>
      <c r="T418" s="36" t="s">
        <v>19</v>
      </c>
      <c r="U418" s="125"/>
      <c r="V418" s="147" t="s">
        <v>1896</v>
      </c>
      <c r="W418" s="129"/>
      <c r="X418" s="88">
        <v>43425</v>
      </c>
      <c r="Y418" s="130" t="s">
        <v>20</v>
      </c>
      <c r="Z418" s="133" t="s">
        <v>60</v>
      </c>
      <c r="AA418" s="133"/>
      <c r="AB418" s="148">
        <v>200</v>
      </c>
      <c r="AC418" s="134">
        <v>360</v>
      </c>
      <c r="AD418" s="134"/>
      <c r="AE418" s="403">
        <f t="shared" si="19"/>
        <v>72000</v>
      </c>
      <c r="AF418" s="132" t="str">
        <f>IF(W418=BDD!$P$1,IMPORTS!AB418/25,IF(W418=BDD!$P$2,IMPORTS!AB418/25,IF(IMPORTS!W418=BDD!$P$4,IMPORTS!AB418/25.5,"--")))</f>
        <v>--</v>
      </c>
      <c r="AG418" s="130" t="s">
        <v>46</v>
      </c>
      <c r="AH418" s="130"/>
      <c r="AI418" s="130" t="s">
        <v>100</v>
      </c>
      <c r="AJ418" s="130"/>
      <c r="AK418" s="130"/>
      <c r="AL418" s="24" t="s">
        <v>1804</v>
      </c>
      <c r="AM418" s="314"/>
      <c r="AN418" s="26"/>
      <c r="AO418" s="26"/>
      <c r="AP418" s="26"/>
      <c r="AQ418" s="26">
        <v>43454</v>
      </c>
      <c r="AR418" s="24"/>
      <c r="AS418" s="24"/>
      <c r="AT418" s="24">
        <v>43455</v>
      </c>
      <c r="AU418" s="418">
        <f t="shared" si="20"/>
        <v>12</v>
      </c>
      <c r="AV418" s="418">
        <f t="shared" si="21"/>
        <v>2018</v>
      </c>
      <c r="AW418" s="24"/>
      <c r="AX418" s="28"/>
      <c r="AY418" s="28" t="s">
        <v>201</v>
      </c>
      <c r="AZ418" s="132" t="s">
        <v>9</v>
      </c>
      <c r="BA418" s="132"/>
      <c r="BB418" s="24"/>
      <c r="BC418" s="135">
        <v>24</v>
      </c>
      <c r="BD418" s="24">
        <v>43420</v>
      </c>
      <c r="BE418" s="154" t="s">
        <v>1897</v>
      </c>
      <c r="BF418" s="154" t="s">
        <v>1897</v>
      </c>
      <c r="BG418" s="135" t="s">
        <v>52</v>
      </c>
      <c r="BH418" s="135"/>
      <c r="BI418" s="314"/>
      <c r="BJ418" s="314"/>
      <c r="BK418" s="24"/>
      <c r="BL418" s="24"/>
      <c r="BM418" s="24"/>
      <c r="BN418" s="24"/>
      <c r="BO418" s="24"/>
      <c r="BP418" s="24"/>
      <c r="BQ418" s="24"/>
      <c r="BR418" s="43"/>
      <c r="BS418" s="24"/>
      <c r="BT418" s="24"/>
      <c r="BU418" s="24"/>
      <c r="BV418" s="132" t="e">
        <f>IF(#REF!="COMPLETO","OK","PENDIENTES")</f>
        <v>#REF!</v>
      </c>
      <c r="BW418" s="132"/>
      <c r="BX418" s="132"/>
      <c r="BY418" s="132"/>
      <c r="BZ418" s="132"/>
      <c r="CA418" s="132"/>
      <c r="CB418" s="132"/>
      <c r="CC418" s="22"/>
      <c r="CG418" s="24" t="s">
        <v>105</v>
      </c>
      <c r="CH418" s="24"/>
      <c r="CI418" s="24"/>
      <c r="CJ418" s="24"/>
    </row>
    <row r="419" spans="1:88" ht="15" customHeight="1">
      <c r="A419" s="18">
        <v>2018</v>
      </c>
      <c r="B419" s="18" t="str">
        <f>+INDEX(BDD!F:F,MATCH(P419,BDD!D:D,0))&amp;"-"&amp;INDEX(BDD!E:E,MATCH(P419,BDD!D:D,0))</f>
        <v>G-S</v>
      </c>
      <c r="C419" s="125" t="s">
        <v>484</v>
      </c>
      <c r="D419" s="150" t="s">
        <v>77</v>
      </c>
      <c r="E419" s="132"/>
      <c r="F419" s="24"/>
      <c r="G419" s="346">
        <v>8000000296</v>
      </c>
      <c r="H419" s="125" t="s">
        <v>1898</v>
      </c>
      <c r="I419" s="329"/>
      <c r="J419" s="346">
        <v>8000000296</v>
      </c>
      <c r="K419" s="24"/>
      <c r="L419" s="24"/>
      <c r="M419" s="24"/>
      <c r="N419" s="340" t="s">
        <v>486</v>
      </c>
      <c r="O419" s="334">
        <v>207485</v>
      </c>
      <c r="P419" s="25" t="s">
        <v>353</v>
      </c>
      <c r="Q419" s="127" t="s">
        <v>237</v>
      </c>
      <c r="R419" s="232" t="s">
        <v>1895</v>
      </c>
      <c r="S419" s="89">
        <v>43398</v>
      </c>
      <c r="T419" s="36" t="s">
        <v>19</v>
      </c>
      <c r="U419" s="125"/>
      <c r="V419" s="147" t="s">
        <v>1899</v>
      </c>
      <c r="W419" s="129"/>
      <c r="X419" s="88">
        <v>43425</v>
      </c>
      <c r="Y419" s="130" t="s">
        <v>20</v>
      </c>
      <c r="Z419" s="133" t="s">
        <v>60</v>
      </c>
      <c r="AA419" s="133"/>
      <c r="AB419" s="148">
        <v>400</v>
      </c>
      <c r="AC419" s="134">
        <v>360</v>
      </c>
      <c r="AD419" s="134"/>
      <c r="AE419" s="403">
        <f t="shared" si="19"/>
        <v>144000</v>
      </c>
      <c r="AF419" s="132" t="str">
        <f>IF(W419=BDD!$P$1,IMPORTS!AB419/25,IF(W419=BDD!$P$2,IMPORTS!AB419/25,IF(IMPORTS!W419=BDD!$P$4,IMPORTS!AB419/25.5,"--")))</f>
        <v>--</v>
      </c>
      <c r="AG419" s="130" t="s">
        <v>46</v>
      </c>
      <c r="AH419" s="130"/>
      <c r="AI419" s="130" t="s">
        <v>100</v>
      </c>
      <c r="AJ419" s="130"/>
      <c r="AK419" s="130"/>
      <c r="AL419" s="24" t="s">
        <v>1804</v>
      </c>
      <c r="AM419" s="314"/>
      <c r="AN419" s="26"/>
      <c r="AO419" s="26"/>
      <c r="AP419" s="26"/>
      <c r="AQ419" s="26">
        <v>43458</v>
      </c>
      <c r="AR419" s="24"/>
      <c r="AS419" s="24"/>
      <c r="AT419" s="24">
        <v>43461</v>
      </c>
      <c r="AU419" s="418">
        <f t="shared" si="20"/>
        <v>12</v>
      </c>
      <c r="AV419" s="418">
        <f t="shared" si="21"/>
        <v>2018</v>
      </c>
      <c r="AW419" s="24"/>
      <c r="AX419" s="28"/>
      <c r="AY419" s="28" t="s">
        <v>201</v>
      </c>
      <c r="AZ419" s="132" t="s">
        <v>37</v>
      </c>
      <c r="BA419" s="132"/>
      <c r="BB419" s="24"/>
      <c r="BC419" s="135">
        <v>18</v>
      </c>
      <c r="BD419" s="24">
        <v>43420</v>
      </c>
      <c r="BE419" s="154" t="s">
        <v>1897</v>
      </c>
      <c r="BF419" s="154" t="s">
        <v>1897</v>
      </c>
      <c r="BG419" s="135" t="s">
        <v>52</v>
      </c>
      <c r="BH419" s="135"/>
      <c r="BI419" s="314"/>
      <c r="BJ419" s="314"/>
      <c r="BK419" s="24"/>
      <c r="BL419" s="24"/>
      <c r="BM419" s="24"/>
      <c r="BN419" s="24"/>
      <c r="BO419" s="24"/>
      <c r="BP419" s="24"/>
      <c r="BQ419" s="24"/>
      <c r="BR419" s="43"/>
      <c r="BS419" s="24"/>
      <c r="BT419" s="24"/>
      <c r="BU419" s="24"/>
      <c r="BV419" s="132" t="e">
        <f>IF(#REF!="COMPLETO","OK","PENDIENTES")</f>
        <v>#REF!</v>
      </c>
      <c r="BW419" s="132"/>
      <c r="BX419" s="132"/>
      <c r="BY419" s="132"/>
      <c r="BZ419" s="132"/>
      <c r="CA419" s="132"/>
      <c r="CB419" s="132"/>
      <c r="CC419" s="22"/>
      <c r="CG419" s="24" t="s">
        <v>105</v>
      </c>
      <c r="CH419" s="24"/>
      <c r="CI419" s="24"/>
      <c r="CJ419" s="24"/>
    </row>
    <row r="420" spans="1:88" ht="15" customHeight="1">
      <c r="A420" s="18">
        <v>2018</v>
      </c>
      <c r="B420" s="18" t="str">
        <f>+INDEX(BDD!F:F,MATCH(P420,BDD!D:D,0))&amp;"-"&amp;INDEX(BDD!E:E,MATCH(P420,BDD!D:D,0))</f>
        <v>G-S</v>
      </c>
      <c r="C420" s="125" t="s">
        <v>484</v>
      </c>
      <c r="D420" s="150" t="s">
        <v>77</v>
      </c>
      <c r="E420" s="132"/>
      <c r="F420" s="24"/>
      <c r="G420" s="346">
        <v>8000000299</v>
      </c>
      <c r="H420" s="125" t="s">
        <v>1900</v>
      </c>
      <c r="I420" s="329"/>
      <c r="J420" s="346">
        <v>8000000299</v>
      </c>
      <c r="K420" s="24"/>
      <c r="L420" s="24"/>
      <c r="M420" s="24"/>
      <c r="N420" s="340" t="s">
        <v>486</v>
      </c>
      <c r="O420" s="334">
        <v>207485</v>
      </c>
      <c r="P420" s="25" t="s">
        <v>353</v>
      </c>
      <c r="Q420" s="127" t="s">
        <v>237</v>
      </c>
      <c r="R420" s="232" t="s">
        <v>1895</v>
      </c>
      <c r="S420" s="89">
        <v>43398</v>
      </c>
      <c r="T420" s="36" t="s">
        <v>19</v>
      </c>
      <c r="U420" s="125"/>
      <c r="V420" s="147" t="s">
        <v>1901</v>
      </c>
      <c r="W420" s="129"/>
      <c r="X420" s="88">
        <v>43425</v>
      </c>
      <c r="Y420" s="130" t="s">
        <v>20</v>
      </c>
      <c r="Z420" s="133" t="s">
        <v>60</v>
      </c>
      <c r="AA420" s="133"/>
      <c r="AB420" s="148">
        <v>600</v>
      </c>
      <c r="AC420" s="134">
        <v>360</v>
      </c>
      <c r="AD420" s="134"/>
      <c r="AE420" s="403">
        <f t="shared" si="19"/>
        <v>216000</v>
      </c>
      <c r="AF420" s="132" t="str">
        <f>IF(W420=BDD!$P$1,IMPORTS!AB420/25,IF(W420=BDD!$P$2,IMPORTS!AB420/25,IF(IMPORTS!W420=BDD!$P$4,IMPORTS!AB420/25.5,"--")))</f>
        <v>--</v>
      </c>
      <c r="AG420" s="130" t="s">
        <v>46</v>
      </c>
      <c r="AH420" s="130"/>
      <c r="AI420" s="130" t="s">
        <v>100</v>
      </c>
      <c r="AJ420" s="130"/>
      <c r="AK420" s="130"/>
      <c r="AL420" s="24" t="s">
        <v>1804</v>
      </c>
      <c r="AM420" s="314"/>
      <c r="AN420" s="26"/>
      <c r="AO420" s="26"/>
      <c r="AP420" s="26"/>
      <c r="AQ420" s="26">
        <v>43463</v>
      </c>
      <c r="AR420" s="24"/>
      <c r="AS420" s="24"/>
      <c r="AT420" s="24">
        <v>43464</v>
      </c>
      <c r="AU420" s="418">
        <f t="shared" si="20"/>
        <v>12</v>
      </c>
      <c r="AV420" s="418">
        <f t="shared" si="21"/>
        <v>2018</v>
      </c>
      <c r="AW420" s="24"/>
      <c r="AX420" s="28"/>
      <c r="AY420" s="28" t="s">
        <v>201</v>
      </c>
      <c r="AZ420" s="132" t="s">
        <v>62</v>
      </c>
      <c r="BA420" s="132"/>
      <c r="BB420" s="24"/>
      <c r="BC420" s="135">
        <v>23</v>
      </c>
      <c r="BD420" s="24">
        <v>43420</v>
      </c>
      <c r="BE420" s="154" t="s">
        <v>1897</v>
      </c>
      <c r="BF420" s="154" t="s">
        <v>1897</v>
      </c>
      <c r="BG420" s="135" t="s">
        <v>52</v>
      </c>
      <c r="BH420" s="135"/>
      <c r="BI420" s="314"/>
      <c r="BJ420" s="314"/>
      <c r="BK420" s="24"/>
      <c r="BL420" s="24"/>
      <c r="BM420" s="24"/>
      <c r="BN420" s="24"/>
      <c r="BO420" s="24"/>
      <c r="BP420" s="24"/>
      <c r="BQ420" s="24"/>
      <c r="BR420" s="43"/>
      <c r="BS420" s="24"/>
      <c r="BT420" s="24"/>
      <c r="BU420" s="24"/>
      <c r="BV420" s="132" t="e">
        <f>IF(#REF!="COMPLETO","OK","PENDIENTES")</f>
        <v>#REF!</v>
      </c>
      <c r="BW420" s="132"/>
      <c r="BX420" s="132"/>
      <c r="BY420" s="132"/>
      <c r="BZ420" s="132"/>
      <c r="CA420" s="132"/>
      <c r="CB420" s="132"/>
      <c r="CC420" s="22"/>
      <c r="CG420" s="24" t="s">
        <v>105</v>
      </c>
      <c r="CH420" s="24"/>
      <c r="CI420" s="24"/>
      <c r="CJ420" s="24"/>
    </row>
    <row r="421" spans="1:88" ht="15" customHeight="1">
      <c r="A421" s="18">
        <v>2018</v>
      </c>
      <c r="B421" s="18" t="str">
        <f>+INDEX(BDD!F:F,MATCH(P421,BDD!D:D,0))&amp;"-"&amp;INDEX(BDD!E:E,MATCH(P421,BDD!D:D,0))</f>
        <v>G-S</v>
      </c>
      <c r="C421" s="125" t="s">
        <v>484</v>
      </c>
      <c r="D421" s="150" t="s">
        <v>77</v>
      </c>
      <c r="E421" s="132"/>
      <c r="F421" s="24"/>
      <c r="G421" s="346">
        <v>8000000291</v>
      </c>
      <c r="H421" s="125" t="s">
        <v>1902</v>
      </c>
      <c r="I421" s="329"/>
      <c r="J421" s="346">
        <v>8000000291</v>
      </c>
      <c r="K421" s="24"/>
      <c r="L421" s="24"/>
      <c r="M421" s="24"/>
      <c r="N421" s="340" t="s">
        <v>486</v>
      </c>
      <c r="O421" s="334">
        <v>206597</v>
      </c>
      <c r="P421" s="25" t="s">
        <v>104</v>
      </c>
      <c r="Q421" s="127" t="s">
        <v>285</v>
      </c>
      <c r="R421" s="128" t="s">
        <v>1903</v>
      </c>
      <c r="S421" s="89">
        <v>43404</v>
      </c>
      <c r="T421" s="36" t="s">
        <v>4</v>
      </c>
      <c r="U421" s="125"/>
      <c r="V421" s="147" t="s">
        <v>1904</v>
      </c>
      <c r="W421" s="129"/>
      <c r="X421" s="88">
        <v>43426</v>
      </c>
      <c r="Y421" s="130" t="s">
        <v>20</v>
      </c>
      <c r="Z421" s="133" t="s">
        <v>60</v>
      </c>
      <c r="AA421" s="133"/>
      <c r="AB421" s="148">
        <v>400</v>
      </c>
      <c r="AC421" s="134">
        <f>295+52.5</f>
        <v>347.5</v>
      </c>
      <c r="AD421" s="134"/>
      <c r="AE421" s="403">
        <f t="shared" si="19"/>
        <v>139000</v>
      </c>
      <c r="AF421" s="132" t="str">
        <f>IF(W421=BDD!$P$1,IMPORTS!AB421/25,IF(W421=BDD!$P$2,IMPORTS!AB421/25,IF(IMPORTS!W421=BDD!$P$4,IMPORTS!AB421/25.5,"--")))</f>
        <v>--</v>
      </c>
      <c r="AG421" s="130" t="s">
        <v>46</v>
      </c>
      <c r="AH421" s="130"/>
      <c r="AI421" s="130" t="s">
        <v>100</v>
      </c>
      <c r="AJ421" s="130"/>
      <c r="AK421" s="130"/>
      <c r="AL421" s="24" t="s">
        <v>1804</v>
      </c>
      <c r="AM421" s="314"/>
      <c r="AN421" s="26"/>
      <c r="AO421" s="26"/>
      <c r="AP421" s="26"/>
      <c r="AQ421" s="26">
        <v>43454</v>
      </c>
      <c r="AR421" s="24"/>
      <c r="AS421" s="24"/>
      <c r="AT421" s="24">
        <v>43456</v>
      </c>
      <c r="AU421" s="418">
        <f t="shared" si="20"/>
        <v>12</v>
      </c>
      <c r="AV421" s="418">
        <f t="shared" si="21"/>
        <v>2018</v>
      </c>
      <c r="AW421" s="24"/>
      <c r="AX421" s="28"/>
      <c r="AY421" s="28" t="s">
        <v>281</v>
      </c>
      <c r="AZ421" s="132" t="s">
        <v>9</v>
      </c>
      <c r="BA421" s="132"/>
      <c r="BB421" s="24"/>
      <c r="BC421" s="135">
        <v>6</v>
      </c>
      <c r="BD421" s="24">
        <v>43419</v>
      </c>
      <c r="BE421" s="154" t="s">
        <v>1905</v>
      </c>
      <c r="BF421" s="154" t="s">
        <v>1905</v>
      </c>
      <c r="BG421" s="135" t="s">
        <v>52</v>
      </c>
      <c r="BH421" s="135"/>
      <c r="BI421" s="314"/>
      <c r="BJ421" s="314"/>
      <c r="BK421" s="24"/>
      <c r="BL421" s="24"/>
      <c r="BM421" s="24"/>
      <c r="BN421" s="24"/>
      <c r="BO421" s="24"/>
      <c r="BP421" s="24"/>
      <c r="BQ421" s="24"/>
      <c r="BR421" s="43"/>
      <c r="BS421" s="24"/>
      <c r="BT421" s="24"/>
      <c r="BU421" s="24"/>
      <c r="BV421" s="132" t="e">
        <f>IF(#REF!="COMPLETO","OK","PENDIENTES")</f>
        <v>#REF!</v>
      </c>
      <c r="BW421" s="132"/>
      <c r="BX421" s="132"/>
      <c r="BY421" s="132"/>
      <c r="BZ421" s="132"/>
      <c r="CA421" s="132"/>
      <c r="CB421" s="132"/>
      <c r="CC421" s="22"/>
      <c r="CG421" s="24" t="s">
        <v>105</v>
      </c>
      <c r="CH421" s="24"/>
      <c r="CI421" s="24"/>
      <c r="CJ421" s="24"/>
    </row>
    <row r="422" spans="1:88" ht="15" customHeight="1">
      <c r="A422" s="18">
        <v>2018</v>
      </c>
      <c r="B422" s="18" t="str">
        <f>+INDEX(BDD!F:F,MATCH(P422,BDD!D:D,0))&amp;"-"&amp;INDEX(BDD!E:E,MATCH(P422,BDD!D:D,0))</f>
        <v>G-S</v>
      </c>
      <c r="C422" s="125" t="s">
        <v>484</v>
      </c>
      <c r="D422" s="150" t="s">
        <v>77</v>
      </c>
      <c r="E422" s="132"/>
      <c r="F422" s="24"/>
      <c r="G422" s="346">
        <v>8000000300</v>
      </c>
      <c r="H422" s="125" t="s">
        <v>1906</v>
      </c>
      <c r="I422" s="329"/>
      <c r="J422" s="346">
        <v>8000000300</v>
      </c>
      <c r="K422" s="24"/>
      <c r="L422" s="24"/>
      <c r="M422" s="24"/>
      <c r="N422" s="340" t="s">
        <v>486</v>
      </c>
      <c r="O422" s="334">
        <v>206597</v>
      </c>
      <c r="P422" s="25" t="s">
        <v>104</v>
      </c>
      <c r="Q422" s="127" t="s">
        <v>285</v>
      </c>
      <c r="R422" s="128" t="s">
        <v>1903</v>
      </c>
      <c r="S422" s="89">
        <v>43404</v>
      </c>
      <c r="T422" s="36" t="s">
        <v>4</v>
      </c>
      <c r="U422" s="125"/>
      <c r="V422" s="147" t="s">
        <v>1907</v>
      </c>
      <c r="W422" s="129"/>
      <c r="X422" s="88">
        <v>43426</v>
      </c>
      <c r="Y422" s="130" t="s">
        <v>20</v>
      </c>
      <c r="Z422" s="133" t="s">
        <v>60</v>
      </c>
      <c r="AA422" s="133"/>
      <c r="AB422" s="148">
        <v>1800</v>
      </c>
      <c r="AC422" s="134">
        <f>295+52.5</f>
        <v>347.5</v>
      </c>
      <c r="AD422" s="134"/>
      <c r="AE422" s="403">
        <f t="shared" si="19"/>
        <v>625500</v>
      </c>
      <c r="AF422" s="132" t="str">
        <f>IF(W422=BDD!$P$1,IMPORTS!AB422/25,IF(W422=BDD!$P$2,IMPORTS!AB422/25,IF(IMPORTS!W422=BDD!$P$4,IMPORTS!AB422/25.5,"--")))</f>
        <v>--</v>
      </c>
      <c r="AG422" s="130" t="s">
        <v>46</v>
      </c>
      <c r="AH422" s="130"/>
      <c r="AI422" s="130" t="s">
        <v>100</v>
      </c>
      <c r="AJ422" s="130"/>
      <c r="AK422" s="130"/>
      <c r="AL422" s="24" t="s">
        <v>1804</v>
      </c>
      <c r="AM422" s="314"/>
      <c r="AN422" s="26"/>
      <c r="AO422" s="26"/>
      <c r="AP422" s="26"/>
      <c r="AQ422" s="26">
        <v>43461</v>
      </c>
      <c r="AR422" s="24"/>
      <c r="AS422" s="24"/>
      <c r="AT422" s="24">
        <v>43464</v>
      </c>
      <c r="AU422" s="418">
        <f t="shared" si="20"/>
        <v>12</v>
      </c>
      <c r="AV422" s="418">
        <f t="shared" si="21"/>
        <v>2018</v>
      </c>
      <c r="AW422" s="24"/>
      <c r="AX422" s="28"/>
      <c r="AY422" s="28" t="s">
        <v>281</v>
      </c>
      <c r="AZ422" s="132" t="s">
        <v>37</v>
      </c>
      <c r="BA422" s="132"/>
      <c r="BB422" s="24"/>
      <c r="BC422" s="135">
        <v>7</v>
      </c>
      <c r="BD422" s="24">
        <v>43419</v>
      </c>
      <c r="BE422" s="154" t="s">
        <v>1905</v>
      </c>
      <c r="BF422" s="154" t="s">
        <v>1905</v>
      </c>
      <c r="BG422" s="135" t="s">
        <v>52</v>
      </c>
      <c r="BH422" s="135"/>
      <c r="BI422" s="314"/>
      <c r="BJ422" s="314"/>
      <c r="BK422" s="24"/>
      <c r="BL422" s="24"/>
      <c r="BM422" s="24"/>
      <c r="BN422" s="24"/>
      <c r="BO422" s="24"/>
      <c r="BP422" s="24"/>
      <c r="BQ422" s="24"/>
      <c r="BR422" s="43"/>
      <c r="BS422" s="24"/>
      <c r="BT422" s="24"/>
      <c r="BU422" s="24"/>
      <c r="BV422" s="132" t="e">
        <f>IF(#REF!="COMPLETO","OK","PENDIENTES")</f>
        <v>#REF!</v>
      </c>
      <c r="BW422" s="132"/>
      <c r="BX422" s="132"/>
      <c r="BY422" s="132"/>
      <c r="BZ422" s="132"/>
      <c r="CA422" s="132"/>
      <c r="CB422" s="132"/>
      <c r="CC422" s="22"/>
      <c r="CG422" s="24" t="s">
        <v>105</v>
      </c>
      <c r="CH422" s="24"/>
      <c r="CI422" s="24"/>
      <c r="CJ422" s="24"/>
    </row>
    <row r="423" spans="1:88" ht="15" customHeight="1">
      <c r="A423" s="18">
        <v>2018</v>
      </c>
      <c r="B423" s="18" t="str">
        <f>+INDEX(BDD!F:F,MATCH(P423,BDD!D:D,0))&amp;"-"&amp;INDEX(BDD!E:E,MATCH(P423,BDD!D:D,0))</f>
        <v>G-S</v>
      </c>
      <c r="C423" s="125" t="s">
        <v>484</v>
      </c>
      <c r="D423" s="150" t="s">
        <v>77</v>
      </c>
      <c r="E423" s="132"/>
      <c r="F423" s="24"/>
      <c r="G423" s="346">
        <v>8000000318</v>
      </c>
      <c r="H423" s="125" t="s">
        <v>1908</v>
      </c>
      <c r="I423" s="329"/>
      <c r="J423" s="346">
        <v>8000000318</v>
      </c>
      <c r="K423" s="24"/>
      <c r="L423" s="24"/>
      <c r="M423" s="24"/>
      <c r="N423" s="340" t="s">
        <v>486</v>
      </c>
      <c r="O423" s="334">
        <v>209979</v>
      </c>
      <c r="P423" s="25" t="s">
        <v>339</v>
      </c>
      <c r="Q423" s="127" t="s">
        <v>207</v>
      </c>
      <c r="R423" s="232" t="s">
        <v>1909</v>
      </c>
      <c r="S423" s="89">
        <v>43398</v>
      </c>
      <c r="T423" s="36">
        <v>90</v>
      </c>
      <c r="U423" s="125" t="s">
        <v>118</v>
      </c>
      <c r="V423" s="147" t="s">
        <v>1910</v>
      </c>
      <c r="W423" s="129"/>
      <c r="X423" s="88">
        <f>IF(RIGHT(U423,3)="ETA",AQ423+T423,IF(RIGHT(U423,2)="BL",BD423+T423," "))</f>
        <v>43520</v>
      </c>
      <c r="Y423" s="130" t="s">
        <v>20</v>
      </c>
      <c r="Z423" s="133" t="s">
        <v>60</v>
      </c>
      <c r="AA423" s="133"/>
      <c r="AB423" s="148">
        <v>280.08600000000001</v>
      </c>
      <c r="AC423" s="134">
        <v>535</v>
      </c>
      <c r="AD423" s="134"/>
      <c r="AE423" s="403">
        <f t="shared" si="19"/>
        <v>149846.01</v>
      </c>
      <c r="AF423" s="132">
        <v>10</v>
      </c>
      <c r="AG423" s="130" t="s">
        <v>5</v>
      </c>
      <c r="AH423" s="130"/>
      <c r="AI423" s="130" t="s">
        <v>100</v>
      </c>
      <c r="AJ423" s="130"/>
      <c r="AK423" s="130"/>
      <c r="AL423" s="24" t="s">
        <v>1804</v>
      </c>
      <c r="AM423" s="314"/>
      <c r="AN423" s="26"/>
      <c r="AO423" s="26"/>
      <c r="AP423" s="26"/>
      <c r="AQ423" s="26">
        <v>43455</v>
      </c>
      <c r="AR423" s="24"/>
      <c r="AS423" s="24"/>
      <c r="AT423" s="26">
        <v>43460</v>
      </c>
      <c r="AU423" s="418">
        <f t="shared" si="20"/>
        <v>12</v>
      </c>
      <c r="AV423" s="418">
        <f t="shared" si="21"/>
        <v>2018</v>
      </c>
      <c r="AW423" s="26"/>
      <c r="AX423" s="28"/>
      <c r="AY423" s="28" t="s">
        <v>162</v>
      </c>
      <c r="AZ423" s="132" t="s">
        <v>37</v>
      </c>
      <c r="BA423" s="132"/>
      <c r="BB423" s="26"/>
      <c r="BC423" s="135" t="s">
        <v>1911</v>
      </c>
      <c r="BD423" s="24">
        <v>43430</v>
      </c>
      <c r="BE423" s="154" t="s">
        <v>814</v>
      </c>
      <c r="BF423" s="154" t="s">
        <v>814</v>
      </c>
      <c r="BG423" s="135" t="s">
        <v>64</v>
      </c>
      <c r="BH423" s="135"/>
      <c r="BI423" s="314"/>
      <c r="BJ423" s="314"/>
      <c r="BK423" s="24"/>
      <c r="BL423" s="24"/>
      <c r="BM423" s="24"/>
      <c r="BN423" s="24"/>
      <c r="BO423" s="24"/>
      <c r="BP423" s="24"/>
      <c r="BQ423" s="24"/>
      <c r="BR423" s="43"/>
      <c r="BS423" s="24"/>
      <c r="BT423" s="24"/>
      <c r="BU423" s="24"/>
      <c r="BV423" s="132" t="e">
        <f>IF(#REF!="COMPLETO","OK","PENDIENTES")</f>
        <v>#REF!</v>
      </c>
      <c r="BW423" s="132"/>
      <c r="BX423" s="132"/>
      <c r="BY423" s="132"/>
      <c r="BZ423" s="132"/>
      <c r="CA423" s="132"/>
      <c r="CB423" s="132"/>
      <c r="CC423" s="22"/>
      <c r="CG423" s="24" t="s">
        <v>105</v>
      </c>
      <c r="CH423" s="24"/>
      <c r="CI423" s="26"/>
      <c r="CJ423" s="26"/>
    </row>
    <row r="424" spans="1:88" ht="15" customHeight="1">
      <c r="A424" s="18">
        <v>2018</v>
      </c>
      <c r="B424" s="18" t="str">
        <f>+INDEX(BDD!F:F,MATCH(P424,BDD!D:D,0))&amp;"-"&amp;INDEX(BDD!E:E,MATCH(P424,BDD!D:D,0))</f>
        <v>G-S</v>
      </c>
      <c r="C424" s="125" t="s">
        <v>484</v>
      </c>
      <c r="D424" s="150" t="s">
        <v>77</v>
      </c>
      <c r="E424" s="132"/>
      <c r="F424" s="24"/>
      <c r="G424" s="346">
        <v>8000000317</v>
      </c>
      <c r="H424" s="125" t="s">
        <v>1912</v>
      </c>
      <c r="I424" s="329"/>
      <c r="J424" s="346">
        <v>8000000317</v>
      </c>
      <c r="K424" s="24"/>
      <c r="L424" s="24"/>
      <c r="M424" s="24"/>
      <c r="N424" s="340" t="s">
        <v>486</v>
      </c>
      <c r="O424" s="334">
        <v>209979</v>
      </c>
      <c r="P424" s="25" t="s">
        <v>339</v>
      </c>
      <c r="Q424" s="127" t="s">
        <v>207</v>
      </c>
      <c r="R424" s="232" t="s">
        <v>1913</v>
      </c>
      <c r="S424" s="89"/>
      <c r="T424" s="36">
        <v>90</v>
      </c>
      <c r="U424" s="125" t="s">
        <v>118</v>
      </c>
      <c r="V424" s="147" t="s">
        <v>1914</v>
      </c>
      <c r="W424" s="129"/>
      <c r="X424" s="88">
        <v>43522</v>
      </c>
      <c r="Y424" s="130" t="s">
        <v>20</v>
      </c>
      <c r="Z424" s="133" t="s">
        <v>60</v>
      </c>
      <c r="AA424" s="133"/>
      <c r="AB424" s="148">
        <v>560.11199999999997</v>
      </c>
      <c r="AC424" s="134">
        <v>540</v>
      </c>
      <c r="AD424" s="134"/>
      <c r="AE424" s="403">
        <f t="shared" si="19"/>
        <v>302460.48</v>
      </c>
      <c r="AF424" s="132">
        <v>20</v>
      </c>
      <c r="AG424" s="130" t="s">
        <v>5</v>
      </c>
      <c r="AH424" s="130"/>
      <c r="AI424" s="130" t="s">
        <v>100</v>
      </c>
      <c r="AJ424" s="130"/>
      <c r="AK424" s="130"/>
      <c r="AL424" s="24" t="s">
        <v>1804</v>
      </c>
      <c r="AM424" s="314"/>
      <c r="AN424" s="26"/>
      <c r="AO424" s="26"/>
      <c r="AP424" s="26"/>
      <c r="AQ424" s="26">
        <v>43458</v>
      </c>
      <c r="AR424" s="24"/>
      <c r="AS424" s="24"/>
      <c r="AT424" s="24">
        <v>43462</v>
      </c>
      <c r="AU424" s="418">
        <f t="shared" si="20"/>
        <v>12</v>
      </c>
      <c r="AV424" s="418">
        <f t="shared" si="21"/>
        <v>2018</v>
      </c>
      <c r="AW424" s="24"/>
      <c r="AX424" s="28"/>
      <c r="AY424" s="28" t="s">
        <v>162</v>
      </c>
      <c r="AZ424" s="132" t="s">
        <v>9</v>
      </c>
      <c r="BA424" s="132"/>
      <c r="BB424" s="24"/>
      <c r="BC424" s="135" t="s">
        <v>1915</v>
      </c>
      <c r="BD424" s="24">
        <v>43430</v>
      </c>
      <c r="BE424" s="154" t="s">
        <v>814</v>
      </c>
      <c r="BF424" s="154" t="s">
        <v>932</v>
      </c>
      <c r="BG424" s="135" t="s">
        <v>41</v>
      </c>
      <c r="BH424" s="135"/>
      <c r="BI424" s="314"/>
      <c r="BJ424" s="314"/>
      <c r="BK424" s="24"/>
      <c r="BL424" s="24"/>
      <c r="BM424" s="24"/>
      <c r="BN424" s="24"/>
      <c r="BO424" s="24"/>
      <c r="BP424" s="24"/>
      <c r="BQ424" s="24"/>
      <c r="BR424" s="43"/>
      <c r="BS424" s="24"/>
      <c r="BT424" s="24"/>
      <c r="BU424" s="24"/>
      <c r="BV424" s="132" t="e">
        <f>IF(#REF!="COMPLETO","OK","PENDIENTES")</f>
        <v>#REF!</v>
      </c>
      <c r="BW424" s="132"/>
      <c r="BX424" s="132"/>
      <c r="BY424" s="132"/>
      <c r="BZ424" s="132"/>
      <c r="CA424" s="132"/>
      <c r="CB424" s="132"/>
      <c r="CC424" s="22"/>
      <c r="CG424" s="24" t="s">
        <v>105</v>
      </c>
      <c r="CH424" s="24"/>
      <c r="CI424" s="24"/>
      <c r="CJ424" s="24"/>
    </row>
    <row r="425" spans="1:88" ht="15" customHeight="1">
      <c r="A425" s="18">
        <v>2018</v>
      </c>
      <c r="B425" s="18" t="str">
        <f>+INDEX(BDD!F:F,MATCH(P425,BDD!D:D,0))&amp;"-"&amp;INDEX(BDD!E:E,MATCH(P425,BDD!D:D,0))</f>
        <v>S-S</v>
      </c>
      <c r="C425" s="125" t="s">
        <v>484</v>
      </c>
      <c r="D425" s="150" t="s">
        <v>77</v>
      </c>
      <c r="E425" s="132"/>
      <c r="F425" s="24"/>
      <c r="G425" s="346">
        <v>8000000320</v>
      </c>
      <c r="H425" s="125" t="s">
        <v>1916</v>
      </c>
      <c r="I425" s="329"/>
      <c r="J425" s="346">
        <v>8000000320</v>
      </c>
      <c r="K425" s="24"/>
      <c r="L425" s="24"/>
      <c r="M425" s="24"/>
      <c r="N425" s="340" t="s">
        <v>486</v>
      </c>
      <c r="O425" s="334">
        <v>206971</v>
      </c>
      <c r="P425" s="25" t="s">
        <v>340</v>
      </c>
      <c r="Q425" s="127" t="s">
        <v>195</v>
      </c>
      <c r="R425" s="232" t="s">
        <v>1917</v>
      </c>
      <c r="S425" s="89">
        <v>43412</v>
      </c>
      <c r="T425" s="36">
        <v>30</v>
      </c>
      <c r="U425" s="125" t="s">
        <v>118</v>
      </c>
      <c r="V425" s="147" t="s">
        <v>1918</v>
      </c>
      <c r="W425" s="129"/>
      <c r="X425" s="88">
        <v>43460</v>
      </c>
      <c r="Y425" s="130" t="s">
        <v>20</v>
      </c>
      <c r="Z425" s="133" t="s">
        <v>60</v>
      </c>
      <c r="AA425" s="133"/>
      <c r="AB425" s="148">
        <v>294</v>
      </c>
      <c r="AC425" s="134">
        <v>533</v>
      </c>
      <c r="AD425" s="134"/>
      <c r="AE425" s="403">
        <f t="shared" si="19"/>
        <v>156702</v>
      </c>
      <c r="AF425" s="132">
        <v>12</v>
      </c>
      <c r="AG425" s="130" t="s">
        <v>5</v>
      </c>
      <c r="AH425" s="130"/>
      <c r="AI425" s="130" t="s">
        <v>34</v>
      </c>
      <c r="AJ425" s="130"/>
      <c r="AK425" s="130"/>
      <c r="AL425" s="135" t="s">
        <v>1919</v>
      </c>
      <c r="AM425" s="314"/>
      <c r="AN425" s="26"/>
      <c r="AO425" s="26"/>
      <c r="AP425" s="26"/>
      <c r="AQ425" s="26">
        <v>43476</v>
      </c>
      <c r="AR425" s="24"/>
      <c r="AS425" s="24"/>
      <c r="AT425" s="24">
        <v>43479</v>
      </c>
      <c r="AU425" s="418">
        <f t="shared" si="20"/>
        <v>1</v>
      </c>
      <c r="AV425" s="418">
        <f t="shared" si="21"/>
        <v>2019</v>
      </c>
      <c r="AW425" s="24"/>
      <c r="AX425" s="28"/>
      <c r="AY425" s="28" t="s">
        <v>165</v>
      </c>
      <c r="AZ425" s="132" t="s">
        <v>9</v>
      </c>
      <c r="BA425" s="132"/>
      <c r="BB425" s="24"/>
      <c r="BC425" s="135" t="s">
        <v>1920</v>
      </c>
      <c r="BD425" s="24">
        <v>43429</v>
      </c>
      <c r="BE425" s="135" t="s">
        <v>1921</v>
      </c>
      <c r="BF425" s="135" t="s">
        <v>594</v>
      </c>
      <c r="BG425" s="135" t="s">
        <v>14</v>
      </c>
      <c r="BH425" s="135"/>
      <c r="BI425" s="314"/>
      <c r="BJ425" s="314"/>
      <c r="BK425" s="24"/>
      <c r="BL425" s="24"/>
      <c r="BM425" s="24"/>
      <c r="BN425" s="24"/>
      <c r="BO425" s="24">
        <f>+AQ425+14</f>
        <v>43490</v>
      </c>
      <c r="BP425" s="24"/>
      <c r="BQ425" s="24"/>
      <c r="BR425" s="43"/>
      <c r="BS425" s="24"/>
      <c r="BT425" s="24"/>
      <c r="BU425" s="24"/>
      <c r="BV425" s="132" t="e">
        <f>IF(#REF!="COMPLETO","OK","PENDIENTES")</f>
        <v>#REF!</v>
      </c>
      <c r="BW425" s="132"/>
      <c r="BX425" s="132"/>
      <c r="BY425" s="132"/>
      <c r="BZ425" s="132"/>
      <c r="CA425" s="132"/>
      <c r="CB425" s="132"/>
      <c r="CC425" s="22"/>
      <c r="CG425" s="24" t="s">
        <v>105</v>
      </c>
      <c r="CH425" s="24"/>
      <c r="CI425" s="24"/>
      <c r="CJ425" s="24"/>
    </row>
    <row r="426" spans="1:88" ht="15" customHeight="1">
      <c r="A426" s="18">
        <v>2018</v>
      </c>
      <c r="B426" s="18" t="str">
        <f>+INDEX(BDD!F:F,MATCH(P426,BDD!D:D,0))&amp;"-"&amp;INDEX(BDD!E:E,MATCH(P426,BDD!D:D,0))</f>
        <v>S-S</v>
      </c>
      <c r="C426" s="125" t="s">
        <v>484</v>
      </c>
      <c r="D426" s="150" t="s">
        <v>77</v>
      </c>
      <c r="E426" s="132"/>
      <c r="F426" s="24"/>
      <c r="G426" s="346">
        <v>8000000370</v>
      </c>
      <c r="H426" s="125" t="s">
        <v>1922</v>
      </c>
      <c r="I426" s="329"/>
      <c r="J426" s="346">
        <v>8000000370</v>
      </c>
      <c r="K426" s="24"/>
      <c r="L426" s="24"/>
      <c r="M426" s="24"/>
      <c r="N426" s="340" t="s">
        <v>486</v>
      </c>
      <c r="O426" s="334">
        <v>206971</v>
      </c>
      <c r="P426" s="25" t="s">
        <v>340</v>
      </c>
      <c r="Q426" s="127" t="s">
        <v>195</v>
      </c>
      <c r="R426" s="232" t="s">
        <v>1917</v>
      </c>
      <c r="S426" s="89">
        <v>43412</v>
      </c>
      <c r="T426" s="36">
        <v>30</v>
      </c>
      <c r="U426" s="125" t="s">
        <v>118</v>
      </c>
      <c r="V426" s="147" t="s">
        <v>1923</v>
      </c>
      <c r="W426" s="129"/>
      <c r="X426" s="88">
        <v>43515</v>
      </c>
      <c r="Y426" s="130" t="s">
        <v>20</v>
      </c>
      <c r="Z426" s="133" t="s">
        <v>60</v>
      </c>
      <c r="AA426" s="133"/>
      <c r="AB426" s="148">
        <v>612.5</v>
      </c>
      <c r="AC426" s="134">
        <v>533</v>
      </c>
      <c r="AD426" s="134"/>
      <c r="AE426" s="403">
        <f t="shared" si="19"/>
        <v>326462.5</v>
      </c>
      <c r="AF426" s="132">
        <v>25</v>
      </c>
      <c r="AG426" s="130" t="s">
        <v>5</v>
      </c>
      <c r="AH426" s="130"/>
      <c r="AI426" s="130" t="s">
        <v>34</v>
      </c>
      <c r="AJ426" s="130"/>
      <c r="AK426" s="130"/>
      <c r="AL426" s="135" t="s">
        <v>1924</v>
      </c>
      <c r="AM426" s="314"/>
      <c r="AN426" s="26"/>
      <c r="AO426" s="26"/>
      <c r="AP426" s="26"/>
      <c r="AQ426" s="26">
        <v>43526</v>
      </c>
      <c r="AR426" s="24"/>
      <c r="AS426" s="24"/>
      <c r="AT426" s="24">
        <v>43528</v>
      </c>
      <c r="AU426" s="418">
        <f t="shared" si="20"/>
        <v>3</v>
      </c>
      <c r="AV426" s="418">
        <f t="shared" si="21"/>
        <v>2019</v>
      </c>
      <c r="AW426" s="24"/>
      <c r="AX426" s="28"/>
      <c r="AY426" s="28" t="s">
        <v>165</v>
      </c>
      <c r="AZ426" s="132" t="s">
        <v>9</v>
      </c>
      <c r="BA426" s="132"/>
      <c r="BB426" s="24"/>
      <c r="BC426" s="135" t="s">
        <v>1925</v>
      </c>
      <c r="BD426" s="24">
        <v>43493</v>
      </c>
      <c r="BE426" s="135" t="s">
        <v>1926</v>
      </c>
      <c r="BF426" s="135" t="s">
        <v>1518</v>
      </c>
      <c r="BG426" s="135" t="s">
        <v>65</v>
      </c>
      <c r="BH426" s="135"/>
      <c r="BI426" s="314"/>
      <c r="BJ426" s="314"/>
      <c r="BK426" s="24"/>
      <c r="BL426" s="24"/>
      <c r="BM426" s="24"/>
      <c r="BN426" s="24"/>
      <c r="BO426" s="24">
        <v>43538</v>
      </c>
      <c r="BP426" s="24"/>
      <c r="BQ426" s="24"/>
      <c r="BR426" s="43"/>
      <c r="BS426" s="24"/>
      <c r="BT426" s="24"/>
      <c r="BU426" s="24"/>
      <c r="BV426" s="132" t="e">
        <f>IF(#REF!="COMPLETO","OK","PENDIENTES")</f>
        <v>#REF!</v>
      </c>
      <c r="BW426" s="132"/>
      <c r="BX426" s="132"/>
      <c r="BY426" s="132"/>
      <c r="BZ426" s="132"/>
      <c r="CA426" s="132"/>
      <c r="CB426" s="132"/>
      <c r="CC426" s="22"/>
      <c r="CG426" s="24" t="s">
        <v>105</v>
      </c>
      <c r="CH426" s="24"/>
      <c r="CI426" s="24"/>
      <c r="CJ426" s="24"/>
    </row>
    <row r="427" spans="1:88" ht="15" customHeight="1">
      <c r="A427" s="18">
        <v>2018</v>
      </c>
      <c r="B427" s="18" t="str">
        <f>+INDEX(BDD!F:F,MATCH(P427,BDD!D:D,0))&amp;"-"&amp;INDEX(BDD!E:E,MATCH(P427,BDD!D:D,0))</f>
        <v>S-S</v>
      </c>
      <c r="C427" s="125" t="s">
        <v>484</v>
      </c>
      <c r="D427" s="150" t="s">
        <v>77</v>
      </c>
      <c r="E427" s="132"/>
      <c r="F427" s="24"/>
      <c r="G427" s="346">
        <v>8000000366</v>
      </c>
      <c r="H427" s="125" t="s">
        <v>1927</v>
      </c>
      <c r="I427" s="329"/>
      <c r="J427" s="346">
        <v>8000000366</v>
      </c>
      <c r="K427" s="24"/>
      <c r="L427" s="24"/>
      <c r="M427" s="24"/>
      <c r="N427" s="340" t="s">
        <v>486</v>
      </c>
      <c r="O427" s="334">
        <v>206971</v>
      </c>
      <c r="P427" s="25" t="s">
        <v>340</v>
      </c>
      <c r="Q427" s="127" t="s">
        <v>195</v>
      </c>
      <c r="R427" s="232" t="s">
        <v>1917</v>
      </c>
      <c r="S427" s="89">
        <v>43412</v>
      </c>
      <c r="T427" s="36">
        <v>30</v>
      </c>
      <c r="U427" s="125" t="s">
        <v>118</v>
      </c>
      <c r="V427" s="147" t="s">
        <v>1928</v>
      </c>
      <c r="W427" s="129"/>
      <c r="X427" s="88">
        <v>43501</v>
      </c>
      <c r="Y427" s="130" t="s">
        <v>20</v>
      </c>
      <c r="Z427" s="133" t="s">
        <v>60</v>
      </c>
      <c r="AA427" s="133"/>
      <c r="AB427" s="148">
        <v>294</v>
      </c>
      <c r="AC427" s="134">
        <v>533</v>
      </c>
      <c r="AD427" s="134"/>
      <c r="AE427" s="403">
        <f t="shared" si="19"/>
        <v>156702</v>
      </c>
      <c r="AF427" s="132">
        <v>12</v>
      </c>
      <c r="AG427" s="130" t="s">
        <v>5</v>
      </c>
      <c r="AH427" s="130"/>
      <c r="AI427" s="130" t="s">
        <v>34</v>
      </c>
      <c r="AJ427" s="130"/>
      <c r="AK427" s="130"/>
      <c r="AL427" s="232" t="s">
        <v>1929</v>
      </c>
      <c r="AM427" s="314"/>
      <c r="AN427" s="26"/>
      <c r="AO427" s="26"/>
      <c r="AP427" s="26"/>
      <c r="AQ427" s="26">
        <v>43518</v>
      </c>
      <c r="AR427" s="24"/>
      <c r="AS427" s="24"/>
      <c r="AT427" s="24">
        <v>43522</v>
      </c>
      <c r="AU427" s="418">
        <f t="shared" si="20"/>
        <v>2</v>
      </c>
      <c r="AV427" s="418">
        <f t="shared" si="21"/>
        <v>2019</v>
      </c>
      <c r="AW427" s="24"/>
      <c r="AX427" s="28"/>
      <c r="AY427" s="28" t="s">
        <v>165</v>
      </c>
      <c r="AZ427" s="132" t="s">
        <v>9</v>
      </c>
      <c r="BA427" s="132"/>
      <c r="BB427" s="24"/>
      <c r="BC427" s="135" t="s">
        <v>1930</v>
      </c>
      <c r="BD427" s="24">
        <v>43493</v>
      </c>
      <c r="BE427" s="135" t="s">
        <v>1926</v>
      </c>
      <c r="BF427" s="135" t="s">
        <v>769</v>
      </c>
      <c r="BG427" s="135" t="s">
        <v>65</v>
      </c>
      <c r="BH427" s="135"/>
      <c r="BI427" s="314"/>
      <c r="BJ427" s="314"/>
      <c r="BK427" s="24"/>
      <c r="BL427" s="24"/>
      <c r="BM427" s="24"/>
      <c r="BN427" s="24"/>
      <c r="BO427" s="24">
        <f>+AQ427+18</f>
        <v>43536</v>
      </c>
      <c r="BP427" s="24"/>
      <c r="BQ427" s="24"/>
      <c r="BR427" s="43"/>
      <c r="BS427" s="24"/>
      <c r="BT427" s="24"/>
      <c r="BU427" s="24"/>
      <c r="BV427" s="132" t="e">
        <f>IF(#REF!="COMPLETO","OK","PENDIENTES")</f>
        <v>#REF!</v>
      </c>
      <c r="BW427" s="132"/>
      <c r="BX427" s="132"/>
      <c r="BY427" s="132"/>
      <c r="BZ427" s="132"/>
      <c r="CA427" s="132"/>
      <c r="CB427" s="132"/>
      <c r="CC427" s="22"/>
      <c r="CG427" s="24" t="s">
        <v>105</v>
      </c>
      <c r="CH427" s="24"/>
      <c r="CI427" s="24"/>
      <c r="CJ427" s="24"/>
    </row>
    <row r="428" spans="1:88" ht="15" customHeight="1">
      <c r="A428" s="18">
        <v>2018</v>
      </c>
      <c r="B428" s="18" t="str">
        <f>+INDEX(BDD!F:F,MATCH(P428,BDD!D:D,0))&amp;"-"&amp;INDEX(BDD!E:E,MATCH(P428,BDD!D:D,0))</f>
        <v>S-S</v>
      </c>
      <c r="C428" s="125" t="s">
        <v>484</v>
      </c>
      <c r="D428" s="150" t="s">
        <v>77</v>
      </c>
      <c r="E428" s="132"/>
      <c r="F428" s="24"/>
      <c r="G428" s="346">
        <v>8000000371</v>
      </c>
      <c r="H428" s="125" t="s">
        <v>1931</v>
      </c>
      <c r="I428" s="329"/>
      <c r="J428" s="346">
        <v>8000000371</v>
      </c>
      <c r="K428" s="24"/>
      <c r="L428" s="24"/>
      <c r="M428" s="24"/>
      <c r="N428" s="340" t="s">
        <v>486</v>
      </c>
      <c r="O428" s="334">
        <v>206971</v>
      </c>
      <c r="P428" s="25" t="s">
        <v>340</v>
      </c>
      <c r="Q428" s="127" t="s">
        <v>195</v>
      </c>
      <c r="R428" s="232" t="s">
        <v>1917</v>
      </c>
      <c r="S428" s="89">
        <v>43412</v>
      </c>
      <c r="T428" s="36">
        <v>30</v>
      </c>
      <c r="U428" s="125" t="s">
        <v>118</v>
      </c>
      <c r="V428" s="147" t="s">
        <v>1932</v>
      </c>
      <c r="W428" s="129"/>
      <c r="X428" s="88">
        <v>43515</v>
      </c>
      <c r="Y428" s="130" t="s">
        <v>20</v>
      </c>
      <c r="Z428" s="133" t="s">
        <v>60</v>
      </c>
      <c r="AA428" s="133"/>
      <c r="AB428" s="148">
        <v>196</v>
      </c>
      <c r="AC428" s="134">
        <v>533</v>
      </c>
      <c r="AD428" s="134"/>
      <c r="AE428" s="403">
        <f t="shared" si="19"/>
        <v>104468</v>
      </c>
      <c r="AF428" s="132">
        <v>8</v>
      </c>
      <c r="AG428" s="130" t="s">
        <v>5</v>
      </c>
      <c r="AH428" s="130"/>
      <c r="AI428" s="130" t="s">
        <v>34</v>
      </c>
      <c r="AJ428" s="130"/>
      <c r="AK428" s="130"/>
      <c r="AL428" s="232" t="s">
        <v>1929</v>
      </c>
      <c r="AM428" s="314"/>
      <c r="AN428" s="26"/>
      <c r="AO428" s="26"/>
      <c r="AP428" s="26"/>
      <c r="AQ428" s="26">
        <v>43526</v>
      </c>
      <c r="AR428" s="24"/>
      <c r="AS428" s="24"/>
      <c r="AT428" s="24">
        <v>43528</v>
      </c>
      <c r="AU428" s="418">
        <f t="shared" si="20"/>
        <v>3</v>
      </c>
      <c r="AV428" s="418">
        <f t="shared" si="21"/>
        <v>2019</v>
      </c>
      <c r="AW428" s="24"/>
      <c r="AX428" s="28"/>
      <c r="AY428" s="28" t="s">
        <v>165</v>
      </c>
      <c r="AZ428" s="132" t="s">
        <v>9</v>
      </c>
      <c r="BA428" s="132"/>
      <c r="BB428" s="24"/>
      <c r="BC428" s="135" t="s">
        <v>1933</v>
      </c>
      <c r="BD428" s="24">
        <v>43493</v>
      </c>
      <c r="BE428" s="135" t="s">
        <v>1926</v>
      </c>
      <c r="BF428" s="135" t="s">
        <v>1518</v>
      </c>
      <c r="BG428" s="135" t="s">
        <v>65</v>
      </c>
      <c r="BH428" s="135"/>
      <c r="BI428" s="314"/>
      <c r="BJ428" s="314"/>
      <c r="BK428" s="24"/>
      <c r="BL428" s="24"/>
      <c r="BM428" s="24"/>
      <c r="BN428" s="24"/>
      <c r="BO428" s="24">
        <v>43538</v>
      </c>
      <c r="BP428" s="24"/>
      <c r="BQ428" s="24"/>
      <c r="BR428" s="43"/>
      <c r="BS428" s="24"/>
      <c r="BT428" s="24"/>
      <c r="BU428" s="24"/>
      <c r="BV428" s="132" t="e">
        <f>IF(#REF!="COMPLETO","OK","PENDIENTES")</f>
        <v>#REF!</v>
      </c>
      <c r="BW428" s="132"/>
      <c r="BX428" s="132"/>
      <c r="BY428" s="132"/>
      <c r="BZ428" s="132"/>
      <c r="CA428" s="132"/>
      <c r="CB428" s="132"/>
      <c r="CC428" s="22"/>
      <c r="CG428" s="24" t="s">
        <v>105</v>
      </c>
      <c r="CH428" s="24"/>
      <c r="CI428" s="24"/>
      <c r="CJ428" s="24"/>
    </row>
    <row r="429" spans="1:88" ht="14.25" customHeight="1">
      <c r="A429" s="18">
        <v>2018</v>
      </c>
      <c r="B429" s="18" t="str">
        <f>+INDEX(BDD!F:F,MATCH(P429,BDD!D:D,0))&amp;"-"&amp;INDEX(BDD!E:E,MATCH(P429,BDD!D:D,0))</f>
        <v>S-S</v>
      </c>
      <c r="C429" s="125" t="s">
        <v>484</v>
      </c>
      <c r="D429" s="150" t="s">
        <v>77</v>
      </c>
      <c r="E429" s="132"/>
      <c r="F429" s="24"/>
      <c r="G429" s="346">
        <v>8000000372</v>
      </c>
      <c r="H429" s="125" t="s">
        <v>1934</v>
      </c>
      <c r="I429" s="329"/>
      <c r="J429" s="346">
        <v>8000000372</v>
      </c>
      <c r="K429" s="24"/>
      <c r="L429" s="24"/>
      <c r="M429" s="24"/>
      <c r="N429" s="340" t="s">
        <v>486</v>
      </c>
      <c r="O429" s="334">
        <v>206971</v>
      </c>
      <c r="P429" s="25" t="s">
        <v>340</v>
      </c>
      <c r="Q429" s="127" t="s">
        <v>195</v>
      </c>
      <c r="R429" s="232" t="s">
        <v>1917</v>
      </c>
      <c r="S429" s="89">
        <v>43412</v>
      </c>
      <c r="T429" s="36">
        <v>30</v>
      </c>
      <c r="U429" s="125" t="s">
        <v>118</v>
      </c>
      <c r="V429" s="147" t="s">
        <v>1935</v>
      </c>
      <c r="W429" s="129"/>
      <c r="X429" s="88">
        <v>43515</v>
      </c>
      <c r="Y429" s="130" t="s">
        <v>20</v>
      </c>
      <c r="Z429" s="133" t="s">
        <v>60</v>
      </c>
      <c r="AA429" s="133"/>
      <c r="AB429" s="148">
        <v>98</v>
      </c>
      <c r="AC429" s="134">
        <v>568</v>
      </c>
      <c r="AD429" s="134"/>
      <c r="AE429" s="403">
        <f t="shared" si="19"/>
        <v>55664</v>
      </c>
      <c r="AF429" s="132">
        <v>4</v>
      </c>
      <c r="AG429" s="130" t="s">
        <v>5</v>
      </c>
      <c r="AH429" s="130"/>
      <c r="AI429" s="130" t="s">
        <v>34</v>
      </c>
      <c r="AJ429" s="130"/>
      <c r="AK429" s="130"/>
      <c r="AL429" s="135" t="s">
        <v>1924</v>
      </c>
      <c r="AM429" s="314"/>
      <c r="AN429" s="26"/>
      <c r="AO429" s="26"/>
      <c r="AP429" s="26"/>
      <c r="AQ429" s="26">
        <v>43567</v>
      </c>
      <c r="AR429" s="24"/>
      <c r="AS429" s="24"/>
      <c r="AT429" s="24">
        <v>43568</v>
      </c>
      <c r="AU429" s="418">
        <f t="shared" si="20"/>
        <v>4</v>
      </c>
      <c r="AV429" s="418">
        <f t="shared" si="21"/>
        <v>2019</v>
      </c>
      <c r="AW429" s="24"/>
      <c r="AX429" s="28"/>
      <c r="AY429" s="28" t="s">
        <v>165</v>
      </c>
      <c r="AZ429" s="132" t="s">
        <v>62</v>
      </c>
      <c r="BA429" s="132"/>
      <c r="BB429" s="24"/>
      <c r="BC429" s="135" t="s">
        <v>1936</v>
      </c>
      <c r="BD429" s="24">
        <v>43502</v>
      </c>
      <c r="BE429" s="135" t="s">
        <v>1937</v>
      </c>
      <c r="BF429" s="135" t="s">
        <v>1938</v>
      </c>
      <c r="BG429" s="135" t="s">
        <v>29</v>
      </c>
      <c r="BH429" s="135"/>
      <c r="BI429" s="314"/>
      <c r="BJ429" s="314"/>
      <c r="BK429" s="24"/>
      <c r="BL429" s="24"/>
      <c r="BM429" s="24"/>
      <c r="BN429" s="24"/>
      <c r="BO429" s="24"/>
      <c r="BP429" s="24"/>
      <c r="BQ429" s="24"/>
      <c r="BR429" s="43"/>
      <c r="BS429" s="24"/>
      <c r="BT429" s="24"/>
      <c r="BU429" s="24"/>
      <c r="BV429" s="132" t="e">
        <f>IF(#REF!="COMPLETO","OK","PENDIENTES")</f>
        <v>#REF!</v>
      </c>
      <c r="BW429" s="132"/>
      <c r="BX429" s="132"/>
      <c r="BY429" s="132"/>
      <c r="BZ429" s="132"/>
      <c r="CA429" s="132"/>
      <c r="CB429" s="132"/>
      <c r="CC429" s="22"/>
      <c r="CG429" s="24" t="s">
        <v>105</v>
      </c>
      <c r="CH429" s="24"/>
      <c r="CI429" s="24"/>
      <c r="CJ429" s="24"/>
    </row>
    <row r="430" spans="1:88" ht="14.25" customHeight="1">
      <c r="A430" s="18">
        <v>2018</v>
      </c>
      <c r="B430" s="18" t="str">
        <f>+INDEX(BDD!F:F,MATCH(P430,BDD!D:D,0))&amp;"-"&amp;INDEX(BDD!E:E,MATCH(P430,BDD!D:D,0))</f>
        <v>S-S</v>
      </c>
      <c r="C430" s="125" t="s">
        <v>484</v>
      </c>
      <c r="D430" s="150" t="s">
        <v>77</v>
      </c>
      <c r="E430" s="132"/>
      <c r="F430" s="24"/>
      <c r="G430" s="346">
        <v>8000000337</v>
      </c>
      <c r="H430" s="125" t="s">
        <v>1939</v>
      </c>
      <c r="I430" s="329"/>
      <c r="J430" s="346">
        <v>8000000337</v>
      </c>
      <c r="K430" s="24"/>
      <c r="L430" s="24"/>
      <c r="M430" s="24"/>
      <c r="N430" s="340" t="s">
        <v>486</v>
      </c>
      <c r="O430" s="334">
        <v>206971</v>
      </c>
      <c r="P430" s="25" t="s">
        <v>340</v>
      </c>
      <c r="Q430" s="127" t="s">
        <v>195</v>
      </c>
      <c r="R430" s="232" t="s">
        <v>1917</v>
      </c>
      <c r="S430" s="89">
        <v>43412</v>
      </c>
      <c r="T430" s="36">
        <v>30</v>
      </c>
      <c r="U430" s="125" t="s">
        <v>118</v>
      </c>
      <c r="V430" s="147" t="s">
        <v>1940</v>
      </c>
      <c r="W430" s="129"/>
      <c r="X430" s="88">
        <f>IF(RIGHT(U430,3)="ETA",AQ430+T430,IF(RIGHT(U430,2)="BL",BD430+T430," "))</f>
        <v>43480</v>
      </c>
      <c r="Y430" s="130" t="s">
        <v>20</v>
      </c>
      <c r="Z430" s="133" t="s">
        <v>60</v>
      </c>
      <c r="AA430" s="133"/>
      <c r="AB430" s="234">
        <v>196</v>
      </c>
      <c r="AC430" s="134">
        <v>533</v>
      </c>
      <c r="AD430" s="134"/>
      <c r="AE430" s="403">
        <f t="shared" si="19"/>
        <v>104468</v>
      </c>
      <c r="AF430" s="132">
        <v>8</v>
      </c>
      <c r="AG430" s="130" t="s">
        <v>5</v>
      </c>
      <c r="AH430" s="130"/>
      <c r="AI430" s="130" t="s">
        <v>34</v>
      </c>
      <c r="AJ430" s="130"/>
      <c r="AK430" s="130"/>
      <c r="AL430" s="232" t="s">
        <v>1929</v>
      </c>
      <c r="AM430" s="314"/>
      <c r="AN430" s="26"/>
      <c r="AO430" s="26"/>
      <c r="AP430" s="26"/>
      <c r="AQ430" s="26">
        <v>43498</v>
      </c>
      <c r="AR430" s="24"/>
      <c r="AS430" s="24"/>
      <c r="AT430" s="24">
        <v>43500</v>
      </c>
      <c r="AU430" s="418">
        <f t="shared" si="20"/>
        <v>2</v>
      </c>
      <c r="AV430" s="418">
        <f t="shared" si="21"/>
        <v>2019</v>
      </c>
      <c r="AW430" s="24"/>
      <c r="AX430" s="28"/>
      <c r="AY430" s="28" t="s">
        <v>165</v>
      </c>
      <c r="AZ430" s="132" t="s">
        <v>9</v>
      </c>
      <c r="BA430" s="132"/>
      <c r="BB430" s="24"/>
      <c r="BC430" s="135" t="s">
        <v>1941</v>
      </c>
      <c r="BD430" s="24">
        <v>43450</v>
      </c>
      <c r="BE430" s="135" t="s">
        <v>1921</v>
      </c>
      <c r="BF430" s="135" t="s">
        <v>790</v>
      </c>
      <c r="BG430" s="135" t="s">
        <v>14</v>
      </c>
      <c r="BH430" s="135"/>
      <c r="BI430" s="314"/>
      <c r="BJ430" s="314"/>
      <c r="BK430" s="24"/>
      <c r="BL430" s="24"/>
      <c r="BM430" s="24"/>
      <c r="BN430" s="24"/>
      <c r="BO430" s="24">
        <f>+AQ430+14</f>
        <v>43512</v>
      </c>
      <c r="BP430" s="24"/>
      <c r="BQ430" s="24"/>
      <c r="BR430" s="43"/>
      <c r="BS430" s="24"/>
      <c r="BT430" s="24"/>
      <c r="BU430" s="24"/>
      <c r="BV430" s="132" t="e">
        <f>IF(#REF!="COMPLETO","OK","PENDIENTES")</f>
        <v>#REF!</v>
      </c>
      <c r="BW430" s="132"/>
      <c r="BX430" s="132"/>
      <c r="BY430" s="132"/>
      <c r="BZ430" s="132"/>
      <c r="CA430" s="132"/>
      <c r="CB430" s="132"/>
      <c r="CC430" s="22"/>
      <c r="CG430" s="24" t="s">
        <v>105</v>
      </c>
      <c r="CH430" s="24"/>
      <c r="CI430" s="24"/>
      <c r="CJ430" s="24"/>
    </row>
    <row r="431" spans="1:88" ht="15" customHeight="1">
      <c r="A431" s="18">
        <v>2018</v>
      </c>
      <c r="B431" s="18" t="str">
        <f>+INDEX(BDD!F:F,MATCH(P431,BDD!D:D,0))&amp;"-"&amp;INDEX(BDD!E:E,MATCH(P431,BDD!D:D,0))</f>
        <v>S-S</v>
      </c>
      <c r="C431" s="125" t="s">
        <v>484</v>
      </c>
      <c r="D431" s="150" t="s">
        <v>77</v>
      </c>
      <c r="E431" s="132"/>
      <c r="F431" s="24"/>
      <c r="G431" s="346">
        <v>8000000369</v>
      </c>
      <c r="H431" s="125" t="s">
        <v>1942</v>
      </c>
      <c r="I431" s="329"/>
      <c r="J431" s="346">
        <v>8000000369</v>
      </c>
      <c r="K431" s="24"/>
      <c r="L431" s="24"/>
      <c r="M431" s="24"/>
      <c r="N431" s="340" t="s">
        <v>486</v>
      </c>
      <c r="O431" s="334">
        <v>206971</v>
      </c>
      <c r="P431" s="25" t="s">
        <v>340</v>
      </c>
      <c r="Q431" s="127" t="s">
        <v>195</v>
      </c>
      <c r="R431" s="232" t="s">
        <v>1917</v>
      </c>
      <c r="S431" s="89">
        <v>43412</v>
      </c>
      <c r="T431" s="36">
        <v>30</v>
      </c>
      <c r="U431" s="125" t="s">
        <v>118</v>
      </c>
      <c r="V431" s="147" t="s">
        <v>1943</v>
      </c>
      <c r="W431" s="129"/>
      <c r="X431" s="88">
        <v>43508</v>
      </c>
      <c r="Y431" s="130" t="s">
        <v>20</v>
      </c>
      <c r="Z431" s="133" t="s">
        <v>60</v>
      </c>
      <c r="AA431" s="133"/>
      <c r="AB431" s="148">
        <v>294</v>
      </c>
      <c r="AC431" s="134">
        <v>533</v>
      </c>
      <c r="AD431" s="134"/>
      <c r="AE431" s="403">
        <f t="shared" si="19"/>
        <v>156702</v>
      </c>
      <c r="AF431" s="132">
        <v>12</v>
      </c>
      <c r="AG431" s="130" t="s">
        <v>5</v>
      </c>
      <c r="AH431" s="130"/>
      <c r="AI431" s="130" t="s">
        <v>34</v>
      </c>
      <c r="AJ431" s="130"/>
      <c r="AK431" s="130"/>
      <c r="AL431" s="232" t="s">
        <v>1929</v>
      </c>
      <c r="AM431" s="314"/>
      <c r="AN431" s="26"/>
      <c r="AO431" s="26"/>
      <c r="AP431" s="26"/>
      <c r="AQ431" s="26">
        <v>43524</v>
      </c>
      <c r="AR431" s="24"/>
      <c r="AS431" s="24"/>
      <c r="AT431" s="26">
        <v>43526</v>
      </c>
      <c r="AU431" s="418">
        <f t="shared" si="20"/>
        <v>3</v>
      </c>
      <c r="AV431" s="418">
        <f t="shared" si="21"/>
        <v>2019</v>
      </c>
      <c r="AW431" s="26"/>
      <c r="AX431" s="28"/>
      <c r="AY431" s="28" t="s">
        <v>165</v>
      </c>
      <c r="AZ431" s="132" t="s">
        <v>37</v>
      </c>
      <c r="BA431" s="132"/>
      <c r="BB431" s="26"/>
      <c r="BC431" s="135" t="s">
        <v>1944</v>
      </c>
      <c r="BD431" s="24">
        <v>43485</v>
      </c>
      <c r="BE431" s="135" t="s">
        <v>1921</v>
      </c>
      <c r="BF431" s="135" t="s">
        <v>1945</v>
      </c>
      <c r="BG431" s="135" t="s">
        <v>14</v>
      </c>
      <c r="BH431" s="135"/>
      <c r="BI431" s="314"/>
      <c r="BJ431" s="314"/>
      <c r="BK431" s="24"/>
      <c r="BL431" s="24"/>
      <c r="BM431" s="24"/>
      <c r="BN431" s="24"/>
      <c r="BO431" s="24">
        <f>+AQ431+7</f>
        <v>43531</v>
      </c>
      <c r="BP431" s="24"/>
      <c r="BQ431" s="24"/>
      <c r="BR431" s="43"/>
      <c r="BS431" s="24"/>
      <c r="BT431" s="24"/>
      <c r="BU431" s="24"/>
      <c r="BV431" s="132" t="e">
        <f>IF(#REF!="COMPLETO","OK","PENDIENTES")</f>
        <v>#REF!</v>
      </c>
      <c r="BW431" s="132"/>
      <c r="BX431" s="132"/>
      <c r="BY431" s="132"/>
      <c r="BZ431" s="132"/>
      <c r="CA431" s="132"/>
      <c r="CB431" s="132"/>
      <c r="CC431" s="22"/>
      <c r="CG431" s="24" t="s">
        <v>105</v>
      </c>
      <c r="CH431" s="24"/>
      <c r="CI431" s="26"/>
      <c r="CJ431" s="26"/>
    </row>
    <row r="432" spans="1:88" ht="15" customHeight="1">
      <c r="A432" s="18">
        <v>2018</v>
      </c>
      <c r="B432" s="18" t="str">
        <f>+INDEX(BDD!F:F,MATCH(P432,BDD!D:D,0))&amp;"-"&amp;INDEX(BDD!E:E,MATCH(P432,BDD!D:D,0))</f>
        <v>G-S</v>
      </c>
      <c r="C432" s="125" t="s">
        <v>484</v>
      </c>
      <c r="D432" s="150" t="s">
        <v>77</v>
      </c>
      <c r="E432" s="132"/>
      <c r="F432" s="24"/>
      <c r="G432" s="346" t="s">
        <v>1947</v>
      </c>
      <c r="H432" s="125" t="s">
        <v>1946</v>
      </c>
      <c r="I432" s="329"/>
      <c r="J432" s="346" t="s">
        <v>1947</v>
      </c>
      <c r="K432" s="24"/>
      <c r="L432" s="24"/>
      <c r="M432" s="24"/>
      <c r="N432" s="340" t="s">
        <v>486</v>
      </c>
      <c r="O432" s="334">
        <v>207951</v>
      </c>
      <c r="P432" s="25" t="s">
        <v>354</v>
      </c>
      <c r="Q432" s="127" t="s">
        <v>288</v>
      </c>
      <c r="R432" s="232" t="s">
        <v>1948</v>
      </c>
      <c r="S432" s="89">
        <v>43404</v>
      </c>
      <c r="T432" s="36" t="s">
        <v>4</v>
      </c>
      <c r="U432" s="125"/>
      <c r="V432" s="147" t="s">
        <v>1949</v>
      </c>
      <c r="W432" s="129"/>
      <c r="X432" s="88">
        <v>43430</v>
      </c>
      <c r="Y432" s="130" t="s">
        <v>20</v>
      </c>
      <c r="Z432" s="133" t="s">
        <v>60</v>
      </c>
      <c r="AA432" s="133"/>
      <c r="AB432" s="148">
        <v>700</v>
      </c>
      <c r="AC432" s="134">
        <f>309+52.5</f>
        <v>361.5</v>
      </c>
      <c r="AD432" s="134"/>
      <c r="AE432" s="403">
        <f t="shared" si="19"/>
        <v>253050</v>
      </c>
      <c r="AF432" s="132" t="str">
        <f>IF(W432=BDD!$P$1,IMPORTS!AB432/25,IF(W432=BDD!$P$2,IMPORTS!AB432/25,IF(IMPORTS!W432=BDD!$P$4,IMPORTS!AB432/25.5,"--")))</f>
        <v>--</v>
      </c>
      <c r="AG432" s="130" t="s">
        <v>46</v>
      </c>
      <c r="AH432" s="130"/>
      <c r="AI432" s="130" t="s">
        <v>100</v>
      </c>
      <c r="AJ432" s="130"/>
      <c r="AK432" s="130"/>
      <c r="AL432" s="24" t="s">
        <v>1804</v>
      </c>
      <c r="AM432" s="314"/>
      <c r="AN432" s="26"/>
      <c r="AO432" s="26"/>
      <c r="AP432" s="26"/>
      <c r="AQ432" s="26">
        <v>43454</v>
      </c>
      <c r="AR432" s="24"/>
      <c r="AS432" s="24"/>
      <c r="AT432" s="24">
        <v>43456</v>
      </c>
      <c r="AU432" s="418">
        <f t="shared" si="20"/>
        <v>12</v>
      </c>
      <c r="AV432" s="418">
        <f t="shared" si="21"/>
        <v>2018</v>
      </c>
      <c r="AW432" s="24"/>
      <c r="AX432" s="28"/>
      <c r="AY432" s="28" t="s">
        <v>269</v>
      </c>
      <c r="AZ432" s="132" t="s">
        <v>9</v>
      </c>
      <c r="BA432" s="132"/>
      <c r="BB432" s="24"/>
      <c r="BC432" s="135">
        <v>16</v>
      </c>
      <c r="BD432" s="24">
        <v>43419</v>
      </c>
      <c r="BE432" s="154" t="s">
        <v>1905</v>
      </c>
      <c r="BF432" s="154" t="s">
        <v>1905</v>
      </c>
      <c r="BG432" s="135" t="s">
        <v>52</v>
      </c>
      <c r="BH432" s="135"/>
      <c r="BI432" s="314"/>
      <c r="BJ432" s="314"/>
      <c r="BK432" s="24"/>
      <c r="BL432" s="24"/>
      <c r="BM432" s="24"/>
      <c r="BN432" s="24"/>
      <c r="BO432" s="24"/>
      <c r="BP432" s="24"/>
      <c r="BQ432" s="24"/>
      <c r="BR432" s="43"/>
      <c r="BS432" s="24"/>
      <c r="BT432" s="24"/>
      <c r="BU432" s="24"/>
      <c r="BV432" s="132" t="e">
        <f>IF(#REF!="COMPLETO","OK","PENDIENTES")</f>
        <v>#REF!</v>
      </c>
      <c r="BW432" s="132"/>
      <c r="BX432" s="132"/>
      <c r="BY432" s="132"/>
      <c r="BZ432" s="132"/>
      <c r="CA432" s="132"/>
      <c r="CB432" s="132"/>
      <c r="CC432" s="22"/>
      <c r="CG432" s="24" t="s">
        <v>105</v>
      </c>
      <c r="CH432" s="24"/>
      <c r="CI432" s="24"/>
      <c r="CJ432" s="24"/>
    </row>
    <row r="433" spans="1:88" ht="15" customHeight="1">
      <c r="A433" s="18">
        <v>2018</v>
      </c>
      <c r="B433" s="18" t="str">
        <f>+INDEX(BDD!F:F,MATCH(P433,BDD!D:D,0))&amp;"-"&amp;INDEX(BDD!E:E,MATCH(P433,BDD!D:D,0))</f>
        <v>G-S</v>
      </c>
      <c r="C433" s="125" t="s">
        <v>484</v>
      </c>
      <c r="D433" s="150" t="s">
        <v>77</v>
      </c>
      <c r="E433" s="132"/>
      <c r="F433" s="24"/>
      <c r="G433" s="346">
        <v>8000000301</v>
      </c>
      <c r="H433" s="125" t="s">
        <v>1950</v>
      </c>
      <c r="I433" s="329"/>
      <c r="J433" s="346">
        <v>8000000301</v>
      </c>
      <c r="K433" s="24"/>
      <c r="L433" s="24"/>
      <c r="M433" s="24"/>
      <c r="N433" s="340" t="s">
        <v>486</v>
      </c>
      <c r="O433" s="334">
        <v>207951</v>
      </c>
      <c r="P433" s="25" t="s">
        <v>354</v>
      </c>
      <c r="Q433" s="127" t="s">
        <v>288</v>
      </c>
      <c r="R433" s="232" t="s">
        <v>1948</v>
      </c>
      <c r="S433" s="89">
        <v>43404</v>
      </c>
      <c r="T433" s="36" t="s">
        <v>4</v>
      </c>
      <c r="U433" s="125"/>
      <c r="V433" s="147" t="s">
        <v>1951</v>
      </c>
      <c r="W433" s="129"/>
      <c r="X433" s="88">
        <v>43430</v>
      </c>
      <c r="Y433" s="130" t="s">
        <v>20</v>
      </c>
      <c r="Z433" s="133" t="s">
        <v>60</v>
      </c>
      <c r="AA433" s="133"/>
      <c r="AB433" s="148">
        <v>2104</v>
      </c>
      <c r="AC433" s="134">
        <f>309+52.5</f>
        <v>361.5</v>
      </c>
      <c r="AD433" s="134"/>
      <c r="AE433" s="403">
        <f t="shared" si="19"/>
        <v>760596</v>
      </c>
      <c r="AF433" s="132" t="str">
        <f>IF(W433=BDD!$P$1,IMPORTS!AB433/25,IF(W433=BDD!$P$2,IMPORTS!AB433/25,IF(IMPORTS!W433=BDD!$P$4,IMPORTS!AB433/25.5,"--")))</f>
        <v>--</v>
      </c>
      <c r="AG433" s="130" t="s">
        <v>46</v>
      </c>
      <c r="AH433" s="130"/>
      <c r="AI433" s="130" t="s">
        <v>100</v>
      </c>
      <c r="AJ433" s="130"/>
      <c r="AK433" s="130"/>
      <c r="AL433" s="24" t="s">
        <v>1804</v>
      </c>
      <c r="AM433" s="314"/>
      <c r="AN433" s="26"/>
      <c r="AO433" s="26"/>
      <c r="AP433" s="26"/>
      <c r="AQ433" s="26">
        <v>43461</v>
      </c>
      <c r="AR433" s="24"/>
      <c r="AS433" s="24"/>
      <c r="AT433" s="24">
        <v>43464</v>
      </c>
      <c r="AU433" s="418">
        <f t="shared" si="20"/>
        <v>12</v>
      </c>
      <c r="AV433" s="418">
        <f t="shared" si="21"/>
        <v>2018</v>
      </c>
      <c r="AW433" s="24"/>
      <c r="AX433" s="28"/>
      <c r="AY433" s="28" t="s">
        <v>269</v>
      </c>
      <c r="AZ433" s="132" t="s">
        <v>37</v>
      </c>
      <c r="BA433" s="132"/>
      <c r="BB433" s="24"/>
      <c r="BC433" s="135">
        <v>17</v>
      </c>
      <c r="BD433" s="24">
        <v>43419</v>
      </c>
      <c r="BE433" s="154" t="s">
        <v>1905</v>
      </c>
      <c r="BF433" s="154" t="s">
        <v>1905</v>
      </c>
      <c r="BG433" s="135" t="s">
        <v>52</v>
      </c>
      <c r="BH433" s="135"/>
      <c r="BI433" s="314"/>
      <c r="BJ433" s="314"/>
      <c r="BK433" s="24"/>
      <c r="BL433" s="24"/>
      <c r="BM433" s="24"/>
      <c r="BN433" s="24"/>
      <c r="BO433" s="24"/>
      <c r="BP433" s="24"/>
      <c r="BQ433" s="24"/>
      <c r="BR433" s="43"/>
      <c r="BS433" s="24"/>
      <c r="BT433" s="24"/>
      <c r="BU433" s="24"/>
      <c r="BV433" s="132" t="e">
        <f>IF(#REF!="COMPLETO","OK","PENDIENTES")</f>
        <v>#REF!</v>
      </c>
      <c r="BW433" s="132"/>
      <c r="BX433" s="132"/>
      <c r="BY433" s="132"/>
      <c r="BZ433" s="132"/>
      <c r="CA433" s="132"/>
      <c r="CB433" s="132"/>
      <c r="CC433" s="22"/>
      <c r="CG433" s="24" t="s">
        <v>105</v>
      </c>
      <c r="CH433" s="24"/>
      <c r="CI433" s="24"/>
      <c r="CJ433" s="24"/>
    </row>
    <row r="434" spans="1:88" ht="15" customHeight="1">
      <c r="A434" s="18">
        <v>2018</v>
      </c>
      <c r="B434" s="18" t="str">
        <f>+INDEX(BDD!F:F,MATCH(P434,BDD!D:D,0))&amp;"-"&amp;INDEX(BDD!E:E,MATCH(P434,BDD!D:D,0))</f>
        <v>G-S</v>
      </c>
      <c r="C434" s="125" t="s">
        <v>484</v>
      </c>
      <c r="D434" s="150" t="s">
        <v>77</v>
      </c>
      <c r="E434" s="132"/>
      <c r="F434" s="24"/>
      <c r="G434" s="346">
        <v>8000000312</v>
      </c>
      <c r="H434" s="125" t="s">
        <v>1952</v>
      </c>
      <c r="I434" s="329"/>
      <c r="J434" s="346">
        <v>8000000312</v>
      </c>
      <c r="K434" s="24"/>
      <c r="L434" s="24"/>
      <c r="M434" s="24"/>
      <c r="N434" s="340" t="s">
        <v>486</v>
      </c>
      <c r="O434" s="334">
        <v>207951</v>
      </c>
      <c r="P434" s="25" t="s">
        <v>354</v>
      </c>
      <c r="Q434" s="127" t="s">
        <v>288</v>
      </c>
      <c r="R434" s="232" t="s">
        <v>1948</v>
      </c>
      <c r="S434" s="89">
        <v>43404</v>
      </c>
      <c r="T434" s="36" t="s">
        <v>4</v>
      </c>
      <c r="U434" s="125"/>
      <c r="V434" s="235" t="s">
        <v>1953</v>
      </c>
      <c r="W434" s="151"/>
      <c r="X434" s="88">
        <v>43430</v>
      </c>
      <c r="Y434" s="130" t="s">
        <v>20</v>
      </c>
      <c r="Z434" s="133" t="s">
        <v>60</v>
      </c>
      <c r="AA434" s="133"/>
      <c r="AB434" s="148">
        <v>500</v>
      </c>
      <c r="AC434" s="134">
        <f>309+52.5</f>
        <v>361.5</v>
      </c>
      <c r="AD434" s="134"/>
      <c r="AE434" s="403">
        <f t="shared" si="19"/>
        <v>180750</v>
      </c>
      <c r="AF434" s="132" t="str">
        <f>IF(W434=BDD!$P$1,IMPORTS!AB434/25,IF(W434=BDD!$P$2,IMPORTS!AB434/25,IF(IMPORTS!W434=BDD!$P$4,IMPORTS!AB434/25.5,"--")))</f>
        <v>--</v>
      </c>
      <c r="AG434" s="130" t="s">
        <v>46</v>
      </c>
      <c r="AH434" s="130"/>
      <c r="AI434" s="130" t="s">
        <v>100</v>
      </c>
      <c r="AJ434" s="130"/>
      <c r="AK434" s="130"/>
      <c r="AL434" s="24" t="s">
        <v>1804</v>
      </c>
      <c r="AM434" s="314"/>
      <c r="AN434" s="26"/>
      <c r="AO434" s="26"/>
      <c r="AP434" s="26"/>
      <c r="AQ434" s="26">
        <v>43465</v>
      </c>
      <c r="AR434" s="24"/>
      <c r="AS434" s="24"/>
      <c r="AT434" s="24">
        <v>43467</v>
      </c>
      <c r="AU434" s="418">
        <f t="shared" si="20"/>
        <v>1</v>
      </c>
      <c r="AV434" s="418">
        <f t="shared" si="21"/>
        <v>2019</v>
      </c>
      <c r="AW434" s="24"/>
      <c r="AX434" s="28"/>
      <c r="AY434" s="28" t="s">
        <v>269</v>
      </c>
      <c r="AZ434" s="132" t="s">
        <v>62</v>
      </c>
      <c r="BA434" s="132"/>
      <c r="BB434" s="24"/>
      <c r="BC434" s="135">
        <v>18</v>
      </c>
      <c r="BD434" s="24">
        <v>43419</v>
      </c>
      <c r="BE434" s="154" t="s">
        <v>1905</v>
      </c>
      <c r="BF434" s="154" t="s">
        <v>1905</v>
      </c>
      <c r="BG434" s="135" t="s">
        <v>52</v>
      </c>
      <c r="BH434" s="135"/>
      <c r="BI434" s="314"/>
      <c r="BJ434" s="314"/>
      <c r="BK434" s="24"/>
      <c r="BL434" s="24"/>
      <c r="BM434" s="24"/>
      <c r="BN434" s="24"/>
      <c r="BO434" s="24"/>
      <c r="BP434" s="24"/>
      <c r="BQ434" s="24"/>
      <c r="BR434" s="43"/>
      <c r="BS434" s="24"/>
      <c r="BT434" s="24"/>
      <c r="BU434" s="24"/>
      <c r="BV434" s="132" t="e">
        <f>IF(#REF!="COMPLETO","OK","PENDIENTES")</f>
        <v>#REF!</v>
      </c>
      <c r="BW434" s="132"/>
      <c r="BX434" s="132"/>
      <c r="BY434" s="132"/>
      <c r="BZ434" s="132"/>
      <c r="CA434" s="132"/>
      <c r="CB434" s="132"/>
      <c r="CC434" s="22"/>
      <c r="CG434" s="24" t="s">
        <v>105</v>
      </c>
      <c r="CH434" s="24"/>
      <c r="CI434" s="24"/>
      <c r="CJ434" s="24"/>
    </row>
    <row r="435" spans="1:88" ht="15" customHeight="1">
      <c r="A435" s="18">
        <v>2018</v>
      </c>
      <c r="B435" s="18" t="str">
        <f>+INDEX(BDD!F:F,MATCH(P435,BDD!D:D,0))&amp;"-"&amp;INDEX(BDD!E:E,MATCH(P435,BDD!D:D,0))</f>
        <v>G-C</v>
      </c>
      <c r="C435" s="125" t="s">
        <v>484</v>
      </c>
      <c r="D435" s="150" t="s">
        <v>77</v>
      </c>
      <c r="E435" s="132"/>
      <c r="F435" s="24"/>
      <c r="G435" s="346">
        <v>8000000306</v>
      </c>
      <c r="H435" s="125" t="s">
        <v>1954</v>
      </c>
      <c r="I435" s="329"/>
      <c r="J435" s="346">
        <v>8000000306</v>
      </c>
      <c r="K435" s="24"/>
      <c r="L435" s="24"/>
      <c r="M435" s="24"/>
      <c r="N435" s="340" t="s">
        <v>486</v>
      </c>
      <c r="O435" s="334">
        <v>206573</v>
      </c>
      <c r="P435" s="25" t="s">
        <v>226</v>
      </c>
      <c r="Q435" s="127" t="s">
        <v>288</v>
      </c>
      <c r="R435" s="232" t="s">
        <v>1948</v>
      </c>
      <c r="S435" s="89">
        <v>43404</v>
      </c>
      <c r="T435" s="36" t="s">
        <v>4</v>
      </c>
      <c r="U435" s="125"/>
      <c r="V435" s="147" t="s">
        <v>1955</v>
      </c>
      <c r="W435" s="129"/>
      <c r="X435" s="88">
        <v>43430</v>
      </c>
      <c r="Y435" s="130" t="s">
        <v>20</v>
      </c>
      <c r="Z435" s="133" t="s">
        <v>60</v>
      </c>
      <c r="AA435" s="133"/>
      <c r="AB435" s="148">
        <v>1000</v>
      </c>
      <c r="AC435" s="134">
        <f t="shared" ref="AC435:AC440" si="22">214+52.5</f>
        <v>266.5</v>
      </c>
      <c r="AD435" s="134"/>
      <c r="AE435" s="403">
        <f t="shared" si="19"/>
        <v>266500</v>
      </c>
      <c r="AF435" s="132" t="str">
        <f>IF(W435=BDD!$P$1,IMPORTS!AB435/25,IF(W435=BDD!$P$2,IMPORTS!AB435/25,IF(IMPORTS!W435=BDD!$P$4,IMPORTS!AB435/25.5,"--")))</f>
        <v>--</v>
      </c>
      <c r="AG435" s="130" t="s">
        <v>46</v>
      </c>
      <c r="AH435" s="130"/>
      <c r="AI435" s="130" t="s">
        <v>100</v>
      </c>
      <c r="AJ435" s="130"/>
      <c r="AK435" s="130"/>
      <c r="AL435" s="24" t="s">
        <v>1804</v>
      </c>
      <c r="AM435" s="314"/>
      <c r="AN435" s="26"/>
      <c r="AO435" s="26"/>
      <c r="AP435" s="26"/>
      <c r="AQ435" s="26">
        <v>43454</v>
      </c>
      <c r="AR435" s="24"/>
      <c r="AS435" s="24"/>
      <c r="AT435" s="24">
        <v>43456</v>
      </c>
      <c r="AU435" s="418">
        <f t="shared" si="20"/>
        <v>12</v>
      </c>
      <c r="AV435" s="418">
        <f t="shared" si="21"/>
        <v>2018</v>
      </c>
      <c r="AW435" s="24"/>
      <c r="AX435" s="28"/>
      <c r="AY435" s="28" t="s">
        <v>269</v>
      </c>
      <c r="AZ435" s="132" t="s">
        <v>9</v>
      </c>
      <c r="BA435" s="132"/>
      <c r="BB435" s="24"/>
      <c r="BC435" s="135">
        <v>11</v>
      </c>
      <c r="BD435" s="24">
        <v>43419</v>
      </c>
      <c r="BE435" s="154" t="s">
        <v>1905</v>
      </c>
      <c r="BF435" s="154" t="s">
        <v>1905</v>
      </c>
      <c r="BG435" s="135" t="s">
        <v>52</v>
      </c>
      <c r="BH435" s="135"/>
      <c r="BI435" s="314"/>
      <c r="BJ435" s="314"/>
      <c r="BK435" s="24"/>
      <c r="BL435" s="24"/>
      <c r="BM435" s="24"/>
      <c r="BN435" s="24"/>
      <c r="BO435" s="24"/>
      <c r="BP435" s="24"/>
      <c r="BQ435" s="24"/>
      <c r="BR435" s="43"/>
      <c r="BS435" s="24"/>
      <c r="BT435" s="24"/>
      <c r="BU435" s="24"/>
      <c r="BV435" s="132" t="e">
        <f>IF(#REF!="COMPLETO","OK","PENDIENTES")</f>
        <v>#REF!</v>
      </c>
      <c r="BW435" s="132"/>
      <c r="BX435" s="132"/>
      <c r="BY435" s="132"/>
      <c r="BZ435" s="132"/>
      <c r="CA435" s="132"/>
      <c r="CB435" s="132"/>
      <c r="CC435" s="22"/>
      <c r="CG435" s="24" t="s">
        <v>105</v>
      </c>
      <c r="CH435" s="24"/>
      <c r="CI435" s="24"/>
      <c r="CJ435" s="24"/>
    </row>
    <row r="436" spans="1:88" ht="15" customHeight="1">
      <c r="A436" s="18">
        <v>2018</v>
      </c>
      <c r="B436" s="18" t="str">
        <f>+INDEX(BDD!F:F,MATCH(P436,BDD!D:D,0))&amp;"-"&amp;INDEX(BDD!E:E,MATCH(P436,BDD!D:D,0))</f>
        <v>G-C</v>
      </c>
      <c r="C436" s="125" t="s">
        <v>484</v>
      </c>
      <c r="D436" s="150" t="s">
        <v>77</v>
      </c>
      <c r="E436" s="132"/>
      <c r="F436" s="24"/>
      <c r="G436" s="346">
        <v>8000000294</v>
      </c>
      <c r="H436" s="125" t="s">
        <v>1956</v>
      </c>
      <c r="I436" s="329"/>
      <c r="J436" s="346">
        <v>8000000294</v>
      </c>
      <c r="K436" s="24"/>
      <c r="L436" s="24"/>
      <c r="M436" s="24"/>
      <c r="N436" s="340" t="s">
        <v>486</v>
      </c>
      <c r="O436" s="334">
        <v>206573</v>
      </c>
      <c r="P436" s="25" t="s">
        <v>226</v>
      </c>
      <c r="Q436" s="127" t="s">
        <v>288</v>
      </c>
      <c r="R436" s="232" t="s">
        <v>1948</v>
      </c>
      <c r="S436" s="89">
        <v>43404</v>
      </c>
      <c r="T436" s="36" t="s">
        <v>4</v>
      </c>
      <c r="U436" s="125"/>
      <c r="V436" s="147" t="s">
        <v>1957</v>
      </c>
      <c r="W436" s="129"/>
      <c r="X436" s="88">
        <v>43430</v>
      </c>
      <c r="Y436" s="130" t="s">
        <v>20</v>
      </c>
      <c r="Z436" s="133" t="s">
        <v>60</v>
      </c>
      <c r="AA436" s="133"/>
      <c r="AB436" s="148">
        <v>2340.65</v>
      </c>
      <c r="AC436" s="134">
        <f t="shared" si="22"/>
        <v>266.5</v>
      </c>
      <c r="AD436" s="134"/>
      <c r="AE436" s="403">
        <f t="shared" si="19"/>
        <v>623783.22499999998</v>
      </c>
      <c r="AF436" s="132" t="str">
        <f>IF(W436=BDD!$P$1,IMPORTS!AB436/25,IF(W436=BDD!$P$2,IMPORTS!AB436/25,IF(IMPORTS!W436=BDD!$P$4,IMPORTS!AB436/25.5,"--")))</f>
        <v>--</v>
      </c>
      <c r="AG436" s="130" t="s">
        <v>46</v>
      </c>
      <c r="AH436" s="130"/>
      <c r="AI436" s="130" t="s">
        <v>100</v>
      </c>
      <c r="AJ436" s="130"/>
      <c r="AK436" s="130"/>
      <c r="AL436" s="24" t="s">
        <v>1804</v>
      </c>
      <c r="AM436" s="314"/>
      <c r="AN436" s="26"/>
      <c r="AO436" s="26"/>
      <c r="AP436" s="26"/>
      <c r="AQ436" s="26">
        <f>+AQ435+2</f>
        <v>43456</v>
      </c>
      <c r="AR436" s="24"/>
      <c r="AS436" s="24"/>
      <c r="AT436" s="24">
        <v>43458</v>
      </c>
      <c r="AU436" s="418">
        <f t="shared" si="20"/>
        <v>12</v>
      </c>
      <c r="AV436" s="418">
        <f t="shared" si="21"/>
        <v>2018</v>
      </c>
      <c r="AW436" s="24"/>
      <c r="AX436" s="28"/>
      <c r="AY436" s="28" t="s">
        <v>269</v>
      </c>
      <c r="AZ436" s="132" t="s">
        <v>25</v>
      </c>
      <c r="BA436" s="132"/>
      <c r="BB436" s="24"/>
      <c r="BC436" s="135">
        <v>12</v>
      </c>
      <c r="BD436" s="24">
        <v>43419</v>
      </c>
      <c r="BE436" s="154" t="s">
        <v>1905</v>
      </c>
      <c r="BF436" s="154" t="s">
        <v>1905</v>
      </c>
      <c r="BG436" s="135" t="s">
        <v>52</v>
      </c>
      <c r="BH436" s="135"/>
      <c r="BI436" s="314"/>
      <c r="BJ436" s="314"/>
      <c r="BK436" s="24"/>
      <c r="BL436" s="24"/>
      <c r="BM436" s="24"/>
      <c r="BN436" s="24"/>
      <c r="BO436" s="24"/>
      <c r="BP436" s="24"/>
      <c r="BQ436" s="24"/>
      <c r="BR436" s="43"/>
      <c r="BS436" s="24"/>
      <c r="BT436" s="24"/>
      <c r="BU436" s="24"/>
      <c r="BV436" s="132" t="e">
        <f>IF(#REF!="COMPLETO","OK","PENDIENTES")</f>
        <v>#REF!</v>
      </c>
      <c r="BW436" s="132"/>
      <c r="BX436" s="132"/>
      <c r="BY436" s="132"/>
      <c r="BZ436" s="132"/>
      <c r="CA436" s="132"/>
      <c r="CB436" s="132"/>
      <c r="CC436" s="22"/>
      <c r="CG436" s="24" t="s">
        <v>105</v>
      </c>
      <c r="CH436" s="24"/>
      <c r="CI436" s="24"/>
      <c r="CJ436" s="24"/>
    </row>
    <row r="437" spans="1:88" ht="15" customHeight="1">
      <c r="A437" s="18">
        <v>2018</v>
      </c>
      <c r="B437" s="18" t="str">
        <f>+INDEX(BDD!F:F,MATCH(P437,BDD!D:D,0))&amp;"-"&amp;INDEX(BDD!E:E,MATCH(P437,BDD!D:D,0))</f>
        <v>G-C</v>
      </c>
      <c r="C437" s="125" t="s">
        <v>484</v>
      </c>
      <c r="D437" s="150" t="s">
        <v>77</v>
      </c>
      <c r="E437" s="132"/>
      <c r="F437" s="24"/>
      <c r="G437" s="346">
        <v>8000000302</v>
      </c>
      <c r="H437" s="125" t="s">
        <v>1958</v>
      </c>
      <c r="I437" s="329"/>
      <c r="J437" s="346">
        <v>8000000302</v>
      </c>
      <c r="K437" s="24"/>
      <c r="L437" s="24"/>
      <c r="M437" s="24"/>
      <c r="N437" s="340" t="s">
        <v>486</v>
      </c>
      <c r="O437" s="334">
        <v>206573</v>
      </c>
      <c r="P437" s="25" t="s">
        <v>226</v>
      </c>
      <c r="Q437" s="127" t="s">
        <v>288</v>
      </c>
      <c r="R437" s="232" t="s">
        <v>1948</v>
      </c>
      <c r="S437" s="89">
        <v>43404</v>
      </c>
      <c r="T437" s="36" t="s">
        <v>4</v>
      </c>
      <c r="U437" s="125"/>
      <c r="V437" s="235" t="s">
        <v>1959</v>
      </c>
      <c r="W437" s="151"/>
      <c r="X437" s="88">
        <v>43430</v>
      </c>
      <c r="Y437" s="130" t="s">
        <v>20</v>
      </c>
      <c r="Z437" s="133" t="s">
        <v>60</v>
      </c>
      <c r="AA437" s="133"/>
      <c r="AB437" s="148">
        <v>1600</v>
      </c>
      <c r="AC437" s="134">
        <f t="shared" si="22"/>
        <v>266.5</v>
      </c>
      <c r="AD437" s="134"/>
      <c r="AE437" s="403">
        <f t="shared" si="19"/>
        <v>426400</v>
      </c>
      <c r="AF437" s="132" t="str">
        <f>IF(W437=BDD!$P$1,IMPORTS!AB437/25,IF(W437=BDD!$P$2,IMPORTS!AB437/25,IF(IMPORTS!W437=BDD!$P$4,IMPORTS!AB437/25.5,"--")))</f>
        <v>--</v>
      </c>
      <c r="AG437" s="130" t="s">
        <v>46</v>
      </c>
      <c r="AH437" s="130"/>
      <c r="AI437" s="130" t="s">
        <v>100</v>
      </c>
      <c r="AJ437" s="130"/>
      <c r="AK437" s="130"/>
      <c r="AL437" s="24" t="s">
        <v>1804</v>
      </c>
      <c r="AM437" s="314"/>
      <c r="AN437" s="26"/>
      <c r="AO437" s="26"/>
      <c r="AP437" s="26"/>
      <c r="AQ437" s="26">
        <v>43461</v>
      </c>
      <c r="AR437" s="24"/>
      <c r="AS437" s="24"/>
      <c r="AT437" s="24">
        <v>43464</v>
      </c>
      <c r="AU437" s="418">
        <f t="shared" si="20"/>
        <v>12</v>
      </c>
      <c r="AV437" s="418">
        <f t="shared" si="21"/>
        <v>2018</v>
      </c>
      <c r="AW437" s="24"/>
      <c r="AX437" s="28"/>
      <c r="AY437" s="28" t="s">
        <v>269</v>
      </c>
      <c r="AZ437" s="132" t="s">
        <v>37</v>
      </c>
      <c r="BA437" s="132"/>
      <c r="BB437" s="24"/>
      <c r="BC437" s="135">
        <v>13</v>
      </c>
      <c r="BD437" s="24">
        <v>43419</v>
      </c>
      <c r="BE437" s="154" t="s">
        <v>1905</v>
      </c>
      <c r="BF437" s="154" t="s">
        <v>1905</v>
      </c>
      <c r="BG437" s="135" t="s">
        <v>52</v>
      </c>
      <c r="BH437" s="135"/>
      <c r="BI437" s="314"/>
      <c r="BJ437" s="314"/>
      <c r="BK437" s="24"/>
      <c r="BL437" s="24"/>
      <c r="BM437" s="24"/>
      <c r="BN437" s="24"/>
      <c r="BO437" s="24"/>
      <c r="BP437" s="24"/>
      <c r="BQ437" s="24"/>
      <c r="BR437" s="43"/>
      <c r="BS437" s="24"/>
      <c r="BT437" s="24"/>
      <c r="BU437" s="24"/>
      <c r="BV437" s="132" t="e">
        <f>IF(#REF!="COMPLETO","OK","PENDIENTES")</f>
        <v>#REF!</v>
      </c>
      <c r="BW437" s="132"/>
      <c r="BX437" s="132"/>
      <c r="BY437" s="132"/>
      <c r="BZ437" s="132"/>
      <c r="CA437" s="132"/>
      <c r="CB437" s="132"/>
      <c r="CC437" s="22"/>
      <c r="CG437" s="24" t="s">
        <v>105</v>
      </c>
      <c r="CH437" s="24"/>
      <c r="CI437" s="24"/>
      <c r="CJ437" s="24"/>
    </row>
    <row r="438" spans="1:88" ht="15" customHeight="1">
      <c r="A438" s="18">
        <v>2018</v>
      </c>
      <c r="B438" s="18" t="str">
        <f>+INDEX(BDD!F:F,MATCH(P438,BDD!D:D,0))&amp;"-"&amp;INDEX(BDD!E:E,MATCH(P438,BDD!D:D,0))</f>
        <v>G-C</v>
      </c>
      <c r="C438" s="125" t="s">
        <v>484</v>
      </c>
      <c r="D438" s="150" t="s">
        <v>77</v>
      </c>
      <c r="E438" s="132"/>
      <c r="F438" s="24"/>
      <c r="G438" s="346">
        <v>8000000303</v>
      </c>
      <c r="H438" s="125" t="s">
        <v>1960</v>
      </c>
      <c r="I438" s="329"/>
      <c r="J438" s="346">
        <v>8000000303</v>
      </c>
      <c r="K438" s="24"/>
      <c r="L438" s="24"/>
      <c r="M438" s="24"/>
      <c r="N438" s="340" t="s">
        <v>486</v>
      </c>
      <c r="O438" s="334">
        <v>206573</v>
      </c>
      <c r="P438" s="25" t="s">
        <v>226</v>
      </c>
      <c r="Q438" s="127" t="s">
        <v>288</v>
      </c>
      <c r="R438" s="232" t="s">
        <v>1948</v>
      </c>
      <c r="S438" s="89">
        <v>43404</v>
      </c>
      <c r="T438" s="36" t="s">
        <v>4</v>
      </c>
      <c r="U438" s="125"/>
      <c r="V438" s="235" t="s">
        <v>1961</v>
      </c>
      <c r="W438" s="151"/>
      <c r="X438" s="88">
        <v>43430</v>
      </c>
      <c r="Y438" s="130" t="s">
        <v>20</v>
      </c>
      <c r="Z438" s="133" t="s">
        <v>60</v>
      </c>
      <c r="AA438" s="133"/>
      <c r="AB438" s="148">
        <v>400</v>
      </c>
      <c r="AC438" s="134">
        <f t="shared" si="22"/>
        <v>266.5</v>
      </c>
      <c r="AD438" s="134"/>
      <c r="AE438" s="403">
        <f t="shared" si="19"/>
        <v>106600</v>
      </c>
      <c r="AF438" s="132" t="str">
        <f>IF(W438=BDD!$P$1,IMPORTS!AB438/25,IF(W438=BDD!$P$2,IMPORTS!AB438/25,IF(IMPORTS!W438=BDD!$P$4,IMPORTS!AB438/25.5,"--")))</f>
        <v>--</v>
      </c>
      <c r="AG438" s="130" t="s">
        <v>46</v>
      </c>
      <c r="AH438" s="130"/>
      <c r="AI438" s="130" t="s">
        <v>100</v>
      </c>
      <c r="AJ438" s="130"/>
      <c r="AK438" s="130"/>
      <c r="AL438" s="24" t="s">
        <v>1804</v>
      </c>
      <c r="AM438" s="314"/>
      <c r="AN438" s="26"/>
      <c r="AO438" s="26"/>
      <c r="AP438" s="26"/>
      <c r="AQ438" s="26">
        <v>43461</v>
      </c>
      <c r="AR438" s="24"/>
      <c r="AS438" s="24"/>
      <c r="AT438" s="24">
        <v>43464</v>
      </c>
      <c r="AU438" s="418">
        <f t="shared" si="20"/>
        <v>12</v>
      </c>
      <c r="AV438" s="418">
        <f t="shared" si="21"/>
        <v>2018</v>
      </c>
      <c r="AW438" s="24"/>
      <c r="AX438" s="28"/>
      <c r="AY438" s="28" t="s">
        <v>269</v>
      </c>
      <c r="AZ438" s="132" t="s">
        <v>37</v>
      </c>
      <c r="BA438" s="132"/>
      <c r="BB438" s="24"/>
      <c r="BC438" s="135" t="s">
        <v>1962</v>
      </c>
      <c r="BD438" s="24">
        <v>43419</v>
      </c>
      <c r="BE438" s="154" t="s">
        <v>1905</v>
      </c>
      <c r="BF438" s="154" t="s">
        <v>1905</v>
      </c>
      <c r="BG438" s="135" t="s">
        <v>52</v>
      </c>
      <c r="BH438" s="135"/>
      <c r="BI438" s="314"/>
      <c r="BJ438" s="314"/>
      <c r="BK438" s="24"/>
      <c r="BL438" s="24"/>
      <c r="BM438" s="24"/>
      <c r="BN438" s="24"/>
      <c r="BO438" s="24"/>
      <c r="BP438" s="24"/>
      <c r="BQ438" s="24"/>
      <c r="BR438" s="43"/>
      <c r="BS438" s="24"/>
      <c r="BT438" s="24"/>
      <c r="BU438" s="24"/>
      <c r="BV438" s="132" t="e">
        <f>IF(#REF!="COMPLETO","OK","PENDIENTES")</f>
        <v>#REF!</v>
      </c>
      <c r="BW438" s="132"/>
      <c r="BX438" s="132"/>
      <c r="BY438" s="132"/>
      <c r="BZ438" s="132"/>
      <c r="CA438" s="132"/>
      <c r="CB438" s="132"/>
      <c r="CC438" s="22"/>
      <c r="CG438" s="24" t="s">
        <v>105</v>
      </c>
      <c r="CH438" s="24"/>
      <c r="CI438" s="24"/>
      <c r="CJ438" s="24"/>
    </row>
    <row r="439" spans="1:88" ht="15" customHeight="1">
      <c r="A439" s="18">
        <v>2018</v>
      </c>
      <c r="B439" s="18" t="str">
        <f>+INDEX(BDD!F:F,MATCH(P439,BDD!D:D,0))&amp;"-"&amp;INDEX(BDD!E:E,MATCH(P439,BDD!D:D,0))</f>
        <v>G-C</v>
      </c>
      <c r="C439" s="125" t="s">
        <v>484</v>
      </c>
      <c r="D439" s="150" t="s">
        <v>77</v>
      </c>
      <c r="E439" s="132"/>
      <c r="F439" s="24"/>
      <c r="G439" s="346">
        <v>8000000314</v>
      </c>
      <c r="H439" s="125" t="s">
        <v>1963</v>
      </c>
      <c r="I439" s="329"/>
      <c r="J439" s="346">
        <v>8000000314</v>
      </c>
      <c r="K439" s="24"/>
      <c r="L439" s="24"/>
      <c r="M439" s="24"/>
      <c r="N439" s="340" t="s">
        <v>486</v>
      </c>
      <c r="O439" s="334">
        <v>206573</v>
      </c>
      <c r="P439" s="25" t="s">
        <v>226</v>
      </c>
      <c r="Q439" s="127" t="s">
        <v>288</v>
      </c>
      <c r="R439" s="232" t="s">
        <v>1948</v>
      </c>
      <c r="S439" s="89">
        <v>43404</v>
      </c>
      <c r="T439" s="36" t="s">
        <v>4</v>
      </c>
      <c r="U439" s="125"/>
      <c r="V439" s="235" t="s">
        <v>1964</v>
      </c>
      <c r="W439" s="151"/>
      <c r="X439" s="88">
        <v>43430</v>
      </c>
      <c r="Y439" s="130" t="s">
        <v>20</v>
      </c>
      <c r="Z439" s="133" t="s">
        <v>60</v>
      </c>
      <c r="AA439" s="133"/>
      <c r="AB439" s="148">
        <v>500</v>
      </c>
      <c r="AC439" s="134">
        <f t="shared" si="22"/>
        <v>266.5</v>
      </c>
      <c r="AD439" s="134"/>
      <c r="AE439" s="403">
        <f t="shared" si="19"/>
        <v>133250</v>
      </c>
      <c r="AF439" s="132" t="str">
        <f>IF(W439=BDD!$P$1,IMPORTS!AB439/25,IF(W439=BDD!$P$2,IMPORTS!AB439/25,IF(IMPORTS!W439=BDD!$P$4,IMPORTS!AB439/25.5,"--")))</f>
        <v>--</v>
      </c>
      <c r="AG439" s="130" t="s">
        <v>46</v>
      </c>
      <c r="AH439" s="130"/>
      <c r="AI439" s="130" t="s">
        <v>100</v>
      </c>
      <c r="AJ439" s="130"/>
      <c r="AK439" s="130"/>
      <c r="AL439" s="24" t="s">
        <v>1804</v>
      </c>
      <c r="AM439" s="314"/>
      <c r="AN439" s="26"/>
      <c r="AO439" s="26"/>
      <c r="AP439" s="26"/>
      <c r="AQ439" s="26">
        <v>43465</v>
      </c>
      <c r="AR439" s="24"/>
      <c r="AS439" s="24"/>
      <c r="AT439" s="24">
        <v>43467</v>
      </c>
      <c r="AU439" s="418">
        <f t="shared" si="20"/>
        <v>1</v>
      </c>
      <c r="AV439" s="418">
        <f t="shared" si="21"/>
        <v>2019</v>
      </c>
      <c r="AW439" s="24"/>
      <c r="AX439" s="28"/>
      <c r="AY439" s="28" t="s">
        <v>269</v>
      </c>
      <c r="AZ439" s="132" t="s">
        <v>62</v>
      </c>
      <c r="BA439" s="132"/>
      <c r="BB439" s="24"/>
      <c r="BC439" s="135" t="s">
        <v>1965</v>
      </c>
      <c r="BD439" s="24">
        <v>43419</v>
      </c>
      <c r="BE439" s="154" t="s">
        <v>1905</v>
      </c>
      <c r="BF439" s="154" t="s">
        <v>1905</v>
      </c>
      <c r="BG439" s="135" t="s">
        <v>52</v>
      </c>
      <c r="BH439" s="135"/>
      <c r="BI439" s="314"/>
      <c r="BJ439" s="314"/>
      <c r="BK439" s="24"/>
      <c r="BL439" s="24"/>
      <c r="BM439" s="24"/>
      <c r="BN439" s="24"/>
      <c r="BO439" s="24" t="s">
        <v>944</v>
      </c>
      <c r="BP439" s="24"/>
      <c r="BQ439" s="24"/>
      <c r="BR439" s="43"/>
      <c r="BS439" s="24"/>
      <c r="BT439" s="24"/>
      <c r="BU439" s="24"/>
      <c r="BV439" s="132" t="e">
        <f>IF(#REF!="COMPLETO","OK","PENDIENTES")</f>
        <v>#REF!</v>
      </c>
      <c r="BW439" s="132"/>
      <c r="BX439" s="132"/>
      <c r="BY439" s="132"/>
      <c r="BZ439" s="132"/>
      <c r="CA439" s="132"/>
      <c r="CB439" s="132"/>
      <c r="CC439" s="22"/>
      <c r="CG439" s="24" t="s">
        <v>105</v>
      </c>
      <c r="CH439" s="24"/>
      <c r="CI439" s="24"/>
      <c r="CJ439" s="24"/>
    </row>
    <row r="440" spans="1:88" ht="15" customHeight="1">
      <c r="A440" s="18">
        <v>2018</v>
      </c>
      <c r="B440" s="18" t="str">
        <f>+INDEX(BDD!F:F,MATCH(P440,BDD!D:D,0))&amp;"-"&amp;INDEX(BDD!E:E,MATCH(P440,BDD!D:D,0))</f>
        <v>G-C</v>
      </c>
      <c r="C440" s="125" t="s">
        <v>484</v>
      </c>
      <c r="D440" s="150" t="s">
        <v>77</v>
      </c>
      <c r="E440" s="132"/>
      <c r="F440" s="24"/>
      <c r="G440" s="346">
        <v>8000000314</v>
      </c>
      <c r="H440" s="125" t="s">
        <v>1966</v>
      </c>
      <c r="I440" s="329"/>
      <c r="J440" s="346">
        <v>8000000314</v>
      </c>
      <c r="K440" s="24"/>
      <c r="L440" s="24"/>
      <c r="M440" s="24"/>
      <c r="N440" s="340" t="s">
        <v>486</v>
      </c>
      <c r="O440" s="334">
        <v>206573</v>
      </c>
      <c r="P440" s="25" t="s">
        <v>226</v>
      </c>
      <c r="Q440" s="127" t="s">
        <v>288</v>
      </c>
      <c r="R440" s="232" t="s">
        <v>1948</v>
      </c>
      <c r="S440" s="89">
        <v>43404</v>
      </c>
      <c r="T440" s="36" t="s">
        <v>4</v>
      </c>
      <c r="U440" s="125"/>
      <c r="V440" s="235" t="s">
        <v>1967</v>
      </c>
      <c r="W440" s="151"/>
      <c r="X440" s="88">
        <v>43430</v>
      </c>
      <c r="Y440" s="130" t="s">
        <v>20</v>
      </c>
      <c r="Z440" s="133" t="s">
        <v>60</v>
      </c>
      <c r="AA440" s="133"/>
      <c r="AB440" s="158">
        <v>700</v>
      </c>
      <c r="AC440" s="134">
        <f t="shared" si="22"/>
        <v>266.5</v>
      </c>
      <c r="AD440" s="134"/>
      <c r="AE440" s="403">
        <f t="shared" si="19"/>
        <v>186550</v>
      </c>
      <c r="AF440" s="132" t="str">
        <f>IF(W440=BDD!$P$1,IMPORTS!AB440/25,IF(W440=BDD!$P$2,IMPORTS!AB440/25,IF(IMPORTS!W440=BDD!$P$4,IMPORTS!AB440/25.5,"--")))</f>
        <v>--</v>
      </c>
      <c r="AG440" s="130" t="s">
        <v>46</v>
      </c>
      <c r="AH440" s="130"/>
      <c r="AI440" s="130" t="s">
        <v>100</v>
      </c>
      <c r="AJ440" s="130"/>
      <c r="AK440" s="130"/>
      <c r="AL440" s="24" t="s">
        <v>1804</v>
      </c>
      <c r="AM440" s="314"/>
      <c r="AN440" s="26"/>
      <c r="AO440" s="26"/>
      <c r="AP440" s="26"/>
      <c r="AQ440" s="26">
        <v>43465</v>
      </c>
      <c r="AR440" s="24"/>
      <c r="AS440" s="24"/>
      <c r="AT440" s="24">
        <v>43467</v>
      </c>
      <c r="AU440" s="418">
        <f t="shared" si="20"/>
        <v>1</v>
      </c>
      <c r="AV440" s="418">
        <f t="shared" si="21"/>
        <v>2019</v>
      </c>
      <c r="AW440" s="24"/>
      <c r="AX440" s="28"/>
      <c r="AY440" s="28" t="s">
        <v>269</v>
      </c>
      <c r="AZ440" s="132" t="s">
        <v>62</v>
      </c>
      <c r="BA440" s="132"/>
      <c r="BB440" s="24"/>
      <c r="BC440" s="135">
        <v>15</v>
      </c>
      <c r="BD440" s="24">
        <v>43419</v>
      </c>
      <c r="BE440" s="154" t="s">
        <v>1905</v>
      </c>
      <c r="BF440" s="154" t="s">
        <v>1905</v>
      </c>
      <c r="BG440" s="135" t="s">
        <v>52</v>
      </c>
      <c r="BH440" s="135"/>
      <c r="BI440" s="314"/>
      <c r="BJ440" s="314"/>
      <c r="BK440" s="24"/>
      <c r="BL440" s="24"/>
      <c r="BM440" s="24"/>
      <c r="BN440" s="24"/>
      <c r="BO440" s="24" t="s">
        <v>944</v>
      </c>
      <c r="BP440" s="24"/>
      <c r="BQ440" s="24"/>
      <c r="BR440" s="43"/>
      <c r="BS440" s="24"/>
      <c r="BT440" s="24"/>
      <c r="BU440" s="24"/>
      <c r="BV440" s="132" t="e">
        <f>IF(#REF!="COMPLETO","OK","PENDIENTES")</f>
        <v>#REF!</v>
      </c>
      <c r="BW440" s="132"/>
      <c r="BX440" s="132"/>
      <c r="BY440" s="132"/>
      <c r="BZ440" s="132"/>
      <c r="CA440" s="132"/>
      <c r="CB440" s="132"/>
      <c r="CC440" s="22"/>
      <c r="CG440" s="24" t="s">
        <v>105</v>
      </c>
      <c r="CH440" s="24"/>
      <c r="CI440" s="24"/>
      <c r="CJ440" s="24"/>
    </row>
    <row r="441" spans="1:88" ht="15" customHeight="1">
      <c r="A441" s="18">
        <v>2018</v>
      </c>
      <c r="B441" s="18" t="str">
        <f>+INDEX(BDD!F:F,MATCH(P441,BDD!D:D,0))&amp;"-"&amp;INDEX(BDD!E:E,MATCH(P441,BDD!D:D,0))</f>
        <v>S-P</v>
      </c>
      <c r="C441" s="125" t="s">
        <v>484</v>
      </c>
      <c r="D441" s="150" t="s">
        <v>77</v>
      </c>
      <c r="E441" s="132"/>
      <c r="F441" s="24"/>
      <c r="G441" s="346">
        <v>8000000270</v>
      </c>
      <c r="H441" s="125" t="s">
        <v>1968</v>
      </c>
      <c r="I441" s="329"/>
      <c r="J441" s="346">
        <v>8000000270</v>
      </c>
      <c r="K441" s="24"/>
      <c r="L441" s="24"/>
      <c r="M441" s="24"/>
      <c r="N441" s="340" t="s">
        <v>486</v>
      </c>
      <c r="O441" s="334">
        <v>207374</v>
      </c>
      <c r="P441" s="25" t="s">
        <v>232</v>
      </c>
      <c r="Q441" s="127" t="s">
        <v>288</v>
      </c>
      <c r="R441" s="128" t="s">
        <v>1969</v>
      </c>
      <c r="S441" s="89">
        <v>43419</v>
      </c>
      <c r="T441" s="36" t="s">
        <v>4</v>
      </c>
      <c r="U441" s="125"/>
      <c r="V441" s="147" t="s">
        <v>1970</v>
      </c>
      <c r="W441" s="129"/>
      <c r="X441" s="88">
        <v>43425</v>
      </c>
      <c r="Y441" s="130" t="s">
        <v>20</v>
      </c>
      <c r="Z441" s="133" t="s">
        <v>60</v>
      </c>
      <c r="AA441" s="133"/>
      <c r="AB441" s="158">
        <v>240</v>
      </c>
      <c r="AC441" s="134">
        <v>377</v>
      </c>
      <c r="AD441" s="134"/>
      <c r="AE441" s="403">
        <f t="shared" si="19"/>
        <v>90480</v>
      </c>
      <c r="AF441" s="132">
        <v>10</v>
      </c>
      <c r="AG441" s="130" t="s">
        <v>5</v>
      </c>
      <c r="AH441" s="130"/>
      <c r="AI441" s="130" t="s">
        <v>34</v>
      </c>
      <c r="AJ441" s="130"/>
      <c r="AK441" s="130"/>
      <c r="AL441" s="135" t="s">
        <v>1101</v>
      </c>
      <c r="AM441" s="314"/>
      <c r="AN441" s="26"/>
      <c r="AO441" s="26"/>
      <c r="AP441" s="26"/>
      <c r="AQ441" s="26">
        <v>43497</v>
      </c>
      <c r="AR441" s="24"/>
      <c r="AS441" s="24"/>
      <c r="AT441" s="24">
        <v>43498</v>
      </c>
      <c r="AU441" s="418">
        <f t="shared" si="20"/>
        <v>2</v>
      </c>
      <c r="AV441" s="418">
        <f t="shared" si="21"/>
        <v>2019</v>
      </c>
      <c r="AW441" s="24"/>
      <c r="AX441" s="28"/>
      <c r="AY441" s="28" t="s">
        <v>281</v>
      </c>
      <c r="AZ441" s="132" t="s">
        <v>37</v>
      </c>
      <c r="BA441" s="132"/>
      <c r="BB441" s="24"/>
      <c r="BC441" s="135" t="s">
        <v>1971</v>
      </c>
      <c r="BD441" s="26">
        <v>43461</v>
      </c>
      <c r="BE441" s="135" t="s">
        <v>1972</v>
      </c>
      <c r="BF441" s="135" t="s">
        <v>870</v>
      </c>
      <c r="BG441" s="135" t="s">
        <v>64</v>
      </c>
      <c r="BH441" s="135"/>
      <c r="BI441" s="314"/>
      <c r="BJ441" s="314"/>
      <c r="BK441" s="24"/>
      <c r="BL441" s="24"/>
      <c r="BM441" s="24"/>
      <c r="BN441" s="24"/>
      <c r="BO441" s="24"/>
      <c r="BP441" s="24"/>
      <c r="BQ441" s="24"/>
      <c r="BR441" s="43"/>
      <c r="BS441" s="24"/>
      <c r="BT441" s="24"/>
      <c r="BU441" s="24"/>
      <c r="BV441" s="132" t="e">
        <f>IF(#REF!="COMPLETO","OK","PENDIENTES")</f>
        <v>#REF!</v>
      </c>
      <c r="BW441" s="132"/>
      <c r="BX441" s="132"/>
      <c r="BY441" s="132"/>
      <c r="BZ441" s="132"/>
      <c r="CA441" s="132"/>
      <c r="CB441" s="132"/>
      <c r="CC441" s="22"/>
      <c r="CG441" s="24" t="s">
        <v>105</v>
      </c>
      <c r="CH441" s="24"/>
      <c r="CI441" s="24"/>
      <c r="CJ441" s="24"/>
    </row>
    <row r="442" spans="1:88" ht="15" customHeight="1">
      <c r="A442" s="18">
        <v>2018</v>
      </c>
      <c r="B442" s="18" t="str">
        <f>+INDEX(BDD!F:F,MATCH(P442,BDD!D:D,0))&amp;"-"&amp;INDEX(BDD!E:E,MATCH(P442,BDD!D:D,0))</f>
        <v>S-P</v>
      </c>
      <c r="C442" s="125" t="s">
        <v>484</v>
      </c>
      <c r="D442" s="150" t="s">
        <v>77</v>
      </c>
      <c r="E442" s="132"/>
      <c r="F442" s="24"/>
      <c r="G442" s="346">
        <v>8000000271</v>
      </c>
      <c r="H442" s="125" t="s">
        <v>1973</v>
      </c>
      <c r="I442" s="329"/>
      <c r="J442" s="346">
        <v>8000000271</v>
      </c>
      <c r="K442" s="24"/>
      <c r="L442" s="24"/>
      <c r="M442" s="24"/>
      <c r="N442" s="340" t="s">
        <v>486</v>
      </c>
      <c r="O442" s="334">
        <v>207374</v>
      </c>
      <c r="P442" s="25" t="s">
        <v>232</v>
      </c>
      <c r="Q442" s="127" t="s">
        <v>288</v>
      </c>
      <c r="R442" s="128" t="s">
        <v>1974</v>
      </c>
      <c r="S442" s="89">
        <v>43419</v>
      </c>
      <c r="T442" s="36" t="s">
        <v>4</v>
      </c>
      <c r="U442" s="125"/>
      <c r="V442" s="147" t="s">
        <v>1975</v>
      </c>
      <c r="W442" s="129"/>
      <c r="X442" s="88">
        <v>43425</v>
      </c>
      <c r="Y442" s="130" t="s">
        <v>20</v>
      </c>
      <c r="Z442" s="133" t="s">
        <v>60</v>
      </c>
      <c r="AA442" s="133"/>
      <c r="AB442" s="158">
        <v>264</v>
      </c>
      <c r="AC442" s="134">
        <v>387</v>
      </c>
      <c r="AD442" s="134"/>
      <c r="AE442" s="403">
        <f t="shared" si="19"/>
        <v>102168</v>
      </c>
      <c r="AF442" s="132">
        <v>11</v>
      </c>
      <c r="AG442" s="130" t="s">
        <v>5</v>
      </c>
      <c r="AH442" s="130"/>
      <c r="AI442" s="130" t="s">
        <v>34</v>
      </c>
      <c r="AJ442" s="130"/>
      <c r="AK442" s="130"/>
      <c r="AL442" s="135" t="s">
        <v>1101</v>
      </c>
      <c r="AM442" s="314"/>
      <c r="AN442" s="26"/>
      <c r="AO442" s="26"/>
      <c r="AP442" s="26"/>
      <c r="AQ442" s="26">
        <v>43500</v>
      </c>
      <c r="AR442" s="24"/>
      <c r="AS442" s="24"/>
      <c r="AT442" s="26">
        <v>43502</v>
      </c>
      <c r="AU442" s="418">
        <f t="shared" si="20"/>
        <v>2</v>
      </c>
      <c r="AV442" s="418">
        <f t="shared" si="21"/>
        <v>2019</v>
      </c>
      <c r="AW442" s="26"/>
      <c r="AX442" s="28"/>
      <c r="AY442" s="28" t="s">
        <v>281</v>
      </c>
      <c r="AZ442" s="132" t="s">
        <v>9</v>
      </c>
      <c r="BA442" s="132"/>
      <c r="BB442" s="26"/>
      <c r="BC442" s="135" t="s">
        <v>1976</v>
      </c>
      <c r="BD442" s="26">
        <v>43461</v>
      </c>
      <c r="BE442" s="135" t="s">
        <v>1972</v>
      </c>
      <c r="BF442" s="135" t="s">
        <v>932</v>
      </c>
      <c r="BG442" s="135" t="s">
        <v>64</v>
      </c>
      <c r="BH442" s="135"/>
      <c r="BI442" s="314"/>
      <c r="BJ442" s="314"/>
      <c r="BK442" s="24"/>
      <c r="BL442" s="24"/>
      <c r="BM442" s="24"/>
      <c r="BN442" s="24"/>
      <c r="BO442" s="24"/>
      <c r="BP442" s="24"/>
      <c r="BQ442" s="24"/>
      <c r="BR442" s="43"/>
      <c r="BS442" s="24"/>
      <c r="BT442" s="24"/>
      <c r="BU442" s="24"/>
      <c r="BV442" s="132" t="e">
        <f>IF(#REF!="COMPLETO","OK","PENDIENTES")</f>
        <v>#REF!</v>
      </c>
      <c r="BW442" s="132"/>
      <c r="BX442" s="132"/>
      <c r="BY442" s="132"/>
      <c r="BZ442" s="132"/>
      <c r="CA442" s="132"/>
      <c r="CB442" s="132"/>
      <c r="CC442" s="22"/>
      <c r="CG442" s="24" t="s">
        <v>105</v>
      </c>
      <c r="CH442" s="24"/>
      <c r="CI442" s="26"/>
      <c r="CJ442" s="26"/>
    </row>
    <row r="443" spans="1:88" ht="15" customHeight="1">
      <c r="A443" s="18">
        <v>2018</v>
      </c>
      <c r="B443" s="18" t="str">
        <f>+INDEX(BDD!F:F,MATCH(P443,BDD!D:D,0))&amp;"-"&amp;INDEX(BDD!E:E,MATCH(P443,BDD!D:D,0))</f>
        <v>E-S</v>
      </c>
      <c r="C443" s="125" t="s">
        <v>484</v>
      </c>
      <c r="D443" s="150" t="s">
        <v>77</v>
      </c>
      <c r="E443" s="132"/>
      <c r="F443" s="24"/>
      <c r="G443" s="346">
        <v>8000000272</v>
      </c>
      <c r="H443" s="125" t="s">
        <v>1977</v>
      </c>
      <c r="I443" s="329"/>
      <c r="J443" s="346">
        <v>8000000272</v>
      </c>
      <c r="K443" s="24"/>
      <c r="L443" s="24"/>
      <c r="M443" s="24"/>
      <c r="N443" s="340" t="s">
        <v>486</v>
      </c>
      <c r="O443" s="334">
        <v>209985</v>
      </c>
      <c r="P443" s="25" t="s">
        <v>200</v>
      </c>
      <c r="Q443" s="127" t="s">
        <v>222</v>
      </c>
      <c r="R443" s="232" t="s">
        <v>1978</v>
      </c>
      <c r="S443" s="89">
        <v>43375</v>
      </c>
      <c r="T443" s="36">
        <v>30</v>
      </c>
      <c r="U443" s="125" t="s">
        <v>118</v>
      </c>
      <c r="V443" s="147" t="s">
        <v>1979</v>
      </c>
      <c r="W443" s="129"/>
      <c r="X443" s="88">
        <v>43473</v>
      </c>
      <c r="Y443" s="130" t="s">
        <v>20</v>
      </c>
      <c r="Z443" s="133" t="s">
        <v>60</v>
      </c>
      <c r="AA443" s="133"/>
      <c r="AB443" s="158">
        <v>26</v>
      </c>
      <c r="AC443" s="134">
        <v>330</v>
      </c>
      <c r="AD443" s="134"/>
      <c r="AE443" s="403">
        <f t="shared" si="19"/>
        <v>8580</v>
      </c>
      <c r="AF443" s="132" t="str">
        <f>IF(W444=BDD!$P$1,IMPORTS!AB443/25,IF(W444=BDD!$P$2,IMPORTS!AB443/25,IF(IMPORTS!W444=BDD!$P$4,IMPORTS!AB443/25.5,"--")))</f>
        <v>--</v>
      </c>
      <c r="AG443" s="130" t="s">
        <v>5</v>
      </c>
      <c r="AH443" s="130"/>
      <c r="AI443" s="130" t="s">
        <v>47</v>
      </c>
      <c r="AJ443" s="130"/>
      <c r="AK443" s="130"/>
      <c r="AL443" s="24" t="s">
        <v>1804</v>
      </c>
      <c r="AM443" s="314"/>
      <c r="AN443" s="26"/>
      <c r="AO443" s="26"/>
      <c r="AP443" s="26"/>
      <c r="AQ443" s="26">
        <v>43435</v>
      </c>
      <c r="AR443" s="24"/>
      <c r="AS443" s="24"/>
      <c r="AT443" s="26">
        <v>43439</v>
      </c>
      <c r="AU443" s="418">
        <f t="shared" si="20"/>
        <v>12</v>
      </c>
      <c r="AV443" s="418">
        <f t="shared" si="21"/>
        <v>2018</v>
      </c>
      <c r="AW443" s="26"/>
      <c r="AX443" s="28"/>
      <c r="AY443" s="28" t="s">
        <v>263</v>
      </c>
      <c r="AZ443" s="132" t="s">
        <v>37</v>
      </c>
      <c r="BA443" s="132"/>
      <c r="BB443" s="26"/>
      <c r="BC443" s="135" t="s">
        <v>1980</v>
      </c>
      <c r="BD443" s="24">
        <v>43429</v>
      </c>
      <c r="BE443" s="135" t="s">
        <v>1981</v>
      </c>
      <c r="BF443" s="135" t="s">
        <v>1981</v>
      </c>
      <c r="BG443" s="135" t="s">
        <v>74</v>
      </c>
      <c r="BH443" s="135"/>
      <c r="BI443" s="314"/>
      <c r="BJ443" s="314"/>
      <c r="BK443" s="24"/>
      <c r="BL443" s="24"/>
      <c r="BM443" s="24"/>
      <c r="BN443" s="24"/>
      <c r="BO443" s="24"/>
      <c r="BP443" s="24"/>
      <c r="BQ443" s="24"/>
      <c r="BR443" s="43"/>
      <c r="BS443" s="24"/>
      <c r="BT443" s="24"/>
      <c r="BU443" s="24"/>
      <c r="BV443" s="132" t="e">
        <f>IF(#REF!="COMPLETO","OK","PENDIENTES")</f>
        <v>#REF!</v>
      </c>
      <c r="BW443" s="132"/>
      <c r="BX443" s="132"/>
      <c r="BY443" s="132"/>
      <c r="BZ443" s="132"/>
      <c r="CA443" s="132"/>
      <c r="CB443" s="132"/>
      <c r="CC443" s="22"/>
      <c r="CG443" s="24" t="s">
        <v>105</v>
      </c>
      <c r="CH443" s="24"/>
      <c r="CI443" s="26"/>
      <c r="CJ443" s="26"/>
    </row>
    <row r="444" spans="1:88" ht="15" customHeight="1">
      <c r="A444" s="18">
        <v>2018</v>
      </c>
      <c r="B444" s="18" t="str">
        <f>+INDEX(BDD!F:F,MATCH(P444,BDD!D:D,0))&amp;"-"&amp;INDEX(BDD!E:E,MATCH(P444,BDD!D:D,0))</f>
        <v>E-S</v>
      </c>
      <c r="C444" s="125" t="s">
        <v>484</v>
      </c>
      <c r="D444" s="150" t="s">
        <v>77</v>
      </c>
      <c r="E444" s="132"/>
      <c r="F444" s="24"/>
      <c r="G444" s="346">
        <v>8000000272</v>
      </c>
      <c r="H444" s="125" t="s">
        <v>1982</v>
      </c>
      <c r="I444" s="329"/>
      <c r="J444" s="346">
        <v>8000000272</v>
      </c>
      <c r="K444" s="24"/>
      <c r="L444" s="24"/>
      <c r="M444" s="24"/>
      <c r="N444" s="340" t="s">
        <v>486</v>
      </c>
      <c r="O444" s="334">
        <v>209986</v>
      </c>
      <c r="P444" s="25" t="s">
        <v>208</v>
      </c>
      <c r="Q444" s="127" t="s">
        <v>222</v>
      </c>
      <c r="R444" s="232" t="s">
        <v>1983</v>
      </c>
      <c r="S444" s="89">
        <v>43416</v>
      </c>
      <c r="T444" s="36">
        <v>30</v>
      </c>
      <c r="U444" s="125" t="s">
        <v>118</v>
      </c>
      <c r="V444" s="147" t="s">
        <v>1984</v>
      </c>
      <c r="W444" s="129"/>
      <c r="X444" s="88">
        <v>43473</v>
      </c>
      <c r="Y444" s="130" t="s">
        <v>20</v>
      </c>
      <c r="Z444" s="133" t="s">
        <v>60</v>
      </c>
      <c r="AA444" s="133"/>
      <c r="AB444" s="158">
        <v>26</v>
      </c>
      <c r="AC444" s="134">
        <v>280</v>
      </c>
      <c r="AD444" s="134"/>
      <c r="AE444" s="403">
        <f t="shared" si="19"/>
        <v>7280</v>
      </c>
      <c r="AF444" s="132">
        <v>1</v>
      </c>
      <c r="AG444" s="130" t="s">
        <v>5</v>
      </c>
      <c r="AH444" s="130"/>
      <c r="AI444" s="130" t="s">
        <v>47</v>
      </c>
      <c r="AJ444" s="130"/>
      <c r="AK444" s="130"/>
      <c r="AL444" s="24" t="s">
        <v>1804</v>
      </c>
      <c r="AM444" s="314"/>
      <c r="AN444" s="26"/>
      <c r="AO444" s="26"/>
      <c r="AP444" s="26"/>
      <c r="AQ444" s="26">
        <v>43435</v>
      </c>
      <c r="AR444" s="24"/>
      <c r="AS444" s="24"/>
      <c r="AT444" s="26">
        <v>43439</v>
      </c>
      <c r="AU444" s="418">
        <f t="shared" si="20"/>
        <v>12</v>
      </c>
      <c r="AV444" s="418">
        <f t="shared" si="21"/>
        <v>2018</v>
      </c>
      <c r="AW444" s="26"/>
      <c r="AX444" s="28"/>
      <c r="AY444" s="28" t="s">
        <v>263</v>
      </c>
      <c r="AZ444" s="132" t="s">
        <v>37</v>
      </c>
      <c r="BA444" s="132"/>
      <c r="BB444" s="26"/>
      <c r="BC444" s="135" t="s">
        <v>1980</v>
      </c>
      <c r="BD444" s="24">
        <v>43429</v>
      </c>
      <c r="BE444" s="135" t="s">
        <v>1981</v>
      </c>
      <c r="BF444" s="135" t="s">
        <v>1981</v>
      </c>
      <c r="BG444" s="135" t="s">
        <v>74</v>
      </c>
      <c r="BH444" s="135"/>
      <c r="BI444" s="314"/>
      <c r="BJ444" s="314"/>
      <c r="BK444" s="24"/>
      <c r="BL444" s="24"/>
      <c r="BM444" s="24"/>
      <c r="BN444" s="24"/>
      <c r="BO444" s="24"/>
      <c r="BP444" s="24"/>
      <c r="BQ444" s="24"/>
      <c r="BR444" s="43"/>
      <c r="BS444" s="24"/>
      <c r="BT444" s="24"/>
      <c r="BU444" s="24"/>
      <c r="BV444" s="132" t="e">
        <f>IF(#REF!="COMPLETO","OK","PENDIENTES")</f>
        <v>#REF!</v>
      </c>
      <c r="BW444" s="132"/>
      <c r="BX444" s="132"/>
      <c r="BY444" s="132"/>
      <c r="BZ444" s="132"/>
      <c r="CA444" s="132"/>
      <c r="CB444" s="132"/>
      <c r="CC444" s="22"/>
      <c r="CG444" s="24" t="s">
        <v>105</v>
      </c>
      <c r="CH444" s="24"/>
      <c r="CI444" s="26"/>
      <c r="CJ444" s="26"/>
    </row>
    <row r="445" spans="1:88" ht="15" customHeight="1">
      <c r="A445" s="18">
        <v>2018</v>
      </c>
      <c r="B445" s="18" t="str">
        <f>+INDEX(BDD!F:F,MATCH(P445,BDD!D:D,0))&amp;"-"&amp;INDEX(BDD!E:E,MATCH(P445,BDD!D:D,0))</f>
        <v>E-S</v>
      </c>
      <c r="C445" s="125" t="s">
        <v>484</v>
      </c>
      <c r="D445" s="150" t="s">
        <v>77</v>
      </c>
      <c r="E445" s="132"/>
      <c r="F445" s="24"/>
      <c r="G445" s="346">
        <v>8000000283</v>
      </c>
      <c r="H445" s="125" t="s">
        <v>1985</v>
      </c>
      <c r="I445" s="329"/>
      <c r="J445" s="346">
        <v>8000000283</v>
      </c>
      <c r="K445" s="24"/>
      <c r="L445" s="24"/>
      <c r="M445" s="24"/>
      <c r="N445" s="340" t="s">
        <v>486</v>
      </c>
      <c r="O445" s="334">
        <v>207576</v>
      </c>
      <c r="P445" s="25" t="s">
        <v>160</v>
      </c>
      <c r="Q445" s="127" t="s">
        <v>258</v>
      </c>
      <c r="R445" s="232" t="s">
        <v>1986</v>
      </c>
      <c r="S445" s="89">
        <v>43424</v>
      </c>
      <c r="T445" s="36">
        <v>120</v>
      </c>
      <c r="U445" s="125" t="s">
        <v>118</v>
      </c>
      <c r="V445" s="147" t="s">
        <v>1987</v>
      </c>
      <c r="W445" s="129"/>
      <c r="X445" s="88">
        <v>43591</v>
      </c>
      <c r="Y445" s="130" t="s">
        <v>20</v>
      </c>
      <c r="Z445" s="133" t="s">
        <v>81</v>
      </c>
      <c r="AA445" s="133"/>
      <c r="AB445" s="158">
        <v>48</v>
      </c>
      <c r="AC445" s="134">
        <v>1180</v>
      </c>
      <c r="AD445" s="134"/>
      <c r="AE445" s="403">
        <f t="shared" si="19"/>
        <v>56640</v>
      </c>
      <c r="AF445" s="132">
        <v>2</v>
      </c>
      <c r="AG445" s="130" t="s">
        <v>5</v>
      </c>
      <c r="AH445" s="130"/>
      <c r="AI445" s="130" t="s">
        <v>71</v>
      </c>
      <c r="AJ445" s="130"/>
      <c r="AK445" s="130"/>
      <c r="AL445" s="135" t="s">
        <v>1804</v>
      </c>
      <c r="AM445" s="314"/>
      <c r="AN445" s="26"/>
      <c r="AO445" s="26"/>
      <c r="AP445" s="26"/>
      <c r="AQ445" s="26">
        <v>43513</v>
      </c>
      <c r="AR445" s="24"/>
      <c r="AS445" s="24"/>
      <c r="AT445" s="24">
        <v>43515</v>
      </c>
      <c r="AU445" s="418">
        <f t="shared" si="20"/>
        <v>2</v>
      </c>
      <c r="AV445" s="418">
        <f t="shared" si="21"/>
        <v>2019</v>
      </c>
      <c r="AW445" s="24"/>
      <c r="AX445" s="28"/>
      <c r="AY445" s="28" t="s">
        <v>82</v>
      </c>
      <c r="AZ445" s="132" t="s">
        <v>37</v>
      </c>
      <c r="BA445" s="132"/>
      <c r="BB445" s="24"/>
      <c r="BC445" s="135" t="s">
        <v>1988</v>
      </c>
      <c r="BD445" s="24">
        <v>43467</v>
      </c>
      <c r="BE445" s="135" t="s">
        <v>1861</v>
      </c>
      <c r="BF445" s="135" t="s">
        <v>1862</v>
      </c>
      <c r="BG445" s="135" t="s">
        <v>65</v>
      </c>
      <c r="BH445" s="135"/>
      <c r="BI445" s="314"/>
      <c r="BJ445" s="314"/>
      <c r="BK445" s="24"/>
      <c r="BL445" s="24"/>
      <c r="BM445" s="24"/>
      <c r="BN445" s="24"/>
      <c r="BO445" s="24"/>
      <c r="BP445" s="24"/>
      <c r="BQ445" s="24"/>
      <c r="BR445" s="43"/>
      <c r="BS445" s="24"/>
      <c r="BT445" s="24"/>
      <c r="BU445" s="24"/>
      <c r="BV445" s="132" t="e">
        <f>IF(#REF!="COMPLETO","OK","PENDIENTES")</f>
        <v>#REF!</v>
      </c>
      <c r="BW445" s="132"/>
      <c r="BX445" s="132"/>
      <c r="BY445" s="132"/>
      <c r="BZ445" s="132"/>
      <c r="CA445" s="132"/>
      <c r="CB445" s="132"/>
      <c r="CC445" s="22"/>
      <c r="CG445" s="24" t="s">
        <v>105</v>
      </c>
      <c r="CH445" s="24"/>
      <c r="CI445" s="24"/>
      <c r="CJ445" s="24"/>
    </row>
    <row r="446" spans="1:88" ht="15" customHeight="1">
      <c r="A446" s="18">
        <v>2018</v>
      </c>
      <c r="B446" s="18" t="str">
        <f>+INDEX(BDD!F:F,MATCH(P446,BDD!D:D,0))&amp;"-"&amp;INDEX(BDD!E:E,MATCH(P446,BDD!D:D,0))</f>
        <v>G-S</v>
      </c>
      <c r="C446" s="125" t="s">
        <v>484</v>
      </c>
      <c r="D446" s="150" t="s">
        <v>77</v>
      </c>
      <c r="E446" s="132"/>
      <c r="F446" s="24"/>
      <c r="G446" s="346">
        <v>8000000304</v>
      </c>
      <c r="H446" s="125" t="s">
        <v>1989</v>
      </c>
      <c r="I446" s="329"/>
      <c r="J446" s="346">
        <v>8000000304</v>
      </c>
      <c r="K446" s="24"/>
      <c r="L446" s="24"/>
      <c r="M446" s="24"/>
      <c r="N446" s="340" t="s">
        <v>486</v>
      </c>
      <c r="O446" s="334">
        <v>209371</v>
      </c>
      <c r="P446" s="25" t="s">
        <v>147</v>
      </c>
      <c r="Q446" s="127" t="s">
        <v>237</v>
      </c>
      <c r="R446" s="232" t="s">
        <v>1990</v>
      </c>
      <c r="S446" s="89">
        <v>43416</v>
      </c>
      <c r="T446" s="36" t="s">
        <v>19</v>
      </c>
      <c r="U446" s="125"/>
      <c r="V446" s="147" t="s">
        <v>1991</v>
      </c>
      <c r="W446" s="129"/>
      <c r="X446" s="88">
        <v>43473</v>
      </c>
      <c r="Y446" s="130" t="s">
        <v>20</v>
      </c>
      <c r="Z446" s="133" t="s">
        <v>60</v>
      </c>
      <c r="AA446" s="133"/>
      <c r="AB446" s="158">
        <v>1530</v>
      </c>
      <c r="AC446" s="134">
        <v>455</v>
      </c>
      <c r="AD446" s="134"/>
      <c r="AE446" s="403">
        <f t="shared" si="19"/>
        <v>696150</v>
      </c>
      <c r="AF446" s="132" t="str">
        <f>IF(W446=BDD!$P$1,IMPORTS!AB446/25,IF(W446=BDD!$P$2,IMPORTS!AB446/25,IF(IMPORTS!W446=BDD!$P$4,IMPORTS!AB446/25.5,"--")))</f>
        <v>--</v>
      </c>
      <c r="AG446" s="130" t="s">
        <v>46</v>
      </c>
      <c r="AH446" s="130"/>
      <c r="AI446" s="130" t="s">
        <v>100</v>
      </c>
      <c r="AJ446" s="130"/>
      <c r="AK446" s="130"/>
      <c r="AL446" s="135" t="s">
        <v>1992</v>
      </c>
      <c r="AM446" s="314"/>
      <c r="AN446" s="26"/>
      <c r="AO446" s="26"/>
      <c r="AP446" s="26"/>
      <c r="AQ446" s="26">
        <v>43463</v>
      </c>
      <c r="AR446" s="24"/>
      <c r="AS446" s="24"/>
      <c r="AT446" s="24">
        <v>43464</v>
      </c>
      <c r="AU446" s="418">
        <f t="shared" si="20"/>
        <v>12</v>
      </c>
      <c r="AV446" s="418">
        <f t="shared" si="21"/>
        <v>2018</v>
      </c>
      <c r="AW446" s="24"/>
      <c r="AX446" s="28"/>
      <c r="AY446" s="28" t="s">
        <v>215</v>
      </c>
      <c r="AZ446" s="132" t="s">
        <v>25</v>
      </c>
      <c r="BA446" s="132"/>
      <c r="BB446" s="24"/>
      <c r="BC446" s="135">
        <v>10</v>
      </c>
      <c r="BD446" s="24">
        <v>43452</v>
      </c>
      <c r="BE446" s="154" t="s">
        <v>1993</v>
      </c>
      <c r="BF446" s="154" t="s">
        <v>1993</v>
      </c>
      <c r="BG446" s="135" t="s">
        <v>52</v>
      </c>
      <c r="BH446" s="135"/>
      <c r="BI446" s="314"/>
      <c r="BJ446" s="314"/>
      <c r="BK446" s="24"/>
      <c r="BL446" s="24"/>
      <c r="BM446" s="24"/>
      <c r="BN446" s="24"/>
      <c r="BO446" s="24"/>
      <c r="BP446" s="24"/>
      <c r="BQ446" s="24"/>
      <c r="BR446" s="43"/>
      <c r="BS446" s="24"/>
      <c r="BT446" s="24"/>
      <c r="BU446" s="24"/>
      <c r="BV446" s="132" t="e">
        <f>IF(#REF!="COMPLETO","OK","PENDIENTES")</f>
        <v>#REF!</v>
      </c>
      <c r="BW446" s="132"/>
      <c r="BX446" s="132"/>
      <c r="BY446" s="132"/>
      <c r="BZ446" s="132"/>
      <c r="CA446" s="132"/>
      <c r="CB446" s="132"/>
      <c r="CC446" s="22"/>
      <c r="CG446" s="24" t="s">
        <v>105</v>
      </c>
      <c r="CH446" s="24"/>
      <c r="CI446" s="24"/>
      <c r="CJ446" s="24"/>
    </row>
    <row r="447" spans="1:88" ht="15" customHeight="1">
      <c r="A447" s="18">
        <v>2018</v>
      </c>
      <c r="B447" s="18" t="str">
        <f>+INDEX(BDD!F:F,MATCH(P447,BDD!D:D,0))&amp;"-"&amp;INDEX(BDD!E:E,MATCH(P447,BDD!D:D,0))</f>
        <v>G-S</v>
      </c>
      <c r="C447" s="125" t="s">
        <v>484</v>
      </c>
      <c r="D447" s="150" t="s">
        <v>77</v>
      </c>
      <c r="E447" s="132"/>
      <c r="F447" s="24"/>
      <c r="G447" s="346">
        <v>8000000307</v>
      </c>
      <c r="H447" s="125" t="s">
        <v>1994</v>
      </c>
      <c r="I447" s="329"/>
      <c r="J447" s="346">
        <v>8000000307</v>
      </c>
      <c r="K447" s="24"/>
      <c r="L447" s="24"/>
      <c r="M447" s="24"/>
      <c r="N447" s="340" t="s">
        <v>486</v>
      </c>
      <c r="O447" s="334">
        <v>209371</v>
      </c>
      <c r="P447" s="25" t="s">
        <v>147</v>
      </c>
      <c r="Q447" s="127" t="s">
        <v>237</v>
      </c>
      <c r="R447" s="232" t="s">
        <v>1990</v>
      </c>
      <c r="S447" s="89">
        <v>43416</v>
      </c>
      <c r="T447" s="36" t="s">
        <v>19</v>
      </c>
      <c r="U447" s="125"/>
      <c r="V447" s="147" t="s">
        <v>1995</v>
      </c>
      <c r="W447" s="129"/>
      <c r="X447" s="88">
        <v>43473</v>
      </c>
      <c r="Y447" s="130" t="s">
        <v>20</v>
      </c>
      <c r="Z447" s="133" t="s">
        <v>60</v>
      </c>
      <c r="AA447" s="133"/>
      <c r="AB447" s="158">
        <v>430</v>
      </c>
      <c r="AC447" s="134">
        <v>455</v>
      </c>
      <c r="AD447" s="134"/>
      <c r="AE447" s="403">
        <f t="shared" si="19"/>
        <v>195650</v>
      </c>
      <c r="AF447" s="132" t="str">
        <f>IF(W447=BDD!$P$1,IMPORTS!AB447/25,IF(W447=BDD!$P$2,IMPORTS!AB447/25,IF(IMPORTS!W447=BDD!$P$4,IMPORTS!AB447/25.5,"--")))</f>
        <v>--</v>
      </c>
      <c r="AG447" s="130" t="s">
        <v>46</v>
      </c>
      <c r="AH447" s="130"/>
      <c r="AI447" s="130" t="s">
        <v>100</v>
      </c>
      <c r="AJ447" s="130"/>
      <c r="AK447" s="130"/>
      <c r="AL447" s="135" t="s">
        <v>1992</v>
      </c>
      <c r="AM447" s="314"/>
      <c r="AN447" s="26"/>
      <c r="AO447" s="26"/>
      <c r="AP447" s="26"/>
      <c r="AQ447" s="26">
        <v>43464</v>
      </c>
      <c r="AR447" s="24"/>
      <c r="AS447" s="24"/>
      <c r="AT447" s="24">
        <v>43466</v>
      </c>
      <c r="AU447" s="418">
        <f t="shared" si="20"/>
        <v>1</v>
      </c>
      <c r="AV447" s="418">
        <f t="shared" si="21"/>
        <v>2019</v>
      </c>
      <c r="AW447" s="24"/>
      <c r="AX447" s="28"/>
      <c r="AY447" s="28" t="s">
        <v>215</v>
      </c>
      <c r="AZ447" s="132" t="s">
        <v>37</v>
      </c>
      <c r="BA447" s="132"/>
      <c r="BB447" s="24"/>
      <c r="BC447" s="135">
        <v>7</v>
      </c>
      <c r="BD447" s="24">
        <v>43452</v>
      </c>
      <c r="BE447" s="154" t="s">
        <v>1993</v>
      </c>
      <c r="BF447" s="154" t="s">
        <v>1993</v>
      </c>
      <c r="BG447" s="135" t="s">
        <v>52</v>
      </c>
      <c r="BH447" s="135"/>
      <c r="BI447" s="314"/>
      <c r="BJ447" s="314"/>
      <c r="BK447" s="24"/>
      <c r="BL447" s="24"/>
      <c r="BM447" s="24"/>
      <c r="BN447" s="24"/>
      <c r="BO447" s="24" t="s">
        <v>944</v>
      </c>
      <c r="BP447" s="24"/>
      <c r="BQ447" s="24"/>
      <c r="BR447" s="43"/>
      <c r="BS447" s="24"/>
      <c r="BT447" s="24"/>
      <c r="BU447" s="24"/>
      <c r="BV447" s="132" t="e">
        <f>IF(#REF!="COMPLETO","OK","PENDIENTES")</f>
        <v>#REF!</v>
      </c>
      <c r="BW447" s="132"/>
      <c r="BX447" s="132"/>
      <c r="BY447" s="132"/>
      <c r="BZ447" s="132"/>
      <c r="CA447" s="132"/>
      <c r="CB447" s="132"/>
      <c r="CC447" s="22"/>
      <c r="CG447" s="24" t="s">
        <v>105</v>
      </c>
      <c r="CH447" s="24"/>
      <c r="CI447" s="24"/>
      <c r="CJ447" s="24"/>
    </row>
    <row r="448" spans="1:88" ht="15" customHeight="1">
      <c r="A448" s="18">
        <v>2018</v>
      </c>
      <c r="B448" s="18" t="str">
        <f>+INDEX(BDD!F:F,MATCH(P448,BDD!D:D,0))&amp;"-"&amp;INDEX(BDD!E:E,MATCH(P448,BDD!D:D,0))</f>
        <v>G-S</v>
      </c>
      <c r="C448" s="125" t="s">
        <v>484</v>
      </c>
      <c r="D448" s="150" t="s">
        <v>77</v>
      </c>
      <c r="E448" s="132"/>
      <c r="F448" s="24"/>
      <c r="G448" s="346">
        <v>8000000308</v>
      </c>
      <c r="H448" s="125" t="s">
        <v>1996</v>
      </c>
      <c r="I448" s="329"/>
      <c r="J448" s="346">
        <v>8000000308</v>
      </c>
      <c r="K448" s="24"/>
      <c r="L448" s="24"/>
      <c r="M448" s="24"/>
      <c r="N448" s="340" t="s">
        <v>486</v>
      </c>
      <c r="O448" s="334">
        <v>209371</v>
      </c>
      <c r="P448" s="25" t="s">
        <v>147</v>
      </c>
      <c r="Q448" s="127" t="s">
        <v>237</v>
      </c>
      <c r="R448" s="232" t="s">
        <v>1990</v>
      </c>
      <c r="S448" s="89">
        <v>43416</v>
      </c>
      <c r="T448" s="36" t="s">
        <v>19</v>
      </c>
      <c r="U448" s="125"/>
      <c r="V448" s="147" t="s">
        <v>1997</v>
      </c>
      <c r="W448" s="129"/>
      <c r="X448" s="88">
        <v>43473</v>
      </c>
      <c r="Y448" s="130" t="s">
        <v>20</v>
      </c>
      <c r="Z448" s="133" t="s">
        <v>60</v>
      </c>
      <c r="AA448" s="133"/>
      <c r="AB448" s="158">
        <v>220</v>
      </c>
      <c r="AC448" s="134">
        <v>455</v>
      </c>
      <c r="AD448" s="134"/>
      <c r="AE448" s="403">
        <f t="shared" si="19"/>
        <v>100100</v>
      </c>
      <c r="AF448" s="132" t="str">
        <f>IF(W448=BDD!$P$1,IMPORTS!AB448/25,IF(W448=BDD!$P$2,IMPORTS!AB448/25,IF(IMPORTS!W448=BDD!$P$4,IMPORTS!AB448/25.5,"--")))</f>
        <v>--</v>
      </c>
      <c r="AG448" s="130" t="s">
        <v>46</v>
      </c>
      <c r="AH448" s="130"/>
      <c r="AI448" s="130" t="s">
        <v>100</v>
      </c>
      <c r="AJ448" s="130"/>
      <c r="AK448" s="130"/>
      <c r="AL448" s="135" t="s">
        <v>1992</v>
      </c>
      <c r="AM448" s="314"/>
      <c r="AN448" s="26"/>
      <c r="AO448" s="26"/>
      <c r="AP448" s="26"/>
      <c r="AQ448" s="26">
        <v>43466</v>
      </c>
      <c r="AR448" s="24"/>
      <c r="AS448" s="24"/>
      <c r="AT448" s="24">
        <v>43467</v>
      </c>
      <c r="AU448" s="418">
        <f t="shared" si="20"/>
        <v>1</v>
      </c>
      <c r="AV448" s="418">
        <f t="shared" si="21"/>
        <v>2019</v>
      </c>
      <c r="AW448" s="24"/>
      <c r="AX448" s="28"/>
      <c r="AY448" s="28" t="s">
        <v>215</v>
      </c>
      <c r="AZ448" s="132" t="s">
        <v>50</v>
      </c>
      <c r="BA448" s="132"/>
      <c r="BB448" s="24"/>
      <c r="BC448" s="135">
        <v>9</v>
      </c>
      <c r="BD448" s="24">
        <v>43452</v>
      </c>
      <c r="BE448" s="154" t="s">
        <v>1993</v>
      </c>
      <c r="BF448" s="154" t="s">
        <v>1993</v>
      </c>
      <c r="BG448" s="135" t="s">
        <v>52</v>
      </c>
      <c r="BH448" s="135"/>
      <c r="BI448" s="314"/>
      <c r="BJ448" s="314"/>
      <c r="BK448" s="24"/>
      <c r="BL448" s="24"/>
      <c r="BM448" s="24"/>
      <c r="BN448" s="24"/>
      <c r="BO448" s="24" t="s">
        <v>944</v>
      </c>
      <c r="BP448" s="24"/>
      <c r="BQ448" s="24"/>
      <c r="BR448" s="43"/>
      <c r="BS448" s="24"/>
      <c r="BT448" s="24"/>
      <c r="BU448" s="24"/>
      <c r="BV448" s="132" t="e">
        <f>IF(#REF!="COMPLETO","OK","PENDIENTES")</f>
        <v>#REF!</v>
      </c>
      <c r="BW448" s="132"/>
      <c r="BX448" s="132"/>
      <c r="BY448" s="132"/>
      <c r="BZ448" s="132"/>
      <c r="CA448" s="132"/>
      <c r="CB448" s="132"/>
      <c r="CC448" s="22"/>
      <c r="CG448" s="24" t="s">
        <v>105</v>
      </c>
      <c r="CH448" s="24"/>
      <c r="CI448" s="24"/>
      <c r="CJ448" s="24"/>
    </row>
    <row r="449" spans="1:88" ht="15" customHeight="1">
      <c r="A449" s="18">
        <v>2018</v>
      </c>
      <c r="B449" s="18" t="str">
        <f>+INDEX(BDD!F:F,MATCH(P449,BDD!D:D,0))&amp;"-"&amp;INDEX(BDD!E:E,MATCH(P449,BDD!D:D,0))</f>
        <v>G-S</v>
      </c>
      <c r="C449" s="125" t="s">
        <v>484</v>
      </c>
      <c r="D449" s="150" t="s">
        <v>77</v>
      </c>
      <c r="E449" s="132"/>
      <c r="F449" s="24"/>
      <c r="G449" s="346">
        <v>8000000309</v>
      </c>
      <c r="H449" s="125" t="s">
        <v>1998</v>
      </c>
      <c r="I449" s="329"/>
      <c r="J449" s="346">
        <v>8000000309</v>
      </c>
      <c r="K449" s="24"/>
      <c r="L449" s="24"/>
      <c r="M449" s="24"/>
      <c r="N449" s="340" t="s">
        <v>486</v>
      </c>
      <c r="O449" s="334">
        <v>209371</v>
      </c>
      <c r="P449" s="25" t="s">
        <v>147</v>
      </c>
      <c r="Q449" s="127" t="s">
        <v>237</v>
      </c>
      <c r="R449" s="232" t="s">
        <v>1990</v>
      </c>
      <c r="S449" s="89">
        <v>43416</v>
      </c>
      <c r="T449" s="36" t="s">
        <v>19</v>
      </c>
      <c r="U449" s="125"/>
      <c r="V449" s="147" t="s">
        <v>1999</v>
      </c>
      <c r="W449" s="129"/>
      <c r="X449" s="88">
        <v>43473</v>
      </c>
      <c r="Y449" s="130" t="s">
        <v>20</v>
      </c>
      <c r="Z449" s="133" t="s">
        <v>60</v>
      </c>
      <c r="AA449" s="133"/>
      <c r="AB449" s="236">
        <v>2778.0619999999999</v>
      </c>
      <c r="AC449" s="134">
        <v>455</v>
      </c>
      <c r="AD449" s="134"/>
      <c r="AE449" s="403">
        <f t="shared" si="19"/>
        <v>1264018.21</v>
      </c>
      <c r="AF449" s="132" t="str">
        <f>IF(W449=BDD!$P$1,IMPORTS!AB449/25,IF(W449=BDD!$P$2,IMPORTS!AB449/25,IF(IMPORTS!W449=BDD!$P$4,IMPORTS!AB449/25.5,"--")))</f>
        <v>--</v>
      </c>
      <c r="AG449" s="130" t="s">
        <v>46</v>
      </c>
      <c r="AH449" s="130"/>
      <c r="AI449" s="130" t="s">
        <v>100</v>
      </c>
      <c r="AJ449" s="130"/>
      <c r="AK449" s="130"/>
      <c r="AL449" s="135" t="s">
        <v>1992</v>
      </c>
      <c r="AM449" s="314"/>
      <c r="AN449" s="26"/>
      <c r="AO449" s="26"/>
      <c r="AP449" s="26"/>
      <c r="AQ449" s="26">
        <v>43470</v>
      </c>
      <c r="AR449" s="24"/>
      <c r="AS449" s="24"/>
      <c r="AT449" s="24">
        <v>43472</v>
      </c>
      <c r="AU449" s="418">
        <f t="shared" si="20"/>
        <v>1</v>
      </c>
      <c r="AV449" s="418">
        <f t="shared" si="21"/>
        <v>2019</v>
      </c>
      <c r="AW449" s="24"/>
      <c r="AX449" s="28"/>
      <c r="AY449" s="28" t="s">
        <v>215</v>
      </c>
      <c r="AZ449" s="132" t="s">
        <v>62</v>
      </c>
      <c r="BA449" s="132"/>
      <c r="BB449" s="24"/>
      <c r="BC449" s="135">
        <v>8</v>
      </c>
      <c r="BD449" s="24">
        <v>43452</v>
      </c>
      <c r="BE449" s="154" t="s">
        <v>1993</v>
      </c>
      <c r="BF449" s="154" t="s">
        <v>1993</v>
      </c>
      <c r="BG449" s="135" t="s">
        <v>52</v>
      </c>
      <c r="BH449" s="135"/>
      <c r="BI449" s="314"/>
      <c r="BJ449" s="314"/>
      <c r="BK449" s="24"/>
      <c r="BL449" s="24"/>
      <c r="BM449" s="24"/>
      <c r="BN449" s="24"/>
      <c r="BO449" s="24" t="s">
        <v>944</v>
      </c>
      <c r="BP449" s="24"/>
      <c r="BQ449" s="24"/>
      <c r="BR449" s="43"/>
      <c r="BS449" s="24"/>
      <c r="BT449" s="24"/>
      <c r="BU449" s="24"/>
      <c r="BV449" s="132" t="e">
        <f>IF(#REF!="COMPLETO","OK","PENDIENTES")</f>
        <v>#REF!</v>
      </c>
      <c r="BW449" s="132"/>
      <c r="BX449" s="132"/>
      <c r="BY449" s="132"/>
      <c r="BZ449" s="132"/>
      <c r="CA449" s="132"/>
      <c r="CB449" s="132"/>
      <c r="CC449" s="22"/>
      <c r="CG449" s="24" t="s">
        <v>105</v>
      </c>
      <c r="CH449" s="24"/>
      <c r="CI449" s="24"/>
      <c r="CJ449" s="24"/>
    </row>
    <row r="450" spans="1:88" ht="15" customHeight="1">
      <c r="A450" s="18">
        <v>2018</v>
      </c>
      <c r="B450" s="18" t="str">
        <f>+INDEX(BDD!F:F,MATCH(P450,BDD!D:D,0))&amp;"-"&amp;INDEX(BDD!E:E,MATCH(P450,BDD!D:D,0))</f>
        <v>G-S</v>
      </c>
      <c r="C450" s="125" t="s">
        <v>484</v>
      </c>
      <c r="D450" s="150" t="s">
        <v>77</v>
      </c>
      <c r="E450" s="132"/>
      <c r="F450" s="24"/>
      <c r="G450" s="346">
        <v>8000000342</v>
      </c>
      <c r="H450" s="125" t="s">
        <v>2000</v>
      </c>
      <c r="I450" s="329"/>
      <c r="J450" s="346">
        <v>8000000342</v>
      </c>
      <c r="K450" s="24"/>
      <c r="L450" s="24"/>
      <c r="M450" s="24"/>
      <c r="N450" s="340" t="s">
        <v>486</v>
      </c>
      <c r="O450" s="334">
        <v>206569</v>
      </c>
      <c r="P450" s="25" t="s">
        <v>142</v>
      </c>
      <c r="Q450" s="127" t="s">
        <v>163</v>
      </c>
      <c r="R450" s="128" t="s">
        <v>1622</v>
      </c>
      <c r="S450" s="89">
        <v>43427</v>
      </c>
      <c r="T450" s="36" t="s">
        <v>19</v>
      </c>
      <c r="U450" s="125"/>
      <c r="V450" s="147" t="s">
        <v>2001</v>
      </c>
      <c r="W450" s="129"/>
      <c r="X450" s="88">
        <v>43480</v>
      </c>
      <c r="Y450" s="130" t="s">
        <v>20</v>
      </c>
      <c r="Z450" s="133" t="s">
        <v>60</v>
      </c>
      <c r="AA450" s="133"/>
      <c r="AB450" s="158">
        <v>1150</v>
      </c>
      <c r="AC450" s="134">
        <v>451</v>
      </c>
      <c r="AD450" s="134"/>
      <c r="AE450" s="403">
        <f t="shared" ref="AE450:AE513" si="23">AB450*AC450</f>
        <v>518650</v>
      </c>
      <c r="AF450" s="132" t="str">
        <f>IF(W450=BDD!$P$1,IMPORTS!AB450/25,IF(W450=BDD!$P$2,IMPORTS!AB450/25,IF(IMPORTS!W450=BDD!$P$4,IMPORTS!AB450/25.5,"--")))</f>
        <v>--</v>
      </c>
      <c r="AG450" s="130" t="s">
        <v>46</v>
      </c>
      <c r="AH450" s="130"/>
      <c r="AI450" s="130" t="s">
        <v>100</v>
      </c>
      <c r="AJ450" s="130"/>
      <c r="AK450" s="130"/>
      <c r="AL450" s="135" t="s">
        <v>921</v>
      </c>
      <c r="AM450" s="314"/>
      <c r="AN450" s="26"/>
      <c r="AO450" s="26"/>
      <c r="AP450" s="26"/>
      <c r="AQ450" s="26">
        <v>43507</v>
      </c>
      <c r="AR450" s="24"/>
      <c r="AS450" s="24"/>
      <c r="AT450" s="24">
        <v>43508</v>
      </c>
      <c r="AU450" s="418">
        <f t="shared" si="20"/>
        <v>2</v>
      </c>
      <c r="AV450" s="418">
        <f t="shared" si="21"/>
        <v>2019</v>
      </c>
      <c r="AW450" s="24"/>
      <c r="AX450" s="28"/>
      <c r="AY450" s="28" t="s">
        <v>230</v>
      </c>
      <c r="AZ450" s="132" t="s">
        <v>37</v>
      </c>
      <c r="BA450" s="132"/>
      <c r="BB450" s="24"/>
      <c r="BC450" s="135" t="s">
        <v>2002</v>
      </c>
      <c r="BD450" s="24">
        <v>43458</v>
      </c>
      <c r="BE450" s="135" t="s">
        <v>2003</v>
      </c>
      <c r="BF450" s="135" t="s">
        <v>2003</v>
      </c>
      <c r="BG450" s="135" t="s">
        <v>52</v>
      </c>
      <c r="BH450" s="135"/>
      <c r="BI450" s="314"/>
      <c r="BJ450" s="314"/>
      <c r="BK450" s="24"/>
      <c r="BL450" s="24"/>
      <c r="BM450" s="24"/>
      <c r="BN450" s="24"/>
      <c r="BO450" s="24"/>
      <c r="BP450" s="24"/>
      <c r="BQ450" s="24"/>
      <c r="BR450" s="43"/>
      <c r="BS450" s="24"/>
      <c r="BT450" s="24"/>
      <c r="BU450" s="24"/>
      <c r="BV450" s="132" t="e">
        <f>IF(#REF!="COMPLETO","OK","PENDIENTES")</f>
        <v>#REF!</v>
      </c>
      <c r="BW450" s="132"/>
      <c r="BX450" s="132"/>
      <c r="BY450" s="132"/>
      <c r="BZ450" s="132"/>
      <c r="CA450" s="132"/>
      <c r="CB450" s="132"/>
      <c r="CC450" s="22"/>
      <c r="CG450" s="24" t="s">
        <v>105</v>
      </c>
      <c r="CH450" s="24"/>
      <c r="CI450" s="24"/>
      <c r="CJ450" s="24"/>
    </row>
    <row r="451" spans="1:88" ht="15" customHeight="1">
      <c r="A451" s="18">
        <v>2018</v>
      </c>
      <c r="B451" s="18" t="str">
        <f>+INDEX(BDD!F:F,MATCH(P451,BDD!D:D,0))&amp;"-"&amp;INDEX(BDD!E:E,MATCH(P451,BDD!D:D,0))</f>
        <v>G-S</v>
      </c>
      <c r="C451" s="125" t="s">
        <v>484</v>
      </c>
      <c r="D451" s="150" t="s">
        <v>77</v>
      </c>
      <c r="E451" s="132"/>
      <c r="F451" s="24"/>
      <c r="G451" s="346">
        <v>8000000343</v>
      </c>
      <c r="H451" s="125" t="s">
        <v>2004</v>
      </c>
      <c r="I451" s="329"/>
      <c r="J451" s="346">
        <v>8000000343</v>
      </c>
      <c r="K451" s="24"/>
      <c r="L451" s="24"/>
      <c r="M451" s="24"/>
      <c r="N451" s="340" t="s">
        <v>486</v>
      </c>
      <c r="O451" s="334">
        <v>206569</v>
      </c>
      <c r="P451" s="25" t="s">
        <v>142</v>
      </c>
      <c r="Q451" s="127" t="s">
        <v>163</v>
      </c>
      <c r="R451" s="128" t="s">
        <v>1622</v>
      </c>
      <c r="S451" s="89">
        <v>43427</v>
      </c>
      <c r="T451" s="36" t="s">
        <v>19</v>
      </c>
      <c r="U451" s="125"/>
      <c r="V451" s="147" t="s">
        <v>2005</v>
      </c>
      <c r="W451" s="129"/>
      <c r="X451" s="88">
        <v>43480</v>
      </c>
      <c r="Y451" s="130" t="s">
        <v>20</v>
      </c>
      <c r="Z451" s="133" t="s">
        <v>60</v>
      </c>
      <c r="AA451" s="133"/>
      <c r="AB451" s="158">
        <v>850</v>
      </c>
      <c r="AC451" s="134">
        <v>451</v>
      </c>
      <c r="AD451" s="134"/>
      <c r="AE451" s="403">
        <f t="shared" si="23"/>
        <v>383350</v>
      </c>
      <c r="AF451" s="132" t="str">
        <f>IF(W451=BDD!$P$1,IMPORTS!AB451/25,IF(W451=BDD!$P$2,IMPORTS!AB451/25,IF(IMPORTS!W451=BDD!$P$4,IMPORTS!AB451/25.5,"--")))</f>
        <v>--</v>
      </c>
      <c r="AG451" s="130" t="s">
        <v>46</v>
      </c>
      <c r="AH451" s="130"/>
      <c r="AI451" s="130" t="s">
        <v>100</v>
      </c>
      <c r="AJ451" s="130"/>
      <c r="AK451" s="130"/>
      <c r="AL451" s="135" t="s">
        <v>921</v>
      </c>
      <c r="AM451" s="314"/>
      <c r="AN451" s="26"/>
      <c r="AO451" s="26"/>
      <c r="AP451" s="26"/>
      <c r="AQ451" s="26">
        <v>43510</v>
      </c>
      <c r="AR451" s="24"/>
      <c r="AS451" s="24"/>
      <c r="AT451" s="24">
        <v>43512</v>
      </c>
      <c r="AU451" s="418">
        <f t="shared" ref="AU451:AU514" si="24">MONTH(AT451)</f>
        <v>2</v>
      </c>
      <c r="AV451" s="418">
        <f t="shared" ref="AV451:AV514" si="25">YEAR(AT451)</f>
        <v>2019</v>
      </c>
      <c r="AW451" s="24"/>
      <c r="AX451" s="28"/>
      <c r="AY451" s="28" t="s">
        <v>230</v>
      </c>
      <c r="AZ451" s="132" t="s">
        <v>62</v>
      </c>
      <c r="BA451" s="132"/>
      <c r="BB451" s="24"/>
      <c r="BC451" s="135" t="s">
        <v>2006</v>
      </c>
      <c r="BD451" s="24">
        <v>43458</v>
      </c>
      <c r="BE451" s="135" t="s">
        <v>2003</v>
      </c>
      <c r="BF451" s="135" t="s">
        <v>2003</v>
      </c>
      <c r="BG451" s="135" t="s">
        <v>52</v>
      </c>
      <c r="BH451" s="135"/>
      <c r="BI451" s="314"/>
      <c r="BJ451" s="314"/>
      <c r="BK451" s="24"/>
      <c r="BL451" s="24"/>
      <c r="BM451" s="24"/>
      <c r="BN451" s="24"/>
      <c r="BO451" s="24"/>
      <c r="BP451" s="24"/>
      <c r="BQ451" s="24"/>
      <c r="BR451" s="43"/>
      <c r="BS451" s="24"/>
      <c r="BT451" s="24"/>
      <c r="BU451" s="24"/>
      <c r="BV451" s="132" t="e">
        <f>IF(#REF!="COMPLETO","OK","PENDIENTES")</f>
        <v>#REF!</v>
      </c>
      <c r="BW451" s="132"/>
      <c r="BX451" s="132"/>
      <c r="BY451" s="132"/>
      <c r="BZ451" s="132"/>
      <c r="CA451" s="132"/>
      <c r="CB451" s="132"/>
      <c r="CC451" s="22"/>
      <c r="CG451" s="24" t="s">
        <v>105</v>
      </c>
      <c r="CH451" s="24"/>
      <c r="CI451" s="24"/>
      <c r="CJ451" s="24"/>
    </row>
    <row r="452" spans="1:88" ht="15" customHeight="1">
      <c r="A452" s="18">
        <v>2018</v>
      </c>
      <c r="B452" s="18" t="str">
        <f>+INDEX(BDD!F:F,MATCH(P452,BDD!D:D,0))&amp;"-"&amp;INDEX(BDD!E:E,MATCH(P452,BDD!D:D,0))</f>
        <v>G-S</v>
      </c>
      <c r="C452" s="125" t="s">
        <v>484</v>
      </c>
      <c r="D452" s="150" t="s">
        <v>77</v>
      </c>
      <c r="E452" s="132"/>
      <c r="F452" s="24"/>
      <c r="G452" s="346">
        <v>8000000339</v>
      </c>
      <c r="H452" s="125" t="s">
        <v>2007</v>
      </c>
      <c r="I452" s="329"/>
      <c r="J452" s="346">
        <v>8000000339</v>
      </c>
      <c r="K452" s="24"/>
      <c r="L452" s="24"/>
      <c r="M452" s="24"/>
      <c r="N452" s="340" t="s">
        <v>486</v>
      </c>
      <c r="O452" s="334">
        <v>203616</v>
      </c>
      <c r="P452" s="186" t="s">
        <v>331</v>
      </c>
      <c r="Q452" s="127" t="s">
        <v>163</v>
      </c>
      <c r="R452" s="128" t="s">
        <v>1622</v>
      </c>
      <c r="S452" s="89">
        <v>43427</v>
      </c>
      <c r="T452" s="36" t="s">
        <v>19</v>
      </c>
      <c r="U452" s="125"/>
      <c r="V452" s="147" t="s">
        <v>2008</v>
      </c>
      <c r="W452" s="129"/>
      <c r="X452" s="88">
        <v>43480</v>
      </c>
      <c r="Y452" s="130" t="s">
        <v>20</v>
      </c>
      <c r="Z452" s="133" t="s">
        <v>60</v>
      </c>
      <c r="AA452" s="133"/>
      <c r="AB452" s="158">
        <v>2300</v>
      </c>
      <c r="AC452" s="134">
        <v>157</v>
      </c>
      <c r="AD452" s="134"/>
      <c r="AE452" s="403">
        <f t="shared" si="23"/>
        <v>361100</v>
      </c>
      <c r="AF452" s="132" t="str">
        <f>IF(W452=BDD!$P$1,IMPORTS!AB452/25,IF(W452=BDD!$P$2,IMPORTS!AB452/25,IF(IMPORTS!W452=BDD!$P$4,IMPORTS!AB452/25.5,"--")))</f>
        <v>--</v>
      </c>
      <c r="AG452" s="130" t="s">
        <v>46</v>
      </c>
      <c r="AH452" s="130"/>
      <c r="AI452" s="130" t="s">
        <v>100</v>
      </c>
      <c r="AJ452" s="130"/>
      <c r="AK452" s="130"/>
      <c r="AL452" s="135" t="s">
        <v>921</v>
      </c>
      <c r="AM452" s="314"/>
      <c r="AN452" s="26"/>
      <c r="AO452" s="26"/>
      <c r="AP452" s="26"/>
      <c r="AQ452" s="26">
        <v>43500</v>
      </c>
      <c r="AR452" s="24"/>
      <c r="AS452" s="24"/>
      <c r="AT452" s="24">
        <v>43501</v>
      </c>
      <c r="AU452" s="418">
        <f t="shared" si="24"/>
        <v>2</v>
      </c>
      <c r="AV452" s="418">
        <f t="shared" si="25"/>
        <v>2019</v>
      </c>
      <c r="AW452" s="24"/>
      <c r="AX452" s="28"/>
      <c r="AY452" s="28" t="s">
        <v>230</v>
      </c>
      <c r="AZ452" s="132" t="s">
        <v>9</v>
      </c>
      <c r="BA452" s="132"/>
      <c r="BB452" s="24"/>
      <c r="BC452" s="135" t="s">
        <v>2009</v>
      </c>
      <c r="BD452" s="24">
        <v>43455</v>
      </c>
      <c r="BE452" s="135" t="s">
        <v>2003</v>
      </c>
      <c r="BF452" s="135" t="s">
        <v>2003</v>
      </c>
      <c r="BG452" s="135" t="s">
        <v>52</v>
      </c>
      <c r="BH452" s="135"/>
      <c r="BI452" s="314"/>
      <c r="BJ452" s="314"/>
      <c r="BK452" s="24"/>
      <c r="BL452" s="24"/>
      <c r="BM452" s="24"/>
      <c r="BN452" s="24"/>
      <c r="BO452" s="24"/>
      <c r="BP452" s="24"/>
      <c r="BQ452" s="24"/>
      <c r="BR452" s="43"/>
      <c r="BS452" s="24"/>
      <c r="BT452" s="24"/>
      <c r="BU452" s="24"/>
      <c r="BV452" s="132" t="e">
        <f>IF(#REF!="COMPLETO","OK","PENDIENTES")</f>
        <v>#REF!</v>
      </c>
      <c r="BW452" s="132"/>
      <c r="BX452" s="132"/>
      <c r="BY452" s="132"/>
      <c r="BZ452" s="132"/>
      <c r="CA452" s="132"/>
      <c r="CB452" s="132"/>
      <c r="CC452" s="22"/>
      <c r="CG452" s="24" t="s">
        <v>105</v>
      </c>
      <c r="CH452" s="24"/>
      <c r="CI452" s="24"/>
      <c r="CJ452" s="24"/>
    </row>
    <row r="453" spans="1:88" ht="15" customHeight="1">
      <c r="A453" s="18">
        <v>2018</v>
      </c>
      <c r="B453" s="18" t="str">
        <f>+INDEX(BDD!F:F,MATCH(P453,BDD!D:D,0))&amp;"-"&amp;INDEX(BDD!E:E,MATCH(P453,BDD!D:D,0))</f>
        <v>G-S</v>
      </c>
      <c r="C453" s="125" t="s">
        <v>484</v>
      </c>
      <c r="D453" s="150" t="s">
        <v>77</v>
      </c>
      <c r="E453" s="132"/>
      <c r="F453" s="24"/>
      <c r="G453" s="346">
        <v>8000000340</v>
      </c>
      <c r="H453" s="125" t="s">
        <v>2010</v>
      </c>
      <c r="I453" s="329"/>
      <c r="J453" s="346">
        <v>8000000340</v>
      </c>
      <c r="K453" s="24"/>
      <c r="L453" s="24"/>
      <c r="M453" s="24"/>
      <c r="N453" s="340" t="s">
        <v>486</v>
      </c>
      <c r="O453" s="334">
        <v>203616</v>
      </c>
      <c r="P453" s="186" t="s">
        <v>331</v>
      </c>
      <c r="Q453" s="127" t="s">
        <v>163</v>
      </c>
      <c r="R453" s="128" t="s">
        <v>1622</v>
      </c>
      <c r="S453" s="89">
        <v>43427</v>
      </c>
      <c r="T453" s="36" t="s">
        <v>19</v>
      </c>
      <c r="U453" s="125"/>
      <c r="V453" s="147" t="s">
        <v>2011</v>
      </c>
      <c r="W453" s="129"/>
      <c r="X453" s="88">
        <v>43480</v>
      </c>
      <c r="Y453" s="130" t="s">
        <v>20</v>
      </c>
      <c r="Z453" s="133" t="s">
        <v>60</v>
      </c>
      <c r="AA453" s="133"/>
      <c r="AB453" s="158">
        <v>700</v>
      </c>
      <c r="AC453" s="134">
        <v>157</v>
      </c>
      <c r="AD453" s="134"/>
      <c r="AE453" s="403">
        <f t="shared" si="23"/>
        <v>109900</v>
      </c>
      <c r="AF453" s="132" t="str">
        <f>IF(W453=BDD!$P$1,IMPORTS!AB453/25,IF(W453=BDD!$P$2,IMPORTS!AB453/25,IF(IMPORTS!W453=BDD!$P$4,IMPORTS!AB453/25.5,"--")))</f>
        <v>--</v>
      </c>
      <c r="AG453" s="130" t="s">
        <v>46</v>
      </c>
      <c r="AH453" s="130"/>
      <c r="AI453" s="130" t="s">
        <v>100</v>
      </c>
      <c r="AJ453" s="130"/>
      <c r="AK453" s="130"/>
      <c r="AL453" s="135" t="s">
        <v>921</v>
      </c>
      <c r="AM453" s="314"/>
      <c r="AN453" s="26"/>
      <c r="AO453" s="26"/>
      <c r="AP453" s="26"/>
      <c r="AQ453" s="26">
        <v>43503</v>
      </c>
      <c r="AR453" s="24"/>
      <c r="AS453" s="24"/>
      <c r="AT453" s="24">
        <v>43505</v>
      </c>
      <c r="AU453" s="418">
        <f t="shared" si="24"/>
        <v>2</v>
      </c>
      <c r="AV453" s="418">
        <f t="shared" si="25"/>
        <v>2019</v>
      </c>
      <c r="AW453" s="24"/>
      <c r="AX453" s="28"/>
      <c r="AY453" s="28" t="s">
        <v>230</v>
      </c>
      <c r="AZ453" s="132" t="s">
        <v>25</v>
      </c>
      <c r="BA453" s="132"/>
      <c r="BB453" s="24"/>
      <c r="BC453" s="135" t="s">
        <v>2012</v>
      </c>
      <c r="BD453" s="24">
        <v>43455</v>
      </c>
      <c r="BE453" s="135" t="s">
        <v>2003</v>
      </c>
      <c r="BF453" s="135" t="s">
        <v>2003</v>
      </c>
      <c r="BG453" s="135" t="s">
        <v>52</v>
      </c>
      <c r="BH453" s="135"/>
      <c r="BI453" s="314"/>
      <c r="BJ453" s="314"/>
      <c r="BK453" s="24"/>
      <c r="BL453" s="24"/>
      <c r="BM453" s="24"/>
      <c r="BN453" s="24"/>
      <c r="BO453" s="24"/>
      <c r="BP453" s="24"/>
      <c r="BQ453" s="24"/>
      <c r="BR453" s="43"/>
      <c r="BS453" s="24"/>
      <c r="BT453" s="24"/>
      <c r="BU453" s="24"/>
      <c r="BV453" s="132" t="e">
        <f>IF(#REF!="COMPLETO","OK","PENDIENTES")</f>
        <v>#REF!</v>
      </c>
      <c r="BW453" s="132"/>
      <c r="BX453" s="132"/>
      <c r="BY453" s="132"/>
      <c r="BZ453" s="132"/>
      <c r="CA453" s="132"/>
      <c r="CB453" s="132"/>
      <c r="CC453" s="22"/>
      <c r="CG453" s="24" t="s">
        <v>105</v>
      </c>
      <c r="CH453" s="24"/>
      <c r="CI453" s="24"/>
      <c r="CJ453" s="24"/>
    </row>
    <row r="454" spans="1:88" ht="15" customHeight="1">
      <c r="A454" s="18">
        <v>2018</v>
      </c>
      <c r="B454" s="18" t="str">
        <f>+INDEX(BDD!F:F,MATCH(P454,BDD!D:D,0))&amp;"-"&amp;INDEX(BDD!E:E,MATCH(P454,BDD!D:D,0))</f>
        <v>G-S</v>
      </c>
      <c r="C454" s="125" t="s">
        <v>484</v>
      </c>
      <c r="D454" s="150" t="s">
        <v>77</v>
      </c>
      <c r="E454" s="132"/>
      <c r="F454" s="24"/>
      <c r="G454" s="346">
        <v>8000000341</v>
      </c>
      <c r="H454" s="125" t="s">
        <v>2013</v>
      </c>
      <c r="I454" s="329"/>
      <c r="J454" s="346">
        <v>8000000341</v>
      </c>
      <c r="K454" s="24"/>
      <c r="L454" s="24"/>
      <c r="M454" s="24"/>
      <c r="N454" s="340" t="s">
        <v>486</v>
      </c>
      <c r="O454" s="334">
        <v>203616</v>
      </c>
      <c r="P454" s="186" t="s">
        <v>331</v>
      </c>
      <c r="Q454" s="127" t="s">
        <v>163</v>
      </c>
      <c r="R454" s="128" t="s">
        <v>1622</v>
      </c>
      <c r="S454" s="89">
        <v>43427</v>
      </c>
      <c r="T454" s="36" t="s">
        <v>19</v>
      </c>
      <c r="U454" s="125"/>
      <c r="V454" s="147" t="s">
        <v>2014</v>
      </c>
      <c r="W454" s="129"/>
      <c r="X454" s="88">
        <v>43480</v>
      </c>
      <c r="Y454" s="130" t="s">
        <v>20</v>
      </c>
      <c r="Z454" s="133" t="s">
        <v>60</v>
      </c>
      <c r="AA454" s="133"/>
      <c r="AB454" s="158">
        <v>500</v>
      </c>
      <c r="AC454" s="134">
        <v>157</v>
      </c>
      <c r="AD454" s="134"/>
      <c r="AE454" s="403">
        <f t="shared" si="23"/>
        <v>78500</v>
      </c>
      <c r="AF454" s="132" t="str">
        <f>IF(W454=BDD!$P$1,IMPORTS!AB454/25,IF(W454=BDD!$P$2,IMPORTS!AB454/25,IF(IMPORTS!W454=BDD!$P$4,IMPORTS!AB454/25.5,"--")))</f>
        <v>--</v>
      </c>
      <c r="AG454" s="130" t="s">
        <v>46</v>
      </c>
      <c r="AH454" s="130"/>
      <c r="AI454" s="130" t="s">
        <v>100</v>
      </c>
      <c r="AJ454" s="130"/>
      <c r="AK454" s="130"/>
      <c r="AL454" s="135" t="s">
        <v>921</v>
      </c>
      <c r="AM454" s="314"/>
      <c r="AN454" s="26"/>
      <c r="AO454" s="26"/>
      <c r="AP454" s="26"/>
      <c r="AQ454" s="26">
        <v>43507</v>
      </c>
      <c r="AR454" s="24"/>
      <c r="AS454" s="24"/>
      <c r="AT454" s="24">
        <v>43508</v>
      </c>
      <c r="AU454" s="418">
        <f t="shared" si="24"/>
        <v>2</v>
      </c>
      <c r="AV454" s="418">
        <f t="shared" si="25"/>
        <v>2019</v>
      </c>
      <c r="AW454" s="24"/>
      <c r="AX454" s="28"/>
      <c r="AY454" s="28" t="s">
        <v>230</v>
      </c>
      <c r="AZ454" s="132" t="s">
        <v>37</v>
      </c>
      <c r="BA454" s="132"/>
      <c r="BB454" s="24"/>
      <c r="BC454" s="135" t="s">
        <v>2015</v>
      </c>
      <c r="BD454" s="24">
        <v>43455</v>
      </c>
      <c r="BE454" s="135" t="s">
        <v>2003</v>
      </c>
      <c r="BF454" s="135" t="s">
        <v>2003</v>
      </c>
      <c r="BG454" s="135" t="s">
        <v>52</v>
      </c>
      <c r="BH454" s="135"/>
      <c r="BI454" s="314"/>
      <c r="BJ454" s="314"/>
      <c r="BK454" s="24"/>
      <c r="BL454" s="24"/>
      <c r="BM454" s="24"/>
      <c r="BN454" s="24"/>
      <c r="BO454" s="24"/>
      <c r="BP454" s="24"/>
      <c r="BQ454" s="24"/>
      <c r="BR454" s="43"/>
      <c r="BS454" s="24"/>
      <c r="BT454" s="24"/>
      <c r="BU454" s="24"/>
      <c r="BV454" s="132" t="e">
        <f>IF(#REF!="COMPLETO","OK","PENDIENTES")</f>
        <v>#REF!</v>
      </c>
      <c r="BW454" s="132"/>
      <c r="BX454" s="132"/>
      <c r="BY454" s="132"/>
      <c r="BZ454" s="132"/>
      <c r="CA454" s="132"/>
      <c r="CB454" s="132"/>
      <c r="CC454" s="22"/>
      <c r="CG454" s="24" t="s">
        <v>105</v>
      </c>
      <c r="CH454" s="24"/>
      <c r="CI454" s="24"/>
      <c r="CJ454" s="24"/>
    </row>
    <row r="455" spans="1:88" ht="15" customHeight="1">
      <c r="A455" s="18">
        <v>2018</v>
      </c>
      <c r="B455" s="18" t="str">
        <f>+INDEX(BDD!F:F,MATCH(P455,BDD!D:D,0))&amp;"-"&amp;INDEX(BDD!E:E,MATCH(P455,BDD!D:D,0))</f>
        <v>S-C</v>
      </c>
      <c r="C455" s="125" t="s">
        <v>484</v>
      </c>
      <c r="D455" s="150" t="s">
        <v>77</v>
      </c>
      <c r="E455" s="132"/>
      <c r="F455" s="24"/>
      <c r="G455" s="346">
        <v>8000000381</v>
      </c>
      <c r="H455" s="125" t="s">
        <v>2016</v>
      </c>
      <c r="I455" s="329"/>
      <c r="J455" s="346">
        <v>8000000381</v>
      </c>
      <c r="K455" s="24"/>
      <c r="L455" s="24"/>
      <c r="M455" s="24"/>
      <c r="N455" s="340" t="s">
        <v>486</v>
      </c>
      <c r="O455" s="334">
        <v>207580</v>
      </c>
      <c r="P455" s="25" t="s">
        <v>241</v>
      </c>
      <c r="Q455" s="127" t="s">
        <v>231</v>
      </c>
      <c r="R455" s="232" t="s">
        <v>2017</v>
      </c>
      <c r="S455" s="89">
        <v>43448</v>
      </c>
      <c r="T455" s="36">
        <v>150</v>
      </c>
      <c r="U455" s="125" t="s">
        <v>118</v>
      </c>
      <c r="V455" s="147" t="s">
        <v>2018</v>
      </c>
      <c r="W455" s="129"/>
      <c r="X455" s="88">
        <v>43679</v>
      </c>
      <c r="Y455" s="130" t="s">
        <v>20</v>
      </c>
      <c r="Z455" s="133" t="s">
        <v>60</v>
      </c>
      <c r="AA455" s="133"/>
      <c r="AB455" s="158">
        <v>297</v>
      </c>
      <c r="AC455" s="134">
        <v>776</v>
      </c>
      <c r="AD455" s="134"/>
      <c r="AE455" s="403">
        <f t="shared" si="23"/>
        <v>230472</v>
      </c>
      <c r="AF455" s="132">
        <v>11</v>
      </c>
      <c r="AG455" s="130" t="s">
        <v>5</v>
      </c>
      <c r="AH455" s="130"/>
      <c r="AI455" s="130" t="s">
        <v>34</v>
      </c>
      <c r="AJ455" s="130"/>
      <c r="AK455" s="130"/>
      <c r="AL455" s="135" t="s">
        <v>2019</v>
      </c>
      <c r="AM455" s="314"/>
      <c r="AN455" s="26"/>
      <c r="AO455" s="26"/>
      <c r="AP455" s="26"/>
      <c r="AQ455" s="26">
        <v>43534</v>
      </c>
      <c r="AR455" s="24"/>
      <c r="AS455" s="24"/>
      <c r="AT455" s="24">
        <v>43536</v>
      </c>
      <c r="AU455" s="418">
        <f t="shared" si="24"/>
        <v>3</v>
      </c>
      <c r="AV455" s="418">
        <f t="shared" si="25"/>
        <v>2019</v>
      </c>
      <c r="AW455" s="24"/>
      <c r="AX455" s="28"/>
      <c r="AY455" s="28" t="s">
        <v>181</v>
      </c>
      <c r="AZ455" s="132" t="s">
        <v>37</v>
      </c>
      <c r="BA455" s="132"/>
      <c r="BB455" s="41"/>
      <c r="BC455" s="135" t="s">
        <v>2020</v>
      </c>
      <c r="BD455" s="26">
        <v>43527</v>
      </c>
      <c r="BE455" s="135" t="s">
        <v>2021</v>
      </c>
      <c r="BF455" s="135" t="s">
        <v>2022</v>
      </c>
      <c r="BG455" s="135" t="s">
        <v>53</v>
      </c>
      <c r="BH455" s="135"/>
      <c r="BI455" s="314"/>
      <c r="BJ455" s="314"/>
      <c r="BK455" s="24"/>
      <c r="BL455" s="24"/>
      <c r="BM455" s="24"/>
      <c r="BN455" s="24"/>
      <c r="BO455" s="24">
        <f>+AQ455+15</f>
        <v>43549</v>
      </c>
      <c r="BP455" s="24"/>
      <c r="BQ455" s="24"/>
      <c r="BR455" s="43"/>
      <c r="BS455" s="24"/>
      <c r="BT455" s="24"/>
      <c r="BU455" s="24"/>
      <c r="BV455" s="132" t="e">
        <f>IF(#REF!="COMPLETO","OK","PENDIENTES")</f>
        <v>#REF!</v>
      </c>
      <c r="BW455" s="132"/>
      <c r="BX455" s="132"/>
      <c r="BY455" s="132"/>
      <c r="BZ455" s="132"/>
      <c r="CA455" s="132"/>
      <c r="CB455" s="132"/>
      <c r="CC455" s="22"/>
      <c r="CG455" s="24" t="s">
        <v>105</v>
      </c>
      <c r="CH455" s="24"/>
      <c r="CI455" s="24"/>
      <c r="CJ455" s="24"/>
    </row>
    <row r="456" spans="1:88" ht="15.75" customHeight="1">
      <c r="A456" s="18">
        <v>2018</v>
      </c>
      <c r="B456" s="18" t="str">
        <f>+INDEX(BDD!F:F,MATCH(P456,BDD!D:D,0))&amp;"-"&amp;INDEX(BDD!E:E,MATCH(P456,BDD!D:D,0))</f>
        <v>S-C</v>
      </c>
      <c r="C456" s="125" t="s">
        <v>484</v>
      </c>
      <c r="D456" s="150" t="s">
        <v>77</v>
      </c>
      <c r="E456" s="132"/>
      <c r="F456" s="24"/>
      <c r="G456" s="346">
        <v>8000000383</v>
      </c>
      <c r="H456" s="125" t="s">
        <v>2023</v>
      </c>
      <c r="I456" s="329"/>
      <c r="J456" s="346">
        <v>8000000383</v>
      </c>
      <c r="K456" s="24"/>
      <c r="L456" s="24"/>
      <c r="M456" s="24"/>
      <c r="N456" s="340" t="s">
        <v>486</v>
      </c>
      <c r="O456" s="334">
        <v>207580</v>
      </c>
      <c r="P456" s="25" t="s">
        <v>241</v>
      </c>
      <c r="Q456" s="127" t="s">
        <v>231</v>
      </c>
      <c r="R456" s="232" t="s">
        <v>2017</v>
      </c>
      <c r="S456" s="89">
        <v>43448</v>
      </c>
      <c r="T456" s="36">
        <v>150</v>
      </c>
      <c r="U456" s="125" t="s">
        <v>118</v>
      </c>
      <c r="V456" s="147" t="s">
        <v>2024</v>
      </c>
      <c r="W456" s="129"/>
      <c r="X456" s="88">
        <v>43689</v>
      </c>
      <c r="Y456" s="130" t="s">
        <v>20</v>
      </c>
      <c r="Z456" s="133" t="s">
        <v>60</v>
      </c>
      <c r="AA456" s="133"/>
      <c r="AB456" s="158">
        <v>216</v>
      </c>
      <c r="AC456" s="134">
        <v>776</v>
      </c>
      <c r="AD456" s="134"/>
      <c r="AE456" s="403">
        <f t="shared" si="23"/>
        <v>167616</v>
      </c>
      <c r="AF456" s="132">
        <v>8</v>
      </c>
      <c r="AG456" s="130" t="s">
        <v>21</v>
      </c>
      <c r="AH456" s="130"/>
      <c r="AI456" s="130" t="s">
        <v>34</v>
      </c>
      <c r="AJ456" s="130"/>
      <c r="AK456" s="130"/>
      <c r="AL456" s="135" t="s">
        <v>2019</v>
      </c>
      <c r="AM456" s="314"/>
      <c r="AN456" s="26"/>
      <c r="AO456" s="26"/>
      <c r="AP456" s="26"/>
      <c r="AQ456" s="26">
        <v>43548</v>
      </c>
      <c r="AR456" s="24"/>
      <c r="AS456" s="24"/>
      <c r="AT456" s="24">
        <v>43550</v>
      </c>
      <c r="AU456" s="418">
        <f t="shared" si="24"/>
        <v>3</v>
      </c>
      <c r="AV456" s="418">
        <f t="shared" si="25"/>
        <v>2019</v>
      </c>
      <c r="AW456" s="24"/>
      <c r="AX456" s="28"/>
      <c r="AY456" s="28" t="s">
        <v>181</v>
      </c>
      <c r="AZ456" s="132" t="s">
        <v>37</v>
      </c>
      <c r="BA456" s="132"/>
      <c r="BB456" s="41"/>
      <c r="BC456" s="132" t="s">
        <v>2025</v>
      </c>
      <c r="BD456" s="26">
        <v>43541</v>
      </c>
      <c r="BE456" s="135" t="s">
        <v>2026</v>
      </c>
      <c r="BF456" s="135" t="s">
        <v>2027</v>
      </c>
      <c r="BG456" s="135" t="s">
        <v>53</v>
      </c>
      <c r="BH456" s="135"/>
      <c r="BI456" s="314"/>
      <c r="BJ456" s="314"/>
      <c r="BK456" s="24"/>
      <c r="BL456" s="24"/>
      <c r="BM456" s="24"/>
      <c r="BN456" s="24"/>
      <c r="BO456" s="24">
        <f>+AQ456+15</f>
        <v>43563</v>
      </c>
      <c r="BP456" s="24"/>
      <c r="BQ456" s="24"/>
      <c r="BR456" s="43"/>
      <c r="BS456" s="24"/>
      <c r="BT456" s="24"/>
      <c r="BU456" s="24"/>
      <c r="BV456" s="132" t="e">
        <f>IF(#REF!="COMPLETO","OK","PENDIENTES")</f>
        <v>#REF!</v>
      </c>
      <c r="BW456" s="132"/>
      <c r="BX456" s="132"/>
      <c r="BY456" s="132"/>
      <c r="BZ456" s="132"/>
      <c r="CA456" s="132"/>
      <c r="CB456" s="132"/>
      <c r="CC456" s="22"/>
      <c r="CG456" s="24" t="s">
        <v>105</v>
      </c>
      <c r="CH456" s="24"/>
      <c r="CI456" s="24"/>
      <c r="CJ456" s="24"/>
    </row>
    <row r="457" spans="1:88" ht="15" customHeight="1">
      <c r="A457" s="18">
        <v>2018</v>
      </c>
      <c r="B457" s="18" t="str">
        <f>+INDEX(BDD!F:F,MATCH(P457,BDD!D:D,0))&amp;"-"&amp;INDEX(BDD!E:E,MATCH(P457,BDD!D:D,0))</f>
        <v>S-C</v>
      </c>
      <c r="C457" s="125" t="s">
        <v>484</v>
      </c>
      <c r="D457" s="150" t="s">
        <v>77</v>
      </c>
      <c r="E457" s="132"/>
      <c r="F457" s="24"/>
      <c r="G457" s="346">
        <v>8000000382</v>
      </c>
      <c r="H457" s="125" t="s">
        <v>2028</v>
      </c>
      <c r="I457" s="329"/>
      <c r="J457" s="346">
        <v>8000000382</v>
      </c>
      <c r="K457" s="24"/>
      <c r="L457" s="24"/>
      <c r="M457" s="24"/>
      <c r="N457" s="340" t="s">
        <v>486</v>
      </c>
      <c r="O457" s="334">
        <v>207580</v>
      </c>
      <c r="P457" s="25" t="s">
        <v>241</v>
      </c>
      <c r="Q457" s="127" t="s">
        <v>231</v>
      </c>
      <c r="R457" s="232" t="s">
        <v>2029</v>
      </c>
      <c r="S457" s="89">
        <v>43448</v>
      </c>
      <c r="T457" s="36">
        <v>150</v>
      </c>
      <c r="U457" s="125" t="s">
        <v>118</v>
      </c>
      <c r="V457" s="147" t="s">
        <v>2029</v>
      </c>
      <c r="W457" s="129"/>
      <c r="X457" s="88">
        <f>IF(RIGHT(U457,3)="ETA",AQ457+T457,IF(RIGHT(U457,2)="BL",BD457+T457," "))</f>
        <v>43669</v>
      </c>
      <c r="Y457" s="130" t="s">
        <v>20</v>
      </c>
      <c r="Z457" s="133" t="s">
        <v>60</v>
      </c>
      <c r="AA457" s="133"/>
      <c r="AB457" s="158">
        <v>513</v>
      </c>
      <c r="AC457" s="134">
        <v>786</v>
      </c>
      <c r="AD457" s="134"/>
      <c r="AE457" s="403">
        <f t="shared" si="23"/>
        <v>403218</v>
      </c>
      <c r="AF457" s="132">
        <v>19</v>
      </c>
      <c r="AG457" s="130" t="s">
        <v>5</v>
      </c>
      <c r="AH457" s="130"/>
      <c r="AI457" s="130" t="s">
        <v>34</v>
      </c>
      <c r="AJ457" s="130"/>
      <c r="AK457" s="130"/>
      <c r="AL457" s="135" t="s">
        <v>2030</v>
      </c>
      <c r="AM457" s="314"/>
      <c r="AN457" s="26"/>
      <c r="AO457" s="26"/>
      <c r="AP457" s="26"/>
      <c r="AQ457" s="26">
        <v>43542</v>
      </c>
      <c r="AR457" s="24"/>
      <c r="AS457" s="24"/>
      <c r="AT457" s="24">
        <v>43543</v>
      </c>
      <c r="AU457" s="418">
        <f t="shared" si="24"/>
        <v>3</v>
      </c>
      <c r="AV457" s="418">
        <f t="shared" si="25"/>
        <v>2019</v>
      </c>
      <c r="AW457" s="24"/>
      <c r="AX457" s="28"/>
      <c r="AY457" s="28" t="s">
        <v>181</v>
      </c>
      <c r="AZ457" s="132" t="s">
        <v>9</v>
      </c>
      <c r="BA457" s="132"/>
      <c r="BB457" s="24"/>
      <c r="BC457" s="135" t="s">
        <v>2031</v>
      </c>
      <c r="BD457" s="24">
        <v>43519</v>
      </c>
      <c r="BE457" s="135" t="s">
        <v>1714</v>
      </c>
      <c r="BF457" s="135" t="s">
        <v>932</v>
      </c>
      <c r="BG457" s="135" t="s">
        <v>29</v>
      </c>
      <c r="BH457" s="135"/>
      <c r="BI457" s="314"/>
      <c r="BJ457" s="314"/>
      <c r="BK457" s="24"/>
      <c r="BL457" s="24"/>
      <c r="BM457" s="24"/>
      <c r="BN457" s="24"/>
      <c r="BO457" s="24">
        <v>43552</v>
      </c>
      <c r="BP457" s="24"/>
      <c r="BQ457" s="24"/>
      <c r="BR457" s="43"/>
      <c r="BS457" s="24"/>
      <c r="BT457" s="24"/>
      <c r="BU457" s="24"/>
      <c r="BV457" s="132" t="e">
        <f>IF(#REF!="COMPLETO","OK","PENDIENTES")</f>
        <v>#REF!</v>
      </c>
      <c r="BW457" s="132"/>
      <c r="BX457" s="132"/>
      <c r="BY457" s="132"/>
      <c r="BZ457" s="132"/>
      <c r="CA457" s="132"/>
      <c r="CB457" s="132"/>
      <c r="CC457" s="22"/>
      <c r="CG457" s="24" t="s">
        <v>105</v>
      </c>
      <c r="CH457" s="24"/>
      <c r="CI457" s="24"/>
      <c r="CJ457" s="24"/>
    </row>
    <row r="458" spans="1:88" ht="15" customHeight="1">
      <c r="A458" s="18">
        <v>2018</v>
      </c>
      <c r="B458" s="18" t="str">
        <f>+INDEX(BDD!F:F,MATCH(P458,BDD!D:D,0))&amp;"-"&amp;INDEX(BDD!E:E,MATCH(P458,BDD!D:D,0))</f>
        <v>G-S</v>
      </c>
      <c r="C458" s="125" t="s">
        <v>484</v>
      </c>
      <c r="D458" s="150" t="s">
        <v>77</v>
      </c>
      <c r="E458" s="132"/>
      <c r="F458" s="24"/>
      <c r="G458" s="346">
        <v>8000000287</v>
      </c>
      <c r="H458" s="125" t="s">
        <v>2032</v>
      </c>
      <c r="I458" s="329"/>
      <c r="J458" s="346">
        <v>8000000287</v>
      </c>
      <c r="K458" s="24"/>
      <c r="L458" s="24"/>
      <c r="M458" s="24"/>
      <c r="N458" s="340" t="s">
        <v>486</v>
      </c>
      <c r="O458" s="334">
        <v>209979</v>
      </c>
      <c r="P458" s="25" t="s">
        <v>339</v>
      </c>
      <c r="Q458" s="127" t="s">
        <v>207</v>
      </c>
      <c r="R458" s="232" t="s">
        <v>2033</v>
      </c>
      <c r="S458" s="89">
        <v>43454</v>
      </c>
      <c r="T458" s="36">
        <v>90</v>
      </c>
      <c r="U458" s="125" t="s">
        <v>118</v>
      </c>
      <c r="V458" s="147" t="s">
        <v>2034</v>
      </c>
      <c r="W458" s="129"/>
      <c r="X458" s="88">
        <f>IF(RIGHT(U458,3)="ETA",AQ458+T458,IF(RIGHT(U458,2)="BL",BD458+T458," "))</f>
        <v>43579</v>
      </c>
      <c r="Y458" s="130" t="s">
        <v>20</v>
      </c>
      <c r="Z458" s="133" t="s">
        <v>60</v>
      </c>
      <c r="AA458" s="133"/>
      <c r="AB458" s="158">
        <v>195.964</v>
      </c>
      <c r="AC458" s="134">
        <v>550</v>
      </c>
      <c r="AD458" s="134"/>
      <c r="AE458" s="403">
        <f t="shared" si="23"/>
        <v>107780.2</v>
      </c>
      <c r="AF458" s="132">
        <v>7</v>
      </c>
      <c r="AG458" s="130" t="s">
        <v>5</v>
      </c>
      <c r="AH458" s="130"/>
      <c r="AI458" s="130" t="s">
        <v>100</v>
      </c>
      <c r="AJ458" s="130"/>
      <c r="AK458" s="130"/>
      <c r="AL458" s="232" t="s">
        <v>2035</v>
      </c>
      <c r="AM458" s="314"/>
      <c r="AN458" s="26"/>
      <c r="AO458" s="26"/>
      <c r="AP458" s="26"/>
      <c r="AQ458" s="26">
        <v>43511</v>
      </c>
      <c r="AR458" s="24"/>
      <c r="AS458" s="24"/>
      <c r="AT458" s="24">
        <v>43515</v>
      </c>
      <c r="AU458" s="418">
        <f t="shared" si="24"/>
        <v>2</v>
      </c>
      <c r="AV458" s="418">
        <f t="shared" si="25"/>
        <v>2019</v>
      </c>
      <c r="AW458" s="24"/>
      <c r="AX458" s="28"/>
      <c r="AY458" s="28" t="s">
        <v>162</v>
      </c>
      <c r="AZ458" s="132" t="s">
        <v>37</v>
      </c>
      <c r="BA458" s="132"/>
      <c r="BB458" s="24"/>
      <c r="BC458" s="135" t="s">
        <v>2036</v>
      </c>
      <c r="BD458" s="24">
        <v>43489</v>
      </c>
      <c r="BE458" s="135" t="s">
        <v>804</v>
      </c>
      <c r="BF458" s="135" t="s">
        <v>804</v>
      </c>
      <c r="BG458" s="135" t="s">
        <v>64</v>
      </c>
      <c r="BH458" s="135"/>
      <c r="BI458" s="314"/>
      <c r="BJ458" s="314"/>
      <c r="BK458" s="24"/>
      <c r="BL458" s="24"/>
      <c r="BM458" s="24"/>
      <c r="BN458" s="24"/>
      <c r="BO458" s="24"/>
      <c r="BP458" s="24"/>
      <c r="BQ458" s="24"/>
      <c r="BR458" s="43"/>
      <c r="BS458" s="24"/>
      <c r="BT458" s="24"/>
      <c r="BU458" s="24"/>
      <c r="BV458" s="132" t="e">
        <f>IF(#REF!="COMPLETO","OK","PENDIENTES")</f>
        <v>#REF!</v>
      </c>
      <c r="BW458" s="132"/>
      <c r="BX458" s="132"/>
      <c r="BY458" s="132"/>
      <c r="BZ458" s="132"/>
      <c r="CA458" s="132"/>
      <c r="CB458" s="132"/>
      <c r="CC458" s="22"/>
      <c r="CG458" s="24" t="s">
        <v>105</v>
      </c>
      <c r="CH458" s="24"/>
      <c r="CI458" s="24"/>
      <c r="CJ458" s="24"/>
    </row>
    <row r="459" spans="1:88" ht="15" customHeight="1">
      <c r="A459" s="18">
        <v>2018</v>
      </c>
      <c r="B459" s="18" t="str">
        <f>+INDEX(BDD!F:F,MATCH(P459,BDD!D:D,0))&amp;"-"&amp;INDEX(BDD!E:E,MATCH(P459,BDD!D:D,0))</f>
        <v>S-P</v>
      </c>
      <c r="C459" s="125" t="s">
        <v>484</v>
      </c>
      <c r="D459" s="150" t="s">
        <v>77</v>
      </c>
      <c r="E459" s="132"/>
      <c r="F459" s="24"/>
      <c r="G459" s="346">
        <v>8000000373</v>
      </c>
      <c r="H459" s="125" t="s">
        <v>2037</v>
      </c>
      <c r="I459" s="329"/>
      <c r="J459" s="346">
        <v>8000000373</v>
      </c>
      <c r="K459" s="24"/>
      <c r="L459" s="24"/>
      <c r="M459" s="24"/>
      <c r="N459" s="340" t="s">
        <v>486</v>
      </c>
      <c r="O459" s="334">
        <v>208510</v>
      </c>
      <c r="P459" s="25" t="s">
        <v>2</v>
      </c>
      <c r="Q459" s="127" t="s">
        <v>237</v>
      </c>
      <c r="R459" s="232" t="s">
        <v>2038</v>
      </c>
      <c r="S459" s="89">
        <v>43451</v>
      </c>
      <c r="T459" s="36">
        <v>90</v>
      </c>
      <c r="U459" s="125" t="s">
        <v>118</v>
      </c>
      <c r="V459" s="147" t="s">
        <v>2039</v>
      </c>
      <c r="W459" s="129"/>
      <c r="X459" s="88">
        <v>43580</v>
      </c>
      <c r="Y459" s="130" t="s">
        <v>20</v>
      </c>
      <c r="Z459" s="133" t="s">
        <v>60</v>
      </c>
      <c r="AA459" s="133"/>
      <c r="AB459" s="158">
        <v>505.4</v>
      </c>
      <c r="AC459" s="134">
        <v>874</v>
      </c>
      <c r="AD459" s="134"/>
      <c r="AE459" s="403">
        <f t="shared" si="23"/>
        <v>441719.6</v>
      </c>
      <c r="AF459" s="132">
        <v>19</v>
      </c>
      <c r="AG459" s="130" t="s">
        <v>5</v>
      </c>
      <c r="AH459" s="130"/>
      <c r="AI459" s="130" t="s">
        <v>80</v>
      </c>
      <c r="AJ459" s="130"/>
      <c r="AK459" s="130"/>
      <c r="AL459" s="232" t="s">
        <v>2035</v>
      </c>
      <c r="AM459" s="314"/>
      <c r="AN459" s="26"/>
      <c r="AO459" s="26"/>
      <c r="AP459" s="26"/>
      <c r="AQ459" s="26">
        <v>43524</v>
      </c>
      <c r="AR459" s="24"/>
      <c r="AS459" s="24"/>
      <c r="AT459" s="26">
        <v>43528</v>
      </c>
      <c r="AU459" s="418">
        <f t="shared" si="24"/>
        <v>3</v>
      </c>
      <c r="AV459" s="418">
        <f t="shared" si="25"/>
        <v>2019</v>
      </c>
      <c r="AW459" s="26"/>
      <c r="AX459" s="28"/>
      <c r="AY459" s="28" t="s">
        <v>254</v>
      </c>
      <c r="AZ459" s="132" t="s">
        <v>37</v>
      </c>
      <c r="BA459" s="132"/>
      <c r="BB459" s="26"/>
      <c r="BC459" s="132" t="s">
        <v>2040</v>
      </c>
      <c r="BD459" s="24">
        <v>43483</v>
      </c>
      <c r="BE459" s="135" t="s">
        <v>1522</v>
      </c>
      <c r="BF459" s="135" t="s">
        <v>2041</v>
      </c>
      <c r="BG459" s="135" t="s">
        <v>29</v>
      </c>
      <c r="BH459" s="135"/>
      <c r="BI459" s="314"/>
      <c r="BJ459" s="314"/>
      <c r="BK459" s="24"/>
      <c r="BL459" s="24"/>
      <c r="BM459" s="24"/>
      <c r="BN459" s="24"/>
      <c r="BO459" s="24"/>
      <c r="BP459" s="24"/>
      <c r="BQ459" s="24"/>
      <c r="BR459" s="43"/>
      <c r="BS459" s="24"/>
      <c r="BT459" s="24"/>
      <c r="BU459" s="24"/>
      <c r="BV459" s="132" t="e">
        <f>IF(#REF!="COMPLETO","OK","PENDIENTES")</f>
        <v>#REF!</v>
      </c>
      <c r="BW459" s="132"/>
      <c r="BX459" s="132"/>
      <c r="BY459" s="132"/>
      <c r="BZ459" s="132"/>
      <c r="CA459" s="132"/>
      <c r="CB459" s="132"/>
      <c r="CC459" s="22"/>
      <c r="CG459" s="24" t="s">
        <v>105</v>
      </c>
      <c r="CH459" s="24"/>
      <c r="CI459" s="26"/>
      <c r="CJ459" s="26"/>
    </row>
    <row r="460" spans="1:88" ht="15" customHeight="1">
      <c r="A460" s="18">
        <v>2018</v>
      </c>
      <c r="B460" s="18" t="str">
        <f>+INDEX(BDD!F:F,MATCH(P460,BDD!D:D,0))&amp;"-"&amp;INDEX(BDD!E:E,MATCH(P460,BDD!D:D,0))</f>
        <v>S-P</v>
      </c>
      <c r="C460" s="125" t="s">
        <v>484</v>
      </c>
      <c r="D460" s="150" t="s">
        <v>77</v>
      </c>
      <c r="E460" s="132"/>
      <c r="F460" s="24"/>
      <c r="G460" s="346">
        <v>8000000374</v>
      </c>
      <c r="H460" s="125" t="s">
        <v>2042</v>
      </c>
      <c r="I460" s="329"/>
      <c r="J460" s="346">
        <v>8000000374</v>
      </c>
      <c r="K460" s="24"/>
      <c r="L460" s="24"/>
      <c r="M460" s="24"/>
      <c r="N460" s="340" t="s">
        <v>486</v>
      </c>
      <c r="O460" s="334">
        <v>208510</v>
      </c>
      <c r="P460" s="25" t="s">
        <v>2</v>
      </c>
      <c r="Q460" s="127" t="s">
        <v>237</v>
      </c>
      <c r="R460" s="232" t="s">
        <v>2043</v>
      </c>
      <c r="S460" s="89">
        <v>43451</v>
      </c>
      <c r="T460" s="36">
        <v>90</v>
      </c>
      <c r="U460" s="125" t="s">
        <v>118</v>
      </c>
      <c r="V460" s="147" t="s">
        <v>2044</v>
      </c>
      <c r="W460" s="129"/>
      <c r="X460" s="88">
        <v>43564</v>
      </c>
      <c r="Y460" s="130" t="s">
        <v>20</v>
      </c>
      <c r="Z460" s="133" t="s">
        <v>60</v>
      </c>
      <c r="AA460" s="133"/>
      <c r="AB460" s="158">
        <v>505.4</v>
      </c>
      <c r="AC460" s="134">
        <v>877</v>
      </c>
      <c r="AD460" s="134"/>
      <c r="AE460" s="403">
        <f t="shared" si="23"/>
        <v>443235.8</v>
      </c>
      <c r="AF460" s="132">
        <v>19</v>
      </c>
      <c r="AG460" s="130" t="s">
        <v>5</v>
      </c>
      <c r="AH460" s="130"/>
      <c r="AI460" s="130" t="s">
        <v>80</v>
      </c>
      <c r="AJ460" s="130"/>
      <c r="AK460" s="130"/>
      <c r="AL460" s="232" t="s">
        <v>2035</v>
      </c>
      <c r="AM460" s="314"/>
      <c r="AN460" s="26"/>
      <c r="AO460" s="26"/>
      <c r="AP460" s="26"/>
      <c r="AQ460" s="26">
        <v>43528</v>
      </c>
      <c r="AR460" s="24"/>
      <c r="AS460" s="24"/>
      <c r="AT460" s="24">
        <v>43530</v>
      </c>
      <c r="AU460" s="418">
        <f t="shared" si="24"/>
        <v>3</v>
      </c>
      <c r="AV460" s="418">
        <f t="shared" si="25"/>
        <v>2019</v>
      </c>
      <c r="AW460" s="24"/>
      <c r="AX460" s="28"/>
      <c r="AY460" s="28" t="s">
        <v>254</v>
      </c>
      <c r="AZ460" s="132" t="s">
        <v>9</v>
      </c>
      <c r="BA460" s="132"/>
      <c r="BB460" s="24"/>
      <c r="BC460" s="132" t="s">
        <v>2045</v>
      </c>
      <c r="BD460" s="24">
        <v>43472</v>
      </c>
      <c r="BE460" s="135" t="s">
        <v>861</v>
      </c>
      <c r="BF460" s="135" t="s">
        <v>932</v>
      </c>
      <c r="BG460" s="135" t="s">
        <v>29</v>
      </c>
      <c r="BH460" s="135"/>
      <c r="BI460" s="314"/>
      <c r="BJ460" s="314"/>
      <c r="BK460" s="24"/>
      <c r="BL460" s="24"/>
      <c r="BM460" s="24"/>
      <c r="BN460" s="24"/>
      <c r="BO460" s="24">
        <f>+AQ460+5</f>
        <v>43533</v>
      </c>
      <c r="BP460" s="24"/>
      <c r="BQ460" s="24"/>
      <c r="BR460" s="43"/>
      <c r="BS460" s="24"/>
      <c r="BT460" s="24"/>
      <c r="BU460" s="24"/>
      <c r="BV460" s="132" t="e">
        <f>IF(#REF!="COMPLETO","OK","PENDIENTES")</f>
        <v>#REF!</v>
      </c>
      <c r="BW460" s="132"/>
      <c r="BX460" s="132"/>
      <c r="BY460" s="132"/>
      <c r="BZ460" s="132"/>
      <c r="CA460" s="132"/>
      <c r="CB460" s="132"/>
      <c r="CC460" s="22"/>
      <c r="CG460" s="24" t="s">
        <v>105</v>
      </c>
      <c r="CH460" s="24"/>
      <c r="CI460" s="24"/>
      <c r="CJ460" s="24"/>
    </row>
    <row r="461" spans="1:88" ht="15" customHeight="1">
      <c r="A461" s="18">
        <v>2018</v>
      </c>
      <c r="B461" s="18" t="str">
        <f>+INDEX(BDD!F:F,MATCH(P461,BDD!D:D,0))&amp;"-"&amp;INDEX(BDD!E:E,MATCH(P461,BDD!D:D,0))</f>
        <v>S-P</v>
      </c>
      <c r="C461" s="125" t="s">
        <v>484</v>
      </c>
      <c r="D461" s="150" t="s">
        <v>77</v>
      </c>
      <c r="E461" s="132"/>
      <c r="F461" s="24"/>
      <c r="G461" s="346">
        <v>8000000375</v>
      </c>
      <c r="H461" s="125" t="s">
        <v>2046</v>
      </c>
      <c r="I461" s="329"/>
      <c r="J461" s="346">
        <v>8000000375</v>
      </c>
      <c r="K461" s="24"/>
      <c r="L461" s="24"/>
      <c r="M461" s="24"/>
      <c r="N461" s="340" t="s">
        <v>486</v>
      </c>
      <c r="O461" s="334">
        <v>208510</v>
      </c>
      <c r="P461" s="25" t="s">
        <v>2</v>
      </c>
      <c r="Q461" s="127" t="s">
        <v>237</v>
      </c>
      <c r="R461" s="232" t="s">
        <v>2047</v>
      </c>
      <c r="S461" s="89">
        <v>43451</v>
      </c>
      <c r="T461" s="36">
        <v>90</v>
      </c>
      <c r="U461" s="125" t="s">
        <v>118</v>
      </c>
      <c r="V461" s="147" t="s">
        <v>2048</v>
      </c>
      <c r="W461" s="129"/>
      <c r="X461" s="88">
        <f>IF(RIGHT(U461,3)="ETA",AQ461+T461,IF(RIGHT(U461,2)="BL",BD461+T461," "))</f>
        <v>43556</v>
      </c>
      <c r="Y461" s="130" t="s">
        <v>20</v>
      </c>
      <c r="Z461" s="133" t="s">
        <v>60</v>
      </c>
      <c r="AA461" s="133"/>
      <c r="AB461" s="148">
        <v>159.6</v>
      </c>
      <c r="AC461" s="134">
        <v>921</v>
      </c>
      <c r="AD461" s="134"/>
      <c r="AE461" s="403">
        <f t="shared" si="23"/>
        <v>146991.6</v>
      </c>
      <c r="AF461" s="132">
        <v>6</v>
      </c>
      <c r="AG461" s="130" t="s">
        <v>5</v>
      </c>
      <c r="AH461" s="130"/>
      <c r="AI461" s="130" t="s">
        <v>80</v>
      </c>
      <c r="AJ461" s="130"/>
      <c r="AK461" s="130"/>
      <c r="AL461" s="232" t="s">
        <v>2035</v>
      </c>
      <c r="AM461" s="314"/>
      <c r="AN461" s="26"/>
      <c r="AO461" s="26"/>
      <c r="AP461" s="26"/>
      <c r="AQ461" s="26">
        <v>43538</v>
      </c>
      <c r="AR461" s="24"/>
      <c r="AS461" s="24"/>
      <c r="AT461" s="24">
        <v>43538</v>
      </c>
      <c r="AU461" s="418">
        <f t="shared" si="24"/>
        <v>3</v>
      </c>
      <c r="AV461" s="418">
        <f t="shared" si="25"/>
        <v>2019</v>
      </c>
      <c r="AW461" s="24"/>
      <c r="AX461" s="28"/>
      <c r="AY461" s="28" t="s">
        <v>149</v>
      </c>
      <c r="AZ461" s="132" t="s">
        <v>62</v>
      </c>
      <c r="BA461" s="132"/>
      <c r="BB461" s="24"/>
      <c r="BC461" s="132" t="s">
        <v>2049</v>
      </c>
      <c r="BD461" s="24">
        <v>43466</v>
      </c>
      <c r="BE461" s="135" t="s">
        <v>1522</v>
      </c>
      <c r="BF461" s="135" t="s">
        <v>1938</v>
      </c>
      <c r="BG461" s="135" t="s">
        <v>29</v>
      </c>
      <c r="BH461" s="135"/>
      <c r="BI461" s="314"/>
      <c r="BJ461" s="314"/>
      <c r="BK461" s="24"/>
      <c r="BL461" s="24"/>
      <c r="BM461" s="24"/>
      <c r="BN461" s="24"/>
      <c r="BO461" s="24"/>
      <c r="BP461" s="24"/>
      <c r="BQ461" s="24"/>
      <c r="BR461" s="43"/>
      <c r="BS461" s="24"/>
      <c r="BT461" s="24"/>
      <c r="BU461" s="24"/>
      <c r="BV461" s="132" t="e">
        <f>IF(#REF!="COMPLETO","OK","PENDIENTES")</f>
        <v>#REF!</v>
      </c>
      <c r="BW461" s="132"/>
      <c r="BX461" s="132"/>
      <c r="BY461" s="132"/>
      <c r="BZ461" s="132"/>
      <c r="CA461" s="132"/>
      <c r="CB461" s="132"/>
      <c r="CC461" s="22"/>
      <c r="CG461" s="24" t="s">
        <v>105</v>
      </c>
      <c r="CH461" s="24"/>
      <c r="CI461" s="24"/>
      <c r="CJ461" s="24"/>
    </row>
    <row r="462" spans="1:88" ht="15" customHeight="1">
      <c r="A462" s="18">
        <v>2018</v>
      </c>
      <c r="B462" s="18" t="str">
        <f>+INDEX(BDD!F:F,MATCH(P462,BDD!D:D,0))&amp;"-"&amp;INDEX(BDD!E:E,MATCH(P462,BDD!D:D,0))</f>
        <v>S-C</v>
      </c>
      <c r="C462" s="125" t="s">
        <v>484</v>
      </c>
      <c r="D462" s="150" t="s">
        <v>77</v>
      </c>
      <c r="E462" s="132"/>
      <c r="F462" s="24"/>
      <c r="G462" s="346">
        <v>8000000288</v>
      </c>
      <c r="H462" s="125" t="s">
        <v>2050</v>
      </c>
      <c r="I462" s="329"/>
      <c r="J462" s="346">
        <v>8000000288</v>
      </c>
      <c r="K462" s="24"/>
      <c r="L462" s="24"/>
      <c r="M462" s="24"/>
      <c r="N462" s="340" t="s">
        <v>486</v>
      </c>
      <c r="O462" s="334">
        <v>207580</v>
      </c>
      <c r="P462" s="25" t="s">
        <v>241</v>
      </c>
      <c r="Q462" s="127" t="s">
        <v>207</v>
      </c>
      <c r="R462" s="232" t="s">
        <v>2051</v>
      </c>
      <c r="S462" s="89">
        <v>43454</v>
      </c>
      <c r="T462" s="36">
        <v>90</v>
      </c>
      <c r="U462" s="125" t="s">
        <v>118</v>
      </c>
      <c r="V462" s="147" t="s">
        <v>2052</v>
      </c>
      <c r="W462" s="129"/>
      <c r="X462" s="88">
        <v>43594</v>
      </c>
      <c r="Y462" s="130" t="s">
        <v>20</v>
      </c>
      <c r="Z462" s="133" t="s">
        <v>60</v>
      </c>
      <c r="AA462" s="133"/>
      <c r="AB462" s="148">
        <v>72</v>
      </c>
      <c r="AC462" s="134">
        <v>810</v>
      </c>
      <c r="AD462" s="134"/>
      <c r="AE462" s="403">
        <f t="shared" si="23"/>
        <v>58320</v>
      </c>
      <c r="AF462" s="132">
        <v>3</v>
      </c>
      <c r="AG462" s="130" t="s">
        <v>5</v>
      </c>
      <c r="AH462" s="130"/>
      <c r="AI462" s="130" t="s">
        <v>34</v>
      </c>
      <c r="AJ462" s="130"/>
      <c r="AK462" s="130"/>
      <c r="AL462" s="232" t="s">
        <v>2035</v>
      </c>
      <c r="AM462" s="314"/>
      <c r="AN462" s="26"/>
      <c r="AO462" s="26"/>
      <c r="AP462" s="26"/>
      <c r="AQ462" s="26">
        <v>43509</v>
      </c>
      <c r="AR462" s="24"/>
      <c r="AS462" s="24"/>
      <c r="AT462" s="24">
        <v>43517</v>
      </c>
      <c r="AU462" s="418">
        <f t="shared" si="24"/>
        <v>2</v>
      </c>
      <c r="AV462" s="418">
        <f t="shared" si="25"/>
        <v>2019</v>
      </c>
      <c r="AW462" s="24"/>
      <c r="AX462" s="28"/>
      <c r="AY462" s="28" t="s">
        <v>1347</v>
      </c>
      <c r="AZ462" s="132" t="s">
        <v>37</v>
      </c>
      <c r="BA462" s="132"/>
      <c r="BB462" s="24"/>
      <c r="BC462" s="135" t="s">
        <v>2053</v>
      </c>
      <c r="BD462" s="24">
        <v>43506</v>
      </c>
      <c r="BE462" s="135" t="s">
        <v>2054</v>
      </c>
      <c r="BF462" s="135" t="s">
        <v>2054</v>
      </c>
      <c r="BG462" s="135" t="s">
        <v>29</v>
      </c>
      <c r="BH462" s="135"/>
      <c r="BI462" s="314"/>
      <c r="BJ462" s="314"/>
      <c r="BK462" s="24"/>
      <c r="BL462" s="24"/>
      <c r="BM462" s="24"/>
      <c r="BN462" s="24"/>
      <c r="BO462" s="24">
        <f>+AQ462+20</f>
        <v>43529</v>
      </c>
      <c r="BP462" s="24"/>
      <c r="BQ462" s="24"/>
      <c r="BR462" s="43"/>
      <c r="BS462" s="24"/>
      <c r="BT462" s="24"/>
      <c r="BU462" s="24"/>
      <c r="BV462" s="132" t="e">
        <f>IF(#REF!="COMPLETO","OK","PENDIENTES")</f>
        <v>#REF!</v>
      </c>
      <c r="BW462" s="132"/>
      <c r="BX462" s="132"/>
      <c r="BY462" s="132"/>
      <c r="BZ462" s="132"/>
      <c r="CA462" s="132"/>
      <c r="CB462" s="132"/>
      <c r="CC462" s="22"/>
      <c r="CG462" s="24" t="s">
        <v>105</v>
      </c>
      <c r="CH462" s="24"/>
      <c r="CI462" s="24"/>
      <c r="CJ462" s="24"/>
    </row>
    <row r="463" spans="1:88" ht="15" customHeight="1">
      <c r="A463" s="18">
        <v>2018</v>
      </c>
      <c r="B463" s="18" t="str">
        <f>+INDEX(BDD!F:F,MATCH(P463,BDD!D:D,0))&amp;"-"&amp;INDEX(BDD!E:E,MATCH(P463,BDD!D:D,0))</f>
        <v>E-S</v>
      </c>
      <c r="C463" s="125" t="s">
        <v>484</v>
      </c>
      <c r="D463" s="150" t="s">
        <v>77</v>
      </c>
      <c r="E463" s="132"/>
      <c r="F463" s="24"/>
      <c r="G463" s="346">
        <v>8000000378</v>
      </c>
      <c r="H463" s="125" t="s">
        <v>2055</v>
      </c>
      <c r="I463" s="329"/>
      <c r="J463" s="346">
        <v>8000000378</v>
      </c>
      <c r="K463" s="24"/>
      <c r="L463" s="24"/>
      <c r="M463" s="24"/>
      <c r="N463" s="340" t="s">
        <v>486</v>
      </c>
      <c r="O463" s="334">
        <v>209976</v>
      </c>
      <c r="P463" s="25" t="s">
        <v>256</v>
      </c>
      <c r="Q463" s="127" t="s">
        <v>252</v>
      </c>
      <c r="R463" s="128" t="s">
        <v>2056</v>
      </c>
      <c r="S463" s="89">
        <v>43448</v>
      </c>
      <c r="T463" s="36" t="s">
        <v>19</v>
      </c>
      <c r="U463" s="125"/>
      <c r="V463" s="147" t="s">
        <v>2057</v>
      </c>
      <c r="W463" s="129"/>
      <c r="X463" s="88">
        <v>43504</v>
      </c>
      <c r="Y463" s="130" t="s">
        <v>20</v>
      </c>
      <c r="Z463" s="133" t="s">
        <v>60</v>
      </c>
      <c r="AA463" s="133"/>
      <c r="AB463" s="148">
        <v>522</v>
      </c>
      <c r="AC463" s="134">
        <v>380</v>
      </c>
      <c r="AD463" s="134"/>
      <c r="AE463" s="403">
        <f t="shared" si="23"/>
        <v>198360</v>
      </c>
      <c r="AF463" s="132">
        <v>18</v>
      </c>
      <c r="AG463" s="130" t="s">
        <v>21</v>
      </c>
      <c r="AH463" s="130"/>
      <c r="AI463" s="130" t="s">
        <v>71</v>
      </c>
      <c r="AJ463" s="130"/>
      <c r="AK463" s="130"/>
      <c r="AL463" s="232" t="s">
        <v>2035</v>
      </c>
      <c r="AM463" s="314"/>
      <c r="AN463" s="26"/>
      <c r="AO463" s="26"/>
      <c r="AP463" s="26"/>
      <c r="AQ463" s="26">
        <v>43532</v>
      </c>
      <c r="AR463" s="24"/>
      <c r="AS463" s="24"/>
      <c r="AT463" s="24">
        <v>43536</v>
      </c>
      <c r="AU463" s="418">
        <f t="shared" si="24"/>
        <v>3</v>
      </c>
      <c r="AV463" s="418">
        <f t="shared" si="25"/>
        <v>2019</v>
      </c>
      <c r="AW463" s="24"/>
      <c r="AX463" s="28"/>
      <c r="AY463" s="28" t="s">
        <v>281</v>
      </c>
      <c r="AZ463" s="132" t="s">
        <v>37</v>
      </c>
      <c r="BA463" s="132"/>
      <c r="BB463" s="24"/>
      <c r="BC463" s="135" t="s">
        <v>2058</v>
      </c>
      <c r="BD463" s="24">
        <v>43495</v>
      </c>
      <c r="BE463" s="135" t="s">
        <v>2059</v>
      </c>
      <c r="BF463" s="135" t="s">
        <v>885</v>
      </c>
      <c r="BG463" s="135" t="s">
        <v>41</v>
      </c>
      <c r="BH463" s="135"/>
      <c r="BI463" s="314"/>
      <c r="BJ463" s="314"/>
      <c r="BK463" s="24"/>
      <c r="BL463" s="24"/>
      <c r="BM463" s="24"/>
      <c r="BN463" s="24"/>
      <c r="BO463" s="24">
        <f>+AQ463+14</f>
        <v>43546</v>
      </c>
      <c r="BP463" s="24"/>
      <c r="BQ463" s="24"/>
      <c r="BR463" s="43"/>
      <c r="BS463" s="24"/>
      <c r="BT463" s="24"/>
      <c r="BU463" s="24"/>
      <c r="BV463" s="132" t="e">
        <f>IF(#REF!="COMPLETO","OK","PENDIENTES")</f>
        <v>#REF!</v>
      </c>
      <c r="BW463" s="132"/>
      <c r="BX463" s="132"/>
      <c r="BY463" s="132"/>
      <c r="BZ463" s="132"/>
      <c r="CA463" s="132"/>
      <c r="CB463" s="132"/>
      <c r="CC463" s="22"/>
      <c r="CG463" s="24" t="s">
        <v>105</v>
      </c>
      <c r="CH463" s="24"/>
      <c r="CI463" s="24"/>
      <c r="CJ463" s="24"/>
    </row>
    <row r="464" spans="1:88" ht="15" customHeight="1">
      <c r="A464" s="18">
        <v>2018</v>
      </c>
      <c r="B464" s="18" t="str">
        <f>+INDEX(BDD!F:F,MATCH(P464,BDD!D:D,0))&amp;"-"&amp;INDEX(BDD!E:E,MATCH(P464,BDD!D:D,0))</f>
        <v>E-S</v>
      </c>
      <c r="C464" s="125" t="s">
        <v>484</v>
      </c>
      <c r="D464" s="150" t="s">
        <v>77</v>
      </c>
      <c r="E464" s="132"/>
      <c r="F464" s="24"/>
      <c r="G464" s="346">
        <v>8000000377</v>
      </c>
      <c r="H464" s="125" t="s">
        <v>2060</v>
      </c>
      <c r="I464" s="329"/>
      <c r="J464" s="346">
        <v>8000000377</v>
      </c>
      <c r="K464" s="24"/>
      <c r="L464" s="24"/>
      <c r="M464" s="24"/>
      <c r="N464" s="340" t="s">
        <v>486</v>
      </c>
      <c r="O464" s="334">
        <v>209976</v>
      </c>
      <c r="P464" s="25" t="s">
        <v>256</v>
      </c>
      <c r="Q464" s="127" t="s">
        <v>252</v>
      </c>
      <c r="R464" s="128" t="s">
        <v>2056</v>
      </c>
      <c r="S464" s="89">
        <v>43448</v>
      </c>
      <c r="T464" s="36" t="s">
        <v>19</v>
      </c>
      <c r="U464" s="125"/>
      <c r="V464" s="147" t="s">
        <v>2061</v>
      </c>
      <c r="W464" s="129"/>
      <c r="X464" s="88">
        <v>43501</v>
      </c>
      <c r="Y464" s="130" t="s">
        <v>20</v>
      </c>
      <c r="Z464" s="133" t="s">
        <v>60</v>
      </c>
      <c r="AA464" s="133"/>
      <c r="AB464" s="148">
        <v>535</v>
      </c>
      <c r="AC464" s="134">
        <v>390</v>
      </c>
      <c r="AD464" s="134"/>
      <c r="AE464" s="403">
        <f t="shared" si="23"/>
        <v>208650</v>
      </c>
      <c r="AF464" s="132">
        <v>19</v>
      </c>
      <c r="AG464" s="130" t="s">
        <v>21</v>
      </c>
      <c r="AH464" s="130"/>
      <c r="AI464" s="130" t="s">
        <v>71</v>
      </c>
      <c r="AJ464" s="130"/>
      <c r="AK464" s="130"/>
      <c r="AL464" s="232" t="s">
        <v>2035</v>
      </c>
      <c r="AM464" s="314"/>
      <c r="AN464" s="26"/>
      <c r="AO464" s="26"/>
      <c r="AP464" s="26"/>
      <c r="AQ464" s="26">
        <v>43528</v>
      </c>
      <c r="AR464" s="24"/>
      <c r="AS464" s="24"/>
      <c r="AT464" s="24">
        <v>43531</v>
      </c>
      <c r="AU464" s="418">
        <f t="shared" si="24"/>
        <v>3</v>
      </c>
      <c r="AV464" s="418">
        <f t="shared" si="25"/>
        <v>2019</v>
      </c>
      <c r="AW464" s="24"/>
      <c r="AX464" s="28"/>
      <c r="AY464" s="28" t="s">
        <v>281</v>
      </c>
      <c r="AZ464" s="132" t="s">
        <v>9</v>
      </c>
      <c r="BA464" s="132"/>
      <c r="BB464" s="24"/>
      <c r="BC464" s="135" t="s">
        <v>2062</v>
      </c>
      <c r="BD464" s="24">
        <v>43489</v>
      </c>
      <c r="BE464" s="135" t="s">
        <v>756</v>
      </c>
      <c r="BF464" s="135" t="s">
        <v>932</v>
      </c>
      <c r="BG464" s="135" t="s">
        <v>41</v>
      </c>
      <c r="BH464" s="135"/>
      <c r="BI464" s="314"/>
      <c r="BJ464" s="314"/>
      <c r="BK464" s="24"/>
      <c r="BL464" s="24"/>
      <c r="BM464" s="24"/>
      <c r="BN464" s="24"/>
      <c r="BO464" s="24">
        <v>43541</v>
      </c>
      <c r="BP464" s="24"/>
      <c r="BQ464" s="24"/>
      <c r="BR464" s="43"/>
      <c r="BS464" s="24"/>
      <c r="BT464" s="24"/>
      <c r="BU464" s="24"/>
      <c r="BV464" s="132" t="e">
        <f>IF(#REF!="COMPLETO","OK","PENDIENTES")</f>
        <v>#REF!</v>
      </c>
      <c r="BW464" s="132"/>
      <c r="BX464" s="132"/>
      <c r="BY464" s="132"/>
      <c r="BZ464" s="132"/>
      <c r="CA464" s="132"/>
      <c r="CB464" s="132"/>
      <c r="CC464" s="22"/>
      <c r="CG464" s="24" t="s">
        <v>105</v>
      </c>
      <c r="CH464" s="24"/>
      <c r="CI464" s="24"/>
      <c r="CJ464" s="24"/>
    </row>
    <row r="465" spans="1:88" ht="15" customHeight="1">
      <c r="A465" s="18">
        <v>2018</v>
      </c>
      <c r="B465" s="18" t="str">
        <f>+INDEX(BDD!F:F,MATCH(P465,BDD!D:D,0))&amp;"-"&amp;INDEX(BDD!E:E,MATCH(P465,BDD!D:D,0))</f>
        <v>S-S</v>
      </c>
      <c r="C465" s="125" t="s">
        <v>484</v>
      </c>
      <c r="D465" s="150" t="s">
        <v>77</v>
      </c>
      <c r="E465" s="132"/>
      <c r="F465" s="24"/>
      <c r="G465" s="346">
        <v>8000000384</v>
      </c>
      <c r="H465" s="125" t="s">
        <v>2063</v>
      </c>
      <c r="I465" s="329"/>
      <c r="J465" s="346">
        <v>8000000384</v>
      </c>
      <c r="K465" s="24"/>
      <c r="L465" s="24"/>
      <c r="M465" s="24"/>
      <c r="N465" s="340" t="s">
        <v>486</v>
      </c>
      <c r="O465" s="334">
        <v>206971</v>
      </c>
      <c r="P465" s="25" t="s">
        <v>340</v>
      </c>
      <c r="Q465" s="127" t="s">
        <v>175</v>
      </c>
      <c r="R465" s="232" t="s">
        <v>2064</v>
      </c>
      <c r="S465" s="89">
        <v>43462</v>
      </c>
      <c r="T465" s="36" t="s">
        <v>19</v>
      </c>
      <c r="U465" s="125"/>
      <c r="V465" s="147" t="s">
        <v>2065</v>
      </c>
      <c r="W465" s="129"/>
      <c r="X465" s="88">
        <v>43509</v>
      </c>
      <c r="Y465" s="130" t="s">
        <v>20</v>
      </c>
      <c r="Z465" s="133" t="s">
        <v>60</v>
      </c>
      <c r="AA465" s="133"/>
      <c r="AB465" s="148">
        <v>350</v>
      </c>
      <c r="AC465" s="134">
        <v>540</v>
      </c>
      <c r="AD465" s="134"/>
      <c r="AE465" s="403">
        <f t="shared" si="23"/>
        <v>189000</v>
      </c>
      <c r="AF465" s="132">
        <v>14</v>
      </c>
      <c r="AG465" s="130" t="s">
        <v>5</v>
      </c>
      <c r="AH465" s="130"/>
      <c r="AI465" s="130" t="s">
        <v>34</v>
      </c>
      <c r="AJ465" s="130"/>
      <c r="AK465" s="130"/>
      <c r="AL465" s="232" t="s">
        <v>2035</v>
      </c>
      <c r="AM465" s="314"/>
      <c r="AN465" s="26"/>
      <c r="AO465" s="26"/>
      <c r="AP465" s="26"/>
      <c r="AQ465" s="26">
        <v>43572</v>
      </c>
      <c r="AR465" s="24"/>
      <c r="AS465" s="24"/>
      <c r="AT465" s="24">
        <v>43577</v>
      </c>
      <c r="AU465" s="418">
        <f t="shared" si="24"/>
        <v>4</v>
      </c>
      <c r="AV465" s="418">
        <f t="shared" si="25"/>
        <v>2019</v>
      </c>
      <c r="AW465" s="24"/>
      <c r="AX465" s="28"/>
      <c r="AY465" s="28" t="s">
        <v>239</v>
      </c>
      <c r="AZ465" s="132" t="s">
        <v>37</v>
      </c>
      <c r="BA465" s="132"/>
      <c r="BB465" s="24"/>
      <c r="BC465" s="135" t="s">
        <v>2066</v>
      </c>
      <c r="BD465" s="24">
        <v>43499</v>
      </c>
      <c r="BE465" s="135" t="s">
        <v>1253</v>
      </c>
      <c r="BF465" s="135" t="s">
        <v>2067</v>
      </c>
      <c r="BG465" s="135" t="s">
        <v>202</v>
      </c>
      <c r="BH465" s="135"/>
      <c r="BI465" s="314"/>
      <c r="BJ465" s="314"/>
      <c r="BK465" s="24"/>
      <c r="BL465" s="24"/>
      <c r="BM465" s="24"/>
      <c r="BN465" s="24"/>
      <c r="BO465" s="24"/>
      <c r="BP465" s="24"/>
      <c r="BQ465" s="24"/>
      <c r="BR465" s="43"/>
      <c r="BS465" s="24"/>
      <c r="BT465" s="24"/>
      <c r="BU465" s="24"/>
      <c r="BV465" s="132" t="e">
        <f>IF(#REF!="COMPLETO","OK","PENDIENTES")</f>
        <v>#REF!</v>
      </c>
      <c r="BW465" s="132"/>
      <c r="BX465" s="132"/>
      <c r="BY465" s="132"/>
      <c r="BZ465" s="132"/>
      <c r="CA465" s="132"/>
      <c r="CB465" s="132"/>
      <c r="CC465" s="22"/>
      <c r="CG465" s="24" t="s">
        <v>105</v>
      </c>
      <c r="CH465" s="24"/>
      <c r="CI465" s="24"/>
      <c r="CJ465" s="24"/>
    </row>
    <row r="466" spans="1:88" ht="15" customHeight="1">
      <c r="A466" s="18">
        <v>2018</v>
      </c>
      <c r="B466" s="18" t="str">
        <f>+INDEX(BDD!F:F,MATCH(P466,BDD!D:D,0))&amp;"-"&amp;INDEX(BDD!E:E,MATCH(P466,BDD!D:D,0))</f>
        <v>S-S</v>
      </c>
      <c r="C466" s="125" t="s">
        <v>484</v>
      </c>
      <c r="D466" s="150" t="s">
        <v>77</v>
      </c>
      <c r="E466" s="132"/>
      <c r="F466" s="24"/>
      <c r="G466" s="346">
        <v>8000000385</v>
      </c>
      <c r="H466" s="125" t="s">
        <v>2068</v>
      </c>
      <c r="I466" s="329"/>
      <c r="J466" s="346">
        <v>8000000385</v>
      </c>
      <c r="K466" s="24"/>
      <c r="L466" s="24"/>
      <c r="M466" s="24"/>
      <c r="N466" s="340" t="s">
        <v>486</v>
      </c>
      <c r="O466" s="334">
        <v>206971</v>
      </c>
      <c r="P466" s="25" t="s">
        <v>340</v>
      </c>
      <c r="Q466" s="127" t="s">
        <v>175</v>
      </c>
      <c r="R466" s="232" t="s">
        <v>2064</v>
      </c>
      <c r="S466" s="89">
        <v>43462</v>
      </c>
      <c r="T466" s="36" t="s">
        <v>19</v>
      </c>
      <c r="U466" s="125"/>
      <c r="V466" s="147" t="s">
        <v>2069</v>
      </c>
      <c r="W466" s="129"/>
      <c r="X466" s="88">
        <v>43516</v>
      </c>
      <c r="Y466" s="130" t="s">
        <v>20</v>
      </c>
      <c r="Z466" s="133" t="s">
        <v>60</v>
      </c>
      <c r="AA466" s="133"/>
      <c r="AB466" s="148">
        <v>325</v>
      </c>
      <c r="AC466" s="134">
        <v>547</v>
      </c>
      <c r="AD466" s="134"/>
      <c r="AE466" s="403">
        <f t="shared" si="23"/>
        <v>177775</v>
      </c>
      <c r="AF466" s="132">
        <v>13</v>
      </c>
      <c r="AG466" s="130" t="s">
        <v>5</v>
      </c>
      <c r="AH466" s="130"/>
      <c r="AI466" s="130" t="s">
        <v>34</v>
      </c>
      <c r="AJ466" s="130"/>
      <c r="AK466" s="130"/>
      <c r="AL466" s="232" t="s">
        <v>2070</v>
      </c>
      <c r="AM466" s="314"/>
      <c r="AN466" s="26"/>
      <c r="AO466" s="26"/>
      <c r="AP466" s="26"/>
      <c r="AQ466" s="26">
        <v>43590</v>
      </c>
      <c r="AR466" s="24"/>
      <c r="AS466" s="24"/>
      <c r="AT466" s="26">
        <v>43592</v>
      </c>
      <c r="AU466" s="418">
        <f t="shared" si="24"/>
        <v>5</v>
      </c>
      <c r="AV466" s="418">
        <f t="shared" si="25"/>
        <v>2019</v>
      </c>
      <c r="AW466" s="26"/>
      <c r="AX466" s="28"/>
      <c r="AY466" s="28" t="s">
        <v>239</v>
      </c>
      <c r="AZ466" s="132" t="s">
        <v>9</v>
      </c>
      <c r="BA466" s="132"/>
      <c r="BB466" s="26"/>
      <c r="BC466" s="135" t="s">
        <v>2071</v>
      </c>
      <c r="BD466" s="24">
        <v>43486</v>
      </c>
      <c r="BE466" s="135" t="s">
        <v>1492</v>
      </c>
      <c r="BF466" s="135" t="s">
        <v>932</v>
      </c>
      <c r="BG466" s="135" t="s">
        <v>64</v>
      </c>
      <c r="BH466" s="135"/>
      <c r="BI466" s="314"/>
      <c r="BJ466" s="314"/>
      <c r="BK466" s="24"/>
      <c r="BL466" s="24"/>
      <c r="BM466" s="24"/>
      <c r="BN466" s="24"/>
      <c r="BO466" s="24">
        <v>43597</v>
      </c>
      <c r="BP466" s="24"/>
      <c r="BQ466" s="24"/>
      <c r="BR466" s="43"/>
      <c r="BS466" s="24"/>
      <c r="BT466" s="24"/>
      <c r="BU466" s="24"/>
      <c r="BV466" s="132" t="e">
        <f>IF(#REF!="COMPLETO","OK","PENDIENTES")</f>
        <v>#REF!</v>
      </c>
      <c r="BW466" s="132"/>
      <c r="BX466" s="132"/>
      <c r="BY466" s="132"/>
      <c r="BZ466" s="132"/>
      <c r="CA466" s="132"/>
      <c r="CB466" s="132"/>
      <c r="CC466" s="22"/>
      <c r="CG466" s="24" t="s">
        <v>105</v>
      </c>
      <c r="CH466" s="24"/>
      <c r="CI466" s="26"/>
      <c r="CJ466" s="26"/>
    </row>
    <row r="467" spans="1:88" ht="12.75" customHeight="1">
      <c r="A467" s="18">
        <v>2018</v>
      </c>
      <c r="B467" s="18" t="str">
        <f>+INDEX(BDD!F:F,MATCH(P467,BDD!D:D,0))&amp;"-"&amp;INDEX(BDD!E:E,MATCH(P467,BDD!D:D,0))</f>
        <v>S-S</v>
      </c>
      <c r="C467" s="125" t="s">
        <v>484</v>
      </c>
      <c r="D467" s="150" t="s">
        <v>77</v>
      </c>
      <c r="E467" s="132"/>
      <c r="F467" s="24"/>
      <c r="G467" s="346">
        <v>8000000386</v>
      </c>
      <c r="H467" s="125" t="s">
        <v>2072</v>
      </c>
      <c r="I467" s="329"/>
      <c r="J467" s="346">
        <v>8000000386</v>
      </c>
      <c r="K467" s="24"/>
      <c r="L467" s="24"/>
      <c r="M467" s="24"/>
      <c r="N467" s="340" t="s">
        <v>486</v>
      </c>
      <c r="O467" s="334">
        <v>206971</v>
      </c>
      <c r="P467" s="25" t="s">
        <v>340</v>
      </c>
      <c r="Q467" s="127" t="s">
        <v>175</v>
      </c>
      <c r="R467" s="232" t="s">
        <v>2064</v>
      </c>
      <c r="S467" s="89">
        <v>43462</v>
      </c>
      <c r="T467" s="36" t="s">
        <v>19</v>
      </c>
      <c r="U467" s="125"/>
      <c r="V467" s="147" t="s">
        <v>2073</v>
      </c>
      <c r="W467" s="129"/>
      <c r="X467" s="88">
        <v>43529</v>
      </c>
      <c r="Y467" s="130" t="s">
        <v>20</v>
      </c>
      <c r="Z467" s="133" t="s">
        <v>60</v>
      </c>
      <c r="AA467" s="133"/>
      <c r="AB467" s="148">
        <v>325</v>
      </c>
      <c r="AC467" s="134">
        <v>547</v>
      </c>
      <c r="AD467" s="134"/>
      <c r="AE467" s="403">
        <f t="shared" si="23"/>
        <v>177775</v>
      </c>
      <c r="AF467" s="132">
        <v>13</v>
      </c>
      <c r="AG467" s="130" t="s">
        <v>5</v>
      </c>
      <c r="AH467" s="130"/>
      <c r="AI467" s="130" t="s">
        <v>34</v>
      </c>
      <c r="AJ467" s="130"/>
      <c r="AK467" s="130"/>
      <c r="AL467" s="135" t="s">
        <v>2074</v>
      </c>
      <c r="AM467" s="314"/>
      <c r="AN467" s="26"/>
      <c r="AO467" s="26"/>
      <c r="AP467" s="26"/>
      <c r="AQ467" s="26">
        <v>43590</v>
      </c>
      <c r="AR467" s="24"/>
      <c r="AS467" s="24"/>
      <c r="AT467" s="26">
        <v>43592</v>
      </c>
      <c r="AU467" s="418">
        <f t="shared" si="24"/>
        <v>5</v>
      </c>
      <c r="AV467" s="418">
        <f t="shared" si="25"/>
        <v>2019</v>
      </c>
      <c r="AW467" s="26"/>
      <c r="AX467" s="28"/>
      <c r="AY467" s="28" t="s">
        <v>239</v>
      </c>
      <c r="AZ467" s="132" t="s">
        <v>9</v>
      </c>
      <c r="BA467" s="132"/>
      <c r="BB467" s="26"/>
      <c r="BC467" s="135" t="s">
        <v>2075</v>
      </c>
      <c r="BD467" s="24">
        <v>43520</v>
      </c>
      <c r="BE467" s="135" t="s">
        <v>2076</v>
      </c>
      <c r="BF467" s="135" t="s">
        <v>932</v>
      </c>
      <c r="BG467" s="135" t="s">
        <v>64</v>
      </c>
      <c r="BH467" s="135"/>
      <c r="BI467" s="314"/>
      <c r="BJ467" s="314"/>
      <c r="BK467" s="24"/>
      <c r="BL467" s="24"/>
      <c r="BM467" s="24"/>
      <c r="BN467" s="24"/>
      <c r="BO467" s="24"/>
      <c r="BP467" s="24"/>
      <c r="BQ467" s="24"/>
      <c r="BR467" s="43"/>
      <c r="BS467" s="24"/>
      <c r="BT467" s="24"/>
      <c r="BU467" s="24"/>
      <c r="BV467" s="132" t="e">
        <f>IF(#REF!="COMPLETO","OK","PENDIENTES")</f>
        <v>#REF!</v>
      </c>
      <c r="BW467" s="132"/>
      <c r="BX467" s="132"/>
      <c r="BY467" s="132"/>
      <c r="BZ467" s="132"/>
      <c r="CA467" s="132"/>
      <c r="CB467" s="132"/>
      <c r="CC467" s="22"/>
      <c r="CG467" s="24" t="s">
        <v>105</v>
      </c>
      <c r="CH467" s="24"/>
      <c r="CI467" s="26"/>
      <c r="CJ467" s="26"/>
    </row>
    <row r="468" spans="1:88" ht="15" customHeight="1">
      <c r="A468" s="18">
        <v>2018</v>
      </c>
      <c r="B468" s="18" t="str">
        <f>+INDEX(BDD!F:F,MATCH(P468,BDD!D:D,0))&amp;"-"&amp;INDEX(BDD!E:E,MATCH(P468,BDD!D:D,0))</f>
        <v>E-S</v>
      </c>
      <c r="C468" s="125" t="s">
        <v>484</v>
      </c>
      <c r="D468" s="150" t="s">
        <v>77</v>
      </c>
      <c r="E468" s="132"/>
      <c r="F468" s="24"/>
      <c r="G468" s="346">
        <v>8000000350</v>
      </c>
      <c r="H468" s="125" t="s">
        <v>2077</v>
      </c>
      <c r="I468" s="329"/>
      <c r="J468" s="346">
        <v>8000000350</v>
      </c>
      <c r="K468" s="24"/>
      <c r="L468" s="24"/>
      <c r="M468" s="24"/>
      <c r="N468" s="340" t="s">
        <v>486</v>
      </c>
      <c r="O468" s="334">
        <v>203620</v>
      </c>
      <c r="P468" s="25" t="s">
        <v>348</v>
      </c>
      <c r="Q468" s="127" t="s">
        <v>213</v>
      </c>
      <c r="R468" s="232" t="s">
        <v>2078</v>
      </c>
      <c r="S468" s="89" t="s">
        <v>2079</v>
      </c>
      <c r="T468" s="36" t="s">
        <v>19</v>
      </c>
      <c r="U468" s="125"/>
      <c r="V468" s="147" t="s">
        <v>2080</v>
      </c>
      <c r="W468" s="129"/>
      <c r="X468" s="88">
        <v>43501</v>
      </c>
      <c r="Y468" s="130" t="s">
        <v>20</v>
      </c>
      <c r="Z468" s="133" t="s">
        <v>72</v>
      </c>
      <c r="AA468" s="133"/>
      <c r="AB468" s="148">
        <v>24.65</v>
      </c>
      <c r="AC468" s="134">
        <v>750</v>
      </c>
      <c r="AD468" s="134"/>
      <c r="AE468" s="403">
        <f t="shared" si="23"/>
        <v>18487.5</v>
      </c>
      <c r="AF468" s="132">
        <v>1</v>
      </c>
      <c r="AG468" s="130" t="s">
        <v>5</v>
      </c>
      <c r="AH468" s="130"/>
      <c r="AI468" s="130" t="s">
        <v>106</v>
      </c>
      <c r="AJ468" s="130"/>
      <c r="AK468" s="130"/>
      <c r="AL468" s="135" t="s">
        <v>2081</v>
      </c>
      <c r="AM468" s="314"/>
      <c r="AN468" s="26"/>
      <c r="AO468" s="26"/>
      <c r="AP468" s="26"/>
      <c r="AQ468" s="26">
        <v>43516</v>
      </c>
      <c r="AR468" s="24"/>
      <c r="AS468" s="24"/>
      <c r="AT468" s="24">
        <v>43518</v>
      </c>
      <c r="AU468" s="418">
        <f t="shared" si="24"/>
        <v>2</v>
      </c>
      <c r="AV468" s="418">
        <f t="shared" si="25"/>
        <v>2019</v>
      </c>
      <c r="AW468" s="24"/>
      <c r="AX468" s="28"/>
      <c r="AY468" s="28" t="s">
        <v>212</v>
      </c>
      <c r="AZ468" s="132" t="s">
        <v>37</v>
      </c>
      <c r="BA468" s="132"/>
      <c r="BB468" s="24"/>
      <c r="BC468" s="135" t="s">
        <v>2082</v>
      </c>
      <c r="BD468" s="24">
        <v>43490</v>
      </c>
      <c r="BE468" s="135" t="s">
        <v>2083</v>
      </c>
      <c r="BF468" s="135" t="s">
        <v>2084</v>
      </c>
      <c r="BG468" s="135" t="s">
        <v>14</v>
      </c>
      <c r="BH468" s="135"/>
      <c r="BI468" s="314"/>
      <c r="BJ468" s="314"/>
      <c r="BK468" s="24"/>
      <c r="BL468" s="24"/>
      <c r="BM468" s="24"/>
      <c r="BN468" s="24"/>
      <c r="BO468" s="24"/>
      <c r="BP468" s="24"/>
      <c r="BQ468" s="24"/>
      <c r="BR468" s="43"/>
      <c r="BS468" s="24"/>
      <c r="BT468" s="24"/>
      <c r="BU468" s="24"/>
      <c r="BV468" s="132" t="e">
        <f>IF(#REF!="COMPLETO","OK","PENDIENTES")</f>
        <v>#REF!</v>
      </c>
      <c r="BW468" s="132"/>
      <c r="BX468" s="132"/>
      <c r="BY468" s="132"/>
      <c r="BZ468" s="132"/>
      <c r="CA468" s="132"/>
      <c r="CB468" s="132"/>
      <c r="CC468" s="22"/>
      <c r="CG468" s="24" t="s">
        <v>105</v>
      </c>
      <c r="CH468" s="24"/>
      <c r="CI468" s="24"/>
      <c r="CJ468" s="24"/>
    </row>
    <row r="469" spans="1:88" ht="15" customHeight="1">
      <c r="A469" s="18">
        <v>2018</v>
      </c>
      <c r="B469" s="18" t="str">
        <f>+INDEX(BDD!F:F,MATCH(P469,BDD!D:D,0))&amp;"-"&amp;INDEX(BDD!E:E,MATCH(P469,BDD!D:D,0))</f>
        <v>E-S</v>
      </c>
      <c r="C469" s="125" t="s">
        <v>484</v>
      </c>
      <c r="D469" s="150" t="s">
        <v>77</v>
      </c>
      <c r="E469" s="132"/>
      <c r="F469" s="24"/>
      <c r="G469" s="346">
        <v>8000000350</v>
      </c>
      <c r="H469" s="125" t="s">
        <v>2085</v>
      </c>
      <c r="I469" s="329"/>
      <c r="J469" s="346">
        <v>8000000350</v>
      </c>
      <c r="K469" s="24"/>
      <c r="L469" s="24"/>
      <c r="M469" s="24"/>
      <c r="N469" s="340" t="s">
        <v>486</v>
      </c>
      <c r="O469" s="334">
        <v>203619</v>
      </c>
      <c r="P469" s="25" t="s">
        <v>349</v>
      </c>
      <c r="Q469" s="127" t="s">
        <v>213</v>
      </c>
      <c r="R469" s="232" t="s">
        <v>2086</v>
      </c>
      <c r="S469" s="89" t="s">
        <v>2079</v>
      </c>
      <c r="T469" s="36" t="s">
        <v>19</v>
      </c>
      <c r="U469" s="125"/>
      <c r="V469" s="147" t="s">
        <v>2080</v>
      </c>
      <c r="W469" s="129"/>
      <c r="X469" s="88">
        <v>43501</v>
      </c>
      <c r="Y469" s="130" t="s">
        <v>20</v>
      </c>
      <c r="Z469" s="133" t="s">
        <v>72</v>
      </c>
      <c r="AA469" s="133"/>
      <c r="AB469" s="148">
        <v>23.94</v>
      </c>
      <c r="AC469" s="134">
        <v>434</v>
      </c>
      <c r="AD469" s="134"/>
      <c r="AE469" s="403">
        <f t="shared" si="23"/>
        <v>10389.960000000001</v>
      </c>
      <c r="AF469" s="132">
        <v>1</v>
      </c>
      <c r="AG469" s="130" t="s">
        <v>5</v>
      </c>
      <c r="AH469" s="130"/>
      <c r="AI469" s="130" t="s">
        <v>106</v>
      </c>
      <c r="AJ469" s="130"/>
      <c r="AK469" s="130"/>
      <c r="AL469" s="135" t="s">
        <v>2081</v>
      </c>
      <c r="AM469" s="314"/>
      <c r="AN469" s="26"/>
      <c r="AO469" s="26"/>
      <c r="AP469" s="26"/>
      <c r="AQ469" s="26">
        <v>43516</v>
      </c>
      <c r="AR469" s="24"/>
      <c r="AS469" s="24"/>
      <c r="AT469" s="24">
        <v>43518</v>
      </c>
      <c r="AU469" s="418">
        <f t="shared" si="24"/>
        <v>2</v>
      </c>
      <c r="AV469" s="418">
        <f t="shared" si="25"/>
        <v>2019</v>
      </c>
      <c r="AW469" s="24"/>
      <c r="AX469" s="28"/>
      <c r="AY469" s="28" t="s">
        <v>212</v>
      </c>
      <c r="AZ469" s="132" t="s">
        <v>37</v>
      </c>
      <c r="BA469" s="132"/>
      <c r="BB469" s="24"/>
      <c r="BC469" s="135" t="s">
        <v>2082</v>
      </c>
      <c r="BD469" s="24">
        <v>43490</v>
      </c>
      <c r="BE469" s="135" t="s">
        <v>2083</v>
      </c>
      <c r="BF469" s="135" t="s">
        <v>2084</v>
      </c>
      <c r="BG469" s="135" t="s">
        <v>14</v>
      </c>
      <c r="BH469" s="135"/>
      <c r="BI469" s="314"/>
      <c r="BJ469" s="314"/>
      <c r="BK469" s="24"/>
      <c r="BL469" s="24"/>
      <c r="BM469" s="24"/>
      <c r="BN469" s="24"/>
      <c r="BO469" s="24"/>
      <c r="BP469" s="24"/>
      <c r="BQ469" s="24"/>
      <c r="BR469" s="43"/>
      <c r="BS469" s="24"/>
      <c r="BT469" s="24"/>
      <c r="BU469" s="24"/>
      <c r="BV469" s="132" t="e">
        <f>IF(#REF!="COMPLETO","OK","PENDIENTES")</f>
        <v>#REF!</v>
      </c>
      <c r="BW469" s="132"/>
      <c r="BX469" s="132"/>
      <c r="BY469" s="132"/>
      <c r="BZ469" s="132"/>
      <c r="CA469" s="132"/>
      <c r="CB469" s="132"/>
      <c r="CC469" s="22"/>
      <c r="CG469" s="24" t="s">
        <v>105</v>
      </c>
      <c r="CH469" s="24"/>
      <c r="CI469" s="24"/>
      <c r="CJ469" s="24"/>
    </row>
    <row r="470" spans="1:88" ht="15" customHeight="1">
      <c r="A470" s="18">
        <v>2018</v>
      </c>
      <c r="B470" s="18" t="str">
        <f>+INDEX(BDD!F:F,MATCH(P470,BDD!D:D,0))&amp;"-"&amp;INDEX(BDD!E:E,MATCH(P470,BDD!D:D,0))</f>
        <v>E-S</v>
      </c>
      <c r="C470" s="125" t="s">
        <v>484</v>
      </c>
      <c r="D470" s="150" t="s">
        <v>77</v>
      </c>
      <c r="E470" s="132"/>
      <c r="F470" s="24"/>
      <c r="G470" s="346">
        <v>8000000338</v>
      </c>
      <c r="H470" s="125" t="s">
        <v>2087</v>
      </c>
      <c r="I470" s="329"/>
      <c r="J470" s="346">
        <v>8000000338</v>
      </c>
      <c r="K470" s="24"/>
      <c r="L470" s="24"/>
      <c r="M470" s="24"/>
      <c r="N470" s="340" t="s">
        <v>486</v>
      </c>
      <c r="O470" s="334">
        <v>203618</v>
      </c>
      <c r="P470" s="25" t="s">
        <v>350</v>
      </c>
      <c r="Q470" s="127" t="s">
        <v>213</v>
      </c>
      <c r="R470" s="232" t="s">
        <v>2088</v>
      </c>
      <c r="S470" s="89" t="s">
        <v>2079</v>
      </c>
      <c r="T470" s="36" t="s">
        <v>19</v>
      </c>
      <c r="U470" s="125"/>
      <c r="V470" s="147" t="s">
        <v>2089</v>
      </c>
      <c r="W470" s="129"/>
      <c r="X470" s="88">
        <v>43489</v>
      </c>
      <c r="Y470" s="130" t="s">
        <v>20</v>
      </c>
      <c r="Z470" s="133" t="s">
        <v>72</v>
      </c>
      <c r="AA470" s="133"/>
      <c r="AB470" s="148">
        <v>24.8</v>
      </c>
      <c r="AC470" s="134">
        <v>788</v>
      </c>
      <c r="AD470" s="134"/>
      <c r="AE470" s="403">
        <f t="shared" si="23"/>
        <v>19542.400000000001</v>
      </c>
      <c r="AF470" s="132">
        <v>1</v>
      </c>
      <c r="AG470" s="130" t="s">
        <v>21</v>
      </c>
      <c r="AH470" s="130"/>
      <c r="AI470" s="130" t="s">
        <v>106</v>
      </c>
      <c r="AJ470" s="130"/>
      <c r="AK470" s="130"/>
      <c r="AL470" s="135" t="s">
        <v>2081</v>
      </c>
      <c r="AM470" s="314"/>
      <c r="AN470" s="26"/>
      <c r="AO470" s="26"/>
      <c r="AP470" s="26"/>
      <c r="AQ470" s="26">
        <v>43500</v>
      </c>
      <c r="AR470" s="24"/>
      <c r="AS470" s="24"/>
      <c r="AT470" s="24">
        <v>43501</v>
      </c>
      <c r="AU470" s="418">
        <f t="shared" si="24"/>
        <v>2</v>
      </c>
      <c r="AV470" s="418">
        <f t="shared" si="25"/>
        <v>2019</v>
      </c>
      <c r="AW470" s="24"/>
      <c r="AX470" s="28"/>
      <c r="AY470" s="28" t="s">
        <v>272</v>
      </c>
      <c r="AZ470" s="132" t="s">
        <v>37</v>
      </c>
      <c r="BA470" s="132"/>
      <c r="BB470" s="24"/>
      <c r="BC470" s="135" t="s">
        <v>2090</v>
      </c>
      <c r="BD470" s="24">
        <v>43468</v>
      </c>
      <c r="BE470" s="135" t="s">
        <v>2091</v>
      </c>
      <c r="BF470" s="135" t="s">
        <v>2091</v>
      </c>
      <c r="BG470" s="135" t="s">
        <v>65</v>
      </c>
      <c r="BH470" s="135"/>
      <c r="BI470" s="314"/>
      <c r="BJ470" s="314"/>
      <c r="BK470" s="24"/>
      <c r="BL470" s="24"/>
      <c r="BM470" s="24"/>
      <c r="BN470" s="24"/>
      <c r="BO470" s="24"/>
      <c r="BP470" s="24"/>
      <c r="BQ470" s="24"/>
      <c r="BR470" s="43"/>
      <c r="BS470" s="24"/>
      <c r="BT470" s="24"/>
      <c r="BU470" s="24"/>
      <c r="BV470" s="132" t="e">
        <f>IF(#REF!="COMPLETO","OK","PENDIENTES")</f>
        <v>#REF!</v>
      </c>
      <c r="BW470" s="132"/>
      <c r="BX470" s="132"/>
      <c r="BY470" s="132"/>
      <c r="BZ470" s="132"/>
      <c r="CA470" s="132"/>
      <c r="CB470" s="132"/>
      <c r="CC470" s="22"/>
      <c r="CG470" s="24" t="s">
        <v>105</v>
      </c>
      <c r="CH470" s="24"/>
      <c r="CI470" s="24"/>
      <c r="CJ470" s="24"/>
    </row>
    <row r="471" spans="1:88" ht="15" customHeight="1">
      <c r="A471" s="18">
        <v>2018</v>
      </c>
      <c r="B471" s="18" t="str">
        <f>+INDEX(BDD!F:F,MATCH(P471,BDD!D:D,0))&amp;"-"&amp;INDEX(BDD!E:E,MATCH(P471,BDD!D:D,0))</f>
        <v>S-C</v>
      </c>
      <c r="C471" s="125" t="s">
        <v>484</v>
      </c>
      <c r="D471" s="150" t="s">
        <v>77</v>
      </c>
      <c r="E471" s="132"/>
      <c r="F471" s="24"/>
      <c r="G471" s="346">
        <v>8000000349</v>
      </c>
      <c r="H471" s="125" t="s">
        <v>2092</v>
      </c>
      <c r="I471" s="329"/>
      <c r="J471" s="346">
        <v>8000000349</v>
      </c>
      <c r="K471" s="24"/>
      <c r="L471" s="24"/>
      <c r="M471" s="24"/>
      <c r="N471" s="340" t="s">
        <v>486</v>
      </c>
      <c r="O471" s="334">
        <v>207580</v>
      </c>
      <c r="P471" s="25" t="s">
        <v>241</v>
      </c>
      <c r="Q471" s="127" t="s">
        <v>213</v>
      </c>
      <c r="R471" s="232" t="s">
        <v>2093</v>
      </c>
      <c r="S471" s="89">
        <v>43448</v>
      </c>
      <c r="T471" s="36">
        <v>90</v>
      </c>
      <c r="U471" s="125" t="s">
        <v>118</v>
      </c>
      <c r="V471" s="147" t="s">
        <v>2094</v>
      </c>
      <c r="W471" s="129"/>
      <c r="X471" s="88">
        <f>IF(RIGHT(U471,3)="ETA",AQ471+T471,IF(RIGHT(U471,2)="BL",BD471+T471," "))</f>
        <v>43566</v>
      </c>
      <c r="Y471" s="130" t="s">
        <v>20</v>
      </c>
      <c r="Z471" s="133" t="s">
        <v>72</v>
      </c>
      <c r="AA471" s="133"/>
      <c r="AB471" s="148">
        <v>540</v>
      </c>
      <c r="AC471" s="134">
        <v>774</v>
      </c>
      <c r="AD471" s="134"/>
      <c r="AE471" s="403">
        <f t="shared" si="23"/>
        <v>417960</v>
      </c>
      <c r="AF471" s="132">
        <v>20</v>
      </c>
      <c r="AG471" s="130" t="s">
        <v>5</v>
      </c>
      <c r="AH471" s="130"/>
      <c r="AI471" s="130" t="s">
        <v>34</v>
      </c>
      <c r="AJ471" s="130"/>
      <c r="AK471" s="130"/>
      <c r="AL471" s="232" t="s">
        <v>2035</v>
      </c>
      <c r="AM471" s="314"/>
      <c r="AN471" s="26"/>
      <c r="AO471" s="26"/>
      <c r="AP471" s="26"/>
      <c r="AQ471" s="26">
        <v>43509</v>
      </c>
      <c r="AR471" s="24"/>
      <c r="AS471" s="24"/>
      <c r="AT471" s="24">
        <v>43514</v>
      </c>
      <c r="AU471" s="418">
        <f t="shared" si="24"/>
        <v>2</v>
      </c>
      <c r="AV471" s="418">
        <f t="shared" si="25"/>
        <v>2019</v>
      </c>
      <c r="AW471" s="24"/>
      <c r="AX471" s="28"/>
      <c r="AY471" s="28" t="s">
        <v>218</v>
      </c>
      <c r="AZ471" s="132" t="s">
        <v>37</v>
      </c>
      <c r="BA471" s="132"/>
      <c r="BB471" s="24"/>
      <c r="BC471" s="135" t="s">
        <v>2095</v>
      </c>
      <c r="BD471" s="24">
        <v>43476</v>
      </c>
      <c r="BE471" s="135" t="s">
        <v>2096</v>
      </c>
      <c r="BF471" s="135" t="s">
        <v>2097</v>
      </c>
      <c r="BG471" s="135" t="s">
        <v>29</v>
      </c>
      <c r="BH471" s="135"/>
      <c r="BI471" s="314"/>
      <c r="BJ471" s="314"/>
      <c r="BK471" s="24"/>
      <c r="BL471" s="24"/>
      <c r="BM471" s="24"/>
      <c r="BN471" s="24"/>
      <c r="BO471" s="24"/>
      <c r="BP471" s="24"/>
      <c r="BQ471" s="24"/>
      <c r="BR471" s="43"/>
      <c r="BS471" s="24"/>
      <c r="BT471" s="24"/>
      <c r="BU471" s="24"/>
      <c r="BV471" s="132" t="e">
        <f>IF(#REF!="COMPLETO","OK","PENDIENTES")</f>
        <v>#REF!</v>
      </c>
      <c r="BW471" s="132"/>
      <c r="BX471" s="132"/>
      <c r="BY471" s="132"/>
      <c r="BZ471" s="132"/>
      <c r="CA471" s="132"/>
      <c r="CB471" s="132"/>
      <c r="CC471" s="22"/>
      <c r="CG471" s="24" t="s">
        <v>105</v>
      </c>
      <c r="CH471" s="24"/>
      <c r="CI471" s="24"/>
      <c r="CJ471" s="24"/>
    </row>
    <row r="472" spans="1:88" ht="15" customHeight="1">
      <c r="A472" s="18">
        <v>2018</v>
      </c>
      <c r="B472" s="18" t="str">
        <f>+INDEX(BDD!F:F,MATCH(P472,BDD!D:D,0))&amp;"-"&amp;INDEX(BDD!E:E,MATCH(P472,BDD!D:D,0))</f>
        <v>S-C</v>
      </c>
      <c r="C472" s="125" t="s">
        <v>484</v>
      </c>
      <c r="D472" s="150" t="s">
        <v>77</v>
      </c>
      <c r="E472" s="132"/>
      <c r="F472" s="24"/>
      <c r="G472" s="346">
        <v>8000000367</v>
      </c>
      <c r="H472" s="125" t="s">
        <v>2098</v>
      </c>
      <c r="I472" s="329"/>
      <c r="J472" s="346">
        <v>8000000367</v>
      </c>
      <c r="K472" s="24"/>
      <c r="L472" s="24"/>
      <c r="M472" s="24"/>
      <c r="N472" s="340" t="s">
        <v>486</v>
      </c>
      <c r="O472" s="334">
        <v>207580</v>
      </c>
      <c r="P472" s="25" t="s">
        <v>241</v>
      </c>
      <c r="Q472" s="127" t="s">
        <v>213</v>
      </c>
      <c r="R472" s="232" t="s">
        <v>2099</v>
      </c>
      <c r="S472" s="89">
        <v>43448</v>
      </c>
      <c r="T472" s="36">
        <v>90</v>
      </c>
      <c r="U472" s="125" t="s">
        <v>118</v>
      </c>
      <c r="V472" s="147" t="s">
        <v>2100</v>
      </c>
      <c r="W472" s="129"/>
      <c r="X472" s="88">
        <f>IF(RIGHT(U472,3)="ETA",AQ472+T472,IF(RIGHT(U472,2)="BL",BD472+T472," "))</f>
        <v>43566</v>
      </c>
      <c r="Y472" s="130" t="s">
        <v>20</v>
      </c>
      <c r="Z472" s="133" t="s">
        <v>72</v>
      </c>
      <c r="AA472" s="133"/>
      <c r="AB472" s="148">
        <v>540</v>
      </c>
      <c r="AC472" s="134">
        <v>784</v>
      </c>
      <c r="AD472" s="134"/>
      <c r="AE472" s="403">
        <f t="shared" si="23"/>
        <v>423360</v>
      </c>
      <c r="AF472" s="132">
        <v>20</v>
      </c>
      <c r="AG472" s="130" t="s">
        <v>5</v>
      </c>
      <c r="AH472" s="130"/>
      <c r="AI472" s="130" t="s">
        <v>34</v>
      </c>
      <c r="AJ472" s="130"/>
      <c r="AK472" s="130"/>
      <c r="AL472" s="232" t="s">
        <v>2035</v>
      </c>
      <c r="AM472" s="314"/>
      <c r="AN472" s="26"/>
      <c r="AO472" s="26"/>
      <c r="AP472" s="26"/>
      <c r="AQ472" s="26">
        <v>43520</v>
      </c>
      <c r="AR472" s="24"/>
      <c r="AS472" s="24"/>
      <c r="AT472" s="26">
        <v>43523</v>
      </c>
      <c r="AU472" s="418">
        <f t="shared" si="24"/>
        <v>2</v>
      </c>
      <c r="AV472" s="418">
        <f t="shared" si="25"/>
        <v>2019</v>
      </c>
      <c r="AW472" s="26"/>
      <c r="AX472" s="28"/>
      <c r="AY472" s="28" t="s">
        <v>218</v>
      </c>
      <c r="AZ472" s="132" t="s">
        <v>9</v>
      </c>
      <c r="BA472" s="132"/>
      <c r="BB472" s="26"/>
      <c r="BC472" s="135" t="s">
        <v>2101</v>
      </c>
      <c r="BD472" s="24">
        <v>43476</v>
      </c>
      <c r="BE472" s="135" t="s">
        <v>2096</v>
      </c>
      <c r="BF472" s="135" t="s">
        <v>932</v>
      </c>
      <c r="BG472" s="135" t="s">
        <v>29</v>
      </c>
      <c r="BH472" s="135"/>
      <c r="BI472" s="314"/>
      <c r="BJ472" s="314"/>
      <c r="BK472" s="24"/>
      <c r="BL472" s="24"/>
      <c r="BM472" s="24"/>
      <c r="BN472" s="24"/>
      <c r="BO472" s="24"/>
      <c r="BP472" s="24"/>
      <c r="BQ472" s="24"/>
      <c r="BR472" s="43"/>
      <c r="BS472" s="24"/>
      <c r="BT472" s="24"/>
      <c r="BU472" s="24"/>
      <c r="BV472" s="132" t="e">
        <f>IF(#REF!="COMPLETO","OK","PENDIENTES")</f>
        <v>#REF!</v>
      </c>
      <c r="BW472" s="132"/>
      <c r="BX472" s="132"/>
      <c r="BY472" s="132"/>
      <c r="BZ472" s="132"/>
      <c r="CA472" s="132"/>
      <c r="CB472" s="132"/>
      <c r="CC472" s="22"/>
      <c r="CG472" s="24" t="s">
        <v>105</v>
      </c>
      <c r="CH472" s="24"/>
      <c r="CI472" s="26"/>
      <c r="CJ472" s="26"/>
    </row>
    <row r="473" spans="1:88" ht="15" customHeight="1">
      <c r="A473" s="18">
        <v>2019</v>
      </c>
      <c r="B473" s="18" t="str">
        <f>+INDEX(BDD!F:F,MATCH(P473,BDD!D:D,0))&amp;"-"&amp;INDEX(BDD!E:E,MATCH(P473,BDD!D:D,0))</f>
        <v>G-S</v>
      </c>
      <c r="C473" s="125" t="s">
        <v>484</v>
      </c>
      <c r="D473" s="150" t="s">
        <v>77</v>
      </c>
      <c r="E473" s="132"/>
      <c r="F473" s="24"/>
      <c r="G473" s="346">
        <v>8000000351</v>
      </c>
      <c r="H473" s="125" t="s">
        <v>2102</v>
      </c>
      <c r="I473" s="329"/>
      <c r="J473" s="346">
        <v>8000000351</v>
      </c>
      <c r="K473" s="24"/>
      <c r="L473" s="24"/>
      <c r="M473" s="24"/>
      <c r="N473" s="340" t="s">
        <v>486</v>
      </c>
      <c r="O473" s="334">
        <v>207951</v>
      </c>
      <c r="P473" s="25" t="s">
        <v>354</v>
      </c>
      <c r="Q473" s="127" t="s">
        <v>133</v>
      </c>
      <c r="R473" s="232" t="s">
        <v>2103</v>
      </c>
      <c r="S473" s="89">
        <v>43468</v>
      </c>
      <c r="T473" s="36" t="s">
        <v>19</v>
      </c>
      <c r="U473" s="125"/>
      <c r="V473" s="147" t="s">
        <v>2104</v>
      </c>
      <c r="W473" s="129"/>
      <c r="X473" s="88">
        <v>43490</v>
      </c>
      <c r="Y473" s="130" t="s">
        <v>20</v>
      </c>
      <c r="Z473" s="133" t="s">
        <v>60</v>
      </c>
      <c r="AA473" s="133"/>
      <c r="AB473" s="148">
        <v>990</v>
      </c>
      <c r="AC473" s="134">
        <v>316</v>
      </c>
      <c r="AD473" s="134"/>
      <c r="AE473" s="403">
        <f t="shared" si="23"/>
        <v>312840</v>
      </c>
      <c r="AF473" s="132" t="str">
        <f>IF(W473=BDD!$P$1,IMPORTS!AB473/25,IF(W473=BDD!$P$2,IMPORTS!AB473/25,IF(IMPORTS!W473=BDD!$P$4,IMPORTS!AB473/25.5,"--")))</f>
        <v>--</v>
      </c>
      <c r="AG473" s="130" t="s">
        <v>46</v>
      </c>
      <c r="AH473" s="130"/>
      <c r="AI473" s="130" t="s">
        <v>100</v>
      </c>
      <c r="AJ473" s="130"/>
      <c r="AK473" s="130"/>
      <c r="AL473" s="135" t="s">
        <v>2035</v>
      </c>
      <c r="AM473" s="314"/>
      <c r="AN473" s="26"/>
      <c r="AO473" s="26"/>
      <c r="AP473" s="26"/>
      <c r="AQ473" s="26">
        <v>43512</v>
      </c>
      <c r="AR473" s="24"/>
      <c r="AS473" s="24"/>
      <c r="AT473" s="26">
        <v>43524</v>
      </c>
      <c r="AU473" s="418">
        <f t="shared" si="24"/>
        <v>2</v>
      </c>
      <c r="AV473" s="418">
        <f t="shared" si="25"/>
        <v>2019</v>
      </c>
      <c r="AW473" s="26"/>
      <c r="AX473" s="28"/>
      <c r="AY473" s="28" t="s">
        <v>205</v>
      </c>
      <c r="AZ473" s="132" t="s">
        <v>9</v>
      </c>
      <c r="BA473" s="132"/>
      <c r="BB473" s="26"/>
      <c r="BC473" s="135">
        <v>14</v>
      </c>
      <c r="BD473" s="26">
        <v>43484</v>
      </c>
      <c r="BE473" s="135" t="s">
        <v>2105</v>
      </c>
      <c r="BF473" s="135" t="s">
        <v>2105</v>
      </c>
      <c r="BG473" s="135" t="s">
        <v>52</v>
      </c>
      <c r="BH473" s="135"/>
      <c r="BI473" s="314"/>
      <c r="BJ473" s="314"/>
      <c r="BK473" s="24"/>
      <c r="BL473" s="24"/>
      <c r="BM473" s="24"/>
      <c r="BN473" s="24"/>
      <c r="BO473" s="24"/>
      <c r="BP473" s="24"/>
      <c r="BQ473" s="24"/>
      <c r="BR473" s="43"/>
      <c r="BS473" s="24"/>
      <c r="BT473" s="24"/>
      <c r="BU473" s="24"/>
      <c r="BV473" s="132" t="e">
        <f>IF(#REF!="COMPLETO","OK","PENDIENTES")</f>
        <v>#REF!</v>
      </c>
      <c r="BW473" s="132"/>
      <c r="BX473" s="132"/>
      <c r="BY473" s="132"/>
      <c r="BZ473" s="132"/>
      <c r="CA473" s="132"/>
      <c r="CB473" s="132"/>
      <c r="CC473" s="22"/>
      <c r="CG473" s="24" t="s">
        <v>105</v>
      </c>
      <c r="CH473" s="24"/>
      <c r="CI473" s="26"/>
      <c r="CJ473" s="26"/>
    </row>
    <row r="474" spans="1:88" ht="15" customHeight="1">
      <c r="A474" s="18">
        <v>2019</v>
      </c>
      <c r="B474" s="18" t="str">
        <f>+INDEX(BDD!F:F,MATCH(P474,BDD!D:D,0))&amp;"-"&amp;INDEX(BDD!E:E,MATCH(P474,BDD!D:D,0))</f>
        <v>G-S</v>
      </c>
      <c r="C474" s="125" t="s">
        <v>484</v>
      </c>
      <c r="D474" s="150" t="s">
        <v>77</v>
      </c>
      <c r="E474" s="132"/>
      <c r="F474" s="24"/>
      <c r="G474" s="346">
        <v>8000000354</v>
      </c>
      <c r="H474" s="125" t="s">
        <v>2106</v>
      </c>
      <c r="I474" s="329"/>
      <c r="J474" s="346">
        <v>8000000354</v>
      </c>
      <c r="K474" s="24"/>
      <c r="L474" s="24"/>
      <c r="M474" s="24"/>
      <c r="N474" s="340" t="s">
        <v>486</v>
      </c>
      <c r="O474" s="334">
        <v>207951</v>
      </c>
      <c r="P474" s="25" t="s">
        <v>354</v>
      </c>
      <c r="Q474" s="127" t="s">
        <v>133</v>
      </c>
      <c r="R474" s="232" t="s">
        <v>2103</v>
      </c>
      <c r="S474" s="89">
        <v>43468</v>
      </c>
      <c r="T474" s="36" t="s">
        <v>19</v>
      </c>
      <c r="U474" s="125"/>
      <c r="V474" s="147" t="s">
        <v>2107</v>
      </c>
      <c r="W474" s="129"/>
      <c r="X474" s="88">
        <v>43490</v>
      </c>
      <c r="Y474" s="130" t="s">
        <v>20</v>
      </c>
      <c r="Z474" s="133" t="s">
        <v>60</v>
      </c>
      <c r="AA474" s="133"/>
      <c r="AB474" s="148">
        <v>1540</v>
      </c>
      <c r="AC474" s="134">
        <v>316</v>
      </c>
      <c r="AD474" s="134"/>
      <c r="AE474" s="403">
        <f t="shared" si="23"/>
        <v>486640</v>
      </c>
      <c r="AF474" s="132" t="str">
        <f>IF(W474=BDD!$P$1,IMPORTS!AB474/25,IF(W474=BDD!$P$2,IMPORTS!AB474/25,IF(IMPORTS!W474=BDD!$P$4,IMPORTS!AB474/25.5,"--")))</f>
        <v>--</v>
      </c>
      <c r="AG474" s="130" t="s">
        <v>46</v>
      </c>
      <c r="AH474" s="130"/>
      <c r="AI474" s="130" t="s">
        <v>100</v>
      </c>
      <c r="AJ474" s="130"/>
      <c r="AK474" s="130"/>
      <c r="AL474" s="135" t="s">
        <v>2035</v>
      </c>
      <c r="AM474" s="314"/>
      <c r="AN474" s="26"/>
      <c r="AO474" s="26"/>
      <c r="AP474" s="26"/>
      <c r="AQ474" s="26">
        <v>43517</v>
      </c>
      <c r="AR474" s="24"/>
      <c r="AS474" s="24"/>
      <c r="AT474" s="26">
        <v>43524</v>
      </c>
      <c r="AU474" s="418">
        <f t="shared" si="24"/>
        <v>2</v>
      </c>
      <c r="AV474" s="418">
        <f t="shared" si="25"/>
        <v>2019</v>
      </c>
      <c r="AW474" s="26"/>
      <c r="AX474" s="28"/>
      <c r="AY474" s="28" t="s">
        <v>205</v>
      </c>
      <c r="AZ474" s="132" t="s">
        <v>25</v>
      </c>
      <c r="BA474" s="132"/>
      <c r="BB474" s="26"/>
      <c r="BC474" s="135">
        <v>15</v>
      </c>
      <c r="BD474" s="26">
        <v>43484</v>
      </c>
      <c r="BE474" s="135" t="s">
        <v>2105</v>
      </c>
      <c r="BF474" s="135" t="s">
        <v>2105</v>
      </c>
      <c r="BG474" s="135" t="s">
        <v>52</v>
      </c>
      <c r="BH474" s="135"/>
      <c r="BI474" s="314"/>
      <c r="BJ474" s="314"/>
      <c r="BK474" s="24"/>
      <c r="BL474" s="24"/>
      <c r="BM474" s="24"/>
      <c r="BN474" s="24"/>
      <c r="BO474" s="24"/>
      <c r="BP474" s="24"/>
      <c r="BQ474" s="24"/>
      <c r="BR474" s="43"/>
      <c r="BS474" s="24"/>
      <c r="BT474" s="24"/>
      <c r="BU474" s="24"/>
      <c r="BV474" s="132" t="e">
        <f>IF(#REF!="COMPLETO","OK","PENDIENTES")</f>
        <v>#REF!</v>
      </c>
      <c r="BW474" s="132"/>
      <c r="BX474" s="132"/>
      <c r="BY474" s="132"/>
      <c r="BZ474" s="132"/>
      <c r="CA474" s="132"/>
      <c r="CB474" s="132"/>
      <c r="CC474" s="22"/>
      <c r="CG474" s="24" t="s">
        <v>105</v>
      </c>
      <c r="CH474" s="24"/>
      <c r="CI474" s="26"/>
      <c r="CJ474" s="26"/>
    </row>
    <row r="475" spans="1:88" ht="15" customHeight="1">
      <c r="A475" s="18">
        <v>2019</v>
      </c>
      <c r="B475" s="18" t="str">
        <f>+INDEX(BDD!F:F,MATCH(P475,BDD!D:D,0))&amp;"-"&amp;INDEX(BDD!E:E,MATCH(P475,BDD!D:D,0))</f>
        <v>G-S</v>
      </c>
      <c r="C475" s="125" t="s">
        <v>484</v>
      </c>
      <c r="D475" s="150" t="s">
        <v>77</v>
      </c>
      <c r="E475" s="132"/>
      <c r="F475" s="24"/>
      <c r="G475" s="346" t="s">
        <v>2109</v>
      </c>
      <c r="H475" s="125" t="s">
        <v>2108</v>
      </c>
      <c r="I475" s="329"/>
      <c r="J475" s="346" t="s">
        <v>2109</v>
      </c>
      <c r="K475" s="24"/>
      <c r="L475" s="24"/>
      <c r="M475" s="24"/>
      <c r="N475" s="340" t="s">
        <v>486</v>
      </c>
      <c r="O475" s="334">
        <v>207951</v>
      </c>
      <c r="P475" s="25" t="s">
        <v>354</v>
      </c>
      <c r="Q475" s="127" t="s">
        <v>133</v>
      </c>
      <c r="R475" s="232" t="s">
        <v>2103</v>
      </c>
      <c r="S475" s="89">
        <v>43468</v>
      </c>
      <c r="T475" s="36" t="s">
        <v>19</v>
      </c>
      <c r="U475" s="125"/>
      <c r="V475" s="147" t="s">
        <v>2110</v>
      </c>
      <c r="W475" s="129"/>
      <c r="X475" s="88">
        <v>43490</v>
      </c>
      <c r="Y475" s="130" t="s">
        <v>20</v>
      </c>
      <c r="Z475" s="133" t="s">
        <v>60</v>
      </c>
      <c r="AA475" s="133"/>
      <c r="AB475" s="148">
        <v>990</v>
      </c>
      <c r="AC475" s="134">
        <v>316</v>
      </c>
      <c r="AD475" s="134"/>
      <c r="AE475" s="403">
        <f t="shared" si="23"/>
        <v>312840</v>
      </c>
      <c r="AF475" s="132" t="str">
        <f>IF(W475=BDD!$P$1,IMPORTS!AB475/25,IF(W475=BDD!$P$2,IMPORTS!AB475/25,IF(IMPORTS!W475=BDD!$P$4,IMPORTS!AB475/25.5,"--")))</f>
        <v>--</v>
      </c>
      <c r="AG475" s="130" t="s">
        <v>46</v>
      </c>
      <c r="AH475" s="130"/>
      <c r="AI475" s="130" t="s">
        <v>100</v>
      </c>
      <c r="AJ475" s="130"/>
      <c r="AK475" s="130"/>
      <c r="AL475" s="135" t="s">
        <v>2035</v>
      </c>
      <c r="AM475" s="314"/>
      <c r="AN475" s="26"/>
      <c r="AO475" s="26"/>
      <c r="AP475" s="26"/>
      <c r="AQ475" s="26">
        <v>43526</v>
      </c>
      <c r="AR475" s="24"/>
      <c r="AS475" s="24"/>
      <c r="AT475" s="26">
        <v>43530</v>
      </c>
      <c r="AU475" s="418">
        <f t="shared" si="24"/>
        <v>3</v>
      </c>
      <c r="AV475" s="418">
        <f t="shared" si="25"/>
        <v>2019</v>
      </c>
      <c r="AW475" s="26"/>
      <c r="AX475" s="28"/>
      <c r="AY475" s="28" t="s">
        <v>205</v>
      </c>
      <c r="AZ475" s="132" t="s">
        <v>37</v>
      </c>
      <c r="BA475" s="132"/>
      <c r="BB475" s="26"/>
      <c r="BC475" s="135">
        <v>12</v>
      </c>
      <c r="BD475" s="26">
        <v>43484</v>
      </c>
      <c r="BE475" s="135" t="s">
        <v>2105</v>
      </c>
      <c r="BF475" s="135" t="s">
        <v>2105</v>
      </c>
      <c r="BG475" s="135" t="s">
        <v>52</v>
      </c>
      <c r="BH475" s="135"/>
      <c r="BI475" s="314"/>
      <c r="BJ475" s="314"/>
      <c r="BK475" s="24"/>
      <c r="BL475" s="24"/>
      <c r="BM475" s="24"/>
      <c r="BN475" s="24"/>
      <c r="BO475" s="24"/>
      <c r="BP475" s="24"/>
      <c r="BQ475" s="24"/>
      <c r="BR475" s="43"/>
      <c r="BS475" s="24"/>
      <c r="BT475" s="24"/>
      <c r="BU475" s="24"/>
      <c r="BV475" s="132" t="e">
        <f>IF(#REF!="COMPLETO","OK","PENDIENTES")</f>
        <v>#REF!</v>
      </c>
      <c r="BW475" s="132"/>
      <c r="BX475" s="132"/>
      <c r="BY475" s="132"/>
      <c r="BZ475" s="132"/>
      <c r="CA475" s="132"/>
      <c r="CB475" s="132"/>
      <c r="CC475" s="22"/>
      <c r="CG475" s="24" t="s">
        <v>105</v>
      </c>
      <c r="CH475" s="24"/>
      <c r="CI475" s="26"/>
      <c r="CJ475" s="26"/>
    </row>
    <row r="476" spans="1:88" ht="15" customHeight="1">
      <c r="A476" s="18">
        <v>2019</v>
      </c>
      <c r="B476" s="18" t="str">
        <f>+INDEX(BDD!F:F,MATCH(P476,BDD!D:D,0))&amp;"-"&amp;INDEX(BDD!E:E,MATCH(P476,BDD!D:D,0))</f>
        <v>G-S</v>
      </c>
      <c r="C476" s="125" t="s">
        <v>484</v>
      </c>
      <c r="D476" s="150" t="s">
        <v>77</v>
      </c>
      <c r="E476" s="132"/>
      <c r="F476" s="24"/>
      <c r="G476" s="346">
        <v>8000000356</v>
      </c>
      <c r="H476" s="125" t="s">
        <v>2111</v>
      </c>
      <c r="I476" s="329"/>
      <c r="J476" s="346">
        <v>8000000356</v>
      </c>
      <c r="K476" s="24"/>
      <c r="L476" s="24"/>
      <c r="M476" s="24"/>
      <c r="N476" s="340" t="s">
        <v>486</v>
      </c>
      <c r="O476" s="334">
        <v>207951</v>
      </c>
      <c r="P476" s="25" t="s">
        <v>354</v>
      </c>
      <c r="Q476" s="127" t="s">
        <v>133</v>
      </c>
      <c r="R476" s="232" t="s">
        <v>2103</v>
      </c>
      <c r="S476" s="89">
        <v>43468</v>
      </c>
      <c r="T476" s="36" t="s">
        <v>19</v>
      </c>
      <c r="U476" s="125"/>
      <c r="V476" s="147" t="s">
        <v>2112</v>
      </c>
      <c r="W476" s="129"/>
      <c r="X476" s="88">
        <v>43490</v>
      </c>
      <c r="Y476" s="130" t="s">
        <v>20</v>
      </c>
      <c r="Z476" s="133" t="s">
        <v>60</v>
      </c>
      <c r="AA476" s="133"/>
      <c r="AB476" s="148">
        <v>880</v>
      </c>
      <c r="AC476" s="134">
        <v>316</v>
      </c>
      <c r="AD476" s="134"/>
      <c r="AE476" s="403">
        <f t="shared" si="23"/>
        <v>278080</v>
      </c>
      <c r="AF476" s="132" t="str">
        <f>IF(W476=BDD!$P$1,IMPORTS!AB476/25,IF(W476=BDD!$P$2,IMPORTS!AB476/25,IF(IMPORTS!W476=BDD!$P$4,IMPORTS!AB476/25.5,"--")))</f>
        <v>--</v>
      </c>
      <c r="AG476" s="130" t="s">
        <v>46</v>
      </c>
      <c r="AH476" s="130"/>
      <c r="AI476" s="130" t="s">
        <v>100</v>
      </c>
      <c r="AJ476" s="130"/>
      <c r="AK476" s="130"/>
      <c r="AL476" s="135" t="s">
        <v>2035</v>
      </c>
      <c r="AM476" s="314"/>
      <c r="AN476" s="26"/>
      <c r="AO476" s="26"/>
      <c r="AP476" s="26"/>
      <c r="AQ476" s="26">
        <v>43532</v>
      </c>
      <c r="AR476" s="24"/>
      <c r="AS476" s="24"/>
      <c r="AT476" s="24">
        <v>43533</v>
      </c>
      <c r="AU476" s="418">
        <f t="shared" si="24"/>
        <v>3</v>
      </c>
      <c r="AV476" s="418">
        <f t="shared" si="25"/>
        <v>2019</v>
      </c>
      <c r="AW476" s="24"/>
      <c r="AX476" s="28"/>
      <c r="AY476" s="28" t="s">
        <v>205</v>
      </c>
      <c r="AZ476" s="132" t="s">
        <v>62</v>
      </c>
      <c r="BA476" s="132"/>
      <c r="BB476" s="24"/>
      <c r="BC476" s="135">
        <v>13</v>
      </c>
      <c r="BD476" s="26">
        <v>43484</v>
      </c>
      <c r="BE476" s="135" t="s">
        <v>2105</v>
      </c>
      <c r="BF476" s="135" t="s">
        <v>2105</v>
      </c>
      <c r="BG476" s="135" t="s">
        <v>52</v>
      </c>
      <c r="BH476" s="135"/>
      <c r="BI476" s="314"/>
      <c r="BJ476" s="314"/>
      <c r="BK476" s="24"/>
      <c r="BL476" s="24"/>
      <c r="BM476" s="24"/>
      <c r="BN476" s="24"/>
      <c r="BO476" s="24"/>
      <c r="BP476" s="24"/>
      <c r="BQ476" s="24"/>
      <c r="BR476" s="43"/>
      <c r="BS476" s="24"/>
      <c r="BT476" s="24"/>
      <c r="BU476" s="24"/>
      <c r="BV476" s="132" t="e">
        <f>IF(#REF!="COMPLETO","OK","PENDIENTES")</f>
        <v>#REF!</v>
      </c>
      <c r="BW476" s="132"/>
      <c r="BX476" s="132"/>
      <c r="BY476" s="132"/>
      <c r="BZ476" s="132"/>
      <c r="CA476" s="132"/>
      <c r="CB476" s="132"/>
      <c r="CC476" s="22"/>
      <c r="CG476" s="24" t="s">
        <v>105</v>
      </c>
      <c r="CH476" s="24"/>
      <c r="CI476" s="24"/>
      <c r="CJ476" s="24"/>
    </row>
    <row r="477" spans="1:88" ht="14.25" customHeight="1">
      <c r="A477" s="18">
        <v>2019</v>
      </c>
      <c r="B477" s="18" t="str">
        <f>+INDEX(BDD!F:F,MATCH(P477,BDD!D:D,0))&amp;"-"&amp;INDEX(BDD!E:E,MATCH(P477,BDD!D:D,0))</f>
        <v>G-S</v>
      </c>
      <c r="C477" s="360" t="s">
        <v>484</v>
      </c>
      <c r="D477" s="150" t="s">
        <v>77</v>
      </c>
      <c r="E477" s="132"/>
      <c r="F477" s="24"/>
      <c r="G477" s="346">
        <v>8000000352</v>
      </c>
      <c r="H477" s="220" t="s">
        <v>2113</v>
      </c>
      <c r="I477" s="329"/>
      <c r="J477" s="346">
        <v>8000000352</v>
      </c>
      <c r="K477" s="24"/>
      <c r="L477" s="24"/>
      <c r="M477" s="24"/>
      <c r="N477" s="340" t="s">
        <v>486</v>
      </c>
      <c r="O477" s="334">
        <v>207485</v>
      </c>
      <c r="P477" s="25" t="s">
        <v>353</v>
      </c>
      <c r="Q477" s="127" t="s">
        <v>133</v>
      </c>
      <c r="R477" s="232" t="s">
        <v>2103</v>
      </c>
      <c r="S477" s="89">
        <v>43468</v>
      </c>
      <c r="T477" s="36" t="s">
        <v>19</v>
      </c>
      <c r="U477" s="125"/>
      <c r="V477" s="147" t="s">
        <v>2114</v>
      </c>
      <c r="W477" s="129"/>
      <c r="X477" s="88">
        <v>43504</v>
      </c>
      <c r="Y477" s="130" t="s">
        <v>20</v>
      </c>
      <c r="Z477" s="133" t="s">
        <v>60</v>
      </c>
      <c r="AA477" s="133"/>
      <c r="AB477" s="148">
        <v>200</v>
      </c>
      <c r="AC477" s="134">
        <v>320</v>
      </c>
      <c r="AD477" s="134"/>
      <c r="AE477" s="403">
        <f t="shared" si="23"/>
        <v>64000</v>
      </c>
      <c r="AF477" s="132" t="str">
        <f>IF(W477=BDD!$P$1,IMPORTS!AB477/25,IF(W477=BDD!$P$2,IMPORTS!AB477/25,IF(IMPORTS!W477=BDD!$P$4,IMPORTS!AB477/25.5,"--")))</f>
        <v>--</v>
      </c>
      <c r="AG477" s="130" t="s">
        <v>46</v>
      </c>
      <c r="AH477" s="130"/>
      <c r="AI477" s="130" t="s">
        <v>100</v>
      </c>
      <c r="AJ477" s="130"/>
      <c r="AK477" s="130"/>
      <c r="AL477" s="135" t="s">
        <v>2035</v>
      </c>
      <c r="AM477" s="314"/>
      <c r="AN477" s="26"/>
      <c r="AO477" s="26"/>
      <c r="AP477" s="26"/>
      <c r="AQ477" s="26">
        <v>43512</v>
      </c>
      <c r="AR477" s="24"/>
      <c r="AS477" s="24"/>
      <c r="AT477" s="24">
        <v>43522</v>
      </c>
      <c r="AU477" s="418">
        <f t="shared" si="24"/>
        <v>2</v>
      </c>
      <c r="AV477" s="418">
        <f t="shared" si="25"/>
        <v>2019</v>
      </c>
      <c r="AW477" s="24"/>
      <c r="AX477" s="28"/>
      <c r="AY477" s="28" t="s">
        <v>205</v>
      </c>
      <c r="AZ477" s="132" t="s">
        <v>9</v>
      </c>
      <c r="BA477" s="132"/>
      <c r="BB477" s="24"/>
      <c r="BC477" s="135" t="s">
        <v>2115</v>
      </c>
      <c r="BD477" s="26">
        <v>43484</v>
      </c>
      <c r="BE477" s="135" t="s">
        <v>2105</v>
      </c>
      <c r="BF477" s="135" t="s">
        <v>2105</v>
      </c>
      <c r="BG477" s="135" t="s">
        <v>52</v>
      </c>
      <c r="BH477" s="135"/>
      <c r="BI477" s="314"/>
      <c r="BJ477" s="314"/>
      <c r="BK477" s="24"/>
      <c r="BL477" s="24"/>
      <c r="BM477" s="24"/>
      <c r="BN477" s="24"/>
      <c r="BO477" s="24"/>
      <c r="BP477" s="24"/>
      <c r="BQ477" s="24"/>
      <c r="BR477" s="43"/>
      <c r="BS477" s="24"/>
      <c r="BT477" s="24"/>
      <c r="BU477" s="24"/>
      <c r="BV477" s="132" t="e">
        <f>IF(#REF!="COMPLETO","OK","PENDIENTES")</f>
        <v>#REF!</v>
      </c>
      <c r="BW477" s="132"/>
      <c r="BX477" s="132"/>
      <c r="BY477" s="132"/>
      <c r="BZ477" s="132"/>
      <c r="CA477" s="132"/>
      <c r="CB477" s="132"/>
      <c r="CC477" s="22"/>
      <c r="CG477" s="24" t="s">
        <v>105</v>
      </c>
      <c r="CH477" s="24"/>
      <c r="CI477" s="24"/>
      <c r="CJ477" s="24"/>
    </row>
    <row r="478" spans="1:88" ht="15.75" customHeight="1">
      <c r="A478" s="18">
        <v>2019</v>
      </c>
      <c r="B478" s="18" t="str">
        <f>+INDEX(BDD!F:F,MATCH(P478,BDD!D:D,0))&amp;"-"&amp;INDEX(BDD!E:E,MATCH(P478,BDD!D:D,0))</f>
        <v>G-S</v>
      </c>
      <c r="C478" s="125" t="s">
        <v>484</v>
      </c>
      <c r="D478" s="150" t="s">
        <v>77</v>
      </c>
      <c r="E478" s="132"/>
      <c r="F478" s="24"/>
      <c r="G478" s="346">
        <v>8000000357</v>
      </c>
      <c r="H478" s="125" t="s">
        <v>2116</v>
      </c>
      <c r="I478" s="329"/>
      <c r="J478" s="346">
        <v>8000000357</v>
      </c>
      <c r="K478" s="24"/>
      <c r="L478" s="24"/>
      <c r="M478" s="24"/>
      <c r="N478" s="340" t="s">
        <v>486</v>
      </c>
      <c r="O478" s="334">
        <v>207485</v>
      </c>
      <c r="P478" s="25" t="s">
        <v>353</v>
      </c>
      <c r="Q478" s="127" t="s">
        <v>133</v>
      </c>
      <c r="R478" s="232" t="s">
        <v>2103</v>
      </c>
      <c r="S478" s="89">
        <v>43468</v>
      </c>
      <c r="T478" s="36" t="s">
        <v>19</v>
      </c>
      <c r="U478" s="125"/>
      <c r="V478" s="147" t="s">
        <v>2117</v>
      </c>
      <c r="W478" s="129"/>
      <c r="X478" s="88">
        <v>43490</v>
      </c>
      <c r="Y478" s="130" t="s">
        <v>20</v>
      </c>
      <c r="Z478" s="133" t="s">
        <v>60</v>
      </c>
      <c r="AA478" s="133"/>
      <c r="AB478" s="148">
        <v>2090</v>
      </c>
      <c r="AC478" s="134">
        <v>326</v>
      </c>
      <c r="AD478" s="134"/>
      <c r="AE478" s="403">
        <f t="shared" si="23"/>
        <v>681340</v>
      </c>
      <c r="AF478" s="132" t="str">
        <f>IF(W478=BDD!$P$1,IMPORTS!AB478/25,IF(W478=BDD!$P$2,IMPORTS!AB478/25,IF(IMPORTS!W478=BDD!$P$4,IMPORTS!AB478/25.5,"--")))</f>
        <v>--</v>
      </c>
      <c r="AG478" s="130" t="s">
        <v>46</v>
      </c>
      <c r="AH478" s="130"/>
      <c r="AI478" s="130" t="s">
        <v>100</v>
      </c>
      <c r="AJ478" s="130"/>
      <c r="AK478" s="130"/>
      <c r="AL478" s="135" t="s">
        <v>2035</v>
      </c>
      <c r="AM478" s="314"/>
      <c r="AN478" s="26"/>
      <c r="AO478" s="26"/>
      <c r="AP478" s="26"/>
      <c r="AQ478" s="26">
        <v>43517</v>
      </c>
      <c r="AR478" s="24"/>
      <c r="AS478" s="24"/>
      <c r="AT478" s="26">
        <v>43523</v>
      </c>
      <c r="AU478" s="418">
        <f t="shared" si="24"/>
        <v>2</v>
      </c>
      <c r="AV478" s="418">
        <f t="shared" si="25"/>
        <v>2019</v>
      </c>
      <c r="AW478" s="26"/>
      <c r="AX478" s="28"/>
      <c r="AY478" s="28" t="s">
        <v>205</v>
      </c>
      <c r="AZ478" s="132" t="s">
        <v>25</v>
      </c>
      <c r="BA478" s="132"/>
      <c r="BB478" s="26"/>
      <c r="BC478" s="135">
        <v>4</v>
      </c>
      <c r="BD478" s="26">
        <v>43484</v>
      </c>
      <c r="BE478" s="135" t="s">
        <v>2105</v>
      </c>
      <c r="BF478" s="135" t="s">
        <v>2105</v>
      </c>
      <c r="BG478" s="135" t="s">
        <v>52</v>
      </c>
      <c r="BH478" s="135"/>
      <c r="BI478" s="314"/>
      <c r="BJ478" s="314"/>
      <c r="BK478" s="24"/>
      <c r="BL478" s="24"/>
      <c r="BM478" s="24"/>
      <c r="BN478" s="24"/>
      <c r="BO478" s="24"/>
      <c r="BP478" s="24"/>
      <c r="BQ478" s="24"/>
      <c r="BR478" s="43"/>
      <c r="BS478" s="24"/>
      <c r="BT478" s="24"/>
      <c r="BU478" s="24"/>
      <c r="BV478" s="132" t="e">
        <f>IF(#REF!="COMPLETO","OK","PENDIENTES")</f>
        <v>#REF!</v>
      </c>
      <c r="BW478" s="132"/>
      <c r="BX478" s="132"/>
      <c r="BY478" s="132"/>
      <c r="BZ478" s="132"/>
      <c r="CA478" s="132"/>
      <c r="CB478" s="132"/>
      <c r="CC478" s="22"/>
      <c r="CG478" s="24" t="s">
        <v>105</v>
      </c>
      <c r="CH478" s="24"/>
      <c r="CI478" s="26"/>
      <c r="CJ478" s="26"/>
    </row>
    <row r="479" spans="1:88" ht="15" customHeight="1">
      <c r="A479" s="18">
        <v>2019</v>
      </c>
      <c r="B479" s="18" t="str">
        <f>+INDEX(BDD!F:F,MATCH(P479,BDD!D:D,0))&amp;"-"&amp;INDEX(BDD!E:E,MATCH(P479,BDD!D:D,0))</f>
        <v>G-S</v>
      </c>
      <c r="C479" s="360" t="s">
        <v>484</v>
      </c>
      <c r="D479" s="150" t="s">
        <v>77</v>
      </c>
      <c r="E479" s="132"/>
      <c r="F479" s="24"/>
      <c r="G479" s="346">
        <v>8000000358</v>
      </c>
      <c r="H479" s="220" t="s">
        <v>2118</v>
      </c>
      <c r="I479" s="329"/>
      <c r="J479" s="346">
        <v>8000000358</v>
      </c>
      <c r="K479" s="24"/>
      <c r="L479" s="24"/>
      <c r="M479" s="24"/>
      <c r="N479" s="340" t="s">
        <v>486</v>
      </c>
      <c r="O479" s="334">
        <v>207485</v>
      </c>
      <c r="P479" s="25" t="s">
        <v>353</v>
      </c>
      <c r="Q479" s="127" t="s">
        <v>133</v>
      </c>
      <c r="R479" s="232" t="s">
        <v>2103</v>
      </c>
      <c r="S479" s="89">
        <v>43468</v>
      </c>
      <c r="T479" s="36" t="s">
        <v>19</v>
      </c>
      <c r="U479" s="125"/>
      <c r="V479" s="147" t="s">
        <v>2119</v>
      </c>
      <c r="W479" s="129"/>
      <c r="X479" s="88">
        <v>43504</v>
      </c>
      <c r="Y479" s="130" t="s">
        <v>20</v>
      </c>
      <c r="Z479" s="133" t="s">
        <v>60</v>
      </c>
      <c r="AA479" s="133"/>
      <c r="AB479" s="148">
        <v>1000</v>
      </c>
      <c r="AC479" s="134">
        <v>320</v>
      </c>
      <c r="AD479" s="134"/>
      <c r="AE479" s="403">
        <f t="shared" si="23"/>
        <v>320000</v>
      </c>
      <c r="AF479" s="132" t="str">
        <f>IF(W479=BDD!$P$1,IMPORTS!AB479/25,IF(W479=BDD!$P$2,IMPORTS!AB479/25,IF(IMPORTS!W479=BDD!$P$4,IMPORTS!AB479/25.5,"--")))</f>
        <v>--</v>
      </c>
      <c r="AG479" s="130" t="s">
        <v>46</v>
      </c>
      <c r="AH479" s="130"/>
      <c r="AI479" s="130" t="s">
        <v>100</v>
      </c>
      <c r="AJ479" s="130"/>
      <c r="AK479" s="130"/>
      <c r="AL479" s="135" t="s">
        <v>2035</v>
      </c>
      <c r="AM479" s="314"/>
      <c r="AN479" s="26"/>
      <c r="AO479" s="26"/>
      <c r="AP479" s="26"/>
      <c r="AQ479" s="26">
        <v>43526</v>
      </c>
      <c r="AR479" s="24"/>
      <c r="AS479" s="24"/>
      <c r="AT479" s="26">
        <v>43529</v>
      </c>
      <c r="AU479" s="418">
        <f t="shared" si="24"/>
        <v>3</v>
      </c>
      <c r="AV479" s="418">
        <f t="shared" si="25"/>
        <v>2019</v>
      </c>
      <c r="AW479" s="26"/>
      <c r="AX479" s="28"/>
      <c r="AY479" s="28" t="s">
        <v>205</v>
      </c>
      <c r="AZ479" s="132" t="s">
        <v>37</v>
      </c>
      <c r="BA479" s="132"/>
      <c r="BB479" s="26"/>
      <c r="BC479" s="135" t="s">
        <v>2120</v>
      </c>
      <c r="BD479" s="26">
        <v>43484</v>
      </c>
      <c r="BE479" s="135" t="s">
        <v>2105</v>
      </c>
      <c r="BF479" s="135" t="s">
        <v>2105</v>
      </c>
      <c r="BG479" s="135" t="s">
        <v>52</v>
      </c>
      <c r="BH479" s="135"/>
      <c r="BI479" s="314"/>
      <c r="BJ479" s="314"/>
      <c r="BK479" s="24"/>
      <c r="BL479" s="24"/>
      <c r="BM479" s="24"/>
      <c r="BN479" s="24"/>
      <c r="BO479" s="24"/>
      <c r="BP479" s="24"/>
      <c r="BQ479" s="24"/>
      <c r="BR479" s="43"/>
      <c r="BS479" s="24"/>
      <c r="BT479" s="24"/>
      <c r="BU479" s="24"/>
      <c r="BV479" s="132" t="e">
        <f>IF(#REF!="COMPLETO","OK","PENDIENTES")</f>
        <v>#REF!</v>
      </c>
      <c r="BW479" s="132"/>
      <c r="BX479" s="132"/>
      <c r="BY479" s="132"/>
      <c r="BZ479" s="132"/>
      <c r="CA479" s="132"/>
      <c r="CB479" s="132"/>
      <c r="CC479" s="22"/>
      <c r="CG479" s="24" t="s">
        <v>105</v>
      </c>
      <c r="CH479" s="24"/>
      <c r="CI479" s="26"/>
      <c r="CJ479" s="26"/>
    </row>
    <row r="480" spans="1:88" ht="15" customHeight="1">
      <c r="A480" s="18">
        <v>2019</v>
      </c>
      <c r="B480" s="18" t="str">
        <f>+INDEX(BDD!F:F,MATCH(P480,BDD!D:D,0))&amp;"-"&amp;INDEX(BDD!E:E,MATCH(P480,BDD!D:D,0))</f>
        <v>G-S</v>
      </c>
      <c r="C480" s="125" t="s">
        <v>484</v>
      </c>
      <c r="D480" s="150" t="s">
        <v>77</v>
      </c>
      <c r="E480" s="132"/>
      <c r="F480" s="24"/>
      <c r="G480" s="346">
        <v>8000000359</v>
      </c>
      <c r="H480" s="125" t="s">
        <v>2121</v>
      </c>
      <c r="I480" s="329"/>
      <c r="J480" s="346">
        <v>8000000359</v>
      </c>
      <c r="K480" s="24"/>
      <c r="L480" s="24"/>
      <c r="M480" s="24"/>
      <c r="N480" s="340" t="s">
        <v>486</v>
      </c>
      <c r="O480" s="334">
        <v>207485</v>
      </c>
      <c r="P480" s="25" t="s">
        <v>353</v>
      </c>
      <c r="Q480" s="127" t="s">
        <v>133</v>
      </c>
      <c r="R480" s="232" t="s">
        <v>2103</v>
      </c>
      <c r="S480" s="89">
        <v>43468</v>
      </c>
      <c r="T480" s="36" t="s">
        <v>19</v>
      </c>
      <c r="U480" s="125"/>
      <c r="V480" s="147" t="s">
        <v>2122</v>
      </c>
      <c r="W480" s="129"/>
      <c r="X480" s="88">
        <v>43490</v>
      </c>
      <c r="Y480" s="130" t="s">
        <v>20</v>
      </c>
      <c r="Z480" s="133" t="s">
        <v>60</v>
      </c>
      <c r="AA480" s="133"/>
      <c r="AB480" s="148">
        <v>660</v>
      </c>
      <c r="AC480" s="134">
        <v>326</v>
      </c>
      <c r="AD480" s="134"/>
      <c r="AE480" s="403">
        <f t="shared" si="23"/>
        <v>215160</v>
      </c>
      <c r="AF480" s="132" t="str">
        <f>IF(W480=BDD!$P$1,IMPORTS!AB480/25,IF(W480=BDD!$P$2,IMPORTS!AB480/25,IF(IMPORTS!W480=BDD!$P$4,IMPORTS!AB480/25.5,"--")))</f>
        <v>--</v>
      </c>
      <c r="AG480" s="130" t="s">
        <v>46</v>
      </c>
      <c r="AH480" s="130"/>
      <c r="AI480" s="130" t="s">
        <v>100</v>
      </c>
      <c r="AJ480" s="130"/>
      <c r="AK480" s="130"/>
      <c r="AL480" s="135" t="s">
        <v>2035</v>
      </c>
      <c r="AM480" s="314"/>
      <c r="AN480" s="26"/>
      <c r="AO480" s="26"/>
      <c r="AP480" s="26"/>
      <c r="AQ480" s="26">
        <v>43532</v>
      </c>
      <c r="AR480" s="24"/>
      <c r="AS480" s="24"/>
      <c r="AT480" s="24">
        <v>43533</v>
      </c>
      <c r="AU480" s="418">
        <f t="shared" si="24"/>
        <v>3</v>
      </c>
      <c r="AV480" s="418">
        <f t="shared" si="25"/>
        <v>2019</v>
      </c>
      <c r="AW480" s="24"/>
      <c r="AX480" s="28"/>
      <c r="AY480" s="28" t="s">
        <v>205</v>
      </c>
      <c r="AZ480" s="132" t="s">
        <v>62</v>
      </c>
      <c r="BA480" s="132"/>
      <c r="BB480" s="24"/>
      <c r="BC480" s="135">
        <v>2</v>
      </c>
      <c r="BD480" s="26">
        <v>43484</v>
      </c>
      <c r="BE480" s="135" t="s">
        <v>2105</v>
      </c>
      <c r="BF480" s="135" t="s">
        <v>2105</v>
      </c>
      <c r="BG480" s="135" t="s">
        <v>52</v>
      </c>
      <c r="BH480" s="135"/>
      <c r="BI480" s="314"/>
      <c r="BJ480" s="314"/>
      <c r="BK480" s="24"/>
      <c r="BL480" s="24"/>
      <c r="BM480" s="24"/>
      <c r="BN480" s="24"/>
      <c r="BO480" s="24"/>
      <c r="BP480" s="24"/>
      <c r="BQ480" s="24"/>
      <c r="BR480" s="43"/>
      <c r="BS480" s="24"/>
      <c r="BT480" s="24"/>
      <c r="BU480" s="24"/>
      <c r="BV480" s="132" t="e">
        <f>IF(#REF!="COMPLETO","OK","PENDIENTES")</f>
        <v>#REF!</v>
      </c>
      <c r="BW480" s="132"/>
      <c r="BX480" s="132"/>
      <c r="BY480" s="132"/>
      <c r="BZ480" s="132"/>
      <c r="CA480" s="132"/>
      <c r="CB480" s="132"/>
      <c r="CC480" s="22"/>
      <c r="CG480" s="24" t="s">
        <v>105</v>
      </c>
      <c r="CH480" s="24"/>
      <c r="CI480" s="24"/>
      <c r="CJ480" s="24"/>
    </row>
    <row r="481" spans="1:88" ht="15" customHeight="1">
      <c r="A481" s="18">
        <v>2019</v>
      </c>
      <c r="B481" s="18" t="str">
        <f>+INDEX(BDD!F:F,MATCH(P481,BDD!D:D,0))&amp;"-"&amp;INDEX(BDD!E:E,MATCH(P481,BDD!D:D,0))</f>
        <v>A-S</v>
      </c>
      <c r="C481" s="125" t="s">
        <v>484</v>
      </c>
      <c r="D481" s="150" t="s">
        <v>77</v>
      </c>
      <c r="E481" s="132"/>
      <c r="F481" s="24"/>
      <c r="G481" s="346">
        <v>8000000313</v>
      </c>
      <c r="H481" s="125" t="s">
        <v>2123</v>
      </c>
      <c r="I481" s="329"/>
      <c r="J481" s="346">
        <v>8000000313</v>
      </c>
      <c r="K481" s="24"/>
      <c r="L481" s="24"/>
      <c r="M481" s="24"/>
      <c r="N481" s="340" t="s">
        <v>486</v>
      </c>
      <c r="O481" s="334"/>
      <c r="P481" s="25" t="s">
        <v>318</v>
      </c>
      <c r="Q481" s="127" t="s">
        <v>54</v>
      </c>
      <c r="R481" s="232" t="s">
        <v>544</v>
      </c>
      <c r="S481" s="89">
        <v>43453</v>
      </c>
      <c r="T481" s="36">
        <v>90</v>
      </c>
      <c r="U481" s="125" t="s">
        <v>118</v>
      </c>
      <c r="V481" s="147" t="s">
        <v>2124</v>
      </c>
      <c r="W481" s="129"/>
      <c r="X481" s="88">
        <v>43522</v>
      </c>
      <c r="Y481" s="130" t="s">
        <v>20</v>
      </c>
      <c r="Z481" s="133" t="s">
        <v>81</v>
      </c>
      <c r="AA481" s="133"/>
      <c r="AB481" s="148">
        <v>1</v>
      </c>
      <c r="AC481" s="134">
        <v>6370</v>
      </c>
      <c r="AD481" s="134"/>
      <c r="AE481" s="403">
        <f t="shared" si="23"/>
        <v>6370</v>
      </c>
      <c r="AF481" s="132" t="str">
        <f>IF(W481=BDD!$P$1,IMPORTS!AB481/25,IF(W481=BDD!$P$2,IMPORTS!AB481/25,IF(IMPORTS!W481=BDD!$P$4,IMPORTS!AB481/25.5,"--")))</f>
        <v>--</v>
      </c>
      <c r="AG481" s="130" t="s">
        <v>5</v>
      </c>
      <c r="AH481" s="130"/>
      <c r="AI481" s="130" t="s">
        <v>112</v>
      </c>
      <c r="AJ481" s="130"/>
      <c r="AK481" s="130"/>
      <c r="AL481" s="135" t="s">
        <v>2125</v>
      </c>
      <c r="AM481" s="314"/>
      <c r="AN481" s="26"/>
      <c r="AO481" s="26"/>
      <c r="AP481" s="26"/>
      <c r="AQ481" s="26">
        <v>43607</v>
      </c>
      <c r="AR481" s="24"/>
      <c r="AS481" s="24"/>
      <c r="AT481" s="26">
        <v>43631</v>
      </c>
      <c r="AU481" s="418">
        <f t="shared" si="24"/>
        <v>6</v>
      </c>
      <c r="AV481" s="418">
        <f t="shared" si="25"/>
        <v>2019</v>
      </c>
      <c r="AW481" s="26"/>
      <c r="AX481" s="28"/>
      <c r="AY481" s="28" t="s">
        <v>272</v>
      </c>
      <c r="AZ481" s="132" t="s">
        <v>37</v>
      </c>
      <c r="BA481" s="132"/>
      <c r="BB481" s="26"/>
      <c r="BC481" s="135" t="s">
        <v>2126</v>
      </c>
      <c r="BD481" s="24">
        <v>43572</v>
      </c>
      <c r="BE481" s="135" t="s">
        <v>2127</v>
      </c>
      <c r="BF481" s="135" t="s">
        <v>2127</v>
      </c>
      <c r="BG481" s="135" t="s">
        <v>145</v>
      </c>
      <c r="BH481" s="135"/>
      <c r="BI481" s="314"/>
      <c r="BJ481" s="314"/>
      <c r="BK481" s="24"/>
      <c r="BL481" s="24"/>
      <c r="BM481" s="24"/>
      <c r="BN481" s="24"/>
      <c r="BO481" s="24">
        <f t="shared" ref="BO481:BO500" si="26">+AQ481+21</f>
        <v>43628</v>
      </c>
      <c r="BP481" s="24"/>
      <c r="BQ481" s="24"/>
      <c r="BR481" s="43"/>
      <c r="BS481" s="24"/>
      <c r="BT481" s="24"/>
      <c r="BU481" s="24"/>
      <c r="BV481" s="132" t="e">
        <f>IF(#REF!="COMPLETO","OK","PENDIENTES")</f>
        <v>#REF!</v>
      </c>
      <c r="BW481" s="132"/>
      <c r="BX481" s="132"/>
      <c r="BY481" s="132"/>
      <c r="BZ481" s="132"/>
      <c r="CA481" s="132"/>
      <c r="CB481" s="132"/>
      <c r="CC481" s="22"/>
      <c r="CG481" s="24" t="s">
        <v>105</v>
      </c>
      <c r="CH481" s="24"/>
      <c r="CI481" s="26"/>
      <c r="CJ481" s="26"/>
    </row>
    <row r="482" spans="1:88" ht="15" customHeight="1">
      <c r="A482" s="18">
        <v>2019</v>
      </c>
      <c r="B482" s="18" t="str">
        <f>+INDEX(BDD!F:F,MATCH(P482,BDD!D:D,0))&amp;"-"&amp;INDEX(BDD!E:E,MATCH(P482,BDD!D:D,0))</f>
        <v>A-S</v>
      </c>
      <c r="C482" s="125" t="s">
        <v>484</v>
      </c>
      <c r="D482" s="150" t="s">
        <v>77</v>
      </c>
      <c r="E482" s="132"/>
      <c r="F482" s="24"/>
      <c r="G482" s="346">
        <v>8000000313</v>
      </c>
      <c r="H482" s="125" t="s">
        <v>2128</v>
      </c>
      <c r="I482" s="329"/>
      <c r="J482" s="346">
        <v>8000000313</v>
      </c>
      <c r="K482" s="24"/>
      <c r="L482" s="24"/>
      <c r="M482" s="24"/>
      <c r="N482" s="340" t="s">
        <v>486</v>
      </c>
      <c r="O482" s="334"/>
      <c r="P482" s="25" t="s">
        <v>320</v>
      </c>
      <c r="Q482" s="127" t="s">
        <v>54</v>
      </c>
      <c r="R482" s="232" t="s">
        <v>544</v>
      </c>
      <c r="S482" s="89">
        <v>43453</v>
      </c>
      <c r="T482" s="36">
        <v>90</v>
      </c>
      <c r="U482" s="125" t="s">
        <v>118</v>
      </c>
      <c r="V482" s="147" t="s">
        <v>2124</v>
      </c>
      <c r="W482" s="129"/>
      <c r="X482" s="88">
        <v>43522</v>
      </c>
      <c r="Y482" s="130" t="s">
        <v>20</v>
      </c>
      <c r="Z482" s="133" t="s">
        <v>81</v>
      </c>
      <c r="AA482" s="133"/>
      <c r="AB482" s="148">
        <v>0.25</v>
      </c>
      <c r="AC482" s="134">
        <v>7210</v>
      </c>
      <c r="AD482" s="134"/>
      <c r="AE482" s="403">
        <f t="shared" si="23"/>
        <v>1802.5</v>
      </c>
      <c r="AF482" s="132" t="str">
        <f>IF(W482=BDD!$P$1,IMPORTS!AB482/25,IF(W482=BDD!$P$2,IMPORTS!AB482/25,IF(IMPORTS!W482=BDD!$P$4,IMPORTS!AB482/25.5,"--")))</f>
        <v>--</v>
      </c>
      <c r="AG482" s="130" t="s">
        <v>5</v>
      </c>
      <c r="AH482" s="130"/>
      <c r="AI482" s="130" t="s">
        <v>112</v>
      </c>
      <c r="AJ482" s="130"/>
      <c r="AK482" s="130"/>
      <c r="AL482" s="135" t="s">
        <v>2125</v>
      </c>
      <c r="AM482" s="314"/>
      <c r="AN482" s="26"/>
      <c r="AO482" s="26"/>
      <c r="AP482" s="26"/>
      <c r="AQ482" s="26">
        <v>43607</v>
      </c>
      <c r="AR482" s="24"/>
      <c r="AS482" s="24"/>
      <c r="AT482" s="26">
        <v>43631</v>
      </c>
      <c r="AU482" s="418">
        <f t="shared" si="24"/>
        <v>6</v>
      </c>
      <c r="AV482" s="418">
        <f t="shared" si="25"/>
        <v>2019</v>
      </c>
      <c r="AW482" s="26"/>
      <c r="AX482" s="28"/>
      <c r="AY482" s="28" t="s">
        <v>272</v>
      </c>
      <c r="AZ482" s="132" t="s">
        <v>37</v>
      </c>
      <c r="BA482" s="132"/>
      <c r="BB482" s="26"/>
      <c r="BC482" s="135" t="s">
        <v>2126</v>
      </c>
      <c r="BD482" s="24">
        <v>43572</v>
      </c>
      <c r="BE482" s="135" t="s">
        <v>2127</v>
      </c>
      <c r="BF482" s="135" t="s">
        <v>2127</v>
      </c>
      <c r="BG482" s="135" t="s">
        <v>145</v>
      </c>
      <c r="BH482" s="135"/>
      <c r="BI482" s="314"/>
      <c r="BJ482" s="314"/>
      <c r="BK482" s="24"/>
      <c r="BL482" s="24"/>
      <c r="BM482" s="24"/>
      <c r="BN482" s="24"/>
      <c r="BO482" s="24">
        <f t="shared" si="26"/>
        <v>43628</v>
      </c>
      <c r="BP482" s="24"/>
      <c r="BQ482" s="24"/>
      <c r="BR482" s="43"/>
      <c r="BS482" s="24"/>
      <c r="BT482" s="24"/>
      <c r="BU482" s="24"/>
      <c r="BV482" s="132" t="e">
        <f>IF(#REF!="COMPLETO","OK","PENDIENTES")</f>
        <v>#REF!</v>
      </c>
      <c r="BW482" s="132"/>
      <c r="BX482" s="132"/>
      <c r="BY482" s="132"/>
      <c r="BZ482" s="132"/>
      <c r="CA482" s="132"/>
      <c r="CB482" s="132"/>
      <c r="CC482" s="22"/>
      <c r="CG482" s="24" t="s">
        <v>105</v>
      </c>
      <c r="CH482" s="24"/>
      <c r="CI482" s="26"/>
      <c r="CJ482" s="26"/>
    </row>
    <row r="483" spans="1:88" ht="15" customHeight="1">
      <c r="A483" s="18">
        <v>2019</v>
      </c>
      <c r="B483" s="18" t="str">
        <f>+INDEX(BDD!F:F,MATCH(P483,BDD!D:D,0))&amp;"-"&amp;INDEX(BDD!E:E,MATCH(P483,BDD!D:D,0))</f>
        <v>A-S</v>
      </c>
      <c r="C483" s="125" t="s">
        <v>484</v>
      </c>
      <c r="D483" s="150" t="s">
        <v>77</v>
      </c>
      <c r="E483" s="132"/>
      <c r="F483" s="24"/>
      <c r="G483" s="346">
        <v>8000000313</v>
      </c>
      <c r="H483" s="125" t="s">
        <v>2129</v>
      </c>
      <c r="I483" s="329"/>
      <c r="J483" s="346">
        <v>8000000313</v>
      </c>
      <c r="K483" s="24"/>
      <c r="L483" s="24"/>
      <c r="M483" s="24"/>
      <c r="N483" s="340" t="s">
        <v>486</v>
      </c>
      <c r="O483" s="334"/>
      <c r="P483" s="25" t="s">
        <v>322</v>
      </c>
      <c r="Q483" s="127" t="s">
        <v>54</v>
      </c>
      <c r="R483" s="232" t="s">
        <v>544</v>
      </c>
      <c r="S483" s="89">
        <v>43453</v>
      </c>
      <c r="T483" s="36">
        <v>90</v>
      </c>
      <c r="U483" s="125" t="s">
        <v>118</v>
      </c>
      <c r="V483" s="147" t="s">
        <v>2124</v>
      </c>
      <c r="W483" s="129"/>
      <c r="X483" s="88">
        <v>43522</v>
      </c>
      <c r="Y483" s="130" t="s">
        <v>20</v>
      </c>
      <c r="Z483" s="133" t="s">
        <v>81</v>
      </c>
      <c r="AA483" s="133"/>
      <c r="AB483" s="148">
        <v>1.5</v>
      </c>
      <c r="AC483" s="134">
        <v>15200</v>
      </c>
      <c r="AD483" s="134"/>
      <c r="AE483" s="403">
        <f t="shared" si="23"/>
        <v>22800</v>
      </c>
      <c r="AF483" s="132" t="str">
        <f>IF(W483=BDD!$P$1,IMPORTS!AB483/25,IF(W483=BDD!$P$2,IMPORTS!AB483/25,IF(IMPORTS!W483=BDD!$P$4,IMPORTS!AB483/25.5,"--")))</f>
        <v>--</v>
      </c>
      <c r="AG483" s="130" t="s">
        <v>5</v>
      </c>
      <c r="AH483" s="130"/>
      <c r="AI483" s="130" t="s">
        <v>112</v>
      </c>
      <c r="AJ483" s="130"/>
      <c r="AK483" s="130"/>
      <c r="AL483" s="135" t="s">
        <v>2125</v>
      </c>
      <c r="AM483" s="314"/>
      <c r="AN483" s="26"/>
      <c r="AO483" s="26"/>
      <c r="AP483" s="26"/>
      <c r="AQ483" s="26">
        <v>43607</v>
      </c>
      <c r="AR483" s="24"/>
      <c r="AS483" s="24"/>
      <c r="AT483" s="26">
        <v>43631</v>
      </c>
      <c r="AU483" s="418">
        <f t="shared" si="24"/>
        <v>6</v>
      </c>
      <c r="AV483" s="418">
        <f t="shared" si="25"/>
        <v>2019</v>
      </c>
      <c r="AW483" s="26"/>
      <c r="AX483" s="28"/>
      <c r="AY483" s="28" t="s">
        <v>272</v>
      </c>
      <c r="AZ483" s="132" t="s">
        <v>37</v>
      </c>
      <c r="BA483" s="132"/>
      <c r="BB483" s="26"/>
      <c r="BC483" s="135" t="s">
        <v>2126</v>
      </c>
      <c r="BD483" s="24">
        <v>43572</v>
      </c>
      <c r="BE483" s="135" t="s">
        <v>2127</v>
      </c>
      <c r="BF483" s="135" t="s">
        <v>2127</v>
      </c>
      <c r="BG483" s="135" t="s">
        <v>145</v>
      </c>
      <c r="BH483" s="135"/>
      <c r="BI483" s="314"/>
      <c r="BJ483" s="314"/>
      <c r="BK483" s="24"/>
      <c r="BL483" s="24"/>
      <c r="BM483" s="24"/>
      <c r="BN483" s="24"/>
      <c r="BO483" s="24">
        <f t="shared" si="26"/>
        <v>43628</v>
      </c>
      <c r="BP483" s="24"/>
      <c r="BQ483" s="24"/>
      <c r="BR483" s="43"/>
      <c r="BS483" s="24"/>
      <c r="BT483" s="24"/>
      <c r="BU483" s="24"/>
      <c r="BV483" s="132" t="e">
        <f>IF(#REF!="COMPLETO","OK","PENDIENTES")</f>
        <v>#REF!</v>
      </c>
      <c r="BW483" s="132"/>
      <c r="BX483" s="132"/>
      <c r="BY483" s="132"/>
      <c r="BZ483" s="132"/>
      <c r="CA483" s="132"/>
      <c r="CB483" s="132"/>
      <c r="CC483" s="22"/>
      <c r="CG483" s="24" t="s">
        <v>105</v>
      </c>
      <c r="CH483" s="24"/>
      <c r="CI483" s="26"/>
      <c r="CJ483" s="26"/>
    </row>
    <row r="484" spans="1:88" ht="15" customHeight="1">
      <c r="A484" s="18">
        <v>2019</v>
      </c>
      <c r="B484" s="18" t="str">
        <f>+INDEX(BDD!F:F,MATCH(P484,BDD!D:D,0))&amp;"-"&amp;INDEX(BDD!E:E,MATCH(P484,BDD!D:D,0))</f>
        <v>A-S</v>
      </c>
      <c r="C484" s="125" t="s">
        <v>484</v>
      </c>
      <c r="D484" s="150" t="s">
        <v>77</v>
      </c>
      <c r="E484" s="132"/>
      <c r="F484" s="24"/>
      <c r="G484" s="346">
        <v>8000000313</v>
      </c>
      <c r="H484" s="125" t="s">
        <v>2130</v>
      </c>
      <c r="I484" s="329"/>
      <c r="J484" s="346">
        <v>8000000313</v>
      </c>
      <c r="K484" s="24"/>
      <c r="L484" s="24"/>
      <c r="M484" s="24"/>
      <c r="N484" s="340" t="s">
        <v>486</v>
      </c>
      <c r="O484" s="334"/>
      <c r="P484" s="25" t="s">
        <v>324</v>
      </c>
      <c r="Q484" s="127" t="s">
        <v>54</v>
      </c>
      <c r="R484" s="232" t="s">
        <v>544</v>
      </c>
      <c r="S484" s="89">
        <v>43453</v>
      </c>
      <c r="T484" s="36">
        <v>90</v>
      </c>
      <c r="U484" s="125" t="s">
        <v>118</v>
      </c>
      <c r="V484" s="147" t="s">
        <v>2124</v>
      </c>
      <c r="W484" s="129"/>
      <c r="X484" s="88">
        <v>43522</v>
      </c>
      <c r="Y484" s="130" t="s">
        <v>20</v>
      </c>
      <c r="Z484" s="133" t="s">
        <v>81</v>
      </c>
      <c r="AA484" s="133"/>
      <c r="AB484" s="148">
        <v>2.5</v>
      </c>
      <c r="AC484" s="134">
        <v>13820</v>
      </c>
      <c r="AD484" s="134"/>
      <c r="AE484" s="403">
        <f t="shared" si="23"/>
        <v>34550</v>
      </c>
      <c r="AF484" s="132" t="str">
        <f>IF(W484=BDD!$P$1,IMPORTS!AB484/25,IF(W484=BDD!$P$2,IMPORTS!AB484/25,IF(IMPORTS!W484=BDD!$P$4,IMPORTS!AB484/25.5,"--")))</f>
        <v>--</v>
      </c>
      <c r="AG484" s="130" t="s">
        <v>5</v>
      </c>
      <c r="AH484" s="130"/>
      <c r="AI484" s="130" t="s">
        <v>112</v>
      </c>
      <c r="AJ484" s="130"/>
      <c r="AK484" s="130"/>
      <c r="AL484" s="135" t="s">
        <v>2125</v>
      </c>
      <c r="AM484" s="314"/>
      <c r="AN484" s="26"/>
      <c r="AO484" s="26"/>
      <c r="AP484" s="26"/>
      <c r="AQ484" s="26">
        <v>43607</v>
      </c>
      <c r="AR484" s="24"/>
      <c r="AS484" s="24"/>
      <c r="AT484" s="26">
        <v>43631</v>
      </c>
      <c r="AU484" s="418">
        <f t="shared" si="24"/>
        <v>6</v>
      </c>
      <c r="AV484" s="418">
        <f t="shared" si="25"/>
        <v>2019</v>
      </c>
      <c r="AW484" s="26"/>
      <c r="AX484" s="28"/>
      <c r="AY484" s="28" t="s">
        <v>272</v>
      </c>
      <c r="AZ484" s="132" t="s">
        <v>37</v>
      </c>
      <c r="BA484" s="132"/>
      <c r="BB484" s="26"/>
      <c r="BC484" s="135" t="s">
        <v>2126</v>
      </c>
      <c r="BD484" s="24">
        <v>43572</v>
      </c>
      <c r="BE484" s="135" t="s">
        <v>2127</v>
      </c>
      <c r="BF484" s="135" t="s">
        <v>2127</v>
      </c>
      <c r="BG484" s="135" t="s">
        <v>145</v>
      </c>
      <c r="BH484" s="135"/>
      <c r="BI484" s="314"/>
      <c r="BJ484" s="314"/>
      <c r="BK484" s="24"/>
      <c r="BL484" s="24"/>
      <c r="BM484" s="24"/>
      <c r="BN484" s="24"/>
      <c r="BO484" s="24">
        <f t="shared" si="26"/>
        <v>43628</v>
      </c>
      <c r="BP484" s="24"/>
      <c r="BQ484" s="24"/>
      <c r="BR484" s="43"/>
      <c r="BS484" s="24"/>
      <c r="BT484" s="24"/>
      <c r="BU484" s="24"/>
      <c r="BV484" s="132" t="e">
        <f>IF(#REF!="COMPLETO","OK","PENDIENTES")</f>
        <v>#REF!</v>
      </c>
      <c r="BW484" s="132"/>
      <c r="BX484" s="132"/>
      <c r="BY484" s="132"/>
      <c r="BZ484" s="132"/>
      <c r="CA484" s="132"/>
      <c r="CB484" s="132"/>
      <c r="CC484" s="22"/>
      <c r="CG484" s="24" t="s">
        <v>105</v>
      </c>
      <c r="CH484" s="24"/>
      <c r="CI484" s="26"/>
      <c r="CJ484" s="26"/>
    </row>
    <row r="485" spans="1:88" ht="15" customHeight="1">
      <c r="A485" s="18">
        <v>2019</v>
      </c>
      <c r="B485" s="18" t="str">
        <f>+INDEX(BDD!F:F,MATCH(P485,BDD!D:D,0))&amp;"-"&amp;INDEX(BDD!E:E,MATCH(P485,BDD!D:D,0))</f>
        <v>A-S</v>
      </c>
      <c r="C485" s="125" t="s">
        <v>484</v>
      </c>
      <c r="D485" s="150" t="s">
        <v>77</v>
      </c>
      <c r="E485" s="132"/>
      <c r="F485" s="24"/>
      <c r="G485" s="346">
        <v>8000000313</v>
      </c>
      <c r="H485" s="125" t="s">
        <v>2131</v>
      </c>
      <c r="I485" s="329"/>
      <c r="J485" s="346">
        <v>8000000313</v>
      </c>
      <c r="K485" s="24"/>
      <c r="L485" s="24"/>
      <c r="M485" s="24"/>
      <c r="N485" s="340" t="s">
        <v>486</v>
      </c>
      <c r="O485" s="334"/>
      <c r="P485" s="25" t="s">
        <v>325</v>
      </c>
      <c r="Q485" s="127" t="s">
        <v>54</v>
      </c>
      <c r="R485" s="232" t="s">
        <v>544</v>
      </c>
      <c r="S485" s="89">
        <v>43453</v>
      </c>
      <c r="T485" s="36">
        <v>90</v>
      </c>
      <c r="U485" s="125" t="s">
        <v>118</v>
      </c>
      <c r="V485" s="147" t="s">
        <v>2124</v>
      </c>
      <c r="W485" s="129"/>
      <c r="X485" s="88">
        <v>43522</v>
      </c>
      <c r="Y485" s="130" t="s">
        <v>20</v>
      </c>
      <c r="Z485" s="133" t="s">
        <v>81</v>
      </c>
      <c r="AA485" s="133"/>
      <c r="AB485" s="148">
        <v>0.25</v>
      </c>
      <c r="AC485" s="134">
        <v>16190.000000000002</v>
      </c>
      <c r="AD485" s="134"/>
      <c r="AE485" s="403">
        <f t="shared" si="23"/>
        <v>4047.5000000000005</v>
      </c>
      <c r="AF485" s="132" t="str">
        <f>IF(W485=BDD!$P$1,IMPORTS!AB485/25,IF(W485=BDD!$P$2,IMPORTS!AB485/25,IF(IMPORTS!W485=BDD!$P$4,IMPORTS!AB485/25.5,"--")))</f>
        <v>--</v>
      </c>
      <c r="AG485" s="130" t="s">
        <v>5</v>
      </c>
      <c r="AH485" s="130"/>
      <c r="AI485" s="130" t="s">
        <v>112</v>
      </c>
      <c r="AJ485" s="130"/>
      <c r="AK485" s="130"/>
      <c r="AL485" s="135" t="s">
        <v>2125</v>
      </c>
      <c r="AM485" s="314"/>
      <c r="AN485" s="26"/>
      <c r="AO485" s="26"/>
      <c r="AP485" s="26"/>
      <c r="AQ485" s="26">
        <v>43607</v>
      </c>
      <c r="AR485" s="24"/>
      <c r="AS485" s="24"/>
      <c r="AT485" s="26">
        <v>43631</v>
      </c>
      <c r="AU485" s="418">
        <f t="shared" si="24"/>
        <v>6</v>
      </c>
      <c r="AV485" s="418">
        <f t="shared" si="25"/>
        <v>2019</v>
      </c>
      <c r="AW485" s="26"/>
      <c r="AX485" s="28"/>
      <c r="AY485" s="28" t="s">
        <v>272</v>
      </c>
      <c r="AZ485" s="132" t="s">
        <v>37</v>
      </c>
      <c r="BA485" s="132"/>
      <c r="BB485" s="26"/>
      <c r="BC485" s="135" t="s">
        <v>2126</v>
      </c>
      <c r="BD485" s="24">
        <v>43572</v>
      </c>
      <c r="BE485" s="135" t="s">
        <v>2127</v>
      </c>
      <c r="BF485" s="135" t="s">
        <v>2127</v>
      </c>
      <c r="BG485" s="135" t="s">
        <v>145</v>
      </c>
      <c r="BH485" s="135"/>
      <c r="BI485" s="314"/>
      <c r="BJ485" s="314"/>
      <c r="BK485" s="24"/>
      <c r="BL485" s="24"/>
      <c r="BM485" s="24"/>
      <c r="BN485" s="24"/>
      <c r="BO485" s="24">
        <f t="shared" si="26"/>
        <v>43628</v>
      </c>
      <c r="BP485" s="24"/>
      <c r="BQ485" s="24"/>
      <c r="BR485" s="43"/>
      <c r="BS485" s="24"/>
      <c r="BT485" s="24"/>
      <c r="BU485" s="24"/>
      <c r="BV485" s="132" t="e">
        <f>IF(#REF!="COMPLETO","OK","PENDIENTES")</f>
        <v>#REF!</v>
      </c>
      <c r="BW485" s="132"/>
      <c r="BX485" s="132"/>
      <c r="BY485" s="132"/>
      <c r="BZ485" s="132"/>
      <c r="CA485" s="132"/>
      <c r="CB485" s="132"/>
      <c r="CC485" s="22"/>
      <c r="CG485" s="24" t="s">
        <v>105</v>
      </c>
      <c r="CH485" s="24"/>
      <c r="CI485" s="26"/>
      <c r="CJ485" s="26"/>
    </row>
    <row r="486" spans="1:88" ht="15" customHeight="1">
      <c r="A486" s="18">
        <v>2019</v>
      </c>
      <c r="B486" s="18" t="str">
        <f>+INDEX(BDD!F:F,MATCH(P486,BDD!D:D,0))&amp;"-"&amp;INDEX(BDD!E:E,MATCH(P486,BDD!D:D,0))</f>
        <v>A-S</v>
      </c>
      <c r="C486" s="125" t="s">
        <v>484</v>
      </c>
      <c r="D486" s="150" t="s">
        <v>77</v>
      </c>
      <c r="E486" s="132"/>
      <c r="F486" s="24"/>
      <c r="G486" s="346">
        <v>8000000313</v>
      </c>
      <c r="H486" s="125" t="s">
        <v>2132</v>
      </c>
      <c r="I486" s="329"/>
      <c r="J486" s="346">
        <v>8000000313</v>
      </c>
      <c r="K486" s="24"/>
      <c r="L486" s="24"/>
      <c r="M486" s="24"/>
      <c r="N486" s="340" t="s">
        <v>486</v>
      </c>
      <c r="O486" s="334"/>
      <c r="P486" s="25" t="s">
        <v>326</v>
      </c>
      <c r="Q486" s="127" t="s">
        <v>54</v>
      </c>
      <c r="R486" s="232" t="s">
        <v>544</v>
      </c>
      <c r="S486" s="89">
        <v>43453</v>
      </c>
      <c r="T486" s="36">
        <v>90</v>
      </c>
      <c r="U486" s="125" t="s">
        <v>118</v>
      </c>
      <c r="V486" s="147" t="s">
        <v>2124</v>
      </c>
      <c r="W486" s="129"/>
      <c r="X486" s="88">
        <v>43522</v>
      </c>
      <c r="Y486" s="130" t="s">
        <v>20</v>
      </c>
      <c r="Z486" s="133" t="s">
        <v>81</v>
      </c>
      <c r="AA486" s="133"/>
      <c r="AB486" s="148">
        <v>0.6</v>
      </c>
      <c r="AC486" s="134">
        <v>13500</v>
      </c>
      <c r="AD486" s="134"/>
      <c r="AE486" s="403">
        <f t="shared" si="23"/>
        <v>8100</v>
      </c>
      <c r="AF486" s="132" t="str">
        <f>IF(W486=BDD!$P$1,IMPORTS!AB486/25,IF(W486=BDD!$P$2,IMPORTS!AB486/25,IF(IMPORTS!W486=BDD!$P$4,IMPORTS!AB486/25.5,"--")))</f>
        <v>--</v>
      </c>
      <c r="AG486" s="130" t="s">
        <v>5</v>
      </c>
      <c r="AH486" s="130"/>
      <c r="AI486" s="130" t="s">
        <v>112</v>
      </c>
      <c r="AJ486" s="130"/>
      <c r="AK486" s="130"/>
      <c r="AL486" s="135" t="s">
        <v>2125</v>
      </c>
      <c r="AM486" s="314"/>
      <c r="AN486" s="26"/>
      <c r="AO486" s="26"/>
      <c r="AP486" s="26"/>
      <c r="AQ486" s="26">
        <v>43607</v>
      </c>
      <c r="AR486" s="24"/>
      <c r="AS486" s="24"/>
      <c r="AT486" s="26">
        <v>43631</v>
      </c>
      <c r="AU486" s="418">
        <f t="shared" si="24"/>
        <v>6</v>
      </c>
      <c r="AV486" s="418">
        <f t="shared" si="25"/>
        <v>2019</v>
      </c>
      <c r="AW486" s="26"/>
      <c r="AX486" s="28"/>
      <c r="AY486" s="28" t="s">
        <v>272</v>
      </c>
      <c r="AZ486" s="132" t="s">
        <v>37</v>
      </c>
      <c r="BA486" s="132"/>
      <c r="BB486" s="26"/>
      <c r="BC486" s="135" t="s">
        <v>2126</v>
      </c>
      <c r="BD486" s="24">
        <v>43572</v>
      </c>
      <c r="BE486" s="135" t="s">
        <v>2127</v>
      </c>
      <c r="BF486" s="135" t="s">
        <v>2127</v>
      </c>
      <c r="BG486" s="135" t="s">
        <v>145</v>
      </c>
      <c r="BH486" s="135"/>
      <c r="BI486" s="314"/>
      <c r="BJ486" s="314"/>
      <c r="BK486" s="24"/>
      <c r="BL486" s="24"/>
      <c r="BM486" s="24"/>
      <c r="BN486" s="24"/>
      <c r="BO486" s="24">
        <f t="shared" si="26"/>
        <v>43628</v>
      </c>
      <c r="BP486" s="24"/>
      <c r="BQ486" s="24"/>
      <c r="BR486" s="43"/>
      <c r="BS486" s="24"/>
      <c r="BT486" s="24"/>
      <c r="BU486" s="24"/>
      <c r="BV486" s="132" t="e">
        <f>IF(#REF!="COMPLETO","OK","PENDIENTES")</f>
        <v>#REF!</v>
      </c>
      <c r="BW486" s="132"/>
      <c r="BX486" s="132"/>
      <c r="BY486" s="132"/>
      <c r="BZ486" s="132"/>
      <c r="CA486" s="132"/>
      <c r="CB486" s="132"/>
      <c r="CC486" s="22"/>
      <c r="CG486" s="24" t="s">
        <v>105</v>
      </c>
      <c r="CH486" s="24"/>
      <c r="CI486" s="26"/>
      <c r="CJ486" s="26"/>
    </row>
    <row r="487" spans="1:88" ht="15" customHeight="1">
      <c r="A487" s="18">
        <v>2019</v>
      </c>
      <c r="B487" s="18" t="str">
        <f>+INDEX(BDD!F:F,MATCH(P487,BDD!D:D,0))&amp;"-"&amp;INDEX(BDD!E:E,MATCH(P487,BDD!D:D,0))</f>
        <v>A-S</v>
      </c>
      <c r="C487" s="125" t="s">
        <v>484</v>
      </c>
      <c r="D487" s="150" t="s">
        <v>77</v>
      </c>
      <c r="E487" s="132"/>
      <c r="F487" s="24"/>
      <c r="G487" s="346">
        <v>8000000313</v>
      </c>
      <c r="H487" s="125" t="s">
        <v>2133</v>
      </c>
      <c r="I487" s="329"/>
      <c r="J487" s="346">
        <v>8000000313</v>
      </c>
      <c r="K487" s="24"/>
      <c r="L487" s="24"/>
      <c r="M487" s="24"/>
      <c r="N487" s="340" t="s">
        <v>486</v>
      </c>
      <c r="O487" s="334"/>
      <c r="P487" s="25" t="s">
        <v>327</v>
      </c>
      <c r="Q487" s="127" t="s">
        <v>54</v>
      </c>
      <c r="R487" s="232" t="s">
        <v>544</v>
      </c>
      <c r="S487" s="89">
        <v>43453</v>
      </c>
      <c r="T487" s="36">
        <v>90</v>
      </c>
      <c r="U487" s="125" t="s">
        <v>118</v>
      </c>
      <c r="V487" s="147" t="s">
        <v>2124</v>
      </c>
      <c r="W487" s="129"/>
      <c r="X487" s="88">
        <v>43522</v>
      </c>
      <c r="Y487" s="130" t="s">
        <v>20</v>
      </c>
      <c r="Z487" s="133" t="s">
        <v>81</v>
      </c>
      <c r="AA487" s="133"/>
      <c r="AB487" s="148">
        <v>2</v>
      </c>
      <c r="AC487" s="134">
        <v>9960</v>
      </c>
      <c r="AD487" s="134"/>
      <c r="AE487" s="403">
        <f t="shared" si="23"/>
        <v>19920</v>
      </c>
      <c r="AF487" s="132" t="str">
        <f>IF(W487=BDD!$P$1,IMPORTS!AB487/25,IF(W487=BDD!$P$2,IMPORTS!AB487/25,IF(IMPORTS!W487=BDD!$P$4,IMPORTS!AB487/25.5,"--")))</f>
        <v>--</v>
      </c>
      <c r="AG487" s="130" t="s">
        <v>5</v>
      </c>
      <c r="AH487" s="130"/>
      <c r="AI487" s="130" t="s">
        <v>112</v>
      </c>
      <c r="AJ487" s="130"/>
      <c r="AK487" s="130"/>
      <c r="AL487" s="135" t="s">
        <v>2125</v>
      </c>
      <c r="AM487" s="314"/>
      <c r="AN487" s="26"/>
      <c r="AO487" s="26"/>
      <c r="AP487" s="26"/>
      <c r="AQ487" s="26">
        <v>43607</v>
      </c>
      <c r="AR487" s="24"/>
      <c r="AS487" s="24"/>
      <c r="AT487" s="26">
        <v>43631</v>
      </c>
      <c r="AU487" s="418">
        <f t="shared" si="24"/>
        <v>6</v>
      </c>
      <c r="AV487" s="418">
        <f t="shared" si="25"/>
        <v>2019</v>
      </c>
      <c r="AW487" s="26"/>
      <c r="AX487" s="28"/>
      <c r="AY487" s="28" t="s">
        <v>272</v>
      </c>
      <c r="AZ487" s="132" t="s">
        <v>37</v>
      </c>
      <c r="BA487" s="132"/>
      <c r="BB487" s="26"/>
      <c r="BC487" s="135" t="s">
        <v>2126</v>
      </c>
      <c r="BD487" s="24">
        <v>43572</v>
      </c>
      <c r="BE487" s="135" t="s">
        <v>2127</v>
      </c>
      <c r="BF487" s="135" t="s">
        <v>2127</v>
      </c>
      <c r="BG487" s="135" t="s">
        <v>145</v>
      </c>
      <c r="BH487" s="135"/>
      <c r="BI487" s="314"/>
      <c r="BJ487" s="314"/>
      <c r="BK487" s="24"/>
      <c r="BL487" s="24"/>
      <c r="BM487" s="24"/>
      <c r="BN487" s="24"/>
      <c r="BO487" s="24">
        <f t="shared" si="26"/>
        <v>43628</v>
      </c>
      <c r="BP487" s="24"/>
      <c r="BQ487" s="24"/>
      <c r="BR487" s="43"/>
      <c r="BS487" s="24"/>
      <c r="BT487" s="24"/>
      <c r="BU487" s="24"/>
      <c r="BV487" s="132" t="e">
        <f>IF(#REF!="COMPLETO","OK","PENDIENTES")</f>
        <v>#REF!</v>
      </c>
      <c r="BW487" s="132"/>
      <c r="BX487" s="132"/>
      <c r="BY487" s="132"/>
      <c r="BZ487" s="132"/>
      <c r="CA487" s="132"/>
      <c r="CB487" s="132"/>
      <c r="CC487" s="22"/>
      <c r="CG487" s="24" t="s">
        <v>105</v>
      </c>
      <c r="CH487" s="24"/>
      <c r="CI487" s="26"/>
      <c r="CJ487" s="26"/>
    </row>
    <row r="488" spans="1:88" ht="15" customHeight="1">
      <c r="A488" s="18">
        <v>2019</v>
      </c>
      <c r="B488" s="18" t="str">
        <f>+INDEX(BDD!F:F,MATCH(P488,BDD!D:D,0))&amp;"-"&amp;INDEX(BDD!E:E,MATCH(P488,BDD!D:D,0))</f>
        <v>A-S</v>
      </c>
      <c r="C488" s="125" t="s">
        <v>484</v>
      </c>
      <c r="D488" s="150" t="s">
        <v>77</v>
      </c>
      <c r="E488" s="132"/>
      <c r="F488" s="24"/>
      <c r="G488" s="346">
        <v>8000000313</v>
      </c>
      <c r="H488" s="125" t="s">
        <v>2134</v>
      </c>
      <c r="I488" s="329"/>
      <c r="J488" s="346">
        <v>8000000313</v>
      </c>
      <c r="K488" s="24"/>
      <c r="L488" s="24"/>
      <c r="M488" s="24"/>
      <c r="N488" s="340" t="s">
        <v>486</v>
      </c>
      <c r="O488" s="334"/>
      <c r="P488" s="25" t="s">
        <v>328</v>
      </c>
      <c r="Q488" s="127" t="s">
        <v>54</v>
      </c>
      <c r="R488" s="232" t="s">
        <v>544</v>
      </c>
      <c r="S488" s="89">
        <v>43453</v>
      </c>
      <c r="T488" s="36">
        <v>90</v>
      </c>
      <c r="U488" s="125" t="s">
        <v>118</v>
      </c>
      <c r="V488" s="147" t="s">
        <v>2124</v>
      </c>
      <c r="W488" s="129"/>
      <c r="X488" s="88">
        <v>43522</v>
      </c>
      <c r="Y488" s="130" t="s">
        <v>20</v>
      </c>
      <c r="Z488" s="133" t="s">
        <v>81</v>
      </c>
      <c r="AA488" s="133"/>
      <c r="AB488" s="148">
        <v>2</v>
      </c>
      <c r="AC488" s="134">
        <v>11770</v>
      </c>
      <c r="AD488" s="134"/>
      <c r="AE488" s="403">
        <f t="shared" si="23"/>
        <v>23540</v>
      </c>
      <c r="AF488" s="132" t="str">
        <f>IF(W488=BDD!$P$1,IMPORTS!AB488/25,IF(W488=BDD!$P$2,IMPORTS!AB488/25,IF(IMPORTS!W488=BDD!$P$4,IMPORTS!AB488/25.5,"--")))</f>
        <v>--</v>
      </c>
      <c r="AG488" s="130" t="s">
        <v>5</v>
      </c>
      <c r="AH488" s="130"/>
      <c r="AI488" s="130" t="s">
        <v>112</v>
      </c>
      <c r="AJ488" s="130"/>
      <c r="AK488" s="130"/>
      <c r="AL488" s="135" t="s">
        <v>2125</v>
      </c>
      <c r="AM488" s="314"/>
      <c r="AN488" s="26"/>
      <c r="AO488" s="26"/>
      <c r="AP488" s="26"/>
      <c r="AQ488" s="26">
        <v>43607</v>
      </c>
      <c r="AR488" s="24"/>
      <c r="AS488" s="24"/>
      <c r="AT488" s="26">
        <v>43631</v>
      </c>
      <c r="AU488" s="418">
        <f t="shared" si="24"/>
        <v>6</v>
      </c>
      <c r="AV488" s="418">
        <f t="shared" si="25"/>
        <v>2019</v>
      </c>
      <c r="AW488" s="26"/>
      <c r="AX488" s="28"/>
      <c r="AY488" s="28" t="s">
        <v>272</v>
      </c>
      <c r="AZ488" s="132" t="s">
        <v>37</v>
      </c>
      <c r="BA488" s="132"/>
      <c r="BB488" s="26"/>
      <c r="BC488" s="135" t="s">
        <v>2126</v>
      </c>
      <c r="BD488" s="24">
        <v>43572</v>
      </c>
      <c r="BE488" s="135" t="s">
        <v>2127</v>
      </c>
      <c r="BF488" s="135" t="s">
        <v>2127</v>
      </c>
      <c r="BG488" s="135" t="s">
        <v>145</v>
      </c>
      <c r="BH488" s="135"/>
      <c r="BI488" s="314"/>
      <c r="BJ488" s="314"/>
      <c r="BK488" s="24"/>
      <c r="BL488" s="24"/>
      <c r="BM488" s="24"/>
      <c r="BN488" s="24"/>
      <c r="BO488" s="24">
        <f t="shared" si="26"/>
        <v>43628</v>
      </c>
      <c r="BP488" s="24"/>
      <c r="BQ488" s="24"/>
      <c r="BR488" s="43"/>
      <c r="BS488" s="24"/>
      <c r="BT488" s="24"/>
      <c r="BU488" s="24"/>
      <c r="BV488" s="132" t="e">
        <f>IF(#REF!="COMPLETO","OK","PENDIENTES")</f>
        <v>#REF!</v>
      </c>
      <c r="BW488" s="132"/>
      <c r="BX488" s="132"/>
      <c r="BY488" s="132"/>
      <c r="BZ488" s="132"/>
      <c r="CA488" s="132"/>
      <c r="CB488" s="132"/>
      <c r="CC488" s="22"/>
      <c r="CG488" s="24" t="s">
        <v>105</v>
      </c>
      <c r="CH488" s="24"/>
      <c r="CI488" s="26"/>
      <c r="CJ488" s="26"/>
    </row>
    <row r="489" spans="1:88" ht="15" customHeight="1">
      <c r="A489" s="18">
        <v>2019</v>
      </c>
      <c r="B489" s="18" t="str">
        <f>+INDEX(BDD!F:F,MATCH(P489,BDD!D:D,0))&amp;"-"&amp;INDEX(BDD!E:E,MATCH(P489,BDD!D:D,0))</f>
        <v>A-S</v>
      </c>
      <c r="C489" s="125" t="s">
        <v>484</v>
      </c>
      <c r="D489" s="150" t="s">
        <v>77</v>
      </c>
      <c r="E489" s="132"/>
      <c r="F489" s="24"/>
      <c r="G489" s="346">
        <v>8000000313</v>
      </c>
      <c r="H489" s="125" t="s">
        <v>2135</v>
      </c>
      <c r="I489" s="329"/>
      <c r="J489" s="346">
        <v>8000000313</v>
      </c>
      <c r="K489" s="24"/>
      <c r="L489" s="24"/>
      <c r="M489" s="24"/>
      <c r="N489" s="340" t="s">
        <v>486</v>
      </c>
      <c r="O489" s="334"/>
      <c r="P489" s="25" t="s">
        <v>329</v>
      </c>
      <c r="Q489" s="127" t="s">
        <v>54</v>
      </c>
      <c r="R489" s="232" t="s">
        <v>544</v>
      </c>
      <c r="S489" s="89">
        <v>43453</v>
      </c>
      <c r="T489" s="36">
        <v>90</v>
      </c>
      <c r="U489" s="125" t="s">
        <v>118</v>
      </c>
      <c r="V489" s="147" t="s">
        <v>2124</v>
      </c>
      <c r="W489" s="129"/>
      <c r="X489" s="88">
        <v>43522</v>
      </c>
      <c r="Y489" s="130" t="s">
        <v>20</v>
      </c>
      <c r="Z489" s="133" t="s">
        <v>81</v>
      </c>
      <c r="AA489" s="133"/>
      <c r="AB489" s="148">
        <v>0.25</v>
      </c>
      <c r="AC489" s="134">
        <v>11250</v>
      </c>
      <c r="AD489" s="134"/>
      <c r="AE489" s="403">
        <f t="shared" si="23"/>
        <v>2812.5</v>
      </c>
      <c r="AF489" s="132" t="str">
        <f>IF(W489=BDD!$P$1,IMPORTS!AB489/25,IF(W489=BDD!$P$2,IMPORTS!AB489/25,IF(IMPORTS!W489=BDD!$P$4,IMPORTS!AB489/25.5,"--")))</f>
        <v>--</v>
      </c>
      <c r="AG489" s="130" t="s">
        <v>5</v>
      </c>
      <c r="AH489" s="130"/>
      <c r="AI489" s="130" t="s">
        <v>112</v>
      </c>
      <c r="AJ489" s="130"/>
      <c r="AK489" s="130"/>
      <c r="AL489" s="135" t="s">
        <v>2125</v>
      </c>
      <c r="AM489" s="314"/>
      <c r="AN489" s="26"/>
      <c r="AO489" s="26"/>
      <c r="AP489" s="26"/>
      <c r="AQ489" s="26">
        <v>43607</v>
      </c>
      <c r="AR489" s="24"/>
      <c r="AS489" s="24"/>
      <c r="AT489" s="26">
        <v>43631</v>
      </c>
      <c r="AU489" s="418">
        <f t="shared" si="24"/>
        <v>6</v>
      </c>
      <c r="AV489" s="418">
        <f t="shared" si="25"/>
        <v>2019</v>
      </c>
      <c r="AW489" s="26"/>
      <c r="AX489" s="28"/>
      <c r="AY489" s="28" t="s">
        <v>272</v>
      </c>
      <c r="AZ489" s="132" t="s">
        <v>37</v>
      </c>
      <c r="BA489" s="132"/>
      <c r="BB489" s="26"/>
      <c r="BC489" s="135" t="s">
        <v>2126</v>
      </c>
      <c r="BD489" s="24">
        <v>43572</v>
      </c>
      <c r="BE489" s="135" t="s">
        <v>2127</v>
      </c>
      <c r="BF489" s="135" t="s">
        <v>2127</v>
      </c>
      <c r="BG489" s="135" t="s">
        <v>145</v>
      </c>
      <c r="BH489" s="135"/>
      <c r="BI489" s="314"/>
      <c r="BJ489" s="314"/>
      <c r="BK489" s="24"/>
      <c r="BL489" s="24"/>
      <c r="BM489" s="24"/>
      <c r="BN489" s="24"/>
      <c r="BO489" s="24">
        <f t="shared" si="26"/>
        <v>43628</v>
      </c>
      <c r="BP489" s="24"/>
      <c r="BQ489" s="24"/>
      <c r="BR489" s="43"/>
      <c r="BS489" s="24"/>
      <c r="BT489" s="24"/>
      <c r="BU489" s="24"/>
      <c r="BV489" s="132" t="e">
        <f>IF(#REF!="COMPLETO","OK","PENDIENTES")</f>
        <v>#REF!</v>
      </c>
      <c r="BW489" s="132"/>
      <c r="BX489" s="132"/>
      <c r="BY489" s="132"/>
      <c r="BZ489" s="132"/>
      <c r="CA489" s="132"/>
      <c r="CB489" s="132"/>
      <c r="CC489" s="22"/>
      <c r="CG489" s="24" t="s">
        <v>105</v>
      </c>
      <c r="CH489" s="24"/>
      <c r="CI489" s="26"/>
      <c r="CJ489" s="26"/>
    </row>
    <row r="490" spans="1:88" ht="15" customHeight="1">
      <c r="A490" s="18">
        <v>2019</v>
      </c>
      <c r="B490" s="18" t="str">
        <f>+INDEX(BDD!F:F,MATCH(P490,BDD!D:D,0))&amp;"-"&amp;INDEX(BDD!E:E,MATCH(P490,BDD!D:D,0))</f>
        <v>A-S</v>
      </c>
      <c r="C490" s="125" t="s">
        <v>484</v>
      </c>
      <c r="D490" s="150" t="s">
        <v>77</v>
      </c>
      <c r="E490" s="132"/>
      <c r="F490" s="24"/>
      <c r="G490" s="346">
        <v>8000000313</v>
      </c>
      <c r="H490" s="125" t="s">
        <v>2136</v>
      </c>
      <c r="I490" s="329"/>
      <c r="J490" s="346">
        <v>8000000313</v>
      </c>
      <c r="K490" s="24"/>
      <c r="L490" s="24"/>
      <c r="M490" s="24"/>
      <c r="N490" s="340" t="s">
        <v>486</v>
      </c>
      <c r="O490" s="334"/>
      <c r="P490" s="25" t="s">
        <v>356</v>
      </c>
      <c r="Q490" s="127" t="s">
        <v>54</v>
      </c>
      <c r="R490" s="232" t="s">
        <v>544</v>
      </c>
      <c r="S490" s="89">
        <v>43453</v>
      </c>
      <c r="T490" s="36">
        <v>90</v>
      </c>
      <c r="U490" s="125" t="s">
        <v>118</v>
      </c>
      <c r="V490" s="147" t="s">
        <v>2124</v>
      </c>
      <c r="W490" s="129"/>
      <c r="X490" s="88">
        <v>43522</v>
      </c>
      <c r="Y490" s="130" t="s">
        <v>20</v>
      </c>
      <c r="Z490" s="133" t="s">
        <v>81</v>
      </c>
      <c r="AA490" s="133"/>
      <c r="AB490" s="148">
        <v>0.2</v>
      </c>
      <c r="AC490" s="134">
        <v>39799.999999999993</v>
      </c>
      <c r="AD490" s="134"/>
      <c r="AE490" s="403">
        <f t="shared" si="23"/>
        <v>7959.9999999999991</v>
      </c>
      <c r="AF490" s="132" t="str">
        <f>IF(W490=BDD!$P$1,IMPORTS!AB490/25,IF(W490=BDD!$P$2,IMPORTS!AB490/25,IF(IMPORTS!W490=BDD!$P$4,IMPORTS!AB490/25.5,"--")))</f>
        <v>--</v>
      </c>
      <c r="AG490" s="130" t="s">
        <v>5</v>
      </c>
      <c r="AH490" s="130"/>
      <c r="AI490" s="130" t="s">
        <v>2137</v>
      </c>
      <c r="AJ490" s="130"/>
      <c r="AK490" s="130"/>
      <c r="AL490" s="135" t="s">
        <v>2125</v>
      </c>
      <c r="AM490" s="314"/>
      <c r="AN490" s="26"/>
      <c r="AO490" s="26"/>
      <c r="AP490" s="26"/>
      <c r="AQ490" s="26">
        <v>43607</v>
      </c>
      <c r="AR490" s="24"/>
      <c r="AS490" s="24"/>
      <c r="AT490" s="26">
        <v>43631</v>
      </c>
      <c r="AU490" s="418">
        <f t="shared" si="24"/>
        <v>6</v>
      </c>
      <c r="AV490" s="418">
        <f t="shared" si="25"/>
        <v>2019</v>
      </c>
      <c r="AW490" s="26"/>
      <c r="AX490" s="28"/>
      <c r="AY490" s="28" t="s">
        <v>272</v>
      </c>
      <c r="AZ490" s="132" t="s">
        <v>37</v>
      </c>
      <c r="BA490" s="132"/>
      <c r="BB490" s="26"/>
      <c r="BC490" s="135" t="s">
        <v>2126</v>
      </c>
      <c r="BD490" s="24">
        <v>43572</v>
      </c>
      <c r="BE490" s="135" t="s">
        <v>2127</v>
      </c>
      <c r="BF490" s="135" t="s">
        <v>2127</v>
      </c>
      <c r="BG490" s="135" t="s">
        <v>145</v>
      </c>
      <c r="BH490" s="135"/>
      <c r="BI490" s="314"/>
      <c r="BJ490" s="314"/>
      <c r="BK490" s="24"/>
      <c r="BL490" s="24"/>
      <c r="BM490" s="24"/>
      <c r="BN490" s="24"/>
      <c r="BO490" s="24">
        <f t="shared" si="26"/>
        <v>43628</v>
      </c>
      <c r="BP490" s="24"/>
      <c r="BQ490" s="24"/>
      <c r="BR490" s="43"/>
      <c r="BS490" s="24"/>
      <c r="BT490" s="24"/>
      <c r="BU490" s="24"/>
      <c r="BV490" s="132" t="e">
        <f>IF(#REF!="COMPLETO","OK","PENDIENTES")</f>
        <v>#REF!</v>
      </c>
      <c r="BW490" s="132"/>
      <c r="BX490" s="132"/>
      <c r="BY490" s="132"/>
      <c r="BZ490" s="132"/>
      <c r="CA490" s="132"/>
      <c r="CB490" s="132"/>
      <c r="CC490" s="22"/>
      <c r="CG490" s="24" t="s">
        <v>105</v>
      </c>
      <c r="CH490" s="24"/>
      <c r="CI490" s="26"/>
      <c r="CJ490" s="26"/>
    </row>
    <row r="491" spans="1:88" ht="15" customHeight="1">
      <c r="A491" s="18">
        <v>2019</v>
      </c>
      <c r="B491" s="18" t="str">
        <f>+INDEX(BDD!F:F,MATCH(P491,BDD!D:D,0))&amp;"-"&amp;INDEX(BDD!E:E,MATCH(P491,BDD!D:D,0))</f>
        <v>A-S</v>
      </c>
      <c r="C491" s="125" t="s">
        <v>484</v>
      </c>
      <c r="D491" s="150" t="s">
        <v>77</v>
      </c>
      <c r="E491" s="132"/>
      <c r="F491" s="24"/>
      <c r="G491" s="346">
        <v>8000000313</v>
      </c>
      <c r="H491" s="125" t="s">
        <v>2138</v>
      </c>
      <c r="I491" s="329"/>
      <c r="J491" s="346">
        <v>8000000313</v>
      </c>
      <c r="K491" s="24"/>
      <c r="L491" s="24"/>
      <c r="M491" s="24"/>
      <c r="N491" s="340" t="s">
        <v>486</v>
      </c>
      <c r="O491" s="334"/>
      <c r="P491" s="25" t="s">
        <v>180</v>
      </c>
      <c r="Q491" s="127" t="s">
        <v>54</v>
      </c>
      <c r="R491" s="232" t="s">
        <v>544</v>
      </c>
      <c r="S491" s="89">
        <v>43453</v>
      </c>
      <c r="T491" s="36">
        <v>90</v>
      </c>
      <c r="U491" s="125" t="s">
        <v>118</v>
      </c>
      <c r="V491" s="147" t="s">
        <v>2124</v>
      </c>
      <c r="W491" s="129"/>
      <c r="X491" s="88">
        <v>43522</v>
      </c>
      <c r="Y491" s="130" t="s">
        <v>20</v>
      </c>
      <c r="Z491" s="133" t="s">
        <v>81</v>
      </c>
      <c r="AA491" s="133"/>
      <c r="AB491" s="148">
        <v>2</v>
      </c>
      <c r="AC491" s="134">
        <v>20300</v>
      </c>
      <c r="AD491" s="134"/>
      <c r="AE491" s="403">
        <f t="shared" si="23"/>
        <v>40600</v>
      </c>
      <c r="AF491" s="132" t="str">
        <f>IF(W491=BDD!$P$1,IMPORTS!AB491/25,IF(W491=BDD!$P$2,IMPORTS!AB491/25,IF(IMPORTS!W491=BDD!$P$4,IMPORTS!AB491/25.5,"--")))</f>
        <v>--</v>
      </c>
      <c r="AG491" s="130" t="s">
        <v>5</v>
      </c>
      <c r="AH491" s="130"/>
      <c r="AI491" s="130" t="s">
        <v>2137</v>
      </c>
      <c r="AJ491" s="130"/>
      <c r="AK491" s="130"/>
      <c r="AL491" s="135" t="s">
        <v>2125</v>
      </c>
      <c r="AM491" s="314"/>
      <c r="AN491" s="26"/>
      <c r="AO491" s="26"/>
      <c r="AP491" s="26"/>
      <c r="AQ491" s="26">
        <v>43607</v>
      </c>
      <c r="AR491" s="24"/>
      <c r="AS491" s="24"/>
      <c r="AT491" s="26">
        <v>43631</v>
      </c>
      <c r="AU491" s="418">
        <f t="shared" si="24"/>
        <v>6</v>
      </c>
      <c r="AV491" s="418">
        <f t="shared" si="25"/>
        <v>2019</v>
      </c>
      <c r="AW491" s="26"/>
      <c r="AX491" s="28"/>
      <c r="AY491" s="28" t="s">
        <v>272</v>
      </c>
      <c r="AZ491" s="132" t="s">
        <v>37</v>
      </c>
      <c r="BA491" s="132"/>
      <c r="BB491" s="26"/>
      <c r="BC491" s="135" t="s">
        <v>2126</v>
      </c>
      <c r="BD491" s="24">
        <v>43572</v>
      </c>
      <c r="BE491" s="135" t="s">
        <v>2127</v>
      </c>
      <c r="BF491" s="135" t="s">
        <v>2127</v>
      </c>
      <c r="BG491" s="135" t="s">
        <v>145</v>
      </c>
      <c r="BH491" s="135"/>
      <c r="BI491" s="314"/>
      <c r="BJ491" s="314"/>
      <c r="BK491" s="24"/>
      <c r="BL491" s="24"/>
      <c r="BM491" s="24"/>
      <c r="BN491" s="24"/>
      <c r="BO491" s="24">
        <f t="shared" si="26"/>
        <v>43628</v>
      </c>
      <c r="BP491" s="24"/>
      <c r="BQ491" s="24"/>
      <c r="BR491" s="43"/>
      <c r="BS491" s="24"/>
      <c r="BT491" s="24"/>
      <c r="BU491" s="24"/>
      <c r="BV491" s="132" t="e">
        <f>IF(#REF!="COMPLETO","OK","PENDIENTES")</f>
        <v>#REF!</v>
      </c>
      <c r="BW491" s="132"/>
      <c r="BX491" s="132"/>
      <c r="BY491" s="132"/>
      <c r="BZ491" s="132"/>
      <c r="CA491" s="132"/>
      <c r="CB491" s="132"/>
      <c r="CC491" s="22"/>
      <c r="CG491" s="24" t="s">
        <v>105</v>
      </c>
      <c r="CH491" s="24"/>
      <c r="CI491" s="26"/>
      <c r="CJ491" s="26"/>
    </row>
    <row r="492" spans="1:88" ht="15" customHeight="1">
      <c r="A492" s="18">
        <v>2019</v>
      </c>
      <c r="B492" s="18" t="str">
        <f>+INDEX(BDD!F:F,MATCH(P492,BDD!D:D,0))&amp;"-"&amp;INDEX(BDD!E:E,MATCH(P492,BDD!D:D,0))</f>
        <v>A-S</v>
      </c>
      <c r="C492" s="125" t="s">
        <v>484</v>
      </c>
      <c r="D492" s="150" t="s">
        <v>77</v>
      </c>
      <c r="E492" s="132"/>
      <c r="F492" s="24"/>
      <c r="G492" s="346">
        <v>8000000313</v>
      </c>
      <c r="H492" s="125" t="s">
        <v>2139</v>
      </c>
      <c r="I492" s="329"/>
      <c r="J492" s="346">
        <v>8000000313</v>
      </c>
      <c r="K492" s="24"/>
      <c r="L492" s="24"/>
      <c r="M492" s="24"/>
      <c r="N492" s="340" t="s">
        <v>486</v>
      </c>
      <c r="O492" s="334"/>
      <c r="P492" s="25" t="s">
        <v>43</v>
      </c>
      <c r="Q492" s="127" t="s">
        <v>54</v>
      </c>
      <c r="R492" s="232" t="s">
        <v>544</v>
      </c>
      <c r="S492" s="89">
        <v>43453</v>
      </c>
      <c r="T492" s="36">
        <v>90</v>
      </c>
      <c r="U492" s="125" t="s">
        <v>118</v>
      </c>
      <c r="V492" s="147" t="s">
        <v>2124</v>
      </c>
      <c r="W492" s="129"/>
      <c r="X492" s="88">
        <v>43522</v>
      </c>
      <c r="Y492" s="130" t="s">
        <v>20</v>
      </c>
      <c r="Z492" s="133" t="s">
        <v>81</v>
      </c>
      <c r="AA492" s="133"/>
      <c r="AB492" s="148">
        <v>1</v>
      </c>
      <c r="AC492" s="134">
        <v>19900</v>
      </c>
      <c r="AD492" s="134"/>
      <c r="AE492" s="403">
        <f t="shared" si="23"/>
        <v>19900</v>
      </c>
      <c r="AF492" s="132" t="str">
        <f>IF(W492=BDD!$P$1,IMPORTS!AB492/25,IF(W492=BDD!$P$2,IMPORTS!AB492/25,IF(IMPORTS!W492=BDD!$P$4,IMPORTS!AB492/25.5,"--")))</f>
        <v>--</v>
      </c>
      <c r="AG492" s="130" t="s">
        <v>5</v>
      </c>
      <c r="AH492" s="130"/>
      <c r="AI492" s="130" t="s">
        <v>2137</v>
      </c>
      <c r="AJ492" s="130"/>
      <c r="AK492" s="130"/>
      <c r="AL492" s="135" t="s">
        <v>2125</v>
      </c>
      <c r="AM492" s="314"/>
      <c r="AN492" s="26"/>
      <c r="AO492" s="26"/>
      <c r="AP492" s="26"/>
      <c r="AQ492" s="26">
        <v>43607</v>
      </c>
      <c r="AR492" s="24"/>
      <c r="AS492" s="24"/>
      <c r="AT492" s="26">
        <v>43631</v>
      </c>
      <c r="AU492" s="418">
        <f t="shared" si="24"/>
        <v>6</v>
      </c>
      <c r="AV492" s="418">
        <f t="shared" si="25"/>
        <v>2019</v>
      </c>
      <c r="AW492" s="26"/>
      <c r="AX492" s="28"/>
      <c r="AY492" s="28" t="s">
        <v>272</v>
      </c>
      <c r="AZ492" s="132" t="s">
        <v>37</v>
      </c>
      <c r="BA492" s="132"/>
      <c r="BB492" s="26"/>
      <c r="BC492" s="135" t="s">
        <v>2126</v>
      </c>
      <c r="BD492" s="24">
        <v>43572</v>
      </c>
      <c r="BE492" s="135" t="s">
        <v>2127</v>
      </c>
      <c r="BF492" s="135" t="s">
        <v>2127</v>
      </c>
      <c r="BG492" s="135" t="s">
        <v>145</v>
      </c>
      <c r="BH492" s="135"/>
      <c r="BI492" s="314"/>
      <c r="BJ492" s="314"/>
      <c r="BK492" s="24"/>
      <c r="BL492" s="24"/>
      <c r="BM492" s="24"/>
      <c r="BN492" s="24"/>
      <c r="BO492" s="24">
        <f t="shared" si="26"/>
        <v>43628</v>
      </c>
      <c r="BP492" s="24"/>
      <c r="BQ492" s="24"/>
      <c r="BR492" s="43"/>
      <c r="BS492" s="24"/>
      <c r="BT492" s="24"/>
      <c r="BU492" s="24"/>
      <c r="BV492" s="132" t="e">
        <f>IF(#REF!="COMPLETO","OK","PENDIENTES")</f>
        <v>#REF!</v>
      </c>
      <c r="BW492" s="132"/>
      <c r="BX492" s="132"/>
      <c r="BY492" s="132"/>
      <c r="BZ492" s="132"/>
      <c r="CA492" s="132"/>
      <c r="CB492" s="132"/>
      <c r="CC492" s="22"/>
      <c r="CG492" s="24" t="s">
        <v>105</v>
      </c>
      <c r="CH492" s="24"/>
      <c r="CI492" s="26"/>
      <c r="CJ492" s="26"/>
    </row>
    <row r="493" spans="1:88" ht="15" customHeight="1">
      <c r="A493" s="18">
        <v>2019</v>
      </c>
      <c r="B493" s="18" t="str">
        <f>+INDEX(BDD!F:F,MATCH(P493,BDD!D:D,0))&amp;"-"&amp;INDEX(BDD!E:E,MATCH(P493,BDD!D:D,0))</f>
        <v>A-S</v>
      </c>
      <c r="C493" s="125" t="s">
        <v>484</v>
      </c>
      <c r="D493" s="150" t="s">
        <v>77</v>
      </c>
      <c r="E493" s="132"/>
      <c r="F493" s="24"/>
      <c r="G493" s="346">
        <v>8000000313</v>
      </c>
      <c r="H493" s="125" t="s">
        <v>2140</v>
      </c>
      <c r="I493" s="329"/>
      <c r="J493" s="346">
        <v>8000000313</v>
      </c>
      <c r="K493" s="24"/>
      <c r="L493" s="24"/>
      <c r="M493" s="24"/>
      <c r="N493" s="340" t="s">
        <v>486</v>
      </c>
      <c r="O493" s="334"/>
      <c r="P493" s="25" t="s">
        <v>55</v>
      </c>
      <c r="Q493" s="127" t="s">
        <v>54</v>
      </c>
      <c r="R493" s="232" t="s">
        <v>544</v>
      </c>
      <c r="S493" s="89">
        <v>43453</v>
      </c>
      <c r="T493" s="36">
        <v>90</v>
      </c>
      <c r="U493" s="125" t="s">
        <v>118</v>
      </c>
      <c r="V493" s="147" t="s">
        <v>2124</v>
      </c>
      <c r="W493" s="129"/>
      <c r="X493" s="88">
        <v>43522</v>
      </c>
      <c r="Y493" s="130" t="s">
        <v>20</v>
      </c>
      <c r="Z493" s="133" t="s">
        <v>81</v>
      </c>
      <c r="AA493" s="133"/>
      <c r="AB493" s="148">
        <v>1</v>
      </c>
      <c r="AC493" s="134">
        <v>6250</v>
      </c>
      <c r="AD493" s="134"/>
      <c r="AE493" s="403">
        <f t="shared" si="23"/>
        <v>6250</v>
      </c>
      <c r="AF493" s="132" t="str">
        <f>IF(W493=BDD!$P$1,IMPORTS!AB493/25,IF(W493=BDD!$P$2,IMPORTS!AB493/25,IF(IMPORTS!W493=BDD!$P$4,IMPORTS!AB493/25.5,"--")))</f>
        <v>--</v>
      </c>
      <c r="AG493" s="130" t="s">
        <v>5</v>
      </c>
      <c r="AH493" s="130"/>
      <c r="AI493" s="130" t="s">
        <v>112</v>
      </c>
      <c r="AJ493" s="130"/>
      <c r="AK493" s="130"/>
      <c r="AL493" s="135" t="s">
        <v>2125</v>
      </c>
      <c r="AM493" s="314"/>
      <c r="AN493" s="26"/>
      <c r="AO493" s="26"/>
      <c r="AP493" s="26"/>
      <c r="AQ493" s="26">
        <v>43607</v>
      </c>
      <c r="AR493" s="24"/>
      <c r="AS493" s="24"/>
      <c r="AT493" s="26">
        <v>43631</v>
      </c>
      <c r="AU493" s="418">
        <f t="shared" si="24"/>
        <v>6</v>
      </c>
      <c r="AV493" s="418">
        <f t="shared" si="25"/>
        <v>2019</v>
      </c>
      <c r="AW493" s="26"/>
      <c r="AX493" s="28"/>
      <c r="AY493" s="28" t="s">
        <v>272</v>
      </c>
      <c r="AZ493" s="132" t="s">
        <v>37</v>
      </c>
      <c r="BA493" s="132"/>
      <c r="BB493" s="26"/>
      <c r="BC493" s="135" t="s">
        <v>2126</v>
      </c>
      <c r="BD493" s="24">
        <v>43572</v>
      </c>
      <c r="BE493" s="135" t="s">
        <v>2127</v>
      </c>
      <c r="BF493" s="135" t="s">
        <v>2127</v>
      </c>
      <c r="BG493" s="135" t="s">
        <v>145</v>
      </c>
      <c r="BH493" s="135"/>
      <c r="BI493" s="314"/>
      <c r="BJ493" s="314"/>
      <c r="BK493" s="24"/>
      <c r="BL493" s="24"/>
      <c r="BM493" s="24"/>
      <c r="BN493" s="24"/>
      <c r="BO493" s="24">
        <f t="shared" si="26"/>
        <v>43628</v>
      </c>
      <c r="BP493" s="24"/>
      <c r="BQ493" s="24"/>
      <c r="BR493" s="43"/>
      <c r="BS493" s="24"/>
      <c r="BT493" s="24"/>
      <c r="BU493" s="24"/>
      <c r="BV493" s="132" t="e">
        <f>IF(#REF!="COMPLETO","OK","PENDIENTES")</f>
        <v>#REF!</v>
      </c>
      <c r="BW493" s="132"/>
      <c r="BX493" s="132"/>
      <c r="BY493" s="132"/>
      <c r="BZ493" s="132"/>
      <c r="CA493" s="132"/>
      <c r="CB493" s="132"/>
      <c r="CC493" s="22"/>
      <c r="CG493" s="24" t="s">
        <v>105</v>
      </c>
      <c r="CH493" s="24"/>
      <c r="CI493" s="26"/>
      <c r="CJ493" s="26"/>
    </row>
    <row r="494" spans="1:88" ht="15" customHeight="1">
      <c r="A494" s="18">
        <v>2019</v>
      </c>
      <c r="B494" s="18" t="str">
        <f>+INDEX(BDD!F:F,MATCH(P494,BDD!D:D,0))&amp;"-"&amp;INDEX(BDD!E:E,MATCH(P494,BDD!D:D,0))</f>
        <v>A-S</v>
      </c>
      <c r="C494" s="125" t="s">
        <v>484</v>
      </c>
      <c r="D494" s="150" t="s">
        <v>77</v>
      </c>
      <c r="E494" s="132"/>
      <c r="F494" s="24"/>
      <c r="G494" s="346">
        <v>8000000313</v>
      </c>
      <c r="H494" s="125" t="s">
        <v>2141</v>
      </c>
      <c r="I494" s="329"/>
      <c r="J494" s="346">
        <v>8000000313</v>
      </c>
      <c r="K494" s="24"/>
      <c r="L494" s="24"/>
      <c r="M494" s="24"/>
      <c r="N494" s="340" t="s">
        <v>486</v>
      </c>
      <c r="O494" s="334"/>
      <c r="P494" s="25" t="s">
        <v>67</v>
      </c>
      <c r="Q494" s="127" t="s">
        <v>54</v>
      </c>
      <c r="R494" s="232" t="s">
        <v>544</v>
      </c>
      <c r="S494" s="89">
        <v>43453</v>
      </c>
      <c r="T494" s="36">
        <v>90</v>
      </c>
      <c r="U494" s="125" t="s">
        <v>118</v>
      </c>
      <c r="V494" s="147" t="s">
        <v>2124</v>
      </c>
      <c r="W494" s="129"/>
      <c r="X494" s="88">
        <v>43522</v>
      </c>
      <c r="Y494" s="130" t="s">
        <v>20</v>
      </c>
      <c r="Z494" s="133" t="s">
        <v>81</v>
      </c>
      <c r="AA494" s="133"/>
      <c r="AB494" s="148">
        <v>0.24</v>
      </c>
      <c r="AC494" s="134">
        <v>18620</v>
      </c>
      <c r="AD494" s="134"/>
      <c r="AE494" s="403">
        <f t="shared" si="23"/>
        <v>4468.8</v>
      </c>
      <c r="AF494" s="132" t="str">
        <f>IF(W494=BDD!$P$1,IMPORTS!AB494/25,IF(W494=BDD!$P$2,IMPORTS!AB494/25,IF(IMPORTS!W494=BDD!$P$4,IMPORTS!AB494/25.5,"--")))</f>
        <v>--</v>
      </c>
      <c r="AG494" s="130" t="s">
        <v>5</v>
      </c>
      <c r="AH494" s="130"/>
      <c r="AI494" s="130" t="s">
        <v>112</v>
      </c>
      <c r="AJ494" s="130"/>
      <c r="AK494" s="130"/>
      <c r="AL494" s="135" t="s">
        <v>2125</v>
      </c>
      <c r="AM494" s="314"/>
      <c r="AN494" s="26"/>
      <c r="AO494" s="26"/>
      <c r="AP494" s="26"/>
      <c r="AQ494" s="26">
        <v>43607</v>
      </c>
      <c r="AR494" s="24"/>
      <c r="AS494" s="24"/>
      <c r="AT494" s="26">
        <v>43631</v>
      </c>
      <c r="AU494" s="418">
        <f t="shared" si="24"/>
        <v>6</v>
      </c>
      <c r="AV494" s="418">
        <f t="shared" si="25"/>
        <v>2019</v>
      </c>
      <c r="AW494" s="26"/>
      <c r="AX494" s="28"/>
      <c r="AY494" s="28" t="s">
        <v>272</v>
      </c>
      <c r="AZ494" s="132" t="s">
        <v>37</v>
      </c>
      <c r="BA494" s="132"/>
      <c r="BB494" s="26"/>
      <c r="BC494" s="135" t="s">
        <v>2126</v>
      </c>
      <c r="BD494" s="24">
        <v>43572</v>
      </c>
      <c r="BE494" s="135" t="s">
        <v>2127</v>
      </c>
      <c r="BF494" s="135" t="s">
        <v>2127</v>
      </c>
      <c r="BG494" s="135" t="s">
        <v>145</v>
      </c>
      <c r="BH494" s="135"/>
      <c r="BI494" s="314"/>
      <c r="BJ494" s="314"/>
      <c r="BK494" s="24"/>
      <c r="BL494" s="24"/>
      <c r="BM494" s="24"/>
      <c r="BN494" s="24"/>
      <c r="BO494" s="24">
        <f t="shared" si="26"/>
        <v>43628</v>
      </c>
      <c r="BP494" s="24"/>
      <c r="BQ494" s="24"/>
      <c r="BR494" s="43"/>
      <c r="BS494" s="24"/>
      <c r="BT494" s="24"/>
      <c r="BU494" s="24"/>
      <c r="BV494" s="132" t="e">
        <f>IF(#REF!="COMPLETO","OK","PENDIENTES")</f>
        <v>#REF!</v>
      </c>
      <c r="BW494" s="132"/>
      <c r="BX494" s="132"/>
      <c r="BY494" s="132"/>
      <c r="BZ494" s="132"/>
      <c r="CA494" s="132"/>
      <c r="CB494" s="132"/>
      <c r="CC494" s="22"/>
      <c r="CG494" s="24" t="s">
        <v>105</v>
      </c>
      <c r="CH494" s="24"/>
      <c r="CI494" s="26"/>
      <c r="CJ494" s="26"/>
    </row>
    <row r="495" spans="1:88" ht="15" customHeight="1">
      <c r="A495" s="18">
        <v>2019</v>
      </c>
      <c r="B495" s="18" t="str">
        <f>+INDEX(BDD!F:F,MATCH(P495,BDD!D:D,0))&amp;"-"&amp;INDEX(BDD!E:E,MATCH(P495,BDD!D:D,0))</f>
        <v>A-S</v>
      </c>
      <c r="C495" s="125" t="s">
        <v>484</v>
      </c>
      <c r="D495" s="150" t="s">
        <v>77</v>
      </c>
      <c r="E495" s="132"/>
      <c r="F495" s="24"/>
      <c r="G495" s="346">
        <v>8000000313</v>
      </c>
      <c r="H495" s="125" t="s">
        <v>2142</v>
      </c>
      <c r="I495" s="329"/>
      <c r="J495" s="346">
        <v>8000000313</v>
      </c>
      <c r="K495" s="24"/>
      <c r="L495" s="24"/>
      <c r="M495" s="24"/>
      <c r="N495" s="340" t="s">
        <v>486</v>
      </c>
      <c r="O495" s="334"/>
      <c r="P495" s="25" t="s">
        <v>168</v>
      </c>
      <c r="Q495" s="127" t="s">
        <v>54</v>
      </c>
      <c r="R495" s="232" t="s">
        <v>544</v>
      </c>
      <c r="S495" s="89">
        <v>43453</v>
      </c>
      <c r="T495" s="36">
        <v>90</v>
      </c>
      <c r="U495" s="125" t="s">
        <v>118</v>
      </c>
      <c r="V495" s="147" t="s">
        <v>2124</v>
      </c>
      <c r="W495" s="129"/>
      <c r="X495" s="88">
        <v>43522</v>
      </c>
      <c r="Y495" s="130" t="s">
        <v>20</v>
      </c>
      <c r="Z495" s="133" t="s">
        <v>81</v>
      </c>
      <c r="AA495" s="133"/>
      <c r="AB495" s="148">
        <v>1</v>
      </c>
      <c r="AC495" s="134">
        <v>29100</v>
      </c>
      <c r="AD495" s="134"/>
      <c r="AE495" s="403">
        <f t="shared" si="23"/>
        <v>29100</v>
      </c>
      <c r="AF495" s="132" t="str">
        <f>IF(W495=BDD!$P$1,IMPORTS!AB495/25,IF(W495=BDD!$P$2,IMPORTS!AB495/25,IF(IMPORTS!W495=BDD!$P$4,IMPORTS!AB495/25.5,"--")))</f>
        <v>--</v>
      </c>
      <c r="AG495" s="130" t="s">
        <v>5</v>
      </c>
      <c r="AH495" s="130"/>
      <c r="AI495" s="130" t="s">
        <v>112</v>
      </c>
      <c r="AJ495" s="130"/>
      <c r="AK495" s="130"/>
      <c r="AL495" s="135" t="s">
        <v>2125</v>
      </c>
      <c r="AM495" s="314"/>
      <c r="AN495" s="26"/>
      <c r="AO495" s="26"/>
      <c r="AP495" s="26"/>
      <c r="AQ495" s="26">
        <v>43607</v>
      </c>
      <c r="AR495" s="24"/>
      <c r="AS495" s="24"/>
      <c r="AT495" s="26">
        <v>43631</v>
      </c>
      <c r="AU495" s="418">
        <f t="shared" si="24"/>
        <v>6</v>
      </c>
      <c r="AV495" s="418">
        <f t="shared" si="25"/>
        <v>2019</v>
      </c>
      <c r="AW495" s="26"/>
      <c r="AX495" s="28"/>
      <c r="AY495" s="28" t="s">
        <v>272</v>
      </c>
      <c r="AZ495" s="132" t="s">
        <v>37</v>
      </c>
      <c r="BA495" s="132"/>
      <c r="BB495" s="26"/>
      <c r="BC495" s="135" t="s">
        <v>2126</v>
      </c>
      <c r="BD495" s="24">
        <v>43572</v>
      </c>
      <c r="BE495" s="135" t="s">
        <v>2127</v>
      </c>
      <c r="BF495" s="135" t="s">
        <v>2127</v>
      </c>
      <c r="BG495" s="135" t="s">
        <v>145</v>
      </c>
      <c r="BH495" s="135"/>
      <c r="BI495" s="314"/>
      <c r="BJ495" s="314"/>
      <c r="BK495" s="24"/>
      <c r="BL495" s="24"/>
      <c r="BM495" s="24"/>
      <c r="BN495" s="24"/>
      <c r="BO495" s="24">
        <f t="shared" si="26"/>
        <v>43628</v>
      </c>
      <c r="BP495" s="24"/>
      <c r="BQ495" s="24"/>
      <c r="BR495" s="43"/>
      <c r="BS495" s="24"/>
      <c r="BT495" s="24"/>
      <c r="BU495" s="24"/>
      <c r="BV495" s="132" t="e">
        <f>IF(#REF!="COMPLETO","OK","PENDIENTES")</f>
        <v>#REF!</v>
      </c>
      <c r="BW495" s="132"/>
      <c r="BX495" s="132"/>
      <c r="BY495" s="132"/>
      <c r="BZ495" s="132"/>
      <c r="CA495" s="132"/>
      <c r="CB495" s="132"/>
      <c r="CC495" s="22"/>
      <c r="CG495" s="24" t="s">
        <v>105</v>
      </c>
      <c r="CH495" s="24"/>
      <c r="CI495" s="26"/>
      <c r="CJ495" s="26"/>
    </row>
    <row r="496" spans="1:88" ht="15" customHeight="1">
      <c r="A496" s="18">
        <v>2019</v>
      </c>
      <c r="B496" s="18" t="str">
        <f>+INDEX(BDD!F:F,MATCH(P496,BDD!D:D,0))&amp;"-"&amp;INDEX(BDD!E:E,MATCH(P496,BDD!D:D,0))</f>
        <v>A-S</v>
      </c>
      <c r="C496" s="125" t="s">
        <v>484</v>
      </c>
      <c r="D496" s="150" t="s">
        <v>77</v>
      </c>
      <c r="E496" s="132"/>
      <c r="F496" s="24"/>
      <c r="G496" s="346">
        <v>8000000313</v>
      </c>
      <c r="H496" s="125" t="s">
        <v>2143</v>
      </c>
      <c r="I496" s="329"/>
      <c r="J496" s="346">
        <v>8000000313</v>
      </c>
      <c r="K496" s="24"/>
      <c r="L496" s="24"/>
      <c r="M496" s="24"/>
      <c r="N496" s="340" t="s">
        <v>486</v>
      </c>
      <c r="O496" s="334"/>
      <c r="P496" s="25" t="s">
        <v>172</v>
      </c>
      <c r="Q496" s="127" t="s">
        <v>54</v>
      </c>
      <c r="R496" s="232" t="s">
        <v>544</v>
      </c>
      <c r="S496" s="89">
        <v>43453</v>
      </c>
      <c r="T496" s="36">
        <v>90</v>
      </c>
      <c r="U496" s="125" t="s">
        <v>118</v>
      </c>
      <c r="V496" s="147" t="s">
        <v>2124</v>
      </c>
      <c r="W496" s="129"/>
      <c r="X496" s="88">
        <v>43522</v>
      </c>
      <c r="Y496" s="130" t="s">
        <v>20</v>
      </c>
      <c r="Z496" s="133" t="s">
        <v>81</v>
      </c>
      <c r="AA496" s="133"/>
      <c r="AB496" s="148">
        <v>0.2</v>
      </c>
      <c r="AC496" s="134">
        <v>32799.999999999993</v>
      </c>
      <c r="AD496" s="134"/>
      <c r="AE496" s="403">
        <f t="shared" si="23"/>
        <v>6559.9999999999991</v>
      </c>
      <c r="AF496" s="132" t="str">
        <f>IF(W496=BDD!$P$1,IMPORTS!AB496/25,IF(W496=BDD!$P$2,IMPORTS!AB496/25,IF(IMPORTS!W496=BDD!$P$4,IMPORTS!AB496/25.5,"--")))</f>
        <v>--</v>
      </c>
      <c r="AG496" s="130" t="s">
        <v>5</v>
      </c>
      <c r="AH496" s="130"/>
      <c r="AI496" s="130" t="s">
        <v>112</v>
      </c>
      <c r="AJ496" s="130"/>
      <c r="AK496" s="130"/>
      <c r="AL496" s="135" t="s">
        <v>2125</v>
      </c>
      <c r="AM496" s="314"/>
      <c r="AN496" s="26"/>
      <c r="AO496" s="26"/>
      <c r="AP496" s="26"/>
      <c r="AQ496" s="26">
        <v>43607</v>
      </c>
      <c r="AR496" s="24"/>
      <c r="AS496" s="24"/>
      <c r="AT496" s="26">
        <v>43631</v>
      </c>
      <c r="AU496" s="418">
        <f t="shared" si="24"/>
        <v>6</v>
      </c>
      <c r="AV496" s="418">
        <f t="shared" si="25"/>
        <v>2019</v>
      </c>
      <c r="AW496" s="26"/>
      <c r="AX496" s="28"/>
      <c r="AY496" s="28" t="s">
        <v>272</v>
      </c>
      <c r="AZ496" s="132" t="s">
        <v>37</v>
      </c>
      <c r="BA496" s="132"/>
      <c r="BB496" s="26"/>
      <c r="BC496" s="135" t="s">
        <v>2126</v>
      </c>
      <c r="BD496" s="24">
        <v>43572</v>
      </c>
      <c r="BE496" s="135" t="s">
        <v>2127</v>
      </c>
      <c r="BF496" s="135" t="s">
        <v>2127</v>
      </c>
      <c r="BG496" s="135" t="s">
        <v>145</v>
      </c>
      <c r="BH496" s="135"/>
      <c r="BI496" s="314"/>
      <c r="BJ496" s="314"/>
      <c r="BK496" s="24"/>
      <c r="BL496" s="24"/>
      <c r="BM496" s="24"/>
      <c r="BN496" s="24"/>
      <c r="BO496" s="24">
        <f t="shared" si="26"/>
        <v>43628</v>
      </c>
      <c r="BP496" s="24"/>
      <c r="BQ496" s="24"/>
      <c r="BR496" s="43"/>
      <c r="BS496" s="24"/>
      <c r="BT496" s="24"/>
      <c r="BU496" s="24"/>
      <c r="BV496" s="132" t="e">
        <f>IF(#REF!="COMPLETO","OK","PENDIENTES")</f>
        <v>#REF!</v>
      </c>
      <c r="BW496" s="132"/>
      <c r="BX496" s="132"/>
      <c r="BY496" s="132"/>
      <c r="BZ496" s="132"/>
      <c r="CA496" s="132"/>
      <c r="CB496" s="132"/>
      <c r="CC496" s="22"/>
      <c r="CG496" s="24" t="s">
        <v>105</v>
      </c>
      <c r="CH496" s="24"/>
      <c r="CI496" s="26"/>
      <c r="CJ496" s="26"/>
    </row>
    <row r="497" spans="1:88" ht="15" customHeight="1">
      <c r="A497" s="18">
        <v>2019</v>
      </c>
      <c r="B497" s="18" t="str">
        <f>+INDEX(BDD!F:F,MATCH(P497,BDD!D:D,0))&amp;"-"&amp;INDEX(BDD!E:E,MATCH(P497,BDD!D:D,0))</f>
        <v>A-S</v>
      </c>
      <c r="C497" s="125" t="s">
        <v>484</v>
      </c>
      <c r="D497" s="150" t="s">
        <v>77</v>
      </c>
      <c r="E497" s="132"/>
      <c r="F497" s="24"/>
      <c r="G497" s="346">
        <v>8000000313</v>
      </c>
      <c r="H497" s="125" t="s">
        <v>2144</v>
      </c>
      <c r="I497" s="329"/>
      <c r="J497" s="346">
        <v>8000000313</v>
      </c>
      <c r="K497" s="24"/>
      <c r="L497" s="24"/>
      <c r="M497" s="24"/>
      <c r="N497" s="340" t="s">
        <v>486</v>
      </c>
      <c r="O497" s="334"/>
      <c r="P497" s="25" t="s">
        <v>176</v>
      </c>
      <c r="Q497" s="127" t="s">
        <v>54</v>
      </c>
      <c r="R497" s="232" t="s">
        <v>544</v>
      </c>
      <c r="S497" s="89">
        <v>43453</v>
      </c>
      <c r="T497" s="36">
        <v>90</v>
      </c>
      <c r="U497" s="125" t="s">
        <v>118</v>
      </c>
      <c r="V497" s="147" t="s">
        <v>2124</v>
      </c>
      <c r="W497" s="129"/>
      <c r="X497" s="88">
        <v>43522</v>
      </c>
      <c r="Y497" s="130" t="s">
        <v>20</v>
      </c>
      <c r="Z497" s="133" t="s">
        <v>81</v>
      </c>
      <c r="AA497" s="133"/>
      <c r="AB497" s="148">
        <v>0.2</v>
      </c>
      <c r="AC497" s="134">
        <v>19040</v>
      </c>
      <c r="AD497" s="134"/>
      <c r="AE497" s="403">
        <f t="shared" si="23"/>
        <v>3808</v>
      </c>
      <c r="AF497" s="132" t="str">
        <f>IF(W497=BDD!$P$1,IMPORTS!AB497/25,IF(W497=BDD!$P$2,IMPORTS!AB497/25,IF(IMPORTS!W497=BDD!$P$4,IMPORTS!AB497/25.5,"--")))</f>
        <v>--</v>
      </c>
      <c r="AG497" s="130" t="s">
        <v>5</v>
      </c>
      <c r="AH497" s="130"/>
      <c r="AI497" s="130" t="s">
        <v>2137</v>
      </c>
      <c r="AJ497" s="130"/>
      <c r="AK497" s="130"/>
      <c r="AL497" s="135" t="s">
        <v>2125</v>
      </c>
      <c r="AM497" s="314"/>
      <c r="AN497" s="26"/>
      <c r="AO497" s="26"/>
      <c r="AP497" s="26"/>
      <c r="AQ497" s="26">
        <v>43607</v>
      </c>
      <c r="AR497" s="24"/>
      <c r="AS497" s="24"/>
      <c r="AT497" s="26">
        <v>43631</v>
      </c>
      <c r="AU497" s="418">
        <f t="shared" si="24"/>
        <v>6</v>
      </c>
      <c r="AV497" s="418">
        <f t="shared" si="25"/>
        <v>2019</v>
      </c>
      <c r="AW497" s="26"/>
      <c r="AX497" s="28"/>
      <c r="AY497" s="28" t="s">
        <v>272</v>
      </c>
      <c r="AZ497" s="132" t="s">
        <v>37</v>
      </c>
      <c r="BA497" s="132"/>
      <c r="BB497" s="26"/>
      <c r="BC497" s="135" t="s">
        <v>2126</v>
      </c>
      <c r="BD497" s="24">
        <v>43572</v>
      </c>
      <c r="BE497" s="135" t="s">
        <v>2127</v>
      </c>
      <c r="BF497" s="135" t="s">
        <v>2127</v>
      </c>
      <c r="BG497" s="135" t="s">
        <v>145</v>
      </c>
      <c r="BH497" s="135"/>
      <c r="BI497" s="314"/>
      <c r="BJ497" s="314"/>
      <c r="BK497" s="24"/>
      <c r="BL497" s="24"/>
      <c r="BM497" s="24"/>
      <c r="BN497" s="24"/>
      <c r="BO497" s="24">
        <f t="shared" si="26"/>
        <v>43628</v>
      </c>
      <c r="BP497" s="24"/>
      <c r="BQ497" s="24"/>
      <c r="BR497" s="43"/>
      <c r="BS497" s="24"/>
      <c r="BT497" s="24"/>
      <c r="BU497" s="24"/>
      <c r="BV497" s="132" t="e">
        <f>IF(#REF!="COMPLETO","OK","PENDIENTES")</f>
        <v>#REF!</v>
      </c>
      <c r="BW497" s="132"/>
      <c r="BX497" s="132"/>
      <c r="BY497" s="132"/>
      <c r="BZ497" s="132"/>
      <c r="CA497" s="132"/>
      <c r="CB497" s="132"/>
      <c r="CC497" s="22"/>
      <c r="CG497" s="24" t="s">
        <v>105</v>
      </c>
      <c r="CH497" s="24"/>
      <c r="CI497" s="26"/>
      <c r="CJ497" s="26"/>
    </row>
    <row r="498" spans="1:88" ht="15" customHeight="1">
      <c r="A498" s="18">
        <v>2019</v>
      </c>
      <c r="B498" s="18" t="str">
        <f>+INDEX(BDD!F:F,MATCH(P498,BDD!D:D,0))&amp;"-"&amp;INDEX(BDD!E:E,MATCH(P498,BDD!D:D,0))</f>
        <v>A-S</v>
      </c>
      <c r="C498" s="125" t="s">
        <v>484</v>
      </c>
      <c r="D498" s="150" t="s">
        <v>77</v>
      </c>
      <c r="E498" s="132"/>
      <c r="F498" s="24"/>
      <c r="G498" s="346">
        <v>8000000313</v>
      </c>
      <c r="H498" s="125" t="s">
        <v>2145</v>
      </c>
      <c r="I498" s="329"/>
      <c r="J498" s="346">
        <v>8000000313</v>
      </c>
      <c r="K498" s="24"/>
      <c r="L498" s="24"/>
      <c r="M498" s="24"/>
      <c r="N498" s="340" t="s">
        <v>486</v>
      </c>
      <c r="O498" s="334"/>
      <c r="P498" s="25" t="s">
        <v>307</v>
      </c>
      <c r="Q498" s="127" t="s">
        <v>54</v>
      </c>
      <c r="R498" s="232" t="s">
        <v>544</v>
      </c>
      <c r="S498" s="89">
        <v>43453</v>
      </c>
      <c r="T498" s="36">
        <v>90</v>
      </c>
      <c r="U498" s="125" t="s">
        <v>118</v>
      </c>
      <c r="V498" s="147" t="s">
        <v>2124</v>
      </c>
      <c r="W498" s="129"/>
      <c r="X498" s="88">
        <v>43522</v>
      </c>
      <c r="Y498" s="130" t="s">
        <v>20</v>
      </c>
      <c r="Z498" s="133" t="s">
        <v>81</v>
      </c>
      <c r="AA498" s="133"/>
      <c r="AB498" s="148">
        <v>0.1</v>
      </c>
      <c r="AC498" s="134">
        <v>14950</v>
      </c>
      <c r="AD498" s="134"/>
      <c r="AE498" s="403">
        <f t="shared" si="23"/>
        <v>1495</v>
      </c>
      <c r="AF498" s="132" t="str">
        <f>IF(W498=BDD!$P$1,IMPORTS!AB498/25,IF(W498=BDD!$P$2,IMPORTS!AB498/25,IF(IMPORTS!W498=BDD!$P$4,IMPORTS!AB498/25.5,"--")))</f>
        <v>--</v>
      </c>
      <c r="AG498" s="130" t="s">
        <v>5</v>
      </c>
      <c r="AH498" s="130"/>
      <c r="AI498" s="130" t="s">
        <v>112</v>
      </c>
      <c r="AJ498" s="130"/>
      <c r="AK498" s="130"/>
      <c r="AL498" s="135" t="s">
        <v>2125</v>
      </c>
      <c r="AM498" s="314"/>
      <c r="AN498" s="26"/>
      <c r="AO498" s="26"/>
      <c r="AP498" s="26"/>
      <c r="AQ498" s="26">
        <v>43607</v>
      </c>
      <c r="AR498" s="24"/>
      <c r="AS498" s="24"/>
      <c r="AT498" s="26">
        <v>43631</v>
      </c>
      <c r="AU498" s="418">
        <f t="shared" si="24"/>
        <v>6</v>
      </c>
      <c r="AV498" s="418">
        <f t="shared" si="25"/>
        <v>2019</v>
      </c>
      <c r="AW498" s="26"/>
      <c r="AX498" s="28"/>
      <c r="AY498" s="28" t="s">
        <v>272</v>
      </c>
      <c r="AZ498" s="132" t="s">
        <v>37</v>
      </c>
      <c r="BA498" s="132"/>
      <c r="BB498" s="26"/>
      <c r="BC498" s="135" t="s">
        <v>2126</v>
      </c>
      <c r="BD498" s="24">
        <v>43572</v>
      </c>
      <c r="BE498" s="135" t="s">
        <v>2127</v>
      </c>
      <c r="BF498" s="135" t="s">
        <v>2127</v>
      </c>
      <c r="BG498" s="135" t="s">
        <v>145</v>
      </c>
      <c r="BH498" s="135"/>
      <c r="BI498" s="314"/>
      <c r="BJ498" s="314"/>
      <c r="BK498" s="24"/>
      <c r="BL498" s="24"/>
      <c r="BM498" s="24"/>
      <c r="BN498" s="24"/>
      <c r="BO498" s="24">
        <f t="shared" si="26"/>
        <v>43628</v>
      </c>
      <c r="BP498" s="24"/>
      <c r="BQ498" s="24"/>
      <c r="BR498" s="43"/>
      <c r="BS498" s="24"/>
      <c r="BT498" s="24"/>
      <c r="BU498" s="24"/>
      <c r="BV498" s="132" t="e">
        <f>IF(#REF!="COMPLETO","OK","PENDIENTES")</f>
        <v>#REF!</v>
      </c>
      <c r="BW498" s="132"/>
      <c r="BX498" s="132"/>
      <c r="BY498" s="132"/>
      <c r="BZ498" s="132"/>
      <c r="CA498" s="132"/>
      <c r="CB498" s="132"/>
      <c r="CC498" s="22"/>
      <c r="CG498" s="24" t="s">
        <v>105</v>
      </c>
      <c r="CH498" s="24"/>
      <c r="CI498" s="26"/>
      <c r="CJ498" s="26"/>
    </row>
    <row r="499" spans="1:88" ht="15" customHeight="1">
      <c r="A499" s="18">
        <v>2019</v>
      </c>
      <c r="B499" s="18" t="str">
        <f>+INDEX(BDD!F:F,MATCH(P499,BDD!D:D,0))&amp;"-"&amp;INDEX(BDD!E:E,MATCH(P499,BDD!D:D,0))</f>
        <v>A-S</v>
      </c>
      <c r="C499" s="125" t="s">
        <v>484</v>
      </c>
      <c r="D499" s="150" t="s">
        <v>77</v>
      </c>
      <c r="E499" s="132"/>
      <c r="F499" s="24"/>
      <c r="G499" s="346">
        <v>8000000313</v>
      </c>
      <c r="H499" s="125" t="s">
        <v>2146</v>
      </c>
      <c r="I499" s="329"/>
      <c r="J499" s="346">
        <v>8000000313</v>
      </c>
      <c r="K499" s="24"/>
      <c r="L499" s="24"/>
      <c r="M499" s="24"/>
      <c r="N499" s="340" t="s">
        <v>486</v>
      </c>
      <c r="O499" s="334"/>
      <c r="P499" s="25" t="s">
        <v>76</v>
      </c>
      <c r="Q499" s="127" t="s">
        <v>54</v>
      </c>
      <c r="R499" s="232" t="s">
        <v>544</v>
      </c>
      <c r="S499" s="89">
        <v>43453</v>
      </c>
      <c r="T499" s="36">
        <v>90</v>
      </c>
      <c r="U499" s="125" t="s">
        <v>118</v>
      </c>
      <c r="V499" s="147" t="s">
        <v>2124</v>
      </c>
      <c r="W499" s="129"/>
      <c r="X499" s="88">
        <v>43522</v>
      </c>
      <c r="Y499" s="130" t="s">
        <v>20</v>
      </c>
      <c r="Z499" s="133" t="s">
        <v>81</v>
      </c>
      <c r="AA499" s="133"/>
      <c r="AB499" s="148">
        <v>2</v>
      </c>
      <c r="AC499" s="134">
        <v>9700</v>
      </c>
      <c r="AD499" s="134"/>
      <c r="AE499" s="403">
        <f t="shared" si="23"/>
        <v>19400</v>
      </c>
      <c r="AF499" s="132" t="str">
        <f>IF(W499=BDD!$P$1,IMPORTS!AB499/25,IF(W499=BDD!$P$2,IMPORTS!AB499/25,IF(IMPORTS!W499=BDD!$P$4,IMPORTS!AB499/25.5,"--")))</f>
        <v>--</v>
      </c>
      <c r="AG499" s="130" t="s">
        <v>5</v>
      </c>
      <c r="AH499" s="130"/>
      <c r="AI499" s="130" t="s">
        <v>112</v>
      </c>
      <c r="AJ499" s="130"/>
      <c r="AK499" s="130"/>
      <c r="AL499" s="135" t="s">
        <v>2125</v>
      </c>
      <c r="AM499" s="314"/>
      <c r="AN499" s="26"/>
      <c r="AO499" s="26"/>
      <c r="AP499" s="26"/>
      <c r="AQ499" s="26">
        <v>43607</v>
      </c>
      <c r="AR499" s="24"/>
      <c r="AS499" s="24"/>
      <c r="AT499" s="26">
        <v>43631</v>
      </c>
      <c r="AU499" s="418">
        <f t="shared" si="24"/>
        <v>6</v>
      </c>
      <c r="AV499" s="418">
        <f t="shared" si="25"/>
        <v>2019</v>
      </c>
      <c r="AW499" s="26"/>
      <c r="AX499" s="28"/>
      <c r="AY499" s="28" t="s">
        <v>272</v>
      </c>
      <c r="AZ499" s="132" t="s">
        <v>37</v>
      </c>
      <c r="BA499" s="132"/>
      <c r="BB499" s="26"/>
      <c r="BC499" s="135" t="s">
        <v>2126</v>
      </c>
      <c r="BD499" s="24">
        <v>43572</v>
      </c>
      <c r="BE499" s="135" t="s">
        <v>2127</v>
      </c>
      <c r="BF499" s="135" t="s">
        <v>2127</v>
      </c>
      <c r="BG499" s="135" t="s">
        <v>145</v>
      </c>
      <c r="BH499" s="135"/>
      <c r="BI499" s="314"/>
      <c r="BJ499" s="314"/>
      <c r="BK499" s="24"/>
      <c r="BL499" s="24"/>
      <c r="BM499" s="24"/>
      <c r="BN499" s="24"/>
      <c r="BO499" s="24">
        <f t="shared" si="26"/>
        <v>43628</v>
      </c>
      <c r="BP499" s="24"/>
      <c r="BQ499" s="24"/>
      <c r="BR499" s="43"/>
      <c r="BS499" s="24"/>
      <c r="BT499" s="24"/>
      <c r="BU499" s="24"/>
      <c r="BV499" s="132" t="e">
        <f>IF(#REF!="COMPLETO","OK","PENDIENTES")</f>
        <v>#REF!</v>
      </c>
      <c r="BW499" s="132"/>
      <c r="BX499" s="132"/>
      <c r="BY499" s="132"/>
      <c r="BZ499" s="132"/>
      <c r="CA499" s="132"/>
      <c r="CB499" s="132"/>
      <c r="CC499" s="22"/>
      <c r="CG499" s="24" t="s">
        <v>105</v>
      </c>
      <c r="CH499" s="24"/>
      <c r="CI499" s="26"/>
      <c r="CJ499" s="26"/>
    </row>
    <row r="500" spans="1:88" ht="15" customHeight="1">
      <c r="A500" s="18">
        <v>2019</v>
      </c>
      <c r="B500" s="18" t="str">
        <f>+INDEX(BDD!F:F,MATCH(P500,BDD!D:D,0))&amp;"-"&amp;INDEX(BDD!E:E,MATCH(P500,BDD!D:D,0))</f>
        <v>A-S</v>
      </c>
      <c r="C500" s="125" t="s">
        <v>484</v>
      </c>
      <c r="D500" s="150" t="s">
        <v>77</v>
      </c>
      <c r="E500" s="132"/>
      <c r="F500" s="24"/>
      <c r="G500" s="346">
        <v>8000000313</v>
      </c>
      <c r="H500" s="125" t="s">
        <v>2147</v>
      </c>
      <c r="I500" s="329"/>
      <c r="J500" s="346">
        <v>8000000313</v>
      </c>
      <c r="K500" s="24"/>
      <c r="L500" s="24"/>
      <c r="M500" s="24"/>
      <c r="N500" s="340" t="s">
        <v>486</v>
      </c>
      <c r="O500" s="334"/>
      <c r="P500" s="25" t="s">
        <v>85</v>
      </c>
      <c r="Q500" s="127" t="s">
        <v>54</v>
      </c>
      <c r="R500" s="232" t="s">
        <v>544</v>
      </c>
      <c r="S500" s="89">
        <v>43453</v>
      </c>
      <c r="T500" s="36">
        <v>90</v>
      </c>
      <c r="U500" s="125" t="s">
        <v>118</v>
      </c>
      <c r="V500" s="147" t="s">
        <v>2124</v>
      </c>
      <c r="W500" s="129"/>
      <c r="X500" s="88">
        <v>43522</v>
      </c>
      <c r="Y500" s="130" t="s">
        <v>20</v>
      </c>
      <c r="Z500" s="133" t="s">
        <v>81</v>
      </c>
      <c r="AA500" s="133"/>
      <c r="AB500" s="148">
        <v>2</v>
      </c>
      <c r="AC500" s="134">
        <v>10000</v>
      </c>
      <c r="AD500" s="134"/>
      <c r="AE500" s="403">
        <f t="shared" si="23"/>
        <v>20000</v>
      </c>
      <c r="AF500" s="132" t="str">
        <f>IF(W500=BDD!$P$1,IMPORTS!AB500/25,IF(W500=BDD!$P$2,IMPORTS!AB500/25,IF(IMPORTS!W500=BDD!$P$4,IMPORTS!AB500/25.5,"--")))</f>
        <v>--</v>
      </c>
      <c r="AG500" s="130" t="s">
        <v>5</v>
      </c>
      <c r="AH500" s="130"/>
      <c r="AI500" s="130" t="s">
        <v>112</v>
      </c>
      <c r="AJ500" s="130"/>
      <c r="AK500" s="130"/>
      <c r="AL500" s="135" t="s">
        <v>2125</v>
      </c>
      <c r="AM500" s="314"/>
      <c r="AN500" s="26"/>
      <c r="AO500" s="26"/>
      <c r="AP500" s="26"/>
      <c r="AQ500" s="26">
        <v>43607</v>
      </c>
      <c r="AR500" s="24"/>
      <c r="AS500" s="24"/>
      <c r="AT500" s="26">
        <v>43631</v>
      </c>
      <c r="AU500" s="418">
        <f t="shared" si="24"/>
        <v>6</v>
      </c>
      <c r="AV500" s="418">
        <f t="shared" si="25"/>
        <v>2019</v>
      </c>
      <c r="AW500" s="26"/>
      <c r="AX500" s="28"/>
      <c r="AY500" s="28" t="s">
        <v>272</v>
      </c>
      <c r="AZ500" s="132" t="s">
        <v>37</v>
      </c>
      <c r="BA500" s="132"/>
      <c r="BB500" s="26"/>
      <c r="BC500" s="135" t="s">
        <v>2126</v>
      </c>
      <c r="BD500" s="24">
        <v>43572</v>
      </c>
      <c r="BE500" s="135" t="s">
        <v>2127</v>
      </c>
      <c r="BF500" s="135" t="s">
        <v>2127</v>
      </c>
      <c r="BG500" s="135" t="s">
        <v>145</v>
      </c>
      <c r="BH500" s="135"/>
      <c r="BI500" s="314"/>
      <c r="BJ500" s="314"/>
      <c r="BK500" s="24"/>
      <c r="BL500" s="24"/>
      <c r="BM500" s="24"/>
      <c r="BN500" s="24"/>
      <c r="BO500" s="24">
        <f t="shared" si="26"/>
        <v>43628</v>
      </c>
      <c r="BP500" s="24"/>
      <c r="BQ500" s="24"/>
      <c r="BR500" s="43"/>
      <c r="BS500" s="24"/>
      <c r="BT500" s="24"/>
      <c r="BU500" s="24"/>
      <c r="BV500" s="132" t="e">
        <f>IF(#REF!="COMPLETO","OK","PENDIENTES")</f>
        <v>#REF!</v>
      </c>
      <c r="BW500" s="132"/>
      <c r="BX500" s="132"/>
      <c r="BY500" s="132"/>
      <c r="BZ500" s="132"/>
      <c r="CA500" s="132"/>
      <c r="CB500" s="132"/>
      <c r="CC500" s="22"/>
      <c r="CG500" s="24" t="s">
        <v>105</v>
      </c>
      <c r="CH500" s="24"/>
      <c r="CI500" s="26"/>
      <c r="CJ500" s="26"/>
    </row>
    <row r="501" spans="1:88" ht="15" customHeight="1">
      <c r="A501" s="18">
        <v>2019</v>
      </c>
      <c r="B501" s="18" t="str">
        <f>+INDEX(BDD!F:F,MATCH(P501,BDD!D:D,0))&amp;"-"&amp;INDEX(BDD!E:E,MATCH(P501,BDD!D:D,0))</f>
        <v>G-C</v>
      </c>
      <c r="C501" s="125" t="s">
        <v>484</v>
      </c>
      <c r="D501" s="150" t="s">
        <v>77</v>
      </c>
      <c r="E501" s="132"/>
      <c r="F501" s="24"/>
      <c r="G501" s="346">
        <v>8000000348</v>
      </c>
      <c r="H501" s="125" t="s">
        <v>2148</v>
      </c>
      <c r="I501" s="329"/>
      <c r="J501" s="346">
        <v>8000000348</v>
      </c>
      <c r="K501" s="24"/>
      <c r="L501" s="24"/>
      <c r="M501" s="24"/>
      <c r="N501" s="340" t="s">
        <v>486</v>
      </c>
      <c r="O501" s="334">
        <v>206573</v>
      </c>
      <c r="P501" s="25" t="s">
        <v>226</v>
      </c>
      <c r="Q501" s="127" t="s">
        <v>291</v>
      </c>
      <c r="R501" s="232" t="s">
        <v>544</v>
      </c>
      <c r="S501" s="89">
        <v>43487</v>
      </c>
      <c r="T501" s="36">
        <v>150</v>
      </c>
      <c r="U501" s="125" t="s">
        <v>118</v>
      </c>
      <c r="V501" s="147" t="s">
        <v>2149</v>
      </c>
      <c r="W501" s="129"/>
      <c r="X501" s="88">
        <v>43633</v>
      </c>
      <c r="Y501" s="130" t="s">
        <v>20</v>
      </c>
      <c r="Z501" s="133" t="s">
        <v>60</v>
      </c>
      <c r="AA501" s="133"/>
      <c r="AB501" s="148">
        <v>825</v>
      </c>
      <c r="AC501" s="134">
        <v>241</v>
      </c>
      <c r="AD501" s="134"/>
      <c r="AE501" s="403">
        <f t="shared" si="23"/>
        <v>198825</v>
      </c>
      <c r="AF501" s="132" t="str">
        <f>IF(W501=BDD!$P$1,IMPORTS!AB501/25,IF(W501=BDD!$P$2,IMPORTS!AB501/25,IF(IMPORTS!W501=BDD!$P$4,IMPORTS!AB501/25.5,"--")))</f>
        <v>--</v>
      </c>
      <c r="AG501" s="130" t="s">
        <v>46</v>
      </c>
      <c r="AH501" s="130"/>
      <c r="AI501" s="130" t="s">
        <v>100</v>
      </c>
      <c r="AJ501" s="130"/>
      <c r="AK501" s="130"/>
      <c r="AL501" s="232" t="s">
        <v>2035</v>
      </c>
      <c r="AM501" s="314"/>
      <c r="AN501" s="26"/>
      <c r="AO501" s="26"/>
      <c r="AP501" s="26"/>
      <c r="AQ501" s="26">
        <v>43512</v>
      </c>
      <c r="AR501" s="24"/>
      <c r="AS501" s="24"/>
      <c r="AT501" s="24">
        <v>43513</v>
      </c>
      <c r="AU501" s="418">
        <f t="shared" si="24"/>
        <v>2</v>
      </c>
      <c r="AV501" s="418">
        <f t="shared" si="25"/>
        <v>2019</v>
      </c>
      <c r="AW501" s="24"/>
      <c r="AX501" s="28"/>
      <c r="AY501" s="28" t="s">
        <v>269</v>
      </c>
      <c r="AZ501" s="132" t="s">
        <v>9</v>
      </c>
      <c r="BA501" s="132"/>
      <c r="BB501" s="24"/>
      <c r="BC501" s="135">
        <v>9</v>
      </c>
      <c r="BD501" s="24">
        <v>43482</v>
      </c>
      <c r="BE501" s="135" t="s">
        <v>2150</v>
      </c>
      <c r="BF501" s="135" t="s">
        <v>2150</v>
      </c>
      <c r="BG501" s="135" t="s">
        <v>52</v>
      </c>
      <c r="BH501" s="135"/>
      <c r="BI501" s="314"/>
      <c r="BJ501" s="314"/>
      <c r="BK501" s="24"/>
      <c r="BL501" s="24"/>
      <c r="BM501" s="24"/>
      <c r="BN501" s="24"/>
      <c r="BO501" s="24"/>
      <c r="BP501" s="24"/>
      <c r="BQ501" s="24"/>
      <c r="BR501" s="43"/>
      <c r="BS501" s="24"/>
      <c r="BT501" s="24"/>
      <c r="BU501" s="24"/>
      <c r="BV501" s="132" t="e">
        <f>IF(#REF!="COMPLETO","OK","PENDIENTES")</f>
        <v>#REF!</v>
      </c>
      <c r="BW501" s="132"/>
      <c r="BX501" s="132"/>
      <c r="BY501" s="132"/>
      <c r="BZ501" s="132"/>
      <c r="CA501" s="132"/>
      <c r="CB501" s="132"/>
      <c r="CC501" s="22"/>
      <c r="CG501" s="24" t="s">
        <v>105</v>
      </c>
      <c r="CH501" s="24"/>
      <c r="CI501" s="24"/>
      <c r="CJ501" s="24"/>
    </row>
    <row r="502" spans="1:88" ht="15.75" customHeight="1">
      <c r="A502" s="18">
        <v>2019</v>
      </c>
      <c r="B502" s="18" t="str">
        <f>+INDEX(BDD!F:F,MATCH(P502,BDD!D:D,0))&amp;"-"&amp;INDEX(BDD!E:E,MATCH(P502,BDD!D:D,0))</f>
        <v>G-C</v>
      </c>
      <c r="C502" s="125" t="s">
        <v>484</v>
      </c>
      <c r="D502" s="150" t="s">
        <v>77</v>
      </c>
      <c r="E502" s="132"/>
      <c r="F502" s="24"/>
      <c r="G502" s="346">
        <v>8000000364</v>
      </c>
      <c r="H502" s="125" t="s">
        <v>2151</v>
      </c>
      <c r="I502" s="329"/>
      <c r="J502" s="346">
        <v>8000000364</v>
      </c>
      <c r="K502" s="24"/>
      <c r="L502" s="24"/>
      <c r="M502" s="24"/>
      <c r="N502" s="340" t="s">
        <v>486</v>
      </c>
      <c r="O502" s="334">
        <v>206573</v>
      </c>
      <c r="P502" s="25" t="s">
        <v>226</v>
      </c>
      <c r="Q502" s="127" t="s">
        <v>291</v>
      </c>
      <c r="R502" s="232" t="s">
        <v>544</v>
      </c>
      <c r="S502" s="89">
        <v>43487</v>
      </c>
      <c r="T502" s="36">
        <v>150</v>
      </c>
      <c r="U502" s="125" t="s">
        <v>118</v>
      </c>
      <c r="V502" s="147" t="s">
        <v>2152</v>
      </c>
      <c r="W502" s="129"/>
      <c r="X502" s="88">
        <v>43633</v>
      </c>
      <c r="Y502" s="130" t="s">
        <v>20</v>
      </c>
      <c r="Z502" s="133" t="s">
        <v>60</v>
      </c>
      <c r="AA502" s="133"/>
      <c r="AB502" s="148">
        <v>770</v>
      </c>
      <c r="AC502" s="134">
        <v>241</v>
      </c>
      <c r="AD502" s="134"/>
      <c r="AE502" s="403">
        <f t="shared" si="23"/>
        <v>185570</v>
      </c>
      <c r="AF502" s="132" t="str">
        <f>IF(W502=BDD!$P$1,IMPORTS!AB502/25,IF(W502=BDD!$P$2,IMPORTS!AB502/25,IF(IMPORTS!W502=BDD!$P$4,IMPORTS!AB502/25.5,"--")))</f>
        <v>--</v>
      </c>
      <c r="AG502" s="130" t="s">
        <v>46</v>
      </c>
      <c r="AH502" s="130"/>
      <c r="AI502" s="130" t="s">
        <v>100</v>
      </c>
      <c r="AJ502" s="130"/>
      <c r="AK502" s="130"/>
      <c r="AL502" s="232" t="s">
        <v>2035</v>
      </c>
      <c r="AM502" s="314"/>
      <c r="AN502" s="26"/>
      <c r="AO502" s="26"/>
      <c r="AP502" s="26"/>
      <c r="AQ502" s="26">
        <v>43525</v>
      </c>
      <c r="AR502" s="24"/>
      <c r="AS502" s="24"/>
      <c r="AT502" s="24">
        <v>43528</v>
      </c>
      <c r="AU502" s="418">
        <f t="shared" si="24"/>
        <v>3</v>
      </c>
      <c r="AV502" s="418">
        <f t="shared" si="25"/>
        <v>2019</v>
      </c>
      <c r="AW502" s="24"/>
      <c r="AX502" s="28"/>
      <c r="AY502" s="28" t="s">
        <v>269</v>
      </c>
      <c r="AZ502" s="132" t="s">
        <v>50</v>
      </c>
      <c r="BA502" s="132"/>
      <c r="BB502" s="24"/>
      <c r="BC502" s="135">
        <v>10</v>
      </c>
      <c r="BD502" s="24">
        <v>43482</v>
      </c>
      <c r="BE502" s="135" t="s">
        <v>2150</v>
      </c>
      <c r="BF502" s="135" t="s">
        <v>2150</v>
      </c>
      <c r="BG502" s="135" t="s">
        <v>52</v>
      </c>
      <c r="BH502" s="135"/>
      <c r="BI502" s="314"/>
      <c r="BJ502" s="314"/>
      <c r="BK502" s="24"/>
      <c r="BL502" s="24"/>
      <c r="BM502" s="24"/>
      <c r="BN502" s="24"/>
      <c r="BO502" s="24"/>
      <c r="BP502" s="24"/>
      <c r="BQ502" s="24"/>
      <c r="BR502" s="43"/>
      <c r="BS502" s="24"/>
      <c r="BT502" s="24"/>
      <c r="BU502" s="24"/>
      <c r="BV502" s="132" t="e">
        <f>IF(#REF!="COMPLETO","OK","PENDIENTES")</f>
        <v>#REF!</v>
      </c>
      <c r="BW502" s="132"/>
      <c r="BX502" s="132"/>
      <c r="BY502" s="132"/>
      <c r="BZ502" s="132"/>
      <c r="CA502" s="132"/>
      <c r="CB502" s="132"/>
      <c r="CC502" s="22"/>
      <c r="CG502" s="24" t="s">
        <v>105</v>
      </c>
      <c r="CH502" s="24"/>
      <c r="CI502" s="24"/>
      <c r="CJ502" s="24"/>
    </row>
    <row r="503" spans="1:88" ht="15" customHeight="1">
      <c r="A503" s="18">
        <v>2019</v>
      </c>
      <c r="B503" s="18" t="str">
        <f>+INDEX(BDD!F:F,MATCH(P503,BDD!D:D,0))&amp;"-"&amp;INDEX(BDD!E:E,MATCH(P503,BDD!D:D,0))</f>
        <v>G-C</v>
      </c>
      <c r="C503" s="125" t="s">
        <v>484</v>
      </c>
      <c r="D503" s="150" t="s">
        <v>77</v>
      </c>
      <c r="E503" s="132"/>
      <c r="F503" s="24"/>
      <c r="G503" s="346">
        <v>8000000365</v>
      </c>
      <c r="H503" s="125" t="s">
        <v>2153</v>
      </c>
      <c r="I503" s="329"/>
      <c r="J503" s="346">
        <v>8000000365</v>
      </c>
      <c r="K503" s="24"/>
      <c r="L503" s="24"/>
      <c r="M503" s="24"/>
      <c r="N503" s="340" t="s">
        <v>486</v>
      </c>
      <c r="O503" s="334">
        <v>206573</v>
      </c>
      <c r="P503" s="25" t="s">
        <v>226</v>
      </c>
      <c r="Q503" s="127" t="s">
        <v>291</v>
      </c>
      <c r="R503" s="232" t="s">
        <v>544</v>
      </c>
      <c r="S503" s="89">
        <v>43487</v>
      </c>
      <c r="T503" s="36">
        <v>150</v>
      </c>
      <c r="U503" s="125" t="s">
        <v>118</v>
      </c>
      <c r="V503" s="147" t="s">
        <v>2154</v>
      </c>
      <c r="W503" s="129"/>
      <c r="X503" s="88">
        <v>43633</v>
      </c>
      <c r="Y503" s="130" t="s">
        <v>20</v>
      </c>
      <c r="Z503" s="133" t="s">
        <v>60</v>
      </c>
      <c r="AA503" s="133"/>
      <c r="AB503" s="234">
        <v>604.06700000000001</v>
      </c>
      <c r="AC503" s="134">
        <v>241</v>
      </c>
      <c r="AD503" s="134"/>
      <c r="AE503" s="403">
        <f t="shared" si="23"/>
        <v>145580.147</v>
      </c>
      <c r="AF503" s="132" t="str">
        <f>IF(W503=BDD!$P$1,IMPORTS!AB503/25,IF(W503=BDD!$P$2,IMPORTS!AB503/25,IF(IMPORTS!W503=BDD!$P$4,IMPORTS!AB503/25.5,"--")))</f>
        <v>--</v>
      </c>
      <c r="AG503" s="130" t="s">
        <v>46</v>
      </c>
      <c r="AH503" s="130"/>
      <c r="AI503" s="130" t="s">
        <v>100</v>
      </c>
      <c r="AJ503" s="130"/>
      <c r="AK503" s="130"/>
      <c r="AL503" s="232" t="s">
        <v>2035</v>
      </c>
      <c r="AM503" s="314"/>
      <c r="AN503" s="26"/>
      <c r="AO503" s="26"/>
      <c r="AP503" s="26"/>
      <c r="AQ503" s="26">
        <v>43529</v>
      </c>
      <c r="AR503" s="24"/>
      <c r="AS503" s="24"/>
      <c r="AT503" s="24">
        <v>43531</v>
      </c>
      <c r="AU503" s="418">
        <f t="shared" si="24"/>
        <v>3</v>
      </c>
      <c r="AV503" s="418">
        <f t="shared" si="25"/>
        <v>2019</v>
      </c>
      <c r="AW503" s="24"/>
      <c r="AX503" s="28"/>
      <c r="AY503" s="28" t="s">
        <v>269</v>
      </c>
      <c r="AZ503" s="132" t="s">
        <v>62</v>
      </c>
      <c r="BA503" s="132"/>
      <c r="BB503" s="24"/>
      <c r="BC503" s="135">
        <v>11</v>
      </c>
      <c r="BD503" s="24">
        <v>43482</v>
      </c>
      <c r="BE503" s="135" t="s">
        <v>2150</v>
      </c>
      <c r="BF503" s="135" t="s">
        <v>2150</v>
      </c>
      <c r="BG503" s="135" t="s">
        <v>52</v>
      </c>
      <c r="BH503" s="135"/>
      <c r="BI503" s="314"/>
      <c r="BJ503" s="314"/>
      <c r="BK503" s="24"/>
      <c r="BL503" s="24"/>
      <c r="BM503" s="24"/>
      <c r="BN503" s="24"/>
      <c r="BO503" s="24"/>
      <c r="BP503" s="24"/>
      <c r="BQ503" s="24"/>
      <c r="BR503" s="43"/>
      <c r="BS503" s="24"/>
      <c r="BT503" s="24"/>
      <c r="BU503" s="24"/>
      <c r="BV503" s="132" t="e">
        <f>IF(#REF!="COMPLETO","OK","PENDIENTES")</f>
        <v>#REF!</v>
      </c>
      <c r="BW503" s="132"/>
      <c r="BX503" s="132"/>
      <c r="BY503" s="132"/>
      <c r="BZ503" s="132"/>
      <c r="CA503" s="132"/>
      <c r="CB503" s="132"/>
      <c r="CC503" s="22"/>
      <c r="CG503" s="24" t="s">
        <v>105</v>
      </c>
      <c r="CH503" s="24"/>
      <c r="CI503" s="24"/>
      <c r="CJ503" s="24"/>
    </row>
    <row r="504" spans="1:88" ht="15" customHeight="1">
      <c r="A504" s="18">
        <v>2019</v>
      </c>
      <c r="B504" s="18" t="str">
        <f>+INDEX(BDD!F:F,MATCH(P504,BDD!D:D,0))&amp;"-"&amp;INDEX(BDD!E:E,MATCH(P504,BDD!D:D,0))</f>
        <v>G-S</v>
      </c>
      <c r="C504" s="125" t="s">
        <v>484</v>
      </c>
      <c r="D504" s="150" t="s">
        <v>77</v>
      </c>
      <c r="E504" s="132"/>
      <c r="F504" s="24"/>
      <c r="G504" s="346">
        <v>8000000346</v>
      </c>
      <c r="H504" s="125" t="s">
        <v>2155</v>
      </c>
      <c r="I504" s="329"/>
      <c r="J504" s="346">
        <v>8000000346</v>
      </c>
      <c r="K504" s="24"/>
      <c r="L504" s="24"/>
      <c r="M504" s="24"/>
      <c r="N504" s="340" t="s">
        <v>486</v>
      </c>
      <c r="O504" s="334">
        <v>207951</v>
      </c>
      <c r="P504" s="25" t="s">
        <v>354</v>
      </c>
      <c r="Q504" s="127" t="s">
        <v>291</v>
      </c>
      <c r="R504" s="232" t="s">
        <v>544</v>
      </c>
      <c r="S504" s="89">
        <v>43487</v>
      </c>
      <c r="T504" s="36">
        <v>150</v>
      </c>
      <c r="U504" s="125" t="s">
        <v>118</v>
      </c>
      <c r="V504" s="147" t="s">
        <v>2156</v>
      </c>
      <c r="W504" s="129"/>
      <c r="X504" s="88">
        <v>43633</v>
      </c>
      <c r="Y504" s="130" t="s">
        <v>20</v>
      </c>
      <c r="Z504" s="133" t="s">
        <v>60</v>
      </c>
      <c r="AA504" s="133"/>
      <c r="AB504" s="148">
        <v>1300</v>
      </c>
      <c r="AC504" s="134">
        <v>313</v>
      </c>
      <c r="AD504" s="134"/>
      <c r="AE504" s="403">
        <f t="shared" si="23"/>
        <v>406900</v>
      </c>
      <c r="AF504" s="132" t="str">
        <f>IF(W504=BDD!$P$1,IMPORTS!AB504/25,IF(W504=BDD!$P$2,IMPORTS!AB504/25,IF(IMPORTS!W504=BDD!$P$4,IMPORTS!AB504/25.5,"--")))</f>
        <v>--</v>
      </c>
      <c r="AG504" s="130" t="s">
        <v>46</v>
      </c>
      <c r="AH504" s="130"/>
      <c r="AI504" s="130" t="s">
        <v>100</v>
      </c>
      <c r="AJ504" s="130"/>
      <c r="AK504" s="130"/>
      <c r="AL504" s="232" t="s">
        <v>2035</v>
      </c>
      <c r="AM504" s="314"/>
      <c r="AN504" s="26"/>
      <c r="AO504" s="26"/>
      <c r="AP504" s="26"/>
      <c r="AQ504" s="26">
        <v>43512</v>
      </c>
      <c r="AR504" s="24"/>
      <c r="AS504" s="24"/>
      <c r="AT504" s="24">
        <v>43513</v>
      </c>
      <c r="AU504" s="418">
        <f t="shared" si="24"/>
        <v>2</v>
      </c>
      <c r="AV504" s="418">
        <f t="shared" si="25"/>
        <v>2019</v>
      </c>
      <c r="AW504" s="24"/>
      <c r="AX504" s="28"/>
      <c r="AY504" s="28" t="s">
        <v>269</v>
      </c>
      <c r="AZ504" s="132" t="s">
        <v>9</v>
      </c>
      <c r="BA504" s="132"/>
      <c r="BB504" s="24"/>
      <c r="BC504" s="135">
        <v>29</v>
      </c>
      <c r="BD504" s="24">
        <v>43482</v>
      </c>
      <c r="BE504" s="135" t="s">
        <v>2150</v>
      </c>
      <c r="BF504" s="135" t="s">
        <v>2150</v>
      </c>
      <c r="BG504" s="135" t="s">
        <v>52</v>
      </c>
      <c r="BH504" s="135"/>
      <c r="BI504" s="314"/>
      <c r="BJ504" s="314"/>
      <c r="BK504" s="24"/>
      <c r="BL504" s="24"/>
      <c r="BM504" s="24"/>
      <c r="BN504" s="24"/>
      <c r="BO504" s="24"/>
      <c r="BP504" s="24"/>
      <c r="BQ504" s="24"/>
      <c r="BR504" s="43"/>
      <c r="BS504" s="24"/>
      <c r="BT504" s="24"/>
      <c r="BU504" s="24"/>
      <c r="BV504" s="132" t="e">
        <f>IF(#REF!="COMPLETO","OK","PENDIENTES")</f>
        <v>#REF!</v>
      </c>
      <c r="BW504" s="132"/>
      <c r="BX504" s="132"/>
      <c r="BY504" s="132"/>
      <c r="BZ504" s="132"/>
      <c r="CA504" s="132"/>
      <c r="CB504" s="132"/>
      <c r="CC504" s="22"/>
      <c r="CG504" s="24" t="s">
        <v>105</v>
      </c>
      <c r="CH504" s="24"/>
      <c r="CI504" s="24"/>
      <c r="CJ504" s="24"/>
    </row>
    <row r="505" spans="1:88" ht="15" customHeight="1">
      <c r="A505" s="18">
        <v>2019</v>
      </c>
      <c r="B505" s="18" t="str">
        <f>+INDEX(BDD!F:F,MATCH(P505,BDD!D:D,0))&amp;"-"&amp;INDEX(BDD!E:E,MATCH(P505,BDD!D:D,0))</f>
        <v>G-S</v>
      </c>
      <c r="C505" s="125" t="s">
        <v>484</v>
      </c>
      <c r="D505" s="150" t="s">
        <v>77</v>
      </c>
      <c r="E505" s="132"/>
      <c r="F505" s="24"/>
      <c r="G505" s="346">
        <v>8000000360</v>
      </c>
      <c r="H505" s="125" t="s">
        <v>2157</v>
      </c>
      <c r="I505" s="329"/>
      <c r="J505" s="346">
        <v>8000000360</v>
      </c>
      <c r="K505" s="24"/>
      <c r="L505" s="24"/>
      <c r="M505" s="24"/>
      <c r="N505" s="340" t="s">
        <v>486</v>
      </c>
      <c r="O505" s="334">
        <v>207951</v>
      </c>
      <c r="P505" s="25" t="s">
        <v>354</v>
      </c>
      <c r="Q505" s="127" t="s">
        <v>291</v>
      </c>
      <c r="R505" s="232" t="s">
        <v>544</v>
      </c>
      <c r="S505" s="89">
        <v>43487</v>
      </c>
      <c r="T505" s="36">
        <v>150</v>
      </c>
      <c r="U505" s="125" t="s">
        <v>118</v>
      </c>
      <c r="V505" s="147" t="s">
        <v>2158</v>
      </c>
      <c r="W505" s="129"/>
      <c r="X505" s="88">
        <v>43633</v>
      </c>
      <c r="Y505" s="130" t="s">
        <v>20</v>
      </c>
      <c r="Z505" s="133" t="s">
        <v>60</v>
      </c>
      <c r="AA505" s="133"/>
      <c r="AB505" s="148">
        <v>1800</v>
      </c>
      <c r="AC505" s="134">
        <v>313</v>
      </c>
      <c r="AD505" s="134"/>
      <c r="AE505" s="403">
        <f t="shared" si="23"/>
        <v>563400</v>
      </c>
      <c r="AF505" s="132" t="str">
        <f>IF(W505=BDD!$P$1,IMPORTS!AB505/25,IF(W505=BDD!$P$2,IMPORTS!AB505/25,IF(IMPORTS!W505=BDD!$P$4,IMPORTS!AB505/25.5,"--")))</f>
        <v>--</v>
      </c>
      <c r="AG505" s="130" t="s">
        <v>46</v>
      </c>
      <c r="AH505" s="130"/>
      <c r="AI505" s="130" t="s">
        <v>100</v>
      </c>
      <c r="AJ505" s="130"/>
      <c r="AK505" s="130"/>
      <c r="AL505" s="232" t="s">
        <v>2035</v>
      </c>
      <c r="AM505" s="314"/>
      <c r="AN505" s="26"/>
      <c r="AO505" s="26"/>
      <c r="AP505" s="26"/>
      <c r="AQ505" s="26">
        <v>43515</v>
      </c>
      <c r="AR505" s="24"/>
      <c r="AS505" s="24"/>
      <c r="AT505" s="24">
        <v>43522</v>
      </c>
      <c r="AU505" s="418">
        <f t="shared" si="24"/>
        <v>2</v>
      </c>
      <c r="AV505" s="418">
        <f t="shared" si="25"/>
        <v>2019</v>
      </c>
      <c r="AW505" s="24"/>
      <c r="AX505" s="28"/>
      <c r="AY505" s="28" t="s">
        <v>269</v>
      </c>
      <c r="AZ505" s="132" t="s">
        <v>25</v>
      </c>
      <c r="BA505" s="132"/>
      <c r="BB505" s="24"/>
      <c r="BC505" s="135">
        <v>30</v>
      </c>
      <c r="BD505" s="24">
        <v>43482</v>
      </c>
      <c r="BE505" s="135" t="s">
        <v>2150</v>
      </c>
      <c r="BF505" s="135" t="s">
        <v>2150</v>
      </c>
      <c r="BG505" s="135" t="s">
        <v>52</v>
      </c>
      <c r="BH505" s="135"/>
      <c r="BI505" s="314"/>
      <c r="BJ505" s="314"/>
      <c r="BK505" s="24"/>
      <c r="BL505" s="24"/>
      <c r="BM505" s="24"/>
      <c r="BN505" s="24"/>
      <c r="BO505" s="24"/>
      <c r="BP505" s="24"/>
      <c r="BQ505" s="24"/>
      <c r="BR505" s="43"/>
      <c r="BS505" s="24"/>
      <c r="BT505" s="24"/>
      <c r="BU505" s="24"/>
      <c r="BV505" s="132" t="e">
        <f>IF(#REF!="COMPLETO","OK","PENDIENTES")</f>
        <v>#REF!</v>
      </c>
      <c r="BW505" s="132"/>
      <c r="BX505" s="132"/>
      <c r="BY505" s="132"/>
      <c r="BZ505" s="132"/>
      <c r="CA505" s="132"/>
      <c r="CB505" s="132"/>
      <c r="CC505" s="22"/>
      <c r="CG505" s="24" t="s">
        <v>105</v>
      </c>
      <c r="CH505" s="24"/>
      <c r="CI505" s="24"/>
      <c r="CJ505" s="24"/>
    </row>
    <row r="506" spans="1:88" ht="15" customHeight="1">
      <c r="A506" s="18">
        <v>2019</v>
      </c>
      <c r="B506" s="18" t="str">
        <f>+INDEX(BDD!F:F,MATCH(P506,BDD!D:D,0))&amp;"-"&amp;INDEX(BDD!E:E,MATCH(P506,BDD!D:D,0))</f>
        <v>G-S</v>
      </c>
      <c r="C506" s="125" t="s">
        <v>484</v>
      </c>
      <c r="D506" s="150" t="s">
        <v>77</v>
      </c>
      <c r="E506" s="132"/>
      <c r="F506" s="24"/>
      <c r="G506" s="346">
        <v>8000000361</v>
      </c>
      <c r="H506" s="125" t="s">
        <v>2159</v>
      </c>
      <c r="I506" s="329"/>
      <c r="J506" s="346">
        <v>8000000361</v>
      </c>
      <c r="K506" s="24"/>
      <c r="L506" s="24"/>
      <c r="M506" s="24"/>
      <c r="N506" s="340" t="s">
        <v>486</v>
      </c>
      <c r="O506" s="334">
        <v>207951</v>
      </c>
      <c r="P506" s="25" t="s">
        <v>354</v>
      </c>
      <c r="Q506" s="127" t="s">
        <v>291</v>
      </c>
      <c r="R506" s="232" t="s">
        <v>544</v>
      </c>
      <c r="S506" s="89">
        <v>43487</v>
      </c>
      <c r="T506" s="36">
        <v>150</v>
      </c>
      <c r="U506" s="125" t="s">
        <v>118</v>
      </c>
      <c r="V506" s="147" t="s">
        <v>2160</v>
      </c>
      <c r="W506" s="129"/>
      <c r="X506" s="88">
        <v>43633</v>
      </c>
      <c r="Y506" s="130" t="s">
        <v>20</v>
      </c>
      <c r="Z506" s="133" t="s">
        <v>60</v>
      </c>
      <c r="AA506" s="133"/>
      <c r="AB506" s="148">
        <v>1000</v>
      </c>
      <c r="AC506" s="134">
        <v>313</v>
      </c>
      <c r="AD506" s="134"/>
      <c r="AE506" s="403">
        <f t="shared" si="23"/>
        <v>313000</v>
      </c>
      <c r="AF506" s="132" t="str">
        <f>IF(W506=BDD!$P$1,IMPORTS!AB506/25,IF(W506=BDD!$P$2,IMPORTS!AB506/25,IF(IMPORTS!W506=BDD!$P$4,IMPORTS!AB506/25.5,"--")))</f>
        <v>--</v>
      </c>
      <c r="AG506" s="130" t="s">
        <v>46</v>
      </c>
      <c r="AH506" s="130"/>
      <c r="AI506" s="130" t="s">
        <v>100</v>
      </c>
      <c r="AJ506" s="130"/>
      <c r="AK506" s="130"/>
      <c r="AL506" s="232" t="s">
        <v>2035</v>
      </c>
      <c r="AM506" s="314"/>
      <c r="AN506" s="26"/>
      <c r="AO506" s="26"/>
      <c r="AP506" s="26"/>
      <c r="AQ506" s="26">
        <v>43523</v>
      </c>
      <c r="AR506" s="24"/>
      <c r="AS506" s="24"/>
      <c r="AT506" s="24">
        <v>43524</v>
      </c>
      <c r="AU506" s="418">
        <f t="shared" si="24"/>
        <v>2</v>
      </c>
      <c r="AV506" s="418">
        <f t="shared" si="25"/>
        <v>2019</v>
      </c>
      <c r="AW506" s="24"/>
      <c r="AX506" s="28"/>
      <c r="AY506" s="28" t="s">
        <v>269</v>
      </c>
      <c r="AZ506" s="132" t="s">
        <v>37</v>
      </c>
      <c r="BA506" s="132"/>
      <c r="BB506" s="24"/>
      <c r="BC506" s="135">
        <v>31</v>
      </c>
      <c r="BD506" s="24">
        <v>43482</v>
      </c>
      <c r="BE506" s="135" t="s">
        <v>2150</v>
      </c>
      <c r="BF506" s="135" t="s">
        <v>2150</v>
      </c>
      <c r="BG506" s="135" t="s">
        <v>52</v>
      </c>
      <c r="BH506" s="135"/>
      <c r="BI506" s="314"/>
      <c r="BJ506" s="314"/>
      <c r="BK506" s="24"/>
      <c r="BL506" s="24"/>
      <c r="BM506" s="24"/>
      <c r="BN506" s="24"/>
      <c r="BO506" s="24"/>
      <c r="BP506" s="24"/>
      <c r="BQ506" s="24"/>
      <c r="BR506" s="43"/>
      <c r="BS506" s="24"/>
      <c r="BT506" s="24"/>
      <c r="BU506" s="24"/>
      <c r="BV506" s="132" t="e">
        <f>IF(#REF!="COMPLETO","OK","PENDIENTES")</f>
        <v>#REF!</v>
      </c>
      <c r="BW506" s="132"/>
      <c r="BX506" s="132"/>
      <c r="BY506" s="132"/>
      <c r="BZ506" s="132"/>
      <c r="CA506" s="132"/>
      <c r="CB506" s="132"/>
      <c r="CC506" s="22"/>
      <c r="CG506" s="24" t="s">
        <v>105</v>
      </c>
      <c r="CH506" s="24"/>
      <c r="CI506" s="24"/>
      <c r="CJ506" s="24"/>
    </row>
    <row r="507" spans="1:88" ht="15" customHeight="1">
      <c r="A507" s="18">
        <v>2019</v>
      </c>
      <c r="B507" s="18" t="str">
        <f>+INDEX(BDD!F:F,MATCH(P507,BDD!D:D,0))&amp;"-"&amp;INDEX(BDD!E:E,MATCH(P507,BDD!D:D,0))</f>
        <v>G-S</v>
      </c>
      <c r="C507" s="125" t="s">
        <v>484</v>
      </c>
      <c r="D507" s="150" t="s">
        <v>77</v>
      </c>
      <c r="E507" s="132"/>
      <c r="F507" s="24"/>
      <c r="G507" s="346">
        <v>8000000362</v>
      </c>
      <c r="H507" s="125" t="s">
        <v>2161</v>
      </c>
      <c r="I507" s="329"/>
      <c r="J507" s="346">
        <v>8000000362</v>
      </c>
      <c r="K507" s="24"/>
      <c r="L507" s="24"/>
      <c r="M507" s="24"/>
      <c r="N507" s="340" t="s">
        <v>486</v>
      </c>
      <c r="O507" s="334">
        <v>207951</v>
      </c>
      <c r="P507" s="25" t="s">
        <v>354</v>
      </c>
      <c r="Q507" s="127" t="s">
        <v>291</v>
      </c>
      <c r="R507" s="232" t="s">
        <v>544</v>
      </c>
      <c r="S507" s="89">
        <v>43487</v>
      </c>
      <c r="T507" s="36">
        <v>150</v>
      </c>
      <c r="U507" s="125" t="s">
        <v>118</v>
      </c>
      <c r="V507" s="147" t="s">
        <v>2162</v>
      </c>
      <c r="W507" s="129"/>
      <c r="X507" s="88">
        <v>43633</v>
      </c>
      <c r="Y507" s="130" t="s">
        <v>20</v>
      </c>
      <c r="Z507" s="133" t="s">
        <v>60</v>
      </c>
      <c r="AA507" s="133"/>
      <c r="AB507" s="148">
        <v>500</v>
      </c>
      <c r="AC507" s="134">
        <v>313</v>
      </c>
      <c r="AD507" s="134"/>
      <c r="AE507" s="403">
        <f t="shared" si="23"/>
        <v>156500</v>
      </c>
      <c r="AF507" s="132" t="str">
        <f>IF(W507=BDD!$P$1,IMPORTS!AB507/25,IF(W507=BDD!$P$2,IMPORTS!AB507/25,IF(IMPORTS!W507=BDD!$P$4,IMPORTS!AB507/25.5,"--")))</f>
        <v>--</v>
      </c>
      <c r="AG507" s="130" t="s">
        <v>46</v>
      </c>
      <c r="AH507" s="130"/>
      <c r="AI507" s="130" t="s">
        <v>100</v>
      </c>
      <c r="AJ507" s="130"/>
      <c r="AK507" s="130"/>
      <c r="AL507" s="232" t="s">
        <v>2035</v>
      </c>
      <c r="AM507" s="314"/>
      <c r="AN507" s="26"/>
      <c r="AO507" s="26"/>
      <c r="AP507" s="26"/>
      <c r="AQ507" s="26">
        <v>43525</v>
      </c>
      <c r="AR507" s="24"/>
      <c r="AS507" s="24"/>
      <c r="AT507" s="24">
        <v>43528</v>
      </c>
      <c r="AU507" s="418">
        <f t="shared" si="24"/>
        <v>3</v>
      </c>
      <c r="AV507" s="418">
        <f t="shared" si="25"/>
        <v>2019</v>
      </c>
      <c r="AW507" s="24"/>
      <c r="AX507" s="28"/>
      <c r="AY507" s="28" t="s">
        <v>269</v>
      </c>
      <c r="AZ507" s="132" t="s">
        <v>50</v>
      </c>
      <c r="BA507" s="132"/>
      <c r="BB507" s="24"/>
      <c r="BC507" s="135">
        <v>32</v>
      </c>
      <c r="BD507" s="24">
        <v>43482</v>
      </c>
      <c r="BE507" s="135" t="s">
        <v>2150</v>
      </c>
      <c r="BF507" s="135" t="s">
        <v>2150</v>
      </c>
      <c r="BG507" s="135" t="s">
        <v>52</v>
      </c>
      <c r="BH507" s="135"/>
      <c r="BI507" s="314"/>
      <c r="BJ507" s="314"/>
      <c r="BK507" s="24"/>
      <c r="BL507" s="24"/>
      <c r="BM507" s="24"/>
      <c r="BN507" s="24"/>
      <c r="BO507" s="24"/>
      <c r="BP507" s="24"/>
      <c r="BQ507" s="24"/>
      <c r="BR507" s="43"/>
      <c r="BS507" s="24"/>
      <c r="BT507" s="24"/>
      <c r="BU507" s="24"/>
      <c r="BV507" s="132" t="e">
        <f>IF(#REF!="COMPLETO","OK","PENDIENTES")</f>
        <v>#REF!</v>
      </c>
      <c r="BW507" s="132"/>
      <c r="BX507" s="132"/>
      <c r="BY507" s="132"/>
      <c r="BZ507" s="132"/>
      <c r="CA507" s="132"/>
      <c r="CB507" s="132"/>
      <c r="CC507" s="22"/>
      <c r="CG507" s="24" t="s">
        <v>105</v>
      </c>
      <c r="CH507" s="24"/>
      <c r="CI507" s="24"/>
      <c r="CJ507" s="24"/>
    </row>
    <row r="508" spans="1:88" ht="15" customHeight="1">
      <c r="A508" s="18">
        <v>2019</v>
      </c>
      <c r="B508" s="18" t="str">
        <f>+INDEX(BDD!F:F,MATCH(P508,BDD!D:D,0))&amp;"-"&amp;INDEX(BDD!E:E,MATCH(P508,BDD!D:D,0))</f>
        <v>G-S</v>
      </c>
      <c r="C508" s="125" t="s">
        <v>484</v>
      </c>
      <c r="D508" s="150" t="s">
        <v>77</v>
      </c>
      <c r="E508" s="132"/>
      <c r="F508" s="24"/>
      <c r="G508" s="346">
        <v>8000000363</v>
      </c>
      <c r="H508" s="125" t="s">
        <v>2163</v>
      </c>
      <c r="I508" s="329"/>
      <c r="J508" s="346">
        <v>8000000363</v>
      </c>
      <c r="K508" s="24"/>
      <c r="L508" s="24"/>
      <c r="M508" s="24"/>
      <c r="N508" s="340" t="s">
        <v>486</v>
      </c>
      <c r="O508" s="334">
        <v>207951</v>
      </c>
      <c r="P508" s="25" t="s">
        <v>354</v>
      </c>
      <c r="Q508" s="127" t="s">
        <v>291</v>
      </c>
      <c r="R508" s="232" t="s">
        <v>544</v>
      </c>
      <c r="S508" s="89">
        <v>43487</v>
      </c>
      <c r="T508" s="36">
        <v>150</v>
      </c>
      <c r="U508" s="125" t="s">
        <v>118</v>
      </c>
      <c r="V508" s="147" t="s">
        <v>2164</v>
      </c>
      <c r="W508" s="129"/>
      <c r="X508" s="88">
        <v>43633</v>
      </c>
      <c r="Y508" s="130" t="s">
        <v>20</v>
      </c>
      <c r="Z508" s="133" t="s">
        <v>60</v>
      </c>
      <c r="AA508" s="133"/>
      <c r="AB508" s="234">
        <v>400</v>
      </c>
      <c r="AC508" s="134">
        <v>313</v>
      </c>
      <c r="AD508" s="134"/>
      <c r="AE508" s="403">
        <f t="shared" si="23"/>
        <v>125200</v>
      </c>
      <c r="AF508" s="132" t="str">
        <f>IF(W508=BDD!$P$1,IMPORTS!AB508/25,IF(W508=BDD!$P$2,IMPORTS!AB508/25,IF(IMPORTS!W508=BDD!$P$4,IMPORTS!AB508/25.5,"--")))</f>
        <v>--</v>
      </c>
      <c r="AG508" s="130" t="s">
        <v>46</v>
      </c>
      <c r="AH508" s="130"/>
      <c r="AI508" s="130" t="s">
        <v>100</v>
      </c>
      <c r="AJ508" s="130"/>
      <c r="AK508" s="130"/>
      <c r="AL508" s="232" t="s">
        <v>2035</v>
      </c>
      <c r="AM508" s="314"/>
      <c r="AN508" s="26"/>
      <c r="AO508" s="26"/>
      <c r="AP508" s="26"/>
      <c r="AQ508" s="26">
        <v>43529</v>
      </c>
      <c r="AR508" s="24"/>
      <c r="AS508" s="24"/>
      <c r="AT508" s="24">
        <v>43531</v>
      </c>
      <c r="AU508" s="418">
        <f t="shared" si="24"/>
        <v>3</v>
      </c>
      <c r="AV508" s="418">
        <f t="shared" si="25"/>
        <v>2019</v>
      </c>
      <c r="AW508" s="24"/>
      <c r="AX508" s="28"/>
      <c r="AY508" s="28" t="s">
        <v>269</v>
      </c>
      <c r="AZ508" s="132" t="s">
        <v>62</v>
      </c>
      <c r="BA508" s="132"/>
      <c r="BB508" s="24"/>
      <c r="BC508" s="135">
        <v>33</v>
      </c>
      <c r="BD508" s="24">
        <v>43482</v>
      </c>
      <c r="BE508" s="135" t="s">
        <v>2150</v>
      </c>
      <c r="BF508" s="135" t="s">
        <v>2150</v>
      </c>
      <c r="BG508" s="135" t="s">
        <v>52</v>
      </c>
      <c r="BH508" s="135"/>
      <c r="BI508" s="314"/>
      <c r="BJ508" s="314"/>
      <c r="BK508" s="24"/>
      <c r="BL508" s="24"/>
      <c r="BM508" s="24"/>
      <c r="BN508" s="24"/>
      <c r="BO508" s="24"/>
      <c r="BP508" s="24"/>
      <c r="BQ508" s="24"/>
      <c r="BR508" s="43"/>
      <c r="BS508" s="24"/>
      <c r="BT508" s="24"/>
      <c r="BU508" s="24"/>
      <c r="BV508" s="132" t="e">
        <f>IF(#REF!="COMPLETO","OK","PENDIENTES")</f>
        <v>#REF!</v>
      </c>
      <c r="BW508" s="132"/>
      <c r="BX508" s="132"/>
      <c r="BY508" s="132"/>
      <c r="BZ508" s="132"/>
      <c r="CA508" s="132"/>
      <c r="CB508" s="132"/>
      <c r="CC508" s="22"/>
      <c r="CG508" s="24" t="s">
        <v>105</v>
      </c>
      <c r="CH508" s="24"/>
      <c r="CI508" s="24"/>
      <c r="CJ508" s="24"/>
    </row>
    <row r="509" spans="1:88" ht="15" customHeight="1">
      <c r="A509" s="18">
        <v>2019</v>
      </c>
      <c r="B509" s="18" t="str">
        <f>+INDEX(BDD!F:F,MATCH(P509,BDD!D:D,0))&amp;"-"&amp;INDEX(BDD!E:E,MATCH(P509,BDD!D:D,0))</f>
        <v>E-S</v>
      </c>
      <c r="C509" s="125" t="s">
        <v>484</v>
      </c>
      <c r="D509" s="150" t="s">
        <v>77</v>
      </c>
      <c r="E509" s="132"/>
      <c r="F509" s="24"/>
      <c r="G509" s="346">
        <v>8000000321</v>
      </c>
      <c r="H509" s="125" t="s">
        <v>2165</v>
      </c>
      <c r="I509" s="329"/>
      <c r="J509" s="346">
        <v>8000000321</v>
      </c>
      <c r="K509" s="24"/>
      <c r="L509" s="24"/>
      <c r="M509" s="24"/>
      <c r="N509" s="340" t="s">
        <v>486</v>
      </c>
      <c r="O509" s="334">
        <v>208053</v>
      </c>
      <c r="P509" s="25" t="s">
        <v>111</v>
      </c>
      <c r="Q509" s="127" t="s">
        <v>276</v>
      </c>
      <c r="R509" s="232" t="s">
        <v>2166</v>
      </c>
      <c r="S509" s="89">
        <v>43487</v>
      </c>
      <c r="T509" s="36">
        <v>120</v>
      </c>
      <c r="U509" s="125" t="s">
        <v>131</v>
      </c>
      <c r="V509" s="147" t="s">
        <v>2167</v>
      </c>
      <c r="W509" s="129"/>
      <c r="X509" s="88">
        <f>+BD509+T509</f>
        <v>43638</v>
      </c>
      <c r="Y509" s="130" t="s">
        <v>20</v>
      </c>
      <c r="Z509" s="133" t="s">
        <v>81</v>
      </c>
      <c r="AA509" s="133"/>
      <c r="AB509" s="148">
        <v>100</v>
      </c>
      <c r="AC509" s="134">
        <v>340</v>
      </c>
      <c r="AD509" s="134"/>
      <c r="AE509" s="403">
        <f t="shared" si="23"/>
        <v>34000</v>
      </c>
      <c r="AF509" s="132">
        <v>3</v>
      </c>
      <c r="AG509" s="130" t="s">
        <v>58</v>
      </c>
      <c r="AH509" s="130"/>
      <c r="AI509" s="130" t="s">
        <v>71</v>
      </c>
      <c r="AJ509" s="130"/>
      <c r="AK509" s="130"/>
      <c r="AL509" s="135" t="s">
        <v>2125</v>
      </c>
      <c r="AM509" s="314"/>
      <c r="AN509" s="26"/>
      <c r="AO509" s="26"/>
      <c r="AP509" s="26"/>
      <c r="AQ509" s="26">
        <v>43555</v>
      </c>
      <c r="AR509" s="24"/>
      <c r="AS509" s="24"/>
      <c r="AT509" s="24">
        <v>43558</v>
      </c>
      <c r="AU509" s="418">
        <f t="shared" si="24"/>
        <v>4</v>
      </c>
      <c r="AV509" s="418">
        <f t="shared" si="25"/>
        <v>2019</v>
      </c>
      <c r="AW509" s="24"/>
      <c r="AX509" s="28"/>
      <c r="AY509" s="28" t="s">
        <v>95</v>
      </c>
      <c r="AZ509" s="132" t="s">
        <v>37</v>
      </c>
      <c r="BA509" s="132"/>
      <c r="BB509" s="24"/>
      <c r="BC509" s="135" t="s">
        <v>2168</v>
      </c>
      <c r="BD509" s="24">
        <v>43518</v>
      </c>
      <c r="BE509" s="135" t="s">
        <v>2169</v>
      </c>
      <c r="BF509" s="135" t="s">
        <v>2169</v>
      </c>
      <c r="BG509" s="135" t="s">
        <v>52</v>
      </c>
      <c r="BH509" s="135"/>
      <c r="BI509" s="314"/>
      <c r="BJ509" s="314"/>
      <c r="BK509" s="24"/>
      <c r="BL509" s="24"/>
      <c r="BM509" s="24"/>
      <c r="BN509" s="24"/>
      <c r="BO509" s="24"/>
      <c r="BP509" s="24"/>
      <c r="BQ509" s="24"/>
      <c r="BR509" s="43"/>
      <c r="BS509" s="24"/>
      <c r="BT509" s="24"/>
      <c r="BU509" s="24"/>
      <c r="BV509" s="132" t="e">
        <f>IF(#REF!="COMPLETO","OK","PENDIENTES")</f>
        <v>#REF!</v>
      </c>
      <c r="BW509" s="132"/>
      <c r="BX509" s="132"/>
      <c r="BY509" s="132"/>
      <c r="BZ509" s="132"/>
      <c r="CA509" s="132"/>
      <c r="CB509" s="132"/>
      <c r="CC509" s="22"/>
      <c r="CG509" s="24" t="s">
        <v>105</v>
      </c>
      <c r="CH509" s="24"/>
      <c r="CI509" s="24"/>
      <c r="CJ509" s="24"/>
    </row>
    <row r="510" spans="1:88" ht="15" customHeight="1">
      <c r="A510" s="18">
        <v>2019</v>
      </c>
      <c r="B510" s="18" t="str">
        <f>+INDEX(BDD!F:F,MATCH(P510,BDD!D:D,0))&amp;"-"&amp;INDEX(BDD!E:E,MATCH(P510,BDD!D:D,0))</f>
        <v>S-S</v>
      </c>
      <c r="C510" s="125" t="s">
        <v>484</v>
      </c>
      <c r="D510" s="150" t="s">
        <v>77</v>
      </c>
      <c r="E510" s="132"/>
      <c r="F510" s="24"/>
      <c r="G510" s="346">
        <v>8000000322</v>
      </c>
      <c r="H510" s="125" t="s">
        <v>2170</v>
      </c>
      <c r="I510" s="329"/>
      <c r="J510" s="346">
        <v>8000000322</v>
      </c>
      <c r="K510" s="24"/>
      <c r="L510" s="24"/>
      <c r="M510" s="24"/>
      <c r="N510" s="340" t="s">
        <v>486</v>
      </c>
      <c r="O510" s="334">
        <v>209677</v>
      </c>
      <c r="P510" s="25" t="s">
        <v>352</v>
      </c>
      <c r="Q510" s="127" t="s">
        <v>213</v>
      </c>
      <c r="R510" s="232" t="s">
        <v>2171</v>
      </c>
      <c r="S510" s="89">
        <v>43490</v>
      </c>
      <c r="T510" s="36">
        <v>90</v>
      </c>
      <c r="U510" s="125" t="s">
        <v>118</v>
      </c>
      <c r="V510" s="147" t="s">
        <v>2172</v>
      </c>
      <c r="W510" s="129"/>
      <c r="X510" s="88">
        <f>+BD510+T510</f>
        <v>43608</v>
      </c>
      <c r="Y510" s="130" t="s">
        <v>20</v>
      </c>
      <c r="Z510" s="133" t="s">
        <v>72</v>
      </c>
      <c r="AA510" s="133"/>
      <c r="AB510" s="148">
        <v>106</v>
      </c>
      <c r="AC510" s="134">
        <v>718</v>
      </c>
      <c r="AD510" s="134"/>
      <c r="AE510" s="403">
        <f t="shared" si="23"/>
        <v>76108</v>
      </c>
      <c r="AF510" s="132">
        <v>4</v>
      </c>
      <c r="AG510" s="130" t="s">
        <v>5</v>
      </c>
      <c r="AH510" s="130"/>
      <c r="AI510" s="130" t="s">
        <v>34</v>
      </c>
      <c r="AJ510" s="130"/>
      <c r="AK510" s="130"/>
      <c r="AL510" s="135" t="s">
        <v>2125</v>
      </c>
      <c r="AM510" s="314"/>
      <c r="AN510" s="26"/>
      <c r="AO510" s="26"/>
      <c r="AP510" s="26"/>
      <c r="AQ510" s="26">
        <v>43567</v>
      </c>
      <c r="AR510" s="24"/>
      <c r="AS510" s="24"/>
      <c r="AT510" s="24">
        <v>43570</v>
      </c>
      <c r="AU510" s="418">
        <f t="shared" si="24"/>
        <v>4</v>
      </c>
      <c r="AV510" s="418">
        <f t="shared" si="25"/>
        <v>2019</v>
      </c>
      <c r="AW510" s="24"/>
      <c r="AX510" s="28"/>
      <c r="AY510" s="28" t="s">
        <v>135</v>
      </c>
      <c r="AZ510" s="132" t="s">
        <v>37</v>
      </c>
      <c r="BA510" s="132"/>
      <c r="BB510" s="24"/>
      <c r="BC510" s="135" t="s">
        <v>2173</v>
      </c>
      <c r="BD510" s="24">
        <v>43518</v>
      </c>
      <c r="BE510" s="135" t="s">
        <v>2174</v>
      </c>
      <c r="BF510" s="135" t="s">
        <v>206</v>
      </c>
      <c r="BG510" s="135" t="s">
        <v>2175</v>
      </c>
      <c r="BH510" s="135"/>
      <c r="BI510" s="314"/>
      <c r="BJ510" s="314"/>
      <c r="BK510" s="24"/>
      <c r="BL510" s="24"/>
      <c r="BM510" s="24"/>
      <c r="BN510" s="24"/>
      <c r="BO510" s="24"/>
      <c r="BP510" s="24"/>
      <c r="BQ510" s="24"/>
      <c r="BR510" s="43"/>
      <c r="BS510" s="24"/>
      <c r="BT510" s="24"/>
      <c r="BU510" s="24"/>
      <c r="BV510" s="132" t="e">
        <f>IF(#REF!="COMPLETO","OK","PENDIENTES")</f>
        <v>#REF!</v>
      </c>
      <c r="BW510" s="132"/>
      <c r="BX510" s="132"/>
      <c r="BY510" s="132"/>
      <c r="BZ510" s="132"/>
      <c r="CA510" s="132"/>
      <c r="CB510" s="132"/>
      <c r="CC510" s="22"/>
      <c r="CG510" s="24" t="s">
        <v>105</v>
      </c>
      <c r="CH510" s="24"/>
      <c r="CI510" s="24"/>
      <c r="CJ510" s="24"/>
    </row>
    <row r="511" spans="1:88" ht="15" customHeight="1">
      <c r="A511" s="18">
        <v>2019</v>
      </c>
      <c r="B511" s="18" t="str">
        <f>+INDEX(BDD!F:F,MATCH(P511,BDD!D:D,0))&amp;"-"&amp;INDEX(BDD!E:E,MATCH(P511,BDD!D:D,0))</f>
        <v>S-P</v>
      </c>
      <c r="C511" s="125" t="s">
        <v>484</v>
      </c>
      <c r="D511" s="150" t="s">
        <v>77</v>
      </c>
      <c r="E511" s="132"/>
      <c r="F511" s="24"/>
      <c r="G511" s="346">
        <v>8000000323</v>
      </c>
      <c r="H511" s="125" t="s">
        <v>2176</v>
      </c>
      <c r="I511" s="329"/>
      <c r="J511" s="346">
        <v>8000000323</v>
      </c>
      <c r="K511" s="24"/>
      <c r="L511" s="24"/>
      <c r="M511" s="24"/>
      <c r="N511" s="340" t="s">
        <v>486</v>
      </c>
      <c r="O511" s="334">
        <v>206766</v>
      </c>
      <c r="P511" s="25" t="s">
        <v>2</v>
      </c>
      <c r="Q511" s="127" t="s">
        <v>237</v>
      </c>
      <c r="R511" s="232" t="s">
        <v>2177</v>
      </c>
      <c r="S511" s="89">
        <v>43489</v>
      </c>
      <c r="T511" s="36" t="s">
        <v>19</v>
      </c>
      <c r="U511" s="125"/>
      <c r="V511" s="147" t="s">
        <v>2178</v>
      </c>
      <c r="W511" s="129"/>
      <c r="X511" s="88">
        <v>43523</v>
      </c>
      <c r="Y511" s="130" t="s">
        <v>20</v>
      </c>
      <c r="Z511" s="133" t="s">
        <v>60</v>
      </c>
      <c r="AA511" s="133"/>
      <c r="AB511" s="148">
        <v>408</v>
      </c>
      <c r="AC511" s="134">
        <v>868</v>
      </c>
      <c r="AD511" s="134"/>
      <c r="AE511" s="403">
        <f t="shared" si="23"/>
        <v>354144</v>
      </c>
      <c r="AF511" s="132">
        <v>17</v>
      </c>
      <c r="AG511" s="130" t="s">
        <v>5</v>
      </c>
      <c r="AH511" s="130"/>
      <c r="AI511" s="130" t="s">
        <v>86</v>
      </c>
      <c r="AJ511" s="130"/>
      <c r="AK511" s="130"/>
      <c r="AL511" s="232" t="s">
        <v>2035</v>
      </c>
      <c r="AM511" s="314"/>
      <c r="AN511" s="26"/>
      <c r="AO511" s="26"/>
      <c r="AP511" s="26"/>
      <c r="AQ511" s="26">
        <v>43548</v>
      </c>
      <c r="AR511" s="24"/>
      <c r="AS511" s="24"/>
      <c r="AT511" s="24">
        <v>43550</v>
      </c>
      <c r="AU511" s="418">
        <f t="shared" si="24"/>
        <v>3</v>
      </c>
      <c r="AV511" s="418">
        <f t="shared" si="25"/>
        <v>2019</v>
      </c>
      <c r="AW511" s="24"/>
      <c r="AX511" s="28"/>
      <c r="AY511" s="28" t="s">
        <v>302</v>
      </c>
      <c r="AZ511" s="132" t="s">
        <v>9</v>
      </c>
      <c r="BA511" s="132"/>
      <c r="BB511" s="24"/>
      <c r="BC511" s="135" t="s">
        <v>2179</v>
      </c>
      <c r="BD511" s="24">
        <v>43518</v>
      </c>
      <c r="BE511" s="135" t="s">
        <v>2180</v>
      </c>
      <c r="BF511" s="135" t="s">
        <v>932</v>
      </c>
      <c r="BG511" s="135" t="s">
        <v>41</v>
      </c>
      <c r="BH511" s="135"/>
      <c r="BI511" s="314"/>
      <c r="BJ511" s="314"/>
      <c r="BK511" s="24"/>
      <c r="BL511" s="24"/>
      <c r="BM511" s="24"/>
      <c r="BN511" s="24"/>
      <c r="BO511" s="24">
        <f>+AQ511+22</f>
        <v>43570</v>
      </c>
      <c r="BP511" s="24"/>
      <c r="BQ511" s="24"/>
      <c r="BR511" s="43"/>
      <c r="BS511" s="24"/>
      <c r="BT511" s="24"/>
      <c r="BU511" s="24"/>
      <c r="BV511" s="132" t="e">
        <f>IF(#REF!="COMPLETO","OK","PENDIENTES")</f>
        <v>#REF!</v>
      </c>
      <c r="BW511" s="132"/>
      <c r="BX511" s="132"/>
      <c r="BY511" s="132"/>
      <c r="BZ511" s="132"/>
      <c r="CA511" s="132"/>
      <c r="CB511" s="132"/>
      <c r="CC511" s="22"/>
      <c r="CG511" s="24" t="s">
        <v>105</v>
      </c>
      <c r="CH511" s="24"/>
      <c r="CI511" s="24"/>
      <c r="CJ511" s="24"/>
    </row>
    <row r="512" spans="1:88" ht="15" customHeight="1">
      <c r="A512" s="18">
        <v>2019</v>
      </c>
      <c r="B512" s="18" t="str">
        <f>+INDEX(BDD!F:F,MATCH(P512,BDD!D:D,0))&amp;"-"&amp;INDEX(BDD!E:E,MATCH(P512,BDD!D:D,0))</f>
        <v>S-P</v>
      </c>
      <c r="C512" s="125" t="s">
        <v>484</v>
      </c>
      <c r="D512" s="150" t="s">
        <v>77</v>
      </c>
      <c r="E512" s="132"/>
      <c r="F512" s="24"/>
      <c r="G512" s="346">
        <v>8000000325</v>
      </c>
      <c r="H512" s="125" t="s">
        <v>2181</v>
      </c>
      <c r="I512" s="329"/>
      <c r="J512" s="346">
        <v>8000000325</v>
      </c>
      <c r="K512" s="24"/>
      <c r="L512" s="24"/>
      <c r="M512" s="24"/>
      <c r="N512" s="340" t="s">
        <v>486</v>
      </c>
      <c r="O512" s="334">
        <v>206766</v>
      </c>
      <c r="P512" s="25" t="s">
        <v>2</v>
      </c>
      <c r="Q512" s="127" t="s">
        <v>237</v>
      </c>
      <c r="R512" s="232" t="s">
        <v>2182</v>
      </c>
      <c r="S512" s="89">
        <v>43489</v>
      </c>
      <c r="T512" s="36" t="s">
        <v>19</v>
      </c>
      <c r="U512" s="125"/>
      <c r="V512" s="147" t="s">
        <v>2183</v>
      </c>
      <c r="W512" s="129"/>
      <c r="X512" s="88">
        <v>43543</v>
      </c>
      <c r="Y512" s="130" t="s">
        <v>20</v>
      </c>
      <c r="Z512" s="133" t="s">
        <v>60</v>
      </c>
      <c r="AA512" s="133"/>
      <c r="AB512" s="148">
        <v>168</v>
      </c>
      <c r="AC512" s="134">
        <v>858</v>
      </c>
      <c r="AD512" s="134"/>
      <c r="AE512" s="403">
        <f t="shared" si="23"/>
        <v>144144</v>
      </c>
      <c r="AF512" s="132">
        <v>7</v>
      </c>
      <c r="AG512" s="130" t="s">
        <v>5</v>
      </c>
      <c r="AH512" s="130"/>
      <c r="AI512" s="130" t="s">
        <v>86</v>
      </c>
      <c r="AJ512" s="130"/>
      <c r="AK512" s="130"/>
      <c r="AL512" s="135" t="s">
        <v>2184</v>
      </c>
      <c r="AM512" s="314"/>
      <c r="AN512" s="26"/>
      <c r="AO512" s="26"/>
      <c r="AP512" s="26"/>
      <c r="AQ512" s="26">
        <v>43570</v>
      </c>
      <c r="AR512" s="24"/>
      <c r="AS512" s="24"/>
      <c r="AT512" s="26">
        <v>43572</v>
      </c>
      <c r="AU512" s="418">
        <f t="shared" si="24"/>
        <v>4</v>
      </c>
      <c r="AV512" s="418">
        <f t="shared" si="25"/>
        <v>2019</v>
      </c>
      <c r="AW512" s="26"/>
      <c r="AX512" s="28"/>
      <c r="AY512" s="28" t="s">
        <v>302</v>
      </c>
      <c r="AZ512" s="132" t="s">
        <v>37</v>
      </c>
      <c r="BA512" s="132"/>
      <c r="BB512" s="26"/>
      <c r="BC512" s="135" t="s">
        <v>2185</v>
      </c>
      <c r="BD512" s="24">
        <v>43533</v>
      </c>
      <c r="BE512" s="135" t="s">
        <v>2186</v>
      </c>
      <c r="BF512" s="135" t="s">
        <v>593</v>
      </c>
      <c r="BG512" s="135" t="s">
        <v>41</v>
      </c>
      <c r="BH512" s="135"/>
      <c r="BI512" s="314"/>
      <c r="BJ512" s="314"/>
      <c r="BK512" s="24"/>
      <c r="BL512" s="24"/>
      <c r="BM512" s="24"/>
      <c r="BN512" s="24"/>
      <c r="BO512" s="24">
        <f>+AQ512+22</f>
        <v>43592</v>
      </c>
      <c r="BP512" s="24"/>
      <c r="BQ512" s="24"/>
      <c r="BR512" s="43"/>
      <c r="BS512" s="24"/>
      <c r="BT512" s="24"/>
      <c r="BU512" s="24"/>
      <c r="BV512" s="132" t="e">
        <f>IF(#REF!="COMPLETO","OK","PENDIENTES")</f>
        <v>#REF!</v>
      </c>
      <c r="BW512" s="132"/>
      <c r="BX512" s="132"/>
      <c r="BY512" s="132"/>
      <c r="BZ512" s="132"/>
      <c r="CA512" s="132"/>
      <c r="CB512" s="132"/>
      <c r="CC512" s="22"/>
      <c r="CG512" s="24" t="s">
        <v>105</v>
      </c>
      <c r="CH512" s="24"/>
      <c r="CI512" s="26"/>
      <c r="CJ512" s="26"/>
    </row>
    <row r="513" spans="1:88" ht="15" customHeight="1">
      <c r="A513" s="18">
        <v>2019</v>
      </c>
      <c r="B513" s="18" t="str">
        <f>+INDEX(BDD!F:F,MATCH(P513,BDD!D:D,0))&amp;"-"&amp;INDEX(BDD!E:E,MATCH(P513,BDD!D:D,0))</f>
        <v>S-P</v>
      </c>
      <c r="C513" s="125" t="s">
        <v>484</v>
      </c>
      <c r="D513" s="150" t="s">
        <v>77</v>
      </c>
      <c r="E513" s="132"/>
      <c r="F513" s="24"/>
      <c r="G513" s="346">
        <v>8000000324</v>
      </c>
      <c r="H513" s="125" t="s">
        <v>2187</v>
      </c>
      <c r="I513" s="329"/>
      <c r="J513" s="346">
        <v>8000000324</v>
      </c>
      <c r="K513" s="24"/>
      <c r="L513" s="24"/>
      <c r="M513" s="24"/>
      <c r="N513" s="340" t="s">
        <v>486</v>
      </c>
      <c r="O513" s="334">
        <v>206766</v>
      </c>
      <c r="P513" s="25" t="s">
        <v>2</v>
      </c>
      <c r="Q513" s="127" t="s">
        <v>237</v>
      </c>
      <c r="R513" s="232" t="s">
        <v>2188</v>
      </c>
      <c r="S513" s="89">
        <v>43490</v>
      </c>
      <c r="T513" s="36" t="s">
        <v>19</v>
      </c>
      <c r="U513" s="125"/>
      <c r="V513" s="147" t="s">
        <v>2189</v>
      </c>
      <c r="W513" s="129"/>
      <c r="X513" s="88">
        <v>43543</v>
      </c>
      <c r="Y513" s="130" t="s">
        <v>20</v>
      </c>
      <c r="Z513" s="133" t="s">
        <v>60</v>
      </c>
      <c r="AA513" s="133"/>
      <c r="AB513" s="148">
        <v>360</v>
      </c>
      <c r="AC513" s="134">
        <v>868</v>
      </c>
      <c r="AD513" s="134"/>
      <c r="AE513" s="403">
        <f t="shared" si="23"/>
        <v>312480</v>
      </c>
      <c r="AF513" s="132">
        <v>15</v>
      </c>
      <c r="AG513" s="130" t="s">
        <v>5</v>
      </c>
      <c r="AH513" s="130"/>
      <c r="AI513" s="130" t="s">
        <v>86</v>
      </c>
      <c r="AJ513" s="130"/>
      <c r="AK513" s="130"/>
      <c r="AL513" s="135" t="s">
        <v>2184</v>
      </c>
      <c r="AM513" s="314"/>
      <c r="AN513" s="26"/>
      <c r="AO513" s="26"/>
      <c r="AP513" s="26"/>
      <c r="AQ513" s="26">
        <v>43563</v>
      </c>
      <c r="AR513" s="24"/>
      <c r="AS513" s="24"/>
      <c r="AT513" s="24">
        <v>43564</v>
      </c>
      <c r="AU513" s="418">
        <f t="shared" si="24"/>
        <v>4</v>
      </c>
      <c r="AV513" s="418">
        <f t="shared" si="25"/>
        <v>2019</v>
      </c>
      <c r="AW513" s="24"/>
      <c r="AX513" s="28"/>
      <c r="AY513" s="28" t="s">
        <v>302</v>
      </c>
      <c r="AZ513" s="132" t="s">
        <v>9</v>
      </c>
      <c r="BA513" s="132"/>
      <c r="BB513" s="24"/>
      <c r="BC513" s="135" t="s">
        <v>2190</v>
      </c>
      <c r="BD513" s="24">
        <v>43539</v>
      </c>
      <c r="BE513" s="135" t="s">
        <v>2191</v>
      </c>
      <c r="BF513" s="135" t="s">
        <v>870</v>
      </c>
      <c r="BG513" s="135" t="s">
        <v>41</v>
      </c>
      <c r="BH513" s="135"/>
      <c r="BI513" s="314"/>
      <c r="BJ513" s="314"/>
      <c r="BK513" s="24"/>
      <c r="BL513" s="24"/>
      <c r="BM513" s="24"/>
      <c r="BN513" s="24"/>
      <c r="BO513" s="24">
        <v>43583</v>
      </c>
      <c r="BP513" s="24"/>
      <c r="BQ513" s="24"/>
      <c r="BR513" s="43"/>
      <c r="BS513" s="24"/>
      <c r="BT513" s="24"/>
      <c r="BU513" s="24"/>
      <c r="BV513" s="132" t="e">
        <f>IF(#REF!="COMPLETO","OK","PENDIENTES")</f>
        <v>#REF!</v>
      </c>
      <c r="BW513" s="132"/>
      <c r="BX513" s="132"/>
      <c r="BY513" s="132"/>
      <c r="BZ513" s="132"/>
      <c r="CA513" s="132"/>
      <c r="CB513" s="132"/>
      <c r="CC513" s="22"/>
      <c r="CG513" s="24" t="s">
        <v>105</v>
      </c>
      <c r="CH513" s="24"/>
      <c r="CI513" s="24"/>
      <c r="CJ513" s="24"/>
    </row>
    <row r="514" spans="1:88" ht="15" customHeight="1">
      <c r="A514" s="18">
        <v>2019</v>
      </c>
      <c r="B514" s="18" t="str">
        <f>+INDEX(BDD!F:F,MATCH(P514,BDD!D:D,0))&amp;"-"&amp;INDEX(BDD!E:E,MATCH(P514,BDD!D:D,0))</f>
        <v>G-S</v>
      </c>
      <c r="C514" s="125" t="s">
        <v>484</v>
      </c>
      <c r="D514" s="150" t="s">
        <v>77</v>
      </c>
      <c r="E514" s="132"/>
      <c r="F514" s="24"/>
      <c r="G514" s="346">
        <v>8000000326</v>
      </c>
      <c r="H514" s="125" t="s">
        <v>2192</v>
      </c>
      <c r="I514" s="329"/>
      <c r="J514" s="346">
        <v>8000000326</v>
      </c>
      <c r="K514" s="24"/>
      <c r="L514" s="24"/>
      <c r="M514" s="24"/>
      <c r="N514" s="340" t="s">
        <v>486</v>
      </c>
      <c r="O514" s="334">
        <v>208300</v>
      </c>
      <c r="P514" s="25" t="s">
        <v>332</v>
      </c>
      <c r="Q514" s="127" t="s">
        <v>237</v>
      </c>
      <c r="R514" s="232" t="s">
        <v>2193</v>
      </c>
      <c r="S514" s="89">
        <v>43488</v>
      </c>
      <c r="T514" s="36" t="s">
        <v>19</v>
      </c>
      <c r="U514" s="125"/>
      <c r="V514" s="147" t="s">
        <v>2194</v>
      </c>
      <c r="W514" s="129"/>
      <c r="X514" s="88">
        <v>43538</v>
      </c>
      <c r="Y514" s="130" t="s">
        <v>20</v>
      </c>
      <c r="Z514" s="133" t="s">
        <v>60</v>
      </c>
      <c r="AA514" s="133"/>
      <c r="AB514" s="148">
        <v>630</v>
      </c>
      <c r="AC514" s="134">
        <v>190</v>
      </c>
      <c r="AD514" s="134"/>
      <c r="AE514" s="403">
        <f t="shared" ref="AE514:AE577" si="27">AB514*AC514</f>
        <v>119700</v>
      </c>
      <c r="AF514" s="132" t="s">
        <v>944</v>
      </c>
      <c r="AG514" s="130" t="s">
        <v>58</v>
      </c>
      <c r="AH514" s="130"/>
      <c r="AI514" s="130" t="s">
        <v>71</v>
      </c>
      <c r="AJ514" s="130"/>
      <c r="AK514" s="130"/>
      <c r="AL514" s="135" t="s">
        <v>2195</v>
      </c>
      <c r="AM514" s="314"/>
      <c r="AN514" s="26"/>
      <c r="AO514" s="26"/>
      <c r="AP514" s="26"/>
      <c r="AQ514" s="26">
        <v>43556</v>
      </c>
      <c r="AR514" s="24"/>
      <c r="AS514" s="24"/>
      <c r="AT514" s="24">
        <v>43558</v>
      </c>
      <c r="AU514" s="418">
        <f t="shared" si="24"/>
        <v>4</v>
      </c>
      <c r="AV514" s="418">
        <f t="shared" si="25"/>
        <v>2019</v>
      </c>
      <c r="AW514" s="24"/>
      <c r="AX514" s="28"/>
      <c r="AY514" s="28" t="s">
        <v>321</v>
      </c>
      <c r="AZ514" s="132" t="s">
        <v>9</v>
      </c>
      <c r="BA514" s="132"/>
      <c r="BB514" s="24"/>
      <c r="BC514" s="135" t="s">
        <v>2196</v>
      </c>
      <c r="BD514" s="24">
        <v>43521</v>
      </c>
      <c r="BE514" s="135" t="s">
        <v>2197</v>
      </c>
      <c r="BF514" s="135" t="s">
        <v>2197</v>
      </c>
      <c r="BG514" s="135" t="s">
        <v>52</v>
      </c>
      <c r="BH514" s="135"/>
      <c r="BI514" s="314"/>
      <c r="BJ514" s="314"/>
      <c r="BK514" s="24"/>
      <c r="BL514" s="24"/>
      <c r="BM514" s="24"/>
      <c r="BN514" s="24"/>
      <c r="BO514" s="24"/>
      <c r="BP514" s="24"/>
      <c r="BQ514" s="24"/>
      <c r="BR514" s="43"/>
      <c r="BS514" s="24"/>
      <c r="BT514" s="24"/>
      <c r="BU514" s="24"/>
      <c r="BV514" s="132" t="e">
        <f>IF(#REF!="COMPLETO","OK","PENDIENTES")</f>
        <v>#REF!</v>
      </c>
      <c r="BW514" s="132"/>
      <c r="BX514" s="132"/>
      <c r="BY514" s="132"/>
      <c r="BZ514" s="132"/>
      <c r="CA514" s="132"/>
      <c r="CB514" s="132"/>
      <c r="CC514" s="22"/>
      <c r="CG514" s="24" t="s">
        <v>105</v>
      </c>
      <c r="CH514" s="24"/>
      <c r="CI514" s="24"/>
      <c r="CJ514" s="24"/>
    </row>
    <row r="515" spans="1:88" ht="15" customHeight="1">
      <c r="A515" s="18">
        <v>2019</v>
      </c>
      <c r="B515" s="18" t="str">
        <f>+INDEX(BDD!F:F,MATCH(P515,BDD!D:D,0))&amp;"-"&amp;INDEX(BDD!E:E,MATCH(P515,BDD!D:D,0))</f>
        <v>G-S</v>
      </c>
      <c r="C515" s="125" t="s">
        <v>484</v>
      </c>
      <c r="D515" s="150" t="s">
        <v>77</v>
      </c>
      <c r="E515" s="132"/>
      <c r="F515" s="24"/>
      <c r="G515" s="346">
        <v>8000000368</v>
      </c>
      <c r="H515" s="125" t="s">
        <v>2198</v>
      </c>
      <c r="I515" s="329"/>
      <c r="J515" s="346">
        <v>8000000368</v>
      </c>
      <c r="K515" s="24"/>
      <c r="L515" s="24"/>
      <c r="M515" s="24"/>
      <c r="N515" s="340" t="s">
        <v>486</v>
      </c>
      <c r="O515" s="334">
        <v>208300</v>
      </c>
      <c r="P515" s="25" t="s">
        <v>332</v>
      </c>
      <c r="Q515" s="127" t="s">
        <v>237</v>
      </c>
      <c r="R515" s="232" t="s">
        <v>2193</v>
      </c>
      <c r="S515" s="89">
        <v>43488</v>
      </c>
      <c r="T515" s="36" t="s">
        <v>19</v>
      </c>
      <c r="U515" s="125"/>
      <c r="V515" s="147" t="s">
        <v>2199</v>
      </c>
      <c r="W515" s="129"/>
      <c r="X515" s="88">
        <v>43539</v>
      </c>
      <c r="Y515" s="130" t="s">
        <v>20</v>
      </c>
      <c r="Z515" s="133" t="s">
        <v>60</v>
      </c>
      <c r="AA515" s="133"/>
      <c r="AB515" s="148">
        <v>270</v>
      </c>
      <c r="AC515" s="134">
        <v>190</v>
      </c>
      <c r="AD515" s="134"/>
      <c r="AE515" s="403">
        <f t="shared" si="27"/>
        <v>51300</v>
      </c>
      <c r="AF515" s="132" t="s">
        <v>944</v>
      </c>
      <c r="AG515" s="130" t="s">
        <v>58</v>
      </c>
      <c r="AH515" s="130"/>
      <c r="AI515" s="130" t="s">
        <v>71</v>
      </c>
      <c r="AJ515" s="130"/>
      <c r="AK515" s="130"/>
      <c r="AL515" s="135" t="s">
        <v>2195</v>
      </c>
      <c r="AM515" s="314"/>
      <c r="AN515" s="26"/>
      <c r="AO515" s="26"/>
      <c r="AP515" s="26"/>
      <c r="AQ515" s="26">
        <v>43561</v>
      </c>
      <c r="AR515" s="24"/>
      <c r="AS515" s="24"/>
      <c r="AT515" s="24">
        <v>43562</v>
      </c>
      <c r="AU515" s="418">
        <f t="shared" ref="AU515:AU578" si="28">MONTH(AT515)</f>
        <v>4</v>
      </c>
      <c r="AV515" s="418">
        <f t="shared" ref="AV515:AV578" si="29">YEAR(AT515)</f>
        <v>2019</v>
      </c>
      <c r="AW515" s="24"/>
      <c r="AX515" s="28"/>
      <c r="AY515" s="28" t="s">
        <v>321</v>
      </c>
      <c r="AZ515" s="132" t="s">
        <v>25</v>
      </c>
      <c r="BA515" s="132"/>
      <c r="BB515" s="24"/>
      <c r="BC515" s="135" t="s">
        <v>2200</v>
      </c>
      <c r="BD515" s="24">
        <v>43521</v>
      </c>
      <c r="BE515" s="135" t="s">
        <v>2197</v>
      </c>
      <c r="BF515" s="135" t="s">
        <v>2197</v>
      </c>
      <c r="BG515" s="135" t="s">
        <v>52</v>
      </c>
      <c r="BH515" s="135"/>
      <c r="BI515" s="314"/>
      <c r="BJ515" s="314"/>
      <c r="BK515" s="24"/>
      <c r="BL515" s="24"/>
      <c r="BM515" s="24"/>
      <c r="BN515" s="24"/>
      <c r="BO515" s="24"/>
      <c r="BP515" s="24"/>
      <c r="BQ515" s="24"/>
      <c r="BR515" s="43"/>
      <c r="BS515" s="24"/>
      <c r="BT515" s="24"/>
      <c r="BU515" s="24"/>
      <c r="BV515" s="132" t="e">
        <f>IF(#REF!="COMPLETO","OK","PENDIENTES")</f>
        <v>#REF!</v>
      </c>
      <c r="BW515" s="132"/>
      <c r="BX515" s="132"/>
      <c r="BY515" s="132"/>
      <c r="BZ515" s="132"/>
      <c r="CA515" s="132"/>
      <c r="CB515" s="132"/>
      <c r="CC515" s="22"/>
      <c r="CG515" s="24" t="s">
        <v>105</v>
      </c>
      <c r="CH515" s="24"/>
      <c r="CI515" s="24"/>
      <c r="CJ515" s="24"/>
    </row>
    <row r="516" spans="1:88" ht="14.25" customHeight="1">
      <c r="A516" s="18">
        <v>2019</v>
      </c>
      <c r="B516" s="18" t="str">
        <f>+INDEX(BDD!F:F,MATCH(P516,BDD!D:D,0))&amp;"-"&amp;INDEX(BDD!E:E,MATCH(P516,BDD!D:D,0))</f>
        <v>S-S</v>
      </c>
      <c r="C516" s="125" t="s">
        <v>484</v>
      </c>
      <c r="D516" s="150" t="s">
        <v>77</v>
      </c>
      <c r="E516" s="132"/>
      <c r="F516" s="24"/>
      <c r="G516" s="346">
        <v>8000000327</v>
      </c>
      <c r="H516" s="125" t="s">
        <v>2201</v>
      </c>
      <c r="I516" s="329"/>
      <c r="J516" s="346">
        <v>8000000327</v>
      </c>
      <c r="K516" s="24"/>
      <c r="L516" s="24"/>
      <c r="M516" s="24"/>
      <c r="N516" s="340" t="s">
        <v>486</v>
      </c>
      <c r="O516" s="334">
        <v>206966</v>
      </c>
      <c r="P516" s="25" t="s">
        <v>152</v>
      </c>
      <c r="Q516" s="127" t="s">
        <v>237</v>
      </c>
      <c r="R516" s="232" t="s">
        <v>2202</v>
      </c>
      <c r="S516" s="89">
        <v>43488</v>
      </c>
      <c r="T516" s="36" t="s">
        <v>19</v>
      </c>
      <c r="U516" s="125"/>
      <c r="V516" s="147" t="s">
        <v>2203</v>
      </c>
      <c r="W516" s="129"/>
      <c r="X516" s="88">
        <v>43538</v>
      </c>
      <c r="Y516" s="130" t="s">
        <v>20</v>
      </c>
      <c r="Z516" s="133" t="s">
        <v>60</v>
      </c>
      <c r="AA516" s="133"/>
      <c r="AB516" s="148">
        <v>360</v>
      </c>
      <c r="AC516" s="134">
        <v>615</v>
      </c>
      <c r="AD516" s="134"/>
      <c r="AE516" s="403">
        <f t="shared" si="27"/>
        <v>221400</v>
      </c>
      <c r="AF516" s="132" t="s">
        <v>944</v>
      </c>
      <c r="AG516" s="130" t="s">
        <v>58</v>
      </c>
      <c r="AH516" s="130"/>
      <c r="AI516" s="130" t="s">
        <v>34</v>
      </c>
      <c r="AJ516" s="130"/>
      <c r="AK516" s="130"/>
      <c r="AL516" s="135" t="s">
        <v>2195</v>
      </c>
      <c r="AM516" s="314"/>
      <c r="AN516" s="26"/>
      <c r="AO516" s="26"/>
      <c r="AP516" s="26"/>
      <c r="AQ516" s="26">
        <v>43556</v>
      </c>
      <c r="AR516" s="24"/>
      <c r="AS516" s="24"/>
      <c r="AT516" s="24">
        <v>43558</v>
      </c>
      <c r="AU516" s="418">
        <f t="shared" si="28"/>
        <v>4</v>
      </c>
      <c r="AV516" s="418">
        <f t="shared" si="29"/>
        <v>2019</v>
      </c>
      <c r="AW516" s="24"/>
      <c r="AX516" s="28"/>
      <c r="AY516" s="28" t="s">
        <v>321</v>
      </c>
      <c r="AZ516" s="132" t="s">
        <v>9</v>
      </c>
      <c r="BA516" s="132"/>
      <c r="BB516" s="24"/>
      <c r="BC516" s="135" t="s">
        <v>2204</v>
      </c>
      <c r="BD516" s="24">
        <v>43521</v>
      </c>
      <c r="BE516" s="135" t="s">
        <v>2197</v>
      </c>
      <c r="BF516" s="135" t="s">
        <v>2197</v>
      </c>
      <c r="BG516" s="135" t="s">
        <v>52</v>
      </c>
      <c r="BH516" s="135"/>
      <c r="BI516" s="314"/>
      <c r="BJ516" s="314"/>
      <c r="BK516" s="24"/>
      <c r="BL516" s="24"/>
      <c r="BM516" s="24"/>
      <c r="BN516" s="24"/>
      <c r="BO516" s="24"/>
      <c r="BP516" s="24"/>
      <c r="BQ516" s="24"/>
      <c r="BR516" s="43"/>
      <c r="BS516" s="24"/>
      <c r="BT516" s="24"/>
      <c r="BU516" s="24"/>
      <c r="BV516" s="132" t="e">
        <f>IF(#REF!="COMPLETO","OK","PENDIENTES")</f>
        <v>#REF!</v>
      </c>
      <c r="BW516" s="132"/>
      <c r="BX516" s="132"/>
      <c r="BY516" s="132"/>
      <c r="BZ516" s="132"/>
      <c r="CA516" s="132"/>
      <c r="CB516" s="132"/>
      <c r="CC516" s="22"/>
      <c r="CG516" s="24" t="s">
        <v>105</v>
      </c>
      <c r="CH516" s="24"/>
      <c r="CI516" s="24"/>
      <c r="CJ516" s="24"/>
    </row>
    <row r="517" spans="1:88" ht="15" customHeight="1">
      <c r="A517" s="18">
        <v>2019</v>
      </c>
      <c r="B517" s="18" t="str">
        <f>+INDEX(BDD!F:F,MATCH(P517,BDD!D:D,0))&amp;"-"&amp;INDEX(BDD!E:E,MATCH(P517,BDD!D:D,0))</f>
        <v>S-S</v>
      </c>
      <c r="C517" s="125" t="s">
        <v>484</v>
      </c>
      <c r="D517" s="150" t="s">
        <v>77</v>
      </c>
      <c r="E517" s="132"/>
      <c r="F517" s="24"/>
      <c r="G517" s="346">
        <v>8000000391</v>
      </c>
      <c r="H517" s="125" t="s">
        <v>2205</v>
      </c>
      <c r="I517" s="329"/>
      <c r="J517" s="346">
        <v>8000000391</v>
      </c>
      <c r="K517" s="24"/>
      <c r="L517" s="24"/>
      <c r="M517" s="24"/>
      <c r="N517" s="340" t="s">
        <v>486</v>
      </c>
      <c r="O517" s="334">
        <v>206966</v>
      </c>
      <c r="P517" s="25" t="s">
        <v>152</v>
      </c>
      <c r="Q517" s="127" t="s">
        <v>237</v>
      </c>
      <c r="R517" s="232" t="s">
        <v>2202</v>
      </c>
      <c r="S517" s="89">
        <v>43488</v>
      </c>
      <c r="T517" s="36" t="s">
        <v>19</v>
      </c>
      <c r="U517" s="125"/>
      <c r="V517" s="147" t="s">
        <v>2206</v>
      </c>
      <c r="W517" s="129"/>
      <c r="X517" s="88">
        <v>43539</v>
      </c>
      <c r="Y517" s="130" t="s">
        <v>20</v>
      </c>
      <c r="Z517" s="133" t="s">
        <v>60</v>
      </c>
      <c r="AA517" s="133"/>
      <c r="AB517" s="148">
        <v>400</v>
      </c>
      <c r="AC517" s="134">
        <v>615</v>
      </c>
      <c r="AD517" s="134"/>
      <c r="AE517" s="403">
        <f t="shared" si="27"/>
        <v>246000</v>
      </c>
      <c r="AF517" s="132" t="s">
        <v>944</v>
      </c>
      <c r="AG517" s="130" t="s">
        <v>58</v>
      </c>
      <c r="AH517" s="130"/>
      <c r="AI517" s="130" t="s">
        <v>34</v>
      </c>
      <c r="AJ517" s="130"/>
      <c r="AK517" s="130"/>
      <c r="AL517" s="135" t="s">
        <v>2195</v>
      </c>
      <c r="AM517" s="314"/>
      <c r="AN517" s="26"/>
      <c r="AO517" s="26"/>
      <c r="AP517" s="26"/>
      <c r="AQ517" s="26">
        <v>43561</v>
      </c>
      <c r="AR517" s="24"/>
      <c r="AS517" s="24"/>
      <c r="AT517" s="24">
        <v>43562</v>
      </c>
      <c r="AU517" s="418">
        <f t="shared" si="28"/>
        <v>4</v>
      </c>
      <c r="AV517" s="418">
        <f t="shared" si="29"/>
        <v>2019</v>
      </c>
      <c r="AW517" s="24"/>
      <c r="AX517" s="28"/>
      <c r="AY517" s="28" t="s">
        <v>321</v>
      </c>
      <c r="AZ517" s="132" t="s">
        <v>25</v>
      </c>
      <c r="BA517" s="132"/>
      <c r="BB517" s="24"/>
      <c r="BC517" s="135" t="s">
        <v>2207</v>
      </c>
      <c r="BD517" s="24">
        <v>43521</v>
      </c>
      <c r="BE517" s="135" t="s">
        <v>2197</v>
      </c>
      <c r="BF517" s="135" t="s">
        <v>2197</v>
      </c>
      <c r="BG517" s="135" t="s">
        <v>52</v>
      </c>
      <c r="BH517" s="135"/>
      <c r="BI517" s="314"/>
      <c r="BJ517" s="314"/>
      <c r="BK517" s="24"/>
      <c r="BL517" s="24"/>
      <c r="BM517" s="24"/>
      <c r="BN517" s="24"/>
      <c r="BO517" s="24"/>
      <c r="BP517" s="24"/>
      <c r="BQ517" s="24"/>
      <c r="BR517" s="43"/>
      <c r="BS517" s="24"/>
      <c r="BT517" s="24"/>
      <c r="BU517" s="24"/>
      <c r="BV517" s="132" t="e">
        <f>IF(#REF!="COMPLETO","OK","PENDIENTES")</f>
        <v>#REF!</v>
      </c>
      <c r="BW517" s="132"/>
      <c r="BX517" s="132"/>
      <c r="BY517" s="132"/>
      <c r="BZ517" s="132"/>
      <c r="CA517" s="132"/>
      <c r="CB517" s="132"/>
      <c r="CC517" s="22"/>
      <c r="CG517" s="24" t="s">
        <v>105</v>
      </c>
      <c r="CH517" s="24"/>
      <c r="CI517" s="24"/>
      <c r="CJ517" s="24"/>
    </row>
    <row r="518" spans="1:88" ht="15" customHeight="1">
      <c r="A518" s="18">
        <v>2019</v>
      </c>
      <c r="B518" s="18" t="str">
        <f>+INDEX(BDD!F:F,MATCH(P518,BDD!D:D,0))&amp;"-"&amp;INDEX(BDD!E:E,MATCH(P518,BDD!D:D,0))</f>
        <v>S-S</v>
      </c>
      <c r="C518" s="125" t="s">
        <v>484</v>
      </c>
      <c r="D518" s="150" t="s">
        <v>77</v>
      </c>
      <c r="E518" s="132"/>
      <c r="F518" s="24"/>
      <c r="G518" s="346">
        <v>8000000387</v>
      </c>
      <c r="H518" s="125" t="s">
        <v>2208</v>
      </c>
      <c r="I518" s="329"/>
      <c r="J518" s="346">
        <v>8000000387</v>
      </c>
      <c r="K518" s="24"/>
      <c r="L518" s="24"/>
      <c r="M518" s="24"/>
      <c r="N518" s="340" t="s">
        <v>486</v>
      </c>
      <c r="O518" s="334">
        <v>206914</v>
      </c>
      <c r="P518" s="25" t="s">
        <v>335</v>
      </c>
      <c r="Q518" s="127" t="s">
        <v>199</v>
      </c>
      <c r="R518" s="232" t="s">
        <v>2209</v>
      </c>
      <c r="S518" s="89">
        <v>43490</v>
      </c>
      <c r="T518" s="36">
        <v>90</v>
      </c>
      <c r="U518" s="125" t="s">
        <v>118</v>
      </c>
      <c r="V518" s="147" t="s">
        <v>2210</v>
      </c>
      <c r="W518" s="129"/>
      <c r="X518" s="88">
        <f>+BD518+T518</f>
        <v>43615</v>
      </c>
      <c r="Y518" s="130" t="s">
        <v>20</v>
      </c>
      <c r="Z518" s="133" t="s">
        <v>60</v>
      </c>
      <c r="AA518" s="133"/>
      <c r="AB518" s="148">
        <v>85.5</v>
      </c>
      <c r="AC518" s="134">
        <v>125</v>
      </c>
      <c r="AD518" s="134"/>
      <c r="AE518" s="403">
        <f t="shared" si="27"/>
        <v>10687.5</v>
      </c>
      <c r="AF518" s="132">
        <v>3</v>
      </c>
      <c r="AG518" s="130" t="s">
        <v>21</v>
      </c>
      <c r="AH518" s="130"/>
      <c r="AI518" s="130" t="s">
        <v>34</v>
      </c>
      <c r="AJ518" s="130"/>
      <c r="AK518" s="130"/>
      <c r="AL518" s="135" t="s">
        <v>2211</v>
      </c>
      <c r="AM518" s="314"/>
      <c r="AN518" s="26"/>
      <c r="AO518" s="26"/>
      <c r="AP518" s="26"/>
      <c r="AQ518" s="26">
        <v>43578</v>
      </c>
      <c r="AR518" s="24"/>
      <c r="AS518" s="24"/>
      <c r="AT518" s="26">
        <v>43580</v>
      </c>
      <c r="AU518" s="418">
        <f t="shared" si="28"/>
        <v>4</v>
      </c>
      <c r="AV518" s="418">
        <f t="shared" si="29"/>
        <v>2019</v>
      </c>
      <c r="AW518" s="26"/>
      <c r="AX518" s="28"/>
      <c r="AY518" s="28" t="s">
        <v>257</v>
      </c>
      <c r="AZ518" s="132" t="s">
        <v>9</v>
      </c>
      <c r="BA518" s="132"/>
      <c r="BB518" s="26"/>
      <c r="BC518" s="135" t="s">
        <v>2212</v>
      </c>
      <c r="BD518" s="24">
        <v>43525</v>
      </c>
      <c r="BE518" s="135" t="s">
        <v>2213</v>
      </c>
      <c r="BF518" s="135" t="s">
        <v>2214</v>
      </c>
      <c r="BG518" s="135" t="s">
        <v>174</v>
      </c>
      <c r="BH518" s="135"/>
      <c r="BI518" s="314"/>
      <c r="BJ518" s="314"/>
      <c r="BK518" s="24"/>
      <c r="BL518" s="24"/>
      <c r="BM518" s="24"/>
      <c r="BN518" s="24"/>
      <c r="BO518" s="24"/>
      <c r="BP518" s="24"/>
      <c r="BQ518" s="24"/>
      <c r="BR518" s="43"/>
      <c r="BS518" s="24"/>
      <c r="BT518" s="24"/>
      <c r="BU518" s="24"/>
      <c r="BV518" s="132" t="e">
        <f>IF(#REF!="COMPLETO","OK","PENDIENTES")</f>
        <v>#REF!</v>
      </c>
      <c r="BW518" s="132"/>
      <c r="BX518" s="132"/>
      <c r="BY518" s="132"/>
      <c r="BZ518" s="132"/>
      <c r="CA518" s="132"/>
      <c r="CB518" s="132"/>
      <c r="CC518" s="22"/>
      <c r="CG518" s="24" t="s">
        <v>105</v>
      </c>
      <c r="CH518" s="24"/>
      <c r="CI518" s="26"/>
      <c r="CJ518" s="26"/>
    </row>
    <row r="519" spans="1:88" ht="15" customHeight="1">
      <c r="A519" s="18">
        <v>2019</v>
      </c>
      <c r="B519" s="18" t="str">
        <f>+INDEX(BDD!F:F,MATCH(P519,BDD!D:D,0))&amp;"-"&amp;INDEX(BDD!E:E,MATCH(P519,BDD!D:D,0))</f>
        <v>S-S</v>
      </c>
      <c r="C519" s="125" t="s">
        <v>484</v>
      </c>
      <c r="D519" s="150" t="s">
        <v>77</v>
      </c>
      <c r="E519" s="132"/>
      <c r="F519" s="24"/>
      <c r="G519" s="346">
        <v>8000000394</v>
      </c>
      <c r="H519" s="125" t="s">
        <v>2215</v>
      </c>
      <c r="I519" s="329"/>
      <c r="J519" s="346">
        <v>8000000394</v>
      </c>
      <c r="K519" s="24"/>
      <c r="L519" s="24"/>
      <c r="M519" s="24"/>
      <c r="N519" s="340" t="s">
        <v>486</v>
      </c>
      <c r="O519" s="334">
        <v>206914</v>
      </c>
      <c r="P519" s="25" t="s">
        <v>335</v>
      </c>
      <c r="Q519" s="127" t="s">
        <v>199</v>
      </c>
      <c r="R519" s="232" t="s">
        <v>2209</v>
      </c>
      <c r="S519" s="89">
        <v>43490</v>
      </c>
      <c r="T519" s="36">
        <v>90</v>
      </c>
      <c r="U519" s="125" t="s">
        <v>118</v>
      </c>
      <c r="V519" s="147" t="s">
        <v>2210</v>
      </c>
      <c r="W519" s="129"/>
      <c r="X519" s="88">
        <f>+BD519+T519</f>
        <v>43615</v>
      </c>
      <c r="Y519" s="130" t="s">
        <v>20</v>
      </c>
      <c r="Z519" s="133" t="s">
        <v>60</v>
      </c>
      <c r="AA519" s="133"/>
      <c r="AB519" s="148">
        <f>456-AB518</f>
        <v>370.5</v>
      </c>
      <c r="AC519" s="134">
        <v>125</v>
      </c>
      <c r="AD519" s="134"/>
      <c r="AE519" s="403">
        <f t="shared" si="27"/>
        <v>46312.5</v>
      </c>
      <c r="AF519" s="132">
        <v>13</v>
      </c>
      <c r="AG519" s="130" t="s">
        <v>21</v>
      </c>
      <c r="AH519" s="130"/>
      <c r="AI519" s="130" t="s">
        <v>34</v>
      </c>
      <c r="AJ519" s="130"/>
      <c r="AK519" s="130"/>
      <c r="AL519" s="135" t="s">
        <v>2211</v>
      </c>
      <c r="AM519" s="314"/>
      <c r="AN519" s="26"/>
      <c r="AO519" s="26"/>
      <c r="AP519" s="26"/>
      <c r="AQ519" s="26">
        <v>43585</v>
      </c>
      <c r="AR519" s="24"/>
      <c r="AS519" s="24"/>
      <c r="AT519" s="24">
        <v>43587</v>
      </c>
      <c r="AU519" s="418">
        <f t="shared" si="28"/>
        <v>5</v>
      </c>
      <c r="AV519" s="418">
        <f t="shared" si="29"/>
        <v>2019</v>
      </c>
      <c r="AW519" s="24"/>
      <c r="AX519" s="28"/>
      <c r="AY519" s="28" t="s">
        <v>257</v>
      </c>
      <c r="AZ519" s="132" t="s">
        <v>9</v>
      </c>
      <c r="BA519" s="132"/>
      <c r="BB519" s="24"/>
      <c r="BC519" s="135" t="s">
        <v>2212</v>
      </c>
      <c r="BD519" s="24">
        <v>43525</v>
      </c>
      <c r="BE519" s="135" t="s">
        <v>2213</v>
      </c>
      <c r="BF519" s="135" t="s">
        <v>1251</v>
      </c>
      <c r="BG519" s="135" t="s">
        <v>174</v>
      </c>
      <c r="BH519" s="135"/>
      <c r="BI519" s="314"/>
      <c r="BJ519" s="314"/>
      <c r="BK519" s="24"/>
      <c r="BL519" s="24"/>
      <c r="BM519" s="24"/>
      <c r="BN519" s="24"/>
      <c r="BO519" s="24"/>
      <c r="BP519" s="24"/>
      <c r="BQ519" s="24"/>
      <c r="BR519" s="43"/>
      <c r="BS519" s="24"/>
      <c r="BT519" s="24"/>
      <c r="BU519" s="24"/>
      <c r="BV519" s="132" t="e">
        <f>IF(#REF!="COMPLETO","OK","PENDIENTES")</f>
        <v>#REF!</v>
      </c>
      <c r="BW519" s="132"/>
      <c r="BX519" s="132"/>
      <c r="BY519" s="132"/>
      <c r="BZ519" s="132"/>
      <c r="CA519" s="132"/>
      <c r="CB519" s="132"/>
      <c r="CC519" s="22"/>
      <c r="CG519" s="24" t="s">
        <v>105</v>
      </c>
      <c r="CH519" s="24"/>
      <c r="CI519" s="24"/>
      <c r="CJ519" s="24"/>
    </row>
    <row r="520" spans="1:88" ht="15" customHeight="1">
      <c r="A520" s="18">
        <v>2019</v>
      </c>
      <c r="B520" s="18" t="str">
        <f>+INDEX(BDD!F:F,MATCH(P520,BDD!D:D,0))&amp;"-"&amp;INDEX(BDD!E:E,MATCH(P520,BDD!D:D,0))</f>
        <v>S-S</v>
      </c>
      <c r="C520" s="125" t="s">
        <v>484</v>
      </c>
      <c r="D520" s="150" t="s">
        <v>77</v>
      </c>
      <c r="E520" s="132"/>
      <c r="F520" s="24"/>
      <c r="G520" s="346">
        <v>8000000395</v>
      </c>
      <c r="H520" s="125" t="s">
        <v>2216</v>
      </c>
      <c r="I520" s="329"/>
      <c r="J520" s="346">
        <v>8000000395</v>
      </c>
      <c r="K520" s="24"/>
      <c r="L520" s="24"/>
      <c r="M520" s="24"/>
      <c r="N520" s="340" t="s">
        <v>486</v>
      </c>
      <c r="O520" s="334">
        <v>206914</v>
      </c>
      <c r="P520" s="25" t="s">
        <v>335</v>
      </c>
      <c r="Q520" s="127" t="s">
        <v>199</v>
      </c>
      <c r="R520" s="232" t="s">
        <v>2209</v>
      </c>
      <c r="S520" s="89">
        <v>43490</v>
      </c>
      <c r="T520" s="36">
        <v>90</v>
      </c>
      <c r="U520" s="125" t="s">
        <v>118</v>
      </c>
      <c r="V520" s="147" t="s">
        <v>2217</v>
      </c>
      <c r="W520" s="129"/>
      <c r="X520" s="88">
        <f>+BD520+T520</f>
        <v>43630</v>
      </c>
      <c r="Y520" s="130" t="s">
        <v>20</v>
      </c>
      <c r="Z520" s="133" t="s">
        <v>60</v>
      </c>
      <c r="AA520" s="133"/>
      <c r="AB520" s="148">
        <v>570</v>
      </c>
      <c r="AC520" s="134">
        <v>125</v>
      </c>
      <c r="AD520" s="134"/>
      <c r="AE520" s="403">
        <f t="shared" si="27"/>
        <v>71250</v>
      </c>
      <c r="AF520" s="132">
        <v>20</v>
      </c>
      <c r="AG520" s="130" t="s">
        <v>21</v>
      </c>
      <c r="AH520" s="130"/>
      <c r="AI520" s="130" t="s">
        <v>34</v>
      </c>
      <c r="AJ520" s="130"/>
      <c r="AK520" s="130"/>
      <c r="AL520" s="135" t="s">
        <v>2218</v>
      </c>
      <c r="AM520" s="314"/>
      <c r="AN520" s="26"/>
      <c r="AO520" s="26"/>
      <c r="AP520" s="26"/>
      <c r="AQ520" s="26">
        <v>43577</v>
      </c>
      <c r="AR520" s="24"/>
      <c r="AS520" s="24"/>
      <c r="AT520" s="26">
        <v>43580</v>
      </c>
      <c r="AU520" s="418">
        <f t="shared" si="28"/>
        <v>4</v>
      </c>
      <c r="AV520" s="418">
        <f t="shared" si="29"/>
        <v>2019</v>
      </c>
      <c r="AW520" s="26"/>
      <c r="AX520" s="28"/>
      <c r="AY520" s="28" t="s">
        <v>257</v>
      </c>
      <c r="AZ520" s="132" t="s">
        <v>9</v>
      </c>
      <c r="BA520" s="132"/>
      <c r="BB520" s="26"/>
      <c r="BC520" s="135" t="s">
        <v>2219</v>
      </c>
      <c r="BD520" s="24">
        <v>43540</v>
      </c>
      <c r="BE520" s="135" t="s">
        <v>2220</v>
      </c>
      <c r="BF520" s="135" t="s">
        <v>932</v>
      </c>
      <c r="BG520" s="135" t="s">
        <v>29</v>
      </c>
      <c r="BH520" s="135"/>
      <c r="BI520" s="314"/>
      <c r="BJ520" s="314"/>
      <c r="BK520" s="24"/>
      <c r="BL520" s="24"/>
      <c r="BM520" s="24"/>
      <c r="BN520" s="24"/>
      <c r="BO520" s="24">
        <f>+AQ520+14</f>
        <v>43591</v>
      </c>
      <c r="BP520" s="24"/>
      <c r="BQ520" s="24"/>
      <c r="BR520" s="43"/>
      <c r="BS520" s="24"/>
      <c r="BT520" s="24"/>
      <c r="BU520" s="24"/>
      <c r="BV520" s="132" t="e">
        <f>IF(#REF!="COMPLETO","OK","PENDIENTES")</f>
        <v>#REF!</v>
      </c>
      <c r="BW520" s="132"/>
      <c r="BX520" s="132"/>
      <c r="BY520" s="132"/>
      <c r="BZ520" s="132"/>
      <c r="CA520" s="132"/>
      <c r="CB520" s="132"/>
      <c r="CC520" s="22"/>
      <c r="CG520" s="24" t="s">
        <v>105</v>
      </c>
      <c r="CH520" s="24"/>
      <c r="CI520" s="26"/>
      <c r="CJ520" s="26"/>
    </row>
    <row r="521" spans="1:88" ht="15" customHeight="1">
      <c r="A521" s="18">
        <v>2019</v>
      </c>
      <c r="B521" s="18" t="str">
        <f>+INDEX(BDD!F:F,MATCH(P521,BDD!D:D,0))&amp;"-"&amp;INDEX(BDD!E:E,MATCH(P521,BDD!D:D,0))</f>
        <v>S-S</v>
      </c>
      <c r="C521" s="125" t="s">
        <v>484</v>
      </c>
      <c r="D521" s="150" t="s">
        <v>77</v>
      </c>
      <c r="E521" s="132"/>
      <c r="F521" s="24"/>
      <c r="G521" s="346">
        <v>8000000393</v>
      </c>
      <c r="H521" s="125" t="s">
        <v>2221</v>
      </c>
      <c r="I521" s="329"/>
      <c r="J521" s="346">
        <v>8000000393</v>
      </c>
      <c r="K521" s="24"/>
      <c r="L521" s="24"/>
      <c r="M521" s="24"/>
      <c r="N521" s="340" t="s">
        <v>486</v>
      </c>
      <c r="O521" s="334">
        <v>206914</v>
      </c>
      <c r="P521" s="25" t="s">
        <v>335</v>
      </c>
      <c r="Q521" s="127" t="s">
        <v>199</v>
      </c>
      <c r="R521" s="232" t="s">
        <v>2222</v>
      </c>
      <c r="S521" s="89">
        <v>43490</v>
      </c>
      <c r="T521" s="36">
        <v>90</v>
      </c>
      <c r="U521" s="125" t="s">
        <v>118</v>
      </c>
      <c r="V521" s="147" t="s">
        <v>2223</v>
      </c>
      <c r="W521" s="129"/>
      <c r="X521" s="88">
        <f>+BD521+T521</f>
        <v>43621</v>
      </c>
      <c r="Y521" s="130" t="s">
        <v>20</v>
      </c>
      <c r="Z521" s="133" t="s">
        <v>60</v>
      </c>
      <c r="AA521" s="133"/>
      <c r="AB521" s="148">
        <v>300</v>
      </c>
      <c r="AC521" s="134">
        <v>125</v>
      </c>
      <c r="AD521" s="134"/>
      <c r="AE521" s="403">
        <f t="shared" si="27"/>
        <v>37500</v>
      </c>
      <c r="AF521" s="132">
        <v>3</v>
      </c>
      <c r="AG521" s="130" t="s">
        <v>58</v>
      </c>
      <c r="AH521" s="130"/>
      <c r="AI521" s="130" t="s">
        <v>34</v>
      </c>
      <c r="AJ521" s="130"/>
      <c r="AK521" s="130"/>
      <c r="AL521" s="135" t="s">
        <v>2211</v>
      </c>
      <c r="AM521" s="314"/>
      <c r="AN521" s="26"/>
      <c r="AO521" s="26"/>
      <c r="AP521" s="26"/>
      <c r="AQ521" s="26">
        <v>43572</v>
      </c>
      <c r="AR521" s="24"/>
      <c r="AS521" s="24"/>
      <c r="AT521" s="26">
        <v>43580</v>
      </c>
      <c r="AU521" s="418">
        <f t="shared" si="28"/>
        <v>4</v>
      </c>
      <c r="AV521" s="418">
        <f t="shared" si="29"/>
        <v>2019</v>
      </c>
      <c r="AW521" s="26"/>
      <c r="AX521" s="28"/>
      <c r="AY521" s="28" t="s">
        <v>607</v>
      </c>
      <c r="AZ521" s="132" t="s">
        <v>37</v>
      </c>
      <c r="BA521" s="132"/>
      <c r="BB521" s="26"/>
      <c r="BC521" s="135" t="s">
        <v>2224</v>
      </c>
      <c r="BD521" s="26">
        <v>43531</v>
      </c>
      <c r="BE521" s="135" t="s">
        <v>2225</v>
      </c>
      <c r="BF521" s="135" t="s">
        <v>2225</v>
      </c>
      <c r="BG521" s="135" t="s">
        <v>52</v>
      </c>
      <c r="BH521" s="135"/>
      <c r="BI521" s="314"/>
      <c r="BJ521" s="314"/>
      <c r="BK521" s="24"/>
      <c r="BL521" s="24"/>
      <c r="BM521" s="24"/>
      <c r="BN521" s="24"/>
      <c r="BO521" s="24" t="s">
        <v>944</v>
      </c>
      <c r="BP521" s="24"/>
      <c r="BQ521" s="24"/>
      <c r="BR521" s="43"/>
      <c r="BS521" s="24"/>
      <c r="BT521" s="24"/>
      <c r="BU521" s="24"/>
      <c r="BV521" s="132" t="e">
        <f>IF(#REF!="COMPLETO","OK","PENDIENTES")</f>
        <v>#REF!</v>
      </c>
      <c r="BW521" s="132"/>
      <c r="BX521" s="132"/>
      <c r="BY521" s="132"/>
      <c r="BZ521" s="132"/>
      <c r="CA521" s="132"/>
      <c r="CB521" s="132"/>
      <c r="CC521" s="22"/>
      <c r="CG521" s="24" t="s">
        <v>105</v>
      </c>
      <c r="CH521" s="24"/>
      <c r="CI521" s="26"/>
      <c r="CJ521" s="26"/>
    </row>
    <row r="522" spans="1:88" ht="15" customHeight="1">
      <c r="A522" s="18">
        <v>2019</v>
      </c>
      <c r="B522" s="18" t="str">
        <f>+INDEX(BDD!F:F,MATCH(P522,BDD!D:D,0))&amp;"-"&amp;INDEX(BDD!E:E,MATCH(P522,BDD!D:D,0))</f>
        <v>S-S</v>
      </c>
      <c r="C522" s="125" t="s">
        <v>484</v>
      </c>
      <c r="D522" s="150" t="s">
        <v>77</v>
      </c>
      <c r="E522" s="132" t="s">
        <v>51</v>
      </c>
      <c r="F522" s="24"/>
      <c r="G522" s="346">
        <v>8000000331</v>
      </c>
      <c r="H522" s="125" t="s">
        <v>2226</v>
      </c>
      <c r="I522" s="329"/>
      <c r="J522" s="346">
        <v>8000000331</v>
      </c>
      <c r="K522" s="24"/>
      <c r="L522" s="24"/>
      <c r="M522" s="24"/>
      <c r="N522" s="340" t="s">
        <v>486</v>
      </c>
      <c r="O522" s="334">
        <v>207579</v>
      </c>
      <c r="P522" s="25" t="s">
        <v>238</v>
      </c>
      <c r="Q522" s="127" t="s">
        <v>234</v>
      </c>
      <c r="R522" s="232" t="s">
        <v>2227</v>
      </c>
      <c r="S522" s="89">
        <v>43507</v>
      </c>
      <c r="T522" s="36">
        <v>90</v>
      </c>
      <c r="U522" s="125" t="s">
        <v>118</v>
      </c>
      <c r="V522" s="128" t="s">
        <v>2227</v>
      </c>
      <c r="W522" s="151"/>
      <c r="X522" s="88">
        <v>43644</v>
      </c>
      <c r="Y522" s="130" t="s">
        <v>20</v>
      </c>
      <c r="Z522" s="133" t="s">
        <v>60</v>
      </c>
      <c r="AA522" s="133"/>
      <c r="AB522" s="148">
        <v>200</v>
      </c>
      <c r="AC522" s="134">
        <v>268</v>
      </c>
      <c r="AD522" s="134"/>
      <c r="AE522" s="403">
        <f t="shared" si="27"/>
        <v>53600</v>
      </c>
      <c r="AF522" s="132">
        <v>8</v>
      </c>
      <c r="AG522" s="130" t="s">
        <v>5</v>
      </c>
      <c r="AH522" s="130"/>
      <c r="AI522" s="130" t="s">
        <v>34</v>
      </c>
      <c r="AJ522" s="130"/>
      <c r="AK522" s="130"/>
      <c r="AL522" s="135" t="s">
        <v>2184</v>
      </c>
      <c r="AM522" s="314"/>
      <c r="AN522" s="26"/>
      <c r="AO522" s="26"/>
      <c r="AP522" s="26"/>
      <c r="AQ522" s="26">
        <v>43585</v>
      </c>
      <c r="AR522" s="24"/>
      <c r="AS522" s="24"/>
      <c r="AT522" s="164">
        <v>43588</v>
      </c>
      <c r="AU522" s="418">
        <f t="shared" si="28"/>
        <v>5</v>
      </c>
      <c r="AV522" s="418">
        <f t="shared" si="29"/>
        <v>2019</v>
      </c>
      <c r="AW522" s="164"/>
      <c r="AX522" s="28"/>
      <c r="AY522" s="28" t="s">
        <v>311</v>
      </c>
      <c r="AZ522" s="132" t="s">
        <v>37</v>
      </c>
      <c r="BA522" s="132"/>
      <c r="BB522" s="164"/>
      <c r="BC522" s="135" t="s">
        <v>2228</v>
      </c>
      <c r="BD522" s="24">
        <v>43555</v>
      </c>
      <c r="BE522" s="135" t="s">
        <v>2229</v>
      </c>
      <c r="BF522" s="135" t="s">
        <v>2097</v>
      </c>
      <c r="BG522" s="135" t="s">
        <v>29</v>
      </c>
      <c r="BH522" s="135"/>
      <c r="BI522" s="314"/>
      <c r="BJ522" s="314"/>
      <c r="BK522" s="24"/>
      <c r="BL522" s="24"/>
      <c r="BM522" s="24"/>
      <c r="BN522" s="24"/>
      <c r="BO522" s="24">
        <f>+AQ522+14</f>
        <v>43599</v>
      </c>
      <c r="BP522" s="24"/>
      <c r="BQ522" s="24"/>
      <c r="BR522" s="43"/>
      <c r="BS522" s="24"/>
      <c r="BT522" s="24"/>
      <c r="BU522" s="24"/>
      <c r="BV522" s="132" t="e">
        <f>IF(#REF!="COMPLETO","OK","PENDIENTES")</f>
        <v>#REF!</v>
      </c>
      <c r="BW522" s="132"/>
      <c r="BX522" s="132"/>
      <c r="BY522" s="132"/>
      <c r="BZ522" s="132"/>
      <c r="CA522" s="132"/>
      <c r="CB522" s="132"/>
      <c r="CC522" s="22"/>
      <c r="CG522" s="24" t="s">
        <v>105</v>
      </c>
      <c r="CH522" s="24"/>
      <c r="CI522" s="164"/>
      <c r="CJ522" s="164"/>
    </row>
    <row r="523" spans="1:88" ht="15" customHeight="1">
      <c r="A523" s="18">
        <v>2019</v>
      </c>
      <c r="B523" s="18" t="str">
        <f>+INDEX(BDD!F:F,MATCH(P523,BDD!D:D,0))&amp;"-"&amp;INDEX(BDD!E:E,MATCH(P523,BDD!D:D,0))</f>
        <v>S-S</v>
      </c>
      <c r="C523" s="125" t="s">
        <v>484</v>
      </c>
      <c r="D523" s="150" t="s">
        <v>77</v>
      </c>
      <c r="E523" s="132" t="s">
        <v>51</v>
      </c>
      <c r="F523" s="24"/>
      <c r="G523" s="346">
        <v>8000000332</v>
      </c>
      <c r="H523" s="125" t="s">
        <v>2230</v>
      </c>
      <c r="I523" s="329"/>
      <c r="J523" s="346">
        <v>8000000332</v>
      </c>
      <c r="K523" s="24"/>
      <c r="L523" s="24"/>
      <c r="M523" s="24"/>
      <c r="N523" s="340" t="s">
        <v>486</v>
      </c>
      <c r="O523" s="334">
        <v>207579</v>
      </c>
      <c r="P523" s="25" t="s">
        <v>238</v>
      </c>
      <c r="Q523" s="127" t="s">
        <v>234</v>
      </c>
      <c r="R523" s="232" t="s">
        <v>2231</v>
      </c>
      <c r="S523" s="89">
        <v>43507</v>
      </c>
      <c r="T523" s="36">
        <v>90</v>
      </c>
      <c r="U523" s="125" t="s">
        <v>118</v>
      </c>
      <c r="V523" s="128" t="s">
        <v>2231</v>
      </c>
      <c r="W523" s="151"/>
      <c r="X523" s="88">
        <v>43644</v>
      </c>
      <c r="Y523" s="130" t="s">
        <v>20</v>
      </c>
      <c r="Z523" s="133" t="s">
        <v>60</v>
      </c>
      <c r="AA523" s="133"/>
      <c r="AB523" s="148">
        <v>75</v>
      </c>
      <c r="AC523" s="134">
        <v>278</v>
      </c>
      <c r="AD523" s="134"/>
      <c r="AE523" s="403">
        <f t="shared" si="27"/>
        <v>20850</v>
      </c>
      <c r="AF523" s="132">
        <v>3</v>
      </c>
      <c r="AG523" s="130" t="s">
        <v>5</v>
      </c>
      <c r="AH523" s="130"/>
      <c r="AI523" s="130" t="s">
        <v>34</v>
      </c>
      <c r="AJ523" s="130"/>
      <c r="AK523" s="130"/>
      <c r="AL523" s="135" t="s">
        <v>2184</v>
      </c>
      <c r="AM523" s="314"/>
      <c r="AN523" s="26"/>
      <c r="AO523" s="26"/>
      <c r="AP523" s="26"/>
      <c r="AQ523" s="26">
        <v>43598</v>
      </c>
      <c r="AR523" s="24"/>
      <c r="AS523" s="24"/>
      <c r="AT523" s="164">
        <v>43599</v>
      </c>
      <c r="AU523" s="418">
        <f t="shared" si="28"/>
        <v>5</v>
      </c>
      <c r="AV523" s="418">
        <f t="shared" si="29"/>
        <v>2019</v>
      </c>
      <c r="AW523" s="164"/>
      <c r="AX523" s="28"/>
      <c r="AY523" s="28" t="s">
        <v>311</v>
      </c>
      <c r="AZ523" s="132" t="s">
        <v>9</v>
      </c>
      <c r="BA523" s="132"/>
      <c r="BB523" s="164"/>
      <c r="BC523" s="135" t="s">
        <v>2232</v>
      </c>
      <c r="BD523" s="24">
        <v>43555</v>
      </c>
      <c r="BE523" s="135" t="s">
        <v>2233</v>
      </c>
      <c r="BF523" s="135" t="s">
        <v>932</v>
      </c>
      <c r="BG523" s="135" t="s">
        <v>29</v>
      </c>
      <c r="BH523" s="135"/>
      <c r="BI523" s="314"/>
      <c r="BJ523" s="314"/>
      <c r="BK523" s="24"/>
      <c r="BL523" s="24"/>
      <c r="BM523" s="24"/>
      <c r="BN523" s="24"/>
      <c r="BO523" s="24">
        <f>+AQ523+14</f>
        <v>43612</v>
      </c>
      <c r="BP523" s="24"/>
      <c r="BQ523" s="24"/>
      <c r="BR523" s="43"/>
      <c r="BS523" s="24"/>
      <c r="BT523" s="24"/>
      <c r="BU523" s="24"/>
      <c r="BV523" s="132" t="e">
        <f>IF(#REF!="COMPLETO","OK","PENDIENTES")</f>
        <v>#REF!</v>
      </c>
      <c r="BW523" s="132"/>
      <c r="BX523" s="132"/>
      <c r="BY523" s="132"/>
      <c r="BZ523" s="132"/>
      <c r="CA523" s="132"/>
      <c r="CB523" s="132"/>
      <c r="CC523" s="22"/>
      <c r="CG523" s="24" t="s">
        <v>105</v>
      </c>
      <c r="CH523" s="24"/>
      <c r="CI523" s="164"/>
      <c r="CJ523" s="164"/>
    </row>
    <row r="524" spans="1:88" ht="15" customHeight="1">
      <c r="A524" s="18">
        <v>2019</v>
      </c>
      <c r="B524" s="18" t="str">
        <f>+INDEX(BDD!F:F,MATCH(P524,BDD!D:D,0))&amp;"-"&amp;INDEX(BDD!E:E,MATCH(P524,BDD!D:D,0))</f>
        <v>S-S</v>
      </c>
      <c r="C524" s="125" t="s">
        <v>484</v>
      </c>
      <c r="D524" s="150" t="s">
        <v>77</v>
      </c>
      <c r="E524" s="132"/>
      <c r="F524" s="24"/>
      <c r="G524" s="346">
        <v>8000000414</v>
      </c>
      <c r="H524" s="125" t="s">
        <v>2234</v>
      </c>
      <c r="I524" s="329"/>
      <c r="J524" s="346">
        <v>8000000414</v>
      </c>
      <c r="K524" s="24"/>
      <c r="L524" s="24"/>
      <c r="M524" s="24"/>
      <c r="N524" s="340" t="s">
        <v>486</v>
      </c>
      <c r="O524" s="334">
        <v>206914</v>
      </c>
      <c r="P524" s="25" t="s">
        <v>335</v>
      </c>
      <c r="Q524" s="127" t="s">
        <v>231</v>
      </c>
      <c r="R524" s="232" t="s">
        <v>2235</v>
      </c>
      <c r="S524" s="89">
        <v>43493</v>
      </c>
      <c r="T524" s="36">
        <v>150</v>
      </c>
      <c r="U524" s="125" t="s">
        <v>118</v>
      </c>
      <c r="V524" s="147" t="s">
        <v>2236</v>
      </c>
      <c r="W524" s="129"/>
      <c r="X524" s="88">
        <v>43689</v>
      </c>
      <c r="Y524" s="130" t="s">
        <v>20</v>
      </c>
      <c r="Z524" s="133" t="s">
        <v>60</v>
      </c>
      <c r="AA524" s="133"/>
      <c r="AB524" s="148">
        <v>270</v>
      </c>
      <c r="AC524" s="134">
        <v>125</v>
      </c>
      <c r="AD524" s="134"/>
      <c r="AE524" s="403">
        <f t="shared" si="27"/>
        <v>33750</v>
      </c>
      <c r="AF524" s="132">
        <v>10</v>
      </c>
      <c r="AG524" s="130" t="s">
        <v>21</v>
      </c>
      <c r="AH524" s="130"/>
      <c r="AI524" s="130" t="s">
        <v>34</v>
      </c>
      <c r="AJ524" s="130"/>
      <c r="AK524" s="130"/>
      <c r="AL524" s="135" t="s">
        <v>2237</v>
      </c>
      <c r="AM524" s="314"/>
      <c r="AN524" s="26"/>
      <c r="AO524" s="26"/>
      <c r="AP524" s="26"/>
      <c r="AQ524" s="26">
        <v>43583</v>
      </c>
      <c r="AR524" s="24"/>
      <c r="AS524" s="24"/>
      <c r="AT524" s="24">
        <v>43585</v>
      </c>
      <c r="AU524" s="418">
        <f t="shared" si="28"/>
        <v>4</v>
      </c>
      <c r="AV524" s="418">
        <f t="shared" si="29"/>
        <v>2019</v>
      </c>
      <c r="AW524" s="24"/>
      <c r="AX524" s="28"/>
      <c r="AY524" s="28" t="s">
        <v>311</v>
      </c>
      <c r="AZ524" s="132" t="s">
        <v>37</v>
      </c>
      <c r="BA524" s="132"/>
      <c r="BB524" s="24"/>
      <c r="BC524" s="135" t="s">
        <v>2238</v>
      </c>
      <c r="BD524" s="24">
        <v>43537</v>
      </c>
      <c r="BE524" s="135" t="s">
        <v>2239</v>
      </c>
      <c r="BF524" s="135" t="s">
        <v>2240</v>
      </c>
      <c r="BG524" s="135" t="s">
        <v>53</v>
      </c>
      <c r="BH524" s="135"/>
      <c r="BI524" s="314"/>
      <c r="BJ524" s="314"/>
      <c r="BK524" s="24"/>
      <c r="BL524" s="24"/>
      <c r="BM524" s="24"/>
      <c r="BN524" s="24"/>
      <c r="BO524" s="24">
        <f>+AQ524+21</f>
        <v>43604</v>
      </c>
      <c r="BP524" s="24"/>
      <c r="BQ524" s="24"/>
      <c r="BR524" s="43"/>
      <c r="BS524" s="24"/>
      <c r="BT524" s="24"/>
      <c r="BU524" s="24"/>
      <c r="BV524" s="132" t="e">
        <f>IF(#REF!="COMPLETO","OK","PENDIENTES")</f>
        <v>#REF!</v>
      </c>
      <c r="BW524" s="132"/>
      <c r="BX524" s="132"/>
      <c r="BY524" s="132"/>
      <c r="BZ524" s="132"/>
      <c r="CA524" s="132"/>
      <c r="CB524" s="132"/>
      <c r="CC524" s="22"/>
      <c r="CG524" s="24" t="s">
        <v>105</v>
      </c>
      <c r="CH524" s="24"/>
      <c r="CI524" s="24"/>
      <c r="CJ524" s="24"/>
    </row>
    <row r="525" spans="1:88" ht="15" customHeight="1">
      <c r="A525" s="18">
        <v>2019</v>
      </c>
      <c r="B525" s="18" t="str">
        <f>+INDEX(BDD!F:F,MATCH(P525,BDD!D:D,0))&amp;"-"&amp;INDEX(BDD!E:E,MATCH(P525,BDD!D:D,0))</f>
        <v>S-S</v>
      </c>
      <c r="C525" s="125" t="s">
        <v>484</v>
      </c>
      <c r="D525" s="150" t="s">
        <v>77</v>
      </c>
      <c r="E525" s="132"/>
      <c r="F525" s="24"/>
      <c r="G525" s="346">
        <v>8000000417</v>
      </c>
      <c r="H525" s="125" t="s">
        <v>2241</v>
      </c>
      <c r="I525" s="329"/>
      <c r="J525" s="346">
        <v>8000000417</v>
      </c>
      <c r="K525" s="24"/>
      <c r="L525" s="24"/>
      <c r="M525" s="24"/>
      <c r="N525" s="340" t="s">
        <v>486</v>
      </c>
      <c r="O525" s="334">
        <v>206914</v>
      </c>
      <c r="P525" s="25" t="s">
        <v>335</v>
      </c>
      <c r="Q525" s="127" t="s">
        <v>231</v>
      </c>
      <c r="R525" s="232" t="s">
        <v>2235</v>
      </c>
      <c r="S525" s="89">
        <v>43493</v>
      </c>
      <c r="T525" s="36">
        <v>150</v>
      </c>
      <c r="U525" s="125" t="s">
        <v>118</v>
      </c>
      <c r="V525" s="147" t="s">
        <v>2242</v>
      </c>
      <c r="W525" s="129"/>
      <c r="X525" s="88">
        <v>43689</v>
      </c>
      <c r="Y525" s="130" t="s">
        <v>20</v>
      </c>
      <c r="Z525" s="133" t="s">
        <v>60</v>
      </c>
      <c r="AA525" s="133"/>
      <c r="AB525" s="148">
        <v>499.7</v>
      </c>
      <c r="AC525" s="134">
        <v>125</v>
      </c>
      <c r="AD525" s="134"/>
      <c r="AE525" s="403">
        <f t="shared" si="27"/>
        <v>62462.5</v>
      </c>
      <c r="AF525" s="132">
        <v>19</v>
      </c>
      <c r="AG525" s="130" t="s">
        <v>5</v>
      </c>
      <c r="AH525" s="130"/>
      <c r="AI525" s="130" t="s">
        <v>34</v>
      </c>
      <c r="AJ525" s="130"/>
      <c r="AK525" s="130"/>
      <c r="AL525" s="135" t="s">
        <v>2237</v>
      </c>
      <c r="AM525" s="314"/>
      <c r="AN525" s="26"/>
      <c r="AO525" s="26"/>
      <c r="AP525" s="26"/>
      <c r="AQ525" s="26">
        <v>43588</v>
      </c>
      <c r="AR525" s="24"/>
      <c r="AS525" s="24"/>
      <c r="AT525" s="24">
        <v>43592</v>
      </c>
      <c r="AU525" s="418">
        <f t="shared" si="28"/>
        <v>5</v>
      </c>
      <c r="AV525" s="418">
        <f t="shared" si="29"/>
        <v>2019</v>
      </c>
      <c r="AW525" s="24"/>
      <c r="AX525" s="28"/>
      <c r="AY525" s="28" t="s">
        <v>257</v>
      </c>
      <c r="AZ525" s="132" t="s">
        <v>37</v>
      </c>
      <c r="BA525" s="132"/>
      <c r="BB525" s="24"/>
      <c r="BC525" s="135" t="s">
        <v>2243</v>
      </c>
      <c r="BD525" s="24">
        <v>43538</v>
      </c>
      <c r="BE525" s="135" t="s">
        <v>2244</v>
      </c>
      <c r="BF525" s="135" t="s">
        <v>2245</v>
      </c>
      <c r="BG525" s="135" t="s">
        <v>41</v>
      </c>
      <c r="BH525" s="135"/>
      <c r="BI525" s="314"/>
      <c r="BJ525" s="314"/>
      <c r="BK525" s="24"/>
      <c r="BL525" s="24"/>
      <c r="BM525" s="24"/>
      <c r="BN525" s="24"/>
      <c r="BO525" s="24">
        <f>+AQ525+14</f>
        <v>43602</v>
      </c>
      <c r="BP525" s="24"/>
      <c r="BQ525" s="24"/>
      <c r="BR525" s="43"/>
      <c r="BS525" s="24"/>
      <c r="BT525" s="24"/>
      <c r="BU525" s="24"/>
      <c r="BV525" s="132" t="e">
        <f>IF(#REF!="COMPLETO","OK","PENDIENTES")</f>
        <v>#REF!</v>
      </c>
      <c r="BW525" s="132"/>
      <c r="BX525" s="132"/>
      <c r="BY525" s="132"/>
      <c r="BZ525" s="132"/>
      <c r="CA525" s="132"/>
      <c r="CB525" s="132"/>
      <c r="CC525" s="22"/>
      <c r="CG525" s="24" t="s">
        <v>105</v>
      </c>
      <c r="CH525" s="24"/>
      <c r="CI525" s="24"/>
      <c r="CJ525" s="24"/>
    </row>
    <row r="526" spans="1:88" ht="15" customHeight="1">
      <c r="A526" s="18">
        <v>2019</v>
      </c>
      <c r="B526" s="18" t="str">
        <f>+INDEX(BDD!F:F,MATCH(P526,BDD!D:D,0))&amp;"-"&amp;INDEX(BDD!E:E,MATCH(P526,BDD!D:D,0))</f>
        <v>G-S</v>
      </c>
      <c r="C526" s="125" t="s">
        <v>484</v>
      </c>
      <c r="D526" s="150" t="s">
        <v>77</v>
      </c>
      <c r="E526" s="132"/>
      <c r="F526" s="24"/>
      <c r="G526" s="346">
        <v>8000000392</v>
      </c>
      <c r="H526" s="125" t="s">
        <v>2246</v>
      </c>
      <c r="I526" s="329"/>
      <c r="J526" s="346">
        <v>8000000392</v>
      </c>
      <c r="K526" s="24"/>
      <c r="L526" s="24"/>
      <c r="M526" s="24"/>
      <c r="N526" s="340" t="s">
        <v>486</v>
      </c>
      <c r="O526" s="334">
        <v>203616</v>
      </c>
      <c r="P526" s="25" t="s">
        <v>331</v>
      </c>
      <c r="Q526" s="127" t="s">
        <v>237</v>
      </c>
      <c r="R526" s="232" t="s">
        <v>2247</v>
      </c>
      <c r="S526" s="89">
        <v>43488</v>
      </c>
      <c r="T526" s="36" t="s">
        <v>19</v>
      </c>
      <c r="U526" s="125"/>
      <c r="V526" s="147" t="s">
        <v>2248</v>
      </c>
      <c r="W526" s="129"/>
      <c r="X526" s="88">
        <v>43539</v>
      </c>
      <c r="Y526" s="130" t="s">
        <v>20</v>
      </c>
      <c r="Z526" s="133" t="s">
        <v>60</v>
      </c>
      <c r="AA526" s="133"/>
      <c r="AB526" s="148">
        <v>1080</v>
      </c>
      <c r="AC526" s="134">
        <v>142</v>
      </c>
      <c r="AD526" s="134"/>
      <c r="AE526" s="403">
        <f t="shared" si="27"/>
        <v>153360</v>
      </c>
      <c r="AF526" s="132" t="s">
        <v>944</v>
      </c>
      <c r="AG526" s="130" t="s">
        <v>46</v>
      </c>
      <c r="AH526" s="130"/>
      <c r="AI526" s="130" t="s">
        <v>100</v>
      </c>
      <c r="AJ526" s="130"/>
      <c r="AK526" s="130"/>
      <c r="AL526" s="135" t="s">
        <v>2195</v>
      </c>
      <c r="AM526" s="314"/>
      <c r="AN526" s="26"/>
      <c r="AO526" s="26"/>
      <c r="AP526" s="26"/>
      <c r="AQ526" s="26">
        <v>43561</v>
      </c>
      <c r="AR526" s="24"/>
      <c r="AS526" s="24"/>
      <c r="AT526" s="24">
        <v>43562</v>
      </c>
      <c r="AU526" s="418">
        <f t="shared" si="28"/>
        <v>4</v>
      </c>
      <c r="AV526" s="418">
        <f t="shared" si="29"/>
        <v>2019</v>
      </c>
      <c r="AW526" s="24"/>
      <c r="AX526" s="28"/>
      <c r="AY526" s="28" t="s">
        <v>321</v>
      </c>
      <c r="AZ526" s="132" t="s">
        <v>25</v>
      </c>
      <c r="BA526" s="132"/>
      <c r="BB526" s="24"/>
      <c r="BC526" s="135" t="s">
        <v>2249</v>
      </c>
      <c r="BD526" s="24">
        <v>43521</v>
      </c>
      <c r="BE526" s="135" t="s">
        <v>2197</v>
      </c>
      <c r="BF526" s="135" t="s">
        <v>2197</v>
      </c>
      <c r="BG526" s="135" t="s">
        <v>52</v>
      </c>
      <c r="BH526" s="135"/>
      <c r="BI526" s="314"/>
      <c r="BJ526" s="314"/>
      <c r="BK526" s="24"/>
      <c r="BL526" s="24"/>
      <c r="BM526" s="24"/>
      <c r="BN526" s="24"/>
      <c r="BO526" s="24"/>
      <c r="BP526" s="24"/>
      <c r="BQ526" s="24"/>
      <c r="BR526" s="43"/>
      <c r="BS526" s="24"/>
      <c r="BT526" s="24"/>
      <c r="BU526" s="24"/>
      <c r="BV526" s="132" t="e">
        <f>IF(#REF!="COMPLETO","OK","PENDIENTES")</f>
        <v>#REF!</v>
      </c>
      <c r="BW526" s="132"/>
      <c r="BX526" s="132"/>
      <c r="BY526" s="132"/>
      <c r="BZ526" s="132"/>
      <c r="CA526" s="132"/>
      <c r="CB526" s="132"/>
      <c r="CC526" s="22"/>
      <c r="CG526" s="24" t="s">
        <v>105</v>
      </c>
      <c r="CH526" s="24"/>
      <c r="CI526" s="24"/>
      <c r="CJ526" s="24"/>
    </row>
    <row r="527" spans="1:88" ht="15" customHeight="1">
      <c r="A527" s="18">
        <v>2019</v>
      </c>
      <c r="B527" s="18" t="str">
        <f>+INDEX(BDD!F:F,MATCH(P527,BDD!D:D,0))&amp;"-"&amp;INDEX(BDD!E:E,MATCH(P527,BDD!D:D,0))</f>
        <v>S-S</v>
      </c>
      <c r="C527" s="125" t="s">
        <v>484</v>
      </c>
      <c r="D527" s="150" t="s">
        <v>77</v>
      </c>
      <c r="E527" s="132"/>
      <c r="F527" s="24"/>
      <c r="G527" s="346">
        <v>8000000398</v>
      </c>
      <c r="H527" s="125" t="s">
        <v>2250</v>
      </c>
      <c r="I527" s="329"/>
      <c r="J527" s="346">
        <v>8000000398</v>
      </c>
      <c r="K527" s="24"/>
      <c r="L527" s="24"/>
      <c r="M527" s="24"/>
      <c r="N527" s="340" t="s">
        <v>486</v>
      </c>
      <c r="O527" s="334">
        <v>207578</v>
      </c>
      <c r="P527" s="25" t="s">
        <v>229</v>
      </c>
      <c r="Q527" s="127" t="s">
        <v>175</v>
      </c>
      <c r="R527" s="232" t="s">
        <v>2251</v>
      </c>
      <c r="S527" s="89">
        <v>43466</v>
      </c>
      <c r="T527" s="36">
        <v>60</v>
      </c>
      <c r="U527" s="125" t="s">
        <v>118</v>
      </c>
      <c r="V527" s="147" t="s">
        <v>2252</v>
      </c>
      <c r="W527" s="129"/>
      <c r="X527" s="88">
        <v>43598</v>
      </c>
      <c r="Y527" s="130" t="s">
        <v>20</v>
      </c>
      <c r="Z527" s="133" t="s">
        <v>60</v>
      </c>
      <c r="AA527" s="133"/>
      <c r="AB527" s="148">
        <v>504</v>
      </c>
      <c r="AC527" s="134">
        <v>257</v>
      </c>
      <c r="AD527" s="134"/>
      <c r="AE527" s="403">
        <f t="shared" si="27"/>
        <v>129528</v>
      </c>
      <c r="AF527" s="132">
        <v>18</v>
      </c>
      <c r="AG527" s="130" t="s">
        <v>21</v>
      </c>
      <c r="AH527" s="130"/>
      <c r="AI527" s="130" t="s">
        <v>34</v>
      </c>
      <c r="AJ527" s="130"/>
      <c r="AK527" s="130"/>
      <c r="AL527" s="135" t="s">
        <v>2125</v>
      </c>
      <c r="AM527" s="314"/>
      <c r="AN527" s="26"/>
      <c r="AO527" s="26"/>
      <c r="AP527" s="26"/>
      <c r="AQ527" s="26">
        <v>43572</v>
      </c>
      <c r="AR527" s="24"/>
      <c r="AS527" s="24"/>
      <c r="AT527" s="24">
        <v>43577</v>
      </c>
      <c r="AU527" s="418">
        <f t="shared" si="28"/>
        <v>4</v>
      </c>
      <c r="AV527" s="418">
        <f t="shared" si="29"/>
        <v>2019</v>
      </c>
      <c r="AW527" s="24"/>
      <c r="AX527" s="28"/>
      <c r="AY527" s="28" t="s">
        <v>311</v>
      </c>
      <c r="AZ527" s="132" t="s">
        <v>9</v>
      </c>
      <c r="BA527" s="132"/>
      <c r="BB527" s="24"/>
      <c r="BC527" s="135" t="s">
        <v>2253</v>
      </c>
      <c r="BD527" s="24">
        <v>43526</v>
      </c>
      <c r="BE527" s="135" t="s">
        <v>1800</v>
      </c>
      <c r="BF527" s="135" t="s">
        <v>1251</v>
      </c>
      <c r="BG527" s="135" t="s">
        <v>174</v>
      </c>
      <c r="BH527" s="135"/>
      <c r="BI527" s="314"/>
      <c r="BJ527" s="314"/>
      <c r="BK527" s="24"/>
      <c r="BL527" s="24"/>
      <c r="BM527" s="24"/>
      <c r="BN527" s="24"/>
      <c r="BO527" s="24">
        <v>43593</v>
      </c>
      <c r="BP527" s="24"/>
      <c r="BQ527" s="24"/>
      <c r="BR527" s="43"/>
      <c r="BS527" s="24"/>
      <c r="BT527" s="24"/>
      <c r="BU527" s="24"/>
      <c r="BV527" s="132" t="e">
        <f>IF(#REF!="COMPLETO","OK","PENDIENTES")</f>
        <v>#REF!</v>
      </c>
      <c r="BW527" s="132"/>
      <c r="BX527" s="132"/>
      <c r="BY527" s="132"/>
      <c r="BZ527" s="132"/>
      <c r="CA527" s="132"/>
      <c r="CB527" s="132"/>
      <c r="CC527" s="22"/>
      <c r="CG527" s="24" t="s">
        <v>105</v>
      </c>
      <c r="CH527" s="24"/>
      <c r="CI527" s="24"/>
      <c r="CJ527" s="24"/>
    </row>
    <row r="528" spans="1:88" ht="15" customHeight="1">
      <c r="A528" s="18">
        <v>2019</v>
      </c>
      <c r="B528" s="18" t="str">
        <f>+INDEX(BDD!F:F,MATCH(P528,BDD!D:D,0))&amp;"-"&amp;INDEX(BDD!E:E,MATCH(P528,BDD!D:D,0))</f>
        <v>S-S</v>
      </c>
      <c r="C528" s="125" t="s">
        <v>484</v>
      </c>
      <c r="D528" s="150" t="s">
        <v>77</v>
      </c>
      <c r="E528" s="132"/>
      <c r="F528" s="24"/>
      <c r="G528" s="346">
        <v>8000000424</v>
      </c>
      <c r="H528" s="125" t="s">
        <v>2254</v>
      </c>
      <c r="I528" s="329"/>
      <c r="J528" s="346">
        <v>8000000424</v>
      </c>
      <c r="K528" s="24"/>
      <c r="L528" s="24"/>
      <c r="M528" s="24"/>
      <c r="N528" s="340" t="s">
        <v>486</v>
      </c>
      <c r="O528" s="334">
        <v>207578</v>
      </c>
      <c r="P528" s="25" t="s">
        <v>229</v>
      </c>
      <c r="Q528" s="127" t="s">
        <v>175</v>
      </c>
      <c r="R528" s="232" t="s">
        <v>2251</v>
      </c>
      <c r="S528" s="89">
        <v>43466</v>
      </c>
      <c r="T528" s="36">
        <v>60</v>
      </c>
      <c r="U528" s="125" t="s">
        <v>118</v>
      </c>
      <c r="V528" s="147" t="s">
        <v>2255</v>
      </c>
      <c r="W528" s="129"/>
      <c r="X528" s="88">
        <f>+BD528+60</f>
        <v>43609</v>
      </c>
      <c r="Y528" s="130" t="s">
        <v>20</v>
      </c>
      <c r="Z528" s="133" t="s">
        <v>60</v>
      </c>
      <c r="AA528" s="133"/>
      <c r="AB528" s="148">
        <v>504</v>
      </c>
      <c r="AC528" s="134">
        <v>257</v>
      </c>
      <c r="AD528" s="134"/>
      <c r="AE528" s="403">
        <f t="shared" si="27"/>
        <v>129528</v>
      </c>
      <c r="AF528" s="132">
        <v>18</v>
      </c>
      <c r="AG528" s="130" t="s">
        <v>21</v>
      </c>
      <c r="AH528" s="130"/>
      <c r="AI528" s="130" t="s">
        <v>34</v>
      </c>
      <c r="AJ528" s="130"/>
      <c r="AK528" s="130"/>
      <c r="AL528" s="135" t="s">
        <v>2256</v>
      </c>
      <c r="AM528" s="314"/>
      <c r="AN528" s="26"/>
      <c r="AO528" s="26"/>
      <c r="AP528" s="26"/>
      <c r="AQ528" s="26">
        <v>43591</v>
      </c>
      <c r="AR528" s="24"/>
      <c r="AS528" s="24"/>
      <c r="AT528" s="24">
        <v>43593</v>
      </c>
      <c r="AU528" s="418">
        <f t="shared" si="28"/>
        <v>5</v>
      </c>
      <c r="AV528" s="418">
        <f t="shared" si="29"/>
        <v>2019</v>
      </c>
      <c r="AW528" s="24"/>
      <c r="AX528" s="28"/>
      <c r="AY528" s="28" t="s">
        <v>311</v>
      </c>
      <c r="AZ528" s="132" t="s">
        <v>9</v>
      </c>
      <c r="BA528" s="132"/>
      <c r="BB528" s="24"/>
      <c r="BC528" s="135" t="s">
        <v>2257</v>
      </c>
      <c r="BD528" s="24">
        <v>43549</v>
      </c>
      <c r="BE528" s="135" t="s">
        <v>2258</v>
      </c>
      <c r="BF528" s="135" t="s">
        <v>932</v>
      </c>
      <c r="BG528" s="135" t="s">
        <v>29</v>
      </c>
      <c r="BH528" s="135"/>
      <c r="BI528" s="314"/>
      <c r="BJ528" s="314"/>
      <c r="BK528" s="24"/>
      <c r="BL528" s="24"/>
      <c r="BM528" s="24"/>
      <c r="BN528" s="24"/>
      <c r="BO528" s="24">
        <v>43605</v>
      </c>
      <c r="BP528" s="24"/>
      <c r="BQ528" s="24"/>
      <c r="BR528" s="43"/>
      <c r="BS528" s="24"/>
      <c r="BT528" s="24"/>
      <c r="BU528" s="24"/>
      <c r="BV528" s="132" t="e">
        <f>IF(#REF!="COMPLETO","OK","PENDIENTES")</f>
        <v>#REF!</v>
      </c>
      <c r="BW528" s="132"/>
      <c r="BX528" s="132"/>
      <c r="BY528" s="132"/>
      <c r="BZ528" s="132"/>
      <c r="CA528" s="132"/>
      <c r="CB528" s="132"/>
      <c r="CC528" s="22"/>
      <c r="CG528" s="24" t="s">
        <v>105</v>
      </c>
      <c r="CH528" s="24"/>
      <c r="CI528" s="24"/>
      <c r="CJ528" s="24"/>
    </row>
    <row r="529" spans="1:88" ht="15" customHeight="1">
      <c r="A529" s="18">
        <v>2019</v>
      </c>
      <c r="B529" s="18" t="str">
        <f>+INDEX(BDD!F:F,MATCH(P529,BDD!D:D,0))&amp;"-"&amp;INDEX(BDD!E:E,MATCH(P529,BDD!D:D,0))</f>
        <v>S-S</v>
      </c>
      <c r="C529" s="125" t="s">
        <v>484</v>
      </c>
      <c r="D529" s="150" t="s">
        <v>77</v>
      </c>
      <c r="E529" s="132"/>
      <c r="F529" s="24"/>
      <c r="G529" s="346">
        <v>8000000396</v>
      </c>
      <c r="H529" s="125" t="s">
        <v>2259</v>
      </c>
      <c r="I529" s="329"/>
      <c r="J529" s="346">
        <v>8000000396</v>
      </c>
      <c r="K529" s="24"/>
      <c r="L529" s="24"/>
      <c r="M529" s="24"/>
      <c r="N529" s="340" t="s">
        <v>486</v>
      </c>
      <c r="O529" s="334">
        <v>206914</v>
      </c>
      <c r="P529" s="25" t="s">
        <v>335</v>
      </c>
      <c r="Q529" s="127" t="s">
        <v>264</v>
      </c>
      <c r="R529" s="232" t="s">
        <v>2260</v>
      </c>
      <c r="S529" s="89">
        <v>43497</v>
      </c>
      <c r="T529" s="36">
        <v>90</v>
      </c>
      <c r="U529" s="125" t="s">
        <v>118</v>
      </c>
      <c r="V529" s="147" t="s">
        <v>2260</v>
      </c>
      <c r="W529" s="129"/>
      <c r="X529" s="88">
        <v>43627</v>
      </c>
      <c r="Y529" s="130" t="s">
        <v>20</v>
      </c>
      <c r="Z529" s="133" t="s">
        <v>60</v>
      </c>
      <c r="AA529" s="133"/>
      <c r="AB529" s="148">
        <v>162</v>
      </c>
      <c r="AC529" s="134">
        <v>154</v>
      </c>
      <c r="AD529" s="134"/>
      <c r="AE529" s="403">
        <f t="shared" si="27"/>
        <v>24948</v>
      </c>
      <c r="AF529" s="132">
        <v>6</v>
      </c>
      <c r="AG529" s="130" t="s">
        <v>5</v>
      </c>
      <c r="AH529" s="130"/>
      <c r="AI529" s="130" t="s">
        <v>34</v>
      </c>
      <c r="AJ529" s="130"/>
      <c r="AK529" s="130"/>
      <c r="AL529" s="135" t="s">
        <v>2184</v>
      </c>
      <c r="AM529" s="314"/>
      <c r="AN529" s="26"/>
      <c r="AO529" s="26"/>
      <c r="AP529" s="26"/>
      <c r="AQ529" s="26">
        <v>43579</v>
      </c>
      <c r="AR529" s="24"/>
      <c r="AS529" s="24"/>
      <c r="AT529" s="26">
        <v>43580</v>
      </c>
      <c r="AU529" s="418">
        <f t="shared" si="28"/>
        <v>4</v>
      </c>
      <c r="AV529" s="418">
        <f t="shared" si="29"/>
        <v>2019</v>
      </c>
      <c r="AW529" s="26"/>
      <c r="AX529" s="28"/>
      <c r="AY529" s="28" t="s">
        <v>139</v>
      </c>
      <c r="AZ529" s="132" t="s">
        <v>62</v>
      </c>
      <c r="BA529" s="132"/>
      <c r="BB529" s="26"/>
      <c r="BC529" s="135" t="s">
        <v>2261</v>
      </c>
      <c r="BD529" s="26">
        <v>43535</v>
      </c>
      <c r="BE529" s="135" t="s">
        <v>2262</v>
      </c>
      <c r="BF529" s="135" t="s">
        <v>2022</v>
      </c>
      <c r="BG529" s="135" t="s">
        <v>53</v>
      </c>
      <c r="BH529" s="135"/>
      <c r="BI529" s="314"/>
      <c r="BJ529" s="314"/>
      <c r="BK529" s="24"/>
      <c r="BL529" s="24"/>
      <c r="BM529" s="24"/>
      <c r="BN529" s="24"/>
      <c r="BO529" s="24"/>
      <c r="BP529" s="24"/>
      <c r="BQ529" s="24"/>
      <c r="BR529" s="43"/>
      <c r="BS529" s="24"/>
      <c r="BT529" s="24"/>
      <c r="BU529" s="24"/>
      <c r="BV529" s="132" t="e">
        <f>IF(#REF!="COMPLETO","OK","PENDIENTES")</f>
        <v>#REF!</v>
      </c>
      <c r="BW529" s="132"/>
      <c r="BX529" s="132"/>
      <c r="BY529" s="132"/>
      <c r="BZ529" s="132"/>
      <c r="CA529" s="132"/>
      <c r="CB529" s="132"/>
      <c r="CC529" s="22"/>
      <c r="CG529" s="24" t="s">
        <v>105</v>
      </c>
      <c r="CH529" s="24"/>
      <c r="CI529" s="26"/>
      <c r="CJ529" s="26"/>
    </row>
    <row r="530" spans="1:88" ht="15" customHeight="1">
      <c r="A530" s="18">
        <v>2019</v>
      </c>
      <c r="B530" s="18" t="str">
        <f>+INDEX(BDD!F:F,MATCH(P530,BDD!D:D,0))&amp;"-"&amp;INDEX(BDD!E:E,MATCH(P530,BDD!D:D,0))</f>
        <v>S-S</v>
      </c>
      <c r="C530" s="125" t="s">
        <v>484</v>
      </c>
      <c r="D530" s="150" t="s">
        <v>77</v>
      </c>
      <c r="E530" s="132"/>
      <c r="F530" s="24"/>
      <c r="G530" s="346">
        <v>8000000397</v>
      </c>
      <c r="H530" s="125" t="s">
        <v>2263</v>
      </c>
      <c r="I530" s="329"/>
      <c r="J530" s="346">
        <v>8000000397</v>
      </c>
      <c r="K530" s="24"/>
      <c r="L530" s="24"/>
      <c r="M530" s="24"/>
      <c r="N530" s="340" t="s">
        <v>486</v>
      </c>
      <c r="O530" s="334">
        <v>206914</v>
      </c>
      <c r="P530" s="25" t="s">
        <v>335</v>
      </c>
      <c r="Q530" s="127" t="s">
        <v>264</v>
      </c>
      <c r="R530" s="232" t="s">
        <v>2264</v>
      </c>
      <c r="S530" s="89">
        <v>43497</v>
      </c>
      <c r="T530" s="36">
        <v>90</v>
      </c>
      <c r="U530" s="125" t="s">
        <v>118</v>
      </c>
      <c r="V530" s="147" t="s">
        <v>2264</v>
      </c>
      <c r="W530" s="129"/>
      <c r="X530" s="88">
        <f>+BD530+T530</f>
        <v>43632</v>
      </c>
      <c r="Y530" s="130" t="s">
        <v>20</v>
      </c>
      <c r="Z530" s="133" t="s">
        <v>60</v>
      </c>
      <c r="AA530" s="133"/>
      <c r="AB530" s="148">
        <v>162</v>
      </c>
      <c r="AC530" s="134">
        <v>154</v>
      </c>
      <c r="AD530" s="134"/>
      <c r="AE530" s="403">
        <f t="shared" si="27"/>
        <v>24948</v>
      </c>
      <c r="AF530" s="132">
        <v>6</v>
      </c>
      <c r="AG530" s="130" t="s">
        <v>5</v>
      </c>
      <c r="AH530" s="130"/>
      <c r="AI530" s="130" t="s">
        <v>34</v>
      </c>
      <c r="AJ530" s="130"/>
      <c r="AK530" s="130"/>
      <c r="AL530" s="135" t="s">
        <v>2184</v>
      </c>
      <c r="AM530" s="314"/>
      <c r="AN530" s="26"/>
      <c r="AO530" s="26"/>
      <c r="AP530" s="26"/>
      <c r="AQ530" s="26">
        <v>43593</v>
      </c>
      <c r="AR530" s="24"/>
      <c r="AS530" s="24"/>
      <c r="AT530" s="24">
        <v>43594</v>
      </c>
      <c r="AU530" s="418">
        <f t="shared" si="28"/>
        <v>5</v>
      </c>
      <c r="AV530" s="418">
        <f t="shared" si="29"/>
        <v>2019</v>
      </c>
      <c r="AW530" s="24"/>
      <c r="AX530" s="28"/>
      <c r="AY530" s="28" t="s">
        <v>139</v>
      </c>
      <c r="AZ530" s="132" t="s">
        <v>62</v>
      </c>
      <c r="BA530" s="132"/>
      <c r="BB530" s="24"/>
      <c r="BC530" s="135" t="s">
        <v>2265</v>
      </c>
      <c r="BD530" s="24">
        <v>43542</v>
      </c>
      <c r="BE530" s="135" t="s">
        <v>2266</v>
      </c>
      <c r="BF530" s="135" t="s">
        <v>2027</v>
      </c>
      <c r="BG530" s="135" t="s">
        <v>53</v>
      </c>
      <c r="BH530" s="135"/>
      <c r="BI530" s="314"/>
      <c r="BJ530" s="314"/>
      <c r="BK530" s="24"/>
      <c r="BL530" s="24"/>
      <c r="BM530" s="24"/>
      <c r="BN530" s="24"/>
      <c r="BO530" s="24"/>
      <c r="BP530" s="24"/>
      <c r="BQ530" s="24"/>
      <c r="BR530" s="43"/>
      <c r="BS530" s="24"/>
      <c r="BT530" s="24"/>
      <c r="BU530" s="24"/>
      <c r="BV530" s="132" t="e">
        <f>IF(#REF!="COMPLETO","OK","PENDIENTES")</f>
        <v>#REF!</v>
      </c>
      <c r="BW530" s="132"/>
      <c r="BX530" s="132"/>
      <c r="BY530" s="132"/>
      <c r="BZ530" s="132"/>
      <c r="CA530" s="132"/>
      <c r="CB530" s="132"/>
      <c r="CC530" s="22"/>
      <c r="CG530" s="24" t="s">
        <v>105</v>
      </c>
      <c r="CH530" s="24"/>
      <c r="CI530" s="24"/>
      <c r="CJ530" s="24"/>
    </row>
    <row r="531" spans="1:88" ht="15" customHeight="1">
      <c r="A531" s="18">
        <v>2019</v>
      </c>
      <c r="B531" s="18" t="str">
        <f>+INDEX(BDD!F:F,MATCH(P531,BDD!D:D,0))&amp;"-"&amp;INDEX(BDD!E:E,MATCH(P531,BDD!D:D,0))</f>
        <v>S-S</v>
      </c>
      <c r="C531" s="125" t="s">
        <v>484</v>
      </c>
      <c r="D531" s="150" t="s">
        <v>77</v>
      </c>
      <c r="E531" s="132"/>
      <c r="F531" s="24"/>
      <c r="G531" s="346">
        <v>8000000440</v>
      </c>
      <c r="H531" s="125" t="s">
        <v>2267</v>
      </c>
      <c r="I531" s="329"/>
      <c r="J531" s="346">
        <v>8000000440</v>
      </c>
      <c r="K531" s="24"/>
      <c r="L531" s="24"/>
      <c r="M531" s="24"/>
      <c r="N531" s="340" t="s">
        <v>486</v>
      </c>
      <c r="O531" s="334">
        <v>206971</v>
      </c>
      <c r="P531" s="25" t="s">
        <v>340</v>
      </c>
      <c r="Q531" s="127" t="s">
        <v>234</v>
      </c>
      <c r="R531" s="128" t="s">
        <v>2268</v>
      </c>
      <c r="S531" s="89">
        <v>43507</v>
      </c>
      <c r="T531" s="36">
        <v>90</v>
      </c>
      <c r="U531" s="125" t="s">
        <v>118</v>
      </c>
      <c r="V531" s="128" t="s">
        <v>2268</v>
      </c>
      <c r="W531" s="151"/>
      <c r="X531" s="88">
        <v>43644</v>
      </c>
      <c r="Y531" s="130" t="s">
        <v>20</v>
      </c>
      <c r="Z531" s="133" t="s">
        <v>81</v>
      </c>
      <c r="AA531" s="133"/>
      <c r="AB531" s="148">
        <v>104</v>
      </c>
      <c r="AC531" s="134">
        <v>530</v>
      </c>
      <c r="AD531" s="134"/>
      <c r="AE531" s="403">
        <f t="shared" si="27"/>
        <v>55120</v>
      </c>
      <c r="AF531" s="132">
        <v>4</v>
      </c>
      <c r="AG531" s="130" t="s">
        <v>5</v>
      </c>
      <c r="AH531" s="130"/>
      <c r="AI531" s="130" t="s">
        <v>34</v>
      </c>
      <c r="AJ531" s="130"/>
      <c r="AK531" s="130"/>
      <c r="AL531" s="135" t="s">
        <v>2184</v>
      </c>
      <c r="AM531" s="314"/>
      <c r="AN531" s="26"/>
      <c r="AO531" s="26"/>
      <c r="AP531" s="26"/>
      <c r="AQ531" s="26">
        <v>43607</v>
      </c>
      <c r="AR531" s="24"/>
      <c r="AS531" s="24"/>
      <c r="AT531" s="24">
        <v>43609</v>
      </c>
      <c r="AU531" s="418">
        <f t="shared" si="28"/>
        <v>5</v>
      </c>
      <c r="AV531" s="418">
        <f t="shared" si="29"/>
        <v>2019</v>
      </c>
      <c r="AW531" s="24"/>
      <c r="AX531" s="28"/>
      <c r="AY531" s="28" t="s">
        <v>311</v>
      </c>
      <c r="AZ531" s="132" t="s">
        <v>62</v>
      </c>
      <c r="BA531" s="132"/>
      <c r="BB531" s="24"/>
      <c r="BC531" s="135" t="s">
        <v>2269</v>
      </c>
      <c r="BD531" s="24">
        <v>43556</v>
      </c>
      <c r="BE531" s="135" t="s">
        <v>2270</v>
      </c>
      <c r="BF531" s="135" t="s">
        <v>2022</v>
      </c>
      <c r="BG531" s="135" t="s">
        <v>53</v>
      </c>
      <c r="BH531" s="135"/>
      <c r="BI531" s="314"/>
      <c r="BJ531" s="314"/>
      <c r="BK531" s="24"/>
      <c r="BL531" s="24"/>
      <c r="BM531" s="24"/>
      <c r="BN531" s="24"/>
      <c r="BO531" s="24">
        <f>+AQ531+21</f>
        <v>43628</v>
      </c>
      <c r="BP531" s="24"/>
      <c r="BQ531" s="24"/>
      <c r="BR531" s="43"/>
      <c r="BS531" s="24"/>
      <c r="BT531" s="24"/>
      <c r="BU531" s="24"/>
      <c r="BV531" s="132" t="e">
        <f>IF(#REF!="COMPLETO","OK","PENDIENTES")</f>
        <v>#REF!</v>
      </c>
      <c r="BW531" s="132"/>
      <c r="BX531" s="132"/>
      <c r="BY531" s="132"/>
      <c r="BZ531" s="132"/>
      <c r="CA531" s="132"/>
      <c r="CB531" s="132"/>
      <c r="CC531" s="22"/>
      <c r="CG531" s="24" t="s">
        <v>105</v>
      </c>
      <c r="CH531" s="24"/>
      <c r="CI531" s="24"/>
      <c r="CJ531" s="24"/>
    </row>
    <row r="532" spans="1:88" ht="16.5" customHeight="1">
      <c r="A532" s="18">
        <v>2019</v>
      </c>
      <c r="B532" s="18" t="str">
        <f>+INDEX(BDD!F:F,MATCH(P532,BDD!D:D,0))&amp;"-"&amp;INDEX(BDD!E:E,MATCH(P532,BDD!D:D,0))</f>
        <v>S-S</v>
      </c>
      <c r="C532" s="125" t="s">
        <v>484</v>
      </c>
      <c r="D532" s="150" t="s">
        <v>77</v>
      </c>
      <c r="E532" s="132"/>
      <c r="F532" s="24"/>
      <c r="G532" s="346">
        <v>8000000425</v>
      </c>
      <c r="H532" s="125" t="s">
        <v>2271</v>
      </c>
      <c r="I532" s="329"/>
      <c r="J532" s="346">
        <v>8000000425</v>
      </c>
      <c r="K532" s="24"/>
      <c r="L532" s="24"/>
      <c r="M532" s="24"/>
      <c r="N532" s="340" t="s">
        <v>486</v>
      </c>
      <c r="O532" s="334">
        <v>206966</v>
      </c>
      <c r="P532" s="25" t="s">
        <v>152</v>
      </c>
      <c r="Q532" s="127" t="s">
        <v>237</v>
      </c>
      <c r="R532" s="232" t="s">
        <v>2272</v>
      </c>
      <c r="S532" s="89">
        <v>43507</v>
      </c>
      <c r="T532" s="36">
        <v>90</v>
      </c>
      <c r="U532" s="125" t="s">
        <v>118</v>
      </c>
      <c r="V532" s="147" t="s">
        <v>2273</v>
      </c>
      <c r="W532" s="129"/>
      <c r="X532" s="88">
        <v>43614</v>
      </c>
      <c r="Y532" s="130" t="s">
        <v>20</v>
      </c>
      <c r="Z532" s="133" t="s">
        <v>60</v>
      </c>
      <c r="AA532" s="133"/>
      <c r="AB532" s="148">
        <v>100</v>
      </c>
      <c r="AC532" s="134">
        <v>668</v>
      </c>
      <c r="AD532" s="134"/>
      <c r="AE532" s="403">
        <f t="shared" si="27"/>
        <v>66800</v>
      </c>
      <c r="AF532" s="132">
        <v>4</v>
      </c>
      <c r="AG532" s="130" t="s">
        <v>5</v>
      </c>
      <c r="AH532" s="130"/>
      <c r="AI532" s="130" t="s">
        <v>34</v>
      </c>
      <c r="AJ532" s="130"/>
      <c r="AK532" s="130"/>
      <c r="AL532" s="135" t="s">
        <v>2184</v>
      </c>
      <c r="AM532" s="314"/>
      <c r="AN532" s="26"/>
      <c r="AO532" s="26"/>
      <c r="AP532" s="26"/>
      <c r="AQ532" s="26">
        <v>43596</v>
      </c>
      <c r="AR532" s="24"/>
      <c r="AS532" s="24"/>
      <c r="AT532" s="24">
        <v>43596</v>
      </c>
      <c r="AU532" s="418">
        <f t="shared" si="28"/>
        <v>5</v>
      </c>
      <c r="AV532" s="418">
        <f t="shared" si="29"/>
        <v>2019</v>
      </c>
      <c r="AW532" s="24"/>
      <c r="AX532" s="28"/>
      <c r="AY532" s="28" t="s">
        <v>189</v>
      </c>
      <c r="AZ532" s="132" t="s">
        <v>62</v>
      </c>
      <c r="BA532" s="132"/>
      <c r="BB532" s="24"/>
      <c r="BC532" s="135" t="s">
        <v>2274</v>
      </c>
      <c r="BD532" s="24">
        <v>43523</v>
      </c>
      <c r="BE532" s="135" t="s">
        <v>2275</v>
      </c>
      <c r="BF532" s="135" t="s">
        <v>1938</v>
      </c>
      <c r="BG532" s="135" t="s">
        <v>29</v>
      </c>
      <c r="BH532" s="135"/>
      <c r="BI532" s="314"/>
      <c r="BJ532" s="314"/>
      <c r="BK532" s="24"/>
      <c r="BL532" s="24"/>
      <c r="BM532" s="24"/>
      <c r="BN532" s="24"/>
      <c r="BO532" s="24"/>
      <c r="BP532" s="24"/>
      <c r="BQ532" s="24"/>
      <c r="BR532" s="43"/>
      <c r="BS532" s="24"/>
      <c r="BT532" s="24"/>
      <c r="BU532" s="24"/>
      <c r="BV532" s="132" t="e">
        <f>IF(#REF!="COMPLETO","OK","PENDIENTES")</f>
        <v>#REF!</v>
      </c>
      <c r="BW532" s="132"/>
      <c r="BX532" s="132"/>
      <c r="BY532" s="132"/>
      <c r="BZ532" s="132"/>
      <c r="CA532" s="132"/>
      <c r="CB532" s="132"/>
      <c r="CC532" s="22"/>
      <c r="CG532" s="24" t="s">
        <v>105</v>
      </c>
      <c r="CH532" s="24"/>
      <c r="CI532" s="24"/>
      <c r="CJ532" s="24"/>
    </row>
    <row r="533" spans="1:88" ht="14.25" customHeight="1">
      <c r="A533" s="18">
        <v>2019</v>
      </c>
      <c r="B533" s="18" t="str">
        <f>+INDEX(BDD!F:F,MATCH(P533,BDD!D:D,0))&amp;"-"&amp;INDEX(BDD!E:E,MATCH(P533,BDD!D:D,0))</f>
        <v>E-S</v>
      </c>
      <c r="C533" s="125" t="s">
        <v>484</v>
      </c>
      <c r="D533" s="150" t="s">
        <v>77</v>
      </c>
      <c r="E533" s="132"/>
      <c r="F533" s="24"/>
      <c r="G533" s="346">
        <v>8000000399</v>
      </c>
      <c r="H533" s="125" t="s">
        <v>2276</v>
      </c>
      <c r="I533" s="329"/>
      <c r="J533" s="346">
        <v>8000000399</v>
      </c>
      <c r="K533" s="24"/>
      <c r="L533" s="24"/>
      <c r="M533" s="24"/>
      <c r="N533" s="340" t="s">
        <v>486</v>
      </c>
      <c r="O533" s="334">
        <v>207522</v>
      </c>
      <c r="P533" s="25" t="s">
        <v>298</v>
      </c>
      <c r="Q533" s="127" t="s">
        <v>183</v>
      </c>
      <c r="R533" s="232" t="s">
        <v>2277</v>
      </c>
      <c r="S533" s="89">
        <v>43521</v>
      </c>
      <c r="T533" s="36">
        <v>90</v>
      </c>
      <c r="U533" s="125" t="s">
        <v>118</v>
      </c>
      <c r="V533" s="147" t="s">
        <v>2278</v>
      </c>
      <c r="W533" s="129"/>
      <c r="X533" s="88">
        <v>43644</v>
      </c>
      <c r="Y533" s="130" t="s">
        <v>20</v>
      </c>
      <c r="Z533" s="133" t="s">
        <v>60</v>
      </c>
      <c r="AA533" s="133"/>
      <c r="AB533" s="148">
        <v>111.9</v>
      </c>
      <c r="AC533" s="134">
        <v>225</v>
      </c>
      <c r="AD533" s="134"/>
      <c r="AE533" s="403">
        <f t="shared" si="27"/>
        <v>25177.5</v>
      </c>
      <c r="AF533" s="132">
        <v>4</v>
      </c>
      <c r="AG533" s="130" t="s">
        <v>5</v>
      </c>
      <c r="AH533" s="130"/>
      <c r="AI533" s="130" t="s">
        <v>100</v>
      </c>
      <c r="AJ533" s="130"/>
      <c r="AK533" s="130"/>
      <c r="AL533" s="135" t="s">
        <v>2184</v>
      </c>
      <c r="AM533" s="314"/>
      <c r="AN533" s="26"/>
      <c r="AO533" s="26"/>
      <c r="AP533" s="26"/>
      <c r="AQ533" s="26">
        <v>43573</v>
      </c>
      <c r="AR533" s="24"/>
      <c r="AS533" s="24"/>
      <c r="AT533" s="24">
        <v>43577</v>
      </c>
      <c r="AU533" s="418">
        <f t="shared" si="28"/>
        <v>4</v>
      </c>
      <c r="AV533" s="418">
        <f t="shared" si="29"/>
        <v>2019</v>
      </c>
      <c r="AW533" s="24"/>
      <c r="AX533" s="28"/>
      <c r="AY533" s="28" t="s">
        <v>8</v>
      </c>
      <c r="AZ533" s="132" t="s">
        <v>37</v>
      </c>
      <c r="BA533" s="132"/>
      <c r="BB533" s="24"/>
      <c r="BC533" s="135" t="s">
        <v>2279</v>
      </c>
      <c r="BD533" s="24">
        <v>43553</v>
      </c>
      <c r="BE533" s="135" t="s">
        <v>804</v>
      </c>
      <c r="BF533" s="135" t="s">
        <v>804</v>
      </c>
      <c r="BG533" s="135" t="s">
        <v>29</v>
      </c>
      <c r="BH533" s="135"/>
      <c r="BI533" s="314"/>
      <c r="BJ533" s="314"/>
      <c r="BK533" s="24"/>
      <c r="BL533" s="24"/>
      <c r="BM533" s="24"/>
      <c r="BN533" s="24"/>
      <c r="BO533" s="24">
        <f>+AQ533+14</f>
        <v>43587</v>
      </c>
      <c r="BP533" s="24"/>
      <c r="BQ533" s="24"/>
      <c r="BR533" s="43"/>
      <c r="BS533" s="24"/>
      <c r="BT533" s="24"/>
      <c r="BU533" s="24"/>
      <c r="BV533" s="132" t="e">
        <f>IF(#REF!="COMPLETO","OK","PENDIENTES")</f>
        <v>#REF!</v>
      </c>
      <c r="BW533" s="132"/>
      <c r="BX533" s="132"/>
      <c r="BY533" s="132"/>
      <c r="BZ533" s="132"/>
      <c r="CA533" s="132"/>
      <c r="CB533" s="132"/>
      <c r="CC533" s="22"/>
      <c r="CG533" s="24" t="s">
        <v>105</v>
      </c>
      <c r="CH533" s="24"/>
      <c r="CI533" s="24"/>
      <c r="CJ533" s="24"/>
    </row>
    <row r="534" spans="1:88" ht="14.25" customHeight="1">
      <c r="A534" s="18">
        <v>2019</v>
      </c>
      <c r="B534" s="18" t="str">
        <f>+INDEX(BDD!F:F,MATCH(P534,BDD!D:D,0))&amp;"-"&amp;INDEX(BDD!E:E,MATCH(P534,BDD!D:D,0))</f>
        <v>E-S</v>
      </c>
      <c r="C534" s="125" t="s">
        <v>484</v>
      </c>
      <c r="D534" s="150" t="s">
        <v>77</v>
      </c>
      <c r="E534" s="132"/>
      <c r="F534" s="24"/>
      <c r="G534" s="346">
        <v>8000000400</v>
      </c>
      <c r="H534" s="125" t="s">
        <v>2280</v>
      </c>
      <c r="I534" s="329"/>
      <c r="J534" s="346">
        <v>8000000400</v>
      </c>
      <c r="K534" s="24"/>
      <c r="L534" s="24"/>
      <c r="M534" s="24"/>
      <c r="N534" s="340" t="s">
        <v>486</v>
      </c>
      <c r="O534" s="334">
        <v>207522</v>
      </c>
      <c r="P534" s="25" t="s">
        <v>298</v>
      </c>
      <c r="Q534" s="127" t="s">
        <v>183</v>
      </c>
      <c r="R534" s="232" t="s">
        <v>2277</v>
      </c>
      <c r="S534" s="89">
        <v>43521</v>
      </c>
      <c r="T534" s="36">
        <v>90</v>
      </c>
      <c r="U534" s="125" t="s">
        <v>118</v>
      </c>
      <c r="V534" s="147" t="s">
        <v>2281</v>
      </c>
      <c r="W534" s="129"/>
      <c r="X534" s="88">
        <v>43644</v>
      </c>
      <c r="Y534" s="130" t="s">
        <v>20</v>
      </c>
      <c r="Z534" s="133" t="s">
        <v>60</v>
      </c>
      <c r="AA534" s="133"/>
      <c r="AB534" s="148">
        <v>167.8</v>
      </c>
      <c r="AC534" s="134">
        <v>225</v>
      </c>
      <c r="AD534" s="134"/>
      <c r="AE534" s="403">
        <f t="shared" si="27"/>
        <v>37755</v>
      </c>
      <c r="AF534" s="132">
        <v>6</v>
      </c>
      <c r="AG534" s="130" t="s">
        <v>5</v>
      </c>
      <c r="AH534" s="130"/>
      <c r="AI534" s="130" t="s">
        <v>100</v>
      </c>
      <c r="AJ534" s="130"/>
      <c r="AK534" s="130"/>
      <c r="AL534" s="135" t="s">
        <v>2184</v>
      </c>
      <c r="AM534" s="314"/>
      <c r="AN534" s="26"/>
      <c r="AO534" s="26"/>
      <c r="AP534" s="26"/>
      <c r="AQ534" s="26">
        <v>43577</v>
      </c>
      <c r="AR534" s="24"/>
      <c r="AS534" s="24"/>
      <c r="AT534" s="24">
        <v>43579</v>
      </c>
      <c r="AU534" s="418">
        <f t="shared" si="28"/>
        <v>4</v>
      </c>
      <c r="AV534" s="418">
        <f t="shared" si="29"/>
        <v>2019</v>
      </c>
      <c r="AW534" s="24"/>
      <c r="AX534" s="28"/>
      <c r="AY534" s="28" t="s">
        <v>8</v>
      </c>
      <c r="AZ534" s="132" t="s">
        <v>9</v>
      </c>
      <c r="BA534" s="132"/>
      <c r="BB534" s="24"/>
      <c r="BC534" s="135" t="s">
        <v>2282</v>
      </c>
      <c r="BD534" s="24">
        <v>43553</v>
      </c>
      <c r="BE534" s="135" t="s">
        <v>804</v>
      </c>
      <c r="BF534" s="135" t="s">
        <v>932</v>
      </c>
      <c r="BG534" s="135" t="s">
        <v>29</v>
      </c>
      <c r="BH534" s="135"/>
      <c r="BI534" s="314"/>
      <c r="BJ534" s="314"/>
      <c r="BK534" s="24"/>
      <c r="BL534" s="24"/>
      <c r="BM534" s="24"/>
      <c r="BN534" s="24"/>
      <c r="BO534" s="24">
        <v>43590</v>
      </c>
      <c r="BP534" s="24"/>
      <c r="BQ534" s="24"/>
      <c r="BR534" s="43"/>
      <c r="BS534" s="24"/>
      <c r="BT534" s="24"/>
      <c r="BU534" s="24"/>
      <c r="BV534" s="132" t="e">
        <f>IF(#REF!="COMPLETO","OK","PENDIENTES")</f>
        <v>#REF!</v>
      </c>
      <c r="BW534" s="132"/>
      <c r="BX534" s="132"/>
      <c r="BY534" s="132"/>
      <c r="BZ534" s="132"/>
      <c r="CA534" s="132"/>
      <c r="CB534" s="132"/>
      <c r="CC534" s="22"/>
      <c r="CG534" s="24" t="s">
        <v>105</v>
      </c>
      <c r="CH534" s="24"/>
      <c r="CI534" s="24"/>
      <c r="CJ534" s="24"/>
    </row>
    <row r="535" spans="1:88" ht="15" customHeight="1">
      <c r="A535" s="18">
        <v>2019</v>
      </c>
      <c r="B535" s="18" t="str">
        <f>+INDEX(BDD!F:F,MATCH(P535,BDD!D:D,0))&amp;"-"&amp;INDEX(BDD!E:E,MATCH(P535,BDD!D:D,0))</f>
        <v>E-S</v>
      </c>
      <c r="C535" s="125" t="s">
        <v>484</v>
      </c>
      <c r="D535" s="150" t="s">
        <v>77</v>
      </c>
      <c r="E535" s="132"/>
      <c r="F535" s="24"/>
      <c r="G535" s="346">
        <v>8000000415</v>
      </c>
      <c r="H535" s="125" t="s">
        <v>2283</v>
      </c>
      <c r="I535" s="329"/>
      <c r="J535" s="346">
        <v>8000000415</v>
      </c>
      <c r="K535" s="24"/>
      <c r="L535" s="24"/>
      <c r="M535" s="24"/>
      <c r="N535" s="340" t="s">
        <v>486</v>
      </c>
      <c r="O535" s="334">
        <v>207522</v>
      </c>
      <c r="P535" s="25" t="s">
        <v>298</v>
      </c>
      <c r="Q535" s="127" t="s">
        <v>183</v>
      </c>
      <c r="R535" s="232" t="s">
        <v>2277</v>
      </c>
      <c r="S535" s="89">
        <v>43521</v>
      </c>
      <c r="T535" s="36">
        <v>90</v>
      </c>
      <c r="U535" s="125" t="s">
        <v>118</v>
      </c>
      <c r="V535" s="147" t="s">
        <v>2284</v>
      </c>
      <c r="W535" s="129"/>
      <c r="X535" s="88">
        <f>+BD535+T535</f>
        <v>43657</v>
      </c>
      <c r="Y535" s="130" t="s">
        <v>20</v>
      </c>
      <c r="Z535" s="133" t="s">
        <v>60</v>
      </c>
      <c r="AA535" s="133"/>
      <c r="AB535" s="148">
        <v>111.9</v>
      </c>
      <c r="AC535" s="134">
        <v>225</v>
      </c>
      <c r="AD535" s="134"/>
      <c r="AE535" s="403">
        <f t="shared" si="27"/>
        <v>25177.5</v>
      </c>
      <c r="AF535" s="132">
        <v>4</v>
      </c>
      <c r="AG535" s="130" t="s">
        <v>5</v>
      </c>
      <c r="AH535" s="130"/>
      <c r="AI535" s="130" t="s">
        <v>100</v>
      </c>
      <c r="AJ535" s="130"/>
      <c r="AK535" s="130"/>
      <c r="AL535" s="135" t="s">
        <v>2285</v>
      </c>
      <c r="AM535" s="314"/>
      <c r="AN535" s="26"/>
      <c r="AO535" s="26"/>
      <c r="AP535" s="26"/>
      <c r="AQ535" s="26">
        <v>43588</v>
      </c>
      <c r="AR535" s="24"/>
      <c r="AS535" s="24"/>
      <c r="AT535" s="24">
        <v>43589</v>
      </c>
      <c r="AU535" s="418">
        <f t="shared" si="28"/>
        <v>5</v>
      </c>
      <c r="AV535" s="418">
        <f t="shared" si="29"/>
        <v>2019</v>
      </c>
      <c r="AW535" s="24"/>
      <c r="AX535" s="28"/>
      <c r="AY535" s="28" t="s">
        <v>8</v>
      </c>
      <c r="AZ535" s="132" t="s">
        <v>37</v>
      </c>
      <c r="BA535" s="132"/>
      <c r="BB535" s="24"/>
      <c r="BC535" s="135" t="s">
        <v>2286</v>
      </c>
      <c r="BD535" s="24">
        <v>43567</v>
      </c>
      <c r="BE535" s="135" t="s">
        <v>756</v>
      </c>
      <c r="BF535" s="135" t="s">
        <v>756</v>
      </c>
      <c r="BG535" s="135" t="s">
        <v>29</v>
      </c>
      <c r="BH535" s="135"/>
      <c r="BI535" s="314"/>
      <c r="BJ535" s="314"/>
      <c r="BK535" s="24"/>
      <c r="BL535" s="24"/>
      <c r="BM535" s="24"/>
      <c r="BN535" s="24"/>
      <c r="BO535" s="24">
        <f>+AQ535+14</f>
        <v>43602</v>
      </c>
      <c r="BP535" s="24"/>
      <c r="BQ535" s="24"/>
      <c r="BR535" s="43"/>
      <c r="BS535" s="24"/>
      <c r="BT535" s="24"/>
      <c r="BU535" s="24"/>
      <c r="BV535" s="132" t="e">
        <f>IF(#REF!="COMPLETO","OK","PENDIENTES")</f>
        <v>#REF!</v>
      </c>
      <c r="BW535" s="132"/>
      <c r="BX535" s="132"/>
      <c r="BY535" s="132"/>
      <c r="BZ535" s="132"/>
      <c r="CA535" s="132"/>
      <c r="CB535" s="132"/>
      <c r="CC535" s="22"/>
      <c r="CG535" s="24" t="s">
        <v>105</v>
      </c>
      <c r="CH535" s="24"/>
      <c r="CI535" s="24"/>
      <c r="CJ535" s="24"/>
    </row>
    <row r="536" spans="1:88" ht="15" customHeight="1">
      <c r="A536" s="18">
        <v>2019</v>
      </c>
      <c r="B536" s="18" t="str">
        <f>+INDEX(BDD!F:F,MATCH(P536,BDD!D:D,0))&amp;"-"&amp;INDEX(BDD!E:E,MATCH(P536,BDD!D:D,0))</f>
        <v>E-S</v>
      </c>
      <c r="C536" s="125" t="s">
        <v>484</v>
      </c>
      <c r="D536" s="150" t="s">
        <v>77</v>
      </c>
      <c r="E536" s="132"/>
      <c r="F536" s="24"/>
      <c r="G536" s="346">
        <v>8000000418</v>
      </c>
      <c r="H536" s="125" t="s">
        <v>2287</v>
      </c>
      <c r="I536" s="329"/>
      <c r="J536" s="346">
        <v>8000000418</v>
      </c>
      <c r="K536" s="24"/>
      <c r="L536" s="24"/>
      <c r="M536" s="24"/>
      <c r="N536" s="340" t="s">
        <v>486</v>
      </c>
      <c r="O536" s="334">
        <v>207522</v>
      </c>
      <c r="P536" s="25" t="s">
        <v>298</v>
      </c>
      <c r="Q536" s="127" t="s">
        <v>183</v>
      </c>
      <c r="R536" s="232" t="s">
        <v>2277</v>
      </c>
      <c r="S536" s="89">
        <v>43521</v>
      </c>
      <c r="T536" s="36">
        <v>90</v>
      </c>
      <c r="U536" s="125" t="s">
        <v>118</v>
      </c>
      <c r="V536" s="147" t="s">
        <v>2288</v>
      </c>
      <c r="W536" s="129"/>
      <c r="X536" s="88">
        <f>+BD536+T536</f>
        <v>43657</v>
      </c>
      <c r="Y536" s="130" t="s">
        <v>20</v>
      </c>
      <c r="Z536" s="133" t="s">
        <v>60</v>
      </c>
      <c r="AA536" s="133"/>
      <c r="AB536" s="148">
        <v>139.88</v>
      </c>
      <c r="AC536" s="134">
        <v>225</v>
      </c>
      <c r="AD536" s="134"/>
      <c r="AE536" s="403">
        <f t="shared" si="27"/>
        <v>31473</v>
      </c>
      <c r="AF536" s="132">
        <v>5</v>
      </c>
      <c r="AG536" s="130" t="s">
        <v>5</v>
      </c>
      <c r="AH536" s="130"/>
      <c r="AI536" s="130" t="s">
        <v>100</v>
      </c>
      <c r="AJ536" s="130"/>
      <c r="AK536" s="130"/>
      <c r="AL536" s="135" t="s">
        <v>2285</v>
      </c>
      <c r="AM536" s="314"/>
      <c r="AN536" s="26"/>
      <c r="AO536" s="26"/>
      <c r="AP536" s="26"/>
      <c r="AQ536" s="26">
        <v>43591</v>
      </c>
      <c r="AR536" s="24"/>
      <c r="AS536" s="24"/>
      <c r="AT536" s="24">
        <v>43593</v>
      </c>
      <c r="AU536" s="418">
        <f t="shared" si="28"/>
        <v>5</v>
      </c>
      <c r="AV536" s="418">
        <f t="shared" si="29"/>
        <v>2019</v>
      </c>
      <c r="AW536" s="24"/>
      <c r="AX536" s="28"/>
      <c r="AY536" s="28" t="s">
        <v>8</v>
      </c>
      <c r="AZ536" s="132" t="s">
        <v>9</v>
      </c>
      <c r="BA536" s="132"/>
      <c r="BB536" s="24"/>
      <c r="BC536" s="135" t="s">
        <v>2289</v>
      </c>
      <c r="BD536" s="24">
        <v>43567</v>
      </c>
      <c r="BE536" s="135" t="s">
        <v>756</v>
      </c>
      <c r="BF536" s="135" t="s">
        <v>932</v>
      </c>
      <c r="BG536" s="135" t="s">
        <v>29</v>
      </c>
      <c r="BH536" s="135"/>
      <c r="BI536" s="314"/>
      <c r="BJ536" s="314"/>
      <c r="BK536" s="24"/>
      <c r="BL536" s="24"/>
      <c r="BM536" s="24"/>
      <c r="BN536" s="24"/>
      <c r="BO536" s="24">
        <v>43604</v>
      </c>
      <c r="BP536" s="24"/>
      <c r="BQ536" s="24"/>
      <c r="BR536" s="43"/>
      <c r="BS536" s="24"/>
      <c r="BT536" s="24"/>
      <c r="BU536" s="24"/>
      <c r="BV536" s="132" t="e">
        <f>IF(#REF!="COMPLETO","OK","PENDIENTES")</f>
        <v>#REF!</v>
      </c>
      <c r="BW536" s="132"/>
      <c r="BX536" s="132"/>
      <c r="BY536" s="132"/>
      <c r="BZ536" s="132"/>
      <c r="CA536" s="132"/>
      <c r="CB536" s="132"/>
      <c r="CC536" s="22"/>
      <c r="CG536" s="24" t="s">
        <v>105</v>
      </c>
      <c r="CH536" s="24"/>
      <c r="CI536" s="24"/>
      <c r="CJ536" s="24"/>
    </row>
    <row r="537" spans="1:88" ht="15" customHeight="1">
      <c r="A537" s="18">
        <v>2019</v>
      </c>
      <c r="B537" s="18" t="str">
        <f>+INDEX(BDD!F:F,MATCH(P537,BDD!D:D,0))&amp;"-"&amp;INDEX(BDD!E:E,MATCH(P537,BDD!D:D,0))</f>
        <v>E-S</v>
      </c>
      <c r="C537" s="125" t="s">
        <v>484</v>
      </c>
      <c r="D537" s="150" t="s">
        <v>77</v>
      </c>
      <c r="E537" s="132"/>
      <c r="F537" s="24"/>
      <c r="G537" s="346">
        <v>8000000419</v>
      </c>
      <c r="H537" s="125" t="s">
        <v>2290</v>
      </c>
      <c r="I537" s="329"/>
      <c r="J537" s="346">
        <v>8000000419</v>
      </c>
      <c r="K537" s="24"/>
      <c r="L537" s="24"/>
      <c r="M537" s="24"/>
      <c r="N537" s="340" t="s">
        <v>486</v>
      </c>
      <c r="O537" s="334">
        <v>207522</v>
      </c>
      <c r="P537" s="25" t="s">
        <v>298</v>
      </c>
      <c r="Q537" s="127" t="s">
        <v>183</v>
      </c>
      <c r="R537" s="232" t="s">
        <v>2277</v>
      </c>
      <c r="S537" s="89">
        <v>43521</v>
      </c>
      <c r="T537" s="36">
        <v>90</v>
      </c>
      <c r="U537" s="125" t="s">
        <v>118</v>
      </c>
      <c r="V537" s="147" t="s">
        <v>2291</v>
      </c>
      <c r="W537" s="129"/>
      <c r="X537" s="88">
        <v>43703</v>
      </c>
      <c r="Y537" s="130" t="s">
        <v>20</v>
      </c>
      <c r="Z537" s="133" t="s">
        <v>60</v>
      </c>
      <c r="AA537" s="133"/>
      <c r="AB537" s="148">
        <v>139.72</v>
      </c>
      <c r="AC537" s="134">
        <v>225</v>
      </c>
      <c r="AD537" s="134"/>
      <c r="AE537" s="403">
        <f t="shared" si="27"/>
        <v>31437</v>
      </c>
      <c r="AF537" s="132">
        <v>5</v>
      </c>
      <c r="AG537" s="130" t="s">
        <v>5</v>
      </c>
      <c r="AH537" s="130"/>
      <c r="AI537" s="130" t="s">
        <v>100</v>
      </c>
      <c r="AJ537" s="130"/>
      <c r="AK537" s="130"/>
      <c r="AL537" s="135" t="s">
        <v>2292</v>
      </c>
      <c r="AM537" s="314"/>
      <c r="AN537" s="26"/>
      <c r="AO537" s="26"/>
      <c r="AP537" s="26"/>
      <c r="AQ537" s="26">
        <v>43630</v>
      </c>
      <c r="AR537" s="24"/>
      <c r="AS537" s="24"/>
      <c r="AT537" s="26">
        <v>43633</v>
      </c>
      <c r="AU537" s="418">
        <f t="shared" si="28"/>
        <v>6</v>
      </c>
      <c r="AV537" s="418">
        <f t="shared" si="29"/>
        <v>2019</v>
      </c>
      <c r="AW537" s="26"/>
      <c r="AX537" s="28"/>
      <c r="AY537" s="28" t="s">
        <v>8</v>
      </c>
      <c r="AZ537" s="132" t="s">
        <v>37</v>
      </c>
      <c r="BA537" s="132"/>
      <c r="BB537" s="26"/>
      <c r="BC537" s="135" t="s">
        <v>2293</v>
      </c>
      <c r="BD537" s="24">
        <v>43608</v>
      </c>
      <c r="BE537" s="135" t="s">
        <v>797</v>
      </c>
      <c r="BF537" s="135" t="s">
        <v>797</v>
      </c>
      <c r="BG537" s="135" t="s">
        <v>29</v>
      </c>
      <c r="BH537" s="135"/>
      <c r="BI537" s="314"/>
      <c r="BJ537" s="314"/>
      <c r="BK537" s="24"/>
      <c r="BL537" s="24"/>
      <c r="BM537" s="24"/>
      <c r="BN537" s="24"/>
      <c r="BO537" s="24">
        <f>+AQ537+14</f>
        <v>43644</v>
      </c>
      <c r="BP537" s="24"/>
      <c r="BQ537" s="24"/>
      <c r="BR537" s="43"/>
      <c r="BS537" s="24"/>
      <c r="BT537" s="24"/>
      <c r="BU537" s="24"/>
      <c r="BV537" s="132" t="e">
        <f>IF(#REF!="COMPLETO","OK","PENDIENTES")</f>
        <v>#REF!</v>
      </c>
      <c r="BW537" s="132"/>
      <c r="BX537" s="132"/>
      <c r="BY537" s="132"/>
      <c r="BZ537" s="132"/>
      <c r="CA537" s="132"/>
      <c r="CB537" s="132"/>
      <c r="CC537" s="22"/>
      <c r="CG537" s="24" t="s">
        <v>105</v>
      </c>
      <c r="CH537" s="24"/>
      <c r="CI537" s="26"/>
      <c r="CJ537" s="26"/>
    </row>
    <row r="538" spans="1:88" ht="15" customHeight="1">
      <c r="A538" s="18">
        <v>2019</v>
      </c>
      <c r="B538" s="18" t="str">
        <f>+INDEX(BDD!F:F,MATCH(P538,BDD!D:D,0))&amp;"-"&amp;INDEX(BDD!E:E,MATCH(P538,BDD!D:D,0))</f>
        <v>E-S</v>
      </c>
      <c r="C538" s="125" t="s">
        <v>484</v>
      </c>
      <c r="D538" s="150" t="s">
        <v>77</v>
      </c>
      <c r="E538" s="132"/>
      <c r="F538" s="24"/>
      <c r="G538" s="346">
        <v>8000000420</v>
      </c>
      <c r="H538" s="125" t="s">
        <v>2294</v>
      </c>
      <c r="I538" s="329"/>
      <c r="J538" s="346">
        <v>8000000420</v>
      </c>
      <c r="K538" s="24"/>
      <c r="L538" s="24"/>
      <c r="M538" s="24"/>
      <c r="N538" s="340" t="s">
        <v>486</v>
      </c>
      <c r="O538" s="334">
        <v>207522</v>
      </c>
      <c r="P538" s="25" t="s">
        <v>298</v>
      </c>
      <c r="Q538" s="127" t="s">
        <v>183</v>
      </c>
      <c r="R538" s="232" t="s">
        <v>2277</v>
      </c>
      <c r="S538" s="89">
        <v>43521</v>
      </c>
      <c r="T538" s="36">
        <v>90</v>
      </c>
      <c r="U538" s="125" t="s">
        <v>118</v>
      </c>
      <c r="V538" s="147" t="s">
        <v>2295</v>
      </c>
      <c r="W538" s="129"/>
      <c r="X538" s="88">
        <v>43703</v>
      </c>
      <c r="Y538" s="130" t="s">
        <v>20</v>
      </c>
      <c r="Z538" s="133" t="s">
        <v>60</v>
      </c>
      <c r="AA538" s="133"/>
      <c r="AB538" s="148">
        <v>139.74</v>
      </c>
      <c r="AC538" s="134">
        <v>225</v>
      </c>
      <c r="AD538" s="134"/>
      <c r="AE538" s="403">
        <f t="shared" si="27"/>
        <v>31441.500000000004</v>
      </c>
      <c r="AF538" s="132">
        <v>5</v>
      </c>
      <c r="AG538" s="130" t="s">
        <v>5</v>
      </c>
      <c r="AH538" s="130"/>
      <c r="AI538" s="130" t="s">
        <v>100</v>
      </c>
      <c r="AJ538" s="130"/>
      <c r="AK538" s="130"/>
      <c r="AL538" s="135" t="s">
        <v>2292</v>
      </c>
      <c r="AM538" s="314"/>
      <c r="AN538" s="26"/>
      <c r="AO538" s="26"/>
      <c r="AP538" s="26"/>
      <c r="AQ538" s="26">
        <v>43633</v>
      </c>
      <c r="AR538" s="24"/>
      <c r="AS538" s="24"/>
      <c r="AT538" s="24">
        <v>43634</v>
      </c>
      <c r="AU538" s="418">
        <f t="shared" si="28"/>
        <v>6</v>
      </c>
      <c r="AV538" s="418">
        <f t="shared" si="29"/>
        <v>2019</v>
      </c>
      <c r="AW538" s="24"/>
      <c r="AX538" s="28"/>
      <c r="AY538" s="28" t="s">
        <v>8</v>
      </c>
      <c r="AZ538" s="132" t="s">
        <v>9</v>
      </c>
      <c r="BA538" s="132"/>
      <c r="BB538" s="24"/>
      <c r="BC538" s="135" t="s">
        <v>2296</v>
      </c>
      <c r="BD538" s="24">
        <v>43608</v>
      </c>
      <c r="BE538" s="135" t="s">
        <v>797</v>
      </c>
      <c r="BF538" s="135" t="s">
        <v>932</v>
      </c>
      <c r="BG538" s="135" t="s">
        <v>29</v>
      </c>
      <c r="BH538" s="135"/>
      <c r="BI538" s="314"/>
      <c r="BJ538" s="314"/>
      <c r="BK538" s="24"/>
      <c r="BL538" s="24"/>
      <c r="BM538" s="24"/>
      <c r="BN538" s="24"/>
      <c r="BO538" s="24">
        <f>+AQ538+14</f>
        <v>43647</v>
      </c>
      <c r="BP538" s="24"/>
      <c r="BQ538" s="24"/>
      <c r="BR538" s="43"/>
      <c r="BS538" s="24"/>
      <c r="BT538" s="24"/>
      <c r="BU538" s="24"/>
      <c r="BV538" s="132" t="e">
        <f>IF(#REF!="COMPLETO","OK","PENDIENTES")</f>
        <v>#REF!</v>
      </c>
      <c r="BW538" s="132"/>
      <c r="BX538" s="132"/>
      <c r="BY538" s="132"/>
      <c r="BZ538" s="132"/>
      <c r="CA538" s="132"/>
      <c r="CB538" s="132"/>
      <c r="CC538" s="22"/>
      <c r="CG538" s="24" t="s">
        <v>105</v>
      </c>
      <c r="CH538" s="24"/>
      <c r="CI538" s="24"/>
      <c r="CJ538" s="24"/>
    </row>
    <row r="539" spans="1:88" ht="14.25" customHeight="1">
      <c r="A539" s="18">
        <v>2019</v>
      </c>
      <c r="B539" s="18" t="str">
        <f>+INDEX(BDD!F:F,MATCH(P539,BDD!D:D,0))&amp;"-"&amp;INDEX(BDD!E:E,MATCH(P539,BDD!D:D,0))</f>
        <v>E-S</v>
      </c>
      <c r="C539" s="125" t="s">
        <v>484</v>
      </c>
      <c r="D539" s="150" t="s">
        <v>77</v>
      </c>
      <c r="E539" s="132"/>
      <c r="F539" s="24"/>
      <c r="G539" s="346">
        <v>8000000399</v>
      </c>
      <c r="H539" s="125" t="s">
        <v>2297</v>
      </c>
      <c r="I539" s="329"/>
      <c r="J539" s="346">
        <v>8000000399</v>
      </c>
      <c r="K539" s="24"/>
      <c r="L539" s="24"/>
      <c r="M539" s="24"/>
      <c r="N539" s="340" t="s">
        <v>486</v>
      </c>
      <c r="O539" s="334">
        <v>206613</v>
      </c>
      <c r="P539" s="25" t="s">
        <v>304</v>
      </c>
      <c r="Q539" s="127" t="s">
        <v>183</v>
      </c>
      <c r="R539" s="232" t="s">
        <v>2298</v>
      </c>
      <c r="S539" s="89">
        <v>43521</v>
      </c>
      <c r="T539" s="36">
        <v>90</v>
      </c>
      <c r="U539" s="125" t="s">
        <v>118</v>
      </c>
      <c r="V539" s="147" t="s">
        <v>2278</v>
      </c>
      <c r="W539" s="129"/>
      <c r="X539" s="88">
        <v>43644</v>
      </c>
      <c r="Y539" s="130" t="s">
        <v>20</v>
      </c>
      <c r="Z539" s="133" t="s">
        <v>60</v>
      </c>
      <c r="AA539" s="133"/>
      <c r="AB539" s="148">
        <v>55.86</v>
      </c>
      <c r="AC539" s="134">
        <v>275</v>
      </c>
      <c r="AD539" s="134"/>
      <c r="AE539" s="403">
        <f t="shared" si="27"/>
        <v>15361.5</v>
      </c>
      <c r="AF539" s="132">
        <v>2</v>
      </c>
      <c r="AG539" s="130" t="s">
        <v>5</v>
      </c>
      <c r="AH539" s="130"/>
      <c r="AI539" s="130" t="s">
        <v>100</v>
      </c>
      <c r="AJ539" s="130"/>
      <c r="AK539" s="130"/>
      <c r="AL539" s="135" t="s">
        <v>2184</v>
      </c>
      <c r="AM539" s="314"/>
      <c r="AN539" s="26"/>
      <c r="AO539" s="26"/>
      <c r="AP539" s="26"/>
      <c r="AQ539" s="26">
        <v>43573</v>
      </c>
      <c r="AR539" s="24"/>
      <c r="AS539" s="24"/>
      <c r="AT539" s="24">
        <v>43577</v>
      </c>
      <c r="AU539" s="418">
        <f t="shared" si="28"/>
        <v>4</v>
      </c>
      <c r="AV539" s="418">
        <f t="shared" si="29"/>
        <v>2019</v>
      </c>
      <c r="AW539" s="24"/>
      <c r="AX539" s="28"/>
      <c r="AY539" s="28" t="s">
        <v>8</v>
      </c>
      <c r="AZ539" s="132" t="s">
        <v>37</v>
      </c>
      <c r="BA539" s="132"/>
      <c r="BB539" s="24"/>
      <c r="BC539" s="135" t="s">
        <v>2279</v>
      </c>
      <c r="BD539" s="24">
        <v>43553</v>
      </c>
      <c r="BE539" s="135" t="s">
        <v>804</v>
      </c>
      <c r="BF539" s="135" t="s">
        <v>804</v>
      </c>
      <c r="BG539" s="135" t="s">
        <v>29</v>
      </c>
      <c r="BH539" s="135"/>
      <c r="BI539" s="314"/>
      <c r="BJ539" s="314"/>
      <c r="BK539" s="24"/>
      <c r="BL539" s="24"/>
      <c r="BM539" s="24"/>
      <c r="BN539" s="24"/>
      <c r="BO539" s="24">
        <f>+AQ539+14</f>
        <v>43587</v>
      </c>
      <c r="BP539" s="24"/>
      <c r="BQ539" s="24"/>
      <c r="BR539" s="43"/>
      <c r="BS539" s="24"/>
      <c r="BT539" s="24"/>
      <c r="BU539" s="24"/>
      <c r="BV539" s="132" t="e">
        <f>IF(#REF!="COMPLETO","OK","PENDIENTES")</f>
        <v>#REF!</v>
      </c>
      <c r="BW539" s="132"/>
      <c r="BX539" s="132"/>
      <c r="BY539" s="132"/>
      <c r="BZ539" s="132"/>
      <c r="CA539" s="132"/>
      <c r="CB539" s="132"/>
      <c r="CC539" s="22"/>
      <c r="CG539" s="24" t="s">
        <v>105</v>
      </c>
      <c r="CH539" s="24"/>
      <c r="CI539" s="24"/>
      <c r="CJ539" s="24"/>
    </row>
    <row r="540" spans="1:88" ht="15" customHeight="1">
      <c r="A540" s="18">
        <v>2019</v>
      </c>
      <c r="B540" s="18" t="str">
        <f>+INDEX(BDD!F:F,MATCH(P540,BDD!D:D,0))&amp;"-"&amp;INDEX(BDD!E:E,MATCH(P540,BDD!D:D,0))</f>
        <v>E-S</v>
      </c>
      <c r="C540" s="125" t="s">
        <v>484</v>
      </c>
      <c r="D540" s="150" t="s">
        <v>77</v>
      </c>
      <c r="E540" s="132"/>
      <c r="F540" s="24"/>
      <c r="G540" s="346">
        <v>8000000400</v>
      </c>
      <c r="H540" s="125" t="s">
        <v>2299</v>
      </c>
      <c r="I540" s="329"/>
      <c r="J540" s="346">
        <v>8000000400</v>
      </c>
      <c r="K540" s="24"/>
      <c r="L540" s="24"/>
      <c r="M540" s="24"/>
      <c r="N540" s="340" t="s">
        <v>486</v>
      </c>
      <c r="O540" s="334">
        <v>206613</v>
      </c>
      <c r="P540" s="25" t="s">
        <v>304</v>
      </c>
      <c r="Q540" s="127" t="s">
        <v>183</v>
      </c>
      <c r="R540" s="232" t="s">
        <v>2298</v>
      </c>
      <c r="S540" s="89">
        <v>43521</v>
      </c>
      <c r="T540" s="36">
        <v>90</v>
      </c>
      <c r="U540" s="125" t="s">
        <v>118</v>
      </c>
      <c r="V540" s="147" t="s">
        <v>2281</v>
      </c>
      <c r="W540" s="129"/>
      <c r="X540" s="88">
        <v>43644</v>
      </c>
      <c r="Y540" s="130" t="s">
        <v>20</v>
      </c>
      <c r="Z540" s="133" t="s">
        <v>60</v>
      </c>
      <c r="AA540" s="133"/>
      <c r="AB540" s="148">
        <v>55.88</v>
      </c>
      <c r="AC540" s="134">
        <v>275</v>
      </c>
      <c r="AD540" s="134"/>
      <c r="AE540" s="403">
        <f t="shared" si="27"/>
        <v>15367</v>
      </c>
      <c r="AF540" s="132">
        <v>2</v>
      </c>
      <c r="AG540" s="130" t="s">
        <v>5</v>
      </c>
      <c r="AH540" s="130"/>
      <c r="AI540" s="130" t="s">
        <v>100</v>
      </c>
      <c r="AJ540" s="130"/>
      <c r="AK540" s="130"/>
      <c r="AL540" s="135" t="s">
        <v>2184</v>
      </c>
      <c r="AM540" s="314"/>
      <c r="AN540" s="26"/>
      <c r="AO540" s="26"/>
      <c r="AP540" s="26"/>
      <c r="AQ540" s="26">
        <v>43577</v>
      </c>
      <c r="AR540" s="24"/>
      <c r="AS540" s="24"/>
      <c r="AT540" s="24">
        <v>43579</v>
      </c>
      <c r="AU540" s="418">
        <f t="shared" si="28"/>
        <v>4</v>
      </c>
      <c r="AV540" s="418">
        <f t="shared" si="29"/>
        <v>2019</v>
      </c>
      <c r="AW540" s="24"/>
      <c r="AX540" s="28"/>
      <c r="AY540" s="28" t="s">
        <v>8</v>
      </c>
      <c r="AZ540" s="132" t="s">
        <v>9</v>
      </c>
      <c r="BA540" s="132"/>
      <c r="BB540" s="24"/>
      <c r="BC540" s="135" t="s">
        <v>2282</v>
      </c>
      <c r="BD540" s="24">
        <v>43553</v>
      </c>
      <c r="BE540" s="135" t="s">
        <v>804</v>
      </c>
      <c r="BF540" s="135" t="s">
        <v>932</v>
      </c>
      <c r="BG540" s="135" t="s">
        <v>29</v>
      </c>
      <c r="BH540" s="135"/>
      <c r="BI540" s="314"/>
      <c r="BJ540" s="314"/>
      <c r="BK540" s="24"/>
      <c r="BL540" s="24"/>
      <c r="BM540" s="24"/>
      <c r="BN540" s="24"/>
      <c r="BO540" s="24">
        <v>43590</v>
      </c>
      <c r="BP540" s="24"/>
      <c r="BQ540" s="24"/>
      <c r="BR540" s="43"/>
      <c r="BS540" s="24"/>
      <c r="BT540" s="24"/>
      <c r="BU540" s="24"/>
      <c r="BV540" s="132" t="e">
        <f>IF(#REF!="COMPLETO","OK","PENDIENTES")</f>
        <v>#REF!</v>
      </c>
      <c r="BW540" s="132"/>
      <c r="BX540" s="132"/>
      <c r="BY540" s="132"/>
      <c r="BZ540" s="132"/>
      <c r="CA540" s="132"/>
      <c r="CB540" s="132"/>
      <c r="CC540" s="22"/>
      <c r="CG540" s="24" t="s">
        <v>105</v>
      </c>
      <c r="CH540" s="24"/>
      <c r="CI540" s="24"/>
      <c r="CJ540" s="24"/>
    </row>
    <row r="541" spans="1:88" ht="15" customHeight="1">
      <c r="A541" s="18">
        <v>2019</v>
      </c>
      <c r="B541" s="18" t="str">
        <f>+INDEX(BDD!F:F,MATCH(P541,BDD!D:D,0))&amp;"-"&amp;INDEX(BDD!E:E,MATCH(P541,BDD!D:D,0))</f>
        <v>E-S</v>
      </c>
      <c r="C541" s="125" t="s">
        <v>484</v>
      </c>
      <c r="D541" s="150" t="s">
        <v>77</v>
      </c>
      <c r="E541" s="132"/>
      <c r="F541" s="24"/>
      <c r="G541" s="346">
        <v>8000000389</v>
      </c>
      <c r="H541" s="125" t="s">
        <v>2300</v>
      </c>
      <c r="I541" s="329"/>
      <c r="J541" s="346">
        <v>8000000389</v>
      </c>
      <c r="K541" s="24"/>
      <c r="L541" s="24"/>
      <c r="M541" s="24"/>
      <c r="N541" s="340" t="s">
        <v>486</v>
      </c>
      <c r="O541" s="334">
        <v>205972</v>
      </c>
      <c r="P541" s="25" t="s">
        <v>91</v>
      </c>
      <c r="Q541" s="127" t="s">
        <v>219</v>
      </c>
      <c r="R541" s="232" t="s">
        <v>544</v>
      </c>
      <c r="S541" s="89"/>
      <c r="T541" s="188" t="s">
        <v>4</v>
      </c>
      <c r="U541" s="125"/>
      <c r="V541" s="147" t="s">
        <v>2301</v>
      </c>
      <c r="W541" s="129"/>
      <c r="X541" s="88">
        <v>43511</v>
      </c>
      <c r="Y541" s="130" t="s">
        <v>20</v>
      </c>
      <c r="Z541" s="133" t="s">
        <v>81</v>
      </c>
      <c r="AA541" s="133"/>
      <c r="AB541" s="148">
        <v>0.5</v>
      </c>
      <c r="AC541" s="134">
        <v>3933.5</v>
      </c>
      <c r="AD541" s="134"/>
      <c r="AE541" s="403">
        <f t="shared" si="27"/>
        <v>1966.75</v>
      </c>
      <c r="AF541" s="132">
        <v>1</v>
      </c>
      <c r="AG541" s="130" t="s">
        <v>21</v>
      </c>
      <c r="AH541" s="130"/>
      <c r="AI541" s="130" t="s">
        <v>22</v>
      </c>
      <c r="AJ541" s="130"/>
      <c r="AK541" s="130"/>
      <c r="AL541" s="135" t="s">
        <v>2125</v>
      </c>
      <c r="AM541" s="314"/>
      <c r="AN541" s="26"/>
      <c r="AO541" s="26"/>
      <c r="AP541" s="26"/>
      <c r="AQ541" s="26">
        <v>43551</v>
      </c>
      <c r="AR541" s="24"/>
      <c r="AS541" s="24"/>
      <c r="AT541" s="24">
        <v>43557</v>
      </c>
      <c r="AU541" s="418">
        <f t="shared" si="28"/>
        <v>4</v>
      </c>
      <c r="AV541" s="418">
        <f t="shared" si="29"/>
        <v>2019</v>
      </c>
      <c r="AW541" s="24"/>
      <c r="AX541" s="28"/>
      <c r="AY541" s="28" t="s">
        <v>102</v>
      </c>
      <c r="AZ541" s="132" t="s">
        <v>37</v>
      </c>
      <c r="BA541" s="132"/>
      <c r="BB541" s="24"/>
      <c r="BC541" s="135" t="s">
        <v>2302</v>
      </c>
      <c r="BD541" s="24">
        <v>43529</v>
      </c>
      <c r="BE541" s="135" t="s">
        <v>2303</v>
      </c>
      <c r="BF541" s="135" t="s">
        <v>2303</v>
      </c>
      <c r="BG541" s="135" t="s">
        <v>64</v>
      </c>
      <c r="BH541" s="135"/>
      <c r="BI541" s="314"/>
      <c r="BJ541" s="314"/>
      <c r="BK541" s="24"/>
      <c r="BL541" s="24"/>
      <c r="BM541" s="24"/>
      <c r="BN541" s="24"/>
      <c r="BO541" s="24"/>
      <c r="BP541" s="24"/>
      <c r="BQ541" s="24"/>
      <c r="BR541" s="43"/>
      <c r="BS541" s="24"/>
      <c r="BT541" s="24"/>
      <c r="BU541" s="24"/>
      <c r="BV541" s="132" t="e">
        <f>IF(#REF!="COMPLETO","OK","PENDIENTES")</f>
        <v>#REF!</v>
      </c>
      <c r="BW541" s="132"/>
      <c r="BX541" s="132"/>
      <c r="BY541" s="132"/>
      <c r="BZ541" s="132"/>
      <c r="CA541" s="132"/>
      <c r="CB541" s="132"/>
      <c r="CC541" s="22"/>
      <c r="CG541" s="24" t="s">
        <v>105</v>
      </c>
      <c r="CH541" s="24"/>
      <c r="CI541" s="24"/>
      <c r="CJ541" s="24"/>
    </row>
    <row r="542" spans="1:88" ht="15" customHeight="1">
      <c r="A542" s="18">
        <v>2019</v>
      </c>
      <c r="B542" s="18" t="str">
        <f>+INDEX(BDD!F:F,MATCH(P542,BDD!D:D,0))&amp;"-"&amp;INDEX(BDD!E:E,MATCH(P542,BDD!D:D,0))</f>
        <v>G-S</v>
      </c>
      <c r="C542" s="125" t="s">
        <v>484</v>
      </c>
      <c r="D542" s="150" t="s">
        <v>77</v>
      </c>
      <c r="E542" s="132"/>
      <c r="F542" s="24"/>
      <c r="G542" s="346">
        <v>8000000405</v>
      </c>
      <c r="H542" s="125" t="s">
        <v>2304</v>
      </c>
      <c r="I542" s="329"/>
      <c r="J542" s="346">
        <v>8000000405</v>
      </c>
      <c r="K542" s="24"/>
      <c r="L542" s="24"/>
      <c r="M542" s="24"/>
      <c r="N542" s="340" t="s">
        <v>486</v>
      </c>
      <c r="O542" s="334">
        <v>207951</v>
      </c>
      <c r="P542" s="25" t="s">
        <v>354</v>
      </c>
      <c r="Q542" s="127" t="s">
        <v>288</v>
      </c>
      <c r="R542" s="232" t="s">
        <v>2305</v>
      </c>
      <c r="S542" s="89">
        <v>43514</v>
      </c>
      <c r="T542" s="36" t="s">
        <v>19</v>
      </c>
      <c r="U542" s="125"/>
      <c r="V542" s="147" t="s">
        <v>2306</v>
      </c>
      <c r="W542" s="129"/>
      <c r="X542" s="88">
        <v>43565</v>
      </c>
      <c r="Y542" s="130" t="s">
        <v>20</v>
      </c>
      <c r="Z542" s="133" t="s">
        <v>60</v>
      </c>
      <c r="AA542" s="133"/>
      <c r="AB542" s="148">
        <v>1100</v>
      </c>
      <c r="AC542" s="134">
        <v>279</v>
      </c>
      <c r="AD542" s="134"/>
      <c r="AE542" s="403">
        <f t="shared" si="27"/>
        <v>306900</v>
      </c>
      <c r="AF542" s="132" t="s">
        <v>944</v>
      </c>
      <c r="AG542" s="130" t="s">
        <v>46</v>
      </c>
      <c r="AH542" s="130"/>
      <c r="AI542" s="130" t="s">
        <v>100</v>
      </c>
      <c r="AJ542" s="130"/>
      <c r="AK542" s="130"/>
      <c r="AL542" s="135" t="s">
        <v>2256</v>
      </c>
      <c r="AM542" s="314"/>
      <c r="AN542" s="26"/>
      <c r="AO542" s="26"/>
      <c r="AP542" s="26"/>
      <c r="AQ542" s="26">
        <v>43581</v>
      </c>
      <c r="AR542" s="24"/>
      <c r="AS542" s="24"/>
      <c r="AT542" s="24">
        <v>43582</v>
      </c>
      <c r="AU542" s="418">
        <f t="shared" si="28"/>
        <v>4</v>
      </c>
      <c r="AV542" s="418">
        <f t="shared" si="29"/>
        <v>2019</v>
      </c>
      <c r="AW542" s="24"/>
      <c r="AX542" s="28"/>
      <c r="AY542" s="28" t="s">
        <v>269</v>
      </c>
      <c r="AZ542" s="132" t="s">
        <v>9</v>
      </c>
      <c r="BA542" s="132"/>
      <c r="BB542" s="24"/>
      <c r="BC542" s="135">
        <v>23</v>
      </c>
      <c r="BD542" s="26">
        <v>43552</v>
      </c>
      <c r="BE542" s="135" t="s">
        <v>2307</v>
      </c>
      <c r="BF542" s="135" t="s">
        <v>2307</v>
      </c>
      <c r="BG542" s="135" t="s">
        <v>52</v>
      </c>
      <c r="BH542" s="135"/>
      <c r="BI542" s="314"/>
      <c r="BJ542" s="314"/>
      <c r="BK542" s="24"/>
      <c r="BL542" s="24"/>
      <c r="BM542" s="24"/>
      <c r="BN542" s="24"/>
      <c r="BO542" s="24"/>
      <c r="BP542" s="24"/>
      <c r="BQ542" s="24"/>
      <c r="BR542" s="43"/>
      <c r="BS542" s="24"/>
      <c r="BT542" s="24"/>
      <c r="BU542" s="24"/>
      <c r="BV542" s="132" t="e">
        <f>IF(#REF!="COMPLETO","OK","PENDIENTES")</f>
        <v>#REF!</v>
      </c>
      <c r="BW542" s="132"/>
      <c r="BX542" s="132"/>
      <c r="BY542" s="132"/>
      <c r="BZ542" s="132"/>
      <c r="CA542" s="132"/>
      <c r="CB542" s="132"/>
      <c r="CC542" s="22"/>
      <c r="CG542" s="24" t="s">
        <v>105</v>
      </c>
      <c r="CH542" s="24"/>
      <c r="CI542" s="24"/>
      <c r="CJ542" s="24"/>
    </row>
    <row r="543" spans="1:88" ht="15" customHeight="1">
      <c r="A543" s="18">
        <v>2019</v>
      </c>
      <c r="B543" s="18" t="str">
        <f>+INDEX(BDD!F:F,MATCH(P543,BDD!D:D,0))&amp;"-"&amp;INDEX(BDD!E:E,MATCH(P543,BDD!D:D,0))</f>
        <v>G-S</v>
      </c>
      <c r="C543" s="125" t="s">
        <v>484</v>
      </c>
      <c r="D543" s="150" t="s">
        <v>77</v>
      </c>
      <c r="E543" s="132"/>
      <c r="F543" s="24"/>
      <c r="G543" s="346">
        <v>8000000406</v>
      </c>
      <c r="H543" s="125" t="s">
        <v>2308</v>
      </c>
      <c r="I543" s="329"/>
      <c r="J543" s="346">
        <v>8000000406</v>
      </c>
      <c r="K543" s="24"/>
      <c r="L543" s="24"/>
      <c r="M543" s="24"/>
      <c r="N543" s="340" t="s">
        <v>486</v>
      </c>
      <c r="O543" s="334">
        <v>207951</v>
      </c>
      <c r="P543" s="25" t="s">
        <v>354</v>
      </c>
      <c r="Q543" s="127" t="s">
        <v>288</v>
      </c>
      <c r="R543" s="232" t="s">
        <v>2305</v>
      </c>
      <c r="S543" s="89">
        <v>43514</v>
      </c>
      <c r="T543" s="36" t="s">
        <v>19</v>
      </c>
      <c r="U543" s="125"/>
      <c r="V543" s="147" t="s">
        <v>2309</v>
      </c>
      <c r="W543" s="129"/>
      <c r="X543" s="88">
        <v>43565</v>
      </c>
      <c r="Y543" s="130" t="s">
        <v>20</v>
      </c>
      <c r="Z543" s="133" t="s">
        <v>60</v>
      </c>
      <c r="AA543" s="133"/>
      <c r="AB543" s="148">
        <v>1200</v>
      </c>
      <c r="AC543" s="134">
        <v>279</v>
      </c>
      <c r="AD543" s="134"/>
      <c r="AE543" s="403">
        <f t="shared" si="27"/>
        <v>334800</v>
      </c>
      <c r="AF543" s="132" t="s">
        <v>944</v>
      </c>
      <c r="AG543" s="130" t="s">
        <v>46</v>
      </c>
      <c r="AH543" s="130"/>
      <c r="AI543" s="130" t="s">
        <v>100</v>
      </c>
      <c r="AJ543" s="130"/>
      <c r="AK543" s="130"/>
      <c r="AL543" s="135" t="s">
        <v>2256</v>
      </c>
      <c r="AM543" s="314"/>
      <c r="AN543" s="26"/>
      <c r="AO543" s="26"/>
      <c r="AP543" s="26"/>
      <c r="AQ543" s="26">
        <f>+AQ542+2</f>
        <v>43583</v>
      </c>
      <c r="AR543" s="24"/>
      <c r="AS543" s="24"/>
      <c r="AT543" s="24">
        <v>43584</v>
      </c>
      <c r="AU543" s="418">
        <f t="shared" si="28"/>
        <v>4</v>
      </c>
      <c r="AV543" s="418">
        <f t="shared" si="29"/>
        <v>2019</v>
      </c>
      <c r="AW543" s="24"/>
      <c r="AX543" s="28"/>
      <c r="AY543" s="28" t="s">
        <v>269</v>
      </c>
      <c r="AZ543" s="132" t="s">
        <v>25</v>
      </c>
      <c r="BA543" s="132"/>
      <c r="BB543" s="24"/>
      <c r="BC543" s="135">
        <v>24</v>
      </c>
      <c r="BD543" s="26">
        <v>43552</v>
      </c>
      <c r="BE543" s="135" t="s">
        <v>2307</v>
      </c>
      <c r="BF543" s="135" t="s">
        <v>2307</v>
      </c>
      <c r="BG543" s="135" t="s">
        <v>52</v>
      </c>
      <c r="BH543" s="135"/>
      <c r="BI543" s="314"/>
      <c r="BJ543" s="314"/>
      <c r="BK543" s="24"/>
      <c r="BL543" s="24"/>
      <c r="BM543" s="24"/>
      <c r="BN543" s="24"/>
      <c r="BO543" s="24"/>
      <c r="BP543" s="24"/>
      <c r="BQ543" s="24"/>
      <c r="BR543" s="43"/>
      <c r="BS543" s="24"/>
      <c r="BT543" s="24"/>
      <c r="BU543" s="24"/>
      <c r="BV543" s="132" t="e">
        <f>IF(#REF!="COMPLETO","OK","PENDIENTES")</f>
        <v>#REF!</v>
      </c>
      <c r="BW543" s="132"/>
      <c r="BX543" s="132"/>
      <c r="BY543" s="132"/>
      <c r="BZ543" s="132"/>
      <c r="CA543" s="132"/>
      <c r="CB543" s="132"/>
      <c r="CC543" s="22"/>
      <c r="CG543" s="24" t="s">
        <v>105</v>
      </c>
      <c r="CH543" s="24"/>
      <c r="CI543" s="24"/>
      <c r="CJ543" s="24"/>
    </row>
    <row r="544" spans="1:88" ht="15" customHeight="1">
      <c r="A544" s="18">
        <v>2019</v>
      </c>
      <c r="B544" s="18" t="str">
        <f>+INDEX(BDD!F:F,MATCH(P544,BDD!D:D,0))&amp;"-"&amp;INDEX(BDD!E:E,MATCH(P544,BDD!D:D,0))</f>
        <v>G-S</v>
      </c>
      <c r="C544" s="125" t="s">
        <v>484</v>
      </c>
      <c r="D544" s="150" t="s">
        <v>77</v>
      </c>
      <c r="E544" s="132"/>
      <c r="F544" s="24"/>
      <c r="G544" s="346">
        <v>8000000407</v>
      </c>
      <c r="H544" s="125" t="s">
        <v>2310</v>
      </c>
      <c r="I544" s="329"/>
      <c r="J544" s="346">
        <v>8000000407</v>
      </c>
      <c r="K544" s="24"/>
      <c r="L544" s="24"/>
      <c r="M544" s="24"/>
      <c r="N544" s="340" t="s">
        <v>486</v>
      </c>
      <c r="O544" s="334">
        <v>207951</v>
      </c>
      <c r="P544" s="25" t="s">
        <v>354</v>
      </c>
      <c r="Q544" s="127" t="s">
        <v>288</v>
      </c>
      <c r="R544" s="232" t="s">
        <v>2305</v>
      </c>
      <c r="S544" s="89">
        <v>43514</v>
      </c>
      <c r="T544" s="36" t="s">
        <v>19</v>
      </c>
      <c r="U544" s="125"/>
      <c r="V544" s="147" t="s">
        <v>2311</v>
      </c>
      <c r="W544" s="129"/>
      <c r="X544" s="88">
        <v>43563</v>
      </c>
      <c r="Y544" s="130" t="s">
        <v>20</v>
      </c>
      <c r="Z544" s="133" t="s">
        <v>60</v>
      </c>
      <c r="AA544" s="133"/>
      <c r="AB544" s="148">
        <v>1800</v>
      </c>
      <c r="AC544" s="134">
        <v>279</v>
      </c>
      <c r="AD544" s="134"/>
      <c r="AE544" s="403">
        <f t="shared" si="27"/>
        <v>502200</v>
      </c>
      <c r="AF544" s="132" t="s">
        <v>944</v>
      </c>
      <c r="AG544" s="130" t="s">
        <v>46</v>
      </c>
      <c r="AH544" s="130"/>
      <c r="AI544" s="130" t="s">
        <v>100</v>
      </c>
      <c r="AJ544" s="130"/>
      <c r="AK544" s="130"/>
      <c r="AL544" s="135" t="s">
        <v>2256</v>
      </c>
      <c r="AM544" s="314"/>
      <c r="AN544" s="26"/>
      <c r="AO544" s="26"/>
      <c r="AP544" s="26"/>
      <c r="AQ544" s="26">
        <v>43586</v>
      </c>
      <c r="AR544" s="24"/>
      <c r="AS544" s="24"/>
      <c r="AT544" s="24">
        <v>43593</v>
      </c>
      <c r="AU544" s="418">
        <f t="shared" si="28"/>
        <v>5</v>
      </c>
      <c r="AV544" s="418">
        <f t="shared" si="29"/>
        <v>2019</v>
      </c>
      <c r="AW544" s="24"/>
      <c r="AX544" s="28"/>
      <c r="AY544" s="28" t="s">
        <v>269</v>
      </c>
      <c r="AZ544" s="132" t="s">
        <v>37</v>
      </c>
      <c r="BA544" s="132"/>
      <c r="BB544" s="24"/>
      <c r="BC544" s="135">
        <v>25</v>
      </c>
      <c r="BD544" s="26">
        <v>43552</v>
      </c>
      <c r="BE544" s="135" t="s">
        <v>2307</v>
      </c>
      <c r="BF544" s="135" t="s">
        <v>2307</v>
      </c>
      <c r="BG544" s="135" t="s">
        <v>52</v>
      </c>
      <c r="BH544" s="135"/>
      <c r="BI544" s="314"/>
      <c r="BJ544" s="314"/>
      <c r="BK544" s="24"/>
      <c r="BL544" s="24"/>
      <c r="BM544" s="24"/>
      <c r="BN544" s="24"/>
      <c r="BO544" s="24"/>
      <c r="BP544" s="24"/>
      <c r="BQ544" s="24"/>
      <c r="BR544" s="43"/>
      <c r="BS544" s="24"/>
      <c r="BT544" s="24"/>
      <c r="BU544" s="24"/>
      <c r="BV544" s="132" t="e">
        <f>IF(#REF!="COMPLETO","OK","PENDIENTES")</f>
        <v>#REF!</v>
      </c>
      <c r="BW544" s="132"/>
      <c r="BX544" s="132"/>
      <c r="BY544" s="132"/>
      <c r="BZ544" s="132"/>
      <c r="CA544" s="132"/>
      <c r="CB544" s="132"/>
      <c r="CC544" s="22"/>
      <c r="CG544" s="24" t="s">
        <v>105</v>
      </c>
      <c r="CH544" s="24"/>
      <c r="CI544" s="24"/>
      <c r="CJ544" s="24"/>
    </row>
    <row r="545" spans="1:88" ht="15" customHeight="1">
      <c r="A545" s="18">
        <v>2019</v>
      </c>
      <c r="B545" s="18" t="str">
        <f>+INDEX(BDD!F:F,MATCH(P545,BDD!D:D,0))&amp;"-"&amp;INDEX(BDD!E:E,MATCH(P545,BDD!D:D,0))</f>
        <v>G-S</v>
      </c>
      <c r="C545" s="125" t="s">
        <v>484</v>
      </c>
      <c r="D545" s="150" t="s">
        <v>77</v>
      </c>
      <c r="E545" s="132"/>
      <c r="F545" s="24"/>
      <c r="G545" s="346">
        <v>8000000408</v>
      </c>
      <c r="H545" s="125" t="s">
        <v>2312</v>
      </c>
      <c r="I545" s="329"/>
      <c r="J545" s="346">
        <v>8000000408</v>
      </c>
      <c r="K545" s="24"/>
      <c r="L545" s="24"/>
      <c r="M545" s="24"/>
      <c r="N545" s="340" t="s">
        <v>486</v>
      </c>
      <c r="O545" s="334">
        <v>207485</v>
      </c>
      <c r="P545" s="25" t="s">
        <v>353</v>
      </c>
      <c r="Q545" s="127" t="s">
        <v>288</v>
      </c>
      <c r="R545" s="232" t="s">
        <v>2305</v>
      </c>
      <c r="S545" s="89">
        <v>43514</v>
      </c>
      <c r="T545" s="36" t="s">
        <v>19</v>
      </c>
      <c r="U545" s="125"/>
      <c r="V545" s="147" t="s">
        <v>2313</v>
      </c>
      <c r="W545" s="129"/>
      <c r="X545" s="88">
        <v>43565</v>
      </c>
      <c r="Y545" s="130" t="s">
        <v>20</v>
      </c>
      <c r="Z545" s="133" t="s">
        <v>60</v>
      </c>
      <c r="AA545" s="133"/>
      <c r="AB545" s="148">
        <v>450</v>
      </c>
      <c r="AC545" s="134">
        <v>291</v>
      </c>
      <c r="AD545" s="134"/>
      <c r="AE545" s="403">
        <f t="shared" si="27"/>
        <v>130950</v>
      </c>
      <c r="AF545" s="132" t="s">
        <v>944</v>
      </c>
      <c r="AG545" s="130" t="s">
        <v>46</v>
      </c>
      <c r="AH545" s="130"/>
      <c r="AI545" s="130" t="s">
        <v>100</v>
      </c>
      <c r="AJ545" s="130"/>
      <c r="AK545" s="130"/>
      <c r="AL545" s="135" t="s">
        <v>2256</v>
      </c>
      <c r="AM545" s="314"/>
      <c r="AN545" s="26"/>
      <c r="AO545" s="26"/>
      <c r="AP545" s="26"/>
      <c r="AQ545" s="26">
        <v>43581</v>
      </c>
      <c r="AR545" s="24"/>
      <c r="AS545" s="24"/>
      <c r="AT545" s="24">
        <v>43582</v>
      </c>
      <c r="AU545" s="418">
        <f t="shared" si="28"/>
        <v>4</v>
      </c>
      <c r="AV545" s="418">
        <f t="shared" si="29"/>
        <v>2019</v>
      </c>
      <c r="AW545" s="24"/>
      <c r="AX545" s="28"/>
      <c r="AY545" s="28" t="s">
        <v>269</v>
      </c>
      <c r="AZ545" s="132" t="s">
        <v>9</v>
      </c>
      <c r="BA545" s="132"/>
      <c r="BB545" s="24"/>
      <c r="BC545" s="135">
        <v>26</v>
      </c>
      <c r="BD545" s="26">
        <v>43552</v>
      </c>
      <c r="BE545" s="135" t="s">
        <v>2307</v>
      </c>
      <c r="BF545" s="135" t="s">
        <v>2307</v>
      </c>
      <c r="BG545" s="135" t="s">
        <v>52</v>
      </c>
      <c r="BH545" s="135"/>
      <c r="BI545" s="314"/>
      <c r="BJ545" s="314"/>
      <c r="BK545" s="24"/>
      <c r="BL545" s="24"/>
      <c r="BM545" s="24"/>
      <c r="BN545" s="24"/>
      <c r="BO545" s="24"/>
      <c r="BP545" s="24"/>
      <c r="BQ545" s="24"/>
      <c r="BR545" s="43"/>
      <c r="BS545" s="24"/>
      <c r="BT545" s="24"/>
      <c r="BU545" s="24"/>
      <c r="BV545" s="132" t="e">
        <f>IF(#REF!="COMPLETO","OK","PENDIENTES")</f>
        <v>#REF!</v>
      </c>
      <c r="BW545" s="132"/>
      <c r="BX545" s="132"/>
      <c r="BY545" s="132"/>
      <c r="BZ545" s="132"/>
      <c r="CA545" s="132"/>
      <c r="CB545" s="132"/>
      <c r="CC545" s="22"/>
      <c r="CG545" s="24" t="s">
        <v>105</v>
      </c>
      <c r="CH545" s="24"/>
      <c r="CI545" s="24"/>
      <c r="CJ545" s="24"/>
    </row>
    <row r="546" spans="1:88" ht="15" customHeight="1">
      <c r="A546" s="18">
        <v>2019</v>
      </c>
      <c r="B546" s="18" t="str">
        <f>+INDEX(BDD!F:F,MATCH(P546,BDD!D:D,0))&amp;"-"&amp;INDEX(BDD!E:E,MATCH(P546,BDD!D:D,0))</f>
        <v>G-S</v>
      </c>
      <c r="C546" s="125" t="s">
        <v>484</v>
      </c>
      <c r="D546" s="150" t="s">
        <v>77</v>
      </c>
      <c r="E546" s="132"/>
      <c r="F546" s="24"/>
      <c r="G546" s="346">
        <v>8000000409</v>
      </c>
      <c r="H546" s="125" t="s">
        <v>2314</v>
      </c>
      <c r="I546" s="329"/>
      <c r="J546" s="346">
        <v>8000000409</v>
      </c>
      <c r="K546" s="24"/>
      <c r="L546" s="24"/>
      <c r="M546" s="24"/>
      <c r="N546" s="340" t="s">
        <v>486</v>
      </c>
      <c r="O546" s="334">
        <v>207485</v>
      </c>
      <c r="P546" s="25" t="s">
        <v>353</v>
      </c>
      <c r="Q546" s="127" t="s">
        <v>288</v>
      </c>
      <c r="R546" s="232" t="s">
        <v>2305</v>
      </c>
      <c r="S546" s="89">
        <v>43514</v>
      </c>
      <c r="T546" s="36" t="s">
        <v>19</v>
      </c>
      <c r="U546" s="125"/>
      <c r="V546" s="147" t="s">
        <v>2315</v>
      </c>
      <c r="W546" s="129"/>
      <c r="X546" s="88">
        <v>43565</v>
      </c>
      <c r="Y546" s="130" t="s">
        <v>20</v>
      </c>
      <c r="Z546" s="133" t="s">
        <v>60</v>
      </c>
      <c r="AA546" s="133"/>
      <c r="AB546" s="148">
        <v>700</v>
      </c>
      <c r="AC546" s="134">
        <v>291</v>
      </c>
      <c r="AD546" s="134"/>
      <c r="AE546" s="403">
        <f t="shared" si="27"/>
        <v>203700</v>
      </c>
      <c r="AF546" s="132" t="s">
        <v>944</v>
      </c>
      <c r="AG546" s="130" t="s">
        <v>46</v>
      </c>
      <c r="AH546" s="130"/>
      <c r="AI546" s="130" t="s">
        <v>100</v>
      </c>
      <c r="AJ546" s="130"/>
      <c r="AK546" s="130"/>
      <c r="AL546" s="135" t="s">
        <v>2256</v>
      </c>
      <c r="AM546" s="314"/>
      <c r="AN546" s="26"/>
      <c r="AO546" s="26"/>
      <c r="AP546" s="26"/>
      <c r="AQ546" s="26">
        <f>+AQ545+2</f>
        <v>43583</v>
      </c>
      <c r="AR546" s="24"/>
      <c r="AS546" s="24"/>
      <c r="AT546" s="24">
        <v>43584</v>
      </c>
      <c r="AU546" s="418">
        <f t="shared" si="28"/>
        <v>4</v>
      </c>
      <c r="AV546" s="418">
        <f t="shared" si="29"/>
        <v>2019</v>
      </c>
      <c r="AW546" s="24"/>
      <c r="AX546" s="28"/>
      <c r="AY546" s="28" t="s">
        <v>269</v>
      </c>
      <c r="AZ546" s="132" t="s">
        <v>25</v>
      </c>
      <c r="BA546" s="132"/>
      <c r="BB546" s="24"/>
      <c r="BC546" s="135">
        <v>27</v>
      </c>
      <c r="BD546" s="26">
        <v>43552</v>
      </c>
      <c r="BE546" s="135" t="s">
        <v>2307</v>
      </c>
      <c r="BF546" s="135" t="s">
        <v>2307</v>
      </c>
      <c r="BG546" s="135" t="s">
        <v>52</v>
      </c>
      <c r="BH546" s="135"/>
      <c r="BI546" s="314"/>
      <c r="BJ546" s="314"/>
      <c r="BK546" s="24"/>
      <c r="BL546" s="24"/>
      <c r="BM546" s="24"/>
      <c r="BN546" s="24"/>
      <c r="BO546" s="24"/>
      <c r="BP546" s="24"/>
      <c r="BQ546" s="24"/>
      <c r="BR546" s="43"/>
      <c r="BS546" s="24"/>
      <c r="BT546" s="24"/>
      <c r="BU546" s="24"/>
      <c r="BV546" s="132" t="e">
        <f>IF(#REF!="COMPLETO","OK","PENDIENTES")</f>
        <v>#REF!</v>
      </c>
      <c r="BW546" s="132"/>
      <c r="BX546" s="132"/>
      <c r="BY546" s="132"/>
      <c r="BZ546" s="132"/>
      <c r="CA546" s="132"/>
      <c r="CB546" s="132"/>
      <c r="CC546" s="22"/>
      <c r="CG546" s="24" t="s">
        <v>105</v>
      </c>
      <c r="CH546" s="24"/>
      <c r="CI546" s="24"/>
      <c r="CJ546" s="24"/>
    </row>
    <row r="547" spans="1:88" ht="15" customHeight="1">
      <c r="A547" s="18">
        <v>2019</v>
      </c>
      <c r="B547" s="18" t="str">
        <f>+INDEX(BDD!F:F,MATCH(P547,BDD!D:D,0))&amp;"-"&amp;INDEX(BDD!E:E,MATCH(P547,BDD!D:D,0))</f>
        <v>G-S</v>
      </c>
      <c r="C547" s="125" t="s">
        <v>484</v>
      </c>
      <c r="D547" s="150" t="s">
        <v>77</v>
      </c>
      <c r="E547" s="132"/>
      <c r="F547" s="24"/>
      <c r="G547" s="346">
        <v>8000000410</v>
      </c>
      <c r="H547" s="125" t="s">
        <v>2316</v>
      </c>
      <c r="I547" s="329"/>
      <c r="J547" s="346">
        <v>8000000410</v>
      </c>
      <c r="K547" s="24"/>
      <c r="L547" s="24"/>
      <c r="M547" s="24"/>
      <c r="N547" s="340" t="s">
        <v>486</v>
      </c>
      <c r="O547" s="334">
        <v>207485</v>
      </c>
      <c r="P547" s="25" t="s">
        <v>353</v>
      </c>
      <c r="Q547" s="127" t="s">
        <v>288</v>
      </c>
      <c r="R547" s="232" t="s">
        <v>2305</v>
      </c>
      <c r="S547" s="89">
        <v>43514</v>
      </c>
      <c r="T547" s="36" t="s">
        <v>19</v>
      </c>
      <c r="U547" s="125"/>
      <c r="V547" s="147" t="s">
        <v>2317</v>
      </c>
      <c r="W547" s="129"/>
      <c r="X547" s="88">
        <v>43563</v>
      </c>
      <c r="Y547" s="130" t="s">
        <v>20</v>
      </c>
      <c r="Z547" s="133" t="s">
        <v>60</v>
      </c>
      <c r="AA547" s="133"/>
      <c r="AB547" s="148">
        <v>2150</v>
      </c>
      <c r="AC547" s="134">
        <v>291</v>
      </c>
      <c r="AD547" s="134"/>
      <c r="AE547" s="403">
        <f t="shared" si="27"/>
        <v>625650</v>
      </c>
      <c r="AF547" s="132" t="s">
        <v>944</v>
      </c>
      <c r="AG547" s="130" t="s">
        <v>46</v>
      </c>
      <c r="AH547" s="130"/>
      <c r="AI547" s="130" t="s">
        <v>100</v>
      </c>
      <c r="AJ547" s="130"/>
      <c r="AK547" s="130"/>
      <c r="AL547" s="135" t="s">
        <v>2256</v>
      </c>
      <c r="AM547" s="314"/>
      <c r="AN547" s="26"/>
      <c r="AO547" s="26"/>
      <c r="AP547" s="26"/>
      <c r="AQ547" s="26">
        <v>43586</v>
      </c>
      <c r="AR547" s="24"/>
      <c r="AS547" s="24"/>
      <c r="AT547" s="24">
        <v>43593</v>
      </c>
      <c r="AU547" s="418">
        <f t="shared" si="28"/>
        <v>5</v>
      </c>
      <c r="AV547" s="418">
        <f t="shared" si="29"/>
        <v>2019</v>
      </c>
      <c r="AW547" s="24"/>
      <c r="AX547" s="28"/>
      <c r="AY547" s="28" t="s">
        <v>269</v>
      </c>
      <c r="AZ547" s="132" t="s">
        <v>37</v>
      </c>
      <c r="BA547" s="132"/>
      <c r="BB547" s="24"/>
      <c r="BC547" s="135">
        <v>28</v>
      </c>
      <c r="BD547" s="26">
        <v>43552</v>
      </c>
      <c r="BE547" s="135" t="s">
        <v>2307</v>
      </c>
      <c r="BF547" s="135" t="s">
        <v>2307</v>
      </c>
      <c r="BG547" s="135" t="s">
        <v>52</v>
      </c>
      <c r="BH547" s="135"/>
      <c r="BI547" s="314"/>
      <c r="BJ547" s="314"/>
      <c r="BK547" s="24"/>
      <c r="BL547" s="24"/>
      <c r="BM547" s="24"/>
      <c r="BN547" s="24"/>
      <c r="BO547" s="24"/>
      <c r="BP547" s="24"/>
      <c r="BQ547" s="24"/>
      <c r="BR547" s="43"/>
      <c r="BS547" s="24"/>
      <c r="BT547" s="24"/>
      <c r="BU547" s="24"/>
      <c r="BV547" s="132" t="e">
        <f>IF(#REF!="COMPLETO","OK","PENDIENTES")</f>
        <v>#REF!</v>
      </c>
      <c r="BW547" s="132"/>
      <c r="BX547" s="132"/>
      <c r="BY547" s="132"/>
      <c r="BZ547" s="132"/>
      <c r="CA547" s="132"/>
      <c r="CB547" s="132"/>
      <c r="CC547" s="22"/>
      <c r="CG547" s="24" t="s">
        <v>105</v>
      </c>
      <c r="CH547" s="24"/>
      <c r="CI547" s="24"/>
      <c r="CJ547" s="24"/>
    </row>
    <row r="548" spans="1:88" ht="15" customHeight="1">
      <c r="A548" s="18">
        <v>2019</v>
      </c>
      <c r="B548" s="18" t="str">
        <f>+INDEX(BDD!F:F,MATCH(P548,BDD!D:D,0))&amp;"-"&amp;INDEX(BDD!E:E,MATCH(P548,BDD!D:D,0))</f>
        <v>G-C</v>
      </c>
      <c r="C548" s="125" t="s">
        <v>484</v>
      </c>
      <c r="D548" s="150" t="s">
        <v>77</v>
      </c>
      <c r="E548" s="132"/>
      <c r="F548" s="24"/>
      <c r="G548" s="346">
        <v>8000000411</v>
      </c>
      <c r="H548" s="125" t="s">
        <v>2318</v>
      </c>
      <c r="I548" s="329"/>
      <c r="J548" s="346">
        <v>8000000411</v>
      </c>
      <c r="K548" s="24"/>
      <c r="L548" s="24"/>
      <c r="M548" s="24"/>
      <c r="N548" s="340" t="s">
        <v>486</v>
      </c>
      <c r="O548" s="334">
        <v>206573</v>
      </c>
      <c r="P548" s="25" t="s">
        <v>226</v>
      </c>
      <c r="Q548" s="127" t="s">
        <v>288</v>
      </c>
      <c r="R548" s="232" t="s">
        <v>2305</v>
      </c>
      <c r="S548" s="89">
        <v>43514</v>
      </c>
      <c r="T548" s="36" t="s">
        <v>19</v>
      </c>
      <c r="U548" s="125"/>
      <c r="V548" s="147" t="s">
        <v>2319</v>
      </c>
      <c r="W548" s="129"/>
      <c r="X548" s="88">
        <v>43565</v>
      </c>
      <c r="Y548" s="130" t="s">
        <v>20</v>
      </c>
      <c r="Z548" s="133" t="s">
        <v>60</v>
      </c>
      <c r="AA548" s="133"/>
      <c r="AB548" s="148">
        <v>300</v>
      </c>
      <c r="AC548" s="134">
        <v>237</v>
      </c>
      <c r="AD548" s="134"/>
      <c r="AE548" s="403">
        <f t="shared" si="27"/>
        <v>71100</v>
      </c>
      <c r="AF548" s="132" t="s">
        <v>944</v>
      </c>
      <c r="AG548" s="130" t="s">
        <v>46</v>
      </c>
      <c r="AH548" s="130"/>
      <c r="AI548" s="130" t="s">
        <v>100</v>
      </c>
      <c r="AJ548" s="130"/>
      <c r="AK548" s="130"/>
      <c r="AL548" s="135" t="s">
        <v>2256</v>
      </c>
      <c r="AM548" s="314"/>
      <c r="AN548" s="26"/>
      <c r="AO548" s="26"/>
      <c r="AP548" s="26"/>
      <c r="AQ548" s="26">
        <f>+AQ546</f>
        <v>43583</v>
      </c>
      <c r="AR548" s="24"/>
      <c r="AS548" s="24"/>
      <c r="AT548" s="24">
        <v>43584</v>
      </c>
      <c r="AU548" s="418">
        <f t="shared" si="28"/>
        <v>4</v>
      </c>
      <c r="AV548" s="418">
        <f t="shared" si="29"/>
        <v>2019</v>
      </c>
      <c r="AW548" s="24"/>
      <c r="AX548" s="28"/>
      <c r="AY548" s="28" t="s">
        <v>269</v>
      </c>
      <c r="AZ548" s="132" t="s">
        <v>25</v>
      </c>
      <c r="BA548" s="132"/>
      <c r="BB548" s="24"/>
      <c r="BC548" s="135">
        <v>20</v>
      </c>
      <c r="BD548" s="26">
        <v>43552</v>
      </c>
      <c r="BE548" s="135" t="s">
        <v>2307</v>
      </c>
      <c r="BF548" s="135" t="s">
        <v>2307</v>
      </c>
      <c r="BG548" s="135" t="s">
        <v>52</v>
      </c>
      <c r="BH548" s="135"/>
      <c r="BI548" s="314"/>
      <c r="BJ548" s="314"/>
      <c r="BK548" s="24"/>
      <c r="BL548" s="24"/>
      <c r="BM548" s="24"/>
      <c r="BN548" s="24"/>
      <c r="BO548" s="24"/>
      <c r="BP548" s="24"/>
      <c r="BQ548" s="24"/>
      <c r="BR548" s="43"/>
      <c r="BS548" s="24"/>
      <c r="BT548" s="24"/>
      <c r="BU548" s="24"/>
      <c r="BV548" s="132" t="e">
        <f>IF(#REF!="COMPLETO","OK","PENDIENTES")</f>
        <v>#REF!</v>
      </c>
      <c r="BW548" s="132"/>
      <c r="BX548" s="132"/>
      <c r="BY548" s="132"/>
      <c r="BZ548" s="132"/>
      <c r="CA548" s="132"/>
      <c r="CB548" s="132"/>
      <c r="CC548" s="22"/>
      <c r="CG548" s="24" t="s">
        <v>105</v>
      </c>
      <c r="CH548" s="24"/>
      <c r="CI548" s="24"/>
      <c r="CJ548" s="24"/>
    </row>
    <row r="549" spans="1:88" ht="15" customHeight="1">
      <c r="A549" s="18">
        <v>2019</v>
      </c>
      <c r="B549" s="18" t="str">
        <f>+INDEX(BDD!F:F,MATCH(P549,BDD!D:D,0))&amp;"-"&amp;INDEX(BDD!E:E,MATCH(P549,BDD!D:D,0))</f>
        <v>G-C</v>
      </c>
      <c r="C549" s="125" t="s">
        <v>484</v>
      </c>
      <c r="D549" s="150" t="s">
        <v>77</v>
      </c>
      <c r="E549" s="132"/>
      <c r="F549" s="24"/>
      <c r="G549" s="346">
        <v>8000000412</v>
      </c>
      <c r="H549" s="125" t="s">
        <v>2320</v>
      </c>
      <c r="I549" s="329"/>
      <c r="J549" s="346">
        <v>8000000412</v>
      </c>
      <c r="K549" s="24"/>
      <c r="L549" s="24"/>
      <c r="M549" s="24"/>
      <c r="N549" s="340" t="s">
        <v>486</v>
      </c>
      <c r="O549" s="334">
        <v>206573</v>
      </c>
      <c r="P549" s="25" t="s">
        <v>226</v>
      </c>
      <c r="Q549" s="127" t="s">
        <v>288</v>
      </c>
      <c r="R549" s="232" t="s">
        <v>2305</v>
      </c>
      <c r="S549" s="89">
        <v>43514</v>
      </c>
      <c r="T549" s="207" t="s">
        <v>19</v>
      </c>
      <c r="U549" s="237"/>
      <c r="V549" s="147" t="s">
        <v>2321</v>
      </c>
      <c r="W549" s="129"/>
      <c r="X549" s="88">
        <v>43563</v>
      </c>
      <c r="Y549" s="130" t="s">
        <v>20</v>
      </c>
      <c r="Z549" s="133" t="s">
        <v>60</v>
      </c>
      <c r="AA549" s="133"/>
      <c r="AB549" s="148">
        <v>1400</v>
      </c>
      <c r="AC549" s="134">
        <v>237</v>
      </c>
      <c r="AD549" s="134"/>
      <c r="AE549" s="403">
        <f t="shared" si="27"/>
        <v>331800</v>
      </c>
      <c r="AF549" s="132" t="s">
        <v>944</v>
      </c>
      <c r="AG549" s="130" t="s">
        <v>46</v>
      </c>
      <c r="AH549" s="130"/>
      <c r="AI549" s="130" t="s">
        <v>100</v>
      </c>
      <c r="AJ549" s="130"/>
      <c r="AK549" s="130"/>
      <c r="AL549" s="135" t="s">
        <v>2256</v>
      </c>
      <c r="AM549" s="314"/>
      <c r="AN549" s="26"/>
      <c r="AO549" s="26"/>
      <c r="AP549" s="26"/>
      <c r="AQ549" s="26">
        <v>43586</v>
      </c>
      <c r="AR549" s="24"/>
      <c r="AS549" s="24"/>
      <c r="AT549" s="24">
        <v>43593</v>
      </c>
      <c r="AU549" s="418">
        <f t="shared" si="28"/>
        <v>5</v>
      </c>
      <c r="AV549" s="418">
        <f t="shared" si="29"/>
        <v>2019</v>
      </c>
      <c r="AW549" s="24"/>
      <c r="AX549" s="28"/>
      <c r="AY549" s="28" t="s">
        <v>269</v>
      </c>
      <c r="AZ549" s="132" t="s">
        <v>37</v>
      </c>
      <c r="BA549" s="132"/>
      <c r="BB549" s="24"/>
      <c r="BC549" s="135">
        <v>21</v>
      </c>
      <c r="BD549" s="26">
        <v>43552</v>
      </c>
      <c r="BE549" s="135" t="s">
        <v>2307</v>
      </c>
      <c r="BF549" s="135" t="s">
        <v>2307</v>
      </c>
      <c r="BG549" s="135" t="s">
        <v>52</v>
      </c>
      <c r="BH549" s="135"/>
      <c r="BI549" s="314"/>
      <c r="BJ549" s="314"/>
      <c r="BK549" s="24"/>
      <c r="BL549" s="24"/>
      <c r="BM549" s="24"/>
      <c r="BN549" s="24"/>
      <c r="BO549" s="24"/>
      <c r="BP549" s="24"/>
      <c r="BQ549" s="24"/>
      <c r="BR549" s="43"/>
      <c r="BS549" s="24"/>
      <c r="BT549" s="24"/>
      <c r="BU549" s="24"/>
      <c r="BV549" s="132" t="e">
        <f>IF(#REF!="COMPLETO","OK","PENDIENTES")</f>
        <v>#REF!</v>
      </c>
      <c r="BW549" s="132"/>
      <c r="BX549" s="132"/>
      <c r="BY549" s="132"/>
      <c r="BZ549" s="132"/>
      <c r="CA549" s="132"/>
      <c r="CB549" s="132"/>
      <c r="CC549" s="22"/>
      <c r="CG549" s="24" t="s">
        <v>105</v>
      </c>
      <c r="CH549" s="24"/>
      <c r="CI549" s="24"/>
      <c r="CJ549" s="24"/>
    </row>
    <row r="550" spans="1:88" ht="15" customHeight="1">
      <c r="A550" s="18">
        <v>2019</v>
      </c>
      <c r="B550" s="18" t="str">
        <f>+INDEX(BDD!F:F,MATCH(P550,BDD!D:D,0))&amp;"-"&amp;INDEX(BDD!E:E,MATCH(P550,BDD!D:D,0))</f>
        <v>G-C</v>
      </c>
      <c r="C550" s="125" t="s">
        <v>484</v>
      </c>
      <c r="D550" s="150" t="s">
        <v>77</v>
      </c>
      <c r="E550" s="132"/>
      <c r="F550" s="24"/>
      <c r="G550" s="346">
        <v>8000000413</v>
      </c>
      <c r="H550" s="125" t="s">
        <v>2322</v>
      </c>
      <c r="I550" s="329"/>
      <c r="J550" s="346">
        <v>8000000413</v>
      </c>
      <c r="K550" s="24"/>
      <c r="L550" s="24"/>
      <c r="M550" s="24"/>
      <c r="N550" s="340" t="s">
        <v>486</v>
      </c>
      <c r="O550" s="334">
        <v>206573</v>
      </c>
      <c r="P550" s="25" t="s">
        <v>226</v>
      </c>
      <c r="Q550" s="127" t="s">
        <v>288</v>
      </c>
      <c r="R550" s="232" t="s">
        <v>2305</v>
      </c>
      <c r="S550" s="89">
        <v>43514</v>
      </c>
      <c r="T550" s="36" t="s">
        <v>19</v>
      </c>
      <c r="U550" s="237"/>
      <c r="V550" s="147" t="s">
        <v>2323</v>
      </c>
      <c r="W550" s="129"/>
      <c r="X550" s="88">
        <v>43563</v>
      </c>
      <c r="Y550" s="130" t="s">
        <v>20</v>
      </c>
      <c r="Z550" s="133" t="s">
        <v>60</v>
      </c>
      <c r="AA550" s="133"/>
      <c r="AB550" s="148">
        <v>300</v>
      </c>
      <c r="AC550" s="134">
        <v>237</v>
      </c>
      <c r="AD550" s="134"/>
      <c r="AE550" s="403">
        <f t="shared" si="27"/>
        <v>71100</v>
      </c>
      <c r="AF550" s="132" t="s">
        <v>944</v>
      </c>
      <c r="AG550" s="130" t="s">
        <v>46</v>
      </c>
      <c r="AH550" s="130"/>
      <c r="AI550" s="130" t="s">
        <v>100</v>
      </c>
      <c r="AJ550" s="130"/>
      <c r="AK550" s="130"/>
      <c r="AL550" s="135" t="s">
        <v>2256</v>
      </c>
      <c r="AM550" s="314"/>
      <c r="AN550" s="26"/>
      <c r="AO550" s="26"/>
      <c r="AP550" s="26"/>
      <c r="AQ550" s="26">
        <v>43594</v>
      </c>
      <c r="AR550" s="24"/>
      <c r="AS550" s="24"/>
      <c r="AT550" s="24">
        <v>43594</v>
      </c>
      <c r="AU550" s="418">
        <f t="shared" si="28"/>
        <v>5</v>
      </c>
      <c r="AV550" s="418">
        <f t="shared" si="29"/>
        <v>2019</v>
      </c>
      <c r="AW550" s="24"/>
      <c r="AX550" s="28"/>
      <c r="AY550" s="28" t="s">
        <v>269</v>
      </c>
      <c r="AZ550" s="132" t="s">
        <v>50</v>
      </c>
      <c r="BA550" s="132"/>
      <c r="BB550" s="24"/>
      <c r="BC550" s="135">
        <v>22</v>
      </c>
      <c r="BD550" s="26">
        <v>43552</v>
      </c>
      <c r="BE550" s="135" t="s">
        <v>2307</v>
      </c>
      <c r="BF550" s="135" t="s">
        <v>2307</v>
      </c>
      <c r="BG550" s="135" t="s">
        <v>52</v>
      </c>
      <c r="BH550" s="135"/>
      <c r="BI550" s="314"/>
      <c r="BJ550" s="314"/>
      <c r="BK550" s="24"/>
      <c r="BL550" s="24"/>
      <c r="BM550" s="24"/>
      <c r="BN550" s="24"/>
      <c r="BO550" s="24"/>
      <c r="BP550" s="24"/>
      <c r="BQ550" s="24"/>
      <c r="BR550" s="43"/>
      <c r="BS550" s="24"/>
      <c r="BT550" s="24"/>
      <c r="BU550" s="24"/>
      <c r="BV550" s="132" t="e">
        <f>IF(#REF!="COMPLETO","OK","PENDIENTES")</f>
        <v>#REF!</v>
      </c>
      <c r="BW550" s="132"/>
      <c r="BX550" s="132"/>
      <c r="BY550" s="132"/>
      <c r="BZ550" s="132"/>
      <c r="CA550" s="132"/>
      <c r="CB550" s="132"/>
      <c r="CC550" s="22"/>
      <c r="CG550" s="24" t="s">
        <v>105</v>
      </c>
      <c r="CH550" s="24"/>
      <c r="CI550" s="24"/>
      <c r="CJ550" s="24"/>
    </row>
    <row r="551" spans="1:88" ht="15" customHeight="1">
      <c r="A551" s="18">
        <v>2019</v>
      </c>
      <c r="B551" s="18" t="str">
        <f>+INDEX(BDD!F:F,MATCH(P551,BDD!D:D,0))&amp;"-"&amp;INDEX(BDD!E:E,MATCH(P551,BDD!D:D,0))</f>
        <v>E-S</v>
      </c>
      <c r="C551" s="125" t="s">
        <v>484</v>
      </c>
      <c r="D551" s="150" t="s">
        <v>77</v>
      </c>
      <c r="E551" s="132"/>
      <c r="F551" s="24"/>
      <c r="G551" s="346">
        <v>8000000476</v>
      </c>
      <c r="H551" s="125" t="s">
        <v>2324</v>
      </c>
      <c r="I551" s="329"/>
      <c r="J551" s="346">
        <v>8000000476</v>
      </c>
      <c r="K551" s="24"/>
      <c r="L551" s="24"/>
      <c r="M551" s="24"/>
      <c r="N551" s="340" t="s">
        <v>486</v>
      </c>
      <c r="O551" s="334">
        <v>204378</v>
      </c>
      <c r="P551" s="25" t="s">
        <v>283</v>
      </c>
      <c r="Q551" s="127" t="s">
        <v>146</v>
      </c>
      <c r="R551" s="147" t="s">
        <v>2325</v>
      </c>
      <c r="S551" s="89">
        <v>43515</v>
      </c>
      <c r="T551" s="207">
        <v>90</v>
      </c>
      <c r="U551" s="125" t="s">
        <v>118</v>
      </c>
      <c r="V551" s="147" t="s">
        <v>2326</v>
      </c>
      <c r="W551" s="129"/>
      <c r="X551" s="88">
        <v>43979</v>
      </c>
      <c r="Y551" s="130" t="s">
        <v>20</v>
      </c>
      <c r="Z551" s="133" t="s">
        <v>72</v>
      </c>
      <c r="AA551" s="133"/>
      <c r="AB551" s="148">
        <v>16.329329999999999</v>
      </c>
      <c r="AC551" s="134">
        <v>2359.6620314489332</v>
      </c>
      <c r="AD551" s="134"/>
      <c r="AE551" s="403">
        <f t="shared" si="27"/>
        <v>38531.700000000004</v>
      </c>
      <c r="AF551" s="132" t="s">
        <v>944</v>
      </c>
      <c r="AG551" s="130" t="s">
        <v>5</v>
      </c>
      <c r="AH551" s="130"/>
      <c r="AI551" s="130" t="s">
        <v>59</v>
      </c>
      <c r="AJ551" s="130"/>
      <c r="AK551" s="130"/>
      <c r="AL551" s="135" t="s">
        <v>2285</v>
      </c>
      <c r="AM551" s="314"/>
      <c r="AN551" s="26"/>
      <c r="AO551" s="26"/>
      <c r="AP551" s="26"/>
      <c r="AQ551" s="26">
        <v>43658</v>
      </c>
      <c r="AR551" s="24"/>
      <c r="AS551" s="24"/>
      <c r="AT551" s="24">
        <v>43661</v>
      </c>
      <c r="AU551" s="418">
        <f t="shared" si="28"/>
        <v>7</v>
      </c>
      <c r="AV551" s="418">
        <f t="shared" si="29"/>
        <v>2019</v>
      </c>
      <c r="AW551" s="24"/>
      <c r="AX551" s="28"/>
      <c r="AY551" s="28" t="s">
        <v>275</v>
      </c>
      <c r="AZ551" s="132" t="s">
        <v>37</v>
      </c>
      <c r="BA551" s="132"/>
      <c r="BB551" s="24"/>
      <c r="BC551" s="135" t="s">
        <v>2327</v>
      </c>
      <c r="BD551" s="24">
        <v>43640</v>
      </c>
      <c r="BE551" s="135" t="s">
        <v>2328</v>
      </c>
      <c r="BF551" s="135" t="s">
        <v>2329</v>
      </c>
      <c r="BG551" s="135" t="s">
        <v>64</v>
      </c>
      <c r="BH551" s="135"/>
      <c r="BI551" s="314"/>
      <c r="BJ551" s="314"/>
      <c r="BK551" s="24"/>
      <c r="BL551" s="24"/>
      <c r="BM551" s="24"/>
      <c r="BN551" s="24"/>
      <c r="BO551" s="24"/>
      <c r="BP551" s="24"/>
      <c r="BQ551" s="24"/>
      <c r="BR551" s="43"/>
      <c r="BS551" s="24"/>
      <c r="BT551" s="24"/>
      <c r="BU551" s="24"/>
      <c r="BV551" s="132" t="e">
        <f>IF(#REF!="COMPLETO","OK","PENDIENTES")</f>
        <v>#REF!</v>
      </c>
      <c r="BW551" s="132"/>
      <c r="BX551" s="132"/>
      <c r="BY551" s="132"/>
      <c r="BZ551" s="132"/>
      <c r="CA551" s="132"/>
      <c r="CB551" s="132"/>
      <c r="CC551" s="22"/>
      <c r="CG551" s="24" t="s">
        <v>105</v>
      </c>
      <c r="CH551" s="24"/>
      <c r="CI551" s="24"/>
      <c r="CJ551" s="24"/>
    </row>
    <row r="552" spans="1:88" ht="15" customHeight="1">
      <c r="A552" s="18">
        <v>2019</v>
      </c>
      <c r="B552" s="18" t="str">
        <f>+INDEX(BDD!F:F,MATCH(P552,BDD!D:D,0))&amp;"-"&amp;INDEX(BDD!E:E,MATCH(P552,BDD!D:D,0))</f>
        <v>E-S</v>
      </c>
      <c r="C552" s="125" t="s">
        <v>484</v>
      </c>
      <c r="D552" s="150" t="s">
        <v>77</v>
      </c>
      <c r="E552" s="132"/>
      <c r="F552" s="24"/>
      <c r="G552" s="346">
        <v>8000000476</v>
      </c>
      <c r="H552" s="125" t="s">
        <v>2330</v>
      </c>
      <c r="I552" s="329"/>
      <c r="J552" s="346">
        <v>8000000476</v>
      </c>
      <c r="K552" s="24"/>
      <c r="L552" s="24"/>
      <c r="M552" s="24"/>
      <c r="N552" s="340" t="s">
        <v>486</v>
      </c>
      <c r="O552" s="334">
        <v>204377</v>
      </c>
      <c r="P552" s="25" t="s">
        <v>286</v>
      </c>
      <c r="Q552" s="127" t="s">
        <v>146</v>
      </c>
      <c r="R552" s="147" t="s">
        <v>2325</v>
      </c>
      <c r="S552" s="89">
        <v>43515</v>
      </c>
      <c r="T552" s="36">
        <v>90</v>
      </c>
      <c r="U552" s="125" t="s">
        <v>118</v>
      </c>
      <c r="V552" s="147" t="s">
        <v>2326</v>
      </c>
      <c r="W552" s="129"/>
      <c r="X552" s="88">
        <v>43979</v>
      </c>
      <c r="Y552" s="130" t="s">
        <v>20</v>
      </c>
      <c r="Z552" s="133" t="s">
        <v>72</v>
      </c>
      <c r="AA552" s="133"/>
      <c r="AB552" s="238">
        <v>1.81437</v>
      </c>
      <c r="AC552" s="134">
        <v>2359.6620314489328</v>
      </c>
      <c r="AD552" s="134"/>
      <c r="AE552" s="403">
        <f t="shared" si="27"/>
        <v>4281.3</v>
      </c>
      <c r="AF552" s="132" t="s">
        <v>944</v>
      </c>
      <c r="AG552" s="130" t="s">
        <v>5</v>
      </c>
      <c r="AH552" s="130"/>
      <c r="AI552" s="130" t="s">
        <v>59</v>
      </c>
      <c r="AJ552" s="130"/>
      <c r="AK552" s="130"/>
      <c r="AL552" s="135" t="s">
        <v>2285</v>
      </c>
      <c r="AM552" s="314"/>
      <c r="AN552" s="26"/>
      <c r="AO552" s="26"/>
      <c r="AP552" s="26"/>
      <c r="AQ552" s="26">
        <v>43658</v>
      </c>
      <c r="AR552" s="24"/>
      <c r="AS552" s="24"/>
      <c r="AT552" s="24">
        <v>43661</v>
      </c>
      <c r="AU552" s="418">
        <f t="shared" si="28"/>
        <v>7</v>
      </c>
      <c r="AV552" s="418">
        <f t="shared" si="29"/>
        <v>2019</v>
      </c>
      <c r="AW552" s="24"/>
      <c r="AX552" s="28"/>
      <c r="AY552" s="28" t="s">
        <v>275</v>
      </c>
      <c r="AZ552" s="132" t="s">
        <v>37</v>
      </c>
      <c r="BA552" s="132"/>
      <c r="BB552" s="24"/>
      <c r="BC552" s="135" t="s">
        <v>2327</v>
      </c>
      <c r="BD552" s="24">
        <v>43640</v>
      </c>
      <c r="BE552" s="135" t="s">
        <v>2328</v>
      </c>
      <c r="BF552" s="135" t="s">
        <v>2329</v>
      </c>
      <c r="BG552" s="135" t="s">
        <v>64</v>
      </c>
      <c r="BH552" s="135"/>
      <c r="BI552" s="314"/>
      <c r="BJ552" s="314"/>
      <c r="BK552" s="24"/>
      <c r="BL552" s="24"/>
      <c r="BM552" s="24"/>
      <c r="BN552" s="24"/>
      <c r="BO552" s="24"/>
      <c r="BP552" s="24"/>
      <c r="BQ552" s="24"/>
      <c r="BR552" s="43"/>
      <c r="BS552" s="24"/>
      <c r="BT552" s="24"/>
      <c r="BU552" s="24"/>
      <c r="BV552" s="132" t="e">
        <f>IF(#REF!="COMPLETO","OK","PENDIENTES")</f>
        <v>#REF!</v>
      </c>
      <c r="BW552" s="132"/>
      <c r="BX552" s="132"/>
      <c r="BY552" s="132"/>
      <c r="BZ552" s="132"/>
      <c r="CA552" s="132"/>
      <c r="CB552" s="132"/>
      <c r="CC552" s="22"/>
      <c r="CG552" s="24" t="s">
        <v>105</v>
      </c>
      <c r="CH552" s="24"/>
      <c r="CI552" s="24"/>
      <c r="CJ552" s="24"/>
    </row>
    <row r="553" spans="1:88" ht="15" customHeight="1">
      <c r="A553" s="18">
        <v>2019</v>
      </c>
      <c r="B553" s="18" t="str">
        <f>+INDEX(BDD!F:F,MATCH(P553,BDD!D:D,0))&amp;"-"&amp;INDEX(BDD!E:E,MATCH(P553,BDD!D:D,0))</f>
        <v>E-S</v>
      </c>
      <c r="C553" s="125" t="s">
        <v>484</v>
      </c>
      <c r="D553" s="150" t="s">
        <v>77</v>
      </c>
      <c r="E553" s="132"/>
      <c r="F553" s="24"/>
      <c r="G553" s="346">
        <v>8000000451</v>
      </c>
      <c r="H553" s="125" t="s">
        <v>2331</v>
      </c>
      <c r="I553" s="329"/>
      <c r="J553" s="346">
        <v>8000000451</v>
      </c>
      <c r="K553" s="24"/>
      <c r="L553" s="24"/>
      <c r="M553" s="24"/>
      <c r="N553" s="340" t="s">
        <v>486</v>
      </c>
      <c r="O553" s="334">
        <v>204377</v>
      </c>
      <c r="P553" s="25" t="s">
        <v>286</v>
      </c>
      <c r="Q553" s="127" t="s">
        <v>146</v>
      </c>
      <c r="R553" s="147" t="s">
        <v>2332</v>
      </c>
      <c r="S553" s="89">
        <v>43515</v>
      </c>
      <c r="T553" s="36">
        <v>90</v>
      </c>
      <c r="U553" s="125" t="s">
        <v>118</v>
      </c>
      <c r="V553" s="147" t="s">
        <v>2333</v>
      </c>
      <c r="W553" s="129"/>
      <c r="X553" s="88">
        <f>+BD553+T553</f>
        <v>43663</v>
      </c>
      <c r="Y553" s="130" t="s">
        <v>20</v>
      </c>
      <c r="Z553" s="133" t="s">
        <v>72</v>
      </c>
      <c r="AA553" s="133"/>
      <c r="AB553" s="148">
        <v>3.6280000000000001</v>
      </c>
      <c r="AC553" s="134">
        <v>2354.0793825799337</v>
      </c>
      <c r="AD553" s="134"/>
      <c r="AE553" s="403">
        <f t="shared" si="27"/>
        <v>8540.6</v>
      </c>
      <c r="AF553" s="132" t="s">
        <v>944</v>
      </c>
      <c r="AG553" s="130" t="s">
        <v>5</v>
      </c>
      <c r="AH553" s="130"/>
      <c r="AI553" s="130" t="s">
        <v>59</v>
      </c>
      <c r="AJ553" s="130"/>
      <c r="AK553" s="130"/>
      <c r="AL553" s="135" t="s">
        <v>2285</v>
      </c>
      <c r="AM553" s="314"/>
      <c r="AN553" s="26"/>
      <c r="AO553" s="26"/>
      <c r="AP553" s="26"/>
      <c r="AQ553" s="26">
        <v>43611</v>
      </c>
      <c r="AR553" s="24"/>
      <c r="AS553" s="24"/>
      <c r="AT553" s="24">
        <v>43614</v>
      </c>
      <c r="AU553" s="418">
        <f t="shared" si="28"/>
        <v>5</v>
      </c>
      <c r="AV553" s="418">
        <f t="shared" si="29"/>
        <v>2019</v>
      </c>
      <c r="AW553" s="24"/>
      <c r="AX553" s="28"/>
      <c r="AY553" s="28" t="s">
        <v>275</v>
      </c>
      <c r="AZ553" s="132" t="s">
        <v>37</v>
      </c>
      <c r="BA553" s="132"/>
      <c r="BB553" s="24"/>
      <c r="BC553" s="135" t="s">
        <v>2334</v>
      </c>
      <c r="BD553" s="24">
        <v>43573</v>
      </c>
      <c r="BE553" s="135" t="s">
        <v>2335</v>
      </c>
      <c r="BF553" s="135" t="s">
        <v>1807</v>
      </c>
      <c r="BG553" s="135" t="s">
        <v>64</v>
      </c>
      <c r="BH553" s="135"/>
      <c r="BI553" s="314"/>
      <c r="BJ553" s="314"/>
      <c r="BK553" s="24"/>
      <c r="BL553" s="24"/>
      <c r="BM553" s="24"/>
      <c r="BN553" s="24"/>
      <c r="BO553" s="24"/>
      <c r="BP553" s="24"/>
      <c r="BQ553" s="24"/>
      <c r="BR553" s="43"/>
      <c r="BS553" s="24"/>
      <c r="BT553" s="24"/>
      <c r="BU553" s="24"/>
      <c r="BV553" s="132" t="e">
        <f>IF(#REF!="COMPLETO","OK","PENDIENTES")</f>
        <v>#REF!</v>
      </c>
      <c r="BW553" s="132"/>
      <c r="BX553" s="132"/>
      <c r="BY553" s="132"/>
      <c r="BZ553" s="132"/>
      <c r="CA553" s="132"/>
      <c r="CB553" s="132"/>
      <c r="CC553" s="22"/>
      <c r="CG553" s="24" t="s">
        <v>105</v>
      </c>
      <c r="CH553" s="24"/>
      <c r="CI553" s="24"/>
      <c r="CJ553" s="24"/>
    </row>
    <row r="554" spans="1:88" ht="15" customHeight="1">
      <c r="A554" s="18">
        <v>2019</v>
      </c>
      <c r="B554" s="18" t="str">
        <f>+INDEX(BDD!F:F,MATCH(P554,BDD!D:D,0))&amp;"-"&amp;INDEX(BDD!E:E,MATCH(P554,BDD!D:D,0))</f>
        <v>E-S</v>
      </c>
      <c r="C554" s="125" t="s">
        <v>484</v>
      </c>
      <c r="D554" s="150" t="s">
        <v>77</v>
      </c>
      <c r="E554" s="132"/>
      <c r="F554" s="24"/>
      <c r="G554" s="346">
        <v>8000000452</v>
      </c>
      <c r="H554" s="125" t="s">
        <v>2336</v>
      </c>
      <c r="I554" s="329"/>
      <c r="J554" s="346">
        <v>8000000452</v>
      </c>
      <c r="K554" s="24"/>
      <c r="L554" s="24"/>
      <c r="M554" s="24"/>
      <c r="N554" s="340" t="s">
        <v>486</v>
      </c>
      <c r="O554" s="334">
        <v>204375</v>
      </c>
      <c r="P554" s="25" t="s">
        <v>292</v>
      </c>
      <c r="Q554" s="127" t="s">
        <v>146</v>
      </c>
      <c r="R554" s="147" t="s">
        <v>2332</v>
      </c>
      <c r="S554" s="89">
        <v>43515</v>
      </c>
      <c r="T554" s="36">
        <v>90</v>
      </c>
      <c r="U554" s="125" t="s">
        <v>118</v>
      </c>
      <c r="V554" s="147" t="s">
        <v>2333</v>
      </c>
      <c r="W554" s="129"/>
      <c r="X554" s="88">
        <f>+BD554+T554</f>
        <v>43663</v>
      </c>
      <c r="Y554" s="130" t="s">
        <v>20</v>
      </c>
      <c r="Z554" s="133" t="s">
        <v>72</v>
      </c>
      <c r="AA554" s="133"/>
      <c r="AB554" s="148">
        <v>14.51496</v>
      </c>
      <c r="AC554" s="134">
        <v>2588.6120251106445</v>
      </c>
      <c r="AD554" s="134"/>
      <c r="AE554" s="403">
        <f t="shared" si="27"/>
        <v>37573.599999999999</v>
      </c>
      <c r="AF554" s="132" t="s">
        <v>944</v>
      </c>
      <c r="AG554" s="130" t="s">
        <v>5</v>
      </c>
      <c r="AH554" s="130"/>
      <c r="AI554" s="130" t="s">
        <v>59</v>
      </c>
      <c r="AJ554" s="130"/>
      <c r="AK554" s="130"/>
      <c r="AL554" s="135" t="s">
        <v>2285</v>
      </c>
      <c r="AM554" s="314"/>
      <c r="AN554" s="26"/>
      <c r="AO554" s="26"/>
      <c r="AP554" s="26"/>
      <c r="AQ554" s="26">
        <v>43611</v>
      </c>
      <c r="AR554" s="24"/>
      <c r="AS554" s="24"/>
      <c r="AT554" s="24">
        <v>43614</v>
      </c>
      <c r="AU554" s="418">
        <f t="shared" si="28"/>
        <v>5</v>
      </c>
      <c r="AV554" s="418">
        <f t="shared" si="29"/>
        <v>2019</v>
      </c>
      <c r="AW554" s="24"/>
      <c r="AX554" s="28"/>
      <c r="AY554" s="28" t="s">
        <v>275</v>
      </c>
      <c r="AZ554" s="132" t="s">
        <v>37</v>
      </c>
      <c r="BA554" s="132"/>
      <c r="BB554" s="24"/>
      <c r="BC554" s="135" t="s">
        <v>2334</v>
      </c>
      <c r="BD554" s="24">
        <v>43573</v>
      </c>
      <c r="BE554" s="135" t="s">
        <v>2335</v>
      </c>
      <c r="BF554" s="135" t="s">
        <v>1807</v>
      </c>
      <c r="BG554" s="135" t="s">
        <v>64</v>
      </c>
      <c r="BH554" s="135"/>
      <c r="BI554" s="314"/>
      <c r="BJ554" s="314"/>
      <c r="BK554" s="24"/>
      <c r="BL554" s="24"/>
      <c r="BM554" s="24"/>
      <c r="BN554" s="24"/>
      <c r="BO554" s="24"/>
      <c r="BP554" s="24"/>
      <c r="BQ554" s="24"/>
      <c r="BR554" s="43"/>
      <c r="BS554" s="24"/>
      <c r="BT554" s="24"/>
      <c r="BU554" s="24"/>
      <c r="BV554" s="132" t="e">
        <f>IF(#REF!="COMPLETO","OK","PENDIENTES")</f>
        <v>#REF!</v>
      </c>
      <c r="BW554" s="132"/>
      <c r="BX554" s="132"/>
      <c r="BY554" s="132"/>
      <c r="BZ554" s="132"/>
      <c r="CA554" s="132"/>
      <c r="CB554" s="132"/>
      <c r="CC554" s="22"/>
      <c r="CG554" s="24" t="s">
        <v>105</v>
      </c>
      <c r="CH554" s="24"/>
      <c r="CI554" s="24"/>
      <c r="CJ554" s="24"/>
    </row>
    <row r="555" spans="1:88" ht="15" customHeight="1">
      <c r="A555" s="18">
        <v>2019</v>
      </c>
      <c r="B555" s="18" t="str">
        <f>+INDEX(BDD!F:F,MATCH(P555,BDD!D:D,0))&amp;"-"&amp;INDEX(BDD!E:E,MATCH(P555,BDD!D:D,0))</f>
        <v>E-S</v>
      </c>
      <c r="C555" s="125" t="s">
        <v>484</v>
      </c>
      <c r="D555" s="150" t="s">
        <v>77</v>
      </c>
      <c r="E555" s="132"/>
      <c r="F555" s="24"/>
      <c r="G555" s="346">
        <v>8000000450</v>
      </c>
      <c r="H555" s="125" t="s">
        <v>2337</v>
      </c>
      <c r="I555" s="329"/>
      <c r="J555" s="346">
        <v>8000000450</v>
      </c>
      <c r="K555" s="24"/>
      <c r="L555" s="24"/>
      <c r="M555" s="24"/>
      <c r="N555" s="340" t="s">
        <v>486</v>
      </c>
      <c r="O555" s="334">
        <v>204376</v>
      </c>
      <c r="P555" s="25" t="s">
        <v>289</v>
      </c>
      <c r="Q555" s="127" t="s">
        <v>146</v>
      </c>
      <c r="R555" s="147" t="s">
        <v>2338</v>
      </c>
      <c r="S555" s="89">
        <v>43515</v>
      </c>
      <c r="T555" s="36">
        <v>90</v>
      </c>
      <c r="U555" s="125" t="s">
        <v>118</v>
      </c>
      <c r="V555" s="147" t="s">
        <v>2339</v>
      </c>
      <c r="W555" s="129"/>
      <c r="X555" s="88">
        <f>+BD555+T555</f>
        <v>43663</v>
      </c>
      <c r="Y555" s="130" t="s">
        <v>20</v>
      </c>
      <c r="Z555" s="133" t="s">
        <v>72</v>
      </c>
      <c r="AA555" s="133"/>
      <c r="AB555" s="148">
        <v>18.143689999999999</v>
      </c>
      <c r="AC555" s="134">
        <v>2314.4685562859595</v>
      </c>
      <c r="AD555" s="134"/>
      <c r="AE555" s="403">
        <f t="shared" si="27"/>
        <v>41993</v>
      </c>
      <c r="AF555" s="132">
        <v>1</v>
      </c>
      <c r="AG555" s="130" t="s">
        <v>5</v>
      </c>
      <c r="AH555" s="130"/>
      <c r="AI555" s="130" t="s">
        <v>59</v>
      </c>
      <c r="AJ555" s="130"/>
      <c r="AK555" s="130"/>
      <c r="AL555" s="135" t="s">
        <v>2285</v>
      </c>
      <c r="AM555" s="314"/>
      <c r="AN555" s="26"/>
      <c r="AO555" s="26"/>
      <c r="AP555" s="26"/>
      <c r="AQ555" s="26">
        <v>43611</v>
      </c>
      <c r="AR555" s="24"/>
      <c r="AS555" s="24"/>
      <c r="AT555" s="24">
        <v>43614</v>
      </c>
      <c r="AU555" s="418">
        <f t="shared" si="28"/>
        <v>5</v>
      </c>
      <c r="AV555" s="418">
        <f t="shared" si="29"/>
        <v>2019</v>
      </c>
      <c r="AW555" s="24"/>
      <c r="AX555" s="28"/>
      <c r="AY555" s="28" t="s">
        <v>275</v>
      </c>
      <c r="AZ555" s="132" t="s">
        <v>37</v>
      </c>
      <c r="BA555" s="132"/>
      <c r="BB555" s="24"/>
      <c r="BC555" s="135" t="s">
        <v>2340</v>
      </c>
      <c r="BD555" s="24">
        <v>43573</v>
      </c>
      <c r="BE555" s="135" t="s">
        <v>2335</v>
      </c>
      <c r="BF555" s="135" t="s">
        <v>1807</v>
      </c>
      <c r="BG555" s="135" t="s">
        <v>64</v>
      </c>
      <c r="BH555" s="135"/>
      <c r="BI555" s="314"/>
      <c r="BJ555" s="314"/>
      <c r="BK555" s="24"/>
      <c r="BL555" s="24"/>
      <c r="BM555" s="24"/>
      <c r="BN555" s="24"/>
      <c r="BO555" s="24"/>
      <c r="BP555" s="24"/>
      <c r="BQ555" s="24"/>
      <c r="BR555" s="43"/>
      <c r="BS555" s="24"/>
      <c r="BT555" s="24"/>
      <c r="BU555" s="24"/>
      <c r="BV555" s="132" t="e">
        <f>IF(#REF!="COMPLETO","OK","PENDIENTES")</f>
        <v>#REF!</v>
      </c>
      <c r="BW555" s="132"/>
      <c r="BX555" s="132"/>
      <c r="BY555" s="132"/>
      <c r="BZ555" s="132"/>
      <c r="CA555" s="132"/>
      <c r="CB555" s="132"/>
      <c r="CC555" s="22"/>
      <c r="CG555" s="24" t="s">
        <v>105</v>
      </c>
      <c r="CH555" s="24"/>
      <c r="CI555" s="24"/>
      <c r="CJ555" s="24"/>
    </row>
    <row r="556" spans="1:88" ht="15" customHeight="1">
      <c r="A556" s="18">
        <v>2019</v>
      </c>
      <c r="B556" s="18" t="str">
        <f>+INDEX(BDD!F:F,MATCH(P556,BDD!D:D,0))&amp;"-"&amp;INDEX(BDD!E:E,MATCH(P556,BDD!D:D,0))</f>
        <v>G-S</v>
      </c>
      <c r="C556" s="125" t="s">
        <v>484</v>
      </c>
      <c r="D556" s="150" t="s">
        <v>77</v>
      </c>
      <c r="E556" s="132"/>
      <c r="F556" s="24"/>
      <c r="G556" s="346" t="s">
        <v>2342</v>
      </c>
      <c r="H556" s="125" t="s">
        <v>2341</v>
      </c>
      <c r="I556" s="329"/>
      <c r="J556" s="346" t="s">
        <v>2342</v>
      </c>
      <c r="K556" s="24"/>
      <c r="L556" s="24"/>
      <c r="M556" s="24"/>
      <c r="N556" s="340" t="s">
        <v>486</v>
      </c>
      <c r="O556" s="334" t="s">
        <v>2343</v>
      </c>
      <c r="P556" s="25" t="s">
        <v>337</v>
      </c>
      <c r="Q556" s="127" t="s">
        <v>213</v>
      </c>
      <c r="R556" s="232" t="s">
        <v>2344</v>
      </c>
      <c r="S556" s="89">
        <v>43532</v>
      </c>
      <c r="T556" s="36" t="s">
        <v>19</v>
      </c>
      <c r="U556" s="125"/>
      <c r="V556" s="147" t="s">
        <v>2345</v>
      </c>
      <c r="W556" s="129"/>
      <c r="X556" s="88">
        <v>43581</v>
      </c>
      <c r="Y556" s="130" t="s">
        <v>20</v>
      </c>
      <c r="Z556" s="133" t="s">
        <v>60</v>
      </c>
      <c r="AA556" s="133"/>
      <c r="AB556" s="148">
        <v>1759.5</v>
      </c>
      <c r="AC556" s="134">
        <v>140</v>
      </c>
      <c r="AD556" s="134"/>
      <c r="AE556" s="403">
        <f t="shared" si="27"/>
        <v>246330</v>
      </c>
      <c r="AF556" s="132" t="s">
        <v>944</v>
      </c>
      <c r="AG556" s="130" t="s">
        <v>58</v>
      </c>
      <c r="AH556" s="130"/>
      <c r="AI556" s="130" t="s">
        <v>47</v>
      </c>
      <c r="AJ556" s="130"/>
      <c r="AK556" s="130"/>
      <c r="AL556" s="135" t="s">
        <v>2346</v>
      </c>
      <c r="AM556" s="314"/>
      <c r="AN556" s="26"/>
      <c r="AO556" s="26"/>
      <c r="AP556" s="26"/>
      <c r="AQ556" s="26">
        <v>43612</v>
      </c>
      <c r="AR556" s="24"/>
      <c r="AS556" s="24"/>
      <c r="AT556" s="26">
        <v>43619</v>
      </c>
      <c r="AU556" s="418">
        <f t="shared" si="28"/>
        <v>6</v>
      </c>
      <c r="AV556" s="418">
        <f t="shared" si="29"/>
        <v>2019</v>
      </c>
      <c r="AW556" s="26"/>
      <c r="AX556" s="28"/>
      <c r="AY556" s="28" t="s">
        <v>95</v>
      </c>
      <c r="AZ556" s="132" t="s">
        <v>37</v>
      </c>
      <c r="BA556" s="132"/>
      <c r="BB556" s="26"/>
      <c r="BC556" s="135" t="s">
        <v>2347</v>
      </c>
      <c r="BD556" s="24">
        <v>43566</v>
      </c>
      <c r="BE556" s="135" t="s">
        <v>794</v>
      </c>
      <c r="BF556" s="135" t="s">
        <v>794</v>
      </c>
      <c r="BG556" s="135" t="s">
        <v>52</v>
      </c>
      <c r="BH556" s="135"/>
      <c r="BI556" s="314"/>
      <c r="BJ556" s="314"/>
      <c r="BK556" s="24"/>
      <c r="BL556" s="24"/>
      <c r="BM556" s="24"/>
      <c r="BN556" s="24"/>
      <c r="BO556" s="24"/>
      <c r="BP556" s="24"/>
      <c r="BQ556" s="24"/>
      <c r="BR556" s="43"/>
      <c r="BS556" s="24"/>
      <c r="BT556" s="24"/>
      <c r="BU556" s="24"/>
      <c r="BV556" s="132" t="e">
        <f>IF(#REF!="COMPLETO","OK","PENDIENTES")</f>
        <v>#REF!</v>
      </c>
      <c r="BW556" s="132"/>
      <c r="BX556" s="132"/>
      <c r="BY556" s="132"/>
      <c r="BZ556" s="132"/>
      <c r="CA556" s="132"/>
      <c r="CB556" s="132"/>
      <c r="CC556" s="22"/>
      <c r="CG556" s="24" t="s">
        <v>105</v>
      </c>
      <c r="CH556" s="24"/>
      <c r="CI556" s="26"/>
      <c r="CJ556" s="26"/>
    </row>
    <row r="557" spans="1:88" ht="14.25" customHeight="1">
      <c r="A557" s="18">
        <v>2019</v>
      </c>
      <c r="B557" s="18" t="str">
        <f>+INDEX(BDD!F:F,MATCH(P557,BDD!D:D,0))&amp;"-"&amp;INDEX(BDD!E:E,MATCH(P557,BDD!D:D,0))</f>
        <v>G-S</v>
      </c>
      <c r="C557" s="125" t="s">
        <v>484</v>
      </c>
      <c r="D557" s="150" t="s">
        <v>77</v>
      </c>
      <c r="E557" s="132"/>
      <c r="F557" s="24"/>
      <c r="G557" s="346">
        <v>8000000437</v>
      </c>
      <c r="H557" s="125" t="s">
        <v>2348</v>
      </c>
      <c r="I557" s="329"/>
      <c r="J557" s="346">
        <v>8000000437</v>
      </c>
      <c r="K557" s="24"/>
      <c r="L557" s="24"/>
      <c r="M557" s="24"/>
      <c r="N557" s="340" t="s">
        <v>486</v>
      </c>
      <c r="O557" s="334">
        <v>204712</v>
      </c>
      <c r="P557" s="25" t="s">
        <v>337</v>
      </c>
      <c r="Q557" s="127" t="s">
        <v>213</v>
      </c>
      <c r="R557" s="232" t="s">
        <v>2349</v>
      </c>
      <c r="S557" s="89">
        <v>43532</v>
      </c>
      <c r="T557" s="36" t="s">
        <v>19</v>
      </c>
      <c r="U557" s="125"/>
      <c r="V557" s="147" t="s">
        <v>2350</v>
      </c>
      <c r="W557" s="129"/>
      <c r="X557" s="88">
        <v>43564</v>
      </c>
      <c r="Y557" s="130" t="s">
        <v>20</v>
      </c>
      <c r="Z557" s="133" t="s">
        <v>60</v>
      </c>
      <c r="AA557" s="133"/>
      <c r="AB557" s="148">
        <v>514.79999999999995</v>
      </c>
      <c r="AC557" s="134">
        <v>160</v>
      </c>
      <c r="AD557" s="134"/>
      <c r="AE557" s="403">
        <f t="shared" si="27"/>
        <v>82368</v>
      </c>
      <c r="AF557" s="132">
        <v>18</v>
      </c>
      <c r="AG557" s="130" t="s">
        <v>21</v>
      </c>
      <c r="AH557" s="130"/>
      <c r="AI557" s="130" t="s">
        <v>47</v>
      </c>
      <c r="AJ557" s="130"/>
      <c r="AK557" s="130"/>
      <c r="AL557" s="135" t="s">
        <v>2346</v>
      </c>
      <c r="AM557" s="314"/>
      <c r="AN557" s="26"/>
      <c r="AO557" s="26"/>
      <c r="AP557" s="26"/>
      <c r="AQ557" s="26">
        <v>43599</v>
      </c>
      <c r="AR557" s="24"/>
      <c r="AS557" s="24"/>
      <c r="AT557" s="24">
        <v>43600</v>
      </c>
      <c r="AU557" s="418">
        <f t="shared" si="28"/>
        <v>5</v>
      </c>
      <c r="AV557" s="418">
        <f t="shared" si="29"/>
        <v>2019</v>
      </c>
      <c r="AW557" s="24"/>
      <c r="AX557" s="28"/>
      <c r="AY557" s="28" t="s">
        <v>139</v>
      </c>
      <c r="AZ557" s="132" t="s">
        <v>9</v>
      </c>
      <c r="BA557" s="132"/>
      <c r="BB557" s="24"/>
      <c r="BC557" s="135" t="s">
        <v>2351</v>
      </c>
      <c r="BD557" s="24">
        <v>43552</v>
      </c>
      <c r="BE557" s="135" t="s">
        <v>2352</v>
      </c>
      <c r="BF557" s="135" t="s">
        <v>1251</v>
      </c>
      <c r="BG557" s="135" t="s">
        <v>174</v>
      </c>
      <c r="BH557" s="135"/>
      <c r="BI557" s="314"/>
      <c r="BJ557" s="314"/>
      <c r="BK557" s="24"/>
      <c r="BL557" s="24"/>
      <c r="BM557" s="24"/>
      <c r="BN557" s="24"/>
      <c r="BO557" s="24"/>
      <c r="BP557" s="24"/>
      <c r="BQ557" s="24"/>
      <c r="BR557" s="43"/>
      <c r="BS557" s="24"/>
      <c r="BT557" s="24"/>
      <c r="BU557" s="24"/>
      <c r="BV557" s="132" t="e">
        <f>IF(#REF!="COMPLETO","OK","PENDIENTES")</f>
        <v>#REF!</v>
      </c>
      <c r="BW557" s="132"/>
      <c r="BX557" s="132"/>
      <c r="BY557" s="132"/>
      <c r="BZ557" s="132"/>
      <c r="CA557" s="132"/>
      <c r="CB557" s="132"/>
      <c r="CC557" s="22"/>
      <c r="CG557" s="24" t="s">
        <v>99</v>
      </c>
      <c r="CH557" s="24"/>
      <c r="CI557" s="24"/>
      <c r="CJ557" s="24"/>
    </row>
    <row r="558" spans="1:88" ht="15" customHeight="1">
      <c r="A558" s="18">
        <v>2019</v>
      </c>
      <c r="B558" s="18" t="str">
        <f>+INDEX(BDD!F:F,MATCH(P558,BDD!D:D,0))&amp;"-"&amp;INDEX(BDD!E:E,MATCH(P558,BDD!D:D,0))</f>
        <v>G-S</v>
      </c>
      <c r="C558" s="125" t="s">
        <v>484</v>
      </c>
      <c r="D558" s="150" t="s">
        <v>77</v>
      </c>
      <c r="E558" s="132"/>
      <c r="F558" s="24"/>
      <c r="G558" s="346">
        <v>8000000438</v>
      </c>
      <c r="H558" s="125" t="s">
        <v>2353</v>
      </c>
      <c r="I558" s="329"/>
      <c r="J558" s="346">
        <v>8000000438</v>
      </c>
      <c r="K558" s="24"/>
      <c r="L558" s="24"/>
      <c r="M558" s="24"/>
      <c r="N558" s="340" t="s">
        <v>486</v>
      </c>
      <c r="O558" s="334">
        <v>204712</v>
      </c>
      <c r="P558" s="25" t="s">
        <v>337</v>
      </c>
      <c r="Q558" s="127" t="s">
        <v>213</v>
      </c>
      <c r="R558" s="232" t="s">
        <v>2354</v>
      </c>
      <c r="S558" s="89">
        <v>43532</v>
      </c>
      <c r="T558" s="36" t="s">
        <v>19</v>
      </c>
      <c r="U558" s="125"/>
      <c r="V558" s="147" t="s">
        <v>2355</v>
      </c>
      <c r="W558" s="129"/>
      <c r="X558" s="88">
        <v>43564</v>
      </c>
      <c r="Y558" s="130" t="s">
        <v>20</v>
      </c>
      <c r="Z558" s="133" t="s">
        <v>60</v>
      </c>
      <c r="AA558" s="133"/>
      <c r="AB558" s="148">
        <v>486.2</v>
      </c>
      <c r="AC558" s="134">
        <v>160</v>
      </c>
      <c r="AD558" s="134"/>
      <c r="AE558" s="403">
        <f t="shared" si="27"/>
        <v>77792</v>
      </c>
      <c r="AF558" s="132">
        <v>17</v>
      </c>
      <c r="AG558" s="130" t="s">
        <v>21</v>
      </c>
      <c r="AH558" s="130"/>
      <c r="AI558" s="130" t="s">
        <v>47</v>
      </c>
      <c r="AJ558" s="130"/>
      <c r="AK558" s="130"/>
      <c r="AL558" s="135" t="s">
        <v>2346</v>
      </c>
      <c r="AM558" s="314"/>
      <c r="AN558" s="26"/>
      <c r="AO558" s="26"/>
      <c r="AP558" s="26"/>
      <c r="AQ558" s="26">
        <v>43599</v>
      </c>
      <c r="AR558" s="24"/>
      <c r="AS558" s="24"/>
      <c r="AT558" s="24">
        <v>43600</v>
      </c>
      <c r="AU558" s="418">
        <f t="shared" si="28"/>
        <v>5</v>
      </c>
      <c r="AV558" s="418">
        <f t="shared" si="29"/>
        <v>2019</v>
      </c>
      <c r="AW558" s="24"/>
      <c r="AX558" s="28"/>
      <c r="AY558" s="28" t="s">
        <v>139</v>
      </c>
      <c r="AZ558" s="132" t="s">
        <v>9</v>
      </c>
      <c r="BA558" s="132"/>
      <c r="BB558" s="24"/>
      <c r="BC558" s="135" t="s">
        <v>2356</v>
      </c>
      <c r="BD558" s="24">
        <v>43552</v>
      </c>
      <c r="BE558" s="135" t="s">
        <v>2352</v>
      </c>
      <c r="BF558" s="135" t="s">
        <v>1251</v>
      </c>
      <c r="BG558" s="135" t="s">
        <v>174</v>
      </c>
      <c r="BH558" s="135"/>
      <c r="BI558" s="314"/>
      <c r="BJ558" s="314"/>
      <c r="BK558" s="24"/>
      <c r="BL558" s="24"/>
      <c r="BM558" s="24"/>
      <c r="BN558" s="24"/>
      <c r="BO558" s="24"/>
      <c r="BP558" s="24"/>
      <c r="BQ558" s="24"/>
      <c r="BR558" s="43"/>
      <c r="BS558" s="24"/>
      <c r="BT558" s="24"/>
      <c r="BU558" s="24"/>
      <c r="BV558" s="132" t="e">
        <f>IF(#REF!="COMPLETO","OK","PENDIENTES")</f>
        <v>#REF!</v>
      </c>
      <c r="BW558" s="132"/>
      <c r="BX558" s="132"/>
      <c r="BY558" s="132"/>
      <c r="BZ558" s="132"/>
      <c r="CA558" s="132"/>
      <c r="CB558" s="132"/>
      <c r="CC558" s="22"/>
      <c r="CG558" s="24" t="s">
        <v>99</v>
      </c>
      <c r="CH558" s="24"/>
      <c r="CI558" s="24"/>
      <c r="CJ558" s="24"/>
    </row>
    <row r="559" spans="1:88" ht="15" customHeight="1">
      <c r="A559" s="18">
        <v>2019</v>
      </c>
      <c r="B559" s="18" t="str">
        <f>+INDEX(BDD!F:F,MATCH(P559,BDD!D:D,0))&amp;"-"&amp;INDEX(BDD!E:E,MATCH(P559,BDD!D:D,0))</f>
        <v>G-S</v>
      </c>
      <c r="C559" s="125" t="s">
        <v>484</v>
      </c>
      <c r="D559" s="150" t="s">
        <v>77</v>
      </c>
      <c r="E559" s="132"/>
      <c r="F559" s="24"/>
      <c r="G559" s="346">
        <v>8000000455</v>
      </c>
      <c r="H559" s="125" t="s">
        <v>2357</v>
      </c>
      <c r="I559" s="329"/>
      <c r="J559" s="346">
        <v>8000000455</v>
      </c>
      <c r="K559" s="24"/>
      <c r="L559" s="24"/>
      <c r="M559" s="24"/>
      <c r="N559" s="340" t="s">
        <v>486</v>
      </c>
      <c r="O559" s="334">
        <v>204712</v>
      </c>
      <c r="P559" s="25" t="s">
        <v>337</v>
      </c>
      <c r="Q559" s="127" t="s">
        <v>213</v>
      </c>
      <c r="R559" s="232" t="s">
        <v>2358</v>
      </c>
      <c r="S559" s="89">
        <v>43532</v>
      </c>
      <c r="T559" s="36" t="s">
        <v>19</v>
      </c>
      <c r="U559" s="125"/>
      <c r="V559" s="147" t="s">
        <v>2359</v>
      </c>
      <c r="W559" s="129"/>
      <c r="X559" s="88">
        <v>43581</v>
      </c>
      <c r="Y559" s="130" t="s">
        <v>20</v>
      </c>
      <c r="Z559" s="133" t="s">
        <v>60</v>
      </c>
      <c r="AA559" s="133"/>
      <c r="AB559" s="148">
        <v>858</v>
      </c>
      <c r="AC559" s="134">
        <v>160</v>
      </c>
      <c r="AD559" s="134"/>
      <c r="AE559" s="403">
        <f t="shared" si="27"/>
        <v>137280</v>
      </c>
      <c r="AF559" s="132">
        <v>30</v>
      </c>
      <c r="AG559" s="130" t="s">
        <v>21</v>
      </c>
      <c r="AH559" s="130"/>
      <c r="AI559" s="130" t="s">
        <v>47</v>
      </c>
      <c r="AJ559" s="130"/>
      <c r="AK559" s="130"/>
      <c r="AL559" s="135" t="s">
        <v>2346</v>
      </c>
      <c r="AM559" s="314"/>
      <c r="AN559" s="26"/>
      <c r="AO559" s="26"/>
      <c r="AP559" s="26"/>
      <c r="AQ559" s="26">
        <v>43623</v>
      </c>
      <c r="AR559" s="24"/>
      <c r="AS559" s="24"/>
      <c r="AT559" s="164">
        <v>43629</v>
      </c>
      <c r="AU559" s="418">
        <f t="shared" si="28"/>
        <v>6</v>
      </c>
      <c r="AV559" s="418">
        <f t="shared" si="29"/>
        <v>2019</v>
      </c>
      <c r="AW559" s="164"/>
      <c r="AX559" s="28"/>
      <c r="AY559" s="28" t="s">
        <v>139</v>
      </c>
      <c r="AZ559" s="132" t="s">
        <v>9</v>
      </c>
      <c r="BA559" s="132"/>
      <c r="BB559" s="164"/>
      <c r="BC559" s="135" t="s">
        <v>2360</v>
      </c>
      <c r="BD559" s="24">
        <v>43570</v>
      </c>
      <c r="BE559" s="135" t="s">
        <v>2361</v>
      </c>
      <c r="BF559" s="135" t="s">
        <v>2362</v>
      </c>
      <c r="BG559" s="135" t="s">
        <v>41</v>
      </c>
      <c r="BH559" s="135"/>
      <c r="BI559" s="314"/>
      <c r="BJ559" s="314"/>
      <c r="BK559" s="24"/>
      <c r="BL559" s="24"/>
      <c r="BM559" s="24"/>
      <c r="BN559" s="24"/>
      <c r="BO559" s="24"/>
      <c r="BP559" s="24"/>
      <c r="BQ559" s="24"/>
      <c r="BR559" s="43"/>
      <c r="BS559" s="24"/>
      <c r="BT559" s="24"/>
      <c r="BU559" s="24"/>
      <c r="BV559" s="132" t="e">
        <f>IF(#REF!="COMPLETO","OK","PENDIENTES")</f>
        <v>#REF!</v>
      </c>
      <c r="BW559" s="132"/>
      <c r="BX559" s="132"/>
      <c r="BY559" s="132"/>
      <c r="BZ559" s="132"/>
      <c r="CA559" s="132"/>
      <c r="CB559" s="132"/>
      <c r="CC559" s="22"/>
      <c r="CG559" s="24" t="s">
        <v>105</v>
      </c>
      <c r="CH559" s="24"/>
      <c r="CI559" s="164"/>
      <c r="CJ559" s="164"/>
    </row>
    <row r="560" spans="1:88" ht="15" customHeight="1">
      <c r="A560" s="18">
        <v>2019</v>
      </c>
      <c r="B560" s="18" t="str">
        <f>+INDEX(BDD!F:F,MATCH(P560,BDD!D:D,0))&amp;"-"&amp;INDEX(BDD!E:E,MATCH(P560,BDD!D:D,0))</f>
        <v>G-S</v>
      </c>
      <c r="C560" s="125" t="s">
        <v>484</v>
      </c>
      <c r="D560" s="150" t="s">
        <v>77</v>
      </c>
      <c r="E560" s="132"/>
      <c r="F560" s="24"/>
      <c r="G560" s="346">
        <v>8000000456</v>
      </c>
      <c r="H560" s="125" t="s">
        <v>2363</v>
      </c>
      <c r="I560" s="329"/>
      <c r="J560" s="346">
        <v>8000000456</v>
      </c>
      <c r="K560" s="24"/>
      <c r="L560" s="24"/>
      <c r="M560" s="24"/>
      <c r="N560" s="340" t="s">
        <v>486</v>
      </c>
      <c r="O560" s="334">
        <v>204712</v>
      </c>
      <c r="P560" s="25" t="s">
        <v>337</v>
      </c>
      <c r="Q560" s="127" t="s">
        <v>213</v>
      </c>
      <c r="R560" s="232" t="s">
        <v>2364</v>
      </c>
      <c r="S560" s="89">
        <v>43532</v>
      </c>
      <c r="T560" s="36" t="s">
        <v>19</v>
      </c>
      <c r="U560" s="125"/>
      <c r="V560" s="147" t="s">
        <v>2365</v>
      </c>
      <c r="W560" s="129"/>
      <c r="X560" s="88">
        <v>43591</v>
      </c>
      <c r="Y560" s="130" t="s">
        <v>20</v>
      </c>
      <c r="Z560" s="133" t="s">
        <v>60</v>
      </c>
      <c r="AA560" s="133"/>
      <c r="AB560" s="148">
        <v>114.4</v>
      </c>
      <c r="AC560" s="134">
        <v>160</v>
      </c>
      <c r="AD560" s="134"/>
      <c r="AE560" s="403">
        <f t="shared" si="27"/>
        <v>18304</v>
      </c>
      <c r="AF560" s="132">
        <v>4</v>
      </c>
      <c r="AG560" s="130" t="s">
        <v>21</v>
      </c>
      <c r="AH560" s="130"/>
      <c r="AI560" s="130" t="s">
        <v>47</v>
      </c>
      <c r="AJ560" s="130"/>
      <c r="AK560" s="130"/>
      <c r="AL560" s="135" t="s">
        <v>2346</v>
      </c>
      <c r="AM560" s="314"/>
      <c r="AN560" s="26"/>
      <c r="AO560" s="26"/>
      <c r="AP560" s="26"/>
      <c r="AQ560" s="26">
        <f>+BD560+AQ559-BD559</f>
        <v>43623</v>
      </c>
      <c r="AR560" s="24"/>
      <c r="AS560" s="24"/>
      <c r="AT560" s="164">
        <v>43629</v>
      </c>
      <c r="AU560" s="418">
        <f t="shared" si="28"/>
        <v>6</v>
      </c>
      <c r="AV560" s="418">
        <f t="shared" si="29"/>
        <v>2019</v>
      </c>
      <c r="AW560" s="164"/>
      <c r="AX560" s="28"/>
      <c r="AY560" s="28" t="s">
        <v>139</v>
      </c>
      <c r="AZ560" s="132" t="s">
        <v>9</v>
      </c>
      <c r="BA560" s="132"/>
      <c r="BB560" s="164"/>
      <c r="BC560" s="135" t="s">
        <v>2366</v>
      </c>
      <c r="BD560" s="24">
        <v>43570</v>
      </c>
      <c r="BE560" s="135" t="s">
        <v>2361</v>
      </c>
      <c r="BF560" s="135" t="s">
        <v>2362</v>
      </c>
      <c r="BG560" s="135" t="s">
        <v>41</v>
      </c>
      <c r="BH560" s="135"/>
      <c r="BI560" s="314"/>
      <c r="BJ560" s="314"/>
      <c r="BK560" s="24"/>
      <c r="BL560" s="24"/>
      <c r="BM560" s="24"/>
      <c r="BN560" s="24"/>
      <c r="BO560" s="24"/>
      <c r="BP560" s="24"/>
      <c r="BQ560" s="24"/>
      <c r="BR560" s="43"/>
      <c r="BS560" s="24"/>
      <c r="BT560" s="24"/>
      <c r="BU560" s="24"/>
      <c r="BV560" s="132" t="e">
        <f>IF(#REF!="COMPLETO","OK","PENDIENTES")</f>
        <v>#REF!</v>
      </c>
      <c r="BW560" s="132"/>
      <c r="BX560" s="132"/>
      <c r="BY560" s="132"/>
      <c r="BZ560" s="132"/>
      <c r="CA560" s="132"/>
      <c r="CB560" s="132"/>
      <c r="CC560" s="22"/>
      <c r="CG560" s="24" t="s">
        <v>105</v>
      </c>
      <c r="CH560" s="24"/>
      <c r="CI560" s="164"/>
      <c r="CJ560" s="164"/>
    </row>
    <row r="561" spans="1:88" ht="14.25" customHeight="1">
      <c r="A561" s="18">
        <v>2019</v>
      </c>
      <c r="B561" s="18" t="str">
        <f>+INDEX(BDD!F:F,MATCH(P561,BDD!D:D,0))&amp;"-"&amp;INDEX(BDD!E:E,MATCH(P561,BDD!D:D,0))</f>
        <v>S-S</v>
      </c>
      <c r="C561" s="125" t="s">
        <v>484</v>
      </c>
      <c r="D561" s="150" t="s">
        <v>77</v>
      </c>
      <c r="E561" s="132"/>
      <c r="F561" s="24"/>
      <c r="G561" s="346">
        <v>8000000422</v>
      </c>
      <c r="H561" s="125" t="s">
        <v>2367</v>
      </c>
      <c r="I561" s="329"/>
      <c r="J561" s="346">
        <v>8000000422</v>
      </c>
      <c r="K561" s="24"/>
      <c r="L561" s="24"/>
      <c r="M561" s="24"/>
      <c r="N561" s="340" t="s">
        <v>486</v>
      </c>
      <c r="O561" s="334">
        <v>207578</v>
      </c>
      <c r="P561" s="25" t="s">
        <v>316</v>
      </c>
      <c r="Q561" s="127" t="s">
        <v>213</v>
      </c>
      <c r="R561" s="232" t="s">
        <v>2368</v>
      </c>
      <c r="S561" s="89">
        <v>43523</v>
      </c>
      <c r="T561" s="36" t="s">
        <v>19</v>
      </c>
      <c r="U561" s="125"/>
      <c r="V561" s="147" t="s">
        <v>2369</v>
      </c>
      <c r="W561" s="129"/>
      <c r="X561" s="88">
        <v>43584</v>
      </c>
      <c r="Y561" s="130" t="s">
        <v>20</v>
      </c>
      <c r="Z561" s="133" t="s">
        <v>60</v>
      </c>
      <c r="AA561" s="133"/>
      <c r="AB561" s="148">
        <v>1176</v>
      </c>
      <c r="AC561" s="134">
        <v>247</v>
      </c>
      <c r="AD561" s="134"/>
      <c r="AE561" s="403">
        <f t="shared" si="27"/>
        <v>290472</v>
      </c>
      <c r="AF561" s="132">
        <v>42</v>
      </c>
      <c r="AG561" s="130" t="s">
        <v>5</v>
      </c>
      <c r="AH561" s="130"/>
      <c r="AI561" s="130" t="s">
        <v>34</v>
      </c>
      <c r="AJ561" s="130"/>
      <c r="AK561" s="130"/>
      <c r="AL561" s="135" t="s">
        <v>2346</v>
      </c>
      <c r="AM561" s="314"/>
      <c r="AN561" s="26"/>
      <c r="AO561" s="26"/>
      <c r="AP561" s="26"/>
      <c r="AQ561" s="26">
        <v>43589</v>
      </c>
      <c r="AR561" s="24"/>
      <c r="AS561" s="24"/>
      <c r="AT561" s="164">
        <v>43599</v>
      </c>
      <c r="AU561" s="418">
        <f t="shared" si="28"/>
        <v>5</v>
      </c>
      <c r="AV561" s="418">
        <f t="shared" si="29"/>
        <v>2019</v>
      </c>
      <c r="AW561" s="164"/>
      <c r="AX561" s="28"/>
      <c r="AY561" s="28" t="s">
        <v>311</v>
      </c>
      <c r="AZ561" s="132" t="s">
        <v>37</v>
      </c>
      <c r="BA561" s="132"/>
      <c r="BB561" s="164"/>
      <c r="BC561" s="135" t="s">
        <v>2370</v>
      </c>
      <c r="BD561" s="24">
        <v>43555</v>
      </c>
      <c r="BE561" s="135" t="s">
        <v>2371</v>
      </c>
      <c r="BF561" s="135" t="s">
        <v>2372</v>
      </c>
      <c r="BG561" s="135" t="s">
        <v>174</v>
      </c>
      <c r="BH561" s="135"/>
      <c r="BI561" s="314"/>
      <c r="BJ561" s="314"/>
      <c r="BK561" s="24"/>
      <c r="BL561" s="24"/>
      <c r="BM561" s="24"/>
      <c r="BN561" s="24"/>
      <c r="BO561" s="24"/>
      <c r="BP561" s="24"/>
      <c r="BQ561" s="24"/>
      <c r="BR561" s="43"/>
      <c r="BS561" s="24"/>
      <c r="BT561" s="24"/>
      <c r="BU561" s="24"/>
      <c r="BV561" s="132" t="e">
        <f>IF(#REF!="COMPLETO","OK","PENDIENTES")</f>
        <v>#REF!</v>
      </c>
      <c r="BW561" s="132"/>
      <c r="BX561" s="132"/>
      <c r="BY561" s="132"/>
      <c r="BZ561" s="132"/>
      <c r="CA561" s="132"/>
      <c r="CB561" s="132"/>
      <c r="CC561" s="22"/>
      <c r="CG561" s="24" t="s">
        <v>105</v>
      </c>
      <c r="CH561" s="24"/>
      <c r="CI561" s="164"/>
      <c r="CJ561" s="164"/>
    </row>
    <row r="562" spans="1:88" ht="15" customHeight="1">
      <c r="A562" s="18">
        <v>2019</v>
      </c>
      <c r="B562" s="18" t="str">
        <f>+INDEX(BDD!F:F,MATCH(P562,BDD!D:D,0))&amp;"-"&amp;INDEX(BDD!E:E,MATCH(P562,BDD!D:D,0))</f>
        <v>S-S</v>
      </c>
      <c r="C562" s="125" t="s">
        <v>484</v>
      </c>
      <c r="D562" s="150" t="s">
        <v>77</v>
      </c>
      <c r="E562" s="132"/>
      <c r="F562" s="24"/>
      <c r="G562" s="346">
        <v>8000000423</v>
      </c>
      <c r="H562" s="125" t="s">
        <v>2373</v>
      </c>
      <c r="I562" s="329"/>
      <c r="J562" s="346">
        <v>8000000423</v>
      </c>
      <c r="K562" s="24"/>
      <c r="L562" s="24"/>
      <c r="M562" s="24"/>
      <c r="N562" s="340" t="s">
        <v>486</v>
      </c>
      <c r="O562" s="334">
        <v>207578</v>
      </c>
      <c r="P562" s="25" t="s">
        <v>316</v>
      </c>
      <c r="Q562" s="127" t="s">
        <v>213</v>
      </c>
      <c r="R562" s="232" t="s">
        <v>2374</v>
      </c>
      <c r="S562" s="89">
        <v>43523</v>
      </c>
      <c r="T562" s="36" t="s">
        <v>19</v>
      </c>
      <c r="U562" s="125"/>
      <c r="V562" s="147" t="s">
        <v>2375</v>
      </c>
      <c r="W562" s="129"/>
      <c r="X562" s="88">
        <v>43584</v>
      </c>
      <c r="Y562" s="130" t="s">
        <v>20</v>
      </c>
      <c r="Z562" s="133" t="s">
        <v>60</v>
      </c>
      <c r="AA562" s="133"/>
      <c r="AB562" s="148">
        <v>448</v>
      </c>
      <c r="AC562" s="134">
        <v>252</v>
      </c>
      <c r="AD562" s="134"/>
      <c r="AE562" s="403">
        <f t="shared" si="27"/>
        <v>112896</v>
      </c>
      <c r="AF562" s="132">
        <v>16</v>
      </c>
      <c r="AG562" s="130" t="s">
        <v>5</v>
      </c>
      <c r="AH562" s="130"/>
      <c r="AI562" s="130" t="s">
        <v>34</v>
      </c>
      <c r="AJ562" s="130"/>
      <c r="AK562" s="130"/>
      <c r="AL562" s="135" t="s">
        <v>2346</v>
      </c>
      <c r="AM562" s="314"/>
      <c r="AN562" s="26"/>
      <c r="AO562" s="26"/>
      <c r="AP562" s="26"/>
      <c r="AQ562" s="26">
        <v>43591</v>
      </c>
      <c r="AR562" s="24"/>
      <c r="AS562" s="24"/>
      <c r="AT562" s="24">
        <v>43594</v>
      </c>
      <c r="AU562" s="418">
        <f t="shared" si="28"/>
        <v>5</v>
      </c>
      <c r="AV562" s="418">
        <f t="shared" si="29"/>
        <v>2019</v>
      </c>
      <c r="AW562" s="24"/>
      <c r="AX562" s="28"/>
      <c r="AY562" s="28" t="s">
        <v>311</v>
      </c>
      <c r="AZ562" s="132" t="s">
        <v>9</v>
      </c>
      <c r="BA562" s="132"/>
      <c r="BB562" s="24"/>
      <c r="BC562" s="135" t="s">
        <v>2376</v>
      </c>
      <c r="BD562" s="24">
        <v>43547</v>
      </c>
      <c r="BE562" s="135" t="s">
        <v>1800</v>
      </c>
      <c r="BF562" s="135" t="s">
        <v>932</v>
      </c>
      <c r="BG562" s="135" t="s">
        <v>29</v>
      </c>
      <c r="BH562" s="135"/>
      <c r="BI562" s="314"/>
      <c r="BJ562" s="314"/>
      <c r="BK562" s="24"/>
      <c r="BL562" s="24"/>
      <c r="BM562" s="24"/>
      <c r="BN562" s="24"/>
      <c r="BO562" s="24">
        <v>43605</v>
      </c>
      <c r="BP562" s="24"/>
      <c r="BQ562" s="24"/>
      <c r="BR562" s="43"/>
      <c r="BS562" s="24"/>
      <c r="BT562" s="24"/>
      <c r="BU562" s="24"/>
      <c r="BV562" s="132" t="e">
        <f>IF(#REF!="COMPLETO","OK","PENDIENTES")</f>
        <v>#REF!</v>
      </c>
      <c r="BW562" s="132"/>
      <c r="BX562" s="132"/>
      <c r="BY562" s="132"/>
      <c r="BZ562" s="132"/>
      <c r="CA562" s="132"/>
      <c r="CB562" s="132"/>
      <c r="CC562" s="22"/>
      <c r="CG562" s="24" t="s">
        <v>105</v>
      </c>
      <c r="CH562" s="24"/>
      <c r="CI562" s="24"/>
      <c r="CJ562" s="24"/>
    </row>
    <row r="563" spans="1:88" ht="15" customHeight="1">
      <c r="A563" s="18">
        <v>2019</v>
      </c>
      <c r="B563" s="18" t="str">
        <f>+INDEX(BDD!F:F,MATCH(P563,BDD!D:D,0))&amp;"-"&amp;INDEX(BDD!E:E,MATCH(P563,BDD!D:D,0))</f>
        <v>S-S</v>
      </c>
      <c r="C563" s="125" t="s">
        <v>484</v>
      </c>
      <c r="D563" s="150" t="s">
        <v>77</v>
      </c>
      <c r="E563" s="132"/>
      <c r="F563" s="24"/>
      <c r="G563" s="346">
        <v>8000000427</v>
      </c>
      <c r="H563" s="125" t="s">
        <v>2377</v>
      </c>
      <c r="I563" s="329"/>
      <c r="J563" s="346">
        <v>8000000427</v>
      </c>
      <c r="K563" s="24"/>
      <c r="L563" s="24"/>
      <c r="M563" s="24"/>
      <c r="N563" s="340" t="s">
        <v>486</v>
      </c>
      <c r="O563" s="334">
        <v>206971</v>
      </c>
      <c r="P563" s="25" t="s">
        <v>340</v>
      </c>
      <c r="Q563" s="127" t="s">
        <v>213</v>
      </c>
      <c r="R563" s="232" t="s">
        <v>2378</v>
      </c>
      <c r="S563" s="89">
        <v>43528</v>
      </c>
      <c r="T563" s="36" t="s">
        <v>19</v>
      </c>
      <c r="U563" s="125"/>
      <c r="V563" s="147" t="s">
        <v>2379</v>
      </c>
      <c r="W563" s="129"/>
      <c r="X563" s="88">
        <v>43581</v>
      </c>
      <c r="Y563" s="130" t="s">
        <v>20</v>
      </c>
      <c r="Z563" s="133" t="s">
        <v>60</v>
      </c>
      <c r="AA563" s="133"/>
      <c r="AB563" s="148">
        <v>400</v>
      </c>
      <c r="AC563" s="134">
        <v>523.5</v>
      </c>
      <c r="AD563" s="134"/>
      <c r="AE563" s="403">
        <f t="shared" si="27"/>
        <v>209400</v>
      </c>
      <c r="AF563" s="132">
        <v>16</v>
      </c>
      <c r="AG563" s="130" t="s">
        <v>5</v>
      </c>
      <c r="AH563" s="130"/>
      <c r="AI563" s="130" t="s">
        <v>34</v>
      </c>
      <c r="AJ563" s="130"/>
      <c r="AK563" s="130"/>
      <c r="AL563" s="135" t="s">
        <v>2346</v>
      </c>
      <c r="AM563" s="314"/>
      <c r="AN563" s="26"/>
      <c r="AO563" s="26"/>
      <c r="AP563" s="26"/>
      <c r="AQ563" s="26">
        <v>43602</v>
      </c>
      <c r="AR563" s="24"/>
      <c r="AS563" s="24"/>
      <c r="AT563" s="26">
        <v>43606</v>
      </c>
      <c r="AU563" s="418">
        <f t="shared" si="28"/>
        <v>5</v>
      </c>
      <c r="AV563" s="418">
        <f t="shared" si="29"/>
        <v>2019</v>
      </c>
      <c r="AW563" s="26"/>
      <c r="AX563" s="28"/>
      <c r="AY563" s="28" t="s">
        <v>193</v>
      </c>
      <c r="AZ563" s="132" t="s">
        <v>37</v>
      </c>
      <c r="BA563" s="132"/>
      <c r="BB563" s="26"/>
      <c r="BC563" s="135" t="s">
        <v>2380</v>
      </c>
      <c r="BD563" s="24">
        <v>43568</v>
      </c>
      <c r="BE563" s="135" t="s">
        <v>2381</v>
      </c>
      <c r="BF563" s="135" t="s">
        <v>2381</v>
      </c>
      <c r="BG563" s="135" t="s">
        <v>206</v>
      </c>
      <c r="BH563" s="135"/>
      <c r="BI563" s="314"/>
      <c r="BJ563" s="314"/>
      <c r="BK563" s="24"/>
      <c r="BL563" s="24"/>
      <c r="BM563" s="24"/>
      <c r="BN563" s="24"/>
      <c r="BO563" s="24"/>
      <c r="BP563" s="24"/>
      <c r="BQ563" s="24"/>
      <c r="BR563" s="43"/>
      <c r="BS563" s="24"/>
      <c r="BT563" s="24"/>
      <c r="BU563" s="24"/>
      <c r="BV563" s="132" t="e">
        <f>IF(#REF!="COMPLETO","OK","PENDIENTES")</f>
        <v>#REF!</v>
      </c>
      <c r="BW563" s="132"/>
      <c r="BX563" s="132"/>
      <c r="BY563" s="132"/>
      <c r="BZ563" s="132"/>
      <c r="CA563" s="132"/>
      <c r="CB563" s="132"/>
      <c r="CC563" s="22"/>
      <c r="CG563" s="24" t="s">
        <v>105</v>
      </c>
      <c r="CH563" s="24"/>
      <c r="CI563" s="26"/>
      <c r="CJ563" s="26"/>
    </row>
    <row r="564" spans="1:88" ht="15" customHeight="1">
      <c r="A564" s="18">
        <v>2019</v>
      </c>
      <c r="B564" s="18" t="str">
        <f>+INDEX(BDD!F:F,MATCH(P564,BDD!D:D,0))&amp;"-"&amp;INDEX(BDD!E:E,MATCH(P564,BDD!D:D,0))</f>
        <v>S-S</v>
      </c>
      <c r="C564" s="125" t="s">
        <v>484</v>
      </c>
      <c r="D564" s="150" t="s">
        <v>77</v>
      </c>
      <c r="E564" s="132"/>
      <c r="F564" s="24"/>
      <c r="G564" s="346">
        <v>8000000428</v>
      </c>
      <c r="H564" s="125" t="s">
        <v>2382</v>
      </c>
      <c r="I564" s="329"/>
      <c r="J564" s="346">
        <v>8000000428</v>
      </c>
      <c r="K564" s="24"/>
      <c r="L564" s="24"/>
      <c r="M564" s="24"/>
      <c r="N564" s="340" t="s">
        <v>486</v>
      </c>
      <c r="O564" s="334">
        <v>206971</v>
      </c>
      <c r="P564" s="25" t="s">
        <v>340</v>
      </c>
      <c r="Q564" s="127" t="s">
        <v>213</v>
      </c>
      <c r="R564" s="232" t="s">
        <v>2383</v>
      </c>
      <c r="S564" s="89">
        <v>43528</v>
      </c>
      <c r="T564" s="36" t="s">
        <v>19</v>
      </c>
      <c r="U564" s="125"/>
      <c r="V564" s="147" t="s">
        <v>2384</v>
      </c>
      <c r="W564" s="129"/>
      <c r="X564" s="88">
        <v>43578</v>
      </c>
      <c r="Y564" s="130" t="s">
        <v>20</v>
      </c>
      <c r="Z564" s="133" t="s">
        <v>60</v>
      </c>
      <c r="AA564" s="133"/>
      <c r="AB564" s="148">
        <v>500</v>
      </c>
      <c r="AC564" s="134">
        <v>528.5</v>
      </c>
      <c r="AD564" s="134"/>
      <c r="AE564" s="403">
        <f t="shared" si="27"/>
        <v>264250</v>
      </c>
      <c r="AF564" s="132">
        <v>20</v>
      </c>
      <c r="AG564" s="130" t="s">
        <v>5</v>
      </c>
      <c r="AH564" s="130"/>
      <c r="AI564" s="130" t="s">
        <v>34</v>
      </c>
      <c r="AJ564" s="130"/>
      <c r="AK564" s="130"/>
      <c r="AL564" s="135" t="s">
        <v>2346</v>
      </c>
      <c r="AM564" s="314"/>
      <c r="AN564" s="26"/>
      <c r="AO564" s="26"/>
      <c r="AP564" s="26"/>
      <c r="AQ564" s="26">
        <v>43606</v>
      </c>
      <c r="AR564" s="24"/>
      <c r="AS564" s="24"/>
      <c r="AT564" s="24">
        <v>43608</v>
      </c>
      <c r="AU564" s="418">
        <f t="shared" si="28"/>
        <v>5</v>
      </c>
      <c r="AV564" s="418">
        <f t="shared" si="29"/>
        <v>2019</v>
      </c>
      <c r="AW564" s="24"/>
      <c r="AX564" s="28"/>
      <c r="AY564" s="28" t="s">
        <v>193</v>
      </c>
      <c r="AZ564" s="132" t="s">
        <v>9</v>
      </c>
      <c r="BA564" s="132"/>
      <c r="BB564" s="24"/>
      <c r="BC564" s="135" t="s">
        <v>2385</v>
      </c>
      <c r="BD564" s="24">
        <v>43558</v>
      </c>
      <c r="BE564" s="135" t="s">
        <v>2386</v>
      </c>
      <c r="BF564" s="135" t="s">
        <v>2214</v>
      </c>
      <c r="BG564" s="135" t="s">
        <v>174</v>
      </c>
      <c r="BH564" s="135"/>
      <c r="BI564" s="314"/>
      <c r="BJ564" s="314"/>
      <c r="BK564" s="24"/>
      <c r="BL564" s="24"/>
      <c r="BM564" s="24"/>
      <c r="BN564" s="24"/>
      <c r="BO564" s="24">
        <v>43627</v>
      </c>
      <c r="BP564" s="24"/>
      <c r="BQ564" s="24"/>
      <c r="BR564" s="43"/>
      <c r="BS564" s="24"/>
      <c r="BT564" s="24"/>
      <c r="BU564" s="24"/>
      <c r="BV564" s="132" t="e">
        <f>IF(#REF!="COMPLETO","OK","PENDIENTES")</f>
        <v>#REF!</v>
      </c>
      <c r="BW564" s="132"/>
      <c r="BX564" s="132"/>
      <c r="BY564" s="132"/>
      <c r="BZ564" s="132"/>
      <c r="CA564" s="132"/>
      <c r="CB564" s="132"/>
      <c r="CC564" s="22"/>
      <c r="CG564" s="24" t="s">
        <v>105</v>
      </c>
      <c r="CH564" s="24"/>
      <c r="CI564" s="24"/>
      <c r="CJ564" s="24"/>
    </row>
    <row r="565" spans="1:88" ht="15" customHeight="1">
      <c r="A565" s="18">
        <v>2019</v>
      </c>
      <c r="B565" s="18" t="str">
        <f>+INDEX(BDD!F:F,MATCH(P565,BDD!D:D,0))&amp;"-"&amp;INDEX(BDD!E:E,MATCH(P565,BDD!D:D,0))</f>
        <v>S-S</v>
      </c>
      <c r="C565" s="125" t="s">
        <v>484</v>
      </c>
      <c r="D565" s="150" t="s">
        <v>77</v>
      </c>
      <c r="E565" s="132"/>
      <c r="F565" s="24"/>
      <c r="G565" s="346">
        <v>8000000429</v>
      </c>
      <c r="H565" s="125" t="s">
        <v>2387</v>
      </c>
      <c r="I565" s="329"/>
      <c r="J565" s="346">
        <v>8000000429</v>
      </c>
      <c r="K565" s="24"/>
      <c r="L565" s="24"/>
      <c r="M565" s="24"/>
      <c r="N565" s="340" t="s">
        <v>486</v>
      </c>
      <c r="O565" s="334">
        <v>206971</v>
      </c>
      <c r="P565" s="25" t="s">
        <v>340</v>
      </c>
      <c r="Q565" s="127" t="s">
        <v>213</v>
      </c>
      <c r="R565" s="232" t="s">
        <v>2383</v>
      </c>
      <c r="S565" s="89">
        <v>43528</v>
      </c>
      <c r="T565" s="36" t="s">
        <v>19</v>
      </c>
      <c r="U565" s="125"/>
      <c r="V565" s="147" t="s">
        <v>2388</v>
      </c>
      <c r="W565" s="129"/>
      <c r="X565" s="88">
        <v>43598</v>
      </c>
      <c r="Y565" s="130" t="s">
        <v>20</v>
      </c>
      <c r="Z565" s="133" t="s">
        <v>60</v>
      </c>
      <c r="AA565" s="133"/>
      <c r="AB565" s="148">
        <v>500</v>
      </c>
      <c r="AC565" s="134">
        <v>528.5</v>
      </c>
      <c r="AD565" s="134"/>
      <c r="AE565" s="403">
        <f t="shared" si="27"/>
        <v>264250</v>
      </c>
      <c r="AF565" s="132">
        <v>20</v>
      </c>
      <c r="AG565" s="130" t="s">
        <v>5</v>
      </c>
      <c r="AH565" s="130"/>
      <c r="AI565" s="130" t="s">
        <v>34</v>
      </c>
      <c r="AJ565" s="130"/>
      <c r="AK565" s="130"/>
      <c r="AL565" s="135" t="s">
        <v>2346</v>
      </c>
      <c r="AM565" s="314"/>
      <c r="AN565" s="26"/>
      <c r="AO565" s="26"/>
      <c r="AP565" s="26"/>
      <c r="AQ565" s="26">
        <v>43620</v>
      </c>
      <c r="AR565" s="24"/>
      <c r="AS565" s="24"/>
      <c r="AT565" s="24">
        <v>43621</v>
      </c>
      <c r="AU565" s="418">
        <f t="shared" si="28"/>
        <v>6</v>
      </c>
      <c r="AV565" s="418">
        <f t="shared" si="29"/>
        <v>2019</v>
      </c>
      <c r="AW565" s="24"/>
      <c r="AX565" s="28"/>
      <c r="AY565" s="28" t="s">
        <v>193</v>
      </c>
      <c r="AZ565" s="132" t="s">
        <v>9</v>
      </c>
      <c r="BA565" s="132"/>
      <c r="BB565" s="24"/>
      <c r="BC565" s="135" t="s">
        <v>2389</v>
      </c>
      <c r="BD565" s="24">
        <v>43579</v>
      </c>
      <c r="BE565" s="135" t="s">
        <v>2390</v>
      </c>
      <c r="BF565" s="135" t="s">
        <v>2391</v>
      </c>
      <c r="BG565" s="135" t="s">
        <v>174</v>
      </c>
      <c r="BH565" s="135"/>
      <c r="BI565" s="314"/>
      <c r="BJ565" s="314"/>
      <c r="BK565" s="24"/>
      <c r="BL565" s="24"/>
      <c r="BM565" s="24"/>
      <c r="BN565" s="24"/>
      <c r="BO565" s="24"/>
      <c r="BP565" s="24"/>
      <c r="BQ565" s="24"/>
      <c r="BR565" s="43"/>
      <c r="BS565" s="24"/>
      <c r="BT565" s="24"/>
      <c r="BU565" s="24"/>
      <c r="BV565" s="132" t="e">
        <f>IF(#REF!="COMPLETO","OK","PENDIENTES")</f>
        <v>#REF!</v>
      </c>
      <c r="BW565" s="132"/>
      <c r="BX565" s="132"/>
      <c r="BY565" s="132"/>
      <c r="BZ565" s="132"/>
      <c r="CA565" s="132"/>
      <c r="CB565" s="132"/>
      <c r="CC565" s="22"/>
      <c r="CG565" s="24" t="s">
        <v>105</v>
      </c>
      <c r="CH565" s="24"/>
      <c r="CI565" s="24"/>
      <c r="CJ565" s="24"/>
    </row>
    <row r="566" spans="1:88" ht="15" customHeight="1">
      <c r="A566" s="18">
        <v>2019</v>
      </c>
      <c r="B566" s="18" t="str">
        <f>+INDEX(BDD!F:F,MATCH(P566,BDD!D:D,0))&amp;"-"&amp;INDEX(BDD!E:E,MATCH(P566,BDD!D:D,0))</f>
        <v>S-S</v>
      </c>
      <c r="C566" s="125" t="s">
        <v>484</v>
      </c>
      <c r="D566" s="150" t="s">
        <v>77</v>
      </c>
      <c r="E566" s="132"/>
      <c r="F566" s="24"/>
      <c r="G566" s="346">
        <v>8000000430</v>
      </c>
      <c r="H566" s="125" t="s">
        <v>2392</v>
      </c>
      <c r="I566" s="329"/>
      <c r="J566" s="346">
        <v>8000000430</v>
      </c>
      <c r="K566" s="24"/>
      <c r="L566" s="24"/>
      <c r="M566" s="24"/>
      <c r="N566" s="340" t="s">
        <v>486</v>
      </c>
      <c r="O566" s="334">
        <v>206971</v>
      </c>
      <c r="P566" s="25" t="s">
        <v>340</v>
      </c>
      <c r="Q566" s="127" t="s">
        <v>213</v>
      </c>
      <c r="R566" s="232" t="s">
        <v>2383</v>
      </c>
      <c r="S566" s="89">
        <v>43528</v>
      </c>
      <c r="T566" s="36" t="s">
        <v>19</v>
      </c>
      <c r="U566" s="125"/>
      <c r="V566" s="235" t="s">
        <v>2393</v>
      </c>
      <c r="W566" s="151"/>
      <c r="X566" s="88">
        <v>43598</v>
      </c>
      <c r="Y566" s="130" t="s">
        <v>20</v>
      </c>
      <c r="Z566" s="133" t="s">
        <v>60</v>
      </c>
      <c r="AA566" s="133"/>
      <c r="AB566" s="148">
        <v>450</v>
      </c>
      <c r="AC566" s="134">
        <v>528.5</v>
      </c>
      <c r="AD566" s="134"/>
      <c r="AE566" s="403">
        <f t="shared" si="27"/>
        <v>237825</v>
      </c>
      <c r="AF566" s="132">
        <v>18</v>
      </c>
      <c r="AG566" s="130" t="s">
        <v>5</v>
      </c>
      <c r="AH566" s="130"/>
      <c r="AI566" s="130" t="s">
        <v>34</v>
      </c>
      <c r="AJ566" s="130"/>
      <c r="AK566" s="130"/>
      <c r="AL566" s="135" t="s">
        <v>2346</v>
      </c>
      <c r="AM566" s="314"/>
      <c r="AN566" s="26"/>
      <c r="AO566" s="26"/>
      <c r="AP566" s="26"/>
      <c r="AQ566" s="26">
        <v>43634</v>
      </c>
      <c r="AR566" s="24"/>
      <c r="AS566" s="24"/>
      <c r="AT566" s="26">
        <v>43636</v>
      </c>
      <c r="AU566" s="418">
        <f t="shared" si="28"/>
        <v>6</v>
      </c>
      <c r="AV566" s="418">
        <f t="shared" si="29"/>
        <v>2019</v>
      </c>
      <c r="AW566" s="26"/>
      <c r="AX566" s="28"/>
      <c r="AY566" s="28" t="s">
        <v>193</v>
      </c>
      <c r="AZ566" s="132" t="s">
        <v>9</v>
      </c>
      <c r="BA566" s="132"/>
      <c r="BB566" s="26"/>
      <c r="BC566" s="135" t="s">
        <v>2394</v>
      </c>
      <c r="BD566" s="24">
        <v>43586</v>
      </c>
      <c r="BE566" s="135" t="s">
        <v>2395</v>
      </c>
      <c r="BF566" s="135" t="s">
        <v>2214</v>
      </c>
      <c r="BG566" s="135" t="s">
        <v>174</v>
      </c>
      <c r="BH566" s="135"/>
      <c r="BI566" s="314"/>
      <c r="BJ566" s="314"/>
      <c r="BK566" s="24"/>
      <c r="BL566" s="24"/>
      <c r="BM566" s="24"/>
      <c r="BN566" s="24"/>
      <c r="BO566" s="24">
        <f>+AQ566+21</f>
        <v>43655</v>
      </c>
      <c r="BP566" s="24"/>
      <c r="BQ566" s="24"/>
      <c r="BR566" s="43"/>
      <c r="BS566" s="24"/>
      <c r="BT566" s="24"/>
      <c r="BU566" s="24"/>
      <c r="BV566" s="132" t="e">
        <f>IF(#REF!="COMPLETO","OK","PENDIENTES")</f>
        <v>#REF!</v>
      </c>
      <c r="BW566" s="132"/>
      <c r="BX566" s="132"/>
      <c r="BY566" s="132"/>
      <c r="BZ566" s="132"/>
      <c r="CA566" s="132"/>
      <c r="CB566" s="132"/>
      <c r="CC566" s="22"/>
      <c r="CG566" s="24" t="s">
        <v>105</v>
      </c>
      <c r="CH566" s="24"/>
      <c r="CI566" s="26"/>
      <c r="CJ566" s="26"/>
    </row>
    <row r="567" spans="1:88" ht="15" customHeight="1">
      <c r="A567" s="18">
        <v>2019</v>
      </c>
      <c r="B567" s="18" t="str">
        <f>+INDEX(BDD!F:F,MATCH(P567,BDD!D:D,0))&amp;"-"&amp;INDEX(BDD!E:E,MATCH(P567,BDD!D:D,0))</f>
        <v>S-S</v>
      </c>
      <c r="C567" s="125" t="s">
        <v>484</v>
      </c>
      <c r="D567" s="150" t="s">
        <v>77</v>
      </c>
      <c r="E567" s="132"/>
      <c r="F567" s="24"/>
      <c r="G567" s="346">
        <v>8000000431</v>
      </c>
      <c r="H567" s="125" t="s">
        <v>2396</v>
      </c>
      <c r="I567" s="329"/>
      <c r="J567" s="346">
        <v>8000000431</v>
      </c>
      <c r="K567" s="24"/>
      <c r="L567" s="24"/>
      <c r="M567" s="24"/>
      <c r="N567" s="340" t="s">
        <v>486</v>
      </c>
      <c r="O567" s="334">
        <v>206971</v>
      </c>
      <c r="P567" s="25" t="s">
        <v>340</v>
      </c>
      <c r="Q567" s="127" t="s">
        <v>213</v>
      </c>
      <c r="R567" s="232" t="s">
        <v>2383</v>
      </c>
      <c r="S567" s="89">
        <v>43528</v>
      </c>
      <c r="T567" s="36" t="s">
        <v>19</v>
      </c>
      <c r="U567" s="125"/>
      <c r="V567" s="235" t="s">
        <v>2397</v>
      </c>
      <c r="W567" s="151"/>
      <c r="X567" s="88">
        <v>43598</v>
      </c>
      <c r="Y567" s="130" t="s">
        <v>20</v>
      </c>
      <c r="Z567" s="133" t="s">
        <v>60</v>
      </c>
      <c r="AA567" s="133"/>
      <c r="AB567" s="148">
        <v>850</v>
      </c>
      <c r="AC567" s="134">
        <v>528.5</v>
      </c>
      <c r="AD567" s="134"/>
      <c r="AE567" s="403">
        <f t="shared" si="27"/>
        <v>449225</v>
      </c>
      <c r="AF567" s="132">
        <v>34</v>
      </c>
      <c r="AG567" s="130" t="s">
        <v>5</v>
      </c>
      <c r="AH567" s="130"/>
      <c r="AI567" s="130" t="s">
        <v>34</v>
      </c>
      <c r="AJ567" s="130"/>
      <c r="AK567" s="130"/>
      <c r="AL567" s="135" t="s">
        <v>2346</v>
      </c>
      <c r="AM567" s="314"/>
      <c r="AN567" s="26"/>
      <c r="AO567" s="26"/>
      <c r="AP567" s="26"/>
      <c r="AQ567" s="26">
        <v>43634</v>
      </c>
      <c r="AR567" s="24"/>
      <c r="AS567" s="24"/>
      <c r="AT567" s="26">
        <v>43636</v>
      </c>
      <c r="AU567" s="418">
        <f t="shared" si="28"/>
        <v>6</v>
      </c>
      <c r="AV567" s="418">
        <f t="shared" si="29"/>
        <v>2019</v>
      </c>
      <c r="AW567" s="26"/>
      <c r="AX567" s="28"/>
      <c r="AY567" s="28" t="s">
        <v>193</v>
      </c>
      <c r="AZ567" s="132" t="s">
        <v>9</v>
      </c>
      <c r="BA567" s="132"/>
      <c r="BB567" s="26"/>
      <c r="BC567" s="135" t="s">
        <v>2398</v>
      </c>
      <c r="BD567" s="24">
        <v>43586</v>
      </c>
      <c r="BE567" s="135" t="s">
        <v>2395</v>
      </c>
      <c r="BF567" s="135" t="s">
        <v>2214</v>
      </c>
      <c r="BG567" s="135" t="s">
        <v>174</v>
      </c>
      <c r="BH567" s="135"/>
      <c r="BI567" s="314"/>
      <c r="BJ567" s="314"/>
      <c r="BK567" s="24"/>
      <c r="BL567" s="24"/>
      <c r="BM567" s="24"/>
      <c r="BN567" s="24"/>
      <c r="BO567" s="24">
        <f>+AQ567+21</f>
        <v>43655</v>
      </c>
      <c r="BP567" s="24"/>
      <c r="BQ567" s="24"/>
      <c r="BR567" s="43"/>
      <c r="BS567" s="24"/>
      <c r="BT567" s="24"/>
      <c r="BU567" s="24"/>
      <c r="BV567" s="132" t="e">
        <f>IF(#REF!="COMPLETO","OK","PENDIENTES")</f>
        <v>#REF!</v>
      </c>
      <c r="BW567" s="132"/>
      <c r="BX567" s="132"/>
      <c r="BY567" s="132"/>
      <c r="BZ567" s="132"/>
      <c r="CA567" s="132"/>
      <c r="CB567" s="132"/>
      <c r="CC567" s="22"/>
      <c r="CG567" s="24" t="s">
        <v>105</v>
      </c>
      <c r="CH567" s="24"/>
      <c r="CI567" s="26"/>
      <c r="CJ567" s="26"/>
    </row>
    <row r="568" spans="1:88" ht="15" customHeight="1">
      <c r="A568" s="18">
        <v>2019</v>
      </c>
      <c r="B568" s="18" t="str">
        <f>+INDEX(BDD!F:F,MATCH(P568,BDD!D:D,0))&amp;"-"&amp;INDEX(BDD!E:E,MATCH(P568,BDD!D:D,0))</f>
        <v>S-C</v>
      </c>
      <c r="C568" s="125" t="s">
        <v>484</v>
      </c>
      <c r="D568" s="150" t="s">
        <v>77</v>
      </c>
      <c r="E568" s="132"/>
      <c r="F568" s="24"/>
      <c r="G568" s="346">
        <v>8000000416</v>
      </c>
      <c r="H568" s="125" t="s">
        <v>2399</v>
      </c>
      <c r="I568" s="329"/>
      <c r="J568" s="346">
        <v>8000000416</v>
      </c>
      <c r="K568" s="24"/>
      <c r="L568" s="24"/>
      <c r="M568" s="24"/>
      <c r="N568" s="340" t="s">
        <v>486</v>
      </c>
      <c r="O568" s="334">
        <v>207580</v>
      </c>
      <c r="P568" s="25" t="s">
        <v>241</v>
      </c>
      <c r="Q568" s="127" t="s">
        <v>213</v>
      </c>
      <c r="R568" s="232" t="s">
        <v>2400</v>
      </c>
      <c r="S568" s="89">
        <v>43528</v>
      </c>
      <c r="T568" s="36" t="s">
        <v>19</v>
      </c>
      <c r="U568" s="125"/>
      <c r="V568" s="147" t="s">
        <v>2401</v>
      </c>
      <c r="W568" s="129"/>
      <c r="X568" s="88">
        <f>+BD568+7</f>
        <v>43553</v>
      </c>
      <c r="Y568" s="130" t="s">
        <v>20</v>
      </c>
      <c r="Z568" s="133" t="s">
        <v>60</v>
      </c>
      <c r="AA568" s="133"/>
      <c r="AB568" s="148">
        <v>540</v>
      </c>
      <c r="AC568" s="134">
        <v>765</v>
      </c>
      <c r="AD568" s="134"/>
      <c r="AE568" s="403">
        <f t="shared" si="27"/>
        <v>413100</v>
      </c>
      <c r="AF568" s="132">
        <v>20</v>
      </c>
      <c r="AG568" s="130" t="s">
        <v>5</v>
      </c>
      <c r="AH568" s="130"/>
      <c r="AI568" s="130" t="s">
        <v>34</v>
      </c>
      <c r="AJ568" s="130"/>
      <c r="AK568" s="130"/>
      <c r="AL568" s="135" t="s">
        <v>2346</v>
      </c>
      <c r="AM568" s="314"/>
      <c r="AN568" s="26"/>
      <c r="AO568" s="26"/>
      <c r="AP568" s="26"/>
      <c r="AQ568" s="26">
        <v>43586</v>
      </c>
      <c r="AR568" s="24"/>
      <c r="AS568" s="24"/>
      <c r="AT568" s="24">
        <v>43591</v>
      </c>
      <c r="AU568" s="418">
        <f t="shared" si="28"/>
        <v>5</v>
      </c>
      <c r="AV568" s="418">
        <f t="shared" si="29"/>
        <v>2019</v>
      </c>
      <c r="AW568" s="24"/>
      <c r="AX568" s="28"/>
      <c r="AY568" s="28" t="s">
        <v>218</v>
      </c>
      <c r="AZ568" s="132" t="s">
        <v>37</v>
      </c>
      <c r="BA568" s="132"/>
      <c r="BB568" s="24"/>
      <c r="BC568" s="135" t="s">
        <v>2402</v>
      </c>
      <c r="BD568" s="26">
        <v>43546</v>
      </c>
      <c r="BE568" s="135" t="s">
        <v>2403</v>
      </c>
      <c r="BF568" s="135" t="s">
        <v>2404</v>
      </c>
      <c r="BG568" s="135" t="s">
        <v>29</v>
      </c>
      <c r="BH568" s="135"/>
      <c r="BI568" s="314"/>
      <c r="BJ568" s="314"/>
      <c r="BK568" s="24"/>
      <c r="BL568" s="24"/>
      <c r="BM568" s="24"/>
      <c r="BN568" s="24"/>
      <c r="BO568" s="24"/>
      <c r="BP568" s="24"/>
      <c r="BQ568" s="24"/>
      <c r="BR568" s="43"/>
      <c r="BS568" s="24"/>
      <c r="BT568" s="24"/>
      <c r="BU568" s="24"/>
      <c r="BV568" s="132" t="e">
        <f>IF(#REF!="COMPLETO","OK","PENDIENTES")</f>
        <v>#REF!</v>
      </c>
      <c r="BW568" s="132"/>
      <c r="BX568" s="132"/>
      <c r="BY568" s="132"/>
      <c r="BZ568" s="132"/>
      <c r="CA568" s="132"/>
      <c r="CB568" s="132"/>
      <c r="CC568" s="22"/>
      <c r="CG568" s="24" t="s">
        <v>105</v>
      </c>
      <c r="CH568" s="24"/>
      <c r="CI568" s="24"/>
      <c r="CJ568" s="24"/>
    </row>
    <row r="569" spans="1:88" ht="15" customHeight="1">
      <c r="A569" s="18">
        <v>2019</v>
      </c>
      <c r="B569" s="18" t="str">
        <f>+INDEX(BDD!F:F,MATCH(P569,BDD!D:D,0))&amp;"-"&amp;INDEX(BDD!E:E,MATCH(P569,BDD!D:D,0))</f>
        <v>S-C</v>
      </c>
      <c r="C569" s="125" t="s">
        <v>484</v>
      </c>
      <c r="D569" s="150" t="s">
        <v>77</v>
      </c>
      <c r="E569" s="132"/>
      <c r="F569" s="24"/>
      <c r="G569" s="346">
        <v>8000000421</v>
      </c>
      <c r="H569" s="125" t="s">
        <v>2405</v>
      </c>
      <c r="I569" s="329"/>
      <c r="J569" s="346">
        <v>8000000421</v>
      </c>
      <c r="K569" s="24"/>
      <c r="L569" s="24"/>
      <c r="M569" s="24"/>
      <c r="N569" s="340" t="s">
        <v>486</v>
      </c>
      <c r="O569" s="334">
        <v>207580</v>
      </c>
      <c r="P569" s="25" t="s">
        <v>241</v>
      </c>
      <c r="Q569" s="127" t="s">
        <v>213</v>
      </c>
      <c r="R569" s="232" t="s">
        <v>2406</v>
      </c>
      <c r="S569" s="89">
        <v>43528</v>
      </c>
      <c r="T569" s="36" t="s">
        <v>19</v>
      </c>
      <c r="U569" s="125"/>
      <c r="V569" s="147" t="s">
        <v>2407</v>
      </c>
      <c r="W569" s="129"/>
      <c r="X569" s="88">
        <v>43558</v>
      </c>
      <c r="Y569" s="130" t="s">
        <v>20</v>
      </c>
      <c r="Z569" s="133" t="s">
        <v>60</v>
      </c>
      <c r="AA569" s="133"/>
      <c r="AB569" s="148">
        <v>756</v>
      </c>
      <c r="AC569" s="134">
        <v>775</v>
      </c>
      <c r="AD569" s="134"/>
      <c r="AE569" s="403">
        <f t="shared" si="27"/>
        <v>585900</v>
      </c>
      <c r="AF569" s="132">
        <v>28</v>
      </c>
      <c r="AG569" s="130" t="s">
        <v>5</v>
      </c>
      <c r="AH569" s="130"/>
      <c r="AI569" s="130" t="s">
        <v>34</v>
      </c>
      <c r="AJ569" s="130"/>
      <c r="AK569" s="130"/>
      <c r="AL569" s="135" t="s">
        <v>2346</v>
      </c>
      <c r="AM569" s="314"/>
      <c r="AN569" s="26"/>
      <c r="AO569" s="26"/>
      <c r="AP569" s="26"/>
      <c r="AQ569" s="26">
        <v>43591</v>
      </c>
      <c r="AR569" s="24"/>
      <c r="AS569" s="24"/>
      <c r="AT569" s="26">
        <v>43593</v>
      </c>
      <c r="AU569" s="418">
        <f t="shared" si="28"/>
        <v>5</v>
      </c>
      <c r="AV569" s="418">
        <f t="shared" si="29"/>
        <v>2019</v>
      </c>
      <c r="AW569" s="26"/>
      <c r="AX569" s="28"/>
      <c r="AY569" s="28" t="s">
        <v>218</v>
      </c>
      <c r="AZ569" s="132" t="s">
        <v>9</v>
      </c>
      <c r="BA569" s="132"/>
      <c r="BB569" s="26"/>
      <c r="BC569" s="135" t="s">
        <v>2408</v>
      </c>
      <c r="BD569" s="26">
        <v>43546</v>
      </c>
      <c r="BE569" s="135" t="s">
        <v>2403</v>
      </c>
      <c r="BF569" s="135" t="s">
        <v>932</v>
      </c>
      <c r="BG569" s="135" t="s">
        <v>29</v>
      </c>
      <c r="BH569" s="135"/>
      <c r="BI569" s="314"/>
      <c r="BJ569" s="314"/>
      <c r="BK569" s="24"/>
      <c r="BL569" s="24"/>
      <c r="BM569" s="24"/>
      <c r="BN569" s="24"/>
      <c r="BO569" s="24">
        <v>43608</v>
      </c>
      <c r="BP569" s="24"/>
      <c r="BQ569" s="24"/>
      <c r="BR569" s="43"/>
      <c r="BS569" s="24"/>
      <c r="BT569" s="24"/>
      <c r="BU569" s="24"/>
      <c r="BV569" s="132" t="e">
        <f>IF(#REF!="COMPLETO","OK","PENDIENTES")</f>
        <v>#REF!</v>
      </c>
      <c r="BW569" s="132"/>
      <c r="BX569" s="132"/>
      <c r="BY569" s="132"/>
      <c r="BZ569" s="132"/>
      <c r="CA569" s="132"/>
      <c r="CB569" s="132"/>
      <c r="CC569" s="22"/>
      <c r="CG569" s="24" t="s">
        <v>105</v>
      </c>
      <c r="CH569" s="24"/>
      <c r="CI569" s="26"/>
      <c r="CJ569" s="26"/>
    </row>
    <row r="570" spans="1:88" ht="15" customHeight="1">
      <c r="A570" s="18">
        <v>2019</v>
      </c>
      <c r="B570" s="18" t="str">
        <f>+INDEX(BDD!F:F,MATCH(P570,BDD!D:D,0))&amp;"-"&amp;INDEX(BDD!E:E,MATCH(P570,BDD!D:D,0))</f>
        <v>E-S</v>
      </c>
      <c r="C570" s="125" t="s">
        <v>484</v>
      </c>
      <c r="D570" s="150" t="s">
        <v>77</v>
      </c>
      <c r="E570" s="132"/>
      <c r="F570" s="24"/>
      <c r="G570" s="346">
        <v>8000000376</v>
      </c>
      <c r="H570" s="125" t="s">
        <v>2409</v>
      </c>
      <c r="I570" s="329"/>
      <c r="J570" s="346">
        <v>8000000376</v>
      </c>
      <c r="K570" s="24"/>
      <c r="L570" s="24"/>
      <c r="M570" s="24"/>
      <c r="N570" s="340" t="s">
        <v>486</v>
      </c>
      <c r="O570" s="334">
        <v>208053</v>
      </c>
      <c r="P570" s="25" t="s">
        <v>111</v>
      </c>
      <c r="Q570" s="127" t="s">
        <v>276</v>
      </c>
      <c r="R570" s="232" t="s">
        <v>2410</v>
      </c>
      <c r="S570" s="89">
        <v>43529</v>
      </c>
      <c r="T570" s="36">
        <v>120</v>
      </c>
      <c r="U570" s="125" t="s">
        <v>131</v>
      </c>
      <c r="V570" s="147" t="s">
        <v>2411</v>
      </c>
      <c r="W570" s="129"/>
      <c r="X570" s="88">
        <v>43685</v>
      </c>
      <c r="Y570" s="130" t="s">
        <v>20</v>
      </c>
      <c r="Z570" s="133" t="s">
        <v>81</v>
      </c>
      <c r="AA570" s="133"/>
      <c r="AB570" s="148">
        <v>100</v>
      </c>
      <c r="AC570" s="134">
        <v>340</v>
      </c>
      <c r="AD570" s="134"/>
      <c r="AE570" s="403">
        <f t="shared" si="27"/>
        <v>34000</v>
      </c>
      <c r="AF570" s="132" t="s">
        <v>944</v>
      </c>
      <c r="AG570" s="130" t="s">
        <v>58</v>
      </c>
      <c r="AH570" s="130"/>
      <c r="AI570" s="130" t="s">
        <v>71</v>
      </c>
      <c r="AJ570" s="130"/>
      <c r="AK570" s="130"/>
      <c r="AL570" s="135" t="s">
        <v>2184</v>
      </c>
      <c r="AM570" s="314"/>
      <c r="AN570" s="26"/>
      <c r="AO570" s="26"/>
      <c r="AP570" s="26"/>
      <c r="AQ570" s="26">
        <v>43612</v>
      </c>
      <c r="AR570" s="24"/>
      <c r="AS570" s="24"/>
      <c r="AT570" s="26">
        <v>43620</v>
      </c>
      <c r="AU570" s="418">
        <f t="shared" si="28"/>
        <v>6</v>
      </c>
      <c r="AV570" s="418">
        <f t="shared" si="29"/>
        <v>2019</v>
      </c>
      <c r="AW570" s="26"/>
      <c r="AX570" s="28"/>
      <c r="AY570" s="28" t="s">
        <v>95</v>
      </c>
      <c r="AZ570" s="132" t="s">
        <v>37</v>
      </c>
      <c r="BA570" s="132"/>
      <c r="BB570" s="26"/>
      <c r="BC570" s="135" t="s">
        <v>2412</v>
      </c>
      <c r="BD570" s="24">
        <v>43564</v>
      </c>
      <c r="BE570" s="135" t="s">
        <v>794</v>
      </c>
      <c r="BF570" s="135" t="s">
        <v>794</v>
      </c>
      <c r="BG570" s="135" t="s">
        <v>52</v>
      </c>
      <c r="BH570" s="135"/>
      <c r="BI570" s="314"/>
      <c r="BJ570" s="314"/>
      <c r="BK570" s="24"/>
      <c r="BL570" s="24"/>
      <c r="BM570" s="24"/>
      <c r="BN570" s="24"/>
      <c r="BO570" s="24"/>
      <c r="BP570" s="24"/>
      <c r="BQ570" s="24"/>
      <c r="BR570" s="43"/>
      <c r="BS570" s="24"/>
      <c r="BT570" s="24"/>
      <c r="BU570" s="24"/>
      <c r="BV570" s="132" t="e">
        <f>IF(#REF!="COMPLETO","OK","PENDIENTES")</f>
        <v>#REF!</v>
      </c>
      <c r="BW570" s="132"/>
      <c r="BX570" s="132"/>
      <c r="BY570" s="132"/>
      <c r="BZ570" s="132"/>
      <c r="CA570" s="132"/>
      <c r="CB570" s="132"/>
      <c r="CC570" s="22"/>
      <c r="CG570" s="24" t="s">
        <v>105</v>
      </c>
      <c r="CH570" s="24"/>
      <c r="CI570" s="26"/>
      <c r="CJ570" s="26"/>
    </row>
    <row r="571" spans="1:88" ht="15" customHeight="1">
      <c r="A571" s="18">
        <v>2019</v>
      </c>
      <c r="B571" s="18" t="str">
        <f>+INDEX(BDD!F:F,MATCH(P571,BDD!D:D,0))&amp;"-"&amp;INDEX(BDD!E:E,MATCH(P571,BDD!D:D,0))</f>
        <v>E-S</v>
      </c>
      <c r="C571" s="125" t="s">
        <v>484</v>
      </c>
      <c r="D571" s="150" t="s">
        <v>77</v>
      </c>
      <c r="E571" s="132"/>
      <c r="F571" s="24"/>
      <c r="G571" s="346">
        <v>8000000379</v>
      </c>
      <c r="H571" s="125" t="s">
        <v>2413</v>
      </c>
      <c r="I571" s="329"/>
      <c r="J571" s="346">
        <v>8000000379</v>
      </c>
      <c r="K571" s="24"/>
      <c r="L571" s="24"/>
      <c r="M571" s="24"/>
      <c r="N571" s="340" t="s">
        <v>486</v>
      </c>
      <c r="O571" s="334">
        <v>209986</v>
      </c>
      <c r="P571" s="25" t="s">
        <v>208</v>
      </c>
      <c r="Q571" s="127" t="s">
        <v>222</v>
      </c>
      <c r="R571" s="232" t="s">
        <v>2414</v>
      </c>
      <c r="S571" s="89">
        <v>43529</v>
      </c>
      <c r="T571" s="36">
        <v>30</v>
      </c>
      <c r="U571" s="125" t="s">
        <v>118</v>
      </c>
      <c r="V571" s="147" t="s">
        <v>2415</v>
      </c>
      <c r="W571" s="129"/>
      <c r="X571" s="88">
        <v>43584</v>
      </c>
      <c r="Y571" s="130" t="s">
        <v>20</v>
      </c>
      <c r="Z571" s="133" t="s">
        <v>60</v>
      </c>
      <c r="AA571" s="133"/>
      <c r="AB571" s="148">
        <v>52</v>
      </c>
      <c r="AC571" s="134">
        <v>280</v>
      </c>
      <c r="AD571" s="134"/>
      <c r="AE571" s="403">
        <f t="shared" si="27"/>
        <v>14560</v>
      </c>
      <c r="AF571" s="132">
        <v>2</v>
      </c>
      <c r="AG571" s="130" t="s">
        <v>5</v>
      </c>
      <c r="AH571" s="130"/>
      <c r="AI571" s="130" t="s">
        <v>47</v>
      </c>
      <c r="AJ571" s="130"/>
      <c r="AK571" s="130"/>
      <c r="AL571" s="135" t="s">
        <v>2184</v>
      </c>
      <c r="AM571" s="314"/>
      <c r="AN571" s="26"/>
      <c r="AO571" s="26"/>
      <c r="AP571" s="26"/>
      <c r="AQ571" s="26">
        <v>43560</v>
      </c>
      <c r="AR571" s="24"/>
      <c r="AS571" s="24"/>
      <c r="AT571" s="24">
        <v>43571</v>
      </c>
      <c r="AU571" s="418">
        <f t="shared" si="28"/>
        <v>4</v>
      </c>
      <c r="AV571" s="418">
        <f t="shared" si="29"/>
        <v>2019</v>
      </c>
      <c r="AW571" s="24"/>
      <c r="AX571" s="28"/>
      <c r="AY571" s="28" t="s">
        <v>263</v>
      </c>
      <c r="AZ571" s="132" t="s">
        <v>37</v>
      </c>
      <c r="BA571" s="132"/>
      <c r="BB571" s="24"/>
      <c r="BC571" s="135" t="s">
        <v>2416</v>
      </c>
      <c r="BD571" s="26">
        <v>43555</v>
      </c>
      <c r="BE571" s="135" t="s">
        <v>2417</v>
      </c>
      <c r="BF571" s="135" t="s">
        <v>2417</v>
      </c>
      <c r="BG571" s="135" t="s">
        <v>74</v>
      </c>
      <c r="BH571" s="135"/>
      <c r="BI571" s="314"/>
      <c r="BJ571" s="314"/>
      <c r="BK571" s="24"/>
      <c r="BL571" s="24"/>
      <c r="BM571" s="24"/>
      <c r="BN571" s="24"/>
      <c r="BO571" s="24"/>
      <c r="BP571" s="24"/>
      <c r="BQ571" s="24"/>
      <c r="BR571" s="43"/>
      <c r="BS571" s="24"/>
      <c r="BT571" s="24"/>
      <c r="BU571" s="24"/>
      <c r="BV571" s="132" t="e">
        <f>IF(#REF!="COMPLETO","OK","PENDIENTES")</f>
        <v>#REF!</v>
      </c>
      <c r="BW571" s="132"/>
      <c r="BX571" s="132"/>
      <c r="BY571" s="132"/>
      <c r="BZ571" s="132"/>
      <c r="CA571" s="132"/>
      <c r="CB571" s="132"/>
      <c r="CC571" s="22"/>
      <c r="CG571" s="24" t="s">
        <v>105</v>
      </c>
      <c r="CH571" s="24"/>
      <c r="CI571" s="24"/>
      <c r="CJ571" s="24"/>
    </row>
    <row r="572" spans="1:88" ht="15" customHeight="1">
      <c r="A572" s="18">
        <v>2019</v>
      </c>
      <c r="B572" s="18" t="str">
        <f>+INDEX(BDD!F:F,MATCH(P572,BDD!D:D,0))&amp;"-"&amp;INDEX(BDD!E:E,MATCH(P572,BDD!D:D,0))</f>
        <v>E-S</v>
      </c>
      <c r="C572" s="125" t="s">
        <v>484</v>
      </c>
      <c r="D572" s="150" t="s">
        <v>77</v>
      </c>
      <c r="E572" s="132"/>
      <c r="F572" s="24"/>
      <c r="G572" s="346">
        <v>8000000380</v>
      </c>
      <c r="H572" s="125" t="s">
        <v>2418</v>
      </c>
      <c r="I572" s="329"/>
      <c r="J572" s="346">
        <v>8000000380</v>
      </c>
      <c r="K572" s="24"/>
      <c r="L572" s="24"/>
      <c r="M572" s="24"/>
      <c r="N572" s="340" t="s">
        <v>486</v>
      </c>
      <c r="O572" s="334">
        <v>209986</v>
      </c>
      <c r="P572" s="25" t="s">
        <v>208</v>
      </c>
      <c r="Q572" s="127" t="s">
        <v>222</v>
      </c>
      <c r="R572" s="232" t="s">
        <v>2419</v>
      </c>
      <c r="S572" s="89">
        <v>43529</v>
      </c>
      <c r="T572" s="36">
        <v>30</v>
      </c>
      <c r="U572" s="125" t="s">
        <v>118</v>
      </c>
      <c r="V572" s="147" t="s">
        <v>2420</v>
      </c>
      <c r="W572" s="129"/>
      <c r="X572" s="88">
        <v>43594</v>
      </c>
      <c r="Y572" s="130" t="s">
        <v>20</v>
      </c>
      <c r="Z572" s="133" t="s">
        <v>60</v>
      </c>
      <c r="AA572" s="133"/>
      <c r="AB572" s="148">
        <v>52</v>
      </c>
      <c r="AC572" s="134">
        <v>286</v>
      </c>
      <c r="AD572" s="134"/>
      <c r="AE572" s="403">
        <f t="shared" si="27"/>
        <v>14872</v>
      </c>
      <c r="AF572" s="132">
        <v>2</v>
      </c>
      <c r="AG572" s="130" t="s">
        <v>5</v>
      </c>
      <c r="AH572" s="130"/>
      <c r="AI572" s="130" t="s">
        <v>47</v>
      </c>
      <c r="AJ572" s="130"/>
      <c r="AK572" s="130"/>
      <c r="AL572" s="135" t="s">
        <v>2184</v>
      </c>
      <c r="AM572" s="314"/>
      <c r="AN572" s="26"/>
      <c r="AO572" s="26"/>
      <c r="AP572" s="26"/>
      <c r="AQ572" s="26">
        <v>43570</v>
      </c>
      <c r="AR572" s="24"/>
      <c r="AS572" s="24"/>
      <c r="AT572" s="24">
        <v>43571</v>
      </c>
      <c r="AU572" s="418">
        <f t="shared" si="28"/>
        <v>4</v>
      </c>
      <c r="AV572" s="418">
        <f t="shared" si="29"/>
        <v>2019</v>
      </c>
      <c r="AW572" s="24"/>
      <c r="AX572" s="28"/>
      <c r="AY572" s="28" t="s">
        <v>263</v>
      </c>
      <c r="AZ572" s="132" t="s">
        <v>9</v>
      </c>
      <c r="BA572" s="132"/>
      <c r="BB572" s="24"/>
      <c r="BC572" s="135" t="s">
        <v>2421</v>
      </c>
      <c r="BD572" s="26">
        <v>43558</v>
      </c>
      <c r="BE572" s="135" t="s">
        <v>2422</v>
      </c>
      <c r="BF572" s="135" t="s">
        <v>932</v>
      </c>
      <c r="BG572" s="135" t="s">
        <v>128</v>
      </c>
      <c r="BH572" s="135"/>
      <c r="BI572" s="314"/>
      <c r="BJ572" s="314"/>
      <c r="BK572" s="24"/>
      <c r="BL572" s="24"/>
      <c r="BM572" s="24"/>
      <c r="BN572" s="24"/>
      <c r="BO572" s="24">
        <f>+AQ572+5</f>
        <v>43575</v>
      </c>
      <c r="BP572" s="24"/>
      <c r="BQ572" s="24"/>
      <c r="BR572" s="43"/>
      <c r="BS572" s="24"/>
      <c r="BT572" s="24"/>
      <c r="BU572" s="24"/>
      <c r="BV572" s="132" t="e">
        <f>IF(#REF!="COMPLETO","OK","PENDIENTES")</f>
        <v>#REF!</v>
      </c>
      <c r="BW572" s="132"/>
      <c r="BX572" s="132"/>
      <c r="BY572" s="132"/>
      <c r="BZ572" s="132"/>
      <c r="CA572" s="132"/>
      <c r="CB572" s="132"/>
      <c r="CC572" s="22"/>
      <c r="CG572" s="24" t="s">
        <v>105</v>
      </c>
      <c r="CH572" s="24"/>
      <c r="CI572" s="24"/>
      <c r="CJ572" s="24"/>
    </row>
    <row r="573" spans="1:88" ht="15" customHeight="1">
      <c r="A573" s="18">
        <v>2019</v>
      </c>
      <c r="B573" s="18" t="str">
        <f>+INDEX(BDD!F:F,MATCH(P573,BDD!D:D,0))&amp;"-"&amp;INDEX(BDD!E:E,MATCH(P573,BDD!D:D,0))</f>
        <v>B-S</v>
      </c>
      <c r="C573" s="125" t="s">
        <v>484</v>
      </c>
      <c r="D573" s="150" t="s">
        <v>77</v>
      </c>
      <c r="E573" s="132"/>
      <c r="F573" s="24"/>
      <c r="G573" s="346">
        <v>8000000388</v>
      </c>
      <c r="H573" s="125" t="s">
        <v>2423</v>
      </c>
      <c r="I573" s="329"/>
      <c r="J573" s="346">
        <v>8000000388</v>
      </c>
      <c r="K573" s="24"/>
      <c r="L573" s="24"/>
      <c r="M573" s="24"/>
      <c r="N573" s="340" t="s">
        <v>486</v>
      </c>
      <c r="O573" s="334">
        <v>206603</v>
      </c>
      <c r="P573" s="186" t="s">
        <v>359</v>
      </c>
      <c r="Q573" s="127" t="s">
        <v>191</v>
      </c>
      <c r="R573" s="232" t="s">
        <v>2424</v>
      </c>
      <c r="S573" s="89">
        <v>43530</v>
      </c>
      <c r="T573" s="36">
        <v>120</v>
      </c>
      <c r="U573" s="125" t="s">
        <v>131</v>
      </c>
      <c r="V573" s="147" t="s">
        <v>2425</v>
      </c>
      <c r="W573" s="129"/>
      <c r="X573" s="88">
        <v>43685</v>
      </c>
      <c r="Y573" s="130" t="s">
        <v>20</v>
      </c>
      <c r="Z573" s="133" t="s">
        <v>81</v>
      </c>
      <c r="AA573" s="133"/>
      <c r="AB573" s="238">
        <v>0.79200000000000004</v>
      </c>
      <c r="AC573" s="134">
        <v>18671.229892761392</v>
      </c>
      <c r="AD573" s="134"/>
      <c r="AE573" s="403">
        <f t="shared" si="27"/>
        <v>14787.614075067024</v>
      </c>
      <c r="AF573" s="132"/>
      <c r="AG573" s="130" t="s">
        <v>5</v>
      </c>
      <c r="AH573" s="130"/>
      <c r="AI573" s="130" t="s">
        <v>119</v>
      </c>
      <c r="AJ573" s="130"/>
      <c r="AK573" s="130"/>
      <c r="AL573" s="135" t="s">
        <v>1316</v>
      </c>
      <c r="AM573" s="314"/>
      <c r="AN573" s="26"/>
      <c r="AO573" s="26"/>
      <c r="AP573" s="26"/>
      <c r="AQ573" s="26">
        <v>43585</v>
      </c>
      <c r="AR573" s="24"/>
      <c r="AS573" s="24"/>
      <c r="AT573" s="164">
        <v>43588</v>
      </c>
      <c r="AU573" s="418">
        <f t="shared" si="28"/>
        <v>5</v>
      </c>
      <c r="AV573" s="418">
        <f t="shared" si="29"/>
        <v>2019</v>
      </c>
      <c r="AW573" s="164"/>
      <c r="AX573" s="28"/>
      <c r="AY573" s="28" t="s">
        <v>299</v>
      </c>
      <c r="AZ573" s="132" t="s">
        <v>37</v>
      </c>
      <c r="BA573" s="132"/>
      <c r="BB573" s="164"/>
      <c r="BC573" s="135" t="s">
        <v>2426</v>
      </c>
      <c r="BD573" s="24">
        <v>43566</v>
      </c>
      <c r="BE573" s="135" t="s">
        <v>2427</v>
      </c>
      <c r="BF573" s="135" t="s">
        <v>2427</v>
      </c>
      <c r="BG573" s="135" t="s">
        <v>186</v>
      </c>
      <c r="BH573" s="135"/>
      <c r="BI573" s="314"/>
      <c r="BJ573" s="314"/>
      <c r="BK573" s="24"/>
      <c r="BL573" s="24"/>
      <c r="BM573" s="24"/>
      <c r="BN573" s="24"/>
      <c r="BO573" s="24"/>
      <c r="BP573" s="24"/>
      <c r="BQ573" s="24"/>
      <c r="BR573" s="43"/>
      <c r="BS573" s="24"/>
      <c r="BT573" s="24"/>
      <c r="BU573" s="24"/>
      <c r="BV573" s="132" t="e">
        <f>IF(#REF!="COMPLETO","OK","PENDIENTES")</f>
        <v>#REF!</v>
      </c>
      <c r="BW573" s="132"/>
      <c r="BX573" s="132"/>
      <c r="BY573" s="132"/>
      <c r="BZ573" s="132"/>
      <c r="CA573" s="132"/>
      <c r="CB573" s="132"/>
      <c r="CC573" s="22"/>
      <c r="CG573" s="24" t="s">
        <v>105</v>
      </c>
      <c r="CH573" s="24"/>
      <c r="CI573" s="164"/>
      <c r="CJ573" s="164"/>
    </row>
    <row r="574" spans="1:88" ht="15" customHeight="1">
      <c r="A574" s="18">
        <v>2019</v>
      </c>
      <c r="B574" s="18" t="str">
        <f>+INDEX(BDD!F:F,MATCH(P574,BDD!D:D,0))&amp;"-"&amp;INDEX(BDD!E:E,MATCH(P574,BDD!D:D,0))</f>
        <v>B-S</v>
      </c>
      <c r="C574" s="125" t="s">
        <v>484</v>
      </c>
      <c r="D574" s="150" t="s">
        <v>77</v>
      </c>
      <c r="E574" s="132"/>
      <c r="F574" s="24"/>
      <c r="G574" s="346">
        <v>8000000388</v>
      </c>
      <c r="H574" s="125" t="s">
        <v>2428</v>
      </c>
      <c r="I574" s="329"/>
      <c r="J574" s="346">
        <v>8000000388</v>
      </c>
      <c r="K574" s="24"/>
      <c r="L574" s="24"/>
      <c r="M574" s="24"/>
      <c r="N574" s="340" t="s">
        <v>486</v>
      </c>
      <c r="O574" s="334">
        <v>206604</v>
      </c>
      <c r="P574" s="186" t="s">
        <v>360</v>
      </c>
      <c r="Q574" s="127" t="s">
        <v>191</v>
      </c>
      <c r="R574" s="232" t="s">
        <v>2424</v>
      </c>
      <c r="S574" s="89">
        <v>43530</v>
      </c>
      <c r="T574" s="36">
        <v>120</v>
      </c>
      <c r="U574" s="125" t="s">
        <v>131</v>
      </c>
      <c r="V574" s="147" t="s">
        <v>2425</v>
      </c>
      <c r="W574" s="129"/>
      <c r="X574" s="88">
        <v>43685</v>
      </c>
      <c r="Y574" s="130" t="s">
        <v>20</v>
      </c>
      <c r="Z574" s="133" t="s">
        <v>81</v>
      </c>
      <c r="AA574" s="133"/>
      <c r="AB574" s="238">
        <v>1</v>
      </c>
      <c r="AC574" s="134">
        <v>17471.229892761396</v>
      </c>
      <c r="AD574" s="134"/>
      <c r="AE574" s="403">
        <f t="shared" si="27"/>
        <v>17471.229892761396</v>
      </c>
      <c r="AF574" s="132"/>
      <c r="AG574" s="130" t="s">
        <v>5</v>
      </c>
      <c r="AH574" s="130"/>
      <c r="AI574" s="130" t="s">
        <v>121</v>
      </c>
      <c r="AJ574" s="130"/>
      <c r="AK574" s="130"/>
      <c r="AL574" s="135" t="s">
        <v>1316</v>
      </c>
      <c r="AM574" s="314"/>
      <c r="AN574" s="26"/>
      <c r="AO574" s="26"/>
      <c r="AP574" s="26"/>
      <c r="AQ574" s="26">
        <v>43585</v>
      </c>
      <c r="AR574" s="24"/>
      <c r="AS574" s="24"/>
      <c r="AT574" s="164">
        <v>43588</v>
      </c>
      <c r="AU574" s="418">
        <f t="shared" si="28"/>
        <v>5</v>
      </c>
      <c r="AV574" s="418">
        <f t="shared" si="29"/>
        <v>2019</v>
      </c>
      <c r="AW574" s="164"/>
      <c r="AX574" s="28"/>
      <c r="AY574" s="28" t="s">
        <v>299</v>
      </c>
      <c r="AZ574" s="132" t="s">
        <v>37</v>
      </c>
      <c r="BA574" s="132"/>
      <c r="BB574" s="164"/>
      <c r="BC574" s="135" t="s">
        <v>2426</v>
      </c>
      <c r="BD574" s="24">
        <v>43566</v>
      </c>
      <c r="BE574" s="135" t="s">
        <v>2427</v>
      </c>
      <c r="BF574" s="135" t="s">
        <v>2427</v>
      </c>
      <c r="BG574" s="135" t="s">
        <v>186</v>
      </c>
      <c r="BH574" s="135"/>
      <c r="BI574" s="314"/>
      <c r="BJ574" s="314"/>
      <c r="BK574" s="24"/>
      <c r="BL574" s="24"/>
      <c r="BM574" s="24"/>
      <c r="BN574" s="24"/>
      <c r="BO574" s="24"/>
      <c r="BP574" s="24"/>
      <c r="BQ574" s="24"/>
      <c r="BR574" s="43"/>
      <c r="BS574" s="24"/>
      <c r="BT574" s="24"/>
      <c r="BU574" s="24"/>
      <c r="BV574" s="132" t="e">
        <f>IF(#REF!="COMPLETO","OK","PENDIENTES")</f>
        <v>#REF!</v>
      </c>
      <c r="BW574" s="132"/>
      <c r="BX574" s="132"/>
      <c r="BY574" s="132"/>
      <c r="BZ574" s="132"/>
      <c r="CA574" s="132"/>
      <c r="CB574" s="132"/>
      <c r="CC574" s="22"/>
      <c r="CG574" s="24" t="s">
        <v>105</v>
      </c>
      <c r="CH574" s="24"/>
      <c r="CI574" s="164"/>
      <c r="CJ574" s="164"/>
    </row>
    <row r="575" spans="1:88" ht="15" customHeight="1">
      <c r="A575" s="18">
        <v>2019</v>
      </c>
      <c r="B575" s="18" t="str">
        <f>+INDEX(BDD!F:F,MATCH(P575,BDD!D:D,0))&amp;"-"&amp;INDEX(BDD!E:E,MATCH(P575,BDD!D:D,0))</f>
        <v>B-S</v>
      </c>
      <c r="C575" s="125" t="s">
        <v>484</v>
      </c>
      <c r="D575" s="150" t="s">
        <v>77</v>
      </c>
      <c r="E575" s="132"/>
      <c r="F575" s="24"/>
      <c r="G575" s="346">
        <v>8000000388</v>
      </c>
      <c r="H575" s="125" t="s">
        <v>2429</v>
      </c>
      <c r="I575" s="329"/>
      <c r="J575" s="346">
        <v>8000000388</v>
      </c>
      <c r="K575" s="24"/>
      <c r="L575" s="24"/>
      <c r="M575" s="24"/>
      <c r="N575" s="340" t="s">
        <v>486</v>
      </c>
      <c r="O575" s="334">
        <v>206612</v>
      </c>
      <c r="P575" s="186" t="s">
        <v>361</v>
      </c>
      <c r="Q575" s="127" t="s">
        <v>191</v>
      </c>
      <c r="R575" s="232" t="s">
        <v>2424</v>
      </c>
      <c r="S575" s="89">
        <v>43530</v>
      </c>
      <c r="T575" s="36">
        <v>120</v>
      </c>
      <c r="U575" s="125" t="s">
        <v>131</v>
      </c>
      <c r="V575" s="147" t="s">
        <v>2425</v>
      </c>
      <c r="W575" s="129"/>
      <c r="X575" s="88">
        <v>43685</v>
      </c>
      <c r="Y575" s="130" t="s">
        <v>20</v>
      </c>
      <c r="Z575" s="133" t="s">
        <v>81</v>
      </c>
      <c r="AA575" s="133"/>
      <c r="AB575" s="238">
        <v>1.2</v>
      </c>
      <c r="AC575" s="134">
        <v>4721.2298927613938</v>
      </c>
      <c r="AD575" s="134"/>
      <c r="AE575" s="403">
        <f t="shared" si="27"/>
        <v>5665.4758713136725</v>
      </c>
      <c r="AF575" s="132"/>
      <c r="AG575" s="130" t="s">
        <v>5</v>
      </c>
      <c r="AH575" s="130"/>
      <c r="AI575" s="130" t="s">
        <v>34</v>
      </c>
      <c r="AJ575" s="130"/>
      <c r="AK575" s="130"/>
      <c r="AL575" s="135" t="s">
        <v>1316</v>
      </c>
      <c r="AM575" s="314"/>
      <c r="AN575" s="26"/>
      <c r="AO575" s="26"/>
      <c r="AP575" s="26"/>
      <c r="AQ575" s="26">
        <v>43585</v>
      </c>
      <c r="AR575" s="24"/>
      <c r="AS575" s="24"/>
      <c r="AT575" s="164">
        <v>43588</v>
      </c>
      <c r="AU575" s="418">
        <f t="shared" si="28"/>
        <v>5</v>
      </c>
      <c r="AV575" s="418">
        <f t="shared" si="29"/>
        <v>2019</v>
      </c>
      <c r="AW575" s="164"/>
      <c r="AX575" s="28"/>
      <c r="AY575" s="28" t="s">
        <v>299</v>
      </c>
      <c r="AZ575" s="132" t="s">
        <v>37</v>
      </c>
      <c r="BA575" s="132"/>
      <c r="BB575" s="164"/>
      <c r="BC575" s="135" t="s">
        <v>2426</v>
      </c>
      <c r="BD575" s="24">
        <v>43566</v>
      </c>
      <c r="BE575" s="135" t="s">
        <v>2427</v>
      </c>
      <c r="BF575" s="135" t="s">
        <v>2427</v>
      </c>
      <c r="BG575" s="135" t="s">
        <v>186</v>
      </c>
      <c r="BH575" s="135"/>
      <c r="BI575" s="314"/>
      <c r="BJ575" s="314"/>
      <c r="BK575" s="24"/>
      <c r="BL575" s="24"/>
      <c r="BM575" s="24"/>
      <c r="BN575" s="24"/>
      <c r="BO575" s="24"/>
      <c r="BP575" s="24"/>
      <c r="BQ575" s="24"/>
      <c r="BR575" s="43"/>
      <c r="BS575" s="24"/>
      <c r="BT575" s="24"/>
      <c r="BU575" s="24"/>
      <c r="BV575" s="132" t="e">
        <f>IF(#REF!="COMPLETO","OK","PENDIENTES")</f>
        <v>#REF!</v>
      </c>
      <c r="BW575" s="132"/>
      <c r="BX575" s="132"/>
      <c r="BY575" s="132"/>
      <c r="BZ575" s="132"/>
      <c r="CA575" s="132"/>
      <c r="CB575" s="132"/>
      <c r="CC575" s="22"/>
      <c r="CG575" s="24" t="s">
        <v>105</v>
      </c>
      <c r="CH575" s="24"/>
      <c r="CI575" s="164"/>
      <c r="CJ575" s="164"/>
    </row>
    <row r="576" spans="1:88" ht="15" customHeight="1">
      <c r="A576" s="18">
        <v>2019</v>
      </c>
      <c r="B576" s="18" t="str">
        <f>+INDEX(BDD!F:F,MATCH(P576,BDD!D:D,0))&amp;"-"&amp;INDEX(BDD!E:E,MATCH(P576,BDD!D:D,0))</f>
        <v>B-S</v>
      </c>
      <c r="C576" s="125" t="s">
        <v>484</v>
      </c>
      <c r="D576" s="150" t="s">
        <v>77</v>
      </c>
      <c r="E576" s="132"/>
      <c r="F576" s="24"/>
      <c r="G576" s="346">
        <v>8000000388</v>
      </c>
      <c r="H576" s="125" t="s">
        <v>2430</v>
      </c>
      <c r="I576" s="329"/>
      <c r="J576" s="346">
        <v>8000000388</v>
      </c>
      <c r="K576" s="24"/>
      <c r="L576" s="24"/>
      <c r="M576" s="24"/>
      <c r="N576" s="340" t="s">
        <v>486</v>
      </c>
      <c r="O576" s="334">
        <v>206606</v>
      </c>
      <c r="P576" s="186" t="s">
        <v>367</v>
      </c>
      <c r="Q576" s="127" t="s">
        <v>191</v>
      </c>
      <c r="R576" s="232" t="s">
        <v>2424</v>
      </c>
      <c r="S576" s="89">
        <v>43530</v>
      </c>
      <c r="T576" s="36">
        <v>120</v>
      </c>
      <c r="U576" s="125" t="s">
        <v>131</v>
      </c>
      <c r="V576" s="147" t="s">
        <v>2425</v>
      </c>
      <c r="W576" s="129"/>
      <c r="X576" s="88">
        <v>43685</v>
      </c>
      <c r="Y576" s="130" t="s">
        <v>20</v>
      </c>
      <c r="Z576" s="133" t="s">
        <v>81</v>
      </c>
      <c r="AA576" s="133"/>
      <c r="AB576" s="238">
        <v>0.79200000000000004</v>
      </c>
      <c r="AC576" s="134">
        <v>6771.2298927613947</v>
      </c>
      <c r="AD576" s="134"/>
      <c r="AE576" s="403">
        <f t="shared" si="27"/>
        <v>5362.8140750670245</v>
      </c>
      <c r="AF576" s="132"/>
      <c r="AG576" s="130" t="s">
        <v>5</v>
      </c>
      <c r="AH576" s="130"/>
      <c r="AI576" s="130" t="s">
        <v>119</v>
      </c>
      <c r="AJ576" s="130"/>
      <c r="AK576" s="130"/>
      <c r="AL576" s="135" t="s">
        <v>1316</v>
      </c>
      <c r="AM576" s="314"/>
      <c r="AN576" s="26"/>
      <c r="AO576" s="26"/>
      <c r="AP576" s="26"/>
      <c r="AQ576" s="26">
        <v>43585</v>
      </c>
      <c r="AR576" s="24"/>
      <c r="AS576" s="24"/>
      <c r="AT576" s="164">
        <v>43588</v>
      </c>
      <c r="AU576" s="418">
        <f t="shared" si="28"/>
        <v>5</v>
      </c>
      <c r="AV576" s="418">
        <f t="shared" si="29"/>
        <v>2019</v>
      </c>
      <c r="AW576" s="164"/>
      <c r="AX576" s="28"/>
      <c r="AY576" s="28" t="s">
        <v>299</v>
      </c>
      <c r="AZ576" s="132" t="s">
        <v>37</v>
      </c>
      <c r="BA576" s="132"/>
      <c r="BB576" s="164"/>
      <c r="BC576" s="135" t="s">
        <v>2426</v>
      </c>
      <c r="BD576" s="24">
        <v>43566</v>
      </c>
      <c r="BE576" s="135" t="s">
        <v>2427</v>
      </c>
      <c r="BF576" s="135" t="s">
        <v>2427</v>
      </c>
      <c r="BG576" s="135" t="s">
        <v>186</v>
      </c>
      <c r="BH576" s="135"/>
      <c r="BI576" s="314"/>
      <c r="BJ576" s="314"/>
      <c r="BK576" s="24"/>
      <c r="BL576" s="24"/>
      <c r="BM576" s="24"/>
      <c r="BN576" s="24"/>
      <c r="BO576" s="24"/>
      <c r="BP576" s="24"/>
      <c r="BQ576" s="24"/>
      <c r="BR576" s="43"/>
      <c r="BS576" s="24"/>
      <c r="BT576" s="24"/>
      <c r="BU576" s="24"/>
      <c r="BV576" s="132" t="e">
        <f>IF(#REF!="COMPLETO","OK","PENDIENTES")</f>
        <v>#REF!</v>
      </c>
      <c r="BW576" s="132"/>
      <c r="BX576" s="132"/>
      <c r="BY576" s="132"/>
      <c r="BZ576" s="132"/>
      <c r="CA576" s="132"/>
      <c r="CB576" s="132"/>
      <c r="CC576" s="22"/>
      <c r="CG576" s="24" t="s">
        <v>105</v>
      </c>
      <c r="CH576" s="24"/>
      <c r="CI576" s="164"/>
      <c r="CJ576" s="164"/>
    </row>
    <row r="577" spans="1:88" ht="15" customHeight="1">
      <c r="A577" s="18">
        <v>2019</v>
      </c>
      <c r="B577" s="18" t="str">
        <f>+INDEX(BDD!F:F,MATCH(P577,BDD!D:D,0))&amp;"-"&amp;INDEX(BDD!E:E,MATCH(P577,BDD!D:D,0))</f>
        <v>B-S</v>
      </c>
      <c r="C577" s="125" t="s">
        <v>484</v>
      </c>
      <c r="D577" s="150" t="s">
        <v>77</v>
      </c>
      <c r="E577" s="132"/>
      <c r="F577" s="24"/>
      <c r="G577" s="346">
        <v>8000000388</v>
      </c>
      <c r="H577" s="125" t="s">
        <v>2431</v>
      </c>
      <c r="I577" s="329"/>
      <c r="J577" s="346">
        <v>8000000388</v>
      </c>
      <c r="K577" s="24"/>
      <c r="L577" s="24"/>
      <c r="M577" s="24"/>
      <c r="N577" s="340" t="s">
        <v>486</v>
      </c>
      <c r="O577" s="334">
        <v>206607</v>
      </c>
      <c r="P577" s="186" t="s">
        <v>368</v>
      </c>
      <c r="Q577" s="127" t="s">
        <v>191</v>
      </c>
      <c r="R577" s="232" t="s">
        <v>2424</v>
      </c>
      <c r="S577" s="89">
        <v>43530</v>
      </c>
      <c r="T577" s="36">
        <v>120</v>
      </c>
      <c r="U577" s="125" t="s">
        <v>131</v>
      </c>
      <c r="V577" s="147" t="s">
        <v>2425</v>
      </c>
      <c r="W577" s="129"/>
      <c r="X577" s="88">
        <v>43685</v>
      </c>
      <c r="Y577" s="130" t="s">
        <v>20</v>
      </c>
      <c r="Z577" s="133" t="s">
        <v>81</v>
      </c>
      <c r="AA577" s="133"/>
      <c r="AB577" s="238">
        <v>1</v>
      </c>
      <c r="AC577" s="134">
        <v>5571.2298927613938</v>
      </c>
      <c r="AD577" s="134"/>
      <c r="AE577" s="403">
        <f t="shared" si="27"/>
        <v>5571.2298927613938</v>
      </c>
      <c r="AF577" s="132"/>
      <c r="AG577" s="130" t="s">
        <v>5</v>
      </c>
      <c r="AH577" s="130"/>
      <c r="AI577" s="130" t="s">
        <v>121</v>
      </c>
      <c r="AJ577" s="130"/>
      <c r="AK577" s="130"/>
      <c r="AL577" s="135" t="s">
        <v>1316</v>
      </c>
      <c r="AM577" s="314"/>
      <c r="AN577" s="26"/>
      <c r="AO577" s="26"/>
      <c r="AP577" s="26"/>
      <c r="AQ577" s="26">
        <v>43585</v>
      </c>
      <c r="AR577" s="24"/>
      <c r="AS577" s="24"/>
      <c r="AT577" s="164">
        <v>43588</v>
      </c>
      <c r="AU577" s="418">
        <f t="shared" si="28"/>
        <v>5</v>
      </c>
      <c r="AV577" s="418">
        <f t="shared" si="29"/>
        <v>2019</v>
      </c>
      <c r="AW577" s="164"/>
      <c r="AX577" s="28"/>
      <c r="AY577" s="28" t="s">
        <v>299</v>
      </c>
      <c r="AZ577" s="132" t="s">
        <v>37</v>
      </c>
      <c r="BA577" s="132"/>
      <c r="BB577" s="164"/>
      <c r="BC577" s="135" t="s">
        <v>2426</v>
      </c>
      <c r="BD577" s="24">
        <v>43566</v>
      </c>
      <c r="BE577" s="135" t="s">
        <v>2427</v>
      </c>
      <c r="BF577" s="135" t="s">
        <v>2427</v>
      </c>
      <c r="BG577" s="135" t="s">
        <v>186</v>
      </c>
      <c r="BH577" s="135"/>
      <c r="BI577" s="314"/>
      <c r="BJ577" s="314"/>
      <c r="BK577" s="24"/>
      <c r="BL577" s="24"/>
      <c r="BM577" s="24"/>
      <c r="BN577" s="24"/>
      <c r="BO577" s="24"/>
      <c r="BP577" s="24"/>
      <c r="BQ577" s="24"/>
      <c r="BR577" s="43"/>
      <c r="BS577" s="24"/>
      <c r="BT577" s="24"/>
      <c r="BU577" s="24"/>
      <c r="BV577" s="132" t="e">
        <f>IF(#REF!="COMPLETO","OK","PENDIENTES")</f>
        <v>#REF!</v>
      </c>
      <c r="BW577" s="132"/>
      <c r="BX577" s="132"/>
      <c r="BY577" s="132"/>
      <c r="BZ577" s="132"/>
      <c r="CA577" s="132"/>
      <c r="CB577" s="132"/>
      <c r="CC577" s="22"/>
      <c r="CG577" s="24" t="s">
        <v>105</v>
      </c>
      <c r="CH577" s="24"/>
      <c r="CI577" s="164"/>
      <c r="CJ577" s="164"/>
    </row>
    <row r="578" spans="1:88" ht="15" customHeight="1">
      <c r="A578" s="18">
        <v>2019</v>
      </c>
      <c r="B578" s="18" t="str">
        <f>+INDEX(BDD!F:F,MATCH(P578,BDD!D:D,0))&amp;"-"&amp;INDEX(BDD!E:E,MATCH(P578,BDD!D:D,0))</f>
        <v>B-S</v>
      </c>
      <c r="C578" s="125" t="s">
        <v>484</v>
      </c>
      <c r="D578" s="150" t="s">
        <v>77</v>
      </c>
      <c r="E578" s="132"/>
      <c r="F578" s="24"/>
      <c r="G578" s="346">
        <v>8000000388</v>
      </c>
      <c r="H578" s="125" t="s">
        <v>2432</v>
      </c>
      <c r="I578" s="329"/>
      <c r="J578" s="346">
        <v>8000000388</v>
      </c>
      <c r="K578" s="24"/>
      <c r="L578" s="24"/>
      <c r="M578" s="24"/>
      <c r="N578" s="340" t="s">
        <v>486</v>
      </c>
      <c r="O578" s="334">
        <v>206608</v>
      </c>
      <c r="P578" s="186" t="s">
        <v>369</v>
      </c>
      <c r="Q578" s="127" t="s">
        <v>191</v>
      </c>
      <c r="R578" s="232" t="s">
        <v>2424</v>
      </c>
      <c r="S578" s="89">
        <v>43530</v>
      </c>
      <c r="T578" s="36">
        <v>120</v>
      </c>
      <c r="U578" s="125" t="s">
        <v>131</v>
      </c>
      <c r="V578" s="147" t="s">
        <v>2425</v>
      </c>
      <c r="W578" s="129"/>
      <c r="X578" s="88">
        <v>43685</v>
      </c>
      <c r="Y578" s="130" t="s">
        <v>20</v>
      </c>
      <c r="Z578" s="133" t="s">
        <v>81</v>
      </c>
      <c r="AA578" s="133"/>
      <c r="AB578" s="238">
        <v>1.5840000000000001</v>
      </c>
      <c r="AC578" s="134">
        <v>48271.229892761388</v>
      </c>
      <c r="AD578" s="134"/>
      <c r="AE578" s="403">
        <f t="shared" ref="AE578:AE641" si="30">AB578*AC578</f>
        <v>76461.628150134042</v>
      </c>
      <c r="AF578" s="132"/>
      <c r="AG578" s="130" t="s">
        <v>5</v>
      </c>
      <c r="AH578" s="130"/>
      <c r="AI578" s="130" t="s">
        <v>119</v>
      </c>
      <c r="AJ578" s="130"/>
      <c r="AK578" s="130"/>
      <c r="AL578" s="135" t="s">
        <v>1316</v>
      </c>
      <c r="AM578" s="314"/>
      <c r="AN578" s="26"/>
      <c r="AO578" s="26"/>
      <c r="AP578" s="26"/>
      <c r="AQ578" s="26">
        <v>43585</v>
      </c>
      <c r="AR578" s="24"/>
      <c r="AS578" s="24"/>
      <c r="AT578" s="164">
        <v>43588</v>
      </c>
      <c r="AU578" s="418">
        <f t="shared" si="28"/>
        <v>5</v>
      </c>
      <c r="AV578" s="418">
        <f t="shared" si="29"/>
        <v>2019</v>
      </c>
      <c r="AW578" s="164"/>
      <c r="AX578" s="28"/>
      <c r="AY578" s="28" t="s">
        <v>299</v>
      </c>
      <c r="AZ578" s="132" t="s">
        <v>37</v>
      </c>
      <c r="BA578" s="132"/>
      <c r="BB578" s="164"/>
      <c r="BC578" s="135" t="s">
        <v>2426</v>
      </c>
      <c r="BD578" s="24">
        <v>43566</v>
      </c>
      <c r="BE578" s="135" t="s">
        <v>2427</v>
      </c>
      <c r="BF578" s="135" t="s">
        <v>2427</v>
      </c>
      <c r="BG578" s="135" t="s">
        <v>186</v>
      </c>
      <c r="BH578" s="135"/>
      <c r="BI578" s="314"/>
      <c r="BJ578" s="314"/>
      <c r="BK578" s="24"/>
      <c r="BL578" s="24"/>
      <c r="BM578" s="24"/>
      <c r="BN578" s="24"/>
      <c r="BO578" s="24"/>
      <c r="BP578" s="24"/>
      <c r="BQ578" s="24"/>
      <c r="BR578" s="43"/>
      <c r="BS578" s="24"/>
      <c r="BT578" s="24"/>
      <c r="BU578" s="24"/>
      <c r="BV578" s="132" t="e">
        <f>IF(#REF!="COMPLETO","OK","PENDIENTES")</f>
        <v>#REF!</v>
      </c>
      <c r="BW578" s="132"/>
      <c r="BX578" s="132"/>
      <c r="BY578" s="132"/>
      <c r="BZ578" s="132"/>
      <c r="CA578" s="132"/>
      <c r="CB578" s="132"/>
      <c r="CC578" s="22"/>
      <c r="CG578" s="24" t="s">
        <v>105</v>
      </c>
      <c r="CH578" s="24"/>
      <c r="CI578" s="164"/>
      <c r="CJ578" s="164"/>
    </row>
    <row r="579" spans="1:88" ht="15" customHeight="1">
      <c r="A579" s="18">
        <v>2019</v>
      </c>
      <c r="B579" s="18" t="str">
        <f>+INDEX(BDD!F:F,MATCH(P579,BDD!D:D,0))&amp;"-"&amp;INDEX(BDD!E:E,MATCH(P579,BDD!D:D,0))</f>
        <v>B-S</v>
      </c>
      <c r="C579" s="125" t="s">
        <v>484</v>
      </c>
      <c r="D579" s="150" t="s">
        <v>77</v>
      </c>
      <c r="E579" s="132"/>
      <c r="F579" s="24"/>
      <c r="G579" s="346">
        <v>8000000388</v>
      </c>
      <c r="H579" s="125" t="s">
        <v>2433</v>
      </c>
      <c r="I579" s="329"/>
      <c r="J579" s="346">
        <v>8000000388</v>
      </c>
      <c r="K579" s="24"/>
      <c r="L579" s="24"/>
      <c r="M579" s="24"/>
      <c r="N579" s="340" t="s">
        <v>486</v>
      </c>
      <c r="O579" s="334">
        <v>206609</v>
      </c>
      <c r="P579" s="186" t="s">
        <v>371</v>
      </c>
      <c r="Q579" s="127" t="s">
        <v>191</v>
      </c>
      <c r="R579" s="232" t="s">
        <v>2424</v>
      </c>
      <c r="S579" s="89">
        <v>43530</v>
      </c>
      <c r="T579" s="36">
        <v>120</v>
      </c>
      <c r="U579" s="125" t="s">
        <v>131</v>
      </c>
      <c r="V579" s="147" t="s">
        <v>2425</v>
      </c>
      <c r="W579" s="129"/>
      <c r="X579" s="88">
        <v>43685</v>
      </c>
      <c r="Y579" s="130" t="s">
        <v>20</v>
      </c>
      <c r="Z579" s="133" t="s">
        <v>81</v>
      </c>
      <c r="AA579" s="133"/>
      <c r="AB579" s="238">
        <v>0.79200000000000004</v>
      </c>
      <c r="AC579" s="134">
        <v>21421.229892761392</v>
      </c>
      <c r="AD579" s="134"/>
      <c r="AE579" s="403">
        <f t="shared" si="30"/>
        <v>16965.614075067024</v>
      </c>
      <c r="AF579" s="132"/>
      <c r="AG579" s="130" t="s">
        <v>5</v>
      </c>
      <c r="AH579" s="130"/>
      <c r="AI579" s="130" t="s">
        <v>119</v>
      </c>
      <c r="AJ579" s="130"/>
      <c r="AK579" s="130"/>
      <c r="AL579" s="135" t="s">
        <v>1316</v>
      </c>
      <c r="AM579" s="314"/>
      <c r="AN579" s="26"/>
      <c r="AO579" s="26"/>
      <c r="AP579" s="26"/>
      <c r="AQ579" s="26">
        <v>43585</v>
      </c>
      <c r="AR579" s="24"/>
      <c r="AS579" s="24"/>
      <c r="AT579" s="164">
        <v>43588</v>
      </c>
      <c r="AU579" s="418">
        <f t="shared" ref="AU579:AU642" si="31">MONTH(AT579)</f>
        <v>5</v>
      </c>
      <c r="AV579" s="418">
        <f t="shared" ref="AV579:AV642" si="32">YEAR(AT579)</f>
        <v>2019</v>
      </c>
      <c r="AW579" s="164"/>
      <c r="AX579" s="28"/>
      <c r="AY579" s="28" t="s">
        <v>299</v>
      </c>
      <c r="AZ579" s="132" t="s">
        <v>37</v>
      </c>
      <c r="BA579" s="132"/>
      <c r="BB579" s="164"/>
      <c r="BC579" s="135" t="s">
        <v>2426</v>
      </c>
      <c r="BD579" s="24">
        <v>43566</v>
      </c>
      <c r="BE579" s="135" t="s">
        <v>2427</v>
      </c>
      <c r="BF579" s="135" t="s">
        <v>2427</v>
      </c>
      <c r="BG579" s="135" t="s">
        <v>186</v>
      </c>
      <c r="BH579" s="135"/>
      <c r="BI579" s="314"/>
      <c r="BJ579" s="314"/>
      <c r="BK579" s="24"/>
      <c r="BL579" s="24"/>
      <c r="BM579" s="24"/>
      <c r="BN579" s="24"/>
      <c r="BO579" s="24"/>
      <c r="BP579" s="24"/>
      <c r="BQ579" s="24"/>
      <c r="BR579" s="43"/>
      <c r="BS579" s="24"/>
      <c r="BT579" s="24"/>
      <c r="BU579" s="24"/>
      <c r="BV579" s="132" t="e">
        <f>IF(#REF!="COMPLETO","OK","PENDIENTES")</f>
        <v>#REF!</v>
      </c>
      <c r="BW579" s="132"/>
      <c r="BX579" s="132"/>
      <c r="BY579" s="132"/>
      <c r="BZ579" s="132"/>
      <c r="CA579" s="132"/>
      <c r="CB579" s="132"/>
      <c r="CC579" s="22"/>
      <c r="CG579" s="24" t="s">
        <v>105</v>
      </c>
      <c r="CH579" s="24"/>
      <c r="CI579" s="164"/>
      <c r="CJ579" s="164"/>
    </row>
    <row r="580" spans="1:88" ht="15" customHeight="1">
      <c r="A580" s="18">
        <v>2019</v>
      </c>
      <c r="B580" s="18" t="str">
        <f>+INDEX(BDD!F:F,MATCH(P580,BDD!D:D,0))&amp;"-"&amp;INDEX(BDD!E:E,MATCH(P580,BDD!D:D,0))</f>
        <v>B-S</v>
      </c>
      <c r="C580" s="125" t="s">
        <v>484</v>
      </c>
      <c r="D580" s="150" t="s">
        <v>77</v>
      </c>
      <c r="E580" s="132"/>
      <c r="F580" s="24"/>
      <c r="G580" s="346">
        <v>8000000388</v>
      </c>
      <c r="H580" s="125" t="s">
        <v>2434</v>
      </c>
      <c r="I580" s="329"/>
      <c r="J580" s="346">
        <v>8000000388</v>
      </c>
      <c r="K580" s="24"/>
      <c r="L580" s="24"/>
      <c r="M580" s="24"/>
      <c r="N580" s="340" t="s">
        <v>486</v>
      </c>
      <c r="O580" s="334">
        <v>206610</v>
      </c>
      <c r="P580" s="186" t="s">
        <v>372</v>
      </c>
      <c r="Q580" s="127" t="s">
        <v>191</v>
      </c>
      <c r="R580" s="232" t="s">
        <v>2424</v>
      </c>
      <c r="S580" s="89">
        <v>43530</v>
      </c>
      <c r="T580" s="36">
        <v>120</v>
      </c>
      <c r="U580" s="125" t="s">
        <v>131</v>
      </c>
      <c r="V580" s="147" t="s">
        <v>2425</v>
      </c>
      <c r="W580" s="129"/>
      <c r="X580" s="88">
        <v>43685</v>
      </c>
      <c r="Y580" s="130" t="s">
        <v>20</v>
      </c>
      <c r="Z580" s="133" t="s">
        <v>81</v>
      </c>
      <c r="AA580" s="133"/>
      <c r="AB580" s="238">
        <v>1</v>
      </c>
      <c r="AC580" s="134">
        <v>20221.229892761396</v>
      </c>
      <c r="AD580" s="134"/>
      <c r="AE580" s="403">
        <f t="shared" si="30"/>
        <v>20221.229892761396</v>
      </c>
      <c r="AF580" s="132"/>
      <c r="AG580" s="130" t="s">
        <v>5</v>
      </c>
      <c r="AH580" s="130"/>
      <c r="AI580" s="130" t="s">
        <v>121</v>
      </c>
      <c r="AJ580" s="130"/>
      <c r="AK580" s="130"/>
      <c r="AL580" s="135" t="s">
        <v>1316</v>
      </c>
      <c r="AM580" s="314"/>
      <c r="AN580" s="26"/>
      <c r="AO580" s="26"/>
      <c r="AP580" s="26"/>
      <c r="AQ580" s="26">
        <v>43585</v>
      </c>
      <c r="AR580" s="24"/>
      <c r="AS580" s="24"/>
      <c r="AT580" s="164">
        <v>43588</v>
      </c>
      <c r="AU580" s="418">
        <f t="shared" si="31"/>
        <v>5</v>
      </c>
      <c r="AV580" s="418">
        <f t="shared" si="32"/>
        <v>2019</v>
      </c>
      <c r="AW580" s="164"/>
      <c r="AX580" s="28"/>
      <c r="AY580" s="28" t="s">
        <v>299</v>
      </c>
      <c r="AZ580" s="132" t="s">
        <v>37</v>
      </c>
      <c r="BA580" s="132"/>
      <c r="BB580" s="164"/>
      <c r="BC580" s="135" t="s">
        <v>2426</v>
      </c>
      <c r="BD580" s="24">
        <v>43566</v>
      </c>
      <c r="BE580" s="135" t="s">
        <v>2427</v>
      </c>
      <c r="BF580" s="135" t="s">
        <v>2427</v>
      </c>
      <c r="BG580" s="135" t="s">
        <v>186</v>
      </c>
      <c r="BH580" s="135"/>
      <c r="BI580" s="314"/>
      <c r="BJ580" s="314"/>
      <c r="BK580" s="24"/>
      <c r="BL580" s="24"/>
      <c r="BM580" s="24"/>
      <c r="BN580" s="24"/>
      <c r="BO580" s="24"/>
      <c r="BP580" s="24"/>
      <c r="BQ580" s="24"/>
      <c r="BR580" s="43"/>
      <c r="BS580" s="24"/>
      <c r="BT580" s="24"/>
      <c r="BU580" s="24"/>
      <c r="BV580" s="132" t="e">
        <f>IF(#REF!="COMPLETO","OK","PENDIENTES")</f>
        <v>#REF!</v>
      </c>
      <c r="BW580" s="132"/>
      <c r="BX580" s="132"/>
      <c r="BY580" s="132"/>
      <c r="BZ580" s="132"/>
      <c r="CA580" s="132"/>
      <c r="CB580" s="132"/>
      <c r="CC580" s="22"/>
      <c r="CG580" s="24" t="s">
        <v>105</v>
      </c>
      <c r="CH580" s="24"/>
      <c r="CI580" s="164"/>
      <c r="CJ580" s="164"/>
    </row>
    <row r="581" spans="1:88" ht="15" customHeight="1">
      <c r="A581" s="18">
        <v>2019</v>
      </c>
      <c r="B581" s="18" t="str">
        <f>+INDEX(BDD!F:F,MATCH(P581,BDD!D:D,0))&amp;"-"&amp;INDEX(BDD!E:E,MATCH(P581,BDD!D:D,0))</f>
        <v>B-S</v>
      </c>
      <c r="C581" s="125" t="s">
        <v>484</v>
      </c>
      <c r="D581" s="150" t="s">
        <v>77</v>
      </c>
      <c r="E581" s="132"/>
      <c r="F581" s="24"/>
      <c r="G581" s="346">
        <v>8000000388</v>
      </c>
      <c r="H581" s="125" t="s">
        <v>2435</v>
      </c>
      <c r="I581" s="329"/>
      <c r="J581" s="346">
        <v>8000000388</v>
      </c>
      <c r="K581" s="24"/>
      <c r="L581" s="24"/>
      <c r="M581" s="24"/>
      <c r="N581" s="340" t="s">
        <v>486</v>
      </c>
      <c r="O581" s="334">
        <v>206611</v>
      </c>
      <c r="P581" s="25" t="s">
        <v>374</v>
      </c>
      <c r="Q581" s="127" t="s">
        <v>191</v>
      </c>
      <c r="R581" s="232" t="s">
        <v>2424</v>
      </c>
      <c r="S581" s="89">
        <v>43530</v>
      </c>
      <c r="T581" s="36">
        <v>120</v>
      </c>
      <c r="U581" s="125" t="s">
        <v>131</v>
      </c>
      <c r="V581" s="147" t="s">
        <v>2425</v>
      </c>
      <c r="W581" s="129"/>
      <c r="X581" s="88">
        <v>43685</v>
      </c>
      <c r="Y581" s="130" t="s">
        <v>20</v>
      </c>
      <c r="Z581" s="133" t="s">
        <v>81</v>
      </c>
      <c r="AA581" s="133"/>
      <c r="AB581" s="238">
        <v>0.79200000000000004</v>
      </c>
      <c r="AC581" s="134">
        <v>22571.229892761399</v>
      </c>
      <c r="AD581" s="134"/>
      <c r="AE581" s="403">
        <f t="shared" si="30"/>
        <v>17876.41407506703</v>
      </c>
      <c r="AF581" s="132"/>
      <c r="AG581" s="130" t="s">
        <v>5</v>
      </c>
      <c r="AH581" s="130"/>
      <c r="AI581" s="130" t="s">
        <v>119</v>
      </c>
      <c r="AJ581" s="130"/>
      <c r="AK581" s="130"/>
      <c r="AL581" s="135" t="s">
        <v>1316</v>
      </c>
      <c r="AM581" s="314"/>
      <c r="AN581" s="26"/>
      <c r="AO581" s="26"/>
      <c r="AP581" s="26"/>
      <c r="AQ581" s="26">
        <v>43585</v>
      </c>
      <c r="AR581" s="24"/>
      <c r="AS581" s="24"/>
      <c r="AT581" s="164">
        <v>43588</v>
      </c>
      <c r="AU581" s="418">
        <f t="shared" si="31"/>
        <v>5</v>
      </c>
      <c r="AV581" s="418">
        <f t="shared" si="32"/>
        <v>2019</v>
      </c>
      <c r="AW581" s="164"/>
      <c r="AX581" s="28"/>
      <c r="AY581" s="28" t="s">
        <v>299</v>
      </c>
      <c r="AZ581" s="132" t="s">
        <v>37</v>
      </c>
      <c r="BA581" s="132"/>
      <c r="BB581" s="164"/>
      <c r="BC581" s="135" t="s">
        <v>2426</v>
      </c>
      <c r="BD581" s="24">
        <v>43566</v>
      </c>
      <c r="BE581" s="135" t="s">
        <v>2427</v>
      </c>
      <c r="BF581" s="135" t="s">
        <v>2427</v>
      </c>
      <c r="BG581" s="135" t="s">
        <v>186</v>
      </c>
      <c r="BH581" s="135"/>
      <c r="BI581" s="314"/>
      <c r="BJ581" s="314"/>
      <c r="BK581" s="24"/>
      <c r="BL581" s="24"/>
      <c r="BM581" s="24"/>
      <c r="BN581" s="24"/>
      <c r="BO581" s="24"/>
      <c r="BP581" s="24"/>
      <c r="BQ581" s="24"/>
      <c r="BR581" s="43"/>
      <c r="BS581" s="24"/>
      <c r="BT581" s="24"/>
      <c r="BU581" s="24"/>
      <c r="BV581" s="132" t="e">
        <f>IF(#REF!="COMPLETO","OK","PENDIENTES")</f>
        <v>#REF!</v>
      </c>
      <c r="BW581" s="132"/>
      <c r="BX581" s="132"/>
      <c r="BY581" s="132"/>
      <c r="BZ581" s="132"/>
      <c r="CA581" s="132"/>
      <c r="CB581" s="132"/>
      <c r="CC581" s="22"/>
      <c r="CG581" s="24" t="s">
        <v>105</v>
      </c>
      <c r="CH581" s="24"/>
      <c r="CI581" s="164"/>
      <c r="CJ581" s="164"/>
    </row>
    <row r="582" spans="1:88" ht="15" customHeight="1">
      <c r="A582" s="18">
        <v>2019</v>
      </c>
      <c r="B582" s="18" t="str">
        <f>+INDEX(BDD!F:F,MATCH(P582,BDD!D:D,0))&amp;"-"&amp;INDEX(BDD!E:E,MATCH(P582,BDD!D:D,0))</f>
        <v>-</v>
      </c>
      <c r="C582" s="125" t="s">
        <v>484</v>
      </c>
      <c r="D582" s="150" t="s">
        <v>77</v>
      </c>
      <c r="E582" s="132"/>
      <c r="F582" s="24"/>
      <c r="G582" s="346">
        <v>8000000457</v>
      </c>
      <c r="H582" s="125" t="s">
        <v>2436</v>
      </c>
      <c r="I582" s="329"/>
      <c r="J582" s="346">
        <v>8000000457</v>
      </c>
      <c r="K582" s="24"/>
      <c r="L582" s="24"/>
      <c r="M582" s="24"/>
      <c r="N582" s="340" t="s">
        <v>486</v>
      </c>
      <c r="O582" s="334">
        <v>209856</v>
      </c>
      <c r="P582" s="25" t="s">
        <v>377</v>
      </c>
      <c r="Q582" s="127" t="s">
        <v>237</v>
      </c>
      <c r="R582" s="232" t="s">
        <v>2437</v>
      </c>
      <c r="S582" s="89">
        <v>43538</v>
      </c>
      <c r="T582" s="36" t="s">
        <v>19</v>
      </c>
      <c r="U582" s="125"/>
      <c r="V582" s="147" t="s">
        <v>2438</v>
      </c>
      <c r="W582" s="129"/>
      <c r="X582" s="88">
        <v>43578</v>
      </c>
      <c r="Y582" s="130" t="s">
        <v>20</v>
      </c>
      <c r="Z582" s="133" t="s">
        <v>60</v>
      </c>
      <c r="AA582" s="133"/>
      <c r="AB582" s="148">
        <v>60</v>
      </c>
      <c r="AC582" s="134">
        <v>945</v>
      </c>
      <c r="AD582" s="134"/>
      <c r="AE582" s="403">
        <f t="shared" si="30"/>
        <v>56700</v>
      </c>
      <c r="AF582" s="132">
        <v>3</v>
      </c>
      <c r="AG582" s="130" t="s">
        <v>5</v>
      </c>
      <c r="AH582" s="130"/>
      <c r="AI582" s="130" t="s">
        <v>34</v>
      </c>
      <c r="AJ582" s="130"/>
      <c r="AK582" s="130"/>
      <c r="AL582" s="135" t="s">
        <v>2184</v>
      </c>
      <c r="AM582" s="314"/>
      <c r="AN582" s="26"/>
      <c r="AO582" s="26"/>
      <c r="AP582" s="26"/>
      <c r="AQ582" s="26">
        <v>43620</v>
      </c>
      <c r="AR582" s="24"/>
      <c r="AS582" s="24"/>
      <c r="AT582" s="24">
        <v>43620</v>
      </c>
      <c r="AU582" s="418">
        <f t="shared" si="31"/>
        <v>6</v>
      </c>
      <c r="AV582" s="418">
        <f t="shared" si="32"/>
        <v>2019</v>
      </c>
      <c r="AW582" s="24"/>
      <c r="AX582" s="28"/>
      <c r="AY582" s="28" t="s">
        <v>302</v>
      </c>
      <c r="AZ582" s="132" t="s">
        <v>62</v>
      </c>
      <c r="BA582" s="132"/>
      <c r="BB582" s="24"/>
      <c r="BC582" s="135" t="s">
        <v>2439</v>
      </c>
      <c r="BD582" s="24">
        <v>43571</v>
      </c>
      <c r="BE582" s="135" t="s">
        <v>2440</v>
      </c>
      <c r="BF582" s="135" t="s">
        <v>1938</v>
      </c>
      <c r="BG582" s="135" t="s">
        <v>29</v>
      </c>
      <c r="BH582" s="135"/>
      <c r="BI582" s="314"/>
      <c r="BJ582" s="314"/>
      <c r="BK582" s="24"/>
      <c r="BL582" s="24"/>
      <c r="BM582" s="24"/>
      <c r="BN582" s="24"/>
      <c r="BO582" s="24"/>
      <c r="BP582" s="24"/>
      <c r="BQ582" s="24"/>
      <c r="BR582" s="43"/>
      <c r="BS582" s="24"/>
      <c r="BT582" s="24"/>
      <c r="BU582" s="24"/>
      <c r="BV582" s="132" t="e">
        <f>IF(#REF!="COMPLETO","OK","PENDIENTES")</f>
        <v>#REF!</v>
      </c>
      <c r="BW582" s="132"/>
      <c r="BX582" s="132"/>
      <c r="BY582" s="132"/>
      <c r="BZ582" s="132"/>
      <c r="CA582" s="132"/>
      <c r="CB582" s="132"/>
      <c r="CC582" s="22"/>
      <c r="CG582" s="24" t="s">
        <v>105</v>
      </c>
      <c r="CH582" s="24"/>
      <c r="CI582" s="24"/>
      <c r="CJ582" s="24"/>
    </row>
    <row r="583" spans="1:88" ht="15" customHeight="1">
      <c r="A583" s="18">
        <v>2019</v>
      </c>
      <c r="B583" s="18" t="str">
        <f>+INDEX(BDD!F:F,MATCH(P583,BDD!D:D,0))&amp;"-"&amp;INDEX(BDD!E:E,MATCH(P583,BDD!D:D,0))</f>
        <v>S-S</v>
      </c>
      <c r="C583" s="125" t="s">
        <v>484</v>
      </c>
      <c r="D583" s="150" t="s">
        <v>77</v>
      </c>
      <c r="E583" s="132" t="s">
        <v>51</v>
      </c>
      <c r="F583" s="24"/>
      <c r="G583" s="346">
        <v>8000000458</v>
      </c>
      <c r="H583" s="125" t="s">
        <v>2441</v>
      </c>
      <c r="I583" s="329"/>
      <c r="J583" s="346">
        <v>8000000458</v>
      </c>
      <c r="K583" s="24"/>
      <c r="L583" s="24"/>
      <c r="M583" s="24"/>
      <c r="N583" s="340" t="s">
        <v>486</v>
      </c>
      <c r="O583" s="334">
        <v>207579</v>
      </c>
      <c r="P583" s="25" t="s">
        <v>238</v>
      </c>
      <c r="Q583" s="127" t="s">
        <v>213</v>
      </c>
      <c r="R583" s="232" t="s">
        <v>2442</v>
      </c>
      <c r="S583" s="89">
        <v>43539</v>
      </c>
      <c r="T583" s="36" t="s">
        <v>19</v>
      </c>
      <c r="U583" s="125"/>
      <c r="V583" s="147" t="s">
        <v>2443</v>
      </c>
      <c r="W583" s="129"/>
      <c r="X583" s="88">
        <v>43591</v>
      </c>
      <c r="Y583" s="130" t="s">
        <v>20</v>
      </c>
      <c r="Z583" s="133" t="s">
        <v>60</v>
      </c>
      <c r="AA583" s="133"/>
      <c r="AB583" s="148">
        <v>110</v>
      </c>
      <c r="AC583" s="134">
        <v>304</v>
      </c>
      <c r="AD583" s="134"/>
      <c r="AE583" s="403">
        <f t="shared" si="30"/>
        <v>33440</v>
      </c>
      <c r="AF583" s="132"/>
      <c r="AG583" s="130" t="s">
        <v>58</v>
      </c>
      <c r="AH583" s="130"/>
      <c r="AI583" s="130" t="s">
        <v>34</v>
      </c>
      <c r="AJ583" s="130"/>
      <c r="AK583" s="130"/>
      <c r="AL583" s="135" t="s">
        <v>2444</v>
      </c>
      <c r="AM583" s="314"/>
      <c r="AN583" s="26"/>
      <c r="AO583" s="26"/>
      <c r="AP583" s="26"/>
      <c r="AQ583" s="26">
        <v>43623</v>
      </c>
      <c r="AR583" s="24"/>
      <c r="AS583" s="24"/>
      <c r="AT583" s="24">
        <v>43624</v>
      </c>
      <c r="AU583" s="418">
        <f t="shared" si="31"/>
        <v>6</v>
      </c>
      <c r="AV583" s="418">
        <f t="shared" si="32"/>
        <v>2019</v>
      </c>
      <c r="AW583" s="24"/>
      <c r="AX583" s="28"/>
      <c r="AY583" s="28" t="s">
        <v>290</v>
      </c>
      <c r="AZ583" s="132" t="s">
        <v>62</v>
      </c>
      <c r="BA583" s="132"/>
      <c r="BB583" s="24"/>
      <c r="BC583" s="135" t="s">
        <v>2445</v>
      </c>
      <c r="BD583" s="24">
        <v>43572</v>
      </c>
      <c r="BE583" s="135" t="s">
        <v>2446</v>
      </c>
      <c r="BF583" s="135" t="s">
        <v>2446</v>
      </c>
      <c r="BG583" s="135" t="s">
        <v>52</v>
      </c>
      <c r="BH583" s="135"/>
      <c r="BI583" s="314"/>
      <c r="BJ583" s="314"/>
      <c r="BK583" s="24"/>
      <c r="BL583" s="24"/>
      <c r="BM583" s="24"/>
      <c r="BN583" s="24"/>
      <c r="BO583" s="24"/>
      <c r="BP583" s="24"/>
      <c r="BQ583" s="24"/>
      <c r="BR583" s="43"/>
      <c r="BS583" s="24"/>
      <c r="BT583" s="24"/>
      <c r="BU583" s="24"/>
      <c r="BV583" s="132" t="e">
        <f>IF(#REF!="COMPLETO","OK","PENDIENTES")</f>
        <v>#REF!</v>
      </c>
      <c r="BW583" s="132"/>
      <c r="BX583" s="132"/>
      <c r="BY583" s="132"/>
      <c r="BZ583" s="132"/>
      <c r="CA583" s="132"/>
      <c r="CB583" s="132"/>
      <c r="CC583" s="22"/>
      <c r="CG583" s="24" t="s">
        <v>105</v>
      </c>
      <c r="CH583" s="24"/>
      <c r="CI583" s="24"/>
      <c r="CJ583" s="24"/>
    </row>
    <row r="584" spans="1:88" ht="15" customHeight="1">
      <c r="A584" s="18">
        <v>2019</v>
      </c>
      <c r="B584" s="18" t="str">
        <f>+INDEX(BDD!F:F,MATCH(P584,BDD!D:D,0))&amp;"-"&amp;INDEX(BDD!E:E,MATCH(P584,BDD!D:D,0))</f>
        <v>S-S</v>
      </c>
      <c r="C584" s="125" t="s">
        <v>484</v>
      </c>
      <c r="D584" s="150" t="s">
        <v>77</v>
      </c>
      <c r="E584" s="132"/>
      <c r="F584" s="24"/>
      <c r="G584" s="346">
        <v>8000000459</v>
      </c>
      <c r="H584" s="125" t="s">
        <v>2447</v>
      </c>
      <c r="I584" s="329"/>
      <c r="J584" s="346">
        <v>8000000459</v>
      </c>
      <c r="K584" s="24"/>
      <c r="L584" s="24"/>
      <c r="M584" s="24"/>
      <c r="N584" s="340" t="s">
        <v>486</v>
      </c>
      <c r="O584" s="334">
        <v>207578</v>
      </c>
      <c r="P584" s="25" t="s">
        <v>316</v>
      </c>
      <c r="Q584" s="127" t="s">
        <v>213</v>
      </c>
      <c r="R584" s="232" t="s">
        <v>2448</v>
      </c>
      <c r="S584" s="89">
        <v>43539</v>
      </c>
      <c r="T584" s="36" t="s">
        <v>19</v>
      </c>
      <c r="U584" s="125"/>
      <c r="V584" s="147" t="s">
        <v>2449</v>
      </c>
      <c r="W584" s="129"/>
      <c r="X584" s="88">
        <v>43581</v>
      </c>
      <c r="Y584" s="130" t="s">
        <v>20</v>
      </c>
      <c r="Z584" s="133" t="s">
        <v>60</v>
      </c>
      <c r="AA584" s="133"/>
      <c r="AB584" s="148">
        <v>212.5</v>
      </c>
      <c r="AC584" s="134">
        <v>269</v>
      </c>
      <c r="AD584" s="134"/>
      <c r="AE584" s="403">
        <f t="shared" si="30"/>
        <v>57162.5</v>
      </c>
      <c r="AF584" s="132"/>
      <c r="AG584" s="130" t="s">
        <v>58</v>
      </c>
      <c r="AH584" s="130"/>
      <c r="AI584" s="130" t="s">
        <v>34</v>
      </c>
      <c r="AJ584" s="130"/>
      <c r="AK584" s="130"/>
      <c r="AL584" s="135" t="s">
        <v>2444</v>
      </c>
      <c r="AM584" s="314"/>
      <c r="AN584" s="26"/>
      <c r="AO584" s="26"/>
      <c r="AP584" s="26"/>
      <c r="AQ584" s="26">
        <v>43623</v>
      </c>
      <c r="AR584" s="24"/>
      <c r="AS584" s="24"/>
      <c r="AT584" s="24">
        <v>43624</v>
      </c>
      <c r="AU584" s="418">
        <f t="shared" si="31"/>
        <v>6</v>
      </c>
      <c r="AV584" s="418">
        <f t="shared" si="32"/>
        <v>2019</v>
      </c>
      <c r="AW584" s="24"/>
      <c r="AX584" s="28"/>
      <c r="AY584" s="28" t="s">
        <v>290</v>
      </c>
      <c r="AZ584" s="132" t="s">
        <v>62</v>
      </c>
      <c r="BA584" s="132"/>
      <c r="BB584" s="24"/>
      <c r="BC584" s="135" t="s">
        <v>2450</v>
      </c>
      <c r="BD584" s="24">
        <v>43572</v>
      </c>
      <c r="BE584" s="135" t="s">
        <v>2446</v>
      </c>
      <c r="BF584" s="135" t="s">
        <v>2446</v>
      </c>
      <c r="BG584" s="135" t="s">
        <v>52</v>
      </c>
      <c r="BH584" s="135"/>
      <c r="BI584" s="314"/>
      <c r="BJ584" s="314"/>
      <c r="BK584" s="24"/>
      <c r="BL584" s="24"/>
      <c r="BM584" s="24"/>
      <c r="BN584" s="24"/>
      <c r="BO584" s="24"/>
      <c r="BP584" s="24"/>
      <c r="BQ584" s="24"/>
      <c r="BR584" s="43"/>
      <c r="BS584" s="24"/>
      <c r="BT584" s="24"/>
      <c r="BU584" s="24"/>
      <c r="BV584" s="132" t="e">
        <f>IF(#REF!="COMPLETO","OK","PENDIENTES")</f>
        <v>#REF!</v>
      </c>
      <c r="BW584" s="132"/>
      <c r="BX584" s="132"/>
      <c r="BY584" s="132"/>
      <c r="BZ584" s="132"/>
      <c r="CA584" s="132"/>
      <c r="CB584" s="132"/>
      <c r="CC584" s="22"/>
      <c r="CG584" s="24" t="s">
        <v>105</v>
      </c>
      <c r="CH584" s="24"/>
      <c r="CI584" s="24"/>
      <c r="CJ584" s="24"/>
    </row>
    <row r="585" spans="1:88" ht="15" customHeight="1">
      <c r="A585" s="18">
        <v>2019</v>
      </c>
      <c r="B585" s="18" t="str">
        <f>+INDEX(BDD!F:F,MATCH(P585,BDD!D:D,0))&amp;"-"&amp;INDEX(BDD!E:E,MATCH(P585,BDD!D:D,0))</f>
        <v>S-C</v>
      </c>
      <c r="C585" s="125" t="s">
        <v>484</v>
      </c>
      <c r="D585" s="150" t="s">
        <v>77</v>
      </c>
      <c r="E585" s="132"/>
      <c r="F585" s="24"/>
      <c r="G585" s="346">
        <v>8000000469</v>
      </c>
      <c r="H585" s="125" t="s">
        <v>2451</v>
      </c>
      <c r="I585" s="329"/>
      <c r="J585" s="346">
        <v>8000000469</v>
      </c>
      <c r="K585" s="24"/>
      <c r="L585" s="24"/>
      <c r="M585" s="24"/>
      <c r="N585" s="340" t="s">
        <v>486</v>
      </c>
      <c r="O585" s="334">
        <v>207580</v>
      </c>
      <c r="P585" s="25" t="s">
        <v>241</v>
      </c>
      <c r="Q585" s="127" t="s">
        <v>213</v>
      </c>
      <c r="R585" s="232" t="s">
        <v>2452</v>
      </c>
      <c r="S585" s="89">
        <v>43539</v>
      </c>
      <c r="T585" s="36" t="s">
        <v>19</v>
      </c>
      <c r="U585" s="125"/>
      <c r="V585" s="147" t="s">
        <v>2453</v>
      </c>
      <c r="W585" s="129"/>
      <c r="X585" s="88">
        <v>43579</v>
      </c>
      <c r="Y585" s="130" t="s">
        <v>20</v>
      </c>
      <c r="Z585" s="133" t="s">
        <v>60</v>
      </c>
      <c r="AA585" s="133"/>
      <c r="AB585" s="148">
        <v>162</v>
      </c>
      <c r="AC585" s="134">
        <v>788</v>
      </c>
      <c r="AD585" s="134"/>
      <c r="AE585" s="403">
        <f t="shared" si="30"/>
        <v>127656</v>
      </c>
      <c r="AF585" s="132">
        <v>6</v>
      </c>
      <c r="AG585" s="130" t="s">
        <v>5</v>
      </c>
      <c r="AH585" s="130"/>
      <c r="AI585" s="130" t="s">
        <v>34</v>
      </c>
      <c r="AJ585" s="130"/>
      <c r="AK585" s="130"/>
      <c r="AL585" s="135" t="s">
        <v>2454</v>
      </c>
      <c r="AM585" s="314"/>
      <c r="AN585" s="26"/>
      <c r="AO585" s="26"/>
      <c r="AP585" s="26"/>
      <c r="AQ585" s="26">
        <v>43637</v>
      </c>
      <c r="AR585" s="24"/>
      <c r="AS585" s="24"/>
      <c r="AT585" s="24">
        <v>43638</v>
      </c>
      <c r="AU585" s="418">
        <f t="shared" si="31"/>
        <v>6</v>
      </c>
      <c r="AV585" s="418">
        <f t="shared" si="32"/>
        <v>2019</v>
      </c>
      <c r="AW585" s="24"/>
      <c r="AX585" s="28"/>
      <c r="AY585" s="28" t="s">
        <v>218</v>
      </c>
      <c r="AZ585" s="132" t="s">
        <v>62</v>
      </c>
      <c r="BA585" s="132"/>
      <c r="BB585" s="24"/>
      <c r="BC585" s="135" t="s">
        <v>2455</v>
      </c>
      <c r="BD585" s="24">
        <v>43567</v>
      </c>
      <c r="BE585" s="135" t="s">
        <v>2127</v>
      </c>
      <c r="BF585" s="135" t="s">
        <v>2127</v>
      </c>
      <c r="BG585" s="135" t="s">
        <v>29</v>
      </c>
      <c r="BH585" s="135"/>
      <c r="BI585" s="314"/>
      <c r="BJ585" s="314"/>
      <c r="BK585" s="24"/>
      <c r="BL585" s="24"/>
      <c r="BM585" s="24"/>
      <c r="BN585" s="24"/>
      <c r="BO585" s="24">
        <v>43641</v>
      </c>
      <c r="BP585" s="24"/>
      <c r="BQ585" s="24"/>
      <c r="BR585" s="43"/>
      <c r="BS585" s="24"/>
      <c r="BT585" s="24"/>
      <c r="BU585" s="24"/>
      <c r="BV585" s="132" t="e">
        <f>IF(#REF!="COMPLETO","OK","PENDIENTES")</f>
        <v>#REF!</v>
      </c>
      <c r="BW585" s="132"/>
      <c r="BX585" s="132"/>
      <c r="BY585" s="132"/>
      <c r="BZ585" s="132"/>
      <c r="CA585" s="132"/>
      <c r="CB585" s="132"/>
      <c r="CC585" s="22"/>
      <c r="CG585" s="24" t="s">
        <v>105</v>
      </c>
      <c r="CH585" s="24"/>
      <c r="CI585" s="24"/>
      <c r="CJ585" s="24"/>
    </row>
    <row r="586" spans="1:88" ht="15" customHeight="1">
      <c r="A586" s="18">
        <v>2019</v>
      </c>
      <c r="B586" s="18" t="str">
        <f>+INDEX(BDD!F:F,MATCH(P586,BDD!D:D,0))&amp;"-"&amp;INDEX(BDD!E:E,MATCH(P586,BDD!D:D,0))</f>
        <v>G-S</v>
      </c>
      <c r="C586" s="125" t="s">
        <v>484</v>
      </c>
      <c r="D586" s="150" t="s">
        <v>77</v>
      </c>
      <c r="E586" s="132"/>
      <c r="F586" s="24"/>
      <c r="G586" s="346">
        <v>8000000439</v>
      </c>
      <c r="H586" s="125" t="s">
        <v>2456</v>
      </c>
      <c r="I586" s="329"/>
      <c r="J586" s="346">
        <v>8000000439</v>
      </c>
      <c r="K586" s="24"/>
      <c r="L586" s="24"/>
      <c r="M586" s="24"/>
      <c r="N586" s="340" t="s">
        <v>486</v>
      </c>
      <c r="O586" s="334">
        <v>207951</v>
      </c>
      <c r="P586" s="25" t="s">
        <v>354</v>
      </c>
      <c r="Q586" s="127" t="s">
        <v>66</v>
      </c>
      <c r="R586" s="232" t="s">
        <v>2457</v>
      </c>
      <c r="S586" s="89">
        <v>43538</v>
      </c>
      <c r="T586" s="36">
        <v>120</v>
      </c>
      <c r="U586" s="125" t="s">
        <v>118</v>
      </c>
      <c r="V586" s="147" t="s">
        <v>2458</v>
      </c>
      <c r="W586" s="129"/>
      <c r="X586" s="88">
        <v>43703</v>
      </c>
      <c r="Y586" s="130" t="s">
        <v>20</v>
      </c>
      <c r="Z586" s="133" t="s">
        <v>60</v>
      </c>
      <c r="AA586" s="133"/>
      <c r="AB586" s="148">
        <v>1010.487</v>
      </c>
      <c r="AC586" s="134">
        <v>275.94</v>
      </c>
      <c r="AD586" s="134"/>
      <c r="AE586" s="403">
        <f t="shared" si="30"/>
        <v>278833.78278000001</v>
      </c>
      <c r="AF586" s="132" t="s">
        <v>944</v>
      </c>
      <c r="AG586" s="130" t="s">
        <v>46</v>
      </c>
      <c r="AH586" s="130"/>
      <c r="AI586" s="130" t="s">
        <v>100</v>
      </c>
      <c r="AJ586" s="130"/>
      <c r="AK586" s="130"/>
      <c r="AL586" s="135" t="s">
        <v>2454</v>
      </c>
      <c r="AM586" s="314"/>
      <c r="AN586" s="26"/>
      <c r="AO586" s="26"/>
      <c r="AP586" s="26"/>
      <c r="AQ586" s="26">
        <v>43605</v>
      </c>
      <c r="AR586" s="24"/>
      <c r="AS586" s="24"/>
      <c r="AT586" s="24">
        <v>43610</v>
      </c>
      <c r="AU586" s="418">
        <f t="shared" si="31"/>
        <v>5</v>
      </c>
      <c r="AV586" s="418">
        <f t="shared" si="32"/>
        <v>2019</v>
      </c>
      <c r="AW586" s="24"/>
      <c r="AX586" s="28"/>
      <c r="AY586" s="28" t="s">
        <v>205</v>
      </c>
      <c r="AZ586" s="132" t="s">
        <v>9</v>
      </c>
      <c r="BA586" s="132"/>
      <c r="BB586" s="24"/>
      <c r="BC586" s="239" t="s">
        <v>2459</v>
      </c>
      <c r="BD586" s="24">
        <v>43577</v>
      </c>
      <c r="BE586" s="135" t="s">
        <v>2460</v>
      </c>
      <c r="BF586" s="135" t="s">
        <v>2460</v>
      </c>
      <c r="BG586" s="135" t="s">
        <v>52</v>
      </c>
      <c r="BH586" s="135"/>
      <c r="BI586" s="314"/>
      <c r="BJ586" s="314"/>
      <c r="BK586" s="24"/>
      <c r="BL586" s="24"/>
      <c r="BM586" s="24"/>
      <c r="BN586" s="24"/>
      <c r="BO586" s="24"/>
      <c r="BP586" s="24"/>
      <c r="BQ586" s="24"/>
      <c r="BR586" s="43"/>
      <c r="BS586" s="24"/>
      <c r="BT586" s="24"/>
      <c r="BU586" s="24"/>
      <c r="BV586" s="132" t="e">
        <f>IF(#REF!="COMPLETO","OK","PENDIENTES")</f>
        <v>#REF!</v>
      </c>
      <c r="BW586" s="132"/>
      <c r="BX586" s="132"/>
      <c r="BY586" s="132"/>
      <c r="BZ586" s="132"/>
      <c r="CA586" s="132"/>
      <c r="CB586" s="132"/>
      <c r="CC586" s="22"/>
      <c r="CG586" s="24" t="s">
        <v>105</v>
      </c>
      <c r="CH586" s="24"/>
      <c r="CI586" s="24"/>
      <c r="CJ586" s="24"/>
    </row>
    <row r="587" spans="1:88" ht="15" customHeight="1">
      <c r="A587" s="18">
        <v>2019</v>
      </c>
      <c r="B587" s="18" t="str">
        <f>+INDEX(BDD!F:F,MATCH(P587,BDD!D:D,0))&amp;"-"&amp;INDEX(BDD!E:E,MATCH(P587,BDD!D:D,0))</f>
        <v>G-S</v>
      </c>
      <c r="C587" s="125" t="s">
        <v>484</v>
      </c>
      <c r="D587" s="150" t="s">
        <v>77</v>
      </c>
      <c r="E587" s="132"/>
      <c r="F587" s="24"/>
      <c r="G587" s="346">
        <v>8000000439</v>
      </c>
      <c r="H587" s="125" t="s">
        <v>2461</v>
      </c>
      <c r="I587" s="329"/>
      <c r="J587" s="346">
        <v>8000000439</v>
      </c>
      <c r="K587" s="24"/>
      <c r="L587" s="24"/>
      <c r="M587" s="24"/>
      <c r="N587" s="340" t="s">
        <v>486</v>
      </c>
      <c r="O587" s="334">
        <v>207951</v>
      </c>
      <c r="P587" s="25" t="s">
        <v>354</v>
      </c>
      <c r="Q587" s="127" t="s">
        <v>66</v>
      </c>
      <c r="R587" s="232" t="s">
        <v>2457</v>
      </c>
      <c r="S587" s="89">
        <v>43538</v>
      </c>
      <c r="T587" s="36">
        <v>120</v>
      </c>
      <c r="U587" s="125" t="s">
        <v>118</v>
      </c>
      <c r="V587" s="147" t="s">
        <v>2462</v>
      </c>
      <c r="W587" s="129"/>
      <c r="X587" s="88">
        <v>43703</v>
      </c>
      <c r="Y587" s="130" t="s">
        <v>20</v>
      </c>
      <c r="Z587" s="133" t="s">
        <v>60</v>
      </c>
      <c r="AA587" s="133"/>
      <c r="AB587" s="148">
        <v>1089.5129999999999</v>
      </c>
      <c r="AC587" s="134">
        <v>275.94</v>
      </c>
      <c r="AD587" s="134"/>
      <c r="AE587" s="403">
        <f t="shared" si="30"/>
        <v>300640.21721999999</v>
      </c>
      <c r="AF587" s="132" t="s">
        <v>944</v>
      </c>
      <c r="AG587" s="130" t="s">
        <v>46</v>
      </c>
      <c r="AH587" s="130"/>
      <c r="AI587" s="130" t="s">
        <v>100</v>
      </c>
      <c r="AJ587" s="130"/>
      <c r="AK587" s="130"/>
      <c r="AL587" s="135" t="s">
        <v>2454</v>
      </c>
      <c r="AM587" s="314"/>
      <c r="AN587" s="26"/>
      <c r="AO587" s="26"/>
      <c r="AP587" s="26"/>
      <c r="AQ587" s="26">
        <v>43605</v>
      </c>
      <c r="AR587" s="24"/>
      <c r="AS587" s="24"/>
      <c r="AT587" s="24">
        <v>43610</v>
      </c>
      <c r="AU587" s="418">
        <f t="shared" si="31"/>
        <v>5</v>
      </c>
      <c r="AV587" s="418">
        <f t="shared" si="32"/>
        <v>2019</v>
      </c>
      <c r="AW587" s="24"/>
      <c r="AX587" s="28"/>
      <c r="AY587" s="28" t="s">
        <v>205</v>
      </c>
      <c r="AZ587" s="132" t="s">
        <v>9</v>
      </c>
      <c r="BA587" s="132"/>
      <c r="BB587" s="24"/>
      <c r="BC587" s="239" t="s">
        <v>2463</v>
      </c>
      <c r="BD587" s="24">
        <v>43577</v>
      </c>
      <c r="BE587" s="135" t="s">
        <v>2460</v>
      </c>
      <c r="BF587" s="135" t="s">
        <v>2460</v>
      </c>
      <c r="BG587" s="135" t="s">
        <v>52</v>
      </c>
      <c r="BH587" s="135"/>
      <c r="BI587" s="314"/>
      <c r="BJ587" s="314"/>
      <c r="BK587" s="24"/>
      <c r="BL587" s="24"/>
      <c r="BM587" s="24"/>
      <c r="BN587" s="24"/>
      <c r="BO587" s="24"/>
      <c r="BP587" s="24"/>
      <c r="BQ587" s="24"/>
      <c r="BR587" s="43"/>
      <c r="BS587" s="24"/>
      <c r="BT587" s="24"/>
      <c r="BU587" s="24"/>
      <c r="BV587" s="132" t="e">
        <f>IF(#REF!="COMPLETO","OK","PENDIENTES")</f>
        <v>#REF!</v>
      </c>
      <c r="BW587" s="132"/>
      <c r="BX587" s="132"/>
      <c r="BY587" s="132"/>
      <c r="BZ587" s="132"/>
      <c r="CA587" s="132"/>
      <c r="CB587" s="132"/>
      <c r="CC587" s="22"/>
      <c r="CG587" s="24" t="s">
        <v>105</v>
      </c>
      <c r="CH587" s="24"/>
      <c r="CI587" s="24"/>
      <c r="CJ587" s="24"/>
    </row>
    <row r="588" spans="1:88" ht="15" customHeight="1">
      <c r="A588" s="18">
        <v>2019</v>
      </c>
      <c r="B588" s="18" t="str">
        <f>+INDEX(BDD!F:F,MATCH(P588,BDD!D:D,0))&amp;"-"&amp;INDEX(BDD!E:E,MATCH(P588,BDD!D:D,0))</f>
        <v>G-S</v>
      </c>
      <c r="C588" s="125" t="s">
        <v>484</v>
      </c>
      <c r="D588" s="150" t="s">
        <v>77</v>
      </c>
      <c r="E588" s="132"/>
      <c r="F588" s="24"/>
      <c r="G588" s="346">
        <v>8000000442</v>
      </c>
      <c r="H588" s="125" t="s">
        <v>2464</v>
      </c>
      <c r="I588" s="329"/>
      <c r="J588" s="346">
        <v>8000000442</v>
      </c>
      <c r="K588" s="24"/>
      <c r="L588" s="24"/>
      <c r="M588" s="24"/>
      <c r="N588" s="340" t="s">
        <v>486</v>
      </c>
      <c r="O588" s="334">
        <v>207951</v>
      </c>
      <c r="P588" s="25" t="s">
        <v>354</v>
      </c>
      <c r="Q588" s="127" t="s">
        <v>66</v>
      </c>
      <c r="R588" s="232" t="s">
        <v>2457</v>
      </c>
      <c r="S588" s="89">
        <v>43538</v>
      </c>
      <c r="T588" s="36">
        <v>120</v>
      </c>
      <c r="U588" s="125" t="s">
        <v>118</v>
      </c>
      <c r="V588" s="147" t="s">
        <v>2465</v>
      </c>
      <c r="W588" s="129"/>
      <c r="X588" s="88">
        <v>43703</v>
      </c>
      <c r="Y588" s="130" t="s">
        <v>20</v>
      </c>
      <c r="Z588" s="133" t="s">
        <v>60</v>
      </c>
      <c r="AA588" s="133"/>
      <c r="AB588" s="148">
        <v>2900</v>
      </c>
      <c r="AC588" s="134">
        <v>275.94</v>
      </c>
      <c r="AD588" s="134"/>
      <c r="AE588" s="403">
        <f t="shared" si="30"/>
        <v>800226</v>
      </c>
      <c r="AF588" s="132" t="s">
        <v>944</v>
      </c>
      <c r="AG588" s="130" t="s">
        <v>46</v>
      </c>
      <c r="AH588" s="130"/>
      <c r="AI588" s="130" t="s">
        <v>100</v>
      </c>
      <c r="AJ588" s="130"/>
      <c r="AK588" s="130"/>
      <c r="AL588" s="135" t="s">
        <v>2454</v>
      </c>
      <c r="AM588" s="314"/>
      <c r="AN588" s="26"/>
      <c r="AO588" s="26"/>
      <c r="AP588" s="26"/>
      <c r="AQ588" s="26">
        <v>43611</v>
      </c>
      <c r="AR588" s="24"/>
      <c r="AS588" s="24"/>
      <c r="AT588" s="24">
        <v>43615</v>
      </c>
      <c r="AU588" s="418">
        <f t="shared" si="31"/>
        <v>5</v>
      </c>
      <c r="AV588" s="418">
        <f t="shared" si="32"/>
        <v>2019</v>
      </c>
      <c r="AW588" s="24"/>
      <c r="AX588" s="28"/>
      <c r="AY588" s="28" t="s">
        <v>205</v>
      </c>
      <c r="AZ588" s="132" t="s">
        <v>25</v>
      </c>
      <c r="BA588" s="132"/>
      <c r="BB588" s="24"/>
      <c r="BC588" s="239">
        <v>3</v>
      </c>
      <c r="BD588" s="24">
        <v>43577</v>
      </c>
      <c r="BE588" s="135" t="s">
        <v>2460</v>
      </c>
      <c r="BF588" s="135" t="s">
        <v>2460</v>
      </c>
      <c r="BG588" s="135" t="s">
        <v>52</v>
      </c>
      <c r="BH588" s="135"/>
      <c r="BI588" s="314"/>
      <c r="BJ588" s="314"/>
      <c r="BK588" s="24"/>
      <c r="BL588" s="24"/>
      <c r="BM588" s="24"/>
      <c r="BN588" s="24"/>
      <c r="BO588" s="24"/>
      <c r="BP588" s="24"/>
      <c r="BQ588" s="24"/>
      <c r="BR588" s="43"/>
      <c r="BS588" s="24"/>
      <c r="BT588" s="24"/>
      <c r="BU588" s="24"/>
      <c r="BV588" s="132" t="e">
        <f>IF(#REF!="COMPLETO","OK","PENDIENTES")</f>
        <v>#REF!</v>
      </c>
      <c r="BW588" s="132"/>
      <c r="BX588" s="132"/>
      <c r="BY588" s="132"/>
      <c r="BZ588" s="132"/>
      <c r="CA588" s="132"/>
      <c r="CB588" s="132"/>
      <c r="CC588" s="22"/>
      <c r="CG588" s="24" t="s">
        <v>105</v>
      </c>
      <c r="CH588" s="24"/>
      <c r="CI588" s="24"/>
      <c r="CJ588" s="24"/>
    </row>
    <row r="589" spans="1:88" ht="15" customHeight="1">
      <c r="A589" s="18">
        <v>2019</v>
      </c>
      <c r="B589" s="18" t="str">
        <f>+INDEX(BDD!F:F,MATCH(P589,BDD!D:D,0))&amp;"-"&amp;INDEX(BDD!E:E,MATCH(P589,BDD!D:D,0))</f>
        <v>G-S</v>
      </c>
      <c r="C589" s="125" t="s">
        <v>484</v>
      </c>
      <c r="D589" s="150" t="s">
        <v>77</v>
      </c>
      <c r="E589" s="132"/>
      <c r="F589" s="24"/>
      <c r="G589" s="346">
        <v>8000000441</v>
      </c>
      <c r="H589" s="125" t="s">
        <v>2466</v>
      </c>
      <c r="I589" s="329"/>
      <c r="J589" s="346">
        <v>8000000441</v>
      </c>
      <c r="K589" s="24"/>
      <c r="L589" s="24"/>
      <c r="M589" s="24"/>
      <c r="N589" s="340" t="s">
        <v>486</v>
      </c>
      <c r="O589" s="334">
        <v>207951</v>
      </c>
      <c r="P589" s="25" t="s">
        <v>354</v>
      </c>
      <c r="Q589" s="127" t="s">
        <v>66</v>
      </c>
      <c r="R589" s="232" t="s">
        <v>2457</v>
      </c>
      <c r="S589" s="89">
        <v>43538</v>
      </c>
      <c r="T589" s="36">
        <v>120</v>
      </c>
      <c r="U589" s="125" t="s">
        <v>118</v>
      </c>
      <c r="V589" s="147" t="s">
        <v>2467</v>
      </c>
      <c r="W589" s="129"/>
      <c r="X589" s="88">
        <v>43703</v>
      </c>
      <c r="Y589" s="130" t="s">
        <v>20</v>
      </c>
      <c r="Z589" s="133" t="s">
        <v>60</v>
      </c>
      <c r="AA589" s="133"/>
      <c r="AB589" s="148">
        <v>2700</v>
      </c>
      <c r="AC589" s="134">
        <v>275.94</v>
      </c>
      <c r="AD589" s="134"/>
      <c r="AE589" s="403">
        <f t="shared" si="30"/>
        <v>745038</v>
      </c>
      <c r="AF589" s="132" t="s">
        <v>944</v>
      </c>
      <c r="AG589" s="130" t="s">
        <v>46</v>
      </c>
      <c r="AH589" s="130"/>
      <c r="AI589" s="130" t="s">
        <v>100</v>
      </c>
      <c r="AJ589" s="130"/>
      <c r="AK589" s="130"/>
      <c r="AL589" s="135" t="s">
        <v>2454</v>
      </c>
      <c r="AM589" s="314"/>
      <c r="AN589" s="26"/>
      <c r="AO589" s="26"/>
      <c r="AP589" s="26"/>
      <c r="AQ589" s="26">
        <v>43617</v>
      </c>
      <c r="AR589" s="24"/>
      <c r="AS589" s="24"/>
      <c r="AT589" s="24">
        <v>43619</v>
      </c>
      <c r="AU589" s="418">
        <f t="shared" si="31"/>
        <v>6</v>
      </c>
      <c r="AV589" s="418">
        <f t="shared" si="32"/>
        <v>2019</v>
      </c>
      <c r="AW589" s="24"/>
      <c r="AX589" s="28"/>
      <c r="AY589" s="28" t="s">
        <v>205</v>
      </c>
      <c r="AZ589" s="132" t="s">
        <v>37</v>
      </c>
      <c r="BA589" s="132"/>
      <c r="BB589" s="24"/>
      <c r="BC589" s="239" t="s">
        <v>2468</v>
      </c>
      <c r="BD589" s="24">
        <v>43577</v>
      </c>
      <c r="BE589" s="135" t="s">
        <v>2460</v>
      </c>
      <c r="BF589" s="135" t="s">
        <v>2460</v>
      </c>
      <c r="BG589" s="135" t="s">
        <v>52</v>
      </c>
      <c r="BH589" s="135"/>
      <c r="BI589" s="314"/>
      <c r="BJ589" s="314"/>
      <c r="BK589" s="24"/>
      <c r="BL589" s="24"/>
      <c r="BM589" s="24"/>
      <c r="BN589" s="24"/>
      <c r="BO589" s="24"/>
      <c r="BP589" s="24"/>
      <c r="BQ589" s="24"/>
      <c r="BR589" s="43"/>
      <c r="BS589" s="24"/>
      <c r="BT589" s="24"/>
      <c r="BU589" s="24"/>
      <c r="BV589" s="132" t="e">
        <f>IF(#REF!="COMPLETO","OK","PENDIENTES")</f>
        <v>#REF!</v>
      </c>
      <c r="BW589" s="132"/>
      <c r="BX589" s="132"/>
      <c r="BY589" s="132"/>
      <c r="BZ589" s="132"/>
      <c r="CA589" s="132"/>
      <c r="CB589" s="132"/>
      <c r="CC589" s="22"/>
      <c r="CG589" s="24" t="s">
        <v>105</v>
      </c>
      <c r="CH589" s="24"/>
      <c r="CI589" s="24"/>
      <c r="CJ589" s="24"/>
    </row>
    <row r="590" spans="1:88" ht="15" customHeight="1">
      <c r="A590" s="18">
        <v>2019</v>
      </c>
      <c r="B590" s="18" t="str">
        <f>+INDEX(BDD!F:F,MATCH(P590,BDD!D:D,0))&amp;"-"&amp;INDEX(BDD!E:E,MATCH(P590,BDD!D:D,0))</f>
        <v>G-S</v>
      </c>
      <c r="C590" s="125" t="s">
        <v>484</v>
      </c>
      <c r="D590" s="150" t="s">
        <v>77</v>
      </c>
      <c r="E590" s="132"/>
      <c r="F590" s="24"/>
      <c r="G590" s="346">
        <v>8000000441</v>
      </c>
      <c r="H590" s="125" t="s">
        <v>2469</v>
      </c>
      <c r="I590" s="329"/>
      <c r="J590" s="346">
        <v>8000000441</v>
      </c>
      <c r="K590" s="24"/>
      <c r="L590" s="24"/>
      <c r="M590" s="24"/>
      <c r="N590" s="340" t="s">
        <v>486</v>
      </c>
      <c r="O590" s="334">
        <v>207951</v>
      </c>
      <c r="P590" s="25" t="s">
        <v>354</v>
      </c>
      <c r="Q590" s="127" t="s">
        <v>66</v>
      </c>
      <c r="R590" s="232" t="s">
        <v>2457</v>
      </c>
      <c r="S590" s="89">
        <v>43538</v>
      </c>
      <c r="T590" s="36">
        <v>120</v>
      </c>
      <c r="U590" s="125" t="s">
        <v>118</v>
      </c>
      <c r="V590" s="147" t="s">
        <v>2470</v>
      </c>
      <c r="W590" s="129"/>
      <c r="X590" s="88">
        <v>43703</v>
      </c>
      <c r="Y590" s="130" t="s">
        <v>20</v>
      </c>
      <c r="Z590" s="133" t="s">
        <v>60</v>
      </c>
      <c r="AA590" s="133"/>
      <c r="AB590" s="148">
        <v>900</v>
      </c>
      <c r="AC590" s="134">
        <v>275.94</v>
      </c>
      <c r="AD590" s="134"/>
      <c r="AE590" s="403">
        <f t="shared" si="30"/>
        <v>248346</v>
      </c>
      <c r="AF590" s="132" t="s">
        <v>944</v>
      </c>
      <c r="AG590" s="130" t="s">
        <v>46</v>
      </c>
      <c r="AH590" s="130"/>
      <c r="AI590" s="130" t="s">
        <v>100</v>
      </c>
      <c r="AJ590" s="130"/>
      <c r="AK590" s="130"/>
      <c r="AL590" s="135" t="s">
        <v>2454</v>
      </c>
      <c r="AM590" s="314"/>
      <c r="AN590" s="26"/>
      <c r="AO590" s="26"/>
      <c r="AP590" s="26"/>
      <c r="AQ590" s="26">
        <v>43617</v>
      </c>
      <c r="AR590" s="24"/>
      <c r="AS590" s="24"/>
      <c r="AT590" s="24">
        <v>43619</v>
      </c>
      <c r="AU590" s="418">
        <f t="shared" si="31"/>
        <v>6</v>
      </c>
      <c r="AV590" s="418">
        <f t="shared" si="32"/>
        <v>2019</v>
      </c>
      <c r="AW590" s="24"/>
      <c r="AX590" s="28"/>
      <c r="AY590" s="28" t="s">
        <v>205</v>
      </c>
      <c r="AZ590" s="132" t="s">
        <v>37</v>
      </c>
      <c r="BA590" s="132"/>
      <c r="BB590" s="24"/>
      <c r="BC590" s="239" t="s">
        <v>2471</v>
      </c>
      <c r="BD590" s="24">
        <v>43577</v>
      </c>
      <c r="BE590" s="135" t="s">
        <v>2460</v>
      </c>
      <c r="BF590" s="135" t="s">
        <v>2460</v>
      </c>
      <c r="BG590" s="135" t="s">
        <v>52</v>
      </c>
      <c r="BH590" s="135"/>
      <c r="BI590" s="314"/>
      <c r="BJ590" s="314"/>
      <c r="BK590" s="24"/>
      <c r="BL590" s="24"/>
      <c r="BM590" s="24"/>
      <c r="BN590" s="24"/>
      <c r="BO590" s="24"/>
      <c r="BP590" s="24"/>
      <c r="BQ590" s="24"/>
      <c r="BR590" s="43"/>
      <c r="BS590" s="24"/>
      <c r="BT590" s="24"/>
      <c r="BU590" s="24"/>
      <c r="BV590" s="132" t="e">
        <f>IF(#REF!="COMPLETO","OK","PENDIENTES")</f>
        <v>#REF!</v>
      </c>
      <c r="BW590" s="132"/>
      <c r="BX590" s="132"/>
      <c r="BY590" s="132"/>
      <c r="BZ590" s="132"/>
      <c r="CA590" s="132"/>
      <c r="CB590" s="132"/>
      <c r="CC590" s="22"/>
      <c r="CG590" s="24" t="s">
        <v>105</v>
      </c>
      <c r="CH590" s="24"/>
      <c r="CI590" s="24"/>
      <c r="CJ590" s="24"/>
    </row>
    <row r="591" spans="1:88" ht="15" customHeight="1">
      <c r="A591" s="18">
        <v>2019</v>
      </c>
      <c r="B591" s="18" t="str">
        <f>+INDEX(BDD!F:F,MATCH(P591,BDD!D:D,0))&amp;"-"&amp;INDEX(BDD!E:E,MATCH(P591,BDD!D:D,0))</f>
        <v>G-S</v>
      </c>
      <c r="C591" s="125" t="s">
        <v>484</v>
      </c>
      <c r="D591" s="150" t="s">
        <v>77</v>
      </c>
      <c r="E591" s="132"/>
      <c r="F591" s="24"/>
      <c r="G591" s="346">
        <v>8000000443</v>
      </c>
      <c r="H591" s="125" t="s">
        <v>2472</v>
      </c>
      <c r="I591" s="329"/>
      <c r="J591" s="346">
        <v>8000000443</v>
      </c>
      <c r="K591" s="24"/>
      <c r="L591" s="24"/>
      <c r="M591" s="24"/>
      <c r="N591" s="340" t="s">
        <v>486</v>
      </c>
      <c r="O591" s="334">
        <v>207951</v>
      </c>
      <c r="P591" s="25" t="s">
        <v>354</v>
      </c>
      <c r="Q591" s="127" t="s">
        <v>66</v>
      </c>
      <c r="R591" s="232" t="s">
        <v>2457</v>
      </c>
      <c r="S591" s="89">
        <v>43538</v>
      </c>
      <c r="T591" s="36">
        <v>120</v>
      </c>
      <c r="U591" s="125" t="s">
        <v>118</v>
      </c>
      <c r="V591" s="147" t="s">
        <v>2473</v>
      </c>
      <c r="W591" s="129"/>
      <c r="X591" s="88">
        <v>43703</v>
      </c>
      <c r="Y591" s="130" t="s">
        <v>20</v>
      </c>
      <c r="Z591" s="133" t="s">
        <v>60</v>
      </c>
      <c r="AA591" s="133"/>
      <c r="AB591" s="148">
        <v>1850</v>
      </c>
      <c r="AC591" s="134">
        <v>275.94</v>
      </c>
      <c r="AD591" s="134"/>
      <c r="AE591" s="403">
        <f t="shared" si="30"/>
        <v>510489</v>
      </c>
      <c r="AF591" s="132" t="s">
        <v>944</v>
      </c>
      <c r="AG591" s="130" t="s">
        <v>46</v>
      </c>
      <c r="AH591" s="130"/>
      <c r="AI591" s="130" t="s">
        <v>100</v>
      </c>
      <c r="AJ591" s="130"/>
      <c r="AK591" s="130"/>
      <c r="AL591" s="135" t="s">
        <v>2454</v>
      </c>
      <c r="AM591" s="314"/>
      <c r="AN591" s="26"/>
      <c r="AO591" s="26"/>
      <c r="AP591" s="26"/>
      <c r="AQ591" s="26">
        <v>43621</v>
      </c>
      <c r="AR591" s="24"/>
      <c r="AS591" s="24"/>
      <c r="AT591" s="24">
        <v>43623</v>
      </c>
      <c r="AU591" s="418">
        <f t="shared" si="31"/>
        <v>6</v>
      </c>
      <c r="AV591" s="418">
        <f t="shared" si="32"/>
        <v>2019</v>
      </c>
      <c r="AW591" s="24"/>
      <c r="AX591" s="28"/>
      <c r="AY591" s="28" t="s">
        <v>205</v>
      </c>
      <c r="AZ591" s="132" t="s">
        <v>62</v>
      </c>
      <c r="BA591" s="132"/>
      <c r="BB591" s="24"/>
      <c r="BC591" s="144">
        <v>6</v>
      </c>
      <c r="BD591" s="24">
        <v>43577</v>
      </c>
      <c r="BE591" s="135" t="s">
        <v>2460</v>
      </c>
      <c r="BF591" s="135" t="s">
        <v>2460</v>
      </c>
      <c r="BG591" s="135" t="s">
        <v>52</v>
      </c>
      <c r="BH591" s="135"/>
      <c r="BI591" s="314"/>
      <c r="BJ591" s="314"/>
      <c r="BK591" s="24"/>
      <c r="BL591" s="24"/>
      <c r="BM591" s="24"/>
      <c r="BN591" s="24"/>
      <c r="BO591" s="24"/>
      <c r="BP591" s="24"/>
      <c r="BQ591" s="24"/>
      <c r="BR591" s="43"/>
      <c r="BS591" s="24"/>
      <c r="BT591" s="24"/>
      <c r="BU591" s="24"/>
      <c r="BV591" s="132" t="e">
        <f>IF(#REF!="COMPLETO","OK","PENDIENTES")</f>
        <v>#REF!</v>
      </c>
      <c r="BW591" s="132"/>
      <c r="BX591" s="132"/>
      <c r="BY591" s="132"/>
      <c r="BZ591" s="132"/>
      <c r="CA591" s="132"/>
      <c r="CB591" s="132"/>
      <c r="CC591" s="22"/>
      <c r="CG591" s="24" t="s">
        <v>105</v>
      </c>
      <c r="CH591" s="24"/>
      <c r="CI591" s="24"/>
      <c r="CJ591" s="24"/>
    </row>
    <row r="592" spans="1:88" ht="15" customHeight="1">
      <c r="A592" s="18">
        <v>2019</v>
      </c>
      <c r="B592" s="18" t="str">
        <f>+INDEX(BDD!F:F,MATCH(P592,BDD!D:D,0))&amp;"-"&amp;INDEX(BDD!E:E,MATCH(P592,BDD!D:D,0))</f>
        <v>G-S</v>
      </c>
      <c r="C592" s="125" t="s">
        <v>484</v>
      </c>
      <c r="D592" s="150" t="s">
        <v>77</v>
      </c>
      <c r="E592" s="132"/>
      <c r="F592" s="24"/>
      <c r="G592" s="346">
        <v>8000000435</v>
      </c>
      <c r="H592" s="125" t="s">
        <v>2474</v>
      </c>
      <c r="I592" s="329"/>
      <c r="J592" s="346">
        <v>8000000435</v>
      </c>
      <c r="K592" s="24"/>
      <c r="L592" s="24"/>
      <c r="M592" s="24"/>
      <c r="N592" s="340" t="s">
        <v>486</v>
      </c>
      <c r="O592" s="334">
        <v>203616</v>
      </c>
      <c r="P592" s="25" t="s">
        <v>331</v>
      </c>
      <c r="Q592" s="127" t="s">
        <v>163</v>
      </c>
      <c r="R592" s="232" t="s">
        <v>544</v>
      </c>
      <c r="S592" s="89">
        <v>43545</v>
      </c>
      <c r="T592" s="36" t="s">
        <v>19</v>
      </c>
      <c r="U592" s="125"/>
      <c r="V592" s="147" t="s">
        <v>2475</v>
      </c>
      <c r="W592" s="129"/>
      <c r="X592" s="88">
        <v>43587</v>
      </c>
      <c r="Y592" s="130" t="s">
        <v>20</v>
      </c>
      <c r="Z592" s="133" t="s">
        <v>60</v>
      </c>
      <c r="AA592" s="133"/>
      <c r="AB592" s="148">
        <v>2890</v>
      </c>
      <c r="AC592" s="134">
        <v>147</v>
      </c>
      <c r="AD592" s="134"/>
      <c r="AE592" s="403">
        <f t="shared" si="30"/>
        <v>424830</v>
      </c>
      <c r="AF592" s="132"/>
      <c r="AG592" s="130" t="s">
        <v>46</v>
      </c>
      <c r="AH592" s="130"/>
      <c r="AI592" s="130" t="s">
        <v>100</v>
      </c>
      <c r="AJ592" s="130"/>
      <c r="AK592" s="130"/>
      <c r="AL592" s="135" t="s">
        <v>2285</v>
      </c>
      <c r="AM592" s="314"/>
      <c r="AN592" s="26"/>
      <c r="AO592" s="26"/>
      <c r="AP592" s="26"/>
      <c r="AQ592" s="26">
        <v>43604</v>
      </c>
      <c r="AR592" s="42"/>
      <c r="AS592" s="42"/>
      <c r="AT592" s="24">
        <v>43608</v>
      </c>
      <c r="AU592" s="418">
        <f t="shared" si="31"/>
        <v>5</v>
      </c>
      <c r="AV592" s="418">
        <f t="shared" si="32"/>
        <v>2019</v>
      </c>
      <c r="AW592" s="24"/>
      <c r="AX592" s="28"/>
      <c r="AY592" s="28" t="s">
        <v>230</v>
      </c>
      <c r="AZ592" s="132" t="s">
        <v>9</v>
      </c>
      <c r="BA592" s="132"/>
      <c r="BB592" s="24"/>
      <c r="BC592" s="135" t="s">
        <v>2476</v>
      </c>
      <c r="BD592" s="24">
        <v>43573</v>
      </c>
      <c r="BE592" s="135" t="s">
        <v>2477</v>
      </c>
      <c r="BF592" s="135" t="s">
        <v>2477</v>
      </c>
      <c r="BG592" s="135" t="s">
        <v>52</v>
      </c>
      <c r="BH592" s="135"/>
      <c r="BI592" s="314"/>
      <c r="BJ592" s="314"/>
      <c r="BK592" s="24"/>
      <c r="BL592" s="24"/>
      <c r="BM592" s="24"/>
      <c r="BN592" s="24"/>
      <c r="BO592" s="42"/>
      <c r="BP592" s="42"/>
      <c r="BQ592" s="42"/>
      <c r="BR592" s="43"/>
      <c r="BS592" s="42"/>
      <c r="BT592" s="42"/>
      <c r="BU592" s="42"/>
      <c r="BV592" s="132" t="e">
        <f>IF(#REF!="COMPLETO","OK","PENDIENTES")</f>
        <v>#REF!</v>
      </c>
      <c r="BW592" s="132"/>
      <c r="BX592" s="132"/>
      <c r="BY592" s="132"/>
      <c r="BZ592" s="132"/>
      <c r="CA592" s="132"/>
      <c r="CB592" s="132"/>
      <c r="CC592" s="22"/>
      <c r="CG592" s="24" t="s">
        <v>105</v>
      </c>
      <c r="CH592" s="24"/>
      <c r="CI592" s="24"/>
      <c r="CJ592" s="24"/>
    </row>
    <row r="593" spans="1:88" ht="15" customHeight="1">
      <c r="A593" s="18">
        <v>2019</v>
      </c>
      <c r="B593" s="18" t="str">
        <f>+INDEX(BDD!F:F,MATCH(P593,BDD!D:D,0))&amp;"-"&amp;INDEX(BDD!E:E,MATCH(P593,BDD!D:D,0))</f>
        <v>G-S</v>
      </c>
      <c r="C593" s="125" t="s">
        <v>484</v>
      </c>
      <c r="D593" s="150" t="s">
        <v>77</v>
      </c>
      <c r="E593" s="132"/>
      <c r="F593" s="24"/>
      <c r="G593" s="346">
        <v>8000000444</v>
      </c>
      <c r="H593" s="125" t="s">
        <v>2478</v>
      </c>
      <c r="I593" s="329"/>
      <c r="J593" s="346">
        <v>8000000444</v>
      </c>
      <c r="K593" s="24"/>
      <c r="L593" s="24"/>
      <c r="M593" s="24"/>
      <c r="N593" s="340" t="s">
        <v>486</v>
      </c>
      <c r="O593" s="334">
        <v>203616</v>
      </c>
      <c r="P593" s="25" t="s">
        <v>331</v>
      </c>
      <c r="Q593" s="127" t="s">
        <v>163</v>
      </c>
      <c r="R593" s="232" t="s">
        <v>544</v>
      </c>
      <c r="S593" s="89">
        <v>43545</v>
      </c>
      <c r="T593" s="36" t="s">
        <v>19</v>
      </c>
      <c r="U593" s="125"/>
      <c r="V593" s="147" t="s">
        <v>2479</v>
      </c>
      <c r="W593" s="129"/>
      <c r="X593" s="88">
        <v>43587</v>
      </c>
      <c r="Y593" s="130" t="s">
        <v>20</v>
      </c>
      <c r="Z593" s="133" t="s">
        <v>60</v>
      </c>
      <c r="AA593" s="133"/>
      <c r="AB593" s="148">
        <v>2900</v>
      </c>
      <c r="AC593" s="134">
        <v>147</v>
      </c>
      <c r="AD593" s="134"/>
      <c r="AE593" s="403">
        <f t="shared" si="30"/>
        <v>426300</v>
      </c>
      <c r="AF593" s="132"/>
      <c r="AG593" s="130" t="s">
        <v>46</v>
      </c>
      <c r="AH593" s="130"/>
      <c r="AI593" s="130" t="s">
        <v>100</v>
      </c>
      <c r="AJ593" s="130"/>
      <c r="AK593" s="130"/>
      <c r="AL593" s="135" t="s">
        <v>2285</v>
      </c>
      <c r="AM593" s="314"/>
      <c r="AN593" s="26"/>
      <c r="AO593" s="26"/>
      <c r="AP593" s="26"/>
      <c r="AQ593" s="26">
        <v>43610</v>
      </c>
      <c r="AR593" s="24"/>
      <c r="AS593" s="24"/>
      <c r="AT593" s="24">
        <v>43615</v>
      </c>
      <c r="AU593" s="418">
        <f t="shared" si="31"/>
        <v>5</v>
      </c>
      <c r="AV593" s="418">
        <f t="shared" si="32"/>
        <v>2019</v>
      </c>
      <c r="AW593" s="24"/>
      <c r="AX593" s="28"/>
      <c r="AY593" s="28" t="s">
        <v>230</v>
      </c>
      <c r="AZ593" s="132" t="s">
        <v>25</v>
      </c>
      <c r="BA593" s="132"/>
      <c r="BB593" s="24"/>
      <c r="BC593" s="135" t="s">
        <v>2480</v>
      </c>
      <c r="BD593" s="24">
        <v>43573</v>
      </c>
      <c r="BE593" s="135" t="s">
        <v>2477</v>
      </c>
      <c r="BF593" s="135" t="s">
        <v>2477</v>
      </c>
      <c r="BG593" s="135" t="s">
        <v>52</v>
      </c>
      <c r="BH593" s="135"/>
      <c r="BI593" s="314"/>
      <c r="BJ593" s="314"/>
      <c r="BK593" s="24"/>
      <c r="BL593" s="24"/>
      <c r="BM593" s="24"/>
      <c r="BN593" s="24"/>
      <c r="BO593" s="24"/>
      <c r="BP593" s="24"/>
      <c r="BQ593" s="24"/>
      <c r="BR593" s="43"/>
      <c r="BS593" s="24"/>
      <c r="BT593" s="24"/>
      <c r="BU593" s="24"/>
      <c r="BV593" s="132" t="e">
        <f>IF(#REF!="COMPLETO","OK","PENDIENTES")</f>
        <v>#REF!</v>
      </c>
      <c r="BW593" s="132"/>
      <c r="BX593" s="132"/>
      <c r="BY593" s="132"/>
      <c r="BZ593" s="132"/>
      <c r="CA593" s="132"/>
      <c r="CB593" s="132"/>
      <c r="CC593" s="22"/>
      <c r="CG593" s="24" t="s">
        <v>105</v>
      </c>
      <c r="CH593" s="24"/>
      <c r="CI593" s="24"/>
      <c r="CJ593" s="24"/>
    </row>
    <row r="594" spans="1:88" ht="15" customHeight="1">
      <c r="A594" s="18">
        <v>2019</v>
      </c>
      <c r="B594" s="18" t="str">
        <f>+INDEX(BDD!F:F,MATCH(P594,BDD!D:D,0))&amp;"-"&amp;INDEX(BDD!E:E,MATCH(P594,BDD!D:D,0))</f>
        <v>G-S</v>
      </c>
      <c r="C594" s="125" t="s">
        <v>484</v>
      </c>
      <c r="D594" s="150" t="s">
        <v>77</v>
      </c>
      <c r="E594" s="132"/>
      <c r="F594" s="24"/>
      <c r="G594" s="346">
        <v>8000000445</v>
      </c>
      <c r="H594" s="125" t="s">
        <v>2481</v>
      </c>
      <c r="I594" s="329"/>
      <c r="J594" s="346">
        <v>8000000445</v>
      </c>
      <c r="K594" s="24"/>
      <c r="L594" s="24"/>
      <c r="M594" s="24"/>
      <c r="N594" s="340" t="s">
        <v>486</v>
      </c>
      <c r="O594" s="334">
        <v>203616</v>
      </c>
      <c r="P594" s="25" t="s">
        <v>331</v>
      </c>
      <c r="Q594" s="127" t="s">
        <v>163</v>
      </c>
      <c r="R594" s="232" t="s">
        <v>544</v>
      </c>
      <c r="S594" s="89">
        <v>43545</v>
      </c>
      <c r="T594" s="36" t="s">
        <v>19</v>
      </c>
      <c r="U594" s="125"/>
      <c r="V594" s="147" t="s">
        <v>2482</v>
      </c>
      <c r="W594" s="129"/>
      <c r="X594" s="88">
        <v>43587</v>
      </c>
      <c r="Y594" s="130" t="s">
        <v>20</v>
      </c>
      <c r="Z594" s="133" t="s">
        <v>60</v>
      </c>
      <c r="AA594" s="133"/>
      <c r="AB594" s="148">
        <v>600</v>
      </c>
      <c r="AC594" s="134">
        <v>147</v>
      </c>
      <c r="AD594" s="134"/>
      <c r="AE594" s="403">
        <f t="shared" si="30"/>
        <v>88200</v>
      </c>
      <c r="AF594" s="132"/>
      <c r="AG594" s="130" t="s">
        <v>46</v>
      </c>
      <c r="AH594" s="130"/>
      <c r="AI594" s="130" t="s">
        <v>100</v>
      </c>
      <c r="AJ594" s="130"/>
      <c r="AK594" s="130"/>
      <c r="AL594" s="135" t="s">
        <v>2285</v>
      </c>
      <c r="AM594" s="314"/>
      <c r="AN594" s="26"/>
      <c r="AO594" s="26"/>
      <c r="AP594" s="26"/>
      <c r="AQ594" s="26">
        <v>43619</v>
      </c>
      <c r="AR594" s="24"/>
      <c r="AS594" s="24"/>
      <c r="AT594" s="24">
        <v>43622</v>
      </c>
      <c r="AU594" s="418">
        <f t="shared" si="31"/>
        <v>6</v>
      </c>
      <c r="AV594" s="418">
        <f t="shared" si="32"/>
        <v>2019</v>
      </c>
      <c r="AW594" s="24"/>
      <c r="AX594" s="28"/>
      <c r="AY594" s="28" t="s">
        <v>230</v>
      </c>
      <c r="AZ594" s="132" t="s">
        <v>62</v>
      </c>
      <c r="BA594" s="132"/>
      <c r="BB594" s="24"/>
      <c r="BC594" s="135" t="s">
        <v>2483</v>
      </c>
      <c r="BD594" s="24">
        <v>43573</v>
      </c>
      <c r="BE594" s="135" t="s">
        <v>2477</v>
      </c>
      <c r="BF594" s="135" t="s">
        <v>2477</v>
      </c>
      <c r="BG594" s="135" t="s">
        <v>52</v>
      </c>
      <c r="BH594" s="135"/>
      <c r="BI594" s="314"/>
      <c r="BJ594" s="314"/>
      <c r="BK594" s="24"/>
      <c r="BL594" s="24"/>
      <c r="BM594" s="24"/>
      <c r="BN594" s="24"/>
      <c r="BO594" s="24"/>
      <c r="BP594" s="24"/>
      <c r="BQ594" s="24"/>
      <c r="BR594" s="43"/>
      <c r="BS594" s="24"/>
      <c r="BT594" s="24"/>
      <c r="BU594" s="24"/>
      <c r="BV594" s="132" t="e">
        <f>IF(#REF!="COMPLETO","OK","PENDIENTES")</f>
        <v>#REF!</v>
      </c>
      <c r="BW594" s="132"/>
      <c r="BX594" s="132"/>
      <c r="BY594" s="132"/>
      <c r="BZ594" s="132"/>
      <c r="CA594" s="132"/>
      <c r="CB594" s="132"/>
      <c r="CC594" s="22"/>
      <c r="CG594" s="24" t="s">
        <v>105</v>
      </c>
      <c r="CH594" s="24"/>
      <c r="CI594" s="24"/>
      <c r="CJ594" s="24"/>
    </row>
    <row r="595" spans="1:88" ht="15" customHeight="1">
      <c r="A595" s="18">
        <v>2019</v>
      </c>
      <c r="B595" s="18" t="str">
        <f>+INDEX(BDD!F:F,MATCH(P595,BDD!D:D,0))&amp;"-"&amp;INDEX(BDD!E:E,MATCH(P595,BDD!D:D,0))</f>
        <v>G-S</v>
      </c>
      <c r="C595" s="125" t="s">
        <v>484</v>
      </c>
      <c r="D595" s="150" t="s">
        <v>77</v>
      </c>
      <c r="E595" s="132"/>
      <c r="F595" s="24"/>
      <c r="G595" s="346">
        <v>8000000436</v>
      </c>
      <c r="H595" s="125" t="s">
        <v>2484</v>
      </c>
      <c r="I595" s="329"/>
      <c r="J595" s="346">
        <v>8000000436</v>
      </c>
      <c r="K595" s="24"/>
      <c r="L595" s="24"/>
      <c r="M595" s="24"/>
      <c r="N595" s="340" t="s">
        <v>486</v>
      </c>
      <c r="O595" s="334">
        <v>206569</v>
      </c>
      <c r="P595" s="25" t="s">
        <v>142</v>
      </c>
      <c r="Q595" s="127" t="s">
        <v>163</v>
      </c>
      <c r="R595" s="232" t="s">
        <v>544</v>
      </c>
      <c r="S595" s="89">
        <v>43545</v>
      </c>
      <c r="T595" s="36" t="s">
        <v>19</v>
      </c>
      <c r="U595" s="125"/>
      <c r="V595" s="147" t="s">
        <v>2485</v>
      </c>
      <c r="W595" s="129"/>
      <c r="X595" s="88">
        <v>43587</v>
      </c>
      <c r="Y595" s="130" t="s">
        <v>20</v>
      </c>
      <c r="Z595" s="133" t="s">
        <v>60</v>
      </c>
      <c r="AA595" s="133"/>
      <c r="AB595" s="148">
        <v>450</v>
      </c>
      <c r="AC595" s="134">
        <v>420</v>
      </c>
      <c r="AD595" s="134"/>
      <c r="AE595" s="403">
        <f t="shared" si="30"/>
        <v>189000</v>
      </c>
      <c r="AF595" s="132"/>
      <c r="AG595" s="130" t="s">
        <v>46</v>
      </c>
      <c r="AH595" s="130"/>
      <c r="AI595" s="130" t="s">
        <v>100</v>
      </c>
      <c r="AJ595" s="130"/>
      <c r="AK595" s="130"/>
      <c r="AL595" s="135" t="s">
        <v>2285</v>
      </c>
      <c r="AM595" s="314"/>
      <c r="AN595" s="26"/>
      <c r="AO595" s="26"/>
      <c r="AP595" s="26"/>
      <c r="AQ595" s="26">
        <v>43604</v>
      </c>
      <c r="AR595" s="24"/>
      <c r="AS595" s="24"/>
      <c r="AT595" s="24">
        <v>43608</v>
      </c>
      <c r="AU595" s="418">
        <f t="shared" si="31"/>
        <v>5</v>
      </c>
      <c r="AV595" s="418">
        <f t="shared" si="32"/>
        <v>2019</v>
      </c>
      <c r="AW595" s="24"/>
      <c r="AX595" s="28"/>
      <c r="AY595" s="28" t="s">
        <v>230</v>
      </c>
      <c r="AZ595" s="132" t="s">
        <v>9</v>
      </c>
      <c r="BA595" s="132"/>
      <c r="BB595" s="24"/>
      <c r="BC595" s="135" t="s">
        <v>2486</v>
      </c>
      <c r="BD595" s="24">
        <v>43573</v>
      </c>
      <c r="BE595" s="135" t="s">
        <v>2477</v>
      </c>
      <c r="BF595" s="135" t="s">
        <v>2477</v>
      </c>
      <c r="BG595" s="135" t="s">
        <v>52</v>
      </c>
      <c r="BH595" s="135"/>
      <c r="BI595" s="314"/>
      <c r="BJ595" s="314"/>
      <c r="BK595" s="24"/>
      <c r="BL595" s="24"/>
      <c r="BM595" s="24"/>
      <c r="BN595" s="24"/>
      <c r="BO595" s="24"/>
      <c r="BP595" s="24"/>
      <c r="BQ595" s="24"/>
      <c r="BR595" s="43"/>
      <c r="BS595" s="24"/>
      <c r="BT595" s="24"/>
      <c r="BU595" s="24"/>
      <c r="BV595" s="132" t="e">
        <f>IF(#REF!="COMPLETO","OK","PENDIENTES")</f>
        <v>#REF!</v>
      </c>
      <c r="BW595" s="132"/>
      <c r="BX595" s="132"/>
      <c r="BY595" s="132"/>
      <c r="BZ595" s="132"/>
      <c r="CA595" s="132"/>
      <c r="CB595" s="132"/>
      <c r="CC595" s="22"/>
      <c r="CG595" s="24" t="s">
        <v>105</v>
      </c>
      <c r="CH595" s="24"/>
      <c r="CI595" s="24"/>
      <c r="CJ595" s="24"/>
    </row>
    <row r="596" spans="1:88" ht="15" customHeight="1">
      <c r="A596" s="18">
        <v>2019</v>
      </c>
      <c r="B596" s="18" t="str">
        <f>+INDEX(BDD!F:F,MATCH(P596,BDD!D:D,0))&amp;"-"&amp;INDEX(BDD!E:E,MATCH(P596,BDD!D:D,0))</f>
        <v>G-S</v>
      </c>
      <c r="C596" s="125" t="s">
        <v>484</v>
      </c>
      <c r="D596" s="150" t="s">
        <v>77</v>
      </c>
      <c r="E596" s="132"/>
      <c r="F596" s="24"/>
      <c r="G596" s="346">
        <v>8000000446</v>
      </c>
      <c r="H596" s="125" t="s">
        <v>2487</v>
      </c>
      <c r="I596" s="329"/>
      <c r="J596" s="346">
        <v>8000000446</v>
      </c>
      <c r="K596" s="24"/>
      <c r="L596" s="24"/>
      <c r="M596" s="24"/>
      <c r="N596" s="340" t="s">
        <v>486</v>
      </c>
      <c r="O596" s="334">
        <v>206569</v>
      </c>
      <c r="P596" s="25" t="s">
        <v>142</v>
      </c>
      <c r="Q596" s="127" t="s">
        <v>163</v>
      </c>
      <c r="R596" s="232" t="s">
        <v>544</v>
      </c>
      <c r="S596" s="89">
        <v>43545</v>
      </c>
      <c r="T596" s="36" t="s">
        <v>19</v>
      </c>
      <c r="U596" s="125"/>
      <c r="V596" s="147" t="s">
        <v>2488</v>
      </c>
      <c r="W596" s="129"/>
      <c r="X596" s="88">
        <v>43587</v>
      </c>
      <c r="Y596" s="130" t="s">
        <v>20</v>
      </c>
      <c r="Z596" s="133" t="s">
        <v>60</v>
      </c>
      <c r="AA596" s="133"/>
      <c r="AB596" s="148">
        <v>600</v>
      </c>
      <c r="AC596" s="134">
        <v>420</v>
      </c>
      <c r="AD596" s="134"/>
      <c r="AE596" s="403">
        <f t="shared" si="30"/>
        <v>252000</v>
      </c>
      <c r="AF596" s="132"/>
      <c r="AG596" s="130" t="s">
        <v>46</v>
      </c>
      <c r="AH596" s="130"/>
      <c r="AI596" s="130" t="s">
        <v>100</v>
      </c>
      <c r="AJ596" s="130"/>
      <c r="AK596" s="130"/>
      <c r="AL596" s="135" t="s">
        <v>2285</v>
      </c>
      <c r="AM596" s="314"/>
      <c r="AN596" s="26"/>
      <c r="AO596" s="26"/>
      <c r="AP596" s="26"/>
      <c r="AQ596" s="26">
        <v>43610</v>
      </c>
      <c r="AR596" s="24"/>
      <c r="AS596" s="24"/>
      <c r="AT596" s="24">
        <v>43615</v>
      </c>
      <c r="AU596" s="418">
        <f t="shared" si="31"/>
        <v>5</v>
      </c>
      <c r="AV596" s="418">
        <f t="shared" si="32"/>
        <v>2019</v>
      </c>
      <c r="AW596" s="24"/>
      <c r="AX596" s="28"/>
      <c r="AY596" s="28" t="s">
        <v>230</v>
      </c>
      <c r="AZ596" s="132" t="s">
        <v>25</v>
      </c>
      <c r="BA596" s="132"/>
      <c r="BB596" s="24"/>
      <c r="BC596" s="135" t="s">
        <v>2489</v>
      </c>
      <c r="BD596" s="24">
        <v>43573</v>
      </c>
      <c r="BE596" s="135" t="s">
        <v>2477</v>
      </c>
      <c r="BF596" s="135" t="s">
        <v>2477</v>
      </c>
      <c r="BG596" s="135" t="s">
        <v>52</v>
      </c>
      <c r="BH596" s="135"/>
      <c r="BI596" s="314"/>
      <c r="BJ596" s="314"/>
      <c r="BK596" s="24"/>
      <c r="BL596" s="24"/>
      <c r="BM596" s="24"/>
      <c r="BN596" s="24"/>
      <c r="BO596" s="24"/>
      <c r="BP596" s="24"/>
      <c r="BQ596" s="24"/>
      <c r="BR596" s="43"/>
      <c r="BS596" s="24"/>
      <c r="BT596" s="24"/>
      <c r="BU596" s="24"/>
      <c r="BV596" s="132" t="e">
        <f>IF(#REF!="COMPLETO","OK","PENDIENTES")</f>
        <v>#REF!</v>
      </c>
      <c r="BW596" s="132"/>
      <c r="BX596" s="132"/>
      <c r="BY596" s="132"/>
      <c r="BZ596" s="132"/>
      <c r="CA596" s="132"/>
      <c r="CB596" s="132"/>
      <c r="CC596" s="22"/>
      <c r="CG596" s="24" t="s">
        <v>105</v>
      </c>
      <c r="CH596" s="24"/>
      <c r="CI596" s="24"/>
      <c r="CJ596" s="24"/>
    </row>
    <row r="597" spans="1:88" ht="15" customHeight="1">
      <c r="A597" s="18">
        <v>2019</v>
      </c>
      <c r="B597" s="18" t="str">
        <f>+INDEX(BDD!F:F,MATCH(P597,BDD!D:D,0))&amp;"-"&amp;INDEX(BDD!E:E,MATCH(P597,BDD!D:D,0))</f>
        <v>G-S</v>
      </c>
      <c r="C597" s="125" t="s">
        <v>484</v>
      </c>
      <c r="D597" s="150" t="s">
        <v>77</v>
      </c>
      <c r="E597" s="132"/>
      <c r="F597" s="24"/>
      <c r="G597" s="346">
        <v>8000000447</v>
      </c>
      <c r="H597" s="125" t="s">
        <v>2490</v>
      </c>
      <c r="I597" s="329"/>
      <c r="J597" s="346">
        <v>8000000447</v>
      </c>
      <c r="K597" s="24"/>
      <c r="L597" s="24"/>
      <c r="M597" s="24"/>
      <c r="N597" s="340" t="s">
        <v>486</v>
      </c>
      <c r="O597" s="334">
        <v>206569</v>
      </c>
      <c r="P597" s="25" t="s">
        <v>142</v>
      </c>
      <c r="Q597" s="127" t="s">
        <v>163</v>
      </c>
      <c r="R597" s="232" t="s">
        <v>544</v>
      </c>
      <c r="S597" s="89">
        <v>43545</v>
      </c>
      <c r="T597" s="36" t="s">
        <v>19</v>
      </c>
      <c r="U597" s="125"/>
      <c r="V597" s="147" t="s">
        <v>2491</v>
      </c>
      <c r="W597" s="129"/>
      <c r="X597" s="88">
        <v>43587</v>
      </c>
      <c r="Y597" s="130" t="s">
        <v>20</v>
      </c>
      <c r="Z597" s="133" t="s">
        <v>60</v>
      </c>
      <c r="AA597" s="133"/>
      <c r="AB597" s="148">
        <v>1900</v>
      </c>
      <c r="AC597" s="134">
        <v>420</v>
      </c>
      <c r="AD597" s="134"/>
      <c r="AE597" s="403">
        <f t="shared" si="30"/>
        <v>798000</v>
      </c>
      <c r="AF597" s="132"/>
      <c r="AG597" s="130" t="s">
        <v>46</v>
      </c>
      <c r="AH597" s="130"/>
      <c r="AI597" s="130" t="s">
        <v>100</v>
      </c>
      <c r="AJ597" s="130"/>
      <c r="AK597" s="130"/>
      <c r="AL597" s="135" t="s">
        <v>2285</v>
      </c>
      <c r="AM597" s="314"/>
      <c r="AN597" s="26"/>
      <c r="AO597" s="26"/>
      <c r="AP597" s="26"/>
      <c r="AQ597" s="26">
        <v>43616</v>
      </c>
      <c r="AR597" s="24"/>
      <c r="AS597" s="24"/>
      <c r="AT597" s="24">
        <v>43618</v>
      </c>
      <c r="AU597" s="418">
        <f t="shared" si="31"/>
        <v>6</v>
      </c>
      <c r="AV597" s="418">
        <f t="shared" si="32"/>
        <v>2019</v>
      </c>
      <c r="AW597" s="24"/>
      <c r="AX597" s="28"/>
      <c r="AY597" s="28" t="s">
        <v>230</v>
      </c>
      <c r="AZ597" s="132" t="s">
        <v>37</v>
      </c>
      <c r="BA597" s="132"/>
      <c r="BB597" s="24"/>
      <c r="BC597" s="135" t="s">
        <v>2492</v>
      </c>
      <c r="BD597" s="24">
        <v>43573</v>
      </c>
      <c r="BE597" s="135" t="s">
        <v>2477</v>
      </c>
      <c r="BF597" s="135" t="s">
        <v>2477</v>
      </c>
      <c r="BG597" s="135" t="s">
        <v>52</v>
      </c>
      <c r="BH597" s="135"/>
      <c r="BI597" s="314"/>
      <c r="BJ597" s="314"/>
      <c r="BK597" s="24"/>
      <c r="BL597" s="24"/>
      <c r="BM597" s="24"/>
      <c r="BN597" s="24"/>
      <c r="BO597" s="24"/>
      <c r="BP597" s="24"/>
      <c r="BQ597" s="24"/>
      <c r="BR597" s="43"/>
      <c r="BS597" s="24"/>
      <c r="BT597" s="24"/>
      <c r="BU597" s="24"/>
      <c r="BV597" s="132" t="e">
        <f>IF(#REF!="COMPLETO","OK","PENDIENTES")</f>
        <v>#REF!</v>
      </c>
      <c r="BW597" s="132"/>
      <c r="BX597" s="132"/>
      <c r="BY597" s="132"/>
      <c r="BZ597" s="132"/>
      <c r="CA597" s="132"/>
      <c r="CB597" s="132"/>
      <c r="CC597" s="22"/>
      <c r="CG597" s="24" t="s">
        <v>105</v>
      </c>
      <c r="CH597" s="24"/>
      <c r="CI597" s="24"/>
      <c r="CJ597" s="24"/>
    </row>
    <row r="598" spans="1:88" ht="15" customHeight="1">
      <c r="A598" s="18">
        <v>2019</v>
      </c>
      <c r="B598" s="18" t="str">
        <f>+INDEX(BDD!F:F,MATCH(P598,BDD!D:D,0))&amp;"-"&amp;INDEX(BDD!E:E,MATCH(P598,BDD!D:D,0))</f>
        <v>G-S</v>
      </c>
      <c r="C598" s="125" t="s">
        <v>484</v>
      </c>
      <c r="D598" s="150" t="s">
        <v>77</v>
      </c>
      <c r="E598" s="132"/>
      <c r="F598" s="24"/>
      <c r="G598" s="346">
        <v>8000000448</v>
      </c>
      <c r="H598" s="125" t="s">
        <v>2493</v>
      </c>
      <c r="I598" s="329"/>
      <c r="J598" s="346">
        <v>8000000448</v>
      </c>
      <c r="K598" s="24"/>
      <c r="L598" s="24"/>
      <c r="M598" s="24"/>
      <c r="N598" s="340" t="s">
        <v>486</v>
      </c>
      <c r="O598" s="334">
        <v>206569</v>
      </c>
      <c r="P598" s="25" t="s">
        <v>142</v>
      </c>
      <c r="Q598" s="127" t="s">
        <v>163</v>
      </c>
      <c r="R598" s="232" t="s">
        <v>544</v>
      </c>
      <c r="S598" s="89">
        <v>43545</v>
      </c>
      <c r="T598" s="36" t="s">
        <v>19</v>
      </c>
      <c r="U598" s="125"/>
      <c r="V598" s="147" t="s">
        <v>2494</v>
      </c>
      <c r="W598" s="129"/>
      <c r="X598" s="88">
        <v>43587</v>
      </c>
      <c r="Y598" s="130" t="s">
        <v>20</v>
      </c>
      <c r="Z598" s="133" t="s">
        <v>60</v>
      </c>
      <c r="AA598" s="133"/>
      <c r="AB598" s="148">
        <v>1900</v>
      </c>
      <c r="AC598" s="134">
        <v>420</v>
      </c>
      <c r="AD598" s="134"/>
      <c r="AE598" s="403">
        <f t="shared" si="30"/>
        <v>798000</v>
      </c>
      <c r="AF598" s="132"/>
      <c r="AG598" s="130" t="s">
        <v>46</v>
      </c>
      <c r="AH598" s="130"/>
      <c r="AI598" s="130" t="s">
        <v>100</v>
      </c>
      <c r="AJ598" s="130"/>
      <c r="AK598" s="130"/>
      <c r="AL598" s="135" t="s">
        <v>2285</v>
      </c>
      <c r="AM598" s="314"/>
      <c r="AN598" s="26"/>
      <c r="AO598" s="26"/>
      <c r="AP598" s="26"/>
      <c r="AQ598" s="26">
        <v>43619</v>
      </c>
      <c r="AR598" s="24"/>
      <c r="AS598" s="24"/>
      <c r="AT598" s="24">
        <v>43622</v>
      </c>
      <c r="AU598" s="418">
        <f t="shared" si="31"/>
        <v>6</v>
      </c>
      <c r="AV598" s="418">
        <f t="shared" si="32"/>
        <v>2019</v>
      </c>
      <c r="AW598" s="24"/>
      <c r="AX598" s="28"/>
      <c r="AY598" s="28" t="s">
        <v>230</v>
      </c>
      <c r="AZ598" s="132" t="s">
        <v>62</v>
      </c>
      <c r="BA598" s="132"/>
      <c r="BB598" s="24"/>
      <c r="BC598" s="135" t="s">
        <v>2495</v>
      </c>
      <c r="BD598" s="24">
        <v>43573</v>
      </c>
      <c r="BE598" s="135" t="s">
        <v>2477</v>
      </c>
      <c r="BF598" s="135" t="s">
        <v>2477</v>
      </c>
      <c r="BG598" s="135" t="s">
        <v>52</v>
      </c>
      <c r="BH598" s="135"/>
      <c r="BI598" s="314"/>
      <c r="BJ598" s="314"/>
      <c r="BK598" s="24"/>
      <c r="BL598" s="24"/>
      <c r="BM598" s="24"/>
      <c r="BN598" s="24"/>
      <c r="BO598" s="24"/>
      <c r="BP598" s="24"/>
      <c r="BQ598" s="24"/>
      <c r="BR598" s="43"/>
      <c r="BS598" s="24"/>
      <c r="BT598" s="24"/>
      <c r="BU598" s="24"/>
      <c r="BV598" s="132" t="e">
        <f>IF(#REF!="COMPLETO","OK","PENDIENTES")</f>
        <v>#REF!</v>
      </c>
      <c r="BW598" s="132"/>
      <c r="BX598" s="132"/>
      <c r="BY598" s="132"/>
      <c r="BZ598" s="132"/>
      <c r="CA598" s="132"/>
      <c r="CB598" s="132"/>
      <c r="CC598" s="22"/>
      <c r="CG598" s="24" t="s">
        <v>105</v>
      </c>
      <c r="CH598" s="24"/>
      <c r="CI598" s="24"/>
      <c r="CJ598" s="24"/>
    </row>
    <row r="599" spans="1:88" ht="15" customHeight="1">
      <c r="A599" s="18">
        <v>2019</v>
      </c>
      <c r="B599" s="18" t="str">
        <f>+INDEX(BDD!F:F,MATCH(P599,BDD!D:D,0))&amp;"-"&amp;INDEX(BDD!E:E,MATCH(P599,BDD!D:D,0))</f>
        <v>S-S</v>
      </c>
      <c r="C599" s="125" t="s">
        <v>484</v>
      </c>
      <c r="D599" s="150" t="s">
        <v>77</v>
      </c>
      <c r="E599" s="132"/>
      <c r="F599" s="24"/>
      <c r="G599" s="346">
        <v>8000000466</v>
      </c>
      <c r="H599" s="125" t="s">
        <v>2496</v>
      </c>
      <c r="I599" s="329"/>
      <c r="J599" s="346">
        <v>8000000466</v>
      </c>
      <c r="K599" s="24"/>
      <c r="L599" s="24"/>
      <c r="M599" s="24"/>
      <c r="N599" s="340" t="s">
        <v>486</v>
      </c>
      <c r="O599" s="334">
        <v>206971</v>
      </c>
      <c r="P599" s="25" t="s">
        <v>340</v>
      </c>
      <c r="Q599" s="127" t="s">
        <v>213</v>
      </c>
      <c r="R599" s="232" t="s">
        <v>2497</v>
      </c>
      <c r="S599" s="89">
        <v>43565</v>
      </c>
      <c r="T599" s="36" t="s">
        <v>19</v>
      </c>
      <c r="U599" s="125"/>
      <c r="V599" s="147" t="s">
        <v>2498</v>
      </c>
      <c r="W599" s="129"/>
      <c r="X599" s="88">
        <v>43606</v>
      </c>
      <c r="Y599" s="130" t="s">
        <v>20</v>
      </c>
      <c r="Z599" s="133" t="s">
        <v>72</v>
      </c>
      <c r="AA599" s="133"/>
      <c r="AB599" s="148">
        <v>800</v>
      </c>
      <c r="AC599" s="134">
        <v>515</v>
      </c>
      <c r="AD599" s="134"/>
      <c r="AE599" s="403">
        <f t="shared" si="30"/>
        <v>412000</v>
      </c>
      <c r="AF599" s="132">
        <v>32</v>
      </c>
      <c r="AG599" s="130" t="s">
        <v>5</v>
      </c>
      <c r="AH599" s="130"/>
      <c r="AI599" s="130" t="s">
        <v>34</v>
      </c>
      <c r="AJ599" s="130"/>
      <c r="AK599" s="130"/>
      <c r="AL599" s="135" t="s">
        <v>2292</v>
      </c>
      <c r="AM599" s="314"/>
      <c r="AN599" s="26"/>
      <c r="AO599" s="26"/>
      <c r="AP599" s="26"/>
      <c r="AQ599" s="26">
        <v>43624</v>
      </c>
      <c r="AR599" s="24"/>
      <c r="AS599" s="24"/>
      <c r="AT599" s="26">
        <v>43631</v>
      </c>
      <c r="AU599" s="418">
        <f t="shared" si="31"/>
        <v>6</v>
      </c>
      <c r="AV599" s="418">
        <f t="shared" si="32"/>
        <v>2019</v>
      </c>
      <c r="AW599" s="26"/>
      <c r="AX599" s="28"/>
      <c r="AY599" s="28" t="s">
        <v>193</v>
      </c>
      <c r="AZ599" s="132" t="s">
        <v>37</v>
      </c>
      <c r="BA599" s="132"/>
      <c r="BB599" s="26"/>
      <c r="BC599" s="135" t="s">
        <v>2499</v>
      </c>
      <c r="BD599" s="24">
        <v>43589</v>
      </c>
      <c r="BE599" s="135" t="s">
        <v>2500</v>
      </c>
      <c r="BF599" s="135" t="s">
        <v>2500</v>
      </c>
      <c r="BG599" s="135" t="s">
        <v>206</v>
      </c>
      <c r="BH599" s="135"/>
      <c r="BI599" s="314"/>
      <c r="BJ599" s="314"/>
      <c r="BK599" s="24"/>
      <c r="BL599" s="24"/>
      <c r="BM599" s="24"/>
      <c r="BN599" s="24"/>
      <c r="BO599" s="24">
        <f>+AQ599+14</f>
        <v>43638</v>
      </c>
      <c r="BP599" s="24"/>
      <c r="BQ599" s="24"/>
      <c r="BR599" s="43"/>
      <c r="BS599" s="24"/>
      <c r="BT599" s="24"/>
      <c r="BU599" s="24"/>
      <c r="BV599" s="132" t="e">
        <f>IF(#REF!="COMPLETO","OK","PENDIENTES")</f>
        <v>#REF!</v>
      </c>
      <c r="BW599" s="132"/>
      <c r="BX599" s="132"/>
      <c r="BY599" s="132"/>
      <c r="BZ599" s="132"/>
      <c r="CA599" s="132"/>
      <c r="CB599" s="132"/>
      <c r="CC599" s="22"/>
      <c r="CG599" s="24" t="s">
        <v>105</v>
      </c>
      <c r="CH599" s="24"/>
      <c r="CI599" s="26"/>
      <c r="CJ599" s="26"/>
    </row>
    <row r="600" spans="1:88" ht="15" customHeight="1">
      <c r="A600" s="18">
        <v>2019</v>
      </c>
      <c r="B600" s="18" t="str">
        <f>+INDEX(BDD!F:F,MATCH(P600,BDD!D:D,0))&amp;"-"&amp;INDEX(BDD!E:E,MATCH(P600,BDD!D:D,0))</f>
        <v>S-S</v>
      </c>
      <c r="C600" s="125" t="s">
        <v>484</v>
      </c>
      <c r="D600" s="150" t="s">
        <v>77</v>
      </c>
      <c r="E600" s="132"/>
      <c r="F600" s="24"/>
      <c r="G600" s="346">
        <v>8000000467</v>
      </c>
      <c r="H600" s="125" t="s">
        <v>2501</v>
      </c>
      <c r="I600" s="329"/>
      <c r="J600" s="346">
        <v>8000000467</v>
      </c>
      <c r="K600" s="24"/>
      <c r="L600" s="24"/>
      <c r="M600" s="24"/>
      <c r="N600" s="340" t="s">
        <v>486</v>
      </c>
      <c r="O600" s="334">
        <v>206971</v>
      </c>
      <c r="P600" s="25" t="s">
        <v>340</v>
      </c>
      <c r="Q600" s="127" t="s">
        <v>213</v>
      </c>
      <c r="R600" s="232" t="s">
        <v>2502</v>
      </c>
      <c r="S600" s="89">
        <v>43565</v>
      </c>
      <c r="T600" s="36" t="s">
        <v>19</v>
      </c>
      <c r="U600" s="125"/>
      <c r="V600" s="147" t="s">
        <v>2503</v>
      </c>
      <c r="W600" s="129"/>
      <c r="X600" s="88">
        <v>43606</v>
      </c>
      <c r="Y600" s="130" t="s">
        <v>20</v>
      </c>
      <c r="Z600" s="133" t="s">
        <v>72</v>
      </c>
      <c r="AA600" s="133"/>
      <c r="AB600" s="148">
        <v>400</v>
      </c>
      <c r="AC600" s="134">
        <v>530</v>
      </c>
      <c r="AD600" s="134"/>
      <c r="AE600" s="403">
        <f t="shared" si="30"/>
        <v>212000</v>
      </c>
      <c r="AF600" s="132">
        <v>16</v>
      </c>
      <c r="AG600" s="130" t="s">
        <v>5</v>
      </c>
      <c r="AH600" s="130"/>
      <c r="AI600" s="130" t="s">
        <v>34</v>
      </c>
      <c r="AJ600" s="130"/>
      <c r="AK600" s="130"/>
      <c r="AL600" s="135" t="s">
        <v>2292</v>
      </c>
      <c r="AM600" s="314"/>
      <c r="AN600" s="26"/>
      <c r="AO600" s="26"/>
      <c r="AP600" s="26"/>
      <c r="AQ600" s="26">
        <v>43641</v>
      </c>
      <c r="AR600" s="24"/>
      <c r="AS600" s="24"/>
      <c r="AT600" s="24">
        <v>43643</v>
      </c>
      <c r="AU600" s="418">
        <f t="shared" si="31"/>
        <v>6</v>
      </c>
      <c r="AV600" s="418">
        <f t="shared" si="32"/>
        <v>2019</v>
      </c>
      <c r="AW600" s="24"/>
      <c r="AX600" s="28"/>
      <c r="AY600" s="28" t="s">
        <v>197</v>
      </c>
      <c r="AZ600" s="132" t="s">
        <v>9</v>
      </c>
      <c r="BA600" s="132"/>
      <c r="BB600" s="24"/>
      <c r="BC600" s="135" t="s">
        <v>2504</v>
      </c>
      <c r="BD600" s="24">
        <v>43592</v>
      </c>
      <c r="BE600" s="135" t="s">
        <v>2505</v>
      </c>
      <c r="BF600" s="135" t="s">
        <v>1251</v>
      </c>
      <c r="BG600" s="135" t="s">
        <v>174</v>
      </c>
      <c r="BH600" s="135"/>
      <c r="BI600" s="314"/>
      <c r="BJ600" s="314"/>
      <c r="BK600" s="24"/>
      <c r="BL600" s="24"/>
      <c r="BM600" s="24"/>
      <c r="BN600" s="24"/>
      <c r="BO600" s="24">
        <v>43662</v>
      </c>
      <c r="BP600" s="24"/>
      <c r="BQ600" s="24"/>
      <c r="BR600" s="43"/>
      <c r="BS600" s="24"/>
      <c r="BT600" s="24"/>
      <c r="BU600" s="24"/>
      <c r="BV600" s="132" t="e">
        <f>IF(#REF!="COMPLETO","OK","PENDIENTES")</f>
        <v>#REF!</v>
      </c>
      <c r="BW600" s="132"/>
      <c r="BX600" s="132"/>
      <c r="BY600" s="132"/>
      <c r="BZ600" s="132"/>
      <c r="CA600" s="132"/>
      <c r="CB600" s="132"/>
      <c r="CC600" s="22"/>
      <c r="CG600" s="24" t="s">
        <v>105</v>
      </c>
      <c r="CH600" s="24"/>
      <c r="CI600" s="24"/>
      <c r="CJ600" s="24"/>
    </row>
    <row r="601" spans="1:88" ht="15" customHeight="1">
      <c r="A601" s="18">
        <v>2019</v>
      </c>
      <c r="B601" s="18" t="str">
        <f>+INDEX(BDD!F:F,MATCH(P601,BDD!D:D,0))&amp;"-"&amp;INDEX(BDD!E:E,MATCH(P601,BDD!D:D,0))</f>
        <v>S-S</v>
      </c>
      <c r="C601" s="125" t="s">
        <v>484</v>
      </c>
      <c r="D601" s="150" t="s">
        <v>77</v>
      </c>
      <c r="E601" s="132"/>
      <c r="F601" s="24"/>
      <c r="G601" s="346">
        <v>8000000470</v>
      </c>
      <c r="H601" s="125" t="s">
        <v>2506</v>
      </c>
      <c r="I601" s="329"/>
      <c r="J601" s="346">
        <v>8000000470</v>
      </c>
      <c r="K601" s="24"/>
      <c r="L601" s="24"/>
      <c r="M601" s="24"/>
      <c r="N601" s="340" t="s">
        <v>486</v>
      </c>
      <c r="O601" s="334">
        <v>206914</v>
      </c>
      <c r="P601" s="25" t="s">
        <v>335</v>
      </c>
      <c r="Q601" s="127" t="s">
        <v>264</v>
      </c>
      <c r="R601" s="232" t="s">
        <v>2507</v>
      </c>
      <c r="S601" s="89">
        <v>43577</v>
      </c>
      <c r="T601" s="36">
        <v>90</v>
      </c>
      <c r="U601" s="125" t="s">
        <v>118</v>
      </c>
      <c r="V601" s="232" t="s">
        <v>2507</v>
      </c>
      <c r="W601" s="151"/>
      <c r="X601" s="88">
        <f>+BD601+T601</f>
        <v>43697</v>
      </c>
      <c r="Y601" s="130" t="s">
        <v>20</v>
      </c>
      <c r="Z601" s="133" t="s">
        <v>60</v>
      </c>
      <c r="AA601" s="133"/>
      <c r="AB601" s="148">
        <v>600</v>
      </c>
      <c r="AC601" s="134">
        <v>123</v>
      </c>
      <c r="AD601" s="134"/>
      <c r="AE601" s="403">
        <f t="shared" si="30"/>
        <v>73800</v>
      </c>
      <c r="AF601" s="132" t="s">
        <v>944</v>
      </c>
      <c r="AG601" s="130" t="s">
        <v>58</v>
      </c>
      <c r="AH601" s="130"/>
      <c r="AI601" s="130" t="s">
        <v>34</v>
      </c>
      <c r="AJ601" s="130"/>
      <c r="AK601" s="130"/>
      <c r="AL601" s="135" t="s">
        <v>2285</v>
      </c>
      <c r="AM601" s="314"/>
      <c r="AN601" s="26"/>
      <c r="AO601" s="26"/>
      <c r="AP601" s="26"/>
      <c r="AQ601" s="26">
        <v>43658</v>
      </c>
      <c r="AR601" s="24"/>
      <c r="AS601" s="24"/>
      <c r="AT601" s="26">
        <v>43670</v>
      </c>
      <c r="AU601" s="418">
        <f t="shared" si="31"/>
        <v>7</v>
      </c>
      <c r="AV601" s="418">
        <f t="shared" si="32"/>
        <v>2019</v>
      </c>
      <c r="AW601" s="26"/>
      <c r="AX601" s="28"/>
      <c r="AY601" s="28" t="s">
        <v>95</v>
      </c>
      <c r="AZ601" s="132" t="s">
        <v>37</v>
      </c>
      <c r="BA601" s="132"/>
      <c r="BB601" s="26"/>
      <c r="BC601" s="135" t="s">
        <v>2508</v>
      </c>
      <c r="BD601" s="26">
        <v>43607</v>
      </c>
      <c r="BE601" s="135" t="s">
        <v>2509</v>
      </c>
      <c r="BF601" s="135" t="s">
        <v>2509</v>
      </c>
      <c r="BG601" s="135" t="s">
        <v>52</v>
      </c>
      <c r="BH601" s="135"/>
      <c r="BI601" s="314"/>
      <c r="BJ601" s="314"/>
      <c r="BK601" s="24"/>
      <c r="BL601" s="24"/>
      <c r="BM601" s="24"/>
      <c r="BN601" s="24"/>
      <c r="BO601" s="24"/>
      <c r="BP601" s="24"/>
      <c r="BQ601" s="24"/>
      <c r="BR601" s="43"/>
      <c r="BS601" s="24"/>
      <c r="BT601" s="24"/>
      <c r="BU601" s="24"/>
      <c r="BV601" s="132" t="e">
        <f>IF(#REF!="COMPLETO","OK","PENDIENTES")</f>
        <v>#REF!</v>
      </c>
      <c r="BW601" s="132"/>
      <c r="BX601" s="132"/>
      <c r="BY601" s="132"/>
      <c r="BZ601" s="132"/>
      <c r="CA601" s="132"/>
      <c r="CB601" s="132"/>
      <c r="CC601" s="22"/>
      <c r="CG601" s="24" t="s">
        <v>105</v>
      </c>
      <c r="CH601" s="24"/>
      <c r="CI601" s="26"/>
      <c r="CJ601" s="26"/>
    </row>
    <row r="602" spans="1:88" ht="15" customHeight="1">
      <c r="A602" s="18">
        <v>2019</v>
      </c>
      <c r="B602" s="18" t="str">
        <f>+INDEX(BDD!F:F,MATCH(P602,BDD!D:D,0))&amp;"-"&amp;INDEX(BDD!E:E,MATCH(P602,BDD!D:D,0))</f>
        <v>S-P</v>
      </c>
      <c r="C602" s="360" t="s">
        <v>484</v>
      </c>
      <c r="D602" s="150" t="s">
        <v>77</v>
      </c>
      <c r="E602" s="132"/>
      <c r="F602" s="24"/>
      <c r="G602" s="346">
        <v>8000000493</v>
      </c>
      <c r="H602" s="220" t="s">
        <v>2510</v>
      </c>
      <c r="I602" s="329"/>
      <c r="J602" s="346">
        <v>8000000493</v>
      </c>
      <c r="K602" s="24"/>
      <c r="L602" s="24"/>
      <c r="M602" s="24"/>
      <c r="N602" s="340" t="s">
        <v>486</v>
      </c>
      <c r="O602" s="334">
        <v>206766</v>
      </c>
      <c r="P602" s="25" t="s">
        <v>2</v>
      </c>
      <c r="Q602" s="127" t="s">
        <v>237</v>
      </c>
      <c r="R602" s="232" t="s">
        <v>2511</v>
      </c>
      <c r="S602" s="89">
        <v>43580</v>
      </c>
      <c r="T602" s="36">
        <v>90</v>
      </c>
      <c r="U602" s="125" t="s">
        <v>118</v>
      </c>
      <c r="V602" s="147" t="s">
        <v>2512</v>
      </c>
      <c r="W602" s="129"/>
      <c r="X602" s="88">
        <v>43735</v>
      </c>
      <c r="Y602" s="130" t="s">
        <v>20</v>
      </c>
      <c r="Z602" s="133" t="s">
        <v>60</v>
      </c>
      <c r="AA602" s="133"/>
      <c r="AB602" s="148">
        <v>312</v>
      </c>
      <c r="AC602" s="134">
        <v>879</v>
      </c>
      <c r="AD602" s="134"/>
      <c r="AE602" s="403">
        <f t="shared" si="30"/>
        <v>274248</v>
      </c>
      <c r="AF602" s="132">
        <v>13</v>
      </c>
      <c r="AG602" s="130" t="s">
        <v>5</v>
      </c>
      <c r="AH602" s="130"/>
      <c r="AI602" s="130" t="s">
        <v>86</v>
      </c>
      <c r="AJ602" s="130"/>
      <c r="AK602" s="130"/>
      <c r="AL602" s="135" t="s">
        <v>2513</v>
      </c>
      <c r="AM602" s="314"/>
      <c r="AN602" s="26"/>
      <c r="AO602" s="26"/>
      <c r="AP602" s="26"/>
      <c r="AQ602" s="26">
        <v>43669</v>
      </c>
      <c r="AR602" s="24"/>
      <c r="AS602" s="24"/>
      <c r="AT602" s="24">
        <v>43672</v>
      </c>
      <c r="AU602" s="418">
        <f t="shared" si="31"/>
        <v>7</v>
      </c>
      <c r="AV602" s="418">
        <f t="shared" si="32"/>
        <v>2019</v>
      </c>
      <c r="AW602" s="24"/>
      <c r="AX602" s="28"/>
      <c r="AY602" s="28" t="s">
        <v>302</v>
      </c>
      <c r="AZ602" s="132" t="s">
        <v>37</v>
      </c>
      <c r="BA602" s="132"/>
      <c r="BB602" s="24"/>
      <c r="BC602" s="135" t="s">
        <v>2514</v>
      </c>
      <c r="BD602" s="24">
        <v>43644</v>
      </c>
      <c r="BE602" s="135" t="s">
        <v>2515</v>
      </c>
      <c r="BF602" s="135" t="s">
        <v>2516</v>
      </c>
      <c r="BG602" s="135" t="s">
        <v>41</v>
      </c>
      <c r="BH602" s="135"/>
      <c r="BI602" s="314"/>
      <c r="BJ602" s="314"/>
      <c r="BK602" s="24"/>
      <c r="BL602" s="24"/>
      <c r="BM602" s="24"/>
      <c r="BN602" s="24"/>
      <c r="BO602" s="24"/>
      <c r="BP602" s="24"/>
      <c r="BQ602" s="24"/>
      <c r="BR602" s="43"/>
      <c r="BS602" s="24"/>
      <c r="BT602" s="24"/>
      <c r="BU602" s="24"/>
      <c r="BV602" s="132" t="e">
        <f>IF(#REF!="COMPLETO","OK","PENDIENTES")</f>
        <v>#REF!</v>
      </c>
      <c r="BW602" s="132"/>
      <c r="BX602" s="132"/>
      <c r="BY602" s="132"/>
      <c r="BZ602" s="132"/>
      <c r="CA602" s="132"/>
      <c r="CB602" s="132"/>
      <c r="CC602" s="22"/>
      <c r="CG602" s="24" t="s">
        <v>105</v>
      </c>
      <c r="CH602" s="24"/>
      <c r="CI602" s="24"/>
      <c r="CJ602" s="24"/>
    </row>
    <row r="603" spans="1:88" ht="15" customHeight="1">
      <c r="A603" s="18">
        <v>2019</v>
      </c>
      <c r="B603" s="18" t="str">
        <f>+INDEX(BDD!F:F,MATCH(P603,BDD!D:D,0))&amp;"-"&amp;INDEX(BDD!E:E,MATCH(P603,BDD!D:D,0))</f>
        <v>S-P</v>
      </c>
      <c r="C603" s="360" t="s">
        <v>484</v>
      </c>
      <c r="D603" s="150" t="s">
        <v>77</v>
      </c>
      <c r="E603" s="132"/>
      <c r="F603" s="24"/>
      <c r="G603" s="346">
        <v>8000000500</v>
      </c>
      <c r="H603" s="220" t="s">
        <v>2517</v>
      </c>
      <c r="I603" s="329"/>
      <c r="J603" s="346">
        <v>8000000500</v>
      </c>
      <c r="K603" s="24"/>
      <c r="L603" s="24"/>
      <c r="M603" s="24"/>
      <c r="N603" s="340" t="s">
        <v>486</v>
      </c>
      <c r="O603" s="334">
        <v>206766</v>
      </c>
      <c r="P603" s="25" t="s">
        <v>2</v>
      </c>
      <c r="Q603" s="127" t="s">
        <v>237</v>
      </c>
      <c r="R603" s="232" t="s">
        <v>2518</v>
      </c>
      <c r="S603" s="89">
        <v>43588</v>
      </c>
      <c r="T603" s="36">
        <v>90</v>
      </c>
      <c r="U603" s="125" t="s">
        <v>118</v>
      </c>
      <c r="V603" s="147" t="s">
        <v>2519</v>
      </c>
      <c r="W603" s="129"/>
      <c r="X603" s="88">
        <f>+BD603+T603</f>
        <v>43749</v>
      </c>
      <c r="Y603" s="130" t="s">
        <v>20</v>
      </c>
      <c r="Z603" s="133" t="s">
        <v>60</v>
      </c>
      <c r="AA603" s="133"/>
      <c r="AB603" s="148">
        <v>240</v>
      </c>
      <c r="AC603" s="134">
        <v>889</v>
      </c>
      <c r="AD603" s="134"/>
      <c r="AE603" s="403">
        <f t="shared" si="30"/>
        <v>213360</v>
      </c>
      <c r="AF603" s="132">
        <v>10</v>
      </c>
      <c r="AG603" s="130" t="s">
        <v>5</v>
      </c>
      <c r="AH603" s="130"/>
      <c r="AI603" s="130" t="s">
        <v>86</v>
      </c>
      <c r="AJ603" s="130"/>
      <c r="AK603" s="130"/>
      <c r="AL603" s="135" t="s">
        <v>2513</v>
      </c>
      <c r="AM603" s="314"/>
      <c r="AN603" s="26"/>
      <c r="AO603" s="26"/>
      <c r="AP603" s="26"/>
      <c r="AQ603" s="26">
        <v>43686</v>
      </c>
      <c r="AR603" s="24"/>
      <c r="AS603" s="24"/>
      <c r="AT603" s="24">
        <v>43690</v>
      </c>
      <c r="AU603" s="418">
        <f t="shared" si="31"/>
        <v>8</v>
      </c>
      <c r="AV603" s="418">
        <f t="shared" si="32"/>
        <v>2019</v>
      </c>
      <c r="AW603" s="24"/>
      <c r="AX603" s="28"/>
      <c r="AY603" s="28" t="s">
        <v>302</v>
      </c>
      <c r="AZ603" s="132" t="s">
        <v>9</v>
      </c>
      <c r="BA603" s="132"/>
      <c r="BB603" s="24"/>
      <c r="BC603" s="135" t="s">
        <v>2520</v>
      </c>
      <c r="BD603" s="24">
        <v>43659</v>
      </c>
      <c r="BE603" s="135" t="s">
        <v>2521</v>
      </c>
      <c r="BF603" s="135" t="s">
        <v>594</v>
      </c>
      <c r="BG603" s="135" t="s">
        <v>41</v>
      </c>
      <c r="BH603" s="135"/>
      <c r="BI603" s="314"/>
      <c r="BJ603" s="314"/>
      <c r="BK603" s="24"/>
      <c r="BL603" s="24"/>
      <c r="BM603" s="24"/>
      <c r="BN603" s="24"/>
      <c r="BO603" s="24">
        <f>+AQ603+22</f>
        <v>43708</v>
      </c>
      <c r="BP603" s="24"/>
      <c r="BQ603" s="24"/>
      <c r="BR603" s="43"/>
      <c r="BS603" s="24"/>
      <c r="BT603" s="24"/>
      <c r="BU603" s="24"/>
      <c r="BV603" s="132" t="e">
        <f>IF(#REF!="COMPLETO","OK","PENDIENTES")</f>
        <v>#REF!</v>
      </c>
      <c r="BW603" s="132"/>
      <c r="BX603" s="132"/>
      <c r="BY603" s="132"/>
      <c r="BZ603" s="132"/>
      <c r="CA603" s="132"/>
      <c r="CB603" s="132"/>
      <c r="CC603" s="22"/>
      <c r="CG603" s="24" t="s">
        <v>105</v>
      </c>
      <c r="CH603" s="24"/>
      <c r="CI603" s="24"/>
      <c r="CJ603" s="24"/>
    </row>
    <row r="604" spans="1:88" ht="15" customHeight="1">
      <c r="A604" s="18">
        <v>2019</v>
      </c>
      <c r="B604" s="18" t="str">
        <f>+INDEX(BDD!F:F,MATCH(P604,BDD!D:D,0))&amp;"-"&amp;INDEX(BDD!E:E,MATCH(P604,BDD!D:D,0))</f>
        <v>S-P</v>
      </c>
      <c r="C604" s="360" t="s">
        <v>484</v>
      </c>
      <c r="D604" s="150" t="s">
        <v>77</v>
      </c>
      <c r="E604" s="132"/>
      <c r="F604" s="24"/>
      <c r="G604" s="346">
        <v>8000000501</v>
      </c>
      <c r="H604" s="220" t="s">
        <v>2522</v>
      </c>
      <c r="I604" s="329"/>
      <c r="J604" s="346">
        <v>8000000501</v>
      </c>
      <c r="K604" s="24"/>
      <c r="L604" s="24"/>
      <c r="M604" s="24"/>
      <c r="N604" s="340" t="s">
        <v>486</v>
      </c>
      <c r="O604" s="334">
        <v>206766</v>
      </c>
      <c r="P604" s="25" t="s">
        <v>2</v>
      </c>
      <c r="Q604" s="127" t="s">
        <v>237</v>
      </c>
      <c r="R604" s="232" t="s">
        <v>2518</v>
      </c>
      <c r="S604" s="89">
        <v>43588</v>
      </c>
      <c r="T604" s="36">
        <v>90</v>
      </c>
      <c r="U604" s="125" t="s">
        <v>118</v>
      </c>
      <c r="V604" s="147" t="s">
        <v>2523</v>
      </c>
      <c r="W604" s="129"/>
      <c r="X604" s="88">
        <f>+BD604+T604</f>
        <v>43763</v>
      </c>
      <c r="Y604" s="130" t="s">
        <v>20</v>
      </c>
      <c r="Z604" s="133" t="s">
        <v>60</v>
      </c>
      <c r="AA604" s="133"/>
      <c r="AB604" s="148">
        <v>264</v>
      </c>
      <c r="AC604" s="134">
        <v>889</v>
      </c>
      <c r="AD604" s="134"/>
      <c r="AE604" s="403">
        <f t="shared" si="30"/>
        <v>234696</v>
      </c>
      <c r="AF604" s="132">
        <v>11</v>
      </c>
      <c r="AG604" s="130" t="s">
        <v>5</v>
      </c>
      <c r="AH604" s="130"/>
      <c r="AI604" s="130" t="s">
        <v>86</v>
      </c>
      <c r="AJ604" s="130"/>
      <c r="AK604" s="130"/>
      <c r="AL604" s="135" t="s">
        <v>2513</v>
      </c>
      <c r="AM604" s="314"/>
      <c r="AN604" s="26"/>
      <c r="AO604" s="26"/>
      <c r="AP604" s="26"/>
      <c r="AQ604" s="26">
        <v>43695</v>
      </c>
      <c r="AR604" s="24"/>
      <c r="AS604" s="24"/>
      <c r="AT604" s="24">
        <v>43696</v>
      </c>
      <c r="AU604" s="418">
        <f t="shared" si="31"/>
        <v>8</v>
      </c>
      <c r="AV604" s="418">
        <f t="shared" si="32"/>
        <v>2019</v>
      </c>
      <c r="AW604" s="24"/>
      <c r="AX604" s="28"/>
      <c r="AY604" s="28" t="s">
        <v>302</v>
      </c>
      <c r="AZ604" s="132" t="s">
        <v>9</v>
      </c>
      <c r="BA604" s="132"/>
      <c r="BB604" s="24"/>
      <c r="BC604" s="135" t="s">
        <v>2524</v>
      </c>
      <c r="BD604" s="24">
        <v>43673</v>
      </c>
      <c r="BE604" s="135" t="s">
        <v>2525</v>
      </c>
      <c r="BF604" s="135" t="s">
        <v>769</v>
      </c>
      <c r="BG604" s="135" t="s">
        <v>41</v>
      </c>
      <c r="BH604" s="135"/>
      <c r="BI604" s="314"/>
      <c r="BJ604" s="314"/>
      <c r="BK604" s="26"/>
      <c r="BL604" s="26"/>
      <c r="BM604" s="26"/>
      <c r="BN604" s="26"/>
      <c r="BO604" s="24">
        <f>+AQ604+22</f>
        <v>43717</v>
      </c>
      <c r="BP604" s="24"/>
      <c r="BQ604" s="24"/>
      <c r="BR604" s="43"/>
      <c r="BS604" s="24"/>
      <c r="BT604" s="24"/>
      <c r="BU604" s="24"/>
      <c r="BV604" s="132" t="e">
        <f>IF(#REF!="COMPLETO","OK","PENDIENTES")</f>
        <v>#REF!</v>
      </c>
      <c r="BW604" s="132"/>
      <c r="BX604" s="132"/>
      <c r="BY604" s="132"/>
      <c r="BZ604" s="132"/>
      <c r="CA604" s="132"/>
      <c r="CB604" s="132"/>
      <c r="CC604" s="22"/>
      <c r="CG604" s="24" t="s">
        <v>105</v>
      </c>
      <c r="CH604" s="24"/>
      <c r="CI604" s="24"/>
      <c r="CJ604" s="24"/>
    </row>
    <row r="605" spans="1:88" ht="15" customHeight="1">
      <c r="A605" s="18">
        <v>2019</v>
      </c>
      <c r="B605" s="18" t="str">
        <f>+INDEX(BDD!F:F,MATCH(P605,BDD!D:D,0))&amp;"-"&amp;INDEX(BDD!E:E,MATCH(P605,BDD!D:D,0))</f>
        <v>S-P</v>
      </c>
      <c r="C605" s="125" t="s">
        <v>484</v>
      </c>
      <c r="D605" s="150" t="s">
        <v>77</v>
      </c>
      <c r="E605" s="132"/>
      <c r="F605" s="24"/>
      <c r="G605" s="346">
        <v>8000000401</v>
      </c>
      <c r="H605" s="125" t="s">
        <v>2526</v>
      </c>
      <c r="I605" s="329"/>
      <c r="J605" s="346">
        <v>8000000401</v>
      </c>
      <c r="K605" s="24"/>
      <c r="L605" s="24"/>
      <c r="M605" s="24"/>
      <c r="N605" s="340" t="s">
        <v>486</v>
      </c>
      <c r="O605" s="334">
        <v>208510</v>
      </c>
      <c r="P605" s="25" t="s">
        <v>2</v>
      </c>
      <c r="Q605" s="127" t="s">
        <v>234</v>
      </c>
      <c r="R605" s="147" t="s">
        <v>2527</v>
      </c>
      <c r="S605" s="89">
        <v>43585</v>
      </c>
      <c r="T605" s="36">
        <v>90</v>
      </c>
      <c r="U605" s="125" t="s">
        <v>118</v>
      </c>
      <c r="V605" s="147" t="s">
        <v>2528</v>
      </c>
      <c r="W605" s="129"/>
      <c r="X605" s="88">
        <f>+BD605+T605</f>
        <v>43697</v>
      </c>
      <c r="Y605" s="130" t="s">
        <v>20</v>
      </c>
      <c r="Z605" s="133" t="s">
        <v>81</v>
      </c>
      <c r="AA605" s="133"/>
      <c r="AB605" s="148">
        <v>155.4</v>
      </c>
      <c r="AC605" s="134">
        <v>875</v>
      </c>
      <c r="AD605" s="134"/>
      <c r="AE605" s="403">
        <f t="shared" si="30"/>
        <v>135975</v>
      </c>
      <c r="AF605" s="132">
        <v>6</v>
      </c>
      <c r="AG605" s="130" t="s">
        <v>5</v>
      </c>
      <c r="AH605" s="130"/>
      <c r="AI605" s="130" t="s">
        <v>80</v>
      </c>
      <c r="AJ605" s="130"/>
      <c r="AK605" s="130"/>
      <c r="AL605" s="135" t="s">
        <v>2292</v>
      </c>
      <c r="AM605" s="314"/>
      <c r="AN605" s="26"/>
      <c r="AO605" s="26"/>
      <c r="AP605" s="26"/>
      <c r="AQ605" s="26">
        <v>43644</v>
      </c>
      <c r="AR605" s="24"/>
      <c r="AS605" s="24"/>
      <c r="AT605" s="24">
        <v>43647</v>
      </c>
      <c r="AU605" s="418">
        <f t="shared" si="31"/>
        <v>7</v>
      </c>
      <c r="AV605" s="418">
        <f t="shared" si="32"/>
        <v>2019</v>
      </c>
      <c r="AW605" s="24"/>
      <c r="AX605" s="28"/>
      <c r="AY605" s="28" t="s">
        <v>308</v>
      </c>
      <c r="AZ605" s="132" t="s">
        <v>37</v>
      </c>
      <c r="BA605" s="132"/>
      <c r="BB605" s="24"/>
      <c r="BC605" s="135" t="s">
        <v>2529</v>
      </c>
      <c r="BD605" s="24">
        <v>43607</v>
      </c>
      <c r="BE605" s="135" t="s">
        <v>2530</v>
      </c>
      <c r="BF605" s="135" t="s">
        <v>2531</v>
      </c>
      <c r="BG605" s="135" t="s">
        <v>41</v>
      </c>
      <c r="BH605" s="135"/>
      <c r="BI605" s="314"/>
      <c r="BJ605" s="314"/>
      <c r="BK605" s="24"/>
      <c r="BL605" s="24"/>
      <c r="BM605" s="24"/>
      <c r="BN605" s="24"/>
      <c r="BO605" s="24">
        <f>+AQ605+14</f>
        <v>43658</v>
      </c>
      <c r="BP605" s="24"/>
      <c r="BQ605" s="24"/>
      <c r="BR605" s="43"/>
      <c r="BS605" s="24"/>
      <c r="BT605" s="24"/>
      <c r="BU605" s="24"/>
      <c r="BV605" s="132" t="e">
        <f>IF(#REF!="COMPLETO","OK","PENDIENTES")</f>
        <v>#REF!</v>
      </c>
      <c r="BW605" s="132"/>
      <c r="BX605" s="132"/>
      <c r="BY605" s="132"/>
      <c r="BZ605" s="132"/>
      <c r="CA605" s="132"/>
      <c r="CB605" s="132"/>
      <c r="CC605" s="22"/>
      <c r="CG605" s="24" t="s">
        <v>105</v>
      </c>
      <c r="CH605" s="24"/>
      <c r="CI605" s="24"/>
      <c r="CJ605" s="24"/>
    </row>
    <row r="606" spans="1:88" ht="15" customHeight="1">
      <c r="A606" s="18">
        <v>2019</v>
      </c>
      <c r="B606" s="18" t="str">
        <f>+INDEX(BDD!F:F,MATCH(P606,BDD!D:D,0))&amp;"-"&amp;INDEX(BDD!E:E,MATCH(P606,BDD!D:D,0))</f>
        <v>S-P</v>
      </c>
      <c r="C606" s="360" t="s">
        <v>484</v>
      </c>
      <c r="D606" s="150" t="s">
        <v>77</v>
      </c>
      <c r="E606" s="132"/>
      <c r="F606" s="24"/>
      <c r="G606" s="346">
        <v>8000000402</v>
      </c>
      <c r="H606" s="220" t="s">
        <v>2532</v>
      </c>
      <c r="I606" s="329"/>
      <c r="J606" s="346">
        <v>8000000402</v>
      </c>
      <c r="K606" s="24"/>
      <c r="L606" s="24"/>
      <c r="M606" s="24"/>
      <c r="N606" s="340" t="s">
        <v>486</v>
      </c>
      <c r="O606" s="334">
        <v>208510</v>
      </c>
      <c r="P606" s="25" t="s">
        <v>2</v>
      </c>
      <c r="Q606" s="127" t="s">
        <v>234</v>
      </c>
      <c r="R606" s="147" t="s">
        <v>2533</v>
      </c>
      <c r="S606" s="89">
        <v>43585</v>
      </c>
      <c r="T606" s="36">
        <v>90</v>
      </c>
      <c r="U606" s="125" t="s">
        <v>118</v>
      </c>
      <c r="V606" s="147" t="s">
        <v>2533</v>
      </c>
      <c r="W606" s="129"/>
      <c r="X606" s="88">
        <v>43700</v>
      </c>
      <c r="Y606" s="130" t="s">
        <v>20</v>
      </c>
      <c r="Z606" s="133" t="s">
        <v>81</v>
      </c>
      <c r="AA606" s="133"/>
      <c r="AB606" s="148">
        <v>362.6</v>
      </c>
      <c r="AC606" s="134">
        <v>885</v>
      </c>
      <c r="AD606" s="134"/>
      <c r="AE606" s="403">
        <f t="shared" si="30"/>
        <v>320901</v>
      </c>
      <c r="AF606" s="132">
        <v>14</v>
      </c>
      <c r="AG606" s="130" t="s">
        <v>5</v>
      </c>
      <c r="AH606" s="130"/>
      <c r="AI606" s="130" t="s">
        <v>80</v>
      </c>
      <c r="AJ606" s="130"/>
      <c r="AK606" s="130"/>
      <c r="AL606" s="135" t="s">
        <v>2292</v>
      </c>
      <c r="AM606" s="314"/>
      <c r="AN606" s="26"/>
      <c r="AO606" s="26"/>
      <c r="AP606" s="26"/>
      <c r="AQ606" s="26">
        <v>43658</v>
      </c>
      <c r="AR606" s="24"/>
      <c r="AS606" s="24"/>
      <c r="AT606" s="24">
        <v>43661</v>
      </c>
      <c r="AU606" s="418">
        <f t="shared" si="31"/>
        <v>7</v>
      </c>
      <c r="AV606" s="418">
        <f t="shared" si="32"/>
        <v>2019</v>
      </c>
      <c r="AW606" s="24"/>
      <c r="AX606" s="28"/>
      <c r="AY606" s="28" t="s">
        <v>308</v>
      </c>
      <c r="AZ606" s="132" t="s">
        <v>9</v>
      </c>
      <c r="BA606" s="132"/>
      <c r="BB606" s="24"/>
      <c r="BC606" s="135" t="s">
        <v>2534</v>
      </c>
      <c r="BD606" s="24">
        <v>43609</v>
      </c>
      <c r="BE606" s="135" t="s">
        <v>2535</v>
      </c>
      <c r="BF606" s="135" t="s">
        <v>769</v>
      </c>
      <c r="BG606" s="135" t="s">
        <v>41</v>
      </c>
      <c r="BH606" s="135"/>
      <c r="BI606" s="314"/>
      <c r="BJ606" s="314"/>
      <c r="BK606" s="24"/>
      <c r="BL606" s="24"/>
      <c r="BM606" s="24"/>
      <c r="BN606" s="24"/>
      <c r="BO606" s="24">
        <v>43671</v>
      </c>
      <c r="BP606" s="24"/>
      <c r="BQ606" s="24"/>
      <c r="BR606" s="43"/>
      <c r="BS606" s="24"/>
      <c r="BT606" s="24"/>
      <c r="BU606" s="24"/>
      <c r="BV606" s="132" t="e">
        <f>IF(#REF!="COMPLETO","OK","PENDIENTES")</f>
        <v>#REF!</v>
      </c>
      <c r="BW606" s="132"/>
      <c r="BX606" s="132"/>
      <c r="BY606" s="132"/>
      <c r="BZ606" s="132"/>
      <c r="CA606" s="132"/>
      <c r="CB606" s="132"/>
      <c r="CC606" s="22"/>
      <c r="CG606" s="24" t="s">
        <v>105</v>
      </c>
      <c r="CH606" s="24"/>
      <c r="CI606" s="24"/>
      <c r="CJ606" s="24"/>
    </row>
    <row r="607" spans="1:88" ht="15" customHeight="1">
      <c r="A607" s="18">
        <v>2019</v>
      </c>
      <c r="B607" s="18" t="str">
        <f>+INDEX(BDD!F:F,MATCH(P607,BDD!D:D,0))&amp;"-"&amp;INDEX(BDD!E:E,MATCH(P607,BDD!D:D,0))</f>
        <v>S-P</v>
      </c>
      <c r="C607" s="360" t="s">
        <v>484</v>
      </c>
      <c r="D607" s="150" t="s">
        <v>77</v>
      </c>
      <c r="E607" s="132"/>
      <c r="F607" s="24"/>
      <c r="G607" s="346">
        <v>8000000403</v>
      </c>
      <c r="H607" s="220" t="s">
        <v>2536</v>
      </c>
      <c r="I607" s="329"/>
      <c r="J607" s="346">
        <v>8000000403</v>
      </c>
      <c r="K607" s="24"/>
      <c r="L607" s="24"/>
      <c r="M607" s="24"/>
      <c r="N607" s="340" t="s">
        <v>486</v>
      </c>
      <c r="O607" s="334">
        <v>208510</v>
      </c>
      <c r="P607" s="25" t="s">
        <v>2</v>
      </c>
      <c r="Q607" s="127" t="s">
        <v>234</v>
      </c>
      <c r="R607" s="147" t="s">
        <v>2537</v>
      </c>
      <c r="S607" s="89">
        <v>43585</v>
      </c>
      <c r="T607" s="36">
        <v>90</v>
      </c>
      <c r="U607" s="125" t="s">
        <v>118</v>
      </c>
      <c r="V607" s="147" t="s">
        <v>2537</v>
      </c>
      <c r="W607" s="129"/>
      <c r="X607" s="88">
        <v>43725</v>
      </c>
      <c r="Y607" s="130" t="s">
        <v>20</v>
      </c>
      <c r="Z607" s="133" t="s">
        <v>81</v>
      </c>
      <c r="AA607" s="133"/>
      <c r="AB607" s="148">
        <v>207.2</v>
      </c>
      <c r="AC607" s="134">
        <v>875</v>
      </c>
      <c r="AD607" s="134"/>
      <c r="AE607" s="403">
        <f t="shared" si="30"/>
        <v>181300</v>
      </c>
      <c r="AF607" s="132">
        <v>8</v>
      </c>
      <c r="AG607" s="130" t="s">
        <v>5</v>
      </c>
      <c r="AH607" s="130"/>
      <c r="AI607" s="130" t="s">
        <v>80</v>
      </c>
      <c r="AJ607" s="130"/>
      <c r="AK607" s="130"/>
      <c r="AL607" s="135" t="s">
        <v>2513</v>
      </c>
      <c r="AM607" s="314"/>
      <c r="AN607" s="26"/>
      <c r="AO607" s="26"/>
      <c r="AP607" s="26"/>
      <c r="AQ607" s="26">
        <v>43672</v>
      </c>
      <c r="AR607" s="24"/>
      <c r="AS607" s="24"/>
      <c r="AT607" s="24">
        <v>43676</v>
      </c>
      <c r="AU607" s="418">
        <f t="shared" si="31"/>
        <v>7</v>
      </c>
      <c r="AV607" s="418">
        <f t="shared" si="32"/>
        <v>2019</v>
      </c>
      <c r="AW607" s="24"/>
      <c r="AX607" s="28"/>
      <c r="AY607" s="28" t="s">
        <v>308</v>
      </c>
      <c r="AZ607" s="132" t="s">
        <v>37</v>
      </c>
      <c r="BA607" s="132"/>
      <c r="BB607" s="24"/>
      <c r="BC607" s="135" t="s">
        <v>2538</v>
      </c>
      <c r="BD607" s="24">
        <v>43632</v>
      </c>
      <c r="BE607" s="135" t="s">
        <v>2539</v>
      </c>
      <c r="BF607" s="135" t="s">
        <v>2540</v>
      </c>
      <c r="BG607" s="135" t="s">
        <v>41</v>
      </c>
      <c r="BH607" s="135"/>
      <c r="BI607" s="314"/>
      <c r="BJ607" s="314"/>
      <c r="BK607" s="24"/>
      <c r="BL607" s="24"/>
      <c r="BM607" s="24"/>
      <c r="BN607" s="24"/>
      <c r="BO607" s="24">
        <f>+AQ607+14</f>
        <v>43686</v>
      </c>
      <c r="BP607" s="24"/>
      <c r="BQ607" s="24"/>
      <c r="BR607" s="43"/>
      <c r="BS607" s="24"/>
      <c r="BT607" s="24"/>
      <c r="BU607" s="24"/>
      <c r="BV607" s="132" t="e">
        <f>IF(#REF!="COMPLETO","OK","PENDIENTES")</f>
        <v>#REF!</v>
      </c>
      <c r="BW607" s="132"/>
      <c r="BX607" s="132"/>
      <c r="BY607" s="132"/>
      <c r="BZ607" s="132"/>
      <c r="CA607" s="132"/>
      <c r="CB607" s="132"/>
      <c r="CC607" s="22"/>
      <c r="CG607" s="24" t="s">
        <v>105</v>
      </c>
      <c r="CH607" s="24"/>
      <c r="CI607" s="24"/>
      <c r="CJ607" s="24"/>
    </row>
    <row r="608" spans="1:88" ht="15" customHeight="1">
      <c r="A608" s="18">
        <v>2019</v>
      </c>
      <c r="B608" s="18" t="str">
        <f>+INDEX(BDD!F:F,MATCH(P608,BDD!D:D,0))&amp;"-"&amp;INDEX(BDD!E:E,MATCH(P608,BDD!D:D,0))</f>
        <v>S-P</v>
      </c>
      <c r="C608" s="360" t="s">
        <v>484</v>
      </c>
      <c r="D608" s="150" t="s">
        <v>77</v>
      </c>
      <c r="E608" s="132"/>
      <c r="F608" s="24"/>
      <c r="G608" s="346">
        <v>8000000404</v>
      </c>
      <c r="H608" s="220" t="s">
        <v>2541</v>
      </c>
      <c r="I608" s="329"/>
      <c r="J608" s="346">
        <v>8000000404</v>
      </c>
      <c r="K608" s="24"/>
      <c r="L608" s="24"/>
      <c r="M608" s="24"/>
      <c r="N608" s="340" t="s">
        <v>486</v>
      </c>
      <c r="O608" s="334">
        <v>208510</v>
      </c>
      <c r="P608" s="25" t="s">
        <v>2</v>
      </c>
      <c r="Q608" s="127" t="s">
        <v>234</v>
      </c>
      <c r="R608" s="147" t="s">
        <v>2542</v>
      </c>
      <c r="S608" s="89">
        <v>43585</v>
      </c>
      <c r="T608" s="36">
        <v>90</v>
      </c>
      <c r="U608" s="125" t="s">
        <v>118</v>
      </c>
      <c r="V608" s="147" t="s">
        <v>2542</v>
      </c>
      <c r="W608" s="129"/>
      <c r="X608" s="88">
        <f>+BD608+T608</f>
        <v>43730</v>
      </c>
      <c r="Y608" s="130" t="s">
        <v>20</v>
      </c>
      <c r="Z608" s="133" t="s">
        <v>81</v>
      </c>
      <c r="AA608" s="133"/>
      <c r="AB608" s="148">
        <v>310.8</v>
      </c>
      <c r="AC608" s="134">
        <v>885</v>
      </c>
      <c r="AD608" s="134"/>
      <c r="AE608" s="403">
        <f t="shared" si="30"/>
        <v>275058</v>
      </c>
      <c r="AF608" s="132">
        <v>12</v>
      </c>
      <c r="AG608" s="130" t="s">
        <v>5</v>
      </c>
      <c r="AH608" s="130"/>
      <c r="AI608" s="130" t="s">
        <v>80</v>
      </c>
      <c r="AJ608" s="130"/>
      <c r="AK608" s="130"/>
      <c r="AL608" s="135" t="s">
        <v>2513</v>
      </c>
      <c r="AM608" s="314"/>
      <c r="AN608" s="26"/>
      <c r="AO608" s="26"/>
      <c r="AP608" s="26"/>
      <c r="AQ608" s="26">
        <v>43726</v>
      </c>
      <c r="AR608" s="24"/>
      <c r="AS608" s="24"/>
      <c r="AT608" s="24">
        <v>43727</v>
      </c>
      <c r="AU608" s="418">
        <f t="shared" si="31"/>
        <v>9</v>
      </c>
      <c r="AV608" s="418">
        <f t="shared" si="32"/>
        <v>2019</v>
      </c>
      <c r="AW608" s="24"/>
      <c r="AX608" s="28"/>
      <c r="AY608" s="28" t="s">
        <v>308</v>
      </c>
      <c r="AZ608" s="132" t="s">
        <v>9</v>
      </c>
      <c r="BA608" s="132"/>
      <c r="BB608" s="24"/>
      <c r="BC608" s="135" t="s">
        <v>2543</v>
      </c>
      <c r="BD608" s="24">
        <v>43640</v>
      </c>
      <c r="BE608" s="135" t="s">
        <v>2544</v>
      </c>
      <c r="BF608" s="135" t="s">
        <v>2545</v>
      </c>
      <c r="BG608" s="135" t="s">
        <v>29</v>
      </c>
      <c r="BH608" s="135"/>
      <c r="BI608" s="314"/>
      <c r="BJ608" s="314"/>
      <c r="BK608" s="24"/>
      <c r="BL608" s="24"/>
      <c r="BM608" s="24"/>
      <c r="BN608" s="24"/>
      <c r="BO608" s="24">
        <v>43739</v>
      </c>
      <c r="BP608" s="24"/>
      <c r="BQ608" s="24"/>
      <c r="BR608" s="43"/>
      <c r="BS608" s="24"/>
      <c r="BT608" s="24"/>
      <c r="BU608" s="24"/>
      <c r="BV608" s="132" t="e">
        <f>IF(#REF!="COMPLETO","OK","PENDIENTES")</f>
        <v>#REF!</v>
      </c>
      <c r="BW608" s="132"/>
      <c r="BX608" s="132"/>
      <c r="BY608" s="132"/>
      <c r="BZ608" s="132"/>
      <c r="CA608" s="132"/>
      <c r="CB608" s="132"/>
      <c r="CC608" s="22"/>
      <c r="CG608" s="24" t="s">
        <v>105</v>
      </c>
      <c r="CH608" s="24"/>
      <c r="CI608" s="24"/>
      <c r="CJ608" s="24"/>
    </row>
    <row r="609" spans="1:88" ht="15" customHeight="1">
      <c r="A609" s="18">
        <v>2019</v>
      </c>
      <c r="B609" s="18" t="str">
        <f>+INDEX(BDD!F:F,MATCH(P609,BDD!D:D,0))&amp;"-"&amp;INDEX(BDD!E:E,MATCH(P609,BDD!D:D,0))</f>
        <v>S-S</v>
      </c>
      <c r="C609" s="360" t="s">
        <v>484</v>
      </c>
      <c r="D609" s="150" t="s">
        <v>77</v>
      </c>
      <c r="E609" s="132"/>
      <c r="F609" s="24"/>
      <c r="G609" s="346">
        <v>8000000471</v>
      </c>
      <c r="H609" s="220" t="s">
        <v>2546</v>
      </c>
      <c r="I609" s="329"/>
      <c r="J609" s="346">
        <v>8000000471</v>
      </c>
      <c r="K609" s="24"/>
      <c r="L609" s="24"/>
      <c r="M609" s="24"/>
      <c r="N609" s="340" t="s">
        <v>486</v>
      </c>
      <c r="O609" s="334">
        <v>206966</v>
      </c>
      <c r="P609" s="25" t="s">
        <v>152</v>
      </c>
      <c r="Q609" s="127" t="s">
        <v>213</v>
      </c>
      <c r="R609" s="232" t="s">
        <v>2547</v>
      </c>
      <c r="S609" s="89">
        <v>43579</v>
      </c>
      <c r="T609" s="36">
        <v>90</v>
      </c>
      <c r="U609" s="125" t="s">
        <v>118</v>
      </c>
      <c r="V609" s="147" t="s">
        <v>2548</v>
      </c>
      <c r="W609" s="129"/>
      <c r="X609" s="88">
        <v>43712</v>
      </c>
      <c r="Y609" s="130" t="s">
        <v>20</v>
      </c>
      <c r="Z609" s="133" t="s">
        <v>72</v>
      </c>
      <c r="AA609" s="133"/>
      <c r="AB609" s="148">
        <v>400</v>
      </c>
      <c r="AC609" s="134">
        <v>640</v>
      </c>
      <c r="AD609" s="134"/>
      <c r="AE609" s="403">
        <f t="shared" si="30"/>
        <v>256000</v>
      </c>
      <c r="AF609" s="132">
        <v>16</v>
      </c>
      <c r="AG609" s="130" t="s">
        <v>5</v>
      </c>
      <c r="AH609" s="130"/>
      <c r="AI609" s="130" t="s">
        <v>34</v>
      </c>
      <c r="AJ609" s="130"/>
      <c r="AK609" s="130"/>
      <c r="AL609" s="135" t="s">
        <v>2292</v>
      </c>
      <c r="AM609" s="314"/>
      <c r="AN609" s="26"/>
      <c r="AO609" s="26"/>
      <c r="AP609" s="26"/>
      <c r="AQ609" s="26">
        <v>43657</v>
      </c>
      <c r="AR609" s="24"/>
      <c r="AS609" s="24"/>
      <c r="AT609" s="26">
        <v>43661</v>
      </c>
      <c r="AU609" s="418">
        <f t="shared" si="31"/>
        <v>7</v>
      </c>
      <c r="AV609" s="418">
        <f t="shared" si="32"/>
        <v>2019</v>
      </c>
      <c r="AW609" s="26"/>
      <c r="AX609" s="28"/>
      <c r="AY609" s="28" t="s">
        <v>2550</v>
      </c>
      <c r="AZ609" s="132" t="s">
        <v>37</v>
      </c>
      <c r="BA609" s="132"/>
      <c r="BB609" s="26"/>
      <c r="BC609" s="135" t="s">
        <v>2549</v>
      </c>
      <c r="BD609" s="26">
        <v>43619</v>
      </c>
      <c r="BE609" s="135" t="s">
        <v>2551</v>
      </c>
      <c r="BF609" s="135" t="s">
        <v>2552</v>
      </c>
      <c r="BG609" s="135" t="s">
        <v>14</v>
      </c>
      <c r="BH609" s="135"/>
      <c r="BI609" s="314"/>
      <c r="BJ609" s="314"/>
      <c r="BK609" s="24"/>
      <c r="BL609" s="24"/>
      <c r="BM609" s="24"/>
      <c r="BN609" s="24"/>
      <c r="BO609" s="24">
        <f>+AQ609+14</f>
        <v>43671</v>
      </c>
      <c r="BP609" s="24"/>
      <c r="BQ609" s="24"/>
      <c r="BR609" s="43"/>
      <c r="BS609" s="24"/>
      <c r="BT609" s="24"/>
      <c r="BU609" s="24"/>
      <c r="BV609" s="132" t="e">
        <f>IF(#REF!="COMPLETO","OK","PENDIENTES")</f>
        <v>#REF!</v>
      </c>
      <c r="BW609" s="132"/>
      <c r="BX609" s="132"/>
      <c r="BY609" s="132"/>
      <c r="BZ609" s="132"/>
      <c r="CA609" s="132"/>
      <c r="CB609" s="132"/>
      <c r="CC609" s="22"/>
      <c r="CG609" s="24" t="s">
        <v>105</v>
      </c>
      <c r="CH609" s="24"/>
      <c r="CI609" s="26"/>
      <c r="CJ609" s="26"/>
    </row>
    <row r="610" spans="1:88" ht="15" customHeight="1">
      <c r="A610" s="18">
        <v>2019</v>
      </c>
      <c r="B610" s="18" t="str">
        <f>+INDEX(BDD!F:F,MATCH(P610,BDD!D:D,0))&amp;"-"&amp;INDEX(BDD!E:E,MATCH(P610,BDD!D:D,0))</f>
        <v>S-S</v>
      </c>
      <c r="C610" s="360" t="s">
        <v>484</v>
      </c>
      <c r="D610" s="150" t="s">
        <v>77</v>
      </c>
      <c r="E610" s="132" t="s">
        <v>51</v>
      </c>
      <c r="F610" s="24"/>
      <c r="G610" s="346">
        <v>8000000473</v>
      </c>
      <c r="H610" s="220" t="s">
        <v>2553</v>
      </c>
      <c r="I610" s="329"/>
      <c r="J610" s="346">
        <v>8000000473</v>
      </c>
      <c r="K610" s="24"/>
      <c r="L610" s="24"/>
      <c r="M610" s="24"/>
      <c r="N610" s="340" t="s">
        <v>486</v>
      </c>
      <c r="O610" s="334">
        <v>207579</v>
      </c>
      <c r="P610" s="25" t="s">
        <v>238</v>
      </c>
      <c r="Q610" s="127" t="s">
        <v>213</v>
      </c>
      <c r="R610" s="232" t="s">
        <v>2554</v>
      </c>
      <c r="S610" s="89">
        <v>43579</v>
      </c>
      <c r="T610" s="36">
        <v>90</v>
      </c>
      <c r="U610" s="125" t="s">
        <v>118</v>
      </c>
      <c r="V610" s="147" t="s">
        <v>2555</v>
      </c>
      <c r="W610" s="129"/>
      <c r="X610" s="88">
        <v>43725</v>
      </c>
      <c r="Y610" s="130" t="s">
        <v>20</v>
      </c>
      <c r="Z610" s="133" t="s">
        <v>72</v>
      </c>
      <c r="AA610" s="133"/>
      <c r="AB610" s="148">
        <v>84</v>
      </c>
      <c r="AC610" s="134">
        <v>297</v>
      </c>
      <c r="AD610" s="134"/>
      <c r="AE610" s="403">
        <f t="shared" si="30"/>
        <v>24948</v>
      </c>
      <c r="AF610" s="132">
        <v>3</v>
      </c>
      <c r="AG610" s="130" t="s">
        <v>21</v>
      </c>
      <c r="AH610" s="130"/>
      <c r="AI610" s="130" t="s">
        <v>34</v>
      </c>
      <c r="AJ610" s="130"/>
      <c r="AK610" s="130"/>
      <c r="AL610" s="135" t="s">
        <v>2292</v>
      </c>
      <c r="AM610" s="314"/>
      <c r="AN610" s="26"/>
      <c r="AO610" s="26"/>
      <c r="AP610" s="26"/>
      <c r="AQ610" s="26">
        <v>43691</v>
      </c>
      <c r="AR610" s="24"/>
      <c r="AS610" s="24"/>
      <c r="AT610" s="24">
        <v>43692</v>
      </c>
      <c r="AU610" s="418">
        <f t="shared" si="31"/>
        <v>8</v>
      </c>
      <c r="AV610" s="418">
        <f t="shared" si="32"/>
        <v>2019</v>
      </c>
      <c r="AW610" s="24"/>
      <c r="AX610" s="28"/>
      <c r="AY610" s="28" t="s">
        <v>311</v>
      </c>
      <c r="AZ610" s="132" t="s">
        <v>9</v>
      </c>
      <c r="BA610" s="132"/>
      <c r="BB610" s="24"/>
      <c r="BC610" s="135" t="s">
        <v>2556</v>
      </c>
      <c r="BD610" s="26">
        <v>43633</v>
      </c>
      <c r="BE610" s="135" t="s">
        <v>1800</v>
      </c>
      <c r="BF610" s="135" t="s">
        <v>1938</v>
      </c>
      <c r="BG610" s="135" t="s">
        <v>29</v>
      </c>
      <c r="BH610" s="135"/>
      <c r="BI610" s="314"/>
      <c r="BJ610" s="314"/>
      <c r="BK610" s="24"/>
      <c r="BL610" s="24"/>
      <c r="BM610" s="24"/>
      <c r="BN610" s="24"/>
      <c r="BO610" s="24">
        <v>43711</v>
      </c>
      <c r="BP610" s="24"/>
      <c r="BQ610" s="24"/>
      <c r="BR610" s="43"/>
      <c r="BS610" s="24"/>
      <c r="BT610" s="24"/>
      <c r="BU610" s="24"/>
      <c r="BV610" s="132" t="e">
        <f>IF(#REF!="COMPLETO","OK","PENDIENTES")</f>
        <v>#REF!</v>
      </c>
      <c r="BW610" s="132"/>
      <c r="BX610" s="132"/>
      <c r="BY610" s="132"/>
      <c r="BZ610" s="132"/>
      <c r="CA610" s="132"/>
      <c r="CB610" s="132"/>
      <c r="CC610" s="22"/>
      <c r="CG610" s="24" t="s">
        <v>105</v>
      </c>
      <c r="CH610" s="24"/>
      <c r="CI610" s="24"/>
      <c r="CJ610" s="24"/>
    </row>
    <row r="611" spans="1:88" ht="15" customHeight="1">
      <c r="A611" s="18">
        <v>2019</v>
      </c>
      <c r="B611" s="18" t="str">
        <f>+INDEX(BDD!F:F,MATCH(P611,BDD!D:D,0))&amp;"-"&amp;INDEX(BDD!E:E,MATCH(P611,BDD!D:D,0))</f>
        <v>E-S</v>
      </c>
      <c r="C611" s="125" t="s">
        <v>484</v>
      </c>
      <c r="D611" s="150" t="s">
        <v>77</v>
      </c>
      <c r="E611" s="132"/>
      <c r="F611" s="24"/>
      <c r="G611" s="346">
        <v>8000000472</v>
      </c>
      <c r="H611" s="125" t="s">
        <v>2557</v>
      </c>
      <c r="I611" s="329"/>
      <c r="J611" s="346">
        <v>8000000472</v>
      </c>
      <c r="K611" s="24"/>
      <c r="L611" s="24"/>
      <c r="M611" s="24"/>
      <c r="N611" s="340" t="s">
        <v>486</v>
      </c>
      <c r="O611" s="334">
        <v>205972</v>
      </c>
      <c r="P611" s="25" t="s">
        <v>91</v>
      </c>
      <c r="Q611" s="127" t="s">
        <v>219</v>
      </c>
      <c r="R611" s="232" t="s">
        <v>544</v>
      </c>
      <c r="S611" s="89"/>
      <c r="T611" s="188" t="s">
        <v>4</v>
      </c>
      <c r="U611" s="125"/>
      <c r="V611" s="147" t="s">
        <v>2558</v>
      </c>
      <c r="W611" s="129"/>
      <c r="X611" s="88">
        <v>43584</v>
      </c>
      <c r="Y611" s="130" t="s">
        <v>20</v>
      </c>
      <c r="Z611" s="133" t="s">
        <v>81</v>
      </c>
      <c r="AA611" s="133"/>
      <c r="AB611" s="148">
        <v>0.5</v>
      </c>
      <c r="AC611" s="134">
        <v>3933.5</v>
      </c>
      <c r="AD611" s="134"/>
      <c r="AE611" s="403">
        <f t="shared" si="30"/>
        <v>1966.75</v>
      </c>
      <c r="AF611" s="132">
        <v>1</v>
      </c>
      <c r="AG611" s="130" t="s">
        <v>21</v>
      </c>
      <c r="AH611" s="130"/>
      <c r="AI611" s="130" t="s">
        <v>22</v>
      </c>
      <c r="AJ611" s="130"/>
      <c r="AK611" s="130"/>
      <c r="AL611" s="135" t="s">
        <v>2292</v>
      </c>
      <c r="AM611" s="314"/>
      <c r="AN611" s="26"/>
      <c r="AO611" s="26"/>
      <c r="AP611" s="26"/>
      <c r="AQ611" s="26">
        <v>43634</v>
      </c>
      <c r="AR611" s="24"/>
      <c r="AS611" s="24"/>
      <c r="AT611" s="24">
        <v>43638</v>
      </c>
      <c r="AU611" s="418">
        <f t="shared" si="31"/>
        <v>6</v>
      </c>
      <c r="AV611" s="418">
        <f t="shared" si="32"/>
        <v>2019</v>
      </c>
      <c r="AW611" s="24"/>
      <c r="AX611" s="28"/>
      <c r="AY611" s="28" t="s">
        <v>102</v>
      </c>
      <c r="AZ611" s="132" t="s">
        <v>37</v>
      </c>
      <c r="BA611" s="132"/>
      <c r="BB611" s="24"/>
      <c r="BC611" s="135" t="s">
        <v>2559</v>
      </c>
      <c r="BD611" s="26">
        <v>43610</v>
      </c>
      <c r="BE611" s="135" t="s">
        <v>2560</v>
      </c>
      <c r="BF611" s="135" t="s">
        <v>2560</v>
      </c>
      <c r="BG611" s="135" t="s">
        <v>64</v>
      </c>
      <c r="BH611" s="135"/>
      <c r="BI611" s="314"/>
      <c r="BJ611" s="314"/>
      <c r="BK611" s="24"/>
      <c r="BL611" s="24"/>
      <c r="BM611" s="24"/>
      <c r="BN611" s="24"/>
      <c r="BO611" s="24"/>
      <c r="BP611" s="24"/>
      <c r="BQ611" s="24"/>
      <c r="BR611" s="43"/>
      <c r="BS611" s="24"/>
      <c r="BT611" s="24"/>
      <c r="BU611" s="24"/>
      <c r="BV611" s="132" t="e">
        <f>IF(#REF!="COMPLETO","OK","PENDIENTES")</f>
        <v>#REF!</v>
      </c>
      <c r="BW611" s="132"/>
      <c r="BX611" s="132"/>
      <c r="BY611" s="132"/>
      <c r="BZ611" s="132"/>
      <c r="CA611" s="132"/>
      <c r="CB611" s="132"/>
      <c r="CC611" s="22"/>
      <c r="CG611" s="24" t="s">
        <v>105</v>
      </c>
      <c r="CH611" s="24"/>
      <c r="CI611" s="24"/>
      <c r="CJ611" s="24"/>
    </row>
    <row r="612" spans="1:88" ht="15" customHeight="1">
      <c r="A612" s="18">
        <v>2019</v>
      </c>
      <c r="B612" s="18" t="str">
        <f>+INDEX(BDD!F:F,MATCH(P612,BDD!D:D,0))&amp;"-"&amp;INDEX(BDD!E:E,MATCH(P612,BDD!D:D,0))</f>
        <v>G-S</v>
      </c>
      <c r="C612" s="125" t="s">
        <v>484</v>
      </c>
      <c r="D612" s="150" t="s">
        <v>77</v>
      </c>
      <c r="E612" s="132"/>
      <c r="F612" s="24"/>
      <c r="G612" s="346">
        <v>8000000482</v>
      </c>
      <c r="H612" s="125" t="s">
        <v>2561</v>
      </c>
      <c r="I612" s="329"/>
      <c r="J612" s="346">
        <v>8000000482</v>
      </c>
      <c r="K612" s="24"/>
      <c r="L612" s="24"/>
      <c r="M612" s="24"/>
      <c r="N612" s="340" t="s">
        <v>486</v>
      </c>
      <c r="O612" s="334">
        <v>207951</v>
      </c>
      <c r="P612" s="25" t="s">
        <v>354</v>
      </c>
      <c r="Q612" s="127" t="s">
        <v>294</v>
      </c>
      <c r="R612" s="232" t="s">
        <v>2562</v>
      </c>
      <c r="S612" s="89">
        <v>43584</v>
      </c>
      <c r="T612" s="36">
        <v>150</v>
      </c>
      <c r="U612" s="125" t="s">
        <v>118</v>
      </c>
      <c r="V612" s="147" t="s">
        <v>2563</v>
      </c>
      <c r="W612" s="129"/>
      <c r="X612" s="88">
        <v>43790</v>
      </c>
      <c r="Y612" s="130" t="s">
        <v>20</v>
      </c>
      <c r="Z612" s="133" t="s">
        <v>60</v>
      </c>
      <c r="AA612" s="133"/>
      <c r="AB612" s="148">
        <v>1950</v>
      </c>
      <c r="AC612" s="134">
        <v>286.05</v>
      </c>
      <c r="AD612" s="134"/>
      <c r="AE612" s="403">
        <f t="shared" si="30"/>
        <v>557797.5</v>
      </c>
      <c r="AF612" s="132" t="s">
        <v>944</v>
      </c>
      <c r="AG612" s="130" t="s">
        <v>46</v>
      </c>
      <c r="AH612" s="130"/>
      <c r="AI612" s="130" t="s">
        <v>100</v>
      </c>
      <c r="AJ612" s="130"/>
      <c r="AK612" s="130"/>
      <c r="AL612" s="135" t="s">
        <v>2513</v>
      </c>
      <c r="AM612" s="314"/>
      <c r="AN612" s="26"/>
      <c r="AO612" s="26"/>
      <c r="AP612" s="26"/>
      <c r="AQ612" s="26">
        <v>43667</v>
      </c>
      <c r="AR612" s="24"/>
      <c r="AS612" s="24"/>
      <c r="AT612" s="24">
        <v>43668</v>
      </c>
      <c r="AU612" s="418">
        <f t="shared" si="31"/>
        <v>7</v>
      </c>
      <c r="AV612" s="418">
        <f t="shared" si="32"/>
        <v>2019</v>
      </c>
      <c r="AW612" s="24"/>
      <c r="AX612" s="28"/>
      <c r="AY612" s="28" t="s">
        <v>296</v>
      </c>
      <c r="AZ612" s="132" t="s">
        <v>9</v>
      </c>
      <c r="BA612" s="132"/>
      <c r="BB612" s="24"/>
      <c r="BC612" s="135">
        <v>5</v>
      </c>
      <c r="BD612" s="24">
        <v>43639</v>
      </c>
      <c r="BE612" s="135" t="s">
        <v>2564</v>
      </c>
      <c r="BF612" s="135" t="s">
        <v>2564</v>
      </c>
      <c r="BG612" s="135" t="s">
        <v>52</v>
      </c>
      <c r="BH612" s="135"/>
      <c r="BI612" s="314"/>
      <c r="BJ612" s="314"/>
      <c r="BK612" s="24"/>
      <c r="BL612" s="24"/>
      <c r="BM612" s="24"/>
      <c r="BN612" s="24"/>
      <c r="BO612" s="24"/>
      <c r="BP612" s="24"/>
      <c r="BQ612" s="24"/>
      <c r="BR612" s="43"/>
      <c r="BS612" s="24"/>
      <c r="BT612" s="24"/>
      <c r="BU612" s="24"/>
      <c r="BV612" s="132" t="e">
        <f>IF(#REF!="COMPLETO","OK","PENDIENTES")</f>
        <v>#REF!</v>
      </c>
      <c r="BW612" s="132"/>
      <c r="BX612" s="132"/>
      <c r="BY612" s="132"/>
      <c r="BZ612" s="132"/>
      <c r="CA612" s="132"/>
      <c r="CB612" s="132"/>
      <c r="CC612" s="22"/>
      <c r="CG612" s="24" t="s">
        <v>105</v>
      </c>
      <c r="CH612" s="24"/>
      <c r="CI612" s="24"/>
      <c r="CJ612" s="24"/>
    </row>
    <row r="613" spans="1:88" ht="15" customHeight="1">
      <c r="A613" s="18">
        <v>2019</v>
      </c>
      <c r="B613" s="18" t="str">
        <f>+INDEX(BDD!F:F,MATCH(P613,BDD!D:D,0))&amp;"-"&amp;INDEX(BDD!E:E,MATCH(P613,BDD!D:D,0))</f>
        <v>G-S</v>
      </c>
      <c r="C613" s="125" t="s">
        <v>484</v>
      </c>
      <c r="D613" s="150" t="s">
        <v>77</v>
      </c>
      <c r="E613" s="132"/>
      <c r="F613" s="24"/>
      <c r="G613" s="346">
        <v>8000000483</v>
      </c>
      <c r="H613" s="125" t="s">
        <v>2565</v>
      </c>
      <c r="I613" s="329"/>
      <c r="J613" s="346">
        <v>8000000483</v>
      </c>
      <c r="K613" s="24"/>
      <c r="L613" s="24"/>
      <c r="M613" s="24"/>
      <c r="N613" s="340" t="s">
        <v>486</v>
      </c>
      <c r="O613" s="334">
        <v>207951</v>
      </c>
      <c r="P613" s="25" t="s">
        <v>354</v>
      </c>
      <c r="Q613" s="127" t="s">
        <v>294</v>
      </c>
      <c r="R613" s="232" t="s">
        <v>2562</v>
      </c>
      <c r="S613" s="89">
        <v>43584</v>
      </c>
      <c r="T613" s="36">
        <v>150</v>
      </c>
      <c r="U613" s="125" t="s">
        <v>118</v>
      </c>
      <c r="V613" s="147" t="s">
        <v>2566</v>
      </c>
      <c r="W613" s="129"/>
      <c r="X613" s="88">
        <v>43790</v>
      </c>
      <c r="Y613" s="130" t="s">
        <v>20</v>
      </c>
      <c r="Z613" s="133" t="s">
        <v>60</v>
      </c>
      <c r="AA613" s="133"/>
      <c r="AB613" s="148">
        <v>1700</v>
      </c>
      <c r="AC613" s="134">
        <v>286.05</v>
      </c>
      <c r="AD613" s="134"/>
      <c r="AE613" s="403">
        <f t="shared" si="30"/>
        <v>486285</v>
      </c>
      <c r="AF613" s="132" t="s">
        <v>944</v>
      </c>
      <c r="AG613" s="130" t="s">
        <v>46</v>
      </c>
      <c r="AH613" s="130"/>
      <c r="AI613" s="130" t="s">
        <v>100</v>
      </c>
      <c r="AJ613" s="130"/>
      <c r="AK613" s="130"/>
      <c r="AL613" s="135" t="s">
        <v>2513</v>
      </c>
      <c r="AM613" s="314"/>
      <c r="AN613" s="26"/>
      <c r="AO613" s="26"/>
      <c r="AP613" s="26"/>
      <c r="AQ613" s="26">
        <v>43669</v>
      </c>
      <c r="AR613" s="24"/>
      <c r="AS613" s="24"/>
      <c r="AT613" s="24">
        <v>43671</v>
      </c>
      <c r="AU613" s="418">
        <f t="shared" si="31"/>
        <v>7</v>
      </c>
      <c r="AV613" s="418">
        <f t="shared" si="32"/>
        <v>2019</v>
      </c>
      <c r="AW613" s="24"/>
      <c r="AX613" s="28"/>
      <c r="AY613" s="28" t="s">
        <v>296</v>
      </c>
      <c r="AZ613" s="132" t="s">
        <v>25</v>
      </c>
      <c r="BA613" s="132"/>
      <c r="BB613" s="24"/>
      <c r="BC613" s="135">
        <v>6</v>
      </c>
      <c r="BD613" s="24">
        <v>43639</v>
      </c>
      <c r="BE613" s="135" t="s">
        <v>2564</v>
      </c>
      <c r="BF613" s="135" t="s">
        <v>2564</v>
      </c>
      <c r="BG613" s="135" t="s">
        <v>52</v>
      </c>
      <c r="BH613" s="135"/>
      <c r="BI613" s="314"/>
      <c r="BJ613" s="314"/>
      <c r="BK613" s="24"/>
      <c r="BL613" s="24"/>
      <c r="BM613" s="24"/>
      <c r="BN613" s="24"/>
      <c r="BO613" s="24"/>
      <c r="BP613" s="24"/>
      <c r="BQ613" s="24"/>
      <c r="BR613" s="43"/>
      <c r="BS613" s="24"/>
      <c r="BT613" s="24"/>
      <c r="BU613" s="24"/>
      <c r="BV613" s="132" t="e">
        <f>IF(#REF!="COMPLETO","OK","PENDIENTES")</f>
        <v>#REF!</v>
      </c>
      <c r="BW613" s="132"/>
      <c r="BX613" s="132"/>
      <c r="BY613" s="132"/>
      <c r="BZ613" s="132"/>
      <c r="CA613" s="132"/>
      <c r="CB613" s="132"/>
      <c r="CC613" s="22"/>
      <c r="CG613" s="24" t="s">
        <v>105</v>
      </c>
      <c r="CH613" s="24"/>
      <c r="CI613" s="24"/>
      <c r="CJ613" s="24"/>
    </row>
    <row r="614" spans="1:88" ht="15" customHeight="1">
      <c r="A614" s="18">
        <v>2019</v>
      </c>
      <c r="B614" s="18" t="str">
        <f>+INDEX(BDD!F:F,MATCH(P614,BDD!D:D,0))&amp;"-"&amp;INDEX(BDD!E:E,MATCH(P614,BDD!D:D,0))</f>
        <v>G-S</v>
      </c>
      <c r="C614" s="125" t="s">
        <v>484</v>
      </c>
      <c r="D614" s="150" t="s">
        <v>77</v>
      </c>
      <c r="E614" s="132"/>
      <c r="F614" s="24"/>
      <c r="G614" s="346">
        <v>8000000484</v>
      </c>
      <c r="H614" s="125" t="s">
        <v>2567</v>
      </c>
      <c r="I614" s="329"/>
      <c r="J614" s="346">
        <v>8000000484</v>
      </c>
      <c r="K614" s="24"/>
      <c r="L614" s="24"/>
      <c r="M614" s="24"/>
      <c r="N614" s="340" t="s">
        <v>486</v>
      </c>
      <c r="O614" s="334">
        <v>207951</v>
      </c>
      <c r="P614" s="25" t="s">
        <v>354</v>
      </c>
      <c r="Q614" s="127" t="s">
        <v>294</v>
      </c>
      <c r="R614" s="232" t="s">
        <v>2562</v>
      </c>
      <c r="S614" s="89">
        <v>43584</v>
      </c>
      <c r="T614" s="36">
        <v>150</v>
      </c>
      <c r="U614" s="125" t="s">
        <v>118</v>
      </c>
      <c r="V614" s="147" t="s">
        <v>2568</v>
      </c>
      <c r="W614" s="129"/>
      <c r="X614" s="88">
        <v>43790</v>
      </c>
      <c r="Y614" s="130" t="s">
        <v>20</v>
      </c>
      <c r="Z614" s="133" t="s">
        <v>60</v>
      </c>
      <c r="AA614" s="133"/>
      <c r="AB614" s="148">
        <v>1450</v>
      </c>
      <c r="AC614" s="134">
        <v>286.05</v>
      </c>
      <c r="AD614" s="134"/>
      <c r="AE614" s="403">
        <f t="shared" si="30"/>
        <v>414772.5</v>
      </c>
      <c r="AF614" s="132" t="s">
        <v>944</v>
      </c>
      <c r="AG614" s="130" t="s">
        <v>46</v>
      </c>
      <c r="AH614" s="130"/>
      <c r="AI614" s="130" t="s">
        <v>100</v>
      </c>
      <c r="AJ614" s="130"/>
      <c r="AK614" s="130"/>
      <c r="AL614" s="135" t="s">
        <v>2513</v>
      </c>
      <c r="AM614" s="314"/>
      <c r="AN614" s="26"/>
      <c r="AO614" s="26"/>
      <c r="AP614" s="26"/>
      <c r="AQ614" s="26">
        <f>+AQ613+4</f>
        <v>43673</v>
      </c>
      <c r="AR614" s="24"/>
      <c r="AS614" s="24"/>
      <c r="AT614" s="24">
        <v>43673</v>
      </c>
      <c r="AU614" s="418">
        <f t="shared" si="31"/>
        <v>7</v>
      </c>
      <c r="AV614" s="418">
        <f t="shared" si="32"/>
        <v>2019</v>
      </c>
      <c r="AW614" s="24"/>
      <c r="AX614" s="28"/>
      <c r="AY614" s="28" t="s">
        <v>296</v>
      </c>
      <c r="AZ614" s="132" t="s">
        <v>37</v>
      </c>
      <c r="BA614" s="132"/>
      <c r="BB614" s="24"/>
      <c r="BC614" s="135">
        <v>7</v>
      </c>
      <c r="BD614" s="24">
        <v>43639</v>
      </c>
      <c r="BE614" s="135" t="s">
        <v>2564</v>
      </c>
      <c r="BF614" s="135" t="s">
        <v>2564</v>
      </c>
      <c r="BG614" s="135" t="s">
        <v>52</v>
      </c>
      <c r="BH614" s="135"/>
      <c r="BI614" s="314"/>
      <c r="BJ614" s="314"/>
      <c r="BK614" s="24"/>
      <c r="BL614" s="24"/>
      <c r="BM614" s="24"/>
      <c r="BN614" s="24"/>
      <c r="BO614" s="24"/>
      <c r="BP614" s="24"/>
      <c r="BQ614" s="24"/>
      <c r="BR614" s="43"/>
      <c r="BS614" s="24"/>
      <c r="BT614" s="24"/>
      <c r="BU614" s="24"/>
      <c r="BV614" s="132" t="e">
        <f>IF(#REF!="COMPLETO","OK","PENDIENTES")</f>
        <v>#REF!</v>
      </c>
      <c r="BW614" s="132"/>
      <c r="BX614" s="132"/>
      <c r="BY614" s="132"/>
      <c r="BZ614" s="132"/>
      <c r="CA614" s="132"/>
      <c r="CB614" s="132"/>
      <c r="CC614" s="22"/>
      <c r="CG614" s="24" t="s">
        <v>105</v>
      </c>
      <c r="CH614" s="24"/>
      <c r="CI614" s="24"/>
      <c r="CJ614" s="24"/>
    </row>
    <row r="615" spans="1:88" ht="15" customHeight="1">
      <c r="A615" s="18">
        <v>2019</v>
      </c>
      <c r="B615" s="18" t="str">
        <f>+INDEX(BDD!F:F,MATCH(P615,BDD!D:D,0))&amp;"-"&amp;INDEX(BDD!E:E,MATCH(P615,BDD!D:D,0))</f>
        <v>G-S</v>
      </c>
      <c r="C615" s="125" t="s">
        <v>484</v>
      </c>
      <c r="D615" s="150" t="s">
        <v>77</v>
      </c>
      <c r="E615" s="132"/>
      <c r="F615" s="24"/>
      <c r="G615" s="346">
        <v>8000000485</v>
      </c>
      <c r="H615" s="125" t="s">
        <v>2569</v>
      </c>
      <c r="I615" s="329"/>
      <c r="J615" s="346">
        <v>8000000485</v>
      </c>
      <c r="K615" s="24"/>
      <c r="L615" s="24"/>
      <c r="M615" s="24"/>
      <c r="N615" s="340" t="s">
        <v>486</v>
      </c>
      <c r="O615" s="334">
        <v>207951</v>
      </c>
      <c r="P615" s="25" t="s">
        <v>354</v>
      </c>
      <c r="Q615" s="127" t="s">
        <v>294</v>
      </c>
      <c r="R615" s="232" t="s">
        <v>2562</v>
      </c>
      <c r="S615" s="89">
        <v>43584</v>
      </c>
      <c r="T615" s="36">
        <v>150</v>
      </c>
      <c r="U615" s="125" t="s">
        <v>118</v>
      </c>
      <c r="V615" s="147" t="s">
        <v>2570</v>
      </c>
      <c r="W615" s="129"/>
      <c r="X615" s="88">
        <v>43790</v>
      </c>
      <c r="Y615" s="130" t="s">
        <v>20</v>
      </c>
      <c r="Z615" s="133" t="s">
        <v>60</v>
      </c>
      <c r="AA615" s="133"/>
      <c r="AB615" s="148">
        <v>1050</v>
      </c>
      <c r="AC615" s="134">
        <v>286.05</v>
      </c>
      <c r="AD615" s="134"/>
      <c r="AE615" s="403">
        <f t="shared" si="30"/>
        <v>300352.5</v>
      </c>
      <c r="AF615" s="132" t="s">
        <v>944</v>
      </c>
      <c r="AG615" s="130" t="s">
        <v>46</v>
      </c>
      <c r="AH615" s="130"/>
      <c r="AI615" s="130" t="s">
        <v>100</v>
      </c>
      <c r="AJ615" s="130"/>
      <c r="AK615" s="130"/>
      <c r="AL615" s="135" t="s">
        <v>2513</v>
      </c>
      <c r="AM615" s="314"/>
      <c r="AN615" s="26"/>
      <c r="AO615" s="26"/>
      <c r="AP615" s="26"/>
      <c r="AQ615" s="26">
        <f>+AQ614+4</f>
        <v>43677</v>
      </c>
      <c r="AR615" s="24"/>
      <c r="AS615" s="24"/>
      <c r="AT615" s="24">
        <v>43684</v>
      </c>
      <c r="AU615" s="418">
        <f t="shared" si="31"/>
        <v>8</v>
      </c>
      <c r="AV615" s="418">
        <f t="shared" si="32"/>
        <v>2019</v>
      </c>
      <c r="AW615" s="24"/>
      <c r="AX615" s="28"/>
      <c r="AY615" s="28" t="s">
        <v>296</v>
      </c>
      <c r="AZ615" s="132" t="s">
        <v>37</v>
      </c>
      <c r="BA615" s="132"/>
      <c r="BB615" s="24"/>
      <c r="BC615" s="135">
        <v>8</v>
      </c>
      <c r="BD615" s="24">
        <v>43639</v>
      </c>
      <c r="BE615" s="135" t="s">
        <v>2564</v>
      </c>
      <c r="BF615" s="135" t="s">
        <v>2564</v>
      </c>
      <c r="BG615" s="135" t="s">
        <v>52</v>
      </c>
      <c r="BH615" s="135"/>
      <c r="BI615" s="314"/>
      <c r="BJ615" s="314"/>
      <c r="BK615" s="24"/>
      <c r="BL615" s="24"/>
      <c r="BM615" s="24"/>
      <c r="BN615" s="24"/>
      <c r="BO615" s="24"/>
      <c r="BP615" s="24"/>
      <c r="BQ615" s="24"/>
      <c r="BR615" s="43"/>
      <c r="BS615" s="24"/>
      <c r="BT615" s="24"/>
      <c r="BU615" s="24"/>
      <c r="BV615" s="132" t="e">
        <f>IF(#REF!="COMPLETO","OK","PENDIENTES")</f>
        <v>#REF!</v>
      </c>
      <c r="BW615" s="132"/>
      <c r="BX615" s="132"/>
      <c r="BY615" s="132"/>
      <c r="BZ615" s="132"/>
      <c r="CA615" s="132"/>
      <c r="CB615" s="132"/>
      <c r="CC615" s="22"/>
      <c r="CG615" s="24" t="s">
        <v>105</v>
      </c>
      <c r="CH615" s="24"/>
      <c r="CI615" s="24"/>
      <c r="CJ615" s="24"/>
    </row>
    <row r="616" spans="1:88" ht="15" customHeight="1">
      <c r="A616" s="18">
        <v>2019</v>
      </c>
      <c r="B616" s="18" t="str">
        <f>+INDEX(BDD!F:F,MATCH(P616,BDD!D:D,0))&amp;"-"&amp;INDEX(BDD!E:E,MATCH(P616,BDD!D:D,0))</f>
        <v>G-S</v>
      </c>
      <c r="C616" s="125" t="s">
        <v>484</v>
      </c>
      <c r="D616" s="150" t="s">
        <v>77</v>
      </c>
      <c r="E616" s="132"/>
      <c r="F616" s="24"/>
      <c r="G616" s="346">
        <v>8000000486</v>
      </c>
      <c r="H616" s="125" t="s">
        <v>2571</v>
      </c>
      <c r="I616" s="329"/>
      <c r="J616" s="346">
        <v>8000000486</v>
      </c>
      <c r="K616" s="24"/>
      <c r="L616" s="24"/>
      <c r="M616" s="24"/>
      <c r="N616" s="340" t="s">
        <v>486</v>
      </c>
      <c r="O616" s="334">
        <v>207485</v>
      </c>
      <c r="P616" s="25" t="s">
        <v>353</v>
      </c>
      <c r="Q616" s="127" t="s">
        <v>294</v>
      </c>
      <c r="R616" s="232" t="s">
        <v>2562</v>
      </c>
      <c r="S616" s="89">
        <v>43584</v>
      </c>
      <c r="T616" s="36">
        <v>150</v>
      </c>
      <c r="U616" s="125" t="s">
        <v>118</v>
      </c>
      <c r="V616" s="147" t="s">
        <v>2572</v>
      </c>
      <c r="W616" s="129"/>
      <c r="X616" s="88">
        <v>43790</v>
      </c>
      <c r="Y616" s="130" t="s">
        <v>20</v>
      </c>
      <c r="Z616" s="133" t="s">
        <v>60</v>
      </c>
      <c r="AA616" s="133"/>
      <c r="AB616" s="148">
        <v>990</v>
      </c>
      <c r="AC616" s="134">
        <v>291.13</v>
      </c>
      <c r="AD616" s="134"/>
      <c r="AE616" s="403">
        <f t="shared" si="30"/>
        <v>288218.7</v>
      </c>
      <c r="AF616" s="132" t="s">
        <v>944</v>
      </c>
      <c r="AG616" s="130" t="s">
        <v>46</v>
      </c>
      <c r="AH616" s="130"/>
      <c r="AI616" s="130" t="s">
        <v>100</v>
      </c>
      <c r="AJ616" s="130"/>
      <c r="AK616" s="130"/>
      <c r="AL616" s="135" t="s">
        <v>2513</v>
      </c>
      <c r="AM616" s="314"/>
      <c r="AN616" s="26"/>
      <c r="AO616" s="26"/>
      <c r="AP616" s="26"/>
      <c r="AQ616" s="26">
        <v>43667</v>
      </c>
      <c r="AR616" s="24"/>
      <c r="AS616" s="24"/>
      <c r="AT616" s="24">
        <v>43668</v>
      </c>
      <c r="AU616" s="418">
        <f t="shared" si="31"/>
        <v>7</v>
      </c>
      <c r="AV616" s="418">
        <f t="shared" si="32"/>
        <v>2019</v>
      </c>
      <c r="AW616" s="24"/>
      <c r="AX616" s="28"/>
      <c r="AY616" s="28" t="s">
        <v>296</v>
      </c>
      <c r="AZ616" s="132" t="s">
        <v>9</v>
      </c>
      <c r="BA616" s="132"/>
      <c r="BB616" s="24"/>
      <c r="BC616" s="135">
        <v>1</v>
      </c>
      <c r="BD616" s="24">
        <v>43639</v>
      </c>
      <c r="BE616" s="135" t="s">
        <v>2564</v>
      </c>
      <c r="BF616" s="135" t="s">
        <v>2564</v>
      </c>
      <c r="BG616" s="135" t="s">
        <v>52</v>
      </c>
      <c r="BH616" s="135"/>
      <c r="BI616" s="314"/>
      <c r="BJ616" s="314"/>
      <c r="BK616" s="24"/>
      <c r="BL616" s="24"/>
      <c r="BM616" s="24"/>
      <c r="BN616" s="24"/>
      <c r="BO616" s="24"/>
      <c r="BP616" s="24"/>
      <c r="BQ616" s="24"/>
      <c r="BR616" s="43"/>
      <c r="BS616" s="24"/>
      <c r="BT616" s="24"/>
      <c r="BU616" s="24"/>
      <c r="BV616" s="132" t="e">
        <f>IF(#REF!="COMPLETO","OK","PENDIENTES")</f>
        <v>#REF!</v>
      </c>
      <c r="BW616" s="132"/>
      <c r="BX616" s="132"/>
      <c r="BY616" s="132"/>
      <c r="BZ616" s="132"/>
      <c r="CA616" s="132"/>
      <c r="CB616" s="132"/>
      <c r="CC616" s="22"/>
      <c r="CG616" s="24" t="s">
        <v>105</v>
      </c>
      <c r="CH616" s="24"/>
      <c r="CI616" s="24"/>
      <c r="CJ616" s="24"/>
    </row>
    <row r="617" spans="1:88" ht="15" customHeight="1">
      <c r="A617" s="18">
        <v>2019</v>
      </c>
      <c r="B617" s="18" t="str">
        <f>+INDEX(BDD!F:F,MATCH(P617,BDD!D:D,0))&amp;"-"&amp;INDEX(BDD!E:E,MATCH(P617,BDD!D:D,0))</f>
        <v>G-S</v>
      </c>
      <c r="C617" s="125" t="s">
        <v>484</v>
      </c>
      <c r="D617" s="150" t="s">
        <v>77</v>
      </c>
      <c r="E617" s="132"/>
      <c r="F617" s="24"/>
      <c r="G617" s="346">
        <v>8000000487</v>
      </c>
      <c r="H617" s="125" t="s">
        <v>2573</v>
      </c>
      <c r="I617" s="329"/>
      <c r="J617" s="346">
        <v>8000000487</v>
      </c>
      <c r="K617" s="24"/>
      <c r="L617" s="24"/>
      <c r="M617" s="24"/>
      <c r="N617" s="340" t="s">
        <v>486</v>
      </c>
      <c r="O617" s="334">
        <v>207485</v>
      </c>
      <c r="P617" s="25" t="s">
        <v>353</v>
      </c>
      <c r="Q617" s="127" t="s">
        <v>294</v>
      </c>
      <c r="R617" s="232" t="s">
        <v>2562</v>
      </c>
      <c r="S617" s="89">
        <v>43584</v>
      </c>
      <c r="T617" s="36">
        <v>150</v>
      </c>
      <c r="U617" s="125" t="s">
        <v>118</v>
      </c>
      <c r="V617" s="147" t="s">
        <v>2574</v>
      </c>
      <c r="W617" s="129"/>
      <c r="X617" s="88">
        <v>43790</v>
      </c>
      <c r="Y617" s="130" t="s">
        <v>20</v>
      </c>
      <c r="Z617" s="133" t="s">
        <v>60</v>
      </c>
      <c r="AA617" s="133"/>
      <c r="AB617" s="148">
        <v>1320</v>
      </c>
      <c r="AC617" s="134">
        <v>291.13</v>
      </c>
      <c r="AD617" s="134"/>
      <c r="AE617" s="403">
        <f t="shared" si="30"/>
        <v>384291.6</v>
      </c>
      <c r="AF617" s="132" t="s">
        <v>944</v>
      </c>
      <c r="AG617" s="130" t="s">
        <v>46</v>
      </c>
      <c r="AH617" s="130"/>
      <c r="AI617" s="130" t="s">
        <v>100</v>
      </c>
      <c r="AJ617" s="130"/>
      <c r="AK617" s="130"/>
      <c r="AL617" s="135" t="s">
        <v>2513</v>
      </c>
      <c r="AM617" s="314"/>
      <c r="AN617" s="26"/>
      <c r="AO617" s="26"/>
      <c r="AP617" s="26"/>
      <c r="AQ617" s="26">
        <v>43669</v>
      </c>
      <c r="AR617" s="24"/>
      <c r="AS617" s="24"/>
      <c r="AT617" s="24">
        <v>43670</v>
      </c>
      <c r="AU617" s="418">
        <f t="shared" si="31"/>
        <v>7</v>
      </c>
      <c r="AV617" s="418">
        <f t="shared" si="32"/>
        <v>2019</v>
      </c>
      <c r="AW617" s="24"/>
      <c r="AX617" s="28"/>
      <c r="AY617" s="28" t="s">
        <v>296</v>
      </c>
      <c r="AZ617" s="132" t="s">
        <v>25</v>
      </c>
      <c r="BA617" s="132"/>
      <c r="BB617" s="24"/>
      <c r="BC617" s="135">
        <v>2</v>
      </c>
      <c r="BD617" s="24">
        <v>43639</v>
      </c>
      <c r="BE617" s="135" t="s">
        <v>2564</v>
      </c>
      <c r="BF617" s="135" t="s">
        <v>2564</v>
      </c>
      <c r="BG617" s="135" t="s">
        <v>52</v>
      </c>
      <c r="BH617" s="135"/>
      <c r="BI617" s="314"/>
      <c r="BJ617" s="314"/>
      <c r="BK617" s="24"/>
      <c r="BL617" s="24"/>
      <c r="BM617" s="24"/>
      <c r="BN617" s="24"/>
      <c r="BO617" s="24"/>
      <c r="BP617" s="24"/>
      <c r="BQ617" s="24"/>
      <c r="BR617" s="43"/>
      <c r="BS617" s="24"/>
      <c r="BT617" s="24"/>
      <c r="BU617" s="24"/>
      <c r="BV617" s="132" t="e">
        <f>IF(#REF!="COMPLETO","OK","PENDIENTES")</f>
        <v>#REF!</v>
      </c>
      <c r="BW617" s="132"/>
      <c r="BX617" s="132"/>
      <c r="BY617" s="132"/>
      <c r="BZ617" s="132"/>
      <c r="CA617" s="132"/>
      <c r="CB617" s="132"/>
      <c r="CC617" s="22"/>
      <c r="CG617" s="24" t="s">
        <v>105</v>
      </c>
      <c r="CH617" s="24"/>
      <c r="CI617" s="24"/>
      <c r="CJ617" s="24"/>
    </row>
    <row r="618" spans="1:88" ht="15" customHeight="1">
      <c r="A618" s="18">
        <v>2019</v>
      </c>
      <c r="B618" s="18" t="str">
        <f>+INDEX(BDD!F:F,MATCH(P618,BDD!D:D,0))&amp;"-"&amp;INDEX(BDD!E:E,MATCH(P618,BDD!D:D,0))</f>
        <v>G-S</v>
      </c>
      <c r="C618" s="125" t="s">
        <v>484</v>
      </c>
      <c r="D618" s="150" t="s">
        <v>77</v>
      </c>
      <c r="E618" s="132"/>
      <c r="F618" s="24"/>
      <c r="G618" s="346">
        <v>8000000488</v>
      </c>
      <c r="H618" s="125" t="s">
        <v>2575</v>
      </c>
      <c r="I618" s="329"/>
      <c r="J618" s="346">
        <v>8000000488</v>
      </c>
      <c r="K618" s="24"/>
      <c r="L618" s="24"/>
      <c r="M618" s="24"/>
      <c r="N618" s="340" t="s">
        <v>486</v>
      </c>
      <c r="O618" s="334">
        <v>207485</v>
      </c>
      <c r="P618" s="25" t="s">
        <v>353</v>
      </c>
      <c r="Q618" s="127" t="s">
        <v>294</v>
      </c>
      <c r="R618" s="232" t="s">
        <v>2562</v>
      </c>
      <c r="S618" s="89">
        <v>43584</v>
      </c>
      <c r="T618" s="36">
        <v>150</v>
      </c>
      <c r="U618" s="125" t="s">
        <v>118</v>
      </c>
      <c r="V618" s="147" t="s">
        <v>2576</v>
      </c>
      <c r="W618" s="129"/>
      <c r="X618" s="88">
        <v>43790</v>
      </c>
      <c r="Y618" s="130" t="s">
        <v>20</v>
      </c>
      <c r="Z618" s="133" t="s">
        <v>60</v>
      </c>
      <c r="AA618" s="133"/>
      <c r="AB618" s="148">
        <v>1320</v>
      </c>
      <c r="AC618" s="134">
        <v>291.13</v>
      </c>
      <c r="AD618" s="134"/>
      <c r="AE618" s="403">
        <f t="shared" si="30"/>
        <v>384291.6</v>
      </c>
      <c r="AF618" s="132" t="s">
        <v>944</v>
      </c>
      <c r="AG618" s="130" t="s">
        <v>46</v>
      </c>
      <c r="AH618" s="130"/>
      <c r="AI618" s="130" t="s">
        <v>100</v>
      </c>
      <c r="AJ618" s="130"/>
      <c r="AK618" s="130"/>
      <c r="AL618" s="135" t="s">
        <v>2513</v>
      </c>
      <c r="AM618" s="314"/>
      <c r="AN618" s="26"/>
      <c r="AO618" s="26"/>
      <c r="AP618" s="26"/>
      <c r="AQ618" s="26">
        <f>+AQ617+4</f>
        <v>43673</v>
      </c>
      <c r="AR618" s="24"/>
      <c r="AS618" s="24"/>
      <c r="AT618" s="24">
        <v>43674</v>
      </c>
      <c r="AU618" s="418">
        <f t="shared" si="31"/>
        <v>7</v>
      </c>
      <c r="AV618" s="418">
        <f t="shared" si="32"/>
        <v>2019</v>
      </c>
      <c r="AW618" s="24"/>
      <c r="AX618" s="28"/>
      <c r="AY618" s="28" t="s">
        <v>296</v>
      </c>
      <c r="AZ618" s="132" t="s">
        <v>37</v>
      </c>
      <c r="BA618" s="132"/>
      <c r="BB618" s="24"/>
      <c r="BC618" s="135">
        <v>3</v>
      </c>
      <c r="BD618" s="24">
        <v>43639</v>
      </c>
      <c r="BE618" s="135" t="s">
        <v>2564</v>
      </c>
      <c r="BF618" s="135" t="s">
        <v>2564</v>
      </c>
      <c r="BG618" s="135" t="s">
        <v>52</v>
      </c>
      <c r="BH618" s="135"/>
      <c r="BI618" s="314"/>
      <c r="BJ618" s="314"/>
      <c r="BK618" s="24"/>
      <c r="BL618" s="24"/>
      <c r="BM618" s="24"/>
      <c r="BN618" s="24"/>
      <c r="BO618" s="24"/>
      <c r="BP618" s="24"/>
      <c r="BQ618" s="24"/>
      <c r="BR618" s="43"/>
      <c r="BS618" s="24"/>
      <c r="BT618" s="24"/>
      <c r="BU618" s="24"/>
      <c r="BV618" s="132" t="e">
        <f>IF(#REF!="COMPLETO","OK","PENDIENTES")</f>
        <v>#REF!</v>
      </c>
      <c r="BW618" s="132"/>
      <c r="BX618" s="132"/>
      <c r="BY618" s="132"/>
      <c r="BZ618" s="132"/>
      <c r="CA618" s="132"/>
      <c r="CB618" s="132"/>
      <c r="CC618" s="22"/>
      <c r="CG618" s="24" t="s">
        <v>105</v>
      </c>
      <c r="CH618" s="24"/>
      <c r="CI618" s="24"/>
      <c r="CJ618" s="24"/>
    </row>
    <row r="619" spans="1:88" ht="15" customHeight="1">
      <c r="A619" s="18">
        <v>2019</v>
      </c>
      <c r="B619" s="18" t="str">
        <f>+INDEX(BDD!F:F,MATCH(P619,BDD!D:D,0))&amp;"-"&amp;INDEX(BDD!E:E,MATCH(P619,BDD!D:D,0))</f>
        <v>G-S</v>
      </c>
      <c r="C619" s="125" t="s">
        <v>484</v>
      </c>
      <c r="D619" s="150" t="s">
        <v>77</v>
      </c>
      <c r="E619" s="132"/>
      <c r="F619" s="24"/>
      <c r="G619" s="346">
        <v>8000000489</v>
      </c>
      <c r="H619" s="125" t="s">
        <v>2577</v>
      </c>
      <c r="I619" s="329"/>
      <c r="J619" s="346">
        <v>8000000489</v>
      </c>
      <c r="K619" s="24"/>
      <c r="L619" s="24"/>
      <c r="M619" s="24"/>
      <c r="N619" s="340" t="s">
        <v>486</v>
      </c>
      <c r="O619" s="334">
        <v>207485</v>
      </c>
      <c r="P619" s="25" t="s">
        <v>353</v>
      </c>
      <c r="Q619" s="127" t="s">
        <v>294</v>
      </c>
      <c r="R619" s="232" t="s">
        <v>2562</v>
      </c>
      <c r="S619" s="89">
        <v>43584</v>
      </c>
      <c r="T619" s="36">
        <v>150</v>
      </c>
      <c r="U619" s="125" t="s">
        <v>118</v>
      </c>
      <c r="V619" s="147" t="s">
        <v>2578</v>
      </c>
      <c r="W619" s="129"/>
      <c r="X619" s="88">
        <v>43790</v>
      </c>
      <c r="Y619" s="130" t="s">
        <v>20</v>
      </c>
      <c r="Z619" s="133" t="s">
        <v>60</v>
      </c>
      <c r="AA619" s="133"/>
      <c r="AB619" s="148">
        <v>770</v>
      </c>
      <c r="AC619" s="134">
        <v>291.13</v>
      </c>
      <c r="AD619" s="134"/>
      <c r="AE619" s="403">
        <f t="shared" si="30"/>
        <v>224170.1</v>
      </c>
      <c r="AF619" s="132" t="s">
        <v>944</v>
      </c>
      <c r="AG619" s="130" t="s">
        <v>46</v>
      </c>
      <c r="AH619" s="130"/>
      <c r="AI619" s="130" t="s">
        <v>100</v>
      </c>
      <c r="AJ619" s="130"/>
      <c r="AK619" s="130"/>
      <c r="AL619" s="135" t="s">
        <v>2513</v>
      </c>
      <c r="AM619" s="314"/>
      <c r="AN619" s="26"/>
      <c r="AO619" s="26"/>
      <c r="AP619" s="26"/>
      <c r="AQ619" s="26">
        <f>+AQ618+4</f>
        <v>43677</v>
      </c>
      <c r="AR619" s="24"/>
      <c r="AS619" s="24"/>
      <c r="AT619" s="24">
        <v>43684</v>
      </c>
      <c r="AU619" s="418">
        <f t="shared" si="31"/>
        <v>8</v>
      </c>
      <c r="AV619" s="418">
        <f t="shared" si="32"/>
        <v>2019</v>
      </c>
      <c r="AW619" s="24"/>
      <c r="AX619" s="28"/>
      <c r="AY619" s="28" t="s">
        <v>296</v>
      </c>
      <c r="AZ619" s="132" t="s">
        <v>37</v>
      </c>
      <c r="BA619" s="132"/>
      <c r="BB619" s="24"/>
      <c r="BC619" s="135">
        <v>4</v>
      </c>
      <c r="BD619" s="24">
        <v>43639</v>
      </c>
      <c r="BE619" s="135" t="s">
        <v>2564</v>
      </c>
      <c r="BF619" s="135" t="s">
        <v>2564</v>
      </c>
      <c r="BG619" s="135" t="s">
        <v>52</v>
      </c>
      <c r="BH619" s="135"/>
      <c r="BI619" s="314"/>
      <c r="BJ619" s="314"/>
      <c r="BK619" s="24"/>
      <c r="BL619" s="24"/>
      <c r="BM619" s="24"/>
      <c r="BN619" s="24"/>
      <c r="BO619" s="24"/>
      <c r="BP619" s="24"/>
      <c r="BQ619" s="24"/>
      <c r="BR619" s="43"/>
      <c r="BS619" s="24"/>
      <c r="BT619" s="24"/>
      <c r="BU619" s="24"/>
      <c r="BV619" s="132" t="e">
        <f>IF(#REF!="COMPLETO","OK","PENDIENTES")</f>
        <v>#REF!</v>
      </c>
      <c r="BW619" s="132"/>
      <c r="BX619" s="132"/>
      <c r="BY619" s="132"/>
      <c r="BZ619" s="132"/>
      <c r="CA619" s="132"/>
      <c r="CB619" s="132"/>
      <c r="CC619" s="22"/>
      <c r="CG619" s="24" t="s">
        <v>105</v>
      </c>
      <c r="CH619" s="24"/>
      <c r="CI619" s="24"/>
      <c r="CJ619" s="24"/>
    </row>
    <row r="620" spans="1:88" ht="15" customHeight="1">
      <c r="A620" s="18">
        <v>2019</v>
      </c>
      <c r="B620" s="18" t="str">
        <f>+INDEX(BDD!F:F,MATCH(P620,BDD!D:D,0))&amp;"-"&amp;INDEX(BDD!E:E,MATCH(P620,BDD!D:D,0))</f>
        <v>A-S</v>
      </c>
      <c r="C620" s="125" t="s">
        <v>484</v>
      </c>
      <c r="D620" s="150" t="s">
        <v>77</v>
      </c>
      <c r="E620" s="132"/>
      <c r="F620" s="24"/>
      <c r="G620" s="346">
        <v>8000000434</v>
      </c>
      <c r="H620" s="125" t="s">
        <v>2579</v>
      </c>
      <c r="I620" s="329"/>
      <c r="J620" s="346">
        <v>8000000434</v>
      </c>
      <c r="K620" s="24"/>
      <c r="L620" s="24"/>
      <c r="M620" s="24"/>
      <c r="N620" s="340" t="s">
        <v>486</v>
      </c>
      <c r="O620" s="334">
        <v>209882</v>
      </c>
      <c r="P620" s="25" t="s">
        <v>123</v>
      </c>
      <c r="Q620" s="127" t="s">
        <v>0</v>
      </c>
      <c r="R620" s="232" t="s">
        <v>544</v>
      </c>
      <c r="S620" s="89">
        <v>43612</v>
      </c>
      <c r="T620" s="36">
        <v>60</v>
      </c>
      <c r="U620" s="125" t="s">
        <v>118</v>
      </c>
      <c r="V620" s="147" t="s">
        <v>2580</v>
      </c>
      <c r="W620" s="129"/>
      <c r="X620" s="88">
        <f>+BD620+T620</f>
        <v>43762</v>
      </c>
      <c r="Y620" s="130" t="s">
        <v>20</v>
      </c>
      <c r="Z620" s="133" t="s">
        <v>81</v>
      </c>
      <c r="AA620" s="133"/>
      <c r="AB620" s="148">
        <v>3.456</v>
      </c>
      <c r="AC620" s="134" t="e">
        <f>7344/#REF!</f>
        <v>#REF!</v>
      </c>
      <c r="AD620" s="134"/>
      <c r="AE620" s="403" t="e">
        <f t="shared" si="30"/>
        <v>#REF!</v>
      </c>
      <c r="AF620" s="132"/>
      <c r="AG620" s="130" t="s">
        <v>5</v>
      </c>
      <c r="AH620" s="130"/>
      <c r="AI620" s="130" t="s">
        <v>112</v>
      </c>
      <c r="AJ620" s="130"/>
      <c r="AK620" s="130"/>
      <c r="AL620" s="135" t="s">
        <v>2292</v>
      </c>
      <c r="AM620" s="314"/>
      <c r="AN620" s="26"/>
      <c r="AO620" s="26"/>
      <c r="AP620" s="26"/>
      <c r="AQ620" s="26">
        <v>43722</v>
      </c>
      <c r="AR620" s="24"/>
      <c r="AS620" s="24"/>
      <c r="AT620" s="24">
        <v>43725</v>
      </c>
      <c r="AU620" s="418">
        <f t="shared" si="31"/>
        <v>9</v>
      </c>
      <c r="AV620" s="418">
        <f t="shared" si="32"/>
        <v>2019</v>
      </c>
      <c r="AW620" s="24"/>
      <c r="AX620" s="28"/>
      <c r="AY620" s="28" t="s">
        <v>113</v>
      </c>
      <c r="AZ620" s="132" t="s">
        <v>37</v>
      </c>
      <c r="BA620" s="132"/>
      <c r="BB620" s="24"/>
      <c r="BC620" s="135" t="s">
        <v>2581</v>
      </c>
      <c r="BD620" s="24">
        <v>43702</v>
      </c>
      <c r="BE620" s="135" t="s">
        <v>800</v>
      </c>
      <c r="BF620" s="135" t="s">
        <v>2582</v>
      </c>
      <c r="BG620" s="135" t="s">
        <v>14</v>
      </c>
      <c r="BH620" s="135"/>
      <c r="BI620" s="314"/>
      <c r="BJ620" s="314"/>
      <c r="BK620" s="24"/>
      <c r="BL620" s="24"/>
      <c r="BM620" s="24"/>
      <c r="BN620" s="24"/>
      <c r="BO620" s="24">
        <f>+AQ620+21</f>
        <v>43743</v>
      </c>
      <c r="BP620" s="24"/>
      <c r="BQ620" s="24"/>
      <c r="BR620" s="43"/>
      <c r="BS620" s="24"/>
      <c r="BT620" s="24"/>
      <c r="BU620" s="24"/>
      <c r="BV620" s="132" t="e">
        <f>IF(#REF!="COMPLETO","OK","PENDIENTES")</f>
        <v>#REF!</v>
      </c>
      <c r="BW620" s="132"/>
      <c r="BX620" s="132"/>
      <c r="BY620" s="132"/>
      <c r="BZ620" s="132"/>
      <c r="CA620" s="132"/>
      <c r="CB620" s="132"/>
      <c r="CC620" s="22"/>
      <c r="CG620" s="24" t="s">
        <v>105</v>
      </c>
      <c r="CH620" s="24"/>
      <c r="CI620" s="24"/>
      <c r="CJ620" s="24"/>
    </row>
    <row r="621" spans="1:88" ht="15" customHeight="1">
      <c r="A621" s="18">
        <v>2019</v>
      </c>
      <c r="B621" s="18" t="str">
        <f>+INDEX(BDD!F:F,MATCH(P621,BDD!D:D,0))&amp;"-"&amp;INDEX(BDD!E:E,MATCH(P621,BDD!D:D,0))</f>
        <v>A-S</v>
      </c>
      <c r="C621" s="125" t="s">
        <v>484</v>
      </c>
      <c r="D621" s="150" t="s">
        <v>77</v>
      </c>
      <c r="E621" s="132"/>
      <c r="F621" s="24"/>
      <c r="G621" s="346">
        <v>8000000434</v>
      </c>
      <c r="H621" s="125" t="s">
        <v>2583</v>
      </c>
      <c r="I621" s="329"/>
      <c r="J621" s="346">
        <v>8000000434</v>
      </c>
      <c r="K621" s="24"/>
      <c r="L621" s="24"/>
      <c r="M621" s="24"/>
      <c r="N621" s="340" t="s">
        <v>486</v>
      </c>
      <c r="O621" s="334">
        <v>209881</v>
      </c>
      <c r="P621" s="25" t="s">
        <v>134</v>
      </c>
      <c r="Q621" s="127" t="s">
        <v>0</v>
      </c>
      <c r="R621" s="232" t="s">
        <v>544</v>
      </c>
      <c r="S621" s="89">
        <v>43612</v>
      </c>
      <c r="T621" s="36">
        <v>60</v>
      </c>
      <c r="U621" s="125" t="s">
        <v>118</v>
      </c>
      <c r="V621" s="147" t="s">
        <v>2580</v>
      </c>
      <c r="W621" s="129"/>
      <c r="X621" s="88">
        <f>+BD621+T621</f>
        <v>43762</v>
      </c>
      <c r="Y621" s="130" t="s">
        <v>20</v>
      </c>
      <c r="Z621" s="133" t="s">
        <v>81</v>
      </c>
      <c r="AA621" s="133"/>
      <c r="AB621" s="148">
        <v>2.5920000000000001</v>
      </c>
      <c r="AC621" s="134" t="e">
        <f>5508/#REF!</f>
        <v>#REF!</v>
      </c>
      <c r="AD621" s="134"/>
      <c r="AE621" s="403" t="e">
        <f t="shared" si="30"/>
        <v>#REF!</v>
      </c>
      <c r="AF621" s="132"/>
      <c r="AG621" s="130" t="s">
        <v>5</v>
      </c>
      <c r="AH621" s="130"/>
      <c r="AI621" s="130" t="s">
        <v>112</v>
      </c>
      <c r="AJ621" s="130"/>
      <c r="AK621" s="130"/>
      <c r="AL621" s="135" t="s">
        <v>2292</v>
      </c>
      <c r="AM621" s="314"/>
      <c r="AN621" s="26"/>
      <c r="AO621" s="26"/>
      <c r="AP621" s="26"/>
      <c r="AQ621" s="26">
        <v>43722</v>
      </c>
      <c r="AR621" s="24"/>
      <c r="AS621" s="24"/>
      <c r="AT621" s="24">
        <v>43725</v>
      </c>
      <c r="AU621" s="418">
        <f t="shared" si="31"/>
        <v>9</v>
      </c>
      <c r="AV621" s="418">
        <f t="shared" si="32"/>
        <v>2019</v>
      </c>
      <c r="AW621" s="24"/>
      <c r="AX621" s="28"/>
      <c r="AY621" s="28" t="s">
        <v>113</v>
      </c>
      <c r="AZ621" s="132" t="s">
        <v>37</v>
      </c>
      <c r="BA621" s="132"/>
      <c r="BB621" s="24"/>
      <c r="BC621" s="135" t="s">
        <v>2581</v>
      </c>
      <c r="BD621" s="24">
        <v>43702</v>
      </c>
      <c r="BE621" s="135" t="s">
        <v>800</v>
      </c>
      <c r="BF621" s="135" t="s">
        <v>2582</v>
      </c>
      <c r="BG621" s="135" t="s">
        <v>14</v>
      </c>
      <c r="BH621" s="135"/>
      <c r="BI621" s="314"/>
      <c r="BJ621" s="314"/>
      <c r="BK621" s="24"/>
      <c r="BL621" s="24"/>
      <c r="BM621" s="24"/>
      <c r="BN621" s="24"/>
      <c r="BO621" s="24">
        <f>+AQ621+21</f>
        <v>43743</v>
      </c>
      <c r="BP621" s="24"/>
      <c r="BQ621" s="24"/>
      <c r="BR621" s="43"/>
      <c r="BS621" s="24"/>
      <c r="BT621" s="24"/>
      <c r="BU621" s="24"/>
      <c r="BV621" s="132" t="e">
        <f>IF(#REF!="COMPLETO","OK","PENDIENTES")</f>
        <v>#REF!</v>
      </c>
      <c r="BW621" s="132"/>
      <c r="BX621" s="132"/>
      <c r="BY621" s="132"/>
      <c r="BZ621" s="132"/>
      <c r="CA621" s="132"/>
      <c r="CB621" s="132"/>
      <c r="CC621" s="22"/>
      <c r="CG621" s="24" t="s">
        <v>105</v>
      </c>
      <c r="CH621" s="24"/>
      <c r="CI621" s="24"/>
      <c r="CJ621" s="24"/>
    </row>
    <row r="622" spans="1:88" ht="15" customHeight="1">
      <c r="A622" s="18">
        <v>2019</v>
      </c>
      <c r="B622" s="18" t="str">
        <f>+INDEX(BDD!F:F,MATCH(P622,BDD!D:D,0))&amp;"-"&amp;INDEX(BDD!E:E,MATCH(P622,BDD!D:D,0))</f>
        <v>A-S</v>
      </c>
      <c r="C622" s="125" t="s">
        <v>484</v>
      </c>
      <c r="D622" s="150" t="s">
        <v>77</v>
      </c>
      <c r="E622" s="132"/>
      <c r="F622" s="24"/>
      <c r="G622" s="346">
        <v>8000000434</v>
      </c>
      <c r="H622" s="125" t="s">
        <v>2584</v>
      </c>
      <c r="I622" s="329"/>
      <c r="J622" s="346">
        <v>8000000434</v>
      </c>
      <c r="K622" s="24"/>
      <c r="L622" s="24"/>
      <c r="M622" s="24"/>
      <c r="N622" s="340" t="s">
        <v>486</v>
      </c>
      <c r="O622" s="334">
        <v>209885</v>
      </c>
      <c r="P622" s="25" t="s">
        <v>137</v>
      </c>
      <c r="Q622" s="127" t="s">
        <v>0</v>
      </c>
      <c r="R622" s="232" t="s">
        <v>544</v>
      </c>
      <c r="S622" s="89">
        <v>43612</v>
      </c>
      <c r="T622" s="36">
        <v>60</v>
      </c>
      <c r="U622" s="125" t="s">
        <v>118</v>
      </c>
      <c r="V622" s="147" t="s">
        <v>2580</v>
      </c>
      <c r="W622" s="129"/>
      <c r="X622" s="88">
        <f>+BD622+T622</f>
        <v>43762</v>
      </c>
      <c r="Y622" s="130" t="s">
        <v>20</v>
      </c>
      <c r="Z622" s="133" t="s">
        <v>81</v>
      </c>
      <c r="AA622" s="133"/>
      <c r="AB622" s="148">
        <v>0.86399999999999999</v>
      </c>
      <c r="AC622" s="134" t="e">
        <f>1836/#REF!</f>
        <v>#REF!</v>
      </c>
      <c r="AD622" s="134"/>
      <c r="AE622" s="403" t="e">
        <f t="shared" si="30"/>
        <v>#REF!</v>
      </c>
      <c r="AF622" s="132"/>
      <c r="AG622" s="130" t="s">
        <v>5</v>
      </c>
      <c r="AH622" s="130"/>
      <c r="AI622" s="130" t="s">
        <v>112</v>
      </c>
      <c r="AJ622" s="130"/>
      <c r="AK622" s="130"/>
      <c r="AL622" s="135" t="s">
        <v>2292</v>
      </c>
      <c r="AM622" s="314"/>
      <c r="AN622" s="26"/>
      <c r="AO622" s="26"/>
      <c r="AP622" s="26"/>
      <c r="AQ622" s="26">
        <v>43722</v>
      </c>
      <c r="AR622" s="24"/>
      <c r="AS622" s="24"/>
      <c r="AT622" s="24">
        <v>43725</v>
      </c>
      <c r="AU622" s="418">
        <f t="shared" si="31"/>
        <v>9</v>
      </c>
      <c r="AV622" s="418">
        <f t="shared" si="32"/>
        <v>2019</v>
      </c>
      <c r="AW622" s="24"/>
      <c r="AX622" s="28"/>
      <c r="AY622" s="28" t="s">
        <v>113</v>
      </c>
      <c r="AZ622" s="132" t="s">
        <v>37</v>
      </c>
      <c r="BA622" s="132"/>
      <c r="BB622" s="24"/>
      <c r="BC622" s="135" t="s">
        <v>2581</v>
      </c>
      <c r="BD622" s="24">
        <v>43702</v>
      </c>
      <c r="BE622" s="135" t="s">
        <v>800</v>
      </c>
      <c r="BF622" s="135" t="s">
        <v>2582</v>
      </c>
      <c r="BG622" s="135" t="s">
        <v>14</v>
      </c>
      <c r="BH622" s="135"/>
      <c r="BI622" s="314"/>
      <c r="BJ622" s="314"/>
      <c r="BK622" s="24"/>
      <c r="BL622" s="24"/>
      <c r="BM622" s="24"/>
      <c r="BN622" s="24"/>
      <c r="BO622" s="24">
        <f>+AQ622+21</f>
        <v>43743</v>
      </c>
      <c r="BP622" s="24"/>
      <c r="BQ622" s="24"/>
      <c r="BR622" s="43"/>
      <c r="BS622" s="24"/>
      <c r="BT622" s="24"/>
      <c r="BU622" s="24"/>
      <c r="BV622" s="132" t="e">
        <f>IF(#REF!="COMPLETO","OK","PENDIENTES")</f>
        <v>#REF!</v>
      </c>
      <c r="BW622" s="132"/>
      <c r="BX622" s="132"/>
      <c r="BY622" s="132"/>
      <c r="BZ622" s="132"/>
      <c r="CA622" s="132"/>
      <c r="CB622" s="132"/>
      <c r="CC622" s="22"/>
      <c r="CG622" s="24" t="s">
        <v>105</v>
      </c>
      <c r="CH622" s="24"/>
      <c r="CI622" s="24"/>
      <c r="CJ622" s="24"/>
    </row>
    <row r="623" spans="1:88" ht="15" customHeight="1">
      <c r="A623" s="18">
        <v>2019</v>
      </c>
      <c r="B623" s="18" t="str">
        <f>+INDEX(BDD!F:F,MATCH(P623,BDD!D:D,0))&amp;"-"&amp;INDEX(BDD!E:E,MATCH(P623,BDD!D:D,0))</f>
        <v>A-S</v>
      </c>
      <c r="C623" s="125" t="s">
        <v>484</v>
      </c>
      <c r="D623" s="150" t="s">
        <v>77</v>
      </c>
      <c r="E623" s="132"/>
      <c r="F623" s="24"/>
      <c r="G623" s="346">
        <v>8000000434</v>
      </c>
      <c r="H623" s="125" t="s">
        <v>2585</v>
      </c>
      <c r="I623" s="329"/>
      <c r="J623" s="346">
        <v>8000000434</v>
      </c>
      <c r="K623" s="24"/>
      <c r="L623" s="24"/>
      <c r="M623" s="24"/>
      <c r="N623" s="340" t="s">
        <v>486</v>
      </c>
      <c r="O623" s="334">
        <v>209886</v>
      </c>
      <c r="P623" s="25" t="s">
        <v>184</v>
      </c>
      <c r="Q623" s="127" t="s">
        <v>0</v>
      </c>
      <c r="R623" s="232" t="s">
        <v>544</v>
      </c>
      <c r="S623" s="89">
        <v>43612</v>
      </c>
      <c r="T623" s="36">
        <v>60</v>
      </c>
      <c r="U623" s="125" t="s">
        <v>118</v>
      </c>
      <c r="V623" s="147" t="s">
        <v>2580</v>
      </c>
      <c r="W623" s="129"/>
      <c r="X623" s="88">
        <f>+BD623+T623</f>
        <v>43762</v>
      </c>
      <c r="Y623" s="130" t="s">
        <v>20</v>
      </c>
      <c r="Z623" s="133" t="s">
        <v>81</v>
      </c>
      <c r="AA623" s="133"/>
      <c r="AB623" s="148">
        <v>0.98599999999999999</v>
      </c>
      <c r="AC623" s="134" t="e">
        <f>1836/#REF!</f>
        <v>#REF!</v>
      </c>
      <c r="AD623" s="134"/>
      <c r="AE623" s="403" t="e">
        <f t="shared" si="30"/>
        <v>#REF!</v>
      </c>
      <c r="AF623" s="132"/>
      <c r="AG623" s="130" t="s">
        <v>5</v>
      </c>
      <c r="AH623" s="130"/>
      <c r="AI623" s="130" t="s">
        <v>112</v>
      </c>
      <c r="AJ623" s="130"/>
      <c r="AK623" s="130"/>
      <c r="AL623" s="135" t="s">
        <v>2292</v>
      </c>
      <c r="AM623" s="314"/>
      <c r="AN623" s="26"/>
      <c r="AO623" s="26"/>
      <c r="AP623" s="26"/>
      <c r="AQ623" s="26">
        <v>43722</v>
      </c>
      <c r="AR623" s="24"/>
      <c r="AS623" s="24"/>
      <c r="AT623" s="24">
        <v>43725</v>
      </c>
      <c r="AU623" s="418">
        <f t="shared" si="31"/>
        <v>9</v>
      </c>
      <c r="AV623" s="418">
        <f t="shared" si="32"/>
        <v>2019</v>
      </c>
      <c r="AW623" s="24"/>
      <c r="AX623" s="28"/>
      <c r="AY623" s="28" t="s">
        <v>113</v>
      </c>
      <c r="AZ623" s="132" t="s">
        <v>37</v>
      </c>
      <c r="BA623" s="132"/>
      <c r="BB623" s="24"/>
      <c r="BC623" s="135" t="s">
        <v>2581</v>
      </c>
      <c r="BD623" s="24">
        <v>43702</v>
      </c>
      <c r="BE623" s="135" t="s">
        <v>800</v>
      </c>
      <c r="BF623" s="135" t="s">
        <v>2582</v>
      </c>
      <c r="BG623" s="135" t="s">
        <v>14</v>
      </c>
      <c r="BH623" s="135"/>
      <c r="BI623" s="314"/>
      <c r="BJ623" s="314"/>
      <c r="BK623" s="24"/>
      <c r="BL623" s="24"/>
      <c r="BM623" s="24"/>
      <c r="BN623" s="24"/>
      <c r="BO623" s="24">
        <f>+AQ623+21</f>
        <v>43743</v>
      </c>
      <c r="BP623" s="24"/>
      <c r="BQ623" s="24"/>
      <c r="BR623" s="43"/>
      <c r="BS623" s="24"/>
      <c r="BT623" s="24"/>
      <c r="BU623" s="24"/>
      <c r="BV623" s="132" t="e">
        <f>IF(#REF!="COMPLETO","OK","PENDIENTES")</f>
        <v>#REF!</v>
      </c>
      <c r="BW623" s="132"/>
      <c r="BX623" s="132"/>
      <c r="BY623" s="132"/>
      <c r="BZ623" s="132"/>
      <c r="CA623" s="132"/>
      <c r="CB623" s="132"/>
      <c r="CC623" s="22"/>
      <c r="CG623" s="24" t="s">
        <v>105</v>
      </c>
      <c r="CH623" s="24"/>
      <c r="CI623" s="24"/>
      <c r="CJ623" s="24"/>
    </row>
    <row r="624" spans="1:88" ht="15" customHeight="1">
      <c r="A624" s="18">
        <v>2019</v>
      </c>
      <c r="B624" s="18" t="str">
        <f>+INDEX(BDD!F:F,MATCH(P624,BDD!D:D,0))&amp;"-"&amp;INDEX(BDD!E:E,MATCH(P624,BDD!D:D,0))</f>
        <v>A-S</v>
      </c>
      <c r="C624" s="125" t="s">
        <v>484</v>
      </c>
      <c r="D624" s="150" t="s">
        <v>77</v>
      </c>
      <c r="E624" s="132"/>
      <c r="F624" s="24"/>
      <c r="G624" s="346">
        <v>8000000434</v>
      </c>
      <c r="H624" s="125" t="s">
        <v>2586</v>
      </c>
      <c r="I624" s="329"/>
      <c r="J624" s="346">
        <v>8000000434</v>
      </c>
      <c r="K624" s="24"/>
      <c r="L624" s="24"/>
      <c r="M624" s="24"/>
      <c r="N624" s="340" t="s">
        <v>486</v>
      </c>
      <c r="O624" s="334">
        <v>209887</v>
      </c>
      <c r="P624" s="25" t="s">
        <v>347</v>
      </c>
      <c r="Q624" s="127" t="s">
        <v>0</v>
      </c>
      <c r="R624" s="232" t="s">
        <v>544</v>
      </c>
      <c r="S624" s="89">
        <v>43612</v>
      </c>
      <c r="T624" s="36">
        <v>60</v>
      </c>
      <c r="U624" s="125" t="s">
        <v>118</v>
      </c>
      <c r="V624" s="147" t="s">
        <v>2580</v>
      </c>
      <c r="W624" s="129"/>
      <c r="X624" s="88">
        <f>+BD624+T624</f>
        <v>43762</v>
      </c>
      <c r="Y624" s="130" t="s">
        <v>20</v>
      </c>
      <c r="Z624" s="133" t="s">
        <v>81</v>
      </c>
      <c r="AA624" s="133"/>
      <c r="AB624" s="148">
        <v>0.94299999999999995</v>
      </c>
      <c r="AC624" s="134" t="e">
        <f>1296/#REF!</f>
        <v>#REF!</v>
      </c>
      <c r="AD624" s="134"/>
      <c r="AE624" s="403" t="e">
        <f t="shared" si="30"/>
        <v>#REF!</v>
      </c>
      <c r="AF624" s="132"/>
      <c r="AG624" s="130" t="s">
        <v>5</v>
      </c>
      <c r="AH624" s="130"/>
      <c r="AI624" s="130" t="s">
        <v>112</v>
      </c>
      <c r="AJ624" s="130"/>
      <c r="AK624" s="130"/>
      <c r="AL624" s="135" t="s">
        <v>2292</v>
      </c>
      <c r="AM624" s="314"/>
      <c r="AN624" s="26"/>
      <c r="AO624" s="26"/>
      <c r="AP624" s="26"/>
      <c r="AQ624" s="26">
        <v>43722</v>
      </c>
      <c r="AR624" s="24"/>
      <c r="AS624" s="24"/>
      <c r="AT624" s="24">
        <v>43725</v>
      </c>
      <c r="AU624" s="418">
        <f t="shared" si="31"/>
        <v>9</v>
      </c>
      <c r="AV624" s="418">
        <f t="shared" si="32"/>
        <v>2019</v>
      </c>
      <c r="AW624" s="24"/>
      <c r="AX624" s="28"/>
      <c r="AY624" s="28" t="s">
        <v>113</v>
      </c>
      <c r="AZ624" s="132" t="s">
        <v>37</v>
      </c>
      <c r="BA624" s="132"/>
      <c r="BB624" s="24"/>
      <c r="BC624" s="135" t="s">
        <v>2581</v>
      </c>
      <c r="BD624" s="24">
        <v>43702</v>
      </c>
      <c r="BE624" s="135" t="s">
        <v>800</v>
      </c>
      <c r="BF624" s="135" t="s">
        <v>2582</v>
      </c>
      <c r="BG624" s="135" t="s">
        <v>14</v>
      </c>
      <c r="BH624" s="135"/>
      <c r="BI624" s="314"/>
      <c r="BJ624" s="314"/>
      <c r="BK624" s="24"/>
      <c r="BL624" s="24"/>
      <c r="BM624" s="24"/>
      <c r="BN624" s="24"/>
      <c r="BO624" s="24">
        <f>+AQ624+21</f>
        <v>43743</v>
      </c>
      <c r="BP624" s="24"/>
      <c r="BQ624" s="24"/>
      <c r="BR624" s="43"/>
      <c r="BS624" s="24"/>
      <c r="BT624" s="24"/>
      <c r="BU624" s="24"/>
      <c r="BV624" s="132" t="e">
        <f>IF(#REF!="COMPLETO","OK","PENDIENTES")</f>
        <v>#REF!</v>
      </c>
      <c r="BW624" s="132"/>
      <c r="BX624" s="132"/>
      <c r="BY624" s="132"/>
      <c r="BZ624" s="132"/>
      <c r="CA624" s="132"/>
      <c r="CB624" s="132"/>
      <c r="CC624" s="22"/>
      <c r="CG624" s="24" t="s">
        <v>105</v>
      </c>
      <c r="CH624" s="24"/>
      <c r="CI624" s="24"/>
      <c r="CJ624" s="24"/>
    </row>
    <row r="625" spans="1:88" ht="15" customHeight="1">
      <c r="A625" s="18">
        <v>2019</v>
      </c>
      <c r="B625" s="18" t="str">
        <f>+INDEX(BDD!F:F,MATCH(P625,BDD!D:D,0))&amp;"-"&amp;INDEX(BDD!E:E,MATCH(P625,BDD!D:D,0))</f>
        <v>G-S</v>
      </c>
      <c r="C625" s="360" t="s">
        <v>484</v>
      </c>
      <c r="D625" s="150" t="s">
        <v>77</v>
      </c>
      <c r="E625" s="132"/>
      <c r="F625" s="24"/>
      <c r="G625" s="346">
        <v>8000000511</v>
      </c>
      <c r="H625" s="220" t="s">
        <v>2587</v>
      </c>
      <c r="I625" s="329"/>
      <c r="J625" s="346">
        <v>8000000511</v>
      </c>
      <c r="K625" s="24"/>
      <c r="L625" s="24"/>
      <c r="M625" s="24"/>
      <c r="N625" s="340" t="s">
        <v>486</v>
      </c>
      <c r="O625" s="334">
        <v>203747</v>
      </c>
      <c r="P625" s="25" t="s">
        <v>339</v>
      </c>
      <c r="Q625" s="127" t="s">
        <v>213</v>
      </c>
      <c r="R625" s="232" t="s">
        <v>2588</v>
      </c>
      <c r="S625" s="89">
        <v>43606</v>
      </c>
      <c r="T625" s="36">
        <v>90</v>
      </c>
      <c r="U625" s="125" t="s">
        <v>118</v>
      </c>
      <c r="V625" s="235" t="s">
        <v>2589</v>
      </c>
      <c r="W625" s="151"/>
      <c r="X625" s="88">
        <v>43738</v>
      </c>
      <c r="Y625" s="130" t="s">
        <v>20</v>
      </c>
      <c r="Z625" s="133" t="s">
        <v>60</v>
      </c>
      <c r="AA625" s="133"/>
      <c r="AB625" s="148">
        <v>329.4</v>
      </c>
      <c r="AC625" s="134">
        <v>500</v>
      </c>
      <c r="AD625" s="134"/>
      <c r="AE625" s="403">
        <f t="shared" si="30"/>
        <v>164700</v>
      </c>
      <c r="AF625" s="132" t="s">
        <v>944</v>
      </c>
      <c r="AG625" s="130" t="s">
        <v>58</v>
      </c>
      <c r="AH625" s="130"/>
      <c r="AI625" s="130" t="s">
        <v>71</v>
      </c>
      <c r="AJ625" s="130"/>
      <c r="AK625" s="130"/>
      <c r="AL625" s="135" t="s">
        <v>2513</v>
      </c>
      <c r="AM625" s="314"/>
      <c r="AN625" s="26"/>
      <c r="AO625" s="26"/>
      <c r="AP625" s="26"/>
      <c r="AQ625" s="26">
        <v>43675</v>
      </c>
      <c r="AR625" s="24"/>
      <c r="AS625" s="24"/>
      <c r="AT625" s="24">
        <v>43683</v>
      </c>
      <c r="AU625" s="418">
        <f t="shared" si="31"/>
        <v>8</v>
      </c>
      <c r="AV625" s="418">
        <f t="shared" si="32"/>
        <v>2019</v>
      </c>
      <c r="AW625" s="24"/>
      <c r="AX625" s="28"/>
      <c r="AY625" s="28" t="s">
        <v>311</v>
      </c>
      <c r="AZ625" s="132" t="s">
        <v>37</v>
      </c>
      <c r="BA625" s="132"/>
      <c r="BB625" s="24"/>
      <c r="BC625" s="135" t="s">
        <v>2590</v>
      </c>
      <c r="BD625" s="26">
        <v>43633</v>
      </c>
      <c r="BE625" s="135" t="s">
        <v>2591</v>
      </c>
      <c r="BF625" s="135" t="s">
        <v>2591</v>
      </c>
      <c r="BG625" s="135" t="s">
        <v>52</v>
      </c>
      <c r="BH625" s="135"/>
      <c r="BI625" s="314"/>
      <c r="BJ625" s="314"/>
      <c r="BK625" s="24"/>
      <c r="BL625" s="24"/>
      <c r="BM625" s="24"/>
      <c r="BN625" s="24"/>
      <c r="BO625" s="24"/>
      <c r="BP625" s="24"/>
      <c r="BQ625" s="24"/>
      <c r="BR625" s="43"/>
      <c r="BS625" s="24"/>
      <c r="BT625" s="24"/>
      <c r="BU625" s="24"/>
      <c r="BV625" s="132" t="e">
        <f>IF(#REF!="COMPLETO","OK","PENDIENTES")</f>
        <v>#REF!</v>
      </c>
      <c r="BW625" s="132"/>
      <c r="BX625" s="132"/>
      <c r="BY625" s="132"/>
      <c r="BZ625" s="132"/>
      <c r="CA625" s="132"/>
      <c r="CB625" s="132"/>
      <c r="CC625" s="22"/>
      <c r="CG625" s="24" t="s">
        <v>105</v>
      </c>
      <c r="CH625" s="24"/>
      <c r="CI625" s="24"/>
      <c r="CJ625" s="24"/>
    </row>
    <row r="626" spans="1:88" ht="15" customHeight="1">
      <c r="A626" s="18">
        <v>2019</v>
      </c>
      <c r="B626" s="18" t="str">
        <f>+INDEX(BDD!F:F,MATCH(P626,BDD!D:D,0))&amp;"-"&amp;INDEX(BDD!E:E,MATCH(P626,BDD!D:D,0))</f>
        <v>S-S</v>
      </c>
      <c r="C626" s="125" t="s">
        <v>484</v>
      </c>
      <c r="D626" s="150" t="s">
        <v>77</v>
      </c>
      <c r="E626" s="132"/>
      <c r="F626" s="24"/>
      <c r="G626" s="346">
        <v>8000000508</v>
      </c>
      <c r="H626" s="125" t="s">
        <v>2592</v>
      </c>
      <c r="I626" s="329"/>
      <c r="J626" s="346">
        <v>8000000508</v>
      </c>
      <c r="K626" s="24"/>
      <c r="L626" s="24"/>
      <c r="M626" s="24"/>
      <c r="N626" s="340" t="s">
        <v>486</v>
      </c>
      <c r="O626" s="334">
        <v>206966</v>
      </c>
      <c r="P626" s="25" t="s">
        <v>152</v>
      </c>
      <c r="Q626" s="127" t="s">
        <v>213</v>
      </c>
      <c r="R626" s="232" t="s">
        <v>2593</v>
      </c>
      <c r="S626" s="89">
        <v>43606</v>
      </c>
      <c r="T626" s="36">
        <v>90</v>
      </c>
      <c r="U626" s="125" t="s">
        <v>118</v>
      </c>
      <c r="V626" s="147" t="s">
        <v>2594</v>
      </c>
      <c r="W626" s="129"/>
      <c r="X626" s="88">
        <v>43747</v>
      </c>
      <c r="Y626" s="130" t="s">
        <v>20</v>
      </c>
      <c r="Z626" s="133" t="s">
        <v>72</v>
      </c>
      <c r="AA626" s="133"/>
      <c r="AB626" s="148">
        <v>325</v>
      </c>
      <c r="AC626" s="134">
        <v>672</v>
      </c>
      <c r="AD626" s="134"/>
      <c r="AE626" s="403">
        <f t="shared" si="30"/>
        <v>218400</v>
      </c>
      <c r="AF626" s="132">
        <v>13</v>
      </c>
      <c r="AG626" s="130" t="s">
        <v>5</v>
      </c>
      <c r="AH626" s="130"/>
      <c r="AI626" s="130" t="s">
        <v>34</v>
      </c>
      <c r="AJ626" s="130"/>
      <c r="AK626" s="130"/>
      <c r="AL626" s="135" t="s">
        <v>2513</v>
      </c>
      <c r="AM626" s="314"/>
      <c r="AN626" s="26"/>
      <c r="AO626" s="26"/>
      <c r="AP626" s="26"/>
      <c r="AQ626" s="26">
        <v>43694</v>
      </c>
      <c r="AR626" s="24"/>
      <c r="AS626" s="24"/>
      <c r="AT626" s="24">
        <v>43696</v>
      </c>
      <c r="AU626" s="418">
        <f t="shared" si="31"/>
        <v>8</v>
      </c>
      <c r="AV626" s="418">
        <f t="shared" si="32"/>
        <v>2019</v>
      </c>
      <c r="AW626" s="24"/>
      <c r="AX626" s="28"/>
      <c r="AY626" s="28" t="s">
        <v>2550</v>
      </c>
      <c r="AZ626" s="132" t="s">
        <v>9</v>
      </c>
      <c r="BA626" s="132"/>
      <c r="BB626" s="24"/>
      <c r="BC626" s="135" t="s">
        <v>2595</v>
      </c>
      <c r="BD626" s="24">
        <v>43648</v>
      </c>
      <c r="BE626" s="135" t="s">
        <v>2596</v>
      </c>
      <c r="BF626" s="135" t="s">
        <v>2597</v>
      </c>
      <c r="BG626" s="135" t="s">
        <v>14</v>
      </c>
      <c r="BH626" s="135"/>
      <c r="BI626" s="314"/>
      <c r="BJ626" s="314"/>
      <c r="BK626" s="24"/>
      <c r="BL626" s="24"/>
      <c r="BM626" s="24"/>
      <c r="BN626" s="24"/>
      <c r="BO626" s="24"/>
      <c r="BP626" s="24"/>
      <c r="BQ626" s="24"/>
      <c r="BR626" s="43"/>
      <c r="BS626" s="24"/>
      <c r="BT626" s="24"/>
      <c r="BU626" s="24"/>
      <c r="BV626" s="132" t="e">
        <f>IF(#REF!="COMPLETO","OK","PENDIENTES")</f>
        <v>#REF!</v>
      </c>
      <c r="BW626" s="132"/>
      <c r="BX626" s="132"/>
      <c r="BY626" s="132"/>
      <c r="BZ626" s="132"/>
      <c r="CA626" s="132"/>
      <c r="CB626" s="132"/>
      <c r="CC626" s="22"/>
      <c r="CG626" s="24" t="s">
        <v>105</v>
      </c>
      <c r="CH626" s="24"/>
      <c r="CI626" s="24"/>
      <c r="CJ626" s="24"/>
    </row>
    <row r="627" spans="1:88" ht="15" customHeight="1">
      <c r="A627" s="18">
        <v>2019</v>
      </c>
      <c r="B627" s="18" t="str">
        <f>+INDEX(BDD!F:F,MATCH(P627,BDD!D:D,0))&amp;"-"&amp;INDEX(BDD!E:E,MATCH(P627,BDD!D:D,0))</f>
        <v>E-S</v>
      </c>
      <c r="C627" s="125" t="s">
        <v>484</v>
      </c>
      <c r="D627" s="150" t="s">
        <v>77</v>
      </c>
      <c r="E627" s="132"/>
      <c r="F627" s="24"/>
      <c r="G627" s="346">
        <v>8000000498</v>
      </c>
      <c r="H627" s="125" t="s">
        <v>2598</v>
      </c>
      <c r="I627" s="329"/>
      <c r="J627" s="346">
        <v>8000000498</v>
      </c>
      <c r="K627" s="24"/>
      <c r="L627" s="24"/>
      <c r="M627" s="24"/>
      <c r="N627" s="340" t="s">
        <v>486</v>
      </c>
      <c r="O627" s="334">
        <v>204826</v>
      </c>
      <c r="P627" s="25" t="s">
        <v>351</v>
      </c>
      <c r="Q627" s="127" t="s">
        <v>252</v>
      </c>
      <c r="R627" s="128" t="s">
        <v>2599</v>
      </c>
      <c r="S627" s="89">
        <v>43606</v>
      </c>
      <c r="T627" s="36" t="s">
        <v>19</v>
      </c>
      <c r="U627" s="125"/>
      <c r="V627" s="147" t="s">
        <v>2600</v>
      </c>
      <c r="W627" s="129"/>
      <c r="X627" s="88">
        <v>43642</v>
      </c>
      <c r="Y627" s="130" t="s">
        <v>20</v>
      </c>
      <c r="Z627" s="133" t="s">
        <v>60</v>
      </c>
      <c r="AA627" s="133"/>
      <c r="AB627" s="148">
        <v>115.2</v>
      </c>
      <c r="AC627" s="134">
        <v>325</v>
      </c>
      <c r="AD627" s="134"/>
      <c r="AE627" s="403">
        <f t="shared" si="30"/>
        <v>37440</v>
      </c>
      <c r="AF627" s="132">
        <v>4</v>
      </c>
      <c r="AG627" s="130" t="s">
        <v>21</v>
      </c>
      <c r="AH627" s="130"/>
      <c r="AI627" s="130" t="s">
        <v>71</v>
      </c>
      <c r="AJ627" s="130"/>
      <c r="AK627" s="130"/>
      <c r="AL627" s="135" t="s">
        <v>2513</v>
      </c>
      <c r="AM627" s="314"/>
      <c r="AN627" s="26"/>
      <c r="AO627" s="26"/>
      <c r="AP627" s="26"/>
      <c r="AQ627" s="26">
        <v>43676</v>
      </c>
      <c r="AR627" s="24"/>
      <c r="AS627" s="24"/>
      <c r="AT627" s="24">
        <v>43679</v>
      </c>
      <c r="AU627" s="418">
        <f t="shared" si="31"/>
        <v>8</v>
      </c>
      <c r="AV627" s="418">
        <f t="shared" si="32"/>
        <v>2019</v>
      </c>
      <c r="AW627" s="24"/>
      <c r="AX627" s="28"/>
      <c r="AY627" s="28" t="s">
        <v>281</v>
      </c>
      <c r="AZ627" s="132" t="s">
        <v>37</v>
      </c>
      <c r="BA627" s="132"/>
      <c r="BB627" s="24"/>
      <c r="BC627" s="135" t="s">
        <v>2601</v>
      </c>
      <c r="BD627" s="24">
        <v>43640</v>
      </c>
      <c r="BE627" s="135" t="s">
        <v>2602</v>
      </c>
      <c r="BF627" s="135" t="s">
        <v>2603</v>
      </c>
      <c r="BG627" s="135" t="s">
        <v>41</v>
      </c>
      <c r="BH627" s="135"/>
      <c r="BI627" s="314"/>
      <c r="BJ627" s="314"/>
      <c r="BK627" s="24"/>
      <c r="BL627" s="24"/>
      <c r="BM627" s="24"/>
      <c r="BN627" s="24"/>
      <c r="BO627" s="24">
        <f>+AQ627+14</f>
        <v>43690</v>
      </c>
      <c r="BP627" s="24"/>
      <c r="BQ627" s="24"/>
      <c r="BR627" s="43"/>
      <c r="BS627" s="24"/>
      <c r="BT627" s="24"/>
      <c r="BU627" s="24"/>
      <c r="BV627" s="132" t="e">
        <f>IF(#REF!="COMPLETO","OK","PENDIENTES")</f>
        <v>#REF!</v>
      </c>
      <c r="BW627" s="132"/>
      <c r="BX627" s="132"/>
      <c r="BY627" s="132"/>
      <c r="BZ627" s="132"/>
      <c r="CA627" s="132"/>
      <c r="CB627" s="132"/>
      <c r="CC627" s="22"/>
      <c r="CG627" s="24" t="s">
        <v>105</v>
      </c>
      <c r="CH627" s="24"/>
      <c r="CI627" s="24"/>
      <c r="CJ627" s="24"/>
    </row>
    <row r="628" spans="1:88" ht="15" customHeight="1">
      <c r="A628" s="18">
        <v>2019</v>
      </c>
      <c r="B628" s="18" t="str">
        <f>+INDEX(BDD!F:F,MATCH(P628,BDD!D:D,0))&amp;"-"&amp;INDEX(BDD!E:E,MATCH(P628,BDD!D:D,0))</f>
        <v>G-C</v>
      </c>
      <c r="C628" s="125" t="s">
        <v>484</v>
      </c>
      <c r="D628" s="150" t="s">
        <v>77</v>
      </c>
      <c r="E628" s="132"/>
      <c r="F628" s="24"/>
      <c r="G628" s="346">
        <v>8000000477</v>
      </c>
      <c r="H628" s="125" t="s">
        <v>2604</v>
      </c>
      <c r="I628" s="329"/>
      <c r="J628" s="346">
        <v>8000000477</v>
      </c>
      <c r="K628" s="24"/>
      <c r="L628" s="24"/>
      <c r="M628" s="24"/>
      <c r="N628" s="340" t="s">
        <v>486</v>
      </c>
      <c r="O628" s="334">
        <v>206573</v>
      </c>
      <c r="P628" s="25" t="s">
        <v>226</v>
      </c>
      <c r="Q628" s="127" t="s">
        <v>291</v>
      </c>
      <c r="R628" s="232" t="s">
        <v>2605</v>
      </c>
      <c r="S628" s="89">
        <v>43600</v>
      </c>
      <c r="T628" s="36">
        <v>150</v>
      </c>
      <c r="U628" s="125" t="s">
        <v>118</v>
      </c>
      <c r="V628" s="147" t="s">
        <v>2606</v>
      </c>
      <c r="W628" s="129"/>
      <c r="X628" s="88">
        <v>43781</v>
      </c>
      <c r="Y628" s="130" t="s">
        <v>20</v>
      </c>
      <c r="Z628" s="133" t="s">
        <v>60</v>
      </c>
      <c r="AA628" s="133"/>
      <c r="AB628" s="148">
        <v>400</v>
      </c>
      <c r="AC628" s="134">
        <v>260.7</v>
      </c>
      <c r="AD628" s="134"/>
      <c r="AE628" s="403">
        <f t="shared" si="30"/>
        <v>104280</v>
      </c>
      <c r="AF628" s="132" t="s">
        <v>944</v>
      </c>
      <c r="AG628" s="130" t="s">
        <v>46</v>
      </c>
      <c r="AH628" s="130"/>
      <c r="AI628" s="130" t="s">
        <v>100</v>
      </c>
      <c r="AJ628" s="130"/>
      <c r="AK628" s="130"/>
      <c r="AL628" s="135" t="s">
        <v>2513</v>
      </c>
      <c r="AM628" s="314"/>
      <c r="AN628" s="26"/>
      <c r="AO628" s="26"/>
      <c r="AP628" s="26"/>
      <c r="AQ628" s="26">
        <v>43661</v>
      </c>
      <c r="AR628" s="24"/>
      <c r="AS628" s="24"/>
      <c r="AT628" s="24">
        <v>43661</v>
      </c>
      <c r="AU628" s="418">
        <f t="shared" si="31"/>
        <v>7</v>
      </c>
      <c r="AV628" s="418">
        <f t="shared" si="32"/>
        <v>2019</v>
      </c>
      <c r="AW628" s="24"/>
      <c r="AX628" s="28"/>
      <c r="AY628" s="28" t="s">
        <v>269</v>
      </c>
      <c r="AZ628" s="132" t="s">
        <v>9</v>
      </c>
      <c r="BA628" s="132"/>
      <c r="BB628" s="24"/>
      <c r="BC628" s="135">
        <v>11</v>
      </c>
      <c r="BD628" s="24">
        <v>43630</v>
      </c>
      <c r="BE628" s="135" t="s">
        <v>2607</v>
      </c>
      <c r="BF628" s="135" t="s">
        <v>2607</v>
      </c>
      <c r="BG628" s="135" t="s">
        <v>52</v>
      </c>
      <c r="BH628" s="135"/>
      <c r="BI628" s="314"/>
      <c r="BJ628" s="314"/>
      <c r="BK628" s="24"/>
      <c r="BL628" s="24"/>
      <c r="BM628" s="24"/>
      <c r="BN628" s="24"/>
      <c r="BO628" s="24"/>
      <c r="BP628" s="24"/>
      <c r="BQ628" s="24"/>
      <c r="BR628" s="43"/>
      <c r="BS628" s="24"/>
      <c r="BT628" s="24"/>
      <c r="BU628" s="24"/>
      <c r="BV628" s="132" t="e">
        <f>IF(#REF!="COMPLETO","OK","PENDIENTES")</f>
        <v>#REF!</v>
      </c>
      <c r="BW628" s="132"/>
      <c r="BX628" s="132"/>
      <c r="BY628" s="132"/>
      <c r="BZ628" s="132"/>
      <c r="CA628" s="132"/>
      <c r="CB628" s="132"/>
      <c r="CC628" s="22"/>
      <c r="CG628" s="24" t="s">
        <v>105</v>
      </c>
      <c r="CH628" s="24"/>
      <c r="CI628" s="24"/>
      <c r="CJ628" s="24"/>
    </row>
    <row r="629" spans="1:88" ht="15" customHeight="1">
      <c r="A629" s="18">
        <v>2019</v>
      </c>
      <c r="B629" s="18" t="str">
        <f>+INDEX(BDD!F:F,MATCH(P629,BDD!D:D,0))&amp;"-"&amp;INDEX(BDD!E:E,MATCH(P629,BDD!D:D,0))</f>
        <v>G-C</v>
      </c>
      <c r="C629" s="125" t="s">
        <v>484</v>
      </c>
      <c r="D629" s="150" t="s">
        <v>77</v>
      </c>
      <c r="E629" s="132"/>
      <c r="F629" s="24"/>
      <c r="G629" s="346">
        <v>8000000478</v>
      </c>
      <c r="H629" s="125" t="s">
        <v>2608</v>
      </c>
      <c r="I629" s="329"/>
      <c r="J629" s="346">
        <v>8000000478</v>
      </c>
      <c r="K629" s="24"/>
      <c r="L629" s="24"/>
      <c r="M629" s="24"/>
      <c r="N629" s="340" t="s">
        <v>486</v>
      </c>
      <c r="O629" s="334">
        <v>206573</v>
      </c>
      <c r="P629" s="25" t="s">
        <v>226</v>
      </c>
      <c r="Q629" s="127" t="s">
        <v>291</v>
      </c>
      <c r="R629" s="232" t="s">
        <v>2605</v>
      </c>
      <c r="S629" s="89">
        <v>43600</v>
      </c>
      <c r="T629" s="36">
        <v>150</v>
      </c>
      <c r="U629" s="125" t="s">
        <v>118</v>
      </c>
      <c r="V629" s="147" t="s">
        <v>2609</v>
      </c>
      <c r="W629" s="129"/>
      <c r="X629" s="88">
        <v>43781</v>
      </c>
      <c r="Y629" s="130" t="s">
        <v>20</v>
      </c>
      <c r="Z629" s="133" t="s">
        <v>60</v>
      </c>
      <c r="AA629" s="133"/>
      <c r="AB629" s="148">
        <v>1600</v>
      </c>
      <c r="AC629" s="134">
        <v>260.7</v>
      </c>
      <c r="AD629" s="134"/>
      <c r="AE629" s="403">
        <f t="shared" si="30"/>
        <v>417120</v>
      </c>
      <c r="AF629" s="132" t="s">
        <v>944</v>
      </c>
      <c r="AG629" s="130" t="s">
        <v>46</v>
      </c>
      <c r="AH629" s="130"/>
      <c r="AI629" s="130" t="s">
        <v>100</v>
      </c>
      <c r="AJ629" s="130"/>
      <c r="AK629" s="130"/>
      <c r="AL629" s="135" t="s">
        <v>2513</v>
      </c>
      <c r="AM629" s="314"/>
      <c r="AN629" s="26"/>
      <c r="AO629" s="26"/>
      <c r="AP629" s="26"/>
      <c r="AQ629" s="26">
        <f>+AQ628+2</f>
        <v>43663</v>
      </c>
      <c r="AR629" s="24"/>
      <c r="AS629" s="24"/>
      <c r="AT629" s="24">
        <v>43664</v>
      </c>
      <c r="AU629" s="418">
        <f t="shared" si="31"/>
        <v>7</v>
      </c>
      <c r="AV629" s="418">
        <f t="shared" si="32"/>
        <v>2019</v>
      </c>
      <c r="AW629" s="24"/>
      <c r="AX629" s="28"/>
      <c r="AY629" s="28" t="s">
        <v>269</v>
      </c>
      <c r="AZ629" s="132" t="s">
        <v>25</v>
      </c>
      <c r="BA629" s="132"/>
      <c r="BB629" s="24"/>
      <c r="BC629" s="135">
        <v>12</v>
      </c>
      <c r="BD629" s="24">
        <v>43630</v>
      </c>
      <c r="BE629" s="135" t="s">
        <v>2607</v>
      </c>
      <c r="BF629" s="135" t="s">
        <v>2607</v>
      </c>
      <c r="BG629" s="135" t="s">
        <v>52</v>
      </c>
      <c r="BH629" s="135"/>
      <c r="BI629" s="314"/>
      <c r="BJ629" s="314"/>
      <c r="BK629" s="24"/>
      <c r="BL629" s="24"/>
      <c r="BM629" s="24"/>
      <c r="BN629" s="24"/>
      <c r="BO629" s="24"/>
      <c r="BP629" s="24"/>
      <c r="BQ629" s="24"/>
      <c r="BR629" s="43"/>
      <c r="BS629" s="24"/>
      <c r="BT629" s="24"/>
      <c r="BU629" s="24"/>
      <c r="BV629" s="132" t="e">
        <f>IF(#REF!="COMPLETO","OK","PENDIENTES")</f>
        <v>#REF!</v>
      </c>
      <c r="BW629" s="132"/>
      <c r="BX629" s="132"/>
      <c r="BY629" s="132"/>
      <c r="BZ629" s="132"/>
      <c r="CA629" s="132"/>
      <c r="CB629" s="132"/>
      <c r="CC629" s="22"/>
      <c r="CG629" s="24" t="s">
        <v>105</v>
      </c>
      <c r="CH629" s="24"/>
      <c r="CI629" s="24"/>
      <c r="CJ629" s="24"/>
    </row>
    <row r="630" spans="1:88" ht="15" customHeight="1">
      <c r="A630" s="18">
        <v>2019</v>
      </c>
      <c r="B630" s="18" t="str">
        <f>+INDEX(BDD!F:F,MATCH(P630,BDD!D:D,0))&amp;"-"&amp;INDEX(BDD!E:E,MATCH(P630,BDD!D:D,0))</f>
        <v>G-C</v>
      </c>
      <c r="C630" s="125" t="s">
        <v>484</v>
      </c>
      <c r="D630" s="150" t="s">
        <v>77</v>
      </c>
      <c r="E630" s="132"/>
      <c r="F630" s="24"/>
      <c r="G630" s="346">
        <v>8000000479</v>
      </c>
      <c r="H630" s="125" t="s">
        <v>2610</v>
      </c>
      <c r="I630" s="329"/>
      <c r="J630" s="346">
        <v>8000000479</v>
      </c>
      <c r="K630" s="24"/>
      <c r="L630" s="24"/>
      <c r="M630" s="24"/>
      <c r="N630" s="340" t="s">
        <v>486</v>
      </c>
      <c r="O630" s="334">
        <v>206573</v>
      </c>
      <c r="P630" s="25" t="s">
        <v>226</v>
      </c>
      <c r="Q630" s="127" t="s">
        <v>291</v>
      </c>
      <c r="R630" s="232" t="s">
        <v>2605</v>
      </c>
      <c r="S630" s="89">
        <v>43600</v>
      </c>
      <c r="T630" s="36">
        <v>150</v>
      </c>
      <c r="U630" s="125" t="s">
        <v>118</v>
      </c>
      <c r="V630" s="147" t="s">
        <v>2611</v>
      </c>
      <c r="W630" s="129"/>
      <c r="X630" s="88">
        <v>43781</v>
      </c>
      <c r="Y630" s="130" t="s">
        <v>20</v>
      </c>
      <c r="Z630" s="133" t="s">
        <v>60</v>
      </c>
      <c r="AA630" s="133"/>
      <c r="AB630" s="148">
        <v>800</v>
      </c>
      <c r="AC630" s="134">
        <v>260.7</v>
      </c>
      <c r="AD630" s="134"/>
      <c r="AE630" s="403">
        <f t="shared" si="30"/>
        <v>208560</v>
      </c>
      <c r="AF630" s="132" t="s">
        <v>944</v>
      </c>
      <c r="AG630" s="130" t="s">
        <v>46</v>
      </c>
      <c r="AH630" s="130"/>
      <c r="AI630" s="130" t="s">
        <v>100</v>
      </c>
      <c r="AJ630" s="130"/>
      <c r="AK630" s="130"/>
      <c r="AL630" s="135" t="s">
        <v>2513</v>
      </c>
      <c r="AM630" s="314"/>
      <c r="AN630" s="26"/>
      <c r="AO630" s="26"/>
      <c r="AP630" s="26"/>
      <c r="AQ630" s="26">
        <f>+AQ629+2</f>
        <v>43665</v>
      </c>
      <c r="AR630" s="24"/>
      <c r="AS630" s="24"/>
      <c r="AT630" s="24">
        <v>43673</v>
      </c>
      <c r="AU630" s="418">
        <f t="shared" si="31"/>
        <v>7</v>
      </c>
      <c r="AV630" s="418">
        <f t="shared" si="32"/>
        <v>2019</v>
      </c>
      <c r="AW630" s="24"/>
      <c r="AX630" s="28"/>
      <c r="AY630" s="28" t="s">
        <v>269</v>
      </c>
      <c r="AZ630" s="132" t="s">
        <v>37</v>
      </c>
      <c r="BA630" s="132"/>
      <c r="BB630" s="24"/>
      <c r="BC630" s="135">
        <v>13</v>
      </c>
      <c r="BD630" s="24">
        <v>43630</v>
      </c>
      <c r="BE630" s="135" t="s">
        <v>2607</v>
      </c>
      <c r="BF630" s="135" t="s">
        <v>2607</v>
      </c>
      <c r="BG630" s="135" t="s">
        <v>52</v>
      </c>
      <c r="BH630" s="135"/>
      <c r="BI630" s="314"/>
      <c r="BJ630" s="314"/>
      <c r="BK630" s="24"/>
      <c r="BL630" s="24"/>
      <c r="BM630" s="24"/>
      <c r="BN630" s="24"/>
      <c r="BO630" s="24"/>
      <c r="BP630" s="24"/>
      <c r="BQ630" s="24"/>
      <c r="BR630" s="43"/>
      <c r="BS630" s="24"/>
      <c r="BT630" s="24"/>
      <c r="BU630" s="24"/>
      <c r="BV630" s="132" t="e">
        <f>IF(#REF!="COMPLETO","OK","PENDIENTES")</f>
        <v>#REF!</v>
      </c>
      <c r="BW630" s="132"/>
      <c r="BX630" s="132"/>
      <c r="BY630" s="132"/>
      <c r="BZ630" s="132"/>
      <c r="CA630" s="132"/>
      <c r="CB630" s="132"/>
      <c r="CC630" s="22"/>
      <c r="CG630" s="24" t="s">
        <v>105</v>
      </c>
      <c r="CH630" s="24"/>
      <c r="CI630" s="24"/>
      <c r="CJ630" s="24"/>
    </row>
    <row r="631" spans="1:88" ht="14.25" customHeight="1">
      <c r="A631" s="18">
        <v>2019</v>
      </c>
      <c r="B631" s="18" t="str">
        <f>+INDEX(BDD!F:F,MATCH(P631,BDD!D:D,0))&amp;"-"&amp;INDEX(BDD!E:E,MATCH(P631,BDD!D:D,0))</f>
        <v>G-C</v>
      </c>
      <c r="C631" s="125" t="s">
        <v>484</v>
      </c>
      <c r="D631" s="150" t="s">
        <v>77</v>
      </c>
      <c r="E631" s="132"/>
      <c r="F631" s="24"/>
      <c r="G631" s="346">
        <v>8000000480</v>
      </c>
      <c r="H631" s="125" t="s">
        <v>2612</v>
      </c>
      <c r="I631" s="329"/>
      <c r="J631" s="346">
        <v>8000000480</v>
      </c>
      <c r="K631" s="24"/>
      <c r="L631" s="24"/>
      <c r="M631" s="24"/>
      <c r="N631" s="340" t="s">
        <v>486</v>
      </c>
      <c r="O631" s="334">
        <v>206573</v>
      </c>
      <c r="P631" s="25" t="s">
        <v>226</v>
      </c>
      <c r="Q631" s="127" t="s">
        <v>291</v>
      </c>
      <c r="R631" s="232" t="s">
        <v>2605</v>
      </c>
      <c r="S631" s="89">
        <v>43600</v>
      </c>
      <c r="T631" s="36">
        <v>150</v>
      </c>
      <c r="U631" s="125" t="s">
        <v>118</v>
      </c>
      <c r="V631" s="147" t="s">
        <v>2613</v>
      </c>
      <c r="W631" s="129"/>
      <c r="X631" s="88">
        <v>43781</v>
      </c>
      <c r="Y631" s="130" t="s">
        <v>20</v>
      </c>
      <c r="Z631" s="133" t="s">
        <v>60</v>
      </c>
      <c r="AA631" s="133"/>
      <c r="AB631" s="148">
        <v>500</v>
      </c>
      <c r="AC631" s="134">
        <v>260.7</v>
      </c>
      <c r="AD631" s="134"/>
      <c r="AE631" s="403">
        <f t="shared" si="30"/>
        <v>130350</v>
      </c>
      <c r="AF631" s="132" t="s">
        <v>944</v>
      </c>
      <c r="AG631" s="130" t="s">
        <v>46</v>
      </c>
      <c r="AH631" s="130"/>
      <c r="AI631" s="130" t="s">
        <v>100</v>
      </c>
      <c r="AJ631" s="130"/>
      <c r="AK631" s="130"/>
      <c r="AL631" s="135" t="s">
        <v>2513</v>
      </c>
      <c r="AM631" s="314"/>
      <c r="AN631" s="26"/>
      <c r="AO631" s="26"/>
      <c r="AP631" s="26"/>
      <c r="AQ631" s="26">
        <f>+AQ630+3</f>
        <v>43668</v>
      </c>
      <c r="AR631" s="24"/>
      <c r="AS631" s="24"/>
      <c r="AT631" s="24">
        <v>43671</v>
      </c>
      <c r="AU631" s="418">
        <f t="shared" si="31"/>
        <v>7</v>
      </c>
      <c r="AV631" s="418">
        <f t="shared" si="32"/>
        <v>2019</v>
      </c>
      <c r="AW631" s="24"/>
      <c r="AX631" s="28"/>
      <c r="AY631" s="28" t="s">
        <v>269</v>
      </c>
      <c r="AZ631" s="132" t="s">
        <v>50</v>
      </c>
      <c r="BA631" s="132"/>
      <c r="BB631" s="24"/>
      <c r="BC631" s="135">
        <v>14</v>
      </c>
      <c r="BD631" s="24">
        <v>43630</v>
      </c>
      <c r="BE631" s="135" t="s">
        <v>2607</v>
      </c>
      <c r="BF631" s="135" t="s">
        <v>2607</v>
      </c>
      <c r="BG631" s="135" t="s">
        <v>52</v>
      </c>
      <c r="BH631" s="135"/>
      <c r="BI631" s="314"/>
      <c r="BJ631" s="314"/>
      <c r="BK631" s="24"/>
      <c r="BL631" s="24"/>
      <c r="BM631" s="24"/>
      <c r="BN631" s="24"/>
      <c r="BO631" s="24"/>
      <c r="BP631" s="24"/>
      <c r="BQ631" s="24"/>
      <c r="BR631" s="43"/>
      <c r="BS631" s="24"/>
      <c r="BT631" s="24"/>
      <c r="BU631" s="24"/>
      <c r="BV631" s="132" t="e">
        <f>IF(#REF!="COMPLETO","OK","PENDIENTES")</f>
        <v>#REF!</v>
      </c>
      <c r="BW631" s="132"/>
      <c r="BX631" s="132"/>
      <c r="BY631" s="132"/>
      <c r="BZ631" s="132"/>
      <c r="CA631" s="132"/>
      <c r="CB631" s="132"/>
      <c r="CC631" s="22"/>
      <c r="CG631" s="24" t="s">
        <v>105</v>
      </c>
      <c r="CH631" s="24"/>
      <c r="CI631" s="24"/>
      <c r="CJ631" s="24"/>
    </row>
    <row r="632" spans="1:88" ht="15" customHeight="1">
      <c r="A632" s="18">
        <v>2019</v>
      </c>
      <c r="B632" s="18" t="str">
        <f>+INDEX(BDD!F:F,MATCH(P632,BDD!D:D,0))&amp;"-"&amp;INDEX(BDD!E:E,MATCH(P632,BDD!D:D,0))</f>
        <v>G-C</v>
      </c>
      <c r="C632" s="125" t="s">
        <v>484</v>
      </c>
      <c r="D632" s="150" t="s">
        <v>77</v>
      </c>
      <c r="E632" s="132"/>
      <c r="F632" s="24"/>
      <c r="G632" s="346">
        <v>8000000481</v>
      </c>
      <c r="H632" s="125" t="s">
        <v>2614</v>
      </c>
      <c r="I632" s="329"/>
      <c r="J632" s="346">
        <v>8000000481</v>
      </c>
      <c r="K632" s="24"/>
      <c r="L632" s="24"/>
      <c r="M632" s="24"/>
      <c r="N632" s="340" t="s">
        <v>486</v>
      </c>
      <c r="O632" s="334">
        <v>206573</v>
      </c>
      <c r="P632" s="25" t="s">
        <v>226</v>
      </c>
      <c r="Q632" s="127" t="s">
        <v>291</v>
      </c>
      <c r="R632" s="232" t="s">
        <v>2605</v>
      </c>
      <c r="S632" s="89">
        <v>43600</v>
      </c>
      <c r="T632" s="36">
        <v>150</v>
      </c>
      <c r="U632" s="125" t="s">
        <v>118</v>
      </c>
      <c r="V632" s="147" t="s">
        <v>2615</v>
      </c>
      <c r="W632" s="129"/>
      <c r="X632" s="88">
        <v>43781</v>
      </c>
      <c r="Y632" s="130" t="s">
        <v>20</v>
      </c>
      <c r="Z632" s="133" t="s">
        <v>60</v>
      </c>
      <c r="AA632" s="133"/>
      <c r="AB632" s="148">
        <v>500</v>
      </c>
      <c r="AC632" s="134">
        <v>260.7</v>
      </c>
      <c r="AD632" s="134"/>
      <c r="AE632" s="403">
        <f t="shared" si="30"/>
        <v>130350</v>
      </c>
      <c r="AF632" s="132" t="s">
        <v>944</v>
      </c>
      <c r="AG632" s="130" t="s">
        <v>46</v>
      </c>
      <c r="AH632" s="130"/>
      <c r="AI632" s="130" t="s">
        <v>100</v>
      </c>
      <c r="AJ632" s="130"/>
      <c r="AK632" s="130"/>
      <c r="AL632" s="135" t="s">
        <v>2513</v>
      </c>
      <c r="AM632" s="314"/>
      <c r="AN632" s="26"/>
      <c r="AO632" s="26"/>
      <c r="AP632" s="26"/>
      <c r="AQ632" s="26">
        <v>43672</v>
      </c>
      <c r="AR632" s="24"/>
      <c r="AS632" s="24"/>
      <c r="AT632" s="24">
        <v>43681</v>
      </c>
      <c r="AU632" s="418">
        <f t="shared" si="31"/>
        <v>8</v>
      </c>
      <c r="AV632" s="418">
        <f t="shared" si="32"/>
        <v>2019</v>
      </c>
      <c r="AW632" s="24"/>
      <c r="AX632" s="28"/>
      <c r="AY632" s="28" t="s">
        <v>269</v>
      </c>
      <c r="AZ632" s="132" t="s">
        <v>50</v>
      </c>
      <c r="BA632" s="132"/>
      <c r="BB632" s="24"/>
      <c r="BC632" s="135">
        <v>15</v>
      </c>
      <c r="BD632" s="24">
        <v>43630</v>
      </c>
      <c r="BE632" s="135" t="s">
        <v>2607</v>
      </c>
      <c r="BF632" s="135" t="s">
        <v>2607</v>
      </c>
      <c r="BG632" s="135" t="s">
        <v>52</v>
      </c>
      <c r="BH632" s="135"/>
      <c r="BI632" s="314"/>
      <c r="BJ632" s="314"/>
      <c r="BK632" s="24"/>
      <c r="BL632" s="24"/>
      <c r="BM632" s="24"/>
      <c r="BN632" s="24"/>
      <c r="BO632" s="24"/>
      <c r="BP632" s="24"/>
      <c r="BQ632" s="24"/>
      <c r="BR632" s="43"/>
      <c r="BS632" s="24"/>
      <c r="BT632" s="24"/>
      <c r="BU632" s="24"/>
      <c r="BV632" s="132" t="e">
        <f>IF(#REF!="COMPLETO","OK","PENDIENTES")</f>
        <v>#REF!</v>
      </c>
      <c r="BW632" s="132"/>
      <c r="BX632" s="132"/>
      <c r="BY632" s="132"/>
      <c r="BZ632" s="132"/>
      <c r="CA632" s="132"/>
      <c r="CB632" s="132"/>
      <c r="CC632" s="22"/>
      <c r="CG632" s="24" t="s">
        <v>105</v>
      </c>
      <c r="CH632" s="24"/>
      <c r="CI632" s="24"/>
      <c r="CJ632" s="24"/>
    </row>
    <row r="633" spans="1:88" ht="15" customHeight="1">
      <c r="A633" s="18">
        <v>2019</v>
      </c>
      <c r="B633" s="18" t="str">
        <f>+INDEX(BDD!F:F,MATCH(P633,BDD!D:D,0))&amp;"-"&amp;INDEX(BDD!E:E,MATCH(P633,BDD!D:D,0))</f>
        <v>G-S</v>
      </c>
      <c r="C633" s="360" t="s">
        <v>484</v>
      </c>
      <c r="D633" s="150" t="s">
        <v>77</v>
      </c>
      <c r="E633" s="132"/>
      <c r="F633" s="24"/>
      <c r="G633" s="346">
        <v>8000000502</v>
      </c>
      <c r="H633" s="220" t="s">
        <v>2616</v>
      </c>
      <c r="I633" s="329"/>
      <c r="J633" s="346">
        <v>8000000502</v>
      </c>
      <c r="K633" s="24"/>
      <c r="L633" s="24"/>
      <c r="M633" s="24"/>
      <c r="N633" s="340" t="s">
        <v>486</v>
      </c>
      <c r="O633" s="334">
        <v>208300</v>
      </c>
      <c r="P633" s="25" t="s">
        <v>332</v>
      </c>
      <c r="Q633" s="127" t="s">
        <v>213</v>
      </c>
      <c r="R633" s="232" t="s">
        <v>2617</v>
      </c>
      <c r="S633" s="89">
        <v>43608</v>
      </c>
      <c r="T633" s="36">
        <v>90</v>
      </c>
      <c r="U633" s="125" t="s">
        <v>118</v>
      </c>
      <c r="V633" s="147" t="s">
        <v>2618</v>
      </c>
      <c r="W633" s="129"/>
      <c r="X633" s="88">
        <v>43725</v>
      </c>
      <c r="Y633" s="130" t="s">
        <v>20</v>
      </c>
      <c r="Z633" s="133" t="s">
        <v>60</v>
      </c>
      <c r="AA633" s="133"/>
      <c r="AB633" s="148">
        <v>330</v>
      </c>
      <c r="AC633" s="134">
        <f>(198*(0.06/360*90))+198</f>
        <v>200.97</v>
      </c>
      <c r="AD633" s="134"/>
      <c r="AE633" s="403">
        <f t="shared" si="30"/>
        <v>66320.100000000006</v>
      </c>
      <c r="AF633" s="132" t="s">
        <v>944</v>
      </c>
      <c r="AG633" s="130" t="s">
        <v>58</v>
      </c>
      <c r="AH633" s="130"/>
      <c r="AI633" s="130" t="s">
        <v>71</v>
      </c>
      <c r="AJ633" s="130"/>
      <c r="AK633" s="130"/>
      <c r="AL633" s="135" t="s">
        <v>2619</v>
      </c>
      <c r="AM633" s="314"/>
      <c r="AN633" s="26"/>
      <c r="AO633" s="26"/>
      <c r="AP633" s="26"/>
      <c r="AQ633" s="26">
        <v>43686</v>
      </c>
      <c r="AR633" s="24"/>
      <c r="AS633" s="24"/>
      <c r="AT633" s="24">
        <v>43689</v>
      </c>
      <c r="AU633" s="418">
        <f t="shared" si="31"/>
        <v>8</v>
      </c>
      <c r="AV633" s="418">
        <f t="shared" si="32"/>
        <v>2019</v>
      </c>
      <c r="AW633" s="24"/>
      <c r="AX633" s="28"/>
      <c r="AY633" s="28" t="s">
        <v>290</v>
      </c>
      <c r="AZ633" s="132" t="s">
        <v>62</v>
      </c>
      <c r="BA633" s="132"/>
      <c r="BB633" s="24"/>
      <c r="BC633" s="135" t="s">
        <v>2620</v>
      </c>
      <c r="BD633" s="26">
        <v>43633</v>
      </c>
      <c r="BE633" s="135" t="s">
        <v>2591</v>
      </c>
      <c r="BF633" s="135" t="s">
        <v>2591</v>
      </c>
      <c r="BG633" s="135" t="s">
        <v>52</v>
      </c>
      <c r="BH633" s="135"/>
      <c r="BI633" s="314"/>
      <c r="BJ633" s="314"/>
      <c r="BK633" s="24"/>
      <c r="BL633" s="24"/>
      <c r="BM633" s="24"/>
      <c r="BN633" s="24"/>
      <c r="BO633" s="24"/>
      <c r="BP633" s="24"/>
      <c r="BQ633" s="24"/>
      <c r="BR633" s="43"/>
      <c r="BS633" s="24"/>
      <c r="BT633" s="24"/>
      <c r="BU633" s="24"/>
      <c r="BV633" s="132" t="e">
        <f>IF(#REF!="COMPLETO","OK","PENDIENTES")</f>
        <v>#REF!</v>
      </c>
      <c r="BW633" s="132"/>
      <c r="BX633" s="132"/>
      <c r="BY633" s="132"/>
      <c r="BZ633" s="132"/>
      <c r="CA633" s="132"/>
      <c r="CB633" s="132"/>
      <c r="CC633" s="22"/>
      <c r="CG633" s="24" t="s">
        <v>105</v>
      </c>
      <c r="CH633" s="24"/>
      <c r="CI633" s="24"/>
      <c r="CJ633" s="24"/>
    </row>
    <row r="634" spans="1:88" ht="15" customHeight="1">
      <c r="A634" s="18">
        <v>2019</v>
      </c>
      <c r="B634" s="18" t="str">
        <f>+INDEX(BDD!F:F,MATCH(P634,BDD!D:D,0))&amp;"-"&amp;INDEX(BDD!E:E,MATCH(P634,BDD!D:D,0))</f>
        <v>S-S</v>
      </c>
      <c r="C634" s="360" t="s">
        <v>484</v>
      </c>
      <c r="D634" s="150" t="s">
        <v>77</v>
      </c>
      <c r="E634" s="132"/>
      <c r="F634" s="24"/>
      <c r="G634" s="346">
        <v>8000000503</v>
      </c>
      <c r="H634" s="220" t="s">
        <v>2621</v>
      </c>
      <c r="I634" s="329"/>
      <c r="J634" s="346">
        <v>8000000503</v>
      </c>
      <c r="K634" s="24"/>
      <c r="L634" s="24"/>
      <c r="M634" s="24"/>
      <c r="N634" s="340" t="s">
        <v>486</v>
      </c>
      <c r="O634" s="334">
        <v>206971</v>
      </c>
      <c r="P634" s="25" t="s">
        <v>340</v>
      </c>
      <c r="Q634" s="127" t="s">
        <v>213</v>
      </c>
      <c r="R634" s="232" t="s">
        <v>2622</v>
      </c>
      <c r="S634" s="89">
        <v>43615</v>
      </c>
      <c r="T634" s="36">
        <v>90</v>
      </c>
      <c r="U634" s="125" t="s">
        <v>118</v>
      </c>
      <c r="V634" s="147" t="s">
        <v>2623</v>
      </c>
      <c r="W634" s="129"/>
      <c r="X634" s="88">
        <v>43747</v>
      </c>
      <c r="Y634" s="130" t="s">
        <v>20</v>
      </c>
      <c r="Z634" s="133" t="s">
        <v>60</v>
      </c>
      <c r="AA634" s="133"/>
      <c r="AB634" s="148">
        <v>320</v>
      </c>
      <c r="AC634" s="134">
        <v>534</v>
      </c>
      <c r="AD634" s="134"/>
      <c r="AE634" s="403">
        <f t="shared" si="30"/>
        <v>170880</v>
      </c>
      <c r="AF634" s="132" t="s">
        <v>944</v>
      </c>
      <c r="AG634" s="130" t="s">
        <v>58</v>
      </c>
      <c r="AH634" s="130"/>
      <c r="AI634" s="130" t="s">
        <v>34</v>
      </c>
      <c r="AJ634" s="130"/>
      <c r="AK634" s="130"/>
      <c r="AL634" s="135" t="s">
        <v>2513</v>
      </c>
      <c r="AM634" s="314"/>
      <c r="AN634" s="26"/>
      <c r="AO634" s="26"/>
      <c r="AP634" s="26"/>
      <c r="AQ634" s="26">
        <v>43686</v>
      </c>
      <c r="AR634" s="24"/>
      <c r="AS634" s="24"/>
      <c r="AT634" s="24">
        <v>43689</v>
      </c>
      <c r="AU634" s="418">
        <f t="shared" si="31"/>
        <v>8</v>
      </c>
      <c r="AV634" s="418">
        <f t="shared" si="32"/>
        <v>2019</v>
      </c>
      <c r="AW634" s="24"/>
      <c r="AX634" s="28"/>
      <c r="AY634" s="28" t="s">
        <v>95</v>
      </c>
      <c r="AZ634" s="132" t="s">
        <v>62</v>
      </c>
      <c r="BA634" s="132"/>
      <c r="BB634" s="24"/>
      <c r="BC634" s="135" t="s">
        <v>2624</v>
      </c>
      <c r="BD634" s="26">
        <v>43641</v>
      </c>
      <c r="BE634" s="135" t="s">
        <v>2591</v>
      </c>
      <c r="BF634" s="135" t="s">
        <v>2591</v>
      </c>
      <c r="BG634" s="135" t="s">
        <v>52</v>
      </c>
      <c r="BH634" s="135"/>
      <c r="BI634" s="314"/>
      <c r="BJ634" s="314"/>
      <c r="BK634" s="24"/>
      <c r="BL634" s="24"/>
      <c r="BM634" s="24"/>
      <c r="BN634" s="24"/>
      <c r="BO634" s="24"/>
      <c r="BP634" s="24"/>
      <c r="BQ634" s="24"/>
      <c r="BR634" s="43"/>
      <c r="BS634" s="24"/>
      <c r="BT634" s="24"/>
      <c r="BU634" s="24"/>
      <c r="BV634" s="132" t="e">
        <f>IF(#REF!="COMPLETO","OK","PENDIENTES")</f>
        <v>#REF!</v>
      </c>
      <c r="BW634" s="132"/>
      <c r="BX634" s="132"/>
      <c r="BY634" s="132"/>
      <c r="BZ634" s="132"/>
      <c r="CA634" s="132"/>
      <c r="CB634" s="132"/>
      <c r="CC634" s="22"/>
      <c r="CG634" s="24" t="s">
        <v>105</v>
      </c>
      <c r="CH634" s="24"/>
      <c r="CI634" s="24"/>
      <c r="CJ634" s="24"/>
    </row>
    <row r="635" spans="1:88" ht="15" customHeight="1">
      <c r="A635" s="18">
        <v>2019</v>
      </c>
      <c r="B635" s="18" t="str">
        <f>+INDEX(BDD!F:F,MATCH(P635,BDD!D:D,0))&amp;"-"&amp;INDEX(BDD!E:E,MATCH(P635,BDD!D:D,0))</f>
        <v>G-S</v>
      </c>
      <c r="C635" s="360" t="s">
        <v>484</v>
      </c>
      <c r="D635" s="150" t="s">
        <v>77</v>
      </c>
      <c r="E635" s="132"/>
      <c r="F635" s="24"/>
      <c r="G635" s="346">
        <v>8000000504</v>
      </c>
      <c r="H635" s="220" t="s">
        <v>2625</v>
      </c>
      <c r="I635" s="329"/>
      <c r="J635" s="346">
        <v>8000000504</v>
      </c>
      <c r="K635" s="24"/>
      <c r="L635" s="24"/>
      <c r="M635" s="24"/>
      <c r="N635" s="340" t="s">
        <v>486</v>
      </c>
      <c r="O635" s="334">
        <v>206599</v>
      </c>
      <c r="P635" s="25" t="s">
        <v>339</v>
      </c>
      <c r="Q635" s="127" t="s">
        <v>213</v>
      </c>
      <c r="R635" s="232" t="s">
        <v>2626</v>
      </c>
      <c r="S635" s="89">
        <v>43615</v>
      </c>
      <c r="T635" s="36">
        <v>90</v>
      </c>
      <c r="U635" s="125" t="s">
        <v>118</v>
      </c>
      <c r="V635" s="147" t="s">
        <v>2627</v>
      </c>
      <c r="W635" s="129"/>
      <c r="X635" s="88">
        <f>+BD635+T635</f>
        <v>43723</v>
      </c>
      <c r="Y635" s="130" t="s">
        <v>20</v>
      </c>
      <c r="Z635" s="133" t="s">
        <v>60</v>
      </c>
      <c r="AA635" s="133"/>
      <c r="AB635" s="148">
        <v>149.85</v>
      </c>
      <c r="AC635" s="134">
        <v>515</v>
      </c>
      <c r="AD635" s="134"/>
      <c r="AE635" s="403">
        <f t="shared" si="30"/>
        <v>77172.75</v>
      </c>
      <c r="AF635" s="132" t="s">
        <v>944</v>
      </c>
      <c r="AG635" s="130" t="s">
        <v>58</v>
      </c>
      <c r="AH635" s="130"/>
      <c r="AI635" s="130" t="s">
        <v>71</v>
      </c>
      <c r="AJ635" s="130"/>
      <c r="AK635" s="130"/>
      <c r="AL635" s="135" t="s">
        <v>2513</v>
      </c>
      <c r="AM635" s="314"/>
      <c r="AN635" s="26"/>
      <c r="AO635" s="26"/>
      <c r="AP635" s="26"/>
      <c r="AQ635" s="26">
        <v>43686</v>
      </c>
      <c r="AR635" s="24"/>
      <c r="AS635" s="24"/>
      <c r="AT635" s="24">
        <v>43689</v>
      </c>
      <c r="AU635" s="418">
        <f t="shared" si="31"/>
        <v>8</v>
      </c>
      <c r="AV635" s="418">
        <f t="shared" si="32"/>
        <v>2019</v>
      </c>
      <c r="AW635" s="24"/>
      <c r="AX635" s="28"/>
      <c r="AY635" s="28" t="s">
        <v>311</v>
      </c>
      <c r="AZ635" s="132" t="s">
        <v>62</v>
      </c>
      <c r="BA635" s="132"/>
      <c r="BB635" s="24"/>
      <c r="BC635" s="135" t="s">
        <v>2628</v>
      </c>
      <c r="BD635" s="26">
        <v>43633</v>
      </c>
      <c r="BE635" s="135" t="s">
        <v>2591</v>
      </c>
      <c r="BF635" s="135" t="s">
        <v>2591</v>
      </c>
      <c r="BG635" s="135" t="s">
        <v>52</v>
      </c>
      <c r="BH635" s="135"/>
      <c r="BI635" s="314"/>
      <c r="BJ635" s="314"/>
      <c r="BK635" s="24"/>
      <c r="BL635" s="24"/>
      <c r="BM635" s="24"/>
      <c r="BN635" s="24"/>
      <c r="BO635" s="24"/>
      <c r="BP635" s="24"/>
      <c r="BQ635" s="24"/>
      <c r="BR635" s="43"/>
      <c r="BS635" s="24"/>
      <c r="BT635" s="24"/>
      <c r="BU635" s="24"/>
      <c r="BV635" s="132" t="e">
        <f>IF(#REF!="COMPLETO","OK","PENDIENTES")</f>
        <v>#REF!</v>
      </c>
      <c r="BW635" s="132"/>
      <c r="BX635" s="132"/>
      <c r="BY635" s="132"/>
      <c r="BZ635" s="132"/>
      <c r="CA635" s="132"/>
      <c r="CB635" s="132"/>
      <c r="CC635" s="22"/>
      <c r="CG635" s="24" t="s">
        <v>105</v>
      </c>
      <c r="CH635" s="24"/>
      <c r="CI635" s="24"/>
      <c r="CJ635" s="24"/>
    </row>
    <row r="636" spans="1:88" ht="15" customHeight="1">
      <c r="A636" s="18">
        <v>2019</v>
      </c>
      <c r="B636" s="18" t="str">
        <f>+INDEX(BDD!F:F,MATCH(P636,BDD!D:D,0))&amp;"-"&amp;INDEX(BDD!E:E,MATCH(P636,BDD!D:D,0))</f>
        <v>S-S</v>
      </c>
      <c r="C636" s="360" t="s">
        <v>484</v>
      </c>
      <c r="D636" s="150" t="s">
        <v>77</v>
      </c>
      <c r="E636" s="132"/>
      <c r="F636" s="24"/>
      <c r="G636" s="346">
        <v>8000000494</v>
      </c>
      <c r="H636" s="220" t="s">
        <v>2629</v>
      </c>
      <c r="I636" s="329"/>
      <c r="J636" s="346">
        <v>8000000494</v>
      </c>
      <c r="K636" s="24"/>
      <c r="L636" s="24"/>
      <c r="M636" s="24"/>
      <c r="N636" s="340" t="s">
        <v>486</v>
      </c>
      <c r="O636" s="334">
        <v>206971</v>
      </c>
      <c r="P636" s="25" t="s">
        <v>340</v>
      </c>
      <c r="Q636" s="127" t="s">
        <v>213</v>
      </c>
      <c r="R636" s="232" t="s">
        <v>2630</v>
      </c>
      <c r="S636" s="89">
        <v>43615</v>
      </c>
      <c r="T636" s="36">
        <v>90</v>
      </c>
      <c r="U636" s="125" t="s">
        <v>118</v>
      </c>
      <c r="V636" s="147" t="s">
        <v>2631</v>
      </c>
      <c r="W636" s="129"/>
      <c r="X636" s="88">
        <v>43740</v>
      </c>
      <c r="Y636" s="130" t="s">
        <v>20</v>
      </c>
      <c r="Z636" s="133" t="s">
        <v>72</v>
      </c>
      <c r="AA636" s="133"/>
      <c r="AB636" s="148">
        <v>600</v>
      </c>
      <c r="AC636" s="240">
        <f>(521*(0.06/360*90))+521</f>
        <v>528.81500000000005</v>
      </c>
      <c r="AD636" s="240"/>
      <c r="AE636" s="403">
        <f t="shared" si="30"/>
        <v>317289.00000000006</v>
      </c>
      <c r="AF636" s="132">
        <v>24</v>
      </c>
      <c r="AG636" s="130" t="s">
        <v>5</v>
      </c>
      <c r="AH636" s="130"/>
      <c r="AI636" s="130" t="s">
        <v>34</v>
      </c>
      <c r="AJ636" s="130"/>
      <c r="AK636" s="130"/>
      <c r="AL636" s="135" t="s">
        <v>2619</v>
      </c>
      <c r="AM636" s="314"/>
      <c r="AN636" s="26"/>
      <c r="AO636" s="26"/>
      <c r="AP636" s="26"/>
      <c r="AQ636" s="26">
        <v>43676</v>
      </c>
      <c r="AR636" s="24"/>
      <c r="AS636" s="24"/>
      <c r="AT636" s="24">
        <v>43677</v>
      </c>
      <c r="AU636" s="418">
        <f t="shared" si="31"/>
        <v>7</v>
      </c>
      <c r="AV636" s="418">
        <f t="shared" si="32"/>
        <v>2019</v>
      </c>
      <c r="AW636" s="24"/>
      <c r="AX636" s="28"/>
      <c r="AY636" s="28" t="s">
        <v>193</v>
      </c>
      <c r="AZ636" s="132" t="s">
        <v>9</v>
      </c>
      <c r="BA636" s="132"/>
      <c r="BB636" s="24"/>
      <c r="BC636" s="135" t="s">
        <v>2632</v>
      </c>
      <c r="BD636" s="24">
        <v>43634</v>
      </c>
      <c r="BE636" s="135" t="s">
        <v>2633</v>
      </c>
      <c r="BF636" s="135" t="s">
        <v>2214</v>
      </c>
      <c r="BG636" s="135" t="s">
        <v>174</v>
      </c>
      <c r="BH636" s="135"/>
      <c r="BI636" s="314"/>
      <c r="BJ636" s="314"/>
      <c r="BK636" s="24"/>
      <c r="BL636" s="24"/>
      <c r="BM636" s="24"/>
      <c r="BN636" s="24"/>
      <c r="BO636" s="24">
        <f>+AQ636+14</f>
        <v>43690</v>
      </c>
      <c r="BP636" s="24"/>
      <c r="BQ636" s="24"/>
      <c r="BR636" s="43"/>
      <c r="BS636" s="24"/>
      <c r="BT636" s="24"/>
      <c r="BU636" s="24"/>
      <c r="BV636" s="132" t="e">
        <f>IF(#REF!="COMPLETO","OK","PENDIENTES")</f>
        <v>#REF!</v>
      </c>
      <c r="BW636" s="132"/>
      <c r="BX636" s="132"/>
      <c r="BY636" s="132"/>
      <c r="BZ636" s="132"/>
      <c r="CA636" s="132"/>
      <c r="CB636" s="132"/>
      <c r="CC636" s="22"/>
      <c r="CG636" s="24" t="s">
        <v>105</v>
      </c>
      <c r="CH636" s="24"/>
      <c r="CI636" s="24"/>
      <c r="CJ636" s="24"/>
    </row>
    <row r="637" spans="1:88" ht="15" customHeight="1">
      <c r="A637" s="18">
        <v>2019</v>
      </c>
      <c r="B637" s="18" t="str">
        <f>+INDEX(BDD!F:F,MATCH(P637,BDD!D:D,0))&amp;"-"&amp;INDEX(BDD!E:E,MATCH(P637,BDD!D:D,0))</f>
        <v>S-S</v>
      </c>
      <c r="C637" s="360" t="s">
        <v>484</v>
      </c>
      <c r="D637" s="150" t="s">
        <v>77</v>
      </c>
      <c r="E637" s="132"/>
      <c r="F637" s="24"/>
      <c r="G637" s="346">
        <v>8000000507</v>
      </c>
      <c r="H637" s="220" t="s">
        <v>2634</v>
      </c>
      <c r="I637" s="329"/>
      <c r="J637" s="346">
        <v>8000000507</v>
      </c>
      <c r="K637" s="24"/>
      <c r="L637" s="24"/>
      <c r="M637" s="24"/>
      <c r="N637" s="340" t="s">
        <v>486</v>
      </c>
      <c r="O637" s="334">
        <v>206971</v>
      </c>
      <c r="P637" s="25" t="s">
        <v>340</v>
      </c>
      <c r="Q637" s="127" t="s">
        <v>213</v>
      </c>
      <c r="R637" s="232" t="s">
        <v>2630</v>
      </c>
      <c r="S637" s="89">
        <v>43615</v>
      </c>
      <c r="T637" s="36">
        <v>90</v>
      </c>
      <c r="U637" s="125" t="s">
        <v>118</v>
      </c>
      <c r="V637" s="147" t="s">
        <v>2635</v>
      </c>
      <c r="W637" s="129"/>
      <c r="X637" s="88">
        <f>+BD637+T637</f>
        <v>43731</v>
      </c>
      <c r="Y637" s="130" t="s">
        <v>20</v>
      </c>
      <c r="Z637" s="133" t="s">
        <v>72</v>
      </c>
      <c r="AA637" s="133"/>
      <c r="AB637" s="148">
        <v>550</v>
      </c>
      <c r="AC637" s="240">
        <f>(521*(0.06/360*90))+521</f>
        <v>528.81500000000005</v>
      </c>
      <c r="AD637" s="240"/>
      <c r="AE637" s="403">
        <f t="shared" si="30"/>
        <v>290848.25000000006</v>
      </c>
      <c r="AF637" s="132">
        <v>22</v>
      </c>
      <c r="AG637" s="130" t="s">
        <v>5</v>
      </c>
      <c r="AH637" s="130"/>
      <c r="AI637" s="130" t="s">
        <v>34</v>
      </c>
      <c r="AJ637" s="130"/>
      <c r="AK637" s="130"/>
      <c r="AL637" s="135" t="s">
        <v>2619</v>
      </c>
      <c r="AM637" s="314"/>
      <c r="AN637" s="26"/>
      <c r="AO637" s="26"/>
      <c r="AP637" s="26"/>
      <c r="AQ637" s="26">
        <v>43691</v>
      </c>
      <c r="AR637" s="24"/>
      <c r="AS637" s="24"/>
      <c r="AT637" s="24">
        <v>43692</v>
      </c>
      <c r="AU637" s="418">
        <f t="shared" si="31"/>
        <v>8</v>
      </c>
      <c r="AV637" s="418">
        <f t="shared" si="32"/>
        <v>2019</v>
      </c>
      <c r="AW637" s="24"/>
      <c r="AX637" s="28"/>
      <c r="AY637" s="28" t="s">
        <v>193</v>
      </c>
      <c r="AZ637" s="132" t="s">
        <v>9</v>
      </c>
      <c r="BA637" s="132"/>
      <c r="BB637" s="24"/>
      <c r="BC637" s="135" t="s">
        <v>2636</v>
      </c>
      <c r="BD637" s="24">
        <v>43641</v>
      </c>
      <c r="BE637" s="135" t="s">
        <v>2637</v>
      </c>
      <c r="BF637" s="135" t="s">
        <v>2545</v>
      </c>
      <c r="BG637" s="135" t="s">
        <v>29</v>
      </c>
      <c r="BH637" s="135"/>
      <c r="BI637" s="314"/>
      <c r="BJ637" s="314"/>
      <c r="BK637" s="24"/>
      <c r="BL637" s="24"/>
      <c r="BM637" s="24"/>
      <c r="BN637" s="24"/>
      <c r="BO637" s="24">
        <v>43704</v>
      </c>
      <c r="BP637" s="24"/>
      <c r="BQ637" s="24"/>
      <c r="BR637" s="43"/>
      <c r="BS637" s="24"/>
      <c r="BT637" s="24"/>
      <c r="BU637" s="24"/>
      <c r="BV637" s="132" t="e">
        <f>IF(#REF!="COMPLETO","OK","PENDIENTES")</f>
        <v>#REF!</v>
      </c>
      <c r="BW637" s="132"/>
      <c r="BX637" s="132"/>
      <c r="BY637" s="132"/>
      <c r="BZ637" s="132"/>
      <c r="CA637" s="132"/>
      <c r="CB637" s="132"/>
      <c r="CC637" s="22"/>
      <c r="CG637" s="24" t="s">
        <v>105</v>
      </c>
      <c r="CH637" s="24"/>
      <c r="CI637" s="24"/>
      <c r="CJ637" s="24"/>
    </row>
    <row r="638" spans="1:88" ht="15" customHeight="1">
      <c r="A638" s="18">
        <v>2019</v>
      </c>
      <c r="B638" s="18" t="str">
        <f>+INDEX(BDD!F:F,MATCH(P638,BDD!D:D,0))&amp;"-"&amp;INDEX(BDD!E:E,MATCH(P638,BDD!D:D,0))</f>
        <v>S-S</v>
      </c>
      <c r="C638" s="125" t="s">
        <v>484</v>
      </c>
      <c r="D638" s="150" t="s">
        <v>77</v>
      </c>
      <c r="E638" s="132"/>
      <c r="F638" s="24"/>
      <c r="G638" s="346">
        <v>8000000509</v>
      </c>
      <c r="H638" s="125" t="s">
        <v>2638</v>
      </c>
      <c r="I638" s="329"/>
      <c r="J638" s="346">
        <v>8000000509</v>
      </c>
      <c r="K638" s="24"/>
      <c r="L638" s="24"/>
      <c r="M638" s="24"/>
      <c r="N638" s="340" t="s">
        <v>486</v>
      </c>
      <c r="O638" s="334">
        <v>206971</v>
      </c>
      <c r="P638" s="25" t="s">
        <v>340</v>
      </c>
      <c r="Q638" s="127" t="s">
        <v>213</v>
      </c>
      <c r="R638" s="232" t="s">
        <v>2630</v>
      </c>
      <c r="S638" s="89">
        <v>43615</v>
      </c>
      <c r="T638" s="36">
        <v>90</v>
      </c>
      <c r="U638" s="125" t="s">
        <v>118</v>
      </c>
      <c r="V638" s="147" t="s">
        <v>2639</v>
      </c>
      <c r="W638" s="129"/>
      <c r="X638" s="88">
        <v>43741</v>
      </c>
      <c r="Y638" s="130" t="s">
        <v>20</v>
      </c>
      <c r="Z638" s="133" t="s">
        <v>72</v>
      </c>
      <c r="AA638" s="133"/>
      <c r="AB638" s="148">
        <v>550</v>
      </c>
      <c r="AC638" s="240">
        <f>(521*(0.06/360*90))+521</f>
        <v>528.81500000000005</v>
      </c>
      <c r="AD638" s="240"/>
      <c r="AE638" s="403">
        <f t="shared" si="30"/>
        <v>290848.25000000006</v>
      </c>
      <c r="AF638" s="132">
        <v>22</v>
      </c>
      <c r="AG638" s="130" t="s">
        <v>5</v>
      </c>
      <c r="AH638" s="130"/>
      <c r="AI638" s="130" t="s">
        <v>34</v>
      </c>
      <c r="AJ638" s="130"/>
      <c r="AK638" s="130"/>
      <c r="AL638" s="135" t="s">
        <v>2619</v>
      </c>
      <c r="AM638" s="314"/>
      <c r="AN638" s="26"/>
      <c r="AO638" s="26"/>
      <c r="AP638" s="26"/>
      <c r="AQ638" s="26">
        <v>43712</v>
      </c>
      <c r="AR638" s="24"/>
      <c r="AS638" s="24"/>
      <c r="AT638" s="24">
        <v>43714</v>
      </c>
      <c r="AU638" s="418">
        <f t="shared" si="31"/>
        <v>9</v>
      </c>
      <c r="AV638" s="418">
        <f t="shared" si="32"/>
        <v>2019</v>
      </c>
      <c r="AW638" s="24"/>
      <c r="AX638" s="28"/>
      <c r="AY638" s="28" t="s">
        <v>193</v>
      </c>
      <c r="AZ638" s="132" t="s">
        <v>9</v>
      </c>
      <c r="BA638" s="132"/>
      <c r="BB638" s="24"/>
      <c r="BC638" s="135" t="s">
        <v>2640</v>
      </c>
      <c r="BD638" s="24">
        <v>43649</v>
      </c>
      <c r="BE638" s="135" t="s">
        <v>2641</v>
      </c>
      <c r="BF638" s="135" t="s">
        <v>2545</v>
      </c>
      <c r="BG638" s="135" t="s">
        <v>29</v>
      </c>
      <c r="BH638" s="135"/>
      <c r="BI638" s="314"/>
      <c r="BJ638" s="314"/>
      <c r="BK638" s="24"/>
      <c r="BL638" s="24"/>
      <c r="BM638" s="24"/>
      <c r="BN638" s="24"/>
      <c r="BO638" s="24">
        <v>43725</v>
      </c>
      <c r="BP638" s="24"/>
      <c r="BQ638" s="24"/>
      <c r="BR638" s="43"/>
      <c r="BS638" s="24"/>
      <c r="BT638" s="24"/>
      <c r="BU638" s="24"/>
      <c r="BV638" s="132" t="e">
        <f>IF(#REF!="COMPLETO","OK","PENDIENTES")</f>
        <v>#REF!</v>
      </c>
      <c r="BW638" s="132"/>
      <c r="BX638" s="132"/>
      <c r="BY638" s="132"/>
      <c r="BZ638" s="132"/>
      <c r="CA638" s="132"/>
      <c r="CB638" s="132"/>
      <c r="CC638" s="22"/>
      <c r="CG638" s="24" t="s">
        <v>105</v>
      </c>
      <c r="CH638" s="24"/>
      <c r="CI638" s="24"/>
      <c r="CJ638" s="24"/>
    </row>
    <row r="639" spans="1:88" ht="15" customHeight="1">
      <c r="A639" s="18">
        <v>2019</v>
      </c>
      <c r="B639" s="18" t="str">
        <f>+INDEX(BDD!F:F,MATCH(P639,BDD!D:D,0))&amp;"-"&amp;INDEX(BDD!E:E,MATCH(P639,BDD!D:D,0))</f>
        <v>S-S</v>
      </c>
      <c r="C639" s="125" t="s">
        <v>484</v>
      </c>
      <c r="D639" s="150" t="s">
        <v>77</v>
      </c>
      <c r="E639" s="132"/>
      <c r="F639" s="24"/>
      <c r="G639" s="346">
        <v>8000000505</v>
      </c>
      <c r="H639" s="125" t="s">
        <v>2642</v>
      </c>
      <c r="I639" s="329"/>
      <c r="J639" s="346">
        <v>8000000505</v>
      </c>
      <c r="K639" s="24"/>
      <c r="L639" s="24"/>
      <c r="M639" s="24"/>
      <c r="N639" s="340" t="s">
        <v>486</v>
      </c>
      <c r="O639" s="334">
        <v>206971</v>
      </c>
      <c r="P639" s="25" t="s">
        <v>340</v>
      </c>
      <c r="Q639" s="127" t="s">
        <v>213</v>
      </c>
      <c r="R639" s="232" t="s">
        <v>2643</v>
      </c>
      <c r="S639" s="89">
        <v>43615</v>
      </c>
      <c r="T639" s="36">
        <v>90</v>
      </c>
      <c r="U639" s="125" t="s">
        <v>118</v>
      </c>
      <c r="V639" s="147" t="s">
        <v>2644</v>
      </c>
      <c r="W639" s="129"/>
      <c r="X639" s="88">
        <f>+BD639+T639</f>
        <v>43748</v>
      </c>
      <c r="Y639" s="130" t="s">
        <v>20</v>
      </c>
      <c r="Z639" s="133" t="s">
        <v>72</v>
      </c>
      <c r="AA639" s="133"/>
      <c r="AB639" s="148">
        <v>324</v>
      </c>
      <c r="AC639" s="134">
        <f>(499*(0.06/360*90))+499</f>
        <v>506.48500000000001</v>
      </c>
      <c r="AD639" s="134"/>
      <c r="AE639" s="403">
        <f t="shared" si="30"/>
        <v>164101.14000000001</v>
      </c>
      <c r="AF639" s="132">
        <v>12</v>
      </c>
      <c r="AG639" s="130" t="s">
        <v>5</v>
      </c>
      <c r="AH639" s="130"/>
      <c r="AI639" s="130" t="s">
        <v>34</v>
      </c>
      <c r="AJ639" s="130"/>
      <c r="AK639" s="130"/>
      <c r="AL639" s="135" t="s">
        <v>2619</v>
      </c>
      <c r="AM639" s="314"/>
      <c r="AN639" s="26"/>
      <c r="AO639" s="26"/>
      <c r="AP639" s="26"/>
      <c r="AQ639" s="26">
        <v>43691</v>
      </c>
      <c r="AR639" s="24"/>
      <c r="AS639" s="24"/>
      <c r="AT639" s="24">
        <v>43693</v>
      </c>
      <c r="AU639" s="418">
        <f t="shared" si="31"/>
        <v>8</v>
      </c>
      <c r="AV639" s="418">
        <f t="shared" si="32"/>
        <v>2019</v>
      </c>
      <c r="AW639" s="24"/>
      <c r="AX639" s="28"/>
      <c r="AY639" s="28" t="s">
        <v>139</v>
      </c>
      <c r="AZ639" s="132" t="s">
        <v>37</v>
      </c>
      <c r="BA639" s="132"/>
      <c r="BB639" s="24"/>
      <c r="BC639" s="135" t="s">
        <v>2645</v>
      </c>
      <c r="BD639" s="24">
        <v>43658</v>
      </c>
      <c r="BE639" s="135" t="s">
        <v>2646</v>
      </c>
      <c r="BF639" s="135" t="s">
        <v>2647</v>
      </c>
      <c r="BG639" s="135" t="s">
        <v>29</v>
      </c>
      <c r="BH639" s="135"/>
      <c r="BI639" s="314"/>
      <c r="BJ639" s="314"/>
      <c r="BK639" s="24"/>
      <c r="BL639" s="24"/>
      <c r="BM639" s="24"/>
      <c r="BN639" s="24"/>
      <c r="BO639" s="24">
        <f>+AQ639+15</f>
        <v>43706</v>
      </c>
      <c r="BP639" s="24"/>
      <c r="BQ639" s="24"/>
      <c r="BR639" s="43"/>
      <c r="BS639" s="24"/>
      <c r="BT639" s="24"/>
      <c r="BU639" s="24"/>
      <c r="BV639" s="132" t="e">
        <f>IF(#REF!="COMPLETO","OK","PENDIENTES")</f>
        <v>#REF!</v>
      </c>
      <c r="BW639" s="132"/>
      <c r="BX639" s="132"/>
      <c r="BY639" s="132"/>
      <c r="BZ639" s="132"/>
      <c r="CA639" s="132"/>
      <c r="CB639" s="132"/>
      <c r="CC639" s="22"/>
      <c r="CG639" s="24" t="s">
        <v>105</v>
      </c>
      <c r="CH639" s="24"/>
      <c r="CI639" s="24"/>
      <c r="CJ639" s="24"/>
    </row>
    <row r="640" spans="1:88" ht="15" customHeight="1">
      <c r="A640" s="18">
        <v>2019</v>
      </c>
      <c r="B640" s="18" t="str">
        <f>+INDEX(BDD!F:F,MATCH(P640,BDD!D:D,0))&amp;"-"&amp;INDEX(BDD!E:E,MATCH(P640,BDD!D:D,0))</f>
        <v>S-S</v>
      </c>
      <c r="C640" s="125" t="s">
        <v>484</v>
      </c>
      <c r="D640" s="150" t="s">
        <v>77</v>
      </c>
      <c r="E640" s="132" t="s">
        <v>51</v>
      </c>
      <c r="F640" s="24"/>
      <c r="G640" s="346">
        <v>8000000519</v>
      </c>
      <c r="H640" s="125" t="s">
        <v>2648</v>
      </c>
      <c r="I640" s="329"/>
      <c r="J640" s="346">
        <v>8000000519</v>
      </c>
      <c r="K640" s="24"/>
      <c r="L640" s="24"/>
      <c r="M640" s="24"/>
      <c r="N640" s="340" t="s">
        <v>486</v>
      </c>
      <c r="O640" s="334">
        <v>207579</v>
      </c>
      <c r="P640" s="25" t="s">
        <v>238</v>
      </c>
      <c r="Q640" s="127" t="s">
        <v>199</v>
      </c>
      <c r="R640" s="232" t="s">
        <v>2649</v>
      </c>
      <c r="S640" s="89">
        <v>43619</v>
      </c>
      <c r="T640" s="36">
        <v>60</v>
      </c>
      <c r="U640" s="125" t="s">
        <v>118</v>
      </c>
      <c r="V640" s="147" t="s">
        <v>2650</v>
      </c>
      <c r="W640" s="129"/>
      <c r="X640" s="88">
        <v>43720</v>
      </c>
      <c r="Y640" s="130" t="s">
        <v>20</v>
      </c>
      <c r="Z640" s="133" t="s">
        <v>60</v>
      </c>
      <c r="AA640" s="133"/>
      <c r="AB640" s="148">
        <v>168</v>
      </c>
      <c r="AC640" s="134">
        <v>257.76</v>
      </c>
      <c r="AD640" s="134"/>
      <c r="AE640" s="403">
        <f t="shared" si="30"/>
        <v>43303.68</v>
      </c>
      <c r="AF640" s="132">
        <v>6</v>
      </c>
      <c r="AG640" s="130" t="s">
        <v>21</v>
      </c>
      <c r="AH640" s="130"/>
      <c r="AI640" s="130" t="s">
        <v>34</v>
      </c>
      <c r="AJ640" s="130"/>
      <c r="AK640" s="130"/>
      <c r="AL640" s="135" t="s">
        <v>2513</v>
      </c>
      <c r="AM640" s="314"/>
      <c r="AN640" s="26"/>
      <c r="AO640" s="26"/>
      <c r="AP640" s="26"/>
      <c r="AQ640" s="26">
        <v>43695</v>
      </c>
      <c r="AR640" s="24"/>
      <c r="AS640" s="24"/>
      <c r="AT640" s="24">
        <v>43699</v>
      </c>
      <c r="AU640" s="418">
        <f t="shared" si="31"/>
        <v>8</v>
      </c>
      <c r="AV640" s="418">
        <f t="shared" si="32"/>
        <v>2019</v>
      </c>
      <c r="AW640" s="24"/>
      <c r="AX640" s="28"/>
      <c r="AY640" s="28" t="s">
        <v>290</v>
      </c>
      <c r="AZ640" s="132" t="s">
        <v>37</v>
      </c>
      <c r="BA640" s="132"/>
      <c r="BB640" s="24"/>
      <c r="BC640" s="135" t="s">
        <v>2651</v>
      </c>
      <c r="BD640" s="24">
        <v>43658</v>
      </c>
      <c r="BE640" s="135" t="s">
        <v>2258</v>
      </c>
      <c r="BF640" s="135" t="s">
        <v>2652</v>
      </c>
      <c r="BG640" s="135" t="s">
        <v>28</v>
      </c>
      <c r="BH640" s="135"/>
      <c r="BI640" s="314"/>
      <c r="BJ640" s="314"/>
      <c r="BK640" s="24"/>
      <c r="BL640" s="24"/>
      <c r="BM640" s="24"/>
      <c r="BN640" s="24"/>
      <c r="BO640" s="24">
        <f>+AQ640+14</f>
        <v>43709</v>
      </c>
      <c r="BP640" s="24"/>
      <c r="BQ640" s="24"/>
      <c r="BR640" s="43"/>
      <c r="BS640" s="24"/>
      <c r="BT640" s="24"/>
      <c r="BU640" s="24"/>
      <c r="BV640" s="132" t="e">
        <f>IF(#REF!="COMPLETO","OK","PENDIENTES")</f>
        <v>#REF!</v>
      </c>
      <c r="BW640" s="132"/>
      <c r="BX640" s="132"/>
      <c r="BY640" s="132"/>
      <c r="BZ640" s="132"/>
      <c r="CA640" s="132"/>
      <c r="CB640" s="132"/>
      <c r="CC640" s="22"/>
      <c r="CG640" s="24" t="s">
        <v>105</v>
      </c>
      <c r="CH640" s="24"/>
      <c r="CI640" s="24"/>
      <c r="CJ640" s="24"/>
    </row>
    <row r="641" spans="1:88" ht="15" customHeight="1">
      <c r="A641" s="18">
        <v>2019</v>
      </c>
      <c r="B641" s="18" t="str">
        <f>+INDEX(BDD!F:F,MATCH(P641,BDD!D:D,0))&amp;"-"&amp;INDEX(BDD!E:E,MATCH(P641,BDD!D:D,0))</f>
        <v>E-S</v>
      </c>
      <c r="C641" s="125" t="s">
        <v>484</v>
      </c>
      <c r="D641" s="150" t="s">
        <v>77</v>
      </c>
      <c r="E641" s="132"/>
      <c r="F641" s="24"/>
      <c r="G641" s="346">
        <v>8000000546</v>
      </c>
      <c r="H641" s="125" t="s">
        <v>2653</v>
      </c>
      <c r="I641" s="329"/>
      <c r="J641" s="346">
        <v>8000000546</v>
      </c>
      <c r="K641" s="24"/>
      <c r="L641" s="24"/>
      <c r="M641" s="24"/>
      <c r="N641" s="340" t="s">
        <v>486</v>
      </c>
      <c r="O641" s="334">
        <v>207576</v>
      </c>
      <c r="P641" s="25" t="s">
        <v>160</v>
      </c>
      <c r="Q641" s="127" t="s">
        <v>258</v>
      </c>
      <c r="R641" s="232" t="s">
        <v>2654</v>
      </c>
      <c r="S641" s="89">
        <v>43620</v>
      </c>
      <c r="T641" s="36">
        <v>120</v>
      </c>
      <c r="U641" s="125" t="s">
        <v>118</v>
      </c>
      <c r="V641" s="147" t="s">
        <v>2655</v>
      </c>
      <c r="W641" s="129"/>
      <c r="X641" s="88">
        <v>43812</v>
      </c>
      <c r="Y641" s="130" t="s">
        <v>20</v>
      </c>
      <c r="Z641" s="133" t="s">
        <v>81</v>
      </c>
      <c r="AA641" s="133"/>
      <c r="AB641" s="148">
        <v>96</v>
      </c>
      <c r="AC641" s="134">
        <v>1200</v>
      </c>
      <c r="AD641" s="134"/>
      <c r="AE641" s="403">
        <f t="shared" si="30"/>
        <v>115200</v>
      </c>
      <c r="AF641" s="132">
        <v>4</v>
      </c>
      <c r="AG641" s="130" t="s">
        <v>5</v>
      </c>
      <c r="AH641" s="130"/>
      <c r="AI641" s="130" t="s">
        <v>71</v>
      </c>
      <c r="AJ641" s="130"/>
      <c r="AK641" s="130"/>
      <c r="AL641" s="135" t="s">
        <v>2513</v>
      </c>
      <c r="AM641" s="314"/>
      <c r="AN641" s="26"/>
      <c r="AO641" s="26"/>
      <c r="AP641" s="26"/>
      <c r="AQ641" s="26">
        <v>43716</v>
      </c>
      <c r="AR641" s="24"/>
      <c r="AS641" s="24"/>
      <c r="AT641" s="24">
        <v>43719</v>
      </c>
      <c r="AU641" s="418">
        <f t="shared" si="31"/>
        <v>9</v>
      </c>
      <c r="AV641" s="418">
        <f t="shared" si="32"/>
        <v>2019</v>
      </c>
      <c r="AW641" s="24"/>
      <c r="AX641" s="28"/>
      <c r="AY641" s="28" t="s">
        <v>2657</v>
      </c>
      <c r="AZ641" s="132" t="s">
        <v>37</v>
      </c>
      <c r="BA641" s="132"/>
      <c r="BB641" s="24"/>
      <c r="BC641" s="135" t="s">
        <v>2656</v>
      </c>
      <c r="BD641" s="24">
        <v>43655</v>
      </c>
      <c r="BE641" s="135" t="s">
        <v>997</v>
      </c>
      <c r="BF641" s="135" t="s">
        <v>2658</v>
      </c>
      <c r="BG641" s="135" t="s">
        <v>41</v>
      </c>
      <c r="BH641" s="135"/>
      <c r="BI641" s="314"/>
      <c r="BJ641" s="314"/>
      <c r="BK641" s="24"/>
      <c r="BL641" s="24"/>
      <c r="BM641" s="24"/>
      <c r="BN641" s="24"/>
      <c r="BO641" s="24"/>
      <c r="BP641" s="24"/>
      <c r="BQ641" s="24"/>
      <c r="BR641" s="43"/>
      <c r="BS641" s="24"/>
      <c r="BT641" s="24"/>
      <c r="BU641" s="24"/>
      <c r="BV641" s="132" t="e">
        <f>IF(#REF!="COMPLETO","OK","PENDIENTES")</f>
        <v>#REF!</v>
      </c>
      <c r="BW641" s="132"/>
      <c r="BX641" s="132"/>
      <c r="BY641" s="132"/>
      <c r="BZ641" s="132"/>
      <c r="CA641" s="132"/>
      <c r="CB641" s="132"/>
      <c r="CC641" s="22"/>
      <c r="CG641" s="24" t="s">
        <v>105</v>
      </c>
      <c r="CH641" s="24"/>
      <c r="CI641" s="24"/>
      <c r="CJ641" s="24"/>
    </row>
    <row r="642" spans="1:88" ht="15" customHeight="1">
      <c r="A642" s="18">
        <v>2019</v>
      </c>
      <c r="B642" s="18" t="str">
        <f>+INDEX(BDD!F:F,MATCH(P642,BDD!D:D,0))&amp;"-"&amp;INDEX(BDD!E:E,MATCH(P642,BDD!D:D,0))</f>
        <v>E-S</v>
      </c>
      <c r="C642" s="125" t="s">
        <v>484</v>
      </c>
      <c r="D642" s="150" t="s">
        <v>77</v>
      </c>
      <c r="E642" s="132"/>
      <c r="F642" s="24"/>
      <c r="G642" s="346">
        <v>8000000460</v>
      </c>
      <c r="H642" s="125" t="s">
        <v>2659</v>
      </c>
      <c r="I642" s="329"/>
      <c r="J642" s="346">
        <v>8000000460</v>
      </c>
      <c r="K642" s="24"/>
      <c r="L642" s="24"/>
      <c r="M642" s="24"/>
      <c r="N642" s="340" t="s">
        <v>486</v>
      </c>
      <c r="O642" s="334">
        <v>203622</v>
      </c>
      <c r="P642" s="25" t="s">
        <v>341</v>
      </c>
      <c r="Q642" s="127" t="s">
        <v>207</v>
      </c>
      <c r="R642" s="232" t="s">
        <v>2660</v>
      </c>
      <c r="S642" s="89">
        <v>43623</v>
      </c>
      <c r="T642" s="36">
        <v>90</v>
      </c>
      <c r="U642" s="125" t="s">
        <v>118</v>
      </c>
      <c r="V642" s="147" t="s">
        <v>2661</v>
      </c>
      <c r="W642" s="129"/>
      <c r="X642" s="88">
        <v>43742</v>
      </c>
      <c r="Y642" s="130" t="s">
        <v>20</v>
      </c>
      <c r="Z642" s="133" t="s">
        <v>60</v>
      </c>
      <c r="AA642" s="133"/>
      <c r="AB642" s="148">
        <v>192</v>
      </c>
      <c r="AC642" s="134">
        <v>705</v>
      </c>
      <c r="AD642" s="134"/>
      <c r="AE642" s="403">
        <f t="shared" ref="AE642:AE705" si="33">AB642*AC642</f>
        <v>135360</v>
      </c>
      <c r="AF642" s="132">
        <v>8</v>
      </c>
      <c r="AG642" s="130" t="s">
        <v>5</v>
      </c>
      <c r="AH642" s="130"/>
      <c r="AI642" s="130" t="s">
        <v>34</v>
      </c>
      <c r="AJ642" s="130"/>
      <c r="AK642" s="130"/>
      <c r="AL642" s="135" t="s">
        <v>2513</v>
      </c>
      <c r="AM642" s="314"/>
      <c r="AN642" s="26"/>
      <c r="AO642" s="26"/>
      <c r="AP642" s="26"/>
      <c r="AQ642" s="26">
        <v>43677</v>
      </c>
      <c r="AR642" s="24"/>
      <c r="AS642" s="24"/>
      <c r="AT642" s="24">
        <v>43679</v>
      </c>
      <c r="AU642" s="418">
        <f t="shared" si="31"/>
        <v>8</v>
      </c>
      <c r="AV642" s="418">
        <f t="shared" si="32"/>
        <v>2019</v>
      </c>
      <c r="AW642" s="24"/>
      <c r="AX642" s="28"/>
      <c r="AY642" s="28" t="s">
        <v>162</v>
      </c>
      <c r="AZ642" s="132" t="s">
        <v>9</v>
      </c>
      <c r="BA642" s="132"/>
      <c r="BB642" s="24"/>
      <c r="BC642" s="135" t="s">
        <v>2662</v>
      </c>
      <c r="BD642" s="24">
        <v>43653</v>
      </c>
      <c r="BE642" s="135" t="s">
        <v>865</v>
      </c>
      <c r="BF642" s="135" t="s">
        <v>2663</v>
      </c>
      <c r="BG642" s="135" t="s">
        <v>64</v>
      </c>
      <c r="BH642" s="135"/>
      <c r="BI642" s="314"/>
      <c r="BJ642" s="314"/>
      <c r="BK642" s="24"/>
      <c r="BL642" s="24"/>
      <c r="BM642" s="24"/>
      <c r="BN642" s="24"/>
      <c r="BO642" s="24">
        <v>43697</v>
      </c>
      <c r="BP642" s="24"/>
      <c r="BQ642" s="24"/>
      <c r="BR642" s="43"/>
      <c r="BS642" s="24"/>
      <c r="BT642" s="24"/>
      <c r="BU642" s="24"/>
      <c r="BV642" s="132" t="e">
        <f>IF(#REF!="COMPLETO","OK","PENDIENTES")</f>
        <v>#REF!</v>
      </c>
      <c r="BW642" s="132"/>
      <c r="BX642" s="132"/>
      <c r="BY642" s="132"/>
      <c r="BZ642" s="132"/>
      <c r="CA642" s="132"/>
      <c r="CB642" s="132"/>
      <c r="CC642" s="22"/>
      <c r="CG642" s="24" t="s">
        <v>105</v>
      </c>
      <c r="CH642" s="24"/>
      <c r="CI642" s="24"/>
      <c r="CJ642" s="24"/>
    </row>
    <row r="643" spans="1:88" ht="15" customHeight="1">
      <c r="A643" s="18">
        <v>2019</v>
      </c>
      <c r="B643" s="18" t="str">
        <f>+INDEX(BDD!F:F,MATCH(P643,BDD!D:D,0))&amp;"-"&amp;INDEX(BDD!E:E,MATCH(P643,BDD!D:D,0))</f>
        <v>E-S</v>
      </c>
      <c r="C643" s="125" t="s">
        <v>484</v>
      </c>
      <c r="D643" s="150" t="s">
        <v>77</v>
      </c>
      <c r="E643" s="132"/>
      <c r="F643" s="24"/>
      <c r="G643" s="346">
        <v>8000000461</v>
      </c>
      <c r="H643" s="125" t="s">
        <v>2664</v>
      </c>
      <c r="I643" s="329"/>
      <c r="J643" s="346">
        <v>8000000461</v>
      </c>
      <c r="K643" s="24"/>
      <c r="L643" s="24"/>
      <c r="M643" s="24"/>
      <c r="N643" s="340" t="s">
        <v>486</v>
      </c>
      <c r="O643" s="334">
        <v>207522</v>
      </c>
      <c r="P643" s="25" t="s">
        <v>298</v>
      </c>
      <c r="Q643" s="127" t="s">
        <v>183</v>
      </c>
      <c r="R643" s="232" t="s">
        <v>2665</v>
      </c>
      <c r="S643" s="89">
        <v>43623</v>
      </c>
      <c r="T643" s="36">
        <v>90</v>
      </c>
      <c r="U643" s="125" t="s">
        <v>118</v>
      </c>
      <c r="V643" s="147" t="s">
        <v>2666</v>
      </c>
      <c r="W643" s="129"/>
      <c r="X643" s="88">
        <v>43741</v>
      </c>
      <c r="Y643" s="130" t="s">
        <v>20</v>
      </c>
      <c r="Z643" s="133" t="s">
        <v>60</v>
      </c>
      <c r="AA643" s="133"/>
      <c r="AB643" s="148">
        <v>139.80000000000001</v>
      </c>
      <c r="AC643" s="134">
        <v>225</v>
      </c>
      <c r="AD643" s="134"/>
      <c r="AE643" s="403">
        <f t="shared" si="33"/>
        <v>31455.000000000004</v>
      </c>
      <c r="AF643" s="132">
        <v>5</v>
      </c>
      <c r="AG643" s="130" t="s">
        <v>5</v>
      </c>
      <c r="AH643" s="130"/>
      <c r="AI643" s="130" t="s">
        <v>100</v>
      </c>
      <c r="AJ643" s="130"/>
      <c r="AK643" s="130"/>
      <c r="AL643" s="135" t="s">
        <v>2513</v>
      </c>
      <c r="AM643" s="314"/>
      <c r="AN643" s="26"/>
      <c r="AO643" s="26"/>
      <c r="AP643" s="26"/>
      <c r="AQ643" s="26">
        <v>43672</v>
      </c>
      <c r="AR643" s="24"/>
      <c r="AS643" s="24"/>
      <c r="AT643" s="24">
        <v>43673</v>
      </c>
      <c r="AU643" s="418">
        <f t="shared" ref="AU643:AU706" si="34">MONTH(AT643)</f>
        <v>7</v>
      </c>
      <c r="AV643" s="418">
        <f t="shared" ref="AV643:AV706" si="35">YEAR(AT643)</f>
        <v>2019</v>
      </c>
      <c r="AW643" s="24"/>
      <c r="AX643" s="28"/>
      <c r="AY643" s="28" t="s">
        <v>8</v>
      </c>
      <c r="AZ643" s="132" t="s">
        <v>37</v>
      </c>
      <c r="BA643" s="132"/>
      <c r="BB643" s="24"/>
      <c r="BC643" s="135" t="s">
        <v>2667</v>
      </c>
      <c r="BD643" s="24">
        <v>43649</v>
      </c>
      <c r="BE643" s="135" t="s">
        <v>2668</v>
      </c>
      <c r="BF643" s="135" t="s">
        <v>2668</v>
      </c>
      <c r="BG643" s="135" t="s">
        <v>29</v>
      </c>
      <c r="BH643" s="135"/>
      <c r="BI643" s="314"/>
      <c r="BJ643" s="314"/>
      <c r="BK643" s="24"/>
      <c r="BL643" s="24"/>
      <c r="BM643" s="24"/>
      <c r="BN643" s="24"/>
      <c r="BO643" s="24">
        <f>+AQ643+14</f>
        <v>43686</v>
      </c>
      <c r="BP643" s="24"/>
      <c r="BQ643" s="24"/>
      <c r="BR643" s="43"/>
      <c r="BS643" s="24"/>
      <c r="BT643" s="24"/>
      <c r="BU643" s="24"/>
      <c r="BV643" s="132" t="e">
        <f>IF(#REF!="COMPLETO","OK","PENDIENTES")</f>
        <v>#REF!</v>
      </c>
      <c r="BW643" s="132"/>
      <c r="BX643" s="132"/>
      <c r="BY643" s="132"/>
      <c r="BZ643" s="132"/>
      <c r="CA643" s="132"/>
      <c r="CB643" s="132"/>
      <c r="CC643" s="22"/>
      <c r="CG643" s="24" t="s">
        <v>105</v>
      </c>
      <c r="CH643" s="24"/>
      <c r="CI643" s="24"/>
      <c r="CJ643" s="24"/>
    </row>
    <row r="644" spans="1:88" ht="15" customHeight="1">
      <c r="A644" s="18">
        <v>2019</v>
      </c>
      <c r="B644" s="18" t="str">
        <f>+INDEX(BDD!F:F,MATCH(P644,BDD!D:D,0))&amp;"-"&amp;INDEX(BDD!E:E,MATCH(P644,BDD!D:D,0))</f>
        <v>E-S</v>
      </c>
      <c r="C644" s="125" t="s">
        <v>484</v>
      </c>
      <c r="D644" s="150" t="s">
        <v>77</v>
      </c>
      <c r="E644" s="132"/>
      <c r="F644" s="24"/>
      <c r="G644" s="346">
        <v>8000000462</v>
      </c>
      <c r="H644" s="125" t="s">
        <v>2669</v>
      </c>
      <c r="I644" s="329"/>
      <c r="J644" s="346">
        <v>8000000462</v>
      </c>
      <c r="K644" s="24"/>
      <c r="L644" s="24"/>
      <c r="M644" s="24"/>
      <c r="N644" s="340" t="s">
        <v>486</v>
      </c>
      <c r="O644" s="334">
        <v>207522</v>
      </c>
      <c r="P644" s="25" t="s">
        <v>298</v>
      </c>
      <c r="Q644" s="127" t="s">
        <v>183</v>
      </c>
      <c r="R644" s="232" t="s">
        <v>2665</v>
      </c>
      <c r="S644" s="89">
        <v>43623</v>
      </c>
      <c r="T644" s="36">
        <v>90</v>
      </c>
      <c r="U644" s="125" t="s">
        <v>118</v>
      </c>
      <c r="V644" s="147" t="s">
        <v>2670</v>
      </c>
      <c r="W644" s="129"/>
      <c r="X644" s="88">
        <v>43741</v>
      </c>
      <c r="Y644" s="130" t="s">
        <v>20</v>
      </c>
      <c r="Z644" s="133" t="s">
        <v>60</v>
      </c>
      <c r="AA644" s="133"/>
      <c r="AB644" s="148">
        <v>139.63999999999999</v>
      </c>
      <c r="AC644" s="134">
        <v>225</v>
      </c>
      <c r="AD644" s="134"/>
      <c r="AE644" s="403">
        <f t="shared" si="33"/>
        <v>31418.999999999996</v>
      </c>
      <c r="AF644" s="132">
        <v>5</v>
      </c>
      <c r="AG644" s="130" t="s">
        <v>5</v>
      </c>
      <c r="AH644" s="130"/>
      <c r="AI644" s="130" t="s">
        <v>100</v>
      </c>
      <c r="AJ644" s="130"/>
      <c r="AK644" s="130"/>
      <c r="AL644" s="135" t="s">
        <v>2513</v>
      </c>
      <c r="AM644" s="314"/>
      <c r="AN644" s="26"/>
      <c r="AO644" s="26"/>
      <c r="AP644" s="26"/>
      <c r="AQ644" s="26">
        <v>43684</v>
      </c>
      <c r="AR644" s="24"/>
      <c r="AS644" s="24"/>
      <c r="AT644" s="24">
        <v>43685</v>
      </c>
      <c r="AU644" s="418">
        <f t="shared" si="34"/>
        <v>8</v>
      </c>
      <c r="AV644" s="418">
        <f t="shared" si="35"/>
        <v>2019</v>
      </c>
      <c r="AW644" s="24"/>
      <c r="AX644" s="28"/>
      <c r="AY644" s="28" t="s">
        <v>8</v>
      </c>
      <c r="AZ644" s="132" t="s">
        <v>9</v>
      </c>
      <c r="BA644" s="132"/>
      <c r="BB644" s="24"/>
      <c r="BC644" s="135" t="s">
        <v>2671</v>
      </c>
      <c r="BD644" s="24">
        <v>43649</v>
      </c>
      <c r="BE644" s="135" t="s">
        <v>2668</v>
      </c>
      <c r="BF644" s="135" t="s">
        <v>2545</v>
      </c>
      <c r="BG644" s="135" t="s">
        <v>29</v>
      </c>
      <c r="BH644" s="135"/>
      <c r="BI644" s="314"/>
      <c r="BJ644" s="314"/>
      <c r="BK644" s="24"/>
      <c r="BL644" s="24"/>
      <c r="BM644" s="24"/>
      <c r="BN644" s="24"/>
      <c r="BO644" s="24">
        <f>+AQ644+14</f>
        <v>43698</v>
      </c>
      <c r="BP644" s="24"/>
      <c r="BQ644" s="24"/>
      <c r="BR644" s="43"/>
      <c r="BS644" s="24"/>
      <c r="BT644" s="24"/>
      <c r="BU644" s="24"/>
      <c r="BV644" s="132" t="e">
        <f>IF(#REF!="COMPLETO","OK","PENDIENTES")</f>
        <v>#REF!</v>
      </c>
      <c r="BW644" s="132"/>
      <c r="BX644" s="132"/>
      <c r="BY644" s="132"/>
      <c r="BZ644" s="132"/>
      <c r="CA644" s="132"/>
      <c r="CB644" s="132"/>
      <c r="CC644" s="22"/>
      <c r="CG644" s="24" t="s">
        <v>105</v>
      </c>
      <c r="CH644" s="24"/>
      <c r="CI644" s="24"/>
      <c r="CJ644" s="24"/>
    </row>
    <row r="645" spans="1:88" ht="15" customHeight="1">
      <c r="A645" s="18">
        <v>2019</v>
      </c>
      <c r="B645" s="18" t="str">
        <f>+INDEX(BDD!F:F,MATCH(P645,BDD!D:D,0))&amp;"-"&amp;INDEX(BDD!E:E,MATCH(P645,BDD!D:D,0))</f>
        <v>E-S</v>
      </c>
      <c r="C645" s="125" t="s">
        <v>484</v>
      </c>
      <c r="D645" s="150" t="s">
        <v>77</v>
      </c>
      <c r="E645" s="132"/>
      <c r="F645" s="24"/>
      <c r="G645" s="346">
        <v>8000000463</v>
      </c>
      <c r="H645" s="125" t="s">
        <v>2672</v>
      </c>
      <c r="I645" s="329"/>
      <c r="J645" s="346">
        <v>8000000463</v>
      </c>
      <c r="K645" s="24"/>
      <c r="L645" s="24"/>
      <c r="M645" s="24"/>
      <c r="N645" s="340" t="s">
        <v>486</v>
      </c>
      <c r="O645" s="334">
        <v>207522</v>
      </c>
      <c r="P645" s="25" t="s">
        <v>298</v>
      </c>
      <c r="Q645" s="127" t="s">
        <v>183</v>
      </c>
      <c r="R645" s="232" t="s">
        <v>2665</v>
      </c>
      <c r="S645" s="89">
        <v>43623</v>
      </c>
      <c r="T645" s="36">
        <v>90</v>
      </c>
      <c r="U645" s="125" t="s">
        <v>118</v>
      </c>
      <c r="V645" s="147" t="s">
        <v>2673</v>
      </c>
      <c r="W645" s="129"/>
      <c r="X645" s="88">
        <v>43745</v>
      </c>
      <c r="Y645" s="130" t="s">
        <v>20</v>
      </c>
      <c r="Z645" s="133" t="s">
        <v>60</v>
      </c>
      <c r="AA645" s="133"/>
      <c r="AB645" s="148">
        <v>167.8</v>
      </c>
      <c r="AC645" s="134">
        <v>225</v>
      </c>
      <c r="AD645" s="134"/>
      <c r="AE645" s="403">
        <f t="shared" si="33"/>
        <v>37755</v>
      </c>
      <c r="AF645" s="132">
        <v>6</v>
      </c>
      <c r="AG645" s="130" t="s">
        <v>5</v>
      </c>
      <c r="AH645" s="130"/>
      <c r="AI645" s="130" t="s">
        <v>100</v>
      </c>
      <c r="AJ645" s="130"/>
      <c r="AK645" s="130"/>
      <c r="AL645" s="135" t="s">
        <v>2674</v>
      </c>
      <c r="AM645" s="314"/>
      <c r="AN645" s="26"/>
      <c r="AO645" s="26"/>
      <c r="AP645" s="26"/>
      <c r="AQ645" s="26">
        <v>43678</v>
      </c>
      <c r="AR645" s="24"/>
      <c r="AS645" s="24"/>
      <c r="AT645" s="24">
        <v>43680</v>
      </c>
      <c r="AU645" s="418">
        <f t="shared" si="34"/>
        <v>8</v>
      </c>
      <c r="AV645" s="418">
        <f t="shared" si="35"/>
        <v>2019</v>
      </c>
      <c r="AW645" s="24"/>
      <c r="AX645" s="28"/>
      <c r="AY645" s="28" t="s">
        <v>8</v>
      </c>
      <c r="AZ645" s="132" t="s">
        <v>37</v>
      </c>
      <c r="BA645" s="132"/>
      <c r="BB645" s="24"/>
      <c r="BC645" s="135" t="s">
        <v>2675</v>
      </c>
      <c r="BD645" s="24">
        <v>43655</v>
      </c>
      <c r="BE645" s="135" t="s">
        <v>865</v>
      </c>
      <c r="BF645" s="135" t="s">
        <v>865</v>
      </c>
      <c r="BG645" s="135" t="s">
        <v>29</v>
      </c>
      <c r="BH645" s="135"/>
      <c r="BI645" s="314"/>
      <c r="BJ645" s="314"/>
      <c r="BK645" s="24"/>
      <c r="BL645" s="24"/>
      <c r="BM645" s="24"/>
      <c r="BN645" s="24"/>
      <c r="BO645" s="24"/>
      <c r="BP645" s="24"/>
      <c r="BQ645" s="24"/>
      <c r="BR645" s="43"/>
      <c r="BS645" s="24"/>
      <c r="BT645" s="24"/>
      <c r="BU645" s="24"/>
      <c r="BV645" s="132" t="e">
        <f>IF(#REF!="COMPLETO","OK","PENDIENTES")</f>
        <v>#REF!</v>
      </c>
      <c r="BW645" s="132"/>
      <c r="BX645" s="132"/>
      <c r="BY645" s="132"/>
      <c r="BZ645" s="132"/>
      <c r="CA645" s="132"/>
      <c r="CB645" s="132"/>
      <c r="CC645" s="22"/>
      <c r="CG645" s="24" t="s">
        <v>105</v>
      </c>
      <c r="CH645" s="24"/>
      <c r="CI645" s="24"/>
      <c r="CJ645" s="24"/>
    </row>
    <row r="646" spans="1:88" ht="15" customHeight="1">
      <c r="A646" s="18">
        <v>2019</v>
      </c>
      <c r="B646" s="18" t="str">
        <f>+INDEX(BDD!F:F,MATCH(P646,BDD!D:D,0))&amp;"-"&amp;INDEX(BDD!E:E,MATCH(P646,BDD!D:D,0))</f>
        <v>E-S</v>
      </c>
      <c r="C646" s="125" t="s">
        <v>484</v>
      </c>
      <c r="D646" s="150" t="s">
        <v>77</v>
      </c>
      <c r="E646" s="132"/>
      <c r="F646" s="24"/>
      <c r="G646" s="346">
        <v>8000000464</v>
      </c>
      <c r="H646" s="125" t="s">
        <v>2676</v>
      </c>
      <c r="I646" s="329"/>
      <c r="J646" s="346">
        <v>8000000464</v>
      </c>
      <c r="K646" s="24"/>
      <c r="L646" s="24"/>
      <c r="M646" s="24"/>
      <c r="N646" s="340" t="s">
        <v>486</v>
      </c>
      <c r="O646" s="334">
        <v>207522</v>
      </c>
      <c r="P646" s="25" t="s">
        <v>298</v>
      </c>
      <c r="Q646" s="127" t="s">
        <v>183</v>
      </c>
      <c r="R646" s="232" t="s">
        <v>2665</v>
      </c>
      <c r="S646" s="89">
        <v>43623</v>
      </c>
      <c r="T646" s="36">
        <v>90</v>
      </c>
      <c r="U646" s="125" t="s">
        <v>118</v>
      </c>
      <c r="V646" s="147" t="s">
        <v>2677</v>
      </c>
      <c r="W646" s="129"/>
      <c r="X646" s="88">
        <v>43745</v>
      </c>
      <c r="Y646" s="130" t="s">
        <v>20</v>
      </c>
      <c r="Z646" s="133" t="s">
        <v>60</v>
      </c>
      <c r="AA646" s="133"/>
      <c r="AB646" s="148">
        <v>167.82</v>
      </c>
      <c r="AC646" s="134">
        <v>225</v>
      </c>
      <c r="AD646" s="134"/>
      <c r="AE646" s="403">
        <f t="shared" si="33"/>
        <v>37759.5</v>
      </c>
      <c r="AF646" s="132">
        <v>6</v>
      </c>
      <c r="AG646" s="130" t="s">
        <v>5</v>
      </c>
      <c r="AH646" s="130"/>
      <c r="AI646" s="130" t="s">
        <v>100</v>
      </c>
      <c r="AJ646" s="130"/>
      <c r="AK646" s="130"/>
      <c r="AL646" s="135" t="s">
        <v>2674</v>
      </c>
      <c r="AM646" s="314"/>
      <c r="AN646" s="26"/>
      <c r="AO646" s="26"/>
      <c r="AP646" s="26"/>
      <c r="AQ646" s="26">
        <v>43677</v>
      </c>
      <c r="AR646" s="24"/>
      <c r="AS646" s="24"/>
      <c r="AT646" s="24">
        <v>43678</v>
      </c>
      <c r="AU646" s="418">
        <f t="shared" si="34"/>
        <v>8</v>
      </c>
      <c r="AV646" s="418">
        <f t="shared" si="35"/>
        <v>2019</v>
      </c>
      <c r="AW646" s="24"/>
      <c r="AX646" s="28"/>
      <c r="AY646" s="28" t="s">
        <v>8</v>
      </c>
      <c r="AZ646" s="132" t="s">
        <v>9</v>
      </c>
      <c r="BA646" s="132"/>
      <c r="BB646" s="24"/>
      <c r="BC646" s="135" t="s">
        <v>2678</v>
      </c>
      <c r="BD646" s="24">
        <v>43655</v>
      </c>
      <c r="BE646" s="135" t="s">
        <v>865</v>
      </c>
      <c r="BF646" s="135" t="s">
        <v>1938</v>
      </c>
      <c r="BG646" s="135" t="s">
        <v>29</v>
      </c>
      <c r="BH646" s="135"/>
      <c r="BI646" s="314"/>
      <c r="BJ646" s="314"/>
      <c r="BK646" s="24"/>
      <c r="BL646" s="24"/>
      <c r="BM646" s="24"/>
      <c r="BN646" s="24"/>
      <c r="BO646" s="24"/>
      <c r="BP646" s="24"/>
      <c r="BQ646" s="24"/>
      <c r="BR646" s="43"/>
      <c r="BS646" s="24"/>
      <c r="BT646" s="24"/>
      <c r="BU646" s="24"/>
      <c r="BV646" s="132" t="e">
        <f>IF(#REF!="COMPLETO","OK","PENDIENTES")</f>
        <v>#REF!</v>
      </c>
      <c r="BW646" s="132"/>
      <c r="BX646" s="132"/>
      <c r="BY646" s="132"/>
      <c r="BZ646" s="132"/>
      <c r="CA646" s="132"/>
      <c r="CB646" s="132"/>
      <c r="CC646" s="22"/>
      <c r="CG646" s="24" t="s">
        <v>105</v>
      </c>
      <c r="CH646" s="24"/>
      <c r="CI646" s="24"/>
      <c r="CJ646" s="24"/>
    </row>
    <row r="647" spans="1:88" ht="15" customHeight="1">
      <c r="A647" s="18">
        <v>2019</v>
      </c>
      <c r="B647" s="18" t="str">
        <f>+INDEX(BDD!F:F,MATCH(P647,BDD!D:D,0))&amp;"-"&amp;INDEX(BDD!E:E,MATCH(P647,BDD!D:D,0))</f>
        <v>S-S</v>
      </c>
      <c r="C647" s="125" t="s">
        <v>484</v>
      </c>
      <c r="D647" s="150" t="s">
        <v>77</v>
      </c>
      <c r="E647" s="132"/>
      <c r="F647" s="24"/>
      <c r="G647" s="346">
        <v>8000000515</v>
      </c>
      <c r="H647" s="125" t="s">
        <v>2679</v>
      </c>
      <c r="I647" s="329"/>
      <c r="J647" s="346">
        <v>8000000515</v>
      </c>
      <c r="K647" s="24"/>
      <c r="L647" s="24"/>
      <c r="M647" s="24"/>
      <c r="N647" s="340" t="s">
        <v>486</v>
      </c>
      <c r="O647" s="334">
        <v>206914</v>
      </c>
      <c r="P647" s="25" t="s">
        <v>335</v>
      </c>
      <c r="Q647" s="127" t="s">
        <v>264</v>
      </c>
      <c r="R647" s="232" t="s">
        <v>2680</v>
      </c>
      <c r="S647" s="89">
        <v>43629</v>
      </c>
      <c r="T647" s="36">
        <v>90</v>
      </c>
      <c r="U647" s="125" t="s">
        <v>118</v>
      </c>
      <c r="V647" s="147" t="s">
        <v>2681</v>
      </c>
      <c r="W647" s="129"/>
      <c r="X647" s="88">
        <v>43766</v>
      </c>
      <c r="Y647" s="130" t="s">
        <v>20</v>
      </c>
      <c r="Z647" s="133" t="s">
        <v>60</v>
      </c>
      <c r="AA647" s="133"/>
      <c r="AB647" s="148">
        <v>500.4</v>
      </c>
      <c r="AC647" s="134">
        <v>116</v>
      </c>
      <c r="AD647" s="134"/>
      <c r="AE647" s="403">
        <f t="shared" si="33"/>
        <v>58046.399999999994</v>
      </c>
      <c r="AF647" s="132" t="s">
        <v>944</v>
      </c>
      <c r="AG647" s="130" t="s">
        <v>58</v>
      </c>
      <c r="AH647" s="130"/>
      <c r="AI647" s="130" t="s">
        <v>34</v>
      </c>
      <c r="AJ647" s="130"/>
      <c r="AK647" s="130"/>
      <c r="AL647" s="135" t="s">
        <v>2619</v>
      </c>
      <c r="AM647" s="314"/>
      <c r="AN647" s="26"/>
      <c r="AO647" s="26"/>
      <c r="AP647" s="26"/>
      <c r="AQ647" s="26">
        <v>43712</v>
      </c>
      <c r="AR647" s="24"/>
      <c r="AS647" s="24"/>
      <c r="AT647" s="24">
        <v>43722</v>
      </c>
      <c r="AU647" s="418">
        <f t="shared" si="34"/>
        <v>9</v>
      </c>
      <c r="AV647" s="418">
        <f t="shared" si="35"/>
        <v>2019</v>
      </c>
      <c r="AW647" s="24"/>
      <c r="AX647" s="28"/>
      <c r="AY647" s="28" t="s">
        <v>95</v>
      </c>
      <c r="AZ647" s="132" t="s">
        <v>37</v>
      </c>
      <c r="BA647" s="132"/>
      <c r="BB647" s="24"/>
      <c r="BC647" s="135" t="s">
        <v>2682</v>
      </c>
      <c r="BD647" s="24">
        <v>43674</v>
      </c>
      <c r="BE647" s="135" t="s">
        <v>2683</v>
      </c>
      <c r="BF647" s="135" t="s">
        <v>2683</v>
      </c>
      <c r="BG647" s="135" t="s">
        <v>52</v>
      </c>
      <c r="BH647" s="135"/>
      <c r="BI647" s="314"/>
      <c r="BJ647" s="314"/>
      <c r="BK647" s="24"/>
      <c r="BL647" s="24"/>
      <c r="BM647" s="24"/>
      <c r="BN647" s="24"/>
      <c r="BO647" s="24"/>
      <c r="BP647" s="24"/>
      <c r="BQ647" s="24"/>
      <c r="BR647" s="43"/>
      <c r="BS647" s="24"/>
      <c r="BT647" s="24"/>
      <c r="BU647" s="24"/>
      <c r="BV647" s="132" t="e">
        <f>IF(#REF!="COMPLETO","OK","PENDIENTES")</f>
        <v>#REF!</v>
      </c>
      <c r="BW647" s="132"/>
      <c r="BX647" s="132"/>
      <c r="BY647" s="132"/>
      <c r="BZ647" s="132"/>
      <c r="CA647" s="132"/>
      <c r="CB647" s="132"/>
      <c r="CC647" s="22"/>
      <c r="CG647" s="24" t="s">
        <v>105</v>
      </c>
      <c r="CH647" s="24"/>
      <c r="CI647" s="24"/>
      <c r="CJ647" s="24"/>
    </row>
    <row r="648" spans="1:88" ht="15" customHeight="1">
      <c r="A648" s="18">
        <v>2019</v>
      </c>
      <c r="B648" s="18" t="str">
        <f>+INDEX(BDD!F:F,MATCH(P648,BDD!D:D,0))&amp;"-"&amp;INDEX(BDD!E:E,MATCH(P648,BDD!D:D,0))</f>
        <v>S-S</v>
      </c>
      <c r="C648" s="125" t="s">
        <v>484</v>
      </c>
      <c r="D648" s="150" t="s">
        <v>77</v>
      </c>
      <c r="E648" s="132"/>
      <c r="F648" s="24"/>
      <c r="G648" s="346">
        <v>8000000516</v>
      </c>
      <c r="H648" s="125" t="s">
        <v>2684</v>
      </c>
      <c r="I648" s="329"/>
      <c r="J648" s="346">
        <v>8000000516</v>
      </c>
      <c r="K648" s="24"/>
      <c r="L648" s="24"/>
      <c r="M648" s="24"/>
      <c r="N648" s="340" t="s">
        <v>486</v>
      </c>
      <c r="O648" s="334">
        <v>206914</v>
      </c>
      <c r="P648" s="25" t="s">
        <v>335</v>
      </c>
      <c r="Q648" s="127" t="s">
        <v>264</v>
      </c>
      <c r="R648" s="232" t="s">
        <v>2685</v>
      </c>
      <c r="S648" s="89">
        <v>43629</v>
      </c>
      <c r="T648" s="36">
        <v>90</v>
      </c>
      <c r="U648" s="125" t="s">
        <v>118</v>
      </c>
      <c r="V648" s="147" t="s">
        <v>2685</v>
      </c>
      <c r="W648" s="129"/>
      <c r="X648" s="88">
        <v>43739</v>
      </c>
      <c r="Y648" s="130" t="s">
        <v>20</v>
      </c>
      <c r="Z648" s="133" t="s">
        <v>60</v>
      </c>
      <c r="AA648" s="133"/>
      <c r="AB648" s="148">
        <v>514.79999999999995</v>
      </c>
      <c r="AC648" s="134">
        <v>123</v>
      </c>
      <c r="AD648" s="134"/>
      <c r="AE648" s="403">
        <f t="shared" si="33"/>
        <v>63320.399999999994</v>
      </c>
      <c r="AF648" s="132">
        <v>18</v>
      </c>
      <c r="AG648" s="130" t="s">
        <v>21</v>
      </c>
      <c r="AH648" s="130"/>
      <c r="AI648" s="130" t="s">
        <v>34</v>
      </c>
      <c r="AJ648" s="130"/>
      <c r="AK648" s="130"/>
      <c r="AL648" s="135" t="s">
        <v>2619</v>
      </c>
      <c r="AM648" s="314"/>
      <c r="AN648" s="26"/>
      <c r="AO648" s="26"/>
      <c r="AP648" s="26"/>
      <c r="AQ648" s="26">
        <v>43707</v>
      </c>
      <c r="AR648" s="24"/>
      <c r="AS648" s="24"/>
      <c r="AT648" s="24">
        <v>43711</v>
      </c>
      <c r="AU648" s="418">
        <f t="shared" si="34"/>
        <v>9</v>
      </c>
      <c r="AV648" s="418">
        <f t="shared" si="35"/>
        <v>2019</v>
      </c>
      <c r="AW648" s="24"/>
      <c r="AX648" s="28"/>
      <c r="AY648" s="28" t="s">
        <v>95</v>
      </c>
      <c r="AZ648" s="132" t="s">
        <v>9</v>
      </c>
      <c r="BA648" s="132"/>
      <c r="BB648" s="24"/>
      <c r="BC648" s="135" t="s">
        <v>2686</v>
      </c>
      <c r="BD648" s="24">
        <v>43647</v>
      </c>
      <c r="BE648" s="135" t="s">
        <v>2687</v>
      </c>
      <c r="BF648" s="135" t="s">
        <v>589</v>
      </c>
      <c r="BG648" s="135" t="s">
        <v>41</v>
      </c>
      <c r="BH648" s="135"/>
      <c r="BI648" s="314"/>
      <c r="BJ648" s="314"/>
      <c r="BK648" s="24"/>
      <c r="BL648" s="24"/>
      <c r="BM648" s="24"/>
      <c r="BN648" s="24"/>
      <c r="BO648" s="24">
        <v>43724</v>
      </c>
      <c r="BP648" s="24"/>
      <c r="BQ648" s="24"/>
      <c r="BR648" s="43"/>
      <c r="BS648" s="24"/>
      <c r="BT648" s="24"/>
      <c r="BU648" s="24"/>
      <c r="BV648" s="132" t="e">
        <f>IF(#REF!="COMPLETO","OK","PENDIENTES")</f>
        <v>#REF!</v>
      </c>
      <c r="BW648" s="132"/>
      <c r="BX648" s="132"/>
      <c r="BY648" s="132"/>
      <c r="BZ648" s="132"/>
      <c r="CA648" s="132"/>
      <c r="CB648" s="132"/>
      <c r="CC648" s="22"/>
      <c r="CG648" s="24" t="s">
        <v>105</v>
      </c>
      <c r="CH648" s="24"/>
      <c r="CI648" s="24"/>
      <c r="CJ648" s="24"/>
    </row>
    <row r="649" spans="1:88" ht="14.25" customHeight="1">
      <c r="A649" s="18">
        <v>2019</v>
      </c>
      <c r="B649" s="18" t="str">
        <f>+INDEX(BDD!F:F,MATCH(P649,BDD!D:D,0))&amp;"-"&amp;INDEX(BDD!E:E,MATCH(P649,BDD!D:D,0))</f>
        <v>S-S</v>
      </c>
      <c r="C649" s="125" t="s">
        <v>484</v>
      </c>
      <c r="D649" s="150" t="s">
        <v>77</v>
      </c>
      <c r="E649" s="132"/>
      <c r="F649" s="24"/>
      <c r="G649" s="346">
        <v>8000000506</v>
      </c>
      <c r="H649" s="125" t="s">
        <v>2688</v>
      </c>
      <c r="I649" s="329"/>
      <c r="J649" s="346">
        <v>8000000506</v>
      </c>
      <c r="K649" s="24"/>
      <c r="L649" s="24"/>
      <c r="M649" s="24"/>
      <c r="N649" s="340" t="s">
        <v>486</v>
      </c>
      <c r="O649" s="334">
        <v>206971</v>
      </c>
      <c r="P649" s="25" t="s">
        <v>340</v>
      </c>
      <c r="Q649" s="127" t="s">
        <v>213</v>
      </c>
      <c r="R649" s="232" t="s">
        <v>2689</v>
      </c>
      <c r="S649" s="89">
        <v>43634</v>
      </c>
      <c r="T649" s="36" t="s">
        <v>19</v>
      </c>
      <c r="U649" s="125"/>
      <c r="V649" s="147" t="s">
        <v>2690</v>
      </c>
      <c r="W649" s="129"/>
      <c r="X649" s="88">
        <v>43679</v>
      </c>
      <c r="Y649" s="130" t="s">
        <v>20</v>
      </c>
      <c r="Z649" s="133" t="s">
        <v>72</v>
      </c>
      <c r="AA649" s="133"/>
      <c r="AB649" s="148">
        <v>300</v>
      </c>
      <c r="AC649" s="134">
        <v>511</v>
      </c>
      <c r="AD649" s="134"/>
      <c r="AE649" s="403">
        <f t="shared" si="33"/>
        <v>153300</v>
      </c>
      <c r="AF649" s="132">
        <v>12</v>
      </c>
      <c r="AG649" s="130" t="s">
        <v>21</v>
      </c>
      <c r="AH649" s="130"/>
      <c r="AI649" s="130" t="s">
        <v>34</v>
      </c>
      <c r="AJ649" s="130"/>
      <c r="AK649" s="130"/>
      <c r="AL649" s="135" t="s">
        <v>2674</v>
      </c>
      <c r="AM649" s="314"/>
      <c r="AN649" s="26"/>
      <c r="AO649" s="26"/>
      <c r="AP649" s="26"/>
      <c r="AQ649" s="26">
        <v>43692</v>
      </c>
      <c r="AR649" s="24"/>
      <c r="AS649" s="24"/>
      <c r="AT649" s="24">
        <v>43694</v>
      </c>
      <c r="AU649" s="418">
        <f t="shared" si="34"/>
        <v>8</v>
      </c>
      <c r="AV649" s="418">
        <f t="shared" si="35"/>
        <v>2019</v>
      </c>
      <c r="AW649" s="24"/>
      <c r="AX649" s="28"/>
      <c r="AY649" s="28" t="s">
        <v>193</v>
      </c>
      <c r="AZ649" s="132" t="s">
        <v>37</v>
      </c>
      <c r="BA649" s="132"/>
      <c r="BB649" s="24"/>
      <c r="BC649" s="135" t="s">
        <v>2691</v>
      </c>
      <c r="BD649" s="24">
        <v>43663</v>
      </c>
      <c r="BE649" s="135" t="s">
        <v>2692</v>
      </c>
      <c r="BF649" s="135" t="s">
        <v>2693</v>
      </c>
      <c r="BG649" s="135" t="s">
        <v>174</v>
      </c>
      <c r="BH649" s="135"/>
      <c r="BI649" s="314"/>
      <c r="BJ649" s="314"/>
      <c r="BK649" s="24"/>
      <c r="BL649" s="24"/>
      <c r="BM649" s="24"/>
      <c r="BN649" s="24"/>
      <c r="BO649" s="24">
        <f>+AQ649+14</f>
        <v>43706</v>
      </c>
      <c r="BP649" s="24"/>
      <c r="BQ649" s="24"/>
      <c r="BR649" s="43"/>
      <c r="BS649" s="24"/>
      <c r="BT649" s="24"/>
      <c r="BU649" s="24"/>
      <c r="BV649" s="132" t="e">
        <f>IF(#REF!="COMPLETO","OK","PENDIENTES")</f>
        <v>#REF!</v>
      </c>
      <c r="BW649" s="132"/>
      <c r="BX649" s="132"/>
      <c r="BY649" s="132"/>
      <c r="BZ649" s="132"/>
      <c r="CA649" s="132"/>
      <c r="CB649" s="132"/>
      <c r="CC649" s="22"/>
      <c r="CG649" s="24" t="s">
        <v>105</v>
      </c>
      <c r="CH649" s="24"/>
      <c r="CI649" s="24"/>
      <c r="CJ649" s="24"/>
    </row>
    <row r="650" spans="1:88" ht="15" customHeight="1">
      <c r="A650" s="18">
        <v>2019</v>
      </c>
      <c r="B650" s="18" t="str">
        <f>+INDEX(BDD!F:F,MATCH(P650,BDD!D:D,0))&amp;"-"&amp;INDEX(BDD!E:E,MATCH(P650,BDD!D:D,0))</f>
        <v>S-S</v>
      </c>
      <c r="C650" s="125" t="s">
        <v>484</v>
      </c>
      <c r="D650" s="150" t="s">
        <v>77</v>
      </c>
      <c r="E650" s="132"/>
      <c r="F650" s="24"/>
      <c r="G650" s="346">
        <v>8000000540</v>
      </c>
      <c r="H650" s="125" t="s">
        <v>2694</v>
      </c>
      <c r="I650" s="329"/>
      <c r="J650" s="346">
        <v>8000000540</v>
      </c>
      <c r="K650" s="24"/>
      <c r="L650" s="24"/>
      <c r="M650" s="24"/>
      <c r="N650" s="340" t="s">
        <v>486</v>
      </c>
      <c r="O650" s="334">
        <v>206971</v>
      </c>
      <c r="P650" s="25" t="s">
        <v>340</v>
      </c>
      <c r="Q650" s="127" t="s">
        <v>213</v>
      </c>
      <c r="R650" s="232" t="s">
        <v>2695</v>
      </c>
      <c r="S650" s="89">
        <v>43634</v>
      </c>
      <c r="T650" s="36" t="s">
        <v>19</v>
      </c>
      <c r="U650" s="125"/>
      <c r="V650" s="147" t="s">
        <v>2696</v>
      </c>
      <c r="W650" s="129"/>
      <c r="X650" s="88">
        <v>43679</v>
      </c>
      <c r="Y650" s="130" t="s">
        <v>20</v>
      </c>
      <c r="Z650" s="133" t="s">
        <v>72</v>
      </c>
      <c r="AA650" s="133"/>
      <c r="AB650" s="148">
        <v>850</v>
      </c>
      <c r="AC650" s="134">
        <v>521</v>
      </c>
      <c r="AD650" s="134"/>
      <c r="AE650" s="403">
        <f t="shared" si="33"/>
        <v>442850</v>
      </c>
      <c r="AF650" s="132">
        <v>34</v>
      </c>
      <c r="AG650" s="130" t="s">
        <v>21</v>
      </c>
      <c r="AH650" s="130"/>
      <c r="AI650" s="130" t="s">
        <v>34</v>
      </c>
      <c r="AJ650" s="130"/>
      <c r="AK650" s="130"/>
      <c r="AL650" s="135" t="s">
        <v>2674</v>
      </c>
      <c r="AM650" s="314"/>
      <c r="AN650" s="26"/>
      <c r="AO650" s="26"/>
      <c r="AP650" s="26"/>
      <c r="AQ650" s="26">
        <v>43712</v>
      </c>
      <c r="AR650" s="24"/>
      <c r="AS650" s="24"/>
      <c r="AT650" s="24">
        <v>43714</v>
      </c>
      <c r="AU650" s="418">
        <f t="shared" si="34"/>
        <v>9</v>
      </c>
      <c r="AV650" s="418">
        <f t="shared" si="35"/>
        <v>2019</v>
      </c>
      <c r="AW650" s="24"/>
      <c r="AX650" s="28"/>
      <c r="AY650" s="28" t="s">
        <v>193</v>
      </c>
      <c r="AZ650" s="132" t="s">
        <v>9</v>
      </c>
      <c r="BA650" s="132"/>
      <c r="BB650" s="24"/>
      <c r="BC650" s="135" t="s">
        <v>2697</v>
      </c>
      <c r="BD650" s="24">
        <v>43669</v>
      </c>
      <c r="BE650" s="135" t="s">
        <v>2698</v>
      </c>
      <c r="BF650" s="135" t="s">
        <v>1251</v>
      </c>
      <c r="BG650" s="135" t="s">
        <v>174</v>
      </c>
      <c r="BH650" s="135"/>
      <c r="BI650" s="314"/>
      <c r="BJ650" s="314"/>
      <c r="BK650" s="24"/>
      <c r="BL650" s="24"/>
      <c r="BM650" s="24"/>
      <c r="BN650" s="24"/>
      <c r="BO650" s="24">
        <f>+AQ650+14</f>
        <v>43726</v>
      </c>
      <c r="BP650" s="24"/>
      <c r="BQ650" s="24"/>
      <c r="BR650" s="43"/>
      <c r="BS650" s="24"/>
      <c r="BT650" s="24"/>
      <c r="BU650" s="24"/>
      <c r="BV650" s="132" t="e">
        <f>IF(#REF!="COMPLETO","OK","PENDIENTES")</f>
        <v>#REF!</v>
      </c>
      <c r="BW650" s="132"/>
      <c r="BX650" s="132"/>
      <c r="BY650" s="132"/>
      <c r="BZ650" s="132"/>
      <c r="CA650" s="132"/>
      <c r="CB650" s="132"/>
      <c r="CC650" s="22"/>
      <c r="CG650" s="24" t="s">
        <v>105</v>
      </c>
      <c r="CH650" s="24"/>
      <c r="CI650" s="24"/>
      <c r="CJ650" s="24"/>
    </row>
    <row r="651" spans="1:88" ht="15" customHeight="1">
      <c r="A651" s="18">
        <v>2019</v>
      </c>
      <c r="B651" s="18" t="str">
        <f>+INDEX(BDD!F:F,MATCH(P651,BDD!D:D,0))&amp;"-"&amp;INDEX(BDD!E:E,MATCH(P651,BDD!D:D,0))</f>
        <v>S-P</v>
      </c>
      <c r="C651" s="360" t="s">
        <v>484</v>
      </c>
      <c r="D651" s="150" t="s">
        <v>77</v>
      </c>
      <c r="E651" s="132"/>
      <c r="F651" s="24"/>
      <c r="G651" s="346">
        <v>8000000510</v>
      </c>
      <c r="H651" s="220" t="s">
        <v>2699</v>
      </c>
      <c r="I651" s="329"/>
      <c r="J651" s="346">
        <v>8000000510</v>
      </c>
      <c r="K651" s="24"/>
      <c r="L651" s="24"/>
      <c r="M651" s="24"/>
      <c r="N651" s="340" t="s">
        <v>486</v>
      </c>
      <c r="O651" s="334">
        <v>207499</v>
      </c>
      <c r="P651" s="25" t="s">
        <v>343</v>
      </c>
      <c r="Q651" s="127" t="s">
        <v>213</v>
      </c>
      <c r="R651" s="232" t="s">
        <v>2700</v>
      </c>
      <c r="S651" s="89">
        <v>43635</v>
      </c>
      <c r="T651" s="36">
        <v>90</v>
      </c>
      <c r="U651" s="125" t="s">
        <v>118</v>
      </c>
      <c r="V651" s="147" t="s">
        <v>2701</v>
      </c>
      <c r="W651" s="129"/>
      <c r="X651" s="88">
        <f>+BD651+T651</f>
        <v>43742</v>
      </c>
      <c r="Y651" s="130" t="s">
        <v>20</v>
      </c>
      <c r="Z651" s="133" t="s">
        <v>72</v>
      </c>
      <c r="AA651" s="133"/>
      <c r="AB651" s="148">
        <v>108</v>
      </c>
      <c r="AC651" s="134">
        <v>552</v>
      </c>
      <c r="AD651" s="134"/>
      <c r="AE651" s="403">
        <f t="shared" si="33"/>
        <v>59616</v>
      </c>
      <c r="AF651" s="132">
        <v>4</v>
      </c>
      <c r="AG651" s="130" t="s">
        <v>5</v>
      </c>
      <c r="AH651" s="130"/>
      <c r="AI651" s="130" t="s">
        <v>34</v>
      </c>
      <c r="AJ651" s="130"/>
      <c r="AK651" s="130"/>
      <c r="AL651" s="135" t="s">
        <v>2674</v>
      </c>
      <c r="AM651" s="314"/>
      <c r="AN651" s="26"/>
      <c r="AO651" s="26"/>
      <c r="AP651" s="26"/>
      <c r="AQ651" s="26">
        <v>43698</v>
      </c>
      <c r="AR651" s="24"/>
      <c r="AS651" s="24"/>
      <c r="AT651" s="24">
        <v>43700</v>
      </c>
      <c r="AU651" s="418">
        <f t="shared" si="34"/>
        <v>8</v>
      </c>
      <c r="AV651" s="418">
        <f t="shared" si="35"/>
        <v>2019</v>
      </c>
      <c r="AW651" s="24"/>
      <c r="AX651" s="28"/>
      <c r="AY651" s="28" t="s">
        <v>173</v>
      </c>
      <c r="AZ651" s="132" t="s">
        <v>37</v>
      </c>
      <c r="BA651" s="132"/>
      <c r="BB651" s="24"/>
      <c r="BC651" s="135" t="s">
        <v>2702</v>
      </c>
      <c r="BD651" s="24">
        <v>43652</v>
      </c>
      <c r="BE651" s="135" t="s">
        <v>2703</v>
      </c>
      <c r="BF651" s="135" t="s">
        <v>2704</v>
      </c>
      <c r="BG651" s="135" t="s">
        <v>64</v>
      </c>
      <c r="BH651" s="135"/>
      <c r="BI651" s="314"/>
      <c r="BJ651" s="314"/>
      <c r="BK651" s="24"/>
      <c r="BL651" s="24"/>
      <c r="BM651" s="24"/>
      <c r="BN651" s="24"/>
      <c r="BO651" s="24"/>
      <c r="BP651" s="24"/>
      <c r="BQ651" s="24"/>
      <c r="BR651" s="43"/>
      <c r="BS651" s="24"/>
      <c r="BT651" s="24"/>
      <c r="BU651" s="24"/>
      <c r="BV651" s="132" t="e">
        <f>IF(#REF!="COMPLETO","OK","PENDIENTES")</f>
        <v>#REF!</v>
      </c>
      <c r="BW651" s="132"/>
      <c r="BX651" s="132"/>
      <c r="BY651" s="132"/>
      <c r="BZ651" s="132"/>
      <c r="CA651" s="132"/>
      <c r="CB651" s="132"/>
      <c r="CC651" s="22"/>
      <c r="CG651" s="24" t="s">
        <v>105</v>
      </c>
      <c r="CH651" s="24"/>
      <c r="CI651" s="24"/>
      <c r="CJ651" s="24"/>
    </row>
    <row r="652" spans="1:88" ht="15" customHeight="1">
      <c r="A652" s="18">
        <v>2019</v>
      </c>
      <c r="B652" s="18" t="str">
        <f>+INDEX(BDD!F:F,MATCH(P652,BDD!D:D,0))&amp;"-"&amp;INDEX(BDD!E:E,MATCH(P652,BDD!D:D,0))</f>
        <v>S-P</v>
      </c>
      <c r="C652" s="125" t="s">
        <v>484</v>
      </c>
      <c r="D652" s="150" t="s">
        <v>77</v>
      </c>
      <c r="E652" s="132"/>
      <c r="F652" s="24"/>
      <c r="G652" s="346">
        <v>8000000554</v>
      </c>
      <c r="H652" s="125" t="s">
        <v>2705</v>
      </c>
      <c r="I652" s="329"/>
      <c r="J652" s="346">
        <v>8000000554</v>
      </c>
      <c r="K652" s="24"/>
      <c r="L652" s="24"/>
      <c r="M652" s="24"/>
      <c r="N652" s="340" t="s">
        <v>486</v>
      </c>
      <c r="O652" s="334">
        <v>207499</v>
      </c>
      <c r="P652" s="25" t="s">
        <v>343</v>
      </c>
      <c r="Q652" s="127" t="s">
        <v>213</v>
      </c>
      <c r="R652" s="232" t="s">
        <v>2706</v>
      </c>
      <c r="S652" s="89">
        <v>43635</v>
      </c>
      <c r="T652" s="36">
        <v>90</v>
      </c>
      <c r="U652" s="125" t="s">
        <v>118</v>
      </c>
      <c r="V652" s="147" t="s">
        <v>2707</v>
      </c>
      <c r="W652" s="129"/>
      <c r="X652" s="88">
        <f>+BD652+T652</f>
        <v>43756</v>
      </c>
      <c r="Y652" s="130" t="s">
        <v>20</v>
      </c>
      <c r="Z652" s="133" t="s">
        <v>72</v>
      </c>
      <c r="AA652" s="133"/>
      <c r="AB652" s="148">
        <v>324</v>
      </c>
      <c r="AC652" s="134">
        <v>557</v>
      </c>
      <c r="AD652" s="134"/>
      <c r="AE652" s="403">
        <f t="shared" si="33"/>
        <v>180468</v>
      </c>
      <c r="AF652" s="132">
        <v>12</v>
      </c>
      <c r="AG652" s="130" t="s">
        <v>5</v>
      </c>
      <c r="AH652" s="130"/>
      <c r="AI652" s="130" t="s">
        <v>34</v>
      </c>
      <c r="AJ652" s="130"/>
      <c r="AK652" s="130"/>
      <c r="AL652" s="135" t="s">
        <v>2674</v>
      </c>
      <c r="AM652" s="314"/>
      <c r="AN652" s="26"/>
      <c r="AO652" s="26"/>
      <c r="AP652" s="26"/>
      <c r="AQ652" s="26">
        <v>43726</v>
      </c>
      <c r="AR652" s="24"/>
      <c r="AS652" s="24"/>
      <c r="AT652" s="24">
        <v>43729</v>
      </c>
      <c r="AU652" s="418">
        <f t="shared" si="34"/>
        <v>9</v>
      </c>
      <c r="AV652" s="418">
        <f t="shared" si="35"/>
        <v>2019</v>
      </c>
      <c r="AW652" s="24"/>
      <c r="AX652" s="28"/>
      <c r="AY652" s="28" t="s">
        <v>173</v>
      </c>
      <c r="AZ652" s="132" t="s">
        <v>9</v>
      </c>
      <c r="BA652" s="132"/>
      <c r="BB652" s="24"/>
      <c r="BC652" s="135" t="s">
        <v>2708</v>
      </c>
      <c r="BD652" s="24">
        <v>43666</v>
      </c>
      <c r="BE652" s="135" t="s">
        <v>2709</v>
      </c>
      <c r="BF652" s="135" t="s">
        <v>2545</v>
      </c>
      <c r="BG652" s="135" t="s">
        <v>29</v>
      </c>
      <c r="BH652" s="135"/>
      <c r="BI652" s="314"/>
      <c r="BJ652" s="314"/>
      <c r="BK652" s="24"/>
      <c r="BL652" s="24"/>
      <c r="BM652" s="24"/>
      <c r="BN652" s="24"/>
      <c r="BO652" s="24">
        <v>43750</v>
      </c>
      <c r="BP652" s="24"/>
      <c r="BQ652" s="24"/>
      <c r="BR652" s="43"/>
      <c r="BS652" s="24"/>
      <c r="BT652" s="24"/>
      <c r="BU652" s="24"/>
      <c r="BV652" s="132" t="e">
        <f>IF(#REF!="COMPLETO","OK","PENDIENTES")</f>
        <v>#REF!</v>
      </c>
      <c r="BW652" s="132"/>
      <c r="BX652" s="132"/>
      <c r="BY652" s="132"/>
      <c r="BZ652" s="132"/>
      <c r="CA652" s="132"/>
      <c r="CB652" s="132"/>
      <c r="CC652" s="22"/>
      <c r="CG652" s="24" t="s">
        <v>105</v>
      </c>
      <c r="CH652" s="24"/>
      <c r="CI652" s="24"/>
      <c r="CJ652" s="24"/>
    </row>
    <row r="653" spans="1:88" ht="15" customHeight="1">
      <c r="A653" s="18">
        <v>2019</v>
      </c>
      <c r="B653" s="18" t="str">
        <f>+INDEX(BDD!F:F,MATCH(P653,BDD!D:D,0))&amp;"-"&amp;INDEX(BDD!E:E,MATCH(P653,BDD!D:D,0))</f>
        <v>S-S</v>
      </c>
      <c r="C653" s="125" t="s">
        <v>484</v>
      </c>
      <c r="D653" s="150" t="s">
        <v>77</v>
      </c>
      <c r="E653" s="132"/>
      <c r="F653" s="24"/>
      <c r="G653" s="346">
        <v>8000000542</v>
      </c>
      <c r="H653" s="125" t="s">
        <v>2710</v>
      </c>
      <c r="I653" s="329"/>
      <c r="J653" s="346">
        <v>8000000542</v>
      </c>
      <c r="K653" s="24"/>
      <c r="L653" s="24"/>
      <c r="M653" s="24"/>
      <c r="N653" s="340" t="s">
        <v>486</v>
      </c>
      <c r="O653" s="334">
        <v>207578</v>
      </c>
      <c r="P653" s="25" t="s">
        <v>229</v>
      </c>
      <c r="Q653" s="127" t="s">
        <v>199</v>
      </c>
      <c r="R653" s="232" t="s">
        <v>2711</v>
      </c>
      <c r="S653" s="89">
        <v>43634</v>
      </c>
      <c r="T653" s="36">
        <v>90</v>
      </c>
      <c r="U653" s="125" t="s">
        <v>118</v>
      </c>
      <c r="V653" s="147" t="s">
        <v>2712</v>
      </c>
      <c r="W653" s="129"/>
      <c r="X653" s="88">
        <f>+BD653+90</f>
        <v>43768</v>
      </c>
      <c r="Y653" s="130" t="s">
        <v>20</v>
      </c>
      <c r="Z653" s="133" t="s">
        <v>60</v>
      </c>
      <c r="AA653" s="133"/>
      <c r="AB653" s="148">
        <v>700</v>
      </c>
      <c r="AC653" s="134">
        <v>240</v>
      </c>
      <c r="AD653" s="134"/>
      <c r="AE653" s="403">
        <f t="shared" si="33"/>
        <v>168000</v>
      </c>
      <c r="AF653" s="132">
        <v>25</v>
      </c>
      <c r="AG653" s="130" t="s">
        <v>21</v>
      </c>
      <c r="AH653" s="130"/>
      <c r="AI653" s="130" t="s">
        <v>34</v>
      </c>
      <c r="AJ653" s="130"/>
      <c r="AK653" s="130"/>
      <c r="AL653" s="135" t="s">
        <v>2674</v>
      </c>
      <c r="AM653" s="314"/>
      <c r="AN653" s="26"/>
      <c r="AO653" s="26"/>
      <c r="AP653" s="26"/>
      <c r="AQ653" s="26">
        <v>43718</v>
      </c>
      <c r="AR653" s="24"/>
      <c r="AS653" s="24"/>
      <c r="AT653" s="24">
        <v>43721</v>
      </c>
      <c r="AU653" s="418">
        <f t="shared" si="34"/>
        <v>9</v>
      </c>
      <c r="AV653" s="418">
        <f t="shared" si="35"/>
        <v>2019</v>
      </c>
      <c r="AW653" s="24"/>
      <c r="AX653" s="28"/>
      <c r="AY653" s="28" t="s">
        <v>311</v>
      </c>
      <c r="AZ653" s="132" t="s">
        <v>9</v>
      </c>
      <c r="BA653" s="132"/>
      <c r="BB653" s="24"/>
      <c r="BC653" s="135" t="s">
        <v>2713</v>
      </c>
      <c r="BD653" s="24">
        <v>43678</v>
      </c>
      <c r="BE653" s="135" t="s">
        <v>2714</v>
      </c>
      <c r="BF653" s="135" t="s">
        <v>2214</v>
      </c>
      <c r="BG653" s="135" t="s">
        <v>174</v>
      </c>
      <c r="BH653" s="135"/>
      <c r="BI653" s="314"/>
      <c r="BJ653" s="314"/>
      <c r="BK653" s="24"/>
      <c r="BL653" s="24"/>
      <c r="BM653" s="24"/>
      <c r="BN653" s="24"/>
      <c r="BO653" s="24">
        <v>43731</v>
      </c>
      <c r="BP653" s="24"/>
      <c r="BQ653" s="24"/>
      <c r="BR653" s="43"/>
      <c r="BS653" s="24"/>
      <c r="BT653" s="24"/>
      <c r="BU653" s="24"/>
      <c r="BV653" s="132" t="e">
        <f>IF(#REF!="COMPLETO","OK","PENDIENTES")</f>
        <v>#REF!</v>
      </c>
      <c r="BW653" s="132"/>
      <c r="BX653" s="132"/>
      <c r="BY653" s="132"/>
      <c r="BZ653" s="132"/>
      <c r="CA653" s="132"/>
      <c r="CB653" s="132"/>
      <c r="CC653" s="22"/>
      <c r="CG653" s="24" t="s">
        <v>105</v>
      </c>
      <c r="CH653" s="24"/>
      <c r="CI653" s="24"/>
      <c r="CJ653" s="24"/>
    </row>
    <row r="654" spans="1:88" ht="15" customHeight="1">
      <c r="A654" s="18">
        <v>2019</v>
      </c>
      <c r="B654" s="18" t="str">
        <f>+INDEX(BDD!F:F,MATCH(P654,BDD!D:D,0))&amp;"-"&amp;INDEX(BDD!E:E,MATCH(P654,BDD!D:D,0))</f>
        <v>G-S</v>
      </c>
      <c r="C654" s="125" t="s">
        <v>484</v>
      </c>
      <c r="D654" s="150" t="s">
        <v>77</v>
      </c>
      <c r="E654" s="132"/>
      <c r="F654" s="24"/>
      <c r="G654" s="346">
        <v>8000000560</v>
      </c>
      <c r="H654" s="125" t="s">
        <v>2715</v>
      </c>
      <c r="I654" s="329"/>
      <c r="J654" s="346">
        <v>8000000560</v>
      </c>
      <c r="K654" s="24"/>
      <c r="L654" s="24"/>
      <c r="M654" s="24"/>
      <c r="N654" s="340" t="s">
        <v>486</v>
      </c>
      <c r="O654" s="334">
        <v>206600</v>
      </c>
      <c r="P654" s="25" t="s">
        <v>339</v>
      </c>
      <c r="Q654" s="127" t="s">
        <v>199</v>
      </c>
      <c r="R654" s="232" t="s">
        <v>2716</v>
      </c>
      <c r="S654" s="89">
        <v>43636</v>
      </c>
      <c r="T654" s="36">
        <v>60</v>
      </c>
      <c r="U654" s="125" t="s">
        <v>118</v>
      </c>
      <c r="V654" s="147" t="s">
        <v>2717</v>
      </c>
      <c r="W654" s="129"/>
      <c r="X654" s="88">
        <f>+BD654+T654</f>
        <v>43734</v>
      </c>
      <c r="Y654" s="130" t="s">
        <v>20</v>
      </c>
      <c r="Z654" s="133" t="s">
        <v>60</v>
      </c>
      <c r="AA654" s="133"/>
      <c r="AB654" s="148">
        <v>400</v>
      </c>
      <c r="AC654" s="134">
        <v>482.17</v>
      </c>
      <c r="AD654" s="134"/>
      <c r="AE654" s="403">
        <f t="shared" si="33"/>
        <v>192868</v>
      </c>
      <c r="AF654" s="132"/>
      <c r="AG654" s="130" t="s">
        <v>58</v>
      </c>
      <c r="AH654" s="130"/>
      <c r="AI654" s="130" t="s">
        <v>47</v>
      </c>
      <c r="AJ654" s="130"/>
      <c r="AK654" s="130"/>
      <c r="AL654" s="135" t="s">
        <v>2674</v>
      </c>
      <c r="AM654" s="314"/>
      <c r="AN654" s="26"/>
      <c r="AO654" s="26"/>
      <c r="AP654" s="26"/>
      <c r="AQ654" s="26">
        <v>43712</v>
      </c>
      <c r="AR654" s="24"/>
      <c r="AS654" s="24"/>
      <c r="AT654" s="24">
        <v>43722</v>
      </c>
      <c r="AU654" s="418">
        <f t="shared" si="34"/>
        <v>9</v>
      </c>
      <c r="AV654" s="418">
        <f t="shared" si="35"/>
        <v>2019</v>
      </c>
      <c r="AW654" s="24"/>
      <c r="AX654" s="28"/>
      <c r="AY654" s="28" t="s">
        <v>95</v>
      </c>
      <c r="AZ654" s="132" t="s">
        <v>37</v>
      </c>
      <c r="BA654" s="132"/>
      <c r="BB654" s="24"/>
      <c r="BC654" s="135" t="s">
        <v>2718</v>
      </c>
      <c r="BD654" s="24">
        <v>43674</v>
      </c>
      <c r="BE654" s="135" t="s">
        <v>2683</v>
      </c>
      <c r="BF654" s="135" t="s">
        <v>2683</v>
      </c>
      <c r="BG654" s="135" t="s">
        <v>52</v>
      </c>
      <c r="BH654" s="135"/>
      <c r="BI654" s="314"/>
      <c r="BJ654" s="314"/>
      <c r="BK654" s="24"/>
      <c r="BL654" s="24"/>
      <c r="BM654" s="24"/>
      <c r="BN654" s="24"/>
      <c r="BO654" s="24"/>
      <c r="BP654" s="24"/>
      <c r="BQ654" s="24"/>
      <c r="BR654" s="43"/>
      <c r="BS654" s="24"/>
      <c r="BT654" s="24"/>
      <c r="BU654" s="24"/>
      <c r="BV654" s="132" t="e">
        <f>IF(#REF!="COMPLETO","OK","PENDIENTES")</f>
        <v>#REF!</v>
      </c>
      <c r="BW654" s="132"/>
      <c r="BX654" s="132"/>
      <c r="BY654" s="132"/>
      <c r="BZ654" s="132"/>
      <c r="CA654" s="132"/>
      <c r="CB654" s="132"/>
      <c r="CC654" s="22"/>
      <c r="CG654" s="24" t="s">
        <v>105</v>
      </c>
      <c r="CH654" s="24"/>
      <c r="CI654" s="24"/>
      <c r="CJ654" s="24"/>
    </row>
    <row r="655" spans="1:88" ht="15" customHeight="1">
      <c r="A655" s="18">
        <v>2019</v>
      </c>
      <c r="B655" s="18" t="str">
        <f>+INDEX(BDD!F:F,MATCH(P655,BDD!D:D,0))&amp;"-"&amp;INDEX(BDD!E:E,MATCH(P655,BDD!D:D,0))</f>
        <v>G-S</v>
      </c>
      <c r="C655" s="125" t="s">
        <v>484</v>
      </c>
      <c r="D655" s="150" t="s">
        <v>77</v>
      </c>
      <c r="E655" s="132"/>
      <c r="F655" s="24"/>
      <c r="G655" s="346">
        <v>8000000468</v>
      </c>
      <c r="H655" s="125" t="s">
        <v>2719</v>
      </c>
      <c r="I655" s="329"/>
      <c r="J655" s="346">
        <v>8000000468</v>
      </c>
      <c r="K655" s="24"/>
      <c r="L655" s="24"/>
      <c r="M655" s="24"/>
      <c r="N655" s="340" t="s">
        <v>486</v>
      </c>
      <c r="O655" s="334">
        <v>206600</v>
      </c>
      <c r="P655" s="25" t="s">
        <v>339</v>
      </c>
      <c r="Q655" s="127" t="s">
        <v>133</v>
      </c>
      <c r="R655" s="232" t="s">
        <v>2720</v>
      </c>
      <c r="S655" s="89">
        <v>43636</v>
      </c>
      <c r="T655" s="36">
        <v>90</v>
      </c>
      <c r="U655" s="125" t="s">
        <v>118</v>
      </c>
      <c r="V655" s="147" t="s">
        <v>2721</v>
      </c>
      <c r="W655" s="129"/>
      <c r="X655" s="88">
        <f>90+BD655</f>
        <v>43781</v>
      </c>
      <c r="Y655" s="130" t="s">
        <v>20</v>
      </c>
      <c r="Z655" s="133" t="s">
        <v>60</v>
      </c>
      <c r="AA655" s="133"/>
      <c r="AB655" s="148">
        <v>369.2</v>
      </c>
      <c r="AC655" s="134">
        <v>482</v>
      </c>
      <c r="AD655" s="134"/>
      <c r="AE655" s="403">
        <f t="shared" si="33"/>
        <v>177954.4</v>
      </c>
      <c r="AF655" s="132">
        <v>13</v>
      </c>
      <c r="AG655" s="130" t="s">
        <v>21</v>
      </c>
      <c r="AH655" s="130"/>
      <c r="AI655" s="130" t="s">
        <v>47</v>
      </c>
      <c r="AJ655" s="130"/>
      <c r="AK655" s="130"/>
      <c r="AL655" s="135" t="s">
        <v>2674</v>
      </c>
      <c r="AM655" s="314"/>
      <c r="AN655" s="26"/>
      <c r="AO655" s="26"/>
      <c r="AP655" s="26"/>
      <c r="AQ655" s="26">
        <v>43739</v>
      </c>
      <c r="AR655" s="24"/>
      <c r="AS655" s="24"/>
      <c r="AT655" s="24">
        <v>43742</v>
      </c>
      <c r="AU655" s="418">
        <f t="shared" si="34"/>
        <v>10</v>
      </c>
      <c r="AV655" s="418">
        <f t="shared" si="35"/>
        <v>2019</v>
      </c>
      <c r="AW655" s="24"/>
      <c r="AX655" s="28"/>
      <c r="AY655" s="28" t="s">
        <v>139</v>
      </c>
      <c r="AZ655" s="132" t="s">
        <v>9</v>
      </c>
      <c r="BA655" s="132"/>
      <c r="BB655" s="24"/>
      <c r="BC655" s="135" t="s">
        <v>2722</v>
      </c>
      <c r="BD655" s="24">
        <v>43691</v>
      </c>
      <c r="BE655" s="135" t="s">
        <v>2723</v>
      </c>
      <c r="BF655" s="135" t="s">
        <v>1251</v>
      </c>
      <c r="BG655" s="135" t="s">
        <v>174</v>
      </c>
      <c r="BH655" s="135"/>
      <c r="BI655" s="314"/>
      <c r="BJ655" s="314"/>
      <c r="BK655" s="24"/>
      <c r="BL655" s="24"/>
      <c r="BM655" s="24"/>
      <c r="BN655" s="24"/>
      <c r="BO655" s="24">
        <v>43754</v>
      </c>
      <c r="BP655" s="24"/>
      <c r="BQ655" s="24"/>
      <c r="BR655" s="43"/>
      <c r="BS655" s="24"/>
      <c r="BT655" s="24"/>
      <c r="BU655" s="24"/>
      <c r="BV655" s="132" t="e">
        <f>IF(#REF!="COMPLETO","OK","PENDIENTES")</f>
        <v>#REF!</v>
      </c>
      <c r="BW655" s="132"/>
      <c r="BX655" s="132"/>
      <c r="BY655" s="132"/>
      <c r="BZ655" s="132"/>
      <c r="CA655" s="132"/>
      <c r="CB655" s="132"/>
      <c r="CC655" s="22"/>
      <c r="CG655" s="24" t="s">
        <v>105</v>
      </c>
      <c r="CH655" s="24"/>
      <c r="CI655" s="24"/>
      <c r="CJ655" s="24"/>
    </row>
    <row r="656" spans="1:88" ht="15" customHeight="1">
      <c r="A656" s="18">
        <v>2019</v>
      </c>
      <c r="B656" s="18" t="str">
        <f>+INDEX(BDD!F:F,MATCH(P656,BDD!D:D,0))&amp;"-"&amp;INDEX(BDD!E:E,MATCH(P656,BDD!D:D,0))</f>
        <v>S-S</v>
      </c>
      <c r="C656" s="125" t="s">
        <v>484</v>
      </c>
      <c r="D656" s="150" t="s">
        <v>77</v>
      </c>
      <c r="E656" s="132"/>
      <c r="F656" s="24"/>
      <c r="G656" s="346">
        <v>8000000551</v>
      </c>
      <c r="H656" s="125" t="s">
        <v>2724</v>
      </c>
      <c r="I656" s="329"/>
      <c r="J656" s="346">
        <v>8000000551</v>
      </c>
      <c r="K656" s="24"/>
      <c r="L656" s="24"/>
      <c r="M656" s="24"/>
      <c r="N656" s="340" t="s">
        <v>486</v>
      </c>
      <c r="O656" s="334">
        <v>203631</v>
      </c>
      <c r="P656" s="25" t="s">
        <v>340</v>
      </c>
      <c r="Q656" s="127" t="s">
        <v>300</v>
      </c>
      <c r="R656" s="232" t="s">
        <v>2725</v>
      </c>
      <c r="S656" s="89">
        <v>43636</v>
      </c>
      <c r="T656" s="36">
        <v>60</v>
      </c>
      <c r="U656" s="125" t="s">
        <v>118</v>
      </c>
      <c r="V656" s="147" t="s">
        <v>2726</v>
      </c>
      <c r="W656" s="129"/>
      <c r="X656" s="88">
        <f>+BD656+60</f>
        <v>43727</v>
      </c>
      <c r="Y656" s="130" t="s">
        <v>20</v>
      </c>
      <c r="Z656" s="133" t="s">
        <v>60</v>
      </c>
      <c r="AA656" s="133"/>
      <c r="AB656" s="148">
        <v>100</v>
      </c>
      <c r="AC656" s="134">
        <v>467.01</v>
      </c>
      <c r="AD656" s="134"/>
      <c r="AE656" s="403">
        <f t="shared" si="33"/>
        <v>46701</v>
      </c>
      <c r="AF656" s="132"/>
      <c r="AG656" s="130" t="s">
        <v>58</v>
      </c>
      <c r="AH656" s="130"/>
      <c r="AI656" s="130" t="s">
        <v>34</v>
      </c>
      <c r="AJ656" s="130"/>
      <c r="AK656" s="130"/>
      <c r="AL656" s="135" t="s">
        <v>2674</v>
      </c>
      <c r="AM656" s="314"/>
      <c r="AN656" s="26"/>
      <c r="AO656" s="26"/>
      <c r="AP656" s="26"/>
      <c r="AQ656" s="26">
        <v>43712</v>
      </c>
      <c r="AR656" s="24"/>
      <c r="AS656" s="24"/>
      <c r="AT656" s="24">
        <v>43722</v>
      </c>
      <c r="AU656" s="418">
        <f t="shared" si="34"/>
        <v>9</v>
      </c>
      <c r="AV656" s="418">
        <f t="shared" si="35"/>
        <v>2019</v>
      </c>
      <c r="AW656" s="24"/>
      <c r="AX656" s="28"/>
      <c r="AY656" s="28" t="s">
        <v>290</v>
      </c>
      <c r="AZ656" s="132" t="s">
        <v>37</v>
      </c>
      <c r="BA656" s="132"/>
      <c r="BB656" s="24"/>
      <c r="BC656" s="135" t="s">
        <v>2727</v>
      </c>
      <c r="BD656" s="24">
        <v>43667</v>
      </c>
      <c r="BE656" s="135" t="s">
        <v>2683</v>
      </c>
      <c r="BF656" s="135" t="s">
        <v>2683</v>
      </c>
      <c r="BG656" s="135" t="s">
        <v>52</v>
      </c>
      <c r="BH656" s="135"/>
      <c r="BI656" s="314"/>
      <c r="BJ656" s="314"/>
      <c r="BK656" s="24"/>
      <c r="BL656" s="24"/>
      <c r="BM656" s="24"/>
      <c r="BN656" s="24"/>
      <c r="BO656" s="24"/>
      <c r="BP656" s="24"/>
      <c r="BQ656" s="24"/>
      <c r="BR656" s="43"/>
      <c r="BS656" s="24"/>
      <c r="BT656" s="24"/>
      <c r="BU656" s="24"/>
      <c r="BV656" s="132" t="e">
        <f>IF(#REF!="COMPLETO","OK","PENDIENTES")</f>
        <v>#REF!</v>
      </c>
      <c r="BW656" s="132"/>
      <c r="BX656" s="132"/>
      <c r="BY656" s="132"/>
      <c r="BZ656" s="132"/>
      <c r="CA656" s="132"/>
      <c r="CB656" s="132"/>
      <c r="CC656" s="22"/>
      <c r="CG656" s="24" t="s">
        <v>105</v>
      </c>
      <c r="CH656" s="24"/>
      <c r="CI656" s="24"/>
      <c r="CJ656" s="24"/>
    </row>
    <row r="657" spans="1:88" ht="15" customHeight="1">
      <c r="A657" s="18">
        <v>2019</v>
      </c>
      <c r="B657" s="18" t="str">
        <f>+INDEX(BDD!F:F,MATCH(P657,BDD!D:D,0))&amp;"-"&amp;INDEX(BDD!E:E,MATCH(P657,BDD!D:D,0))</f>
        <v>S-S</v>
      </c>
      <c r="C657" s="125" t="s">
        <v>484</v>
      </c>
      <c r="D657" s="150" t="s">
        <v>77</v>
      </c>
      <c r="E657" s="132"/>
      <c r="F657" s="24"/>
      <c r="G657" s="346">
        <v>8000000552</v>
      </c>
      <c r="H657" s="125" t="s">
        <v>2728</v>
      </c>
      <c r="I657" s="329"/>
      <c r="J657" s="346">
        <v>8000000552</v>
      </c>
      <c r="K657" s="24"/>
      <c r="L657" s="24"/>
      <c r="M657" s="24"/>
      <c r="N657" s="340" t="s">
        <v>486</v>
      </c>
      <c r="O657" s="334">
        <v>203631</v>
      </c>
      <c r="P657" s="25" t="s">
        <v>340</v>
      </c>
      <c r="Q657" s="127" t="s">
        <v>300</v>
      </c>
      <c r="R657" s="232" t="s">
        <v>2725</v>
      </c>
      <c r="S657" s="89">
        <v>43636</v>
      </c>
      <c r="T657" s="36">
        <v>60</v>
      </c>
      <c r="U657" s="125" t="s">
        <v>118</v>
      </c>
      <c r="V657" s="147" t="s">
        <v>2729</v>
      </c>
      <c r="W657" s="129"/>
      <c r="X657" s="88">
        <f>+BD657+60</f>
        <v>43733</v>
      </c>
      <c r="Y657" s="130" t="s">
        <v>20</v>
      </c>
      <c r="Z657" s="133" t="s">
        <v>60</v>
      </c>
      <c r="AA657" s="133"/>
      <c r="AB657" s="148">
        <v>224</v>
      </c>
      <c r="AC657" s="134">
        <v>467.01</v>
      </c>
      <c r="AD657" s="134"/>
      <c r="AE657" s="403">
        <f t="shared" si="33"/>
        <v>104610.23999999999</v>
      </c>
      <c r="AF657" s="132">
        <v>8</v>
      </c>
      <c r="AG657" s="130" t="s">
        <v>21</v>
      </c>
      <c r="AH657" s="130"/>
      <c r="AI657" s="130" t="s">
        <v>34</v>
      </c>
      <c r="AJ657" s="130"/>
      <c r="AK657" s="130"/>
      <c r="AL657" s="135" t="s">
        <v>2674</v>
      </c>
      <c r="AM657" s="314"/>
      <c r="AN657" s="26"/>
      <c r="AO657" s="26"/>
      <c r="AP657" s="26"/>
      <c r="AQ657" s="26">
        <v>43712</v>
      </c>
      <c r="AR657" s="24"/>
      <c r="AS657" s="24"/>
      <c r="AT657" s="24">
        <v>43714</v>
      </c>
      <c r="AU657" s="418">
        <f t="shared" si="34"/>
        <v>9</v>
      </c>
      <c r="AV657" s="418">
        <f t="shared" si="35"/>
        <v>2019</v>
      </c>
      <c r="AW657" s="24"/>
      <c r="AX657" s="28"/>
      <c r="AY657" s="28" t="s">
        <v>257</v>
      </c>
      <c r="AZ657" s="132" t="s">
        <v>9</v>
      </c>
      <c r="BA657" s="132"/>
      <c r="BB657" s="24"/>
      <c r="BC657" s="135" t="s">
        <v>2730</v>
      </c>
      <c r="BD657" s="24">
        <v>43673</v>
      </c>
      <c r="BE657" s="135" t="s">
        <v>2731</v>
      </c>
      <c r="BF657" s="135" t="s">
        <v>1251</v>
      </c>
      <c r="BG657" s="135" t="s">
        <v>174</v>
      </c>
      <c r="BH657" s="135"/>
      <c r="BI657" s="314"/>
      <c r="BJ657" s="314"/>
      <c r="BK657" s="24"/>
      <c r="BL657" s="24"/>
      <c r="BM657" s="24"/>
      <c r="BN657" s="24"/>
      <c r="BO657" s="24"/>
      <c r="BP657" s="24"/>
      <c r="BQ657" s="24"/>
      <c r="BR657" s="43"/>
      <c r="BS657" s="24"/>
      <c r="BT657" s="24"/>
      <c r="BU657" s="24"/>
      <c r="BV657" s="132" t="e">
        <f>IF(#REF!="COMPLETO","OK","PENDIENTES")</f>
        <v>#REF!</v>
      </c>
      <c r="BW657" s="132"/>
      <c r="BX657" s="132"/>
      <c r="BY657" s="132"/>
      <c r="BZ657" s="132"/>
      <c r="CA657" s="132"/>
      <c r="CB657" s="132"/>
      <c r="CC657" s="22"/>
      <c r="CG657" s="24" t="s">
        <v>105</v>
      </c>
      <c r="CH657" s="24"/>
      <c r="CI657" s="24"/>
      <c r="CJ657" s="24"/>
    </row>
    <row r="658" spans="1:88" ht="15" customHeight="1">
      <c r="A658" s="18">
        <v>2019</v>
      </c>
      <c r="B658" s="18" t="str">
        <f>+INDEX(BDD!F:F,MATCH(P658,BDD!D:D,0))&amp;"-"&amp;INDEX(BDD!E:E,MATCH(P658,BDD!D:D,0))</f>
        <v>S-S</v>
      </c>
      <c r="C658" s="125" t="s">
        <v>484</v>
      </c>
      <c r="D658" s="150" t="s">
        <v>77</v>
      </c>
      <c r="E658" s="132"/>
      <c r="F658" s="24"/>
      <c r="G658" s="346">
        <v>8000000548</v>
      </c>
      <c r="H658" s="125" t="s">
        <v>2732</v>
      </c>
      <c r="I658" s="329"/>
      <c r="J658" s="346">
        <v>8000000548</v>
      </c>
      <c r="K658" s="24"/>
      <c r="L658" s="24"/>
      <c r="M658" s="24"/>
      <c r="N658" s="340" t="s">
        <v>486</v>
      </c>
      <c r="O658" s="334">
        <v>207578</v>
      </c>
      <c r="P658" s="25" t="s">
        <v>229</v>
      </c>
      <c r="Q658" s="127" t="s">
        <v>133</v>
      </c>
      <c r="R658" s="232" t="s">
        <v>2733</v>
      </c>
      <c r="S658" s="89">
        <v>43637</v>
      </c>
      <c r="T658" s="36">
        <v>90</v>
      </c>
      <c r="U658" s="125" t="s">
        <v>118</v>
      </c>
      <c r="V658" s="147" t="s">
        <v>2734</v>
      </c>
      <c r="W658" s="129"/>
      <c r="X658" s="88">
        <v>43703</v>
      </c>
      <c r="Y658" s="130" t="s">
        <v>20</v>
      </c>
      <c r="Z658" s="133" t="s">
        <v>60</v>
      </c>
      <c r="AA658" s="133"/>
      <c r="AB658" s="148">
        <v>500.4</v>
      </c>
      <c r="AC658" s="134">
        <v>240</v>
      </c>
      <c r="AD658" s="134"/>
      <c r="AE658" s="403">
        <f t="shared" si="33"/>
        <v>120096</v>
      </c>
      <c r="AF658" s="132"/>
      <c r="AG658" s="130" t="s">
        <v>58</v>
      </c>
      <c r="AH658" s="130"/>
      <c r="AI658" s="130" t="s">
        <v>34</v>
      </c>
      <c r="AJ658" s="130"/>
      <c r="AK658" s="130"/>
      <c r="AL658" s="135" t="s">
        <v>2674</v>
      </c>
      <c r="AM658" s="314"/>
      <c r="AN658" s="26"/>
      <c r="AO658" s="26"/>
      <c r="AP658" s="26"/>
      <c r="AQ658" s="26">
        <v>43712</v>
      </c>
      <c r="AR658" s="24"/>
      <c r="AS658" s="24"/>
      <c r="AT658" s="24">
        <v>43722</v>
      </c>
      <c r="AU658" s="418">
        <f t="shared" si="34"/>
        <v>9</v>
      </c>
      <c r="AV658" s="418">
        <f t="shared" si="35"/>
        <v>2019</v>
      </c>
      <c r="AW658" s="24"/>
      <c r="AX658" s="28"/>
      <c r="AY658" s="28" t="s">
        <v>290</v>
      </c>
      <c r="AZ658" s="132" t="s">
        <v>37</v>
      </c>
      <c r="BA658" s="132"/>
      <c r="BB658" s="24"/>
      <c r="BC658" s="135" t="s">
        <v>2735</v>
      </c>
      <c r="BD658" s="24">
        <v>43667</v>
      </c>
      <c r="BE658" s="135" t="s">
        <v>2683</v>
      </c>
      <c r="BF658" s="135" t="s">
        <v>2683</v>
      </c>
      <c r="BG658" s="135" t="s">
        <v>52</v>
      </c>
      <c r="BH658" s="135"/>
      <c r="BI658" s="314"/>
      <c r="BJ658" s="314"/>
      <c r="BK658" s="24"/>
      <c r="BL658" s="24"/>
      <c r="BM658" s="24"/>
      <c r="BN658" s="24"/>
      <c r="BO658" s="24"/>
      <c r="BP658" s="24"/>
      <c r="BQ658" s="24"/>
      <c r="BR658" s="43"/>
      <c r="BS658" s="24"/>
      <c r="BT658" s="24"/>
      <c r="BU658" s="24"/>
      <c r="BV658" s="132" t="e">
        <f>IF(#REF!="COMPLETO","OK","PENDIENTES")</f>
        <v>#REF!</v>
      </c>
      <c r="BW658" s="132"/>
      <c r="BX658" s="132"/>
      <c r="BY658" s="132"/>
      <c r="BZ658" s="132"/>
      <c r="CA658" s="132"/>
      <c r="CB658" s="132"/>
      <c r="CC658" s="22"/>
      <c r="CG658" s="24" t="s">
        <v>105</v>
      </c>
      <c r="CH658" s="24"/>
      <c r="CI658" s="24"/>
      <c r="CJ658" s="24"/>
    </row>
    <row r="659" spans="1:88" ht="15" customHeight="1">
      <c r="A659" s="18">
        <v>2019</v>
      </c>
      <c r="B659" s="18" t="str">
        <f>+INDEX(BDD!F:F,MATCH(P659,BDD!D:D,0))&amp;"-"&amp;INDEX(BDD!E:E,MATCH(P659,BDD!D:D,0))</f>
        <v>E-S</v>
      </c>
      <c r="C659" s="360" t="s">
        <v>484</v>
      </c>
      <c r="D659" s="150" t="s">
        <v>77</v>
      </c>
      <c r="E659" s="132"/>
      <c r="F659" s="24"/>
      <c r="G659" s="346">
        <v>8000000495</v>
      </c>
      <c r="H659" s="220" t="s">
        <v>2736</v>
      </c>
      <c r="I659" s="329"/>
      <c r="J659" s="346">
        <v>8000000495</v>
      </c>
      <c r="K659" s="24"/>
      <c r="L659" s="24"/>
      <c r="M659" s="24"/>
      <c r="N659" s="340" t="s">
        <v>486</v>
      </c>
      <c r="O659" s="334">
        <v>209865</v>
      </c>
      <c r="P659" s="25" t="s">
        <v>277</v>
      </c>
      <c r="Q659" s="127" t="s">
        <v>213</v>
      </c>
      <c r="R659" s="232" t="s">
        <v>2737</v>
      </c>
      <c r="S659" s="89">
        <v>43636</v>
      </c>
      <c r="T659" s="36" t="s">
        <v>19</v>
      </c>
      <c r="U659" s="125"/>
      <c r="V659" s="235" t="s">
        <v>2738</v>
      </c>
      <c r="W659" s="151"/>
      <c r="X659" s="88">
        <v>43647</v>
      </c>
      <c r="Y659" s="130" t="s">
        <v>20</v>
      </c>
      <c r="Z659" s="133" t="s">
        <v>72</v>
      </c>
      <c r="AA659" s="133"/>
      <c r="AB659" s="148">
        <v>5.415</v>
      </c>
      <c r="AC659" s="134">
        <v>11265.004616805172</v>
      </c>
      <c r="AD659" s="134"/>
      <c r="AE659" s="403">
        <f t="shared" si="33"/>
        <v>61000.000000000007</v>
      </c>
      <c r="AF659" s="132">
        <v>1</v>
      </c>
      <c r="AG659" s="130" t="s">
        <v>21</v>
      </c>
      <c r="AH659" s="130"/>
      <c r="AI659" s="130" t="s">
        <v>93</v>
      </c>
      <c r="AJ659" s="130"/>
      <c r="AK659" s="130"/>
      <c r="AL659" s="135" t="s">
        <v>2674</v>
      </c>
      <c r="AM659" s="314"/>
      <c r="AN659" s="26"/>
      <c r="AO659" s="26"/>
      <c r="AP659" s="26"/>
      <c r="AQ659" s="26">
        <v>43669</v>
      </c>
      <c r="AR659" s="24"/>
      <c r="AS659" s="24"/>
      <c r="AT659" s="24">
        <v>43676</v>
      </c>
      <c r="AU659" s="418">
        <f t="shared" si="34"/>
        <v>7</v>
      </c>
      <c r="AV659" s="418">
        <f t="shared" si="35"/>
        <v>2019</v>
      </c>
      <c r="AW659" s="24"/>
      <c r="AX659" s="28"/>
      <c r="AY659" s="28" t="s">
        <v>2740</v>
      </c>
      <c r="AZ659" s="132" t="s">
        <v>37</v>
      </c>
      <c r="BA659" s="132"/>
      <c r="BB659" s="24"/>
      <c r="BC659" s="135" t="s">
        <v>2739</v>
      </c>
      <c r="BD659" s="24">
        <v>43656</v>
      </c>
      <c r="BE659" s="135" t="s">
        <v>2741</v>
      </c>
      <c r="BF659" s="135" t="s">
        <v>2516</v>
      </c>
      <c r="BG659" s="135" t="s">
        <v>41</v>
      </c>
      <c r="BH659" s="135"/>
      <c r="BI659" s="314"/>
      <c r="BJ659" s="314"/>
      <c r="BK659" s="24"/>
      <c r="BL659" s="24"/>
      <c r="BM659" s="24"/>
      <c r="BN659" s="24"/>
      <c r="BO659" s="24"/>
      <c r="BP659" s="24"/>
      <c r="BQ659" s="24"/>
      <c r="BR659" s="43"/>
      <c r="BS659" s="24"/>
      <c r="BT659" s="24"/>
      <c r="BU659" s="24"/>
      <c r="BV659" s="132" t="e">
        <f>IF(#REF!="COMPLETO","OK","PENDIENTES")</f>
        <v>#REF!</v>
      </c>
      <c r="BW659" s="132"/>
      <c r="BX659" s="132"/>
      <c r="BY659" s="132"/>
      <c r="BZ659" s="132"/>
      <c r="CA659" s="132"/>
      <c r="CB659" s="132"/>
      <c r="CC659" s="22"/>
      <c r="CG659" s="24" t="s">
        <v>105</v>
      </c>
      <c r="CH659" s="24"/>
      <c r="CI659" s="24"/>
      <c r="CJ659" s="24"/>
    </row>
    <row r="660" spans="1:88" ht="15" customHeight="1">
      <c r="A660" s="18">
        <v>2019</v>
      </c>
      <c r="B660" s="18" t="str">
        <f>+INDEX(BDD!F:F,MATCH(P660,BDD!D:D,0))&amp;"-"&amp;INDEX(BDD!E:E,MATCH(P660,BDD!D:D,0))</f>
        <v>S-C</v>
      </c>
      <c r="C660" s="125" t="s">
        <v>484</v>
      </c>
      <c r="D660" s="150" t="s">
        <v>77</v>
      </c>
      <c r="E660" s="132"/>
      <c r="F660" s="24"/>
      <c r="G660" s="346">
        <v>8000000496</v>
      </c>
      <c r="H660" s="125" t="s">
        <v>2742</v>
      </c>
      <c r="I660" s="329"/>
      <c r="J660" s="346">
        <v>8000000496</v>
      </c>
      <c r="K660" s="24"/>
      <c r="L660" s="24"/>
      <c r="M660" s="24"/>
      <c r="N660" s="340" t="s">
        <v>486</v>
      </c>
      <c r="O660" s="334">
        <v>207580</v>
      </c>
      <c r="P660" s="25" t="s">
        <v>241</v>
      </c>
      <c r="Q660" s="127" t="s">
        <v>282</v>
      </c>
      <c r="R660" s="232" t="s">
        <v>2743</v>
      </c>
      <c r="S660" s="89">
        <v>43635</v>
      </c>
      <c r="T660" s="36">
        <v>120</v>
      </c>
      <c r="U660" s="125" t="s">
        <v>118</v>
      </c>
      <c r="V660" s="147" t="s">
        <v>2744</v>
      </c>
      <c r="W660" s="129"/>
      <c r="X660" s="88">
        <f>+BD660+T660</f>
        <v>43788</v>
      </c>
      <c r="Y660" s="130" t="s">
        <v>20</v>
      </c>
      <c r="Z660" s="133" t="s">
        <v>81</v>
      </c>
      <c r="AA660" s="133"/>
      <c r="AB660" s="148">
        <v>360</v>
      </c>
      <c r="AC660" s="134">
        <v>733</v>
      </c>
      <c r="AD660" s="134"/>
      <c r="AE660" s="403">
        <f t="shared" si="33"/>
        <v>263880</v>
      </c>
      <c r="AF660" s="132">
        <v>15</v>
      </c>
      <c r="AG660" s="130" t="s">
        <v>5</v>
      </c>
      <c r="AH660" s="130"/>
      <c r="AI660" s="130" t="s">
        <v>34</v>
      </c>
      <c r="AJ660" s="130"/>
      <c r="AK660" s="130"/>
      <c r="AL660" s="135" t="s">
        <v>2674</v>
      </c>
      <c r="AM660" s="314"/>
      <c r="AN660" s="26"/>
      <c r="AO660" s="26"/>
      <c r="AP660" s="26"/>
      <c r="AQ660" s="26">
        <v>43671</v>
      </c>
      <c r="AR660" s="24"/>
      <c r="AS660" s="24"/>
      <c r="AT660" s="24">
        <v>43678</v>
      </c>
      <c r="AU660" s="418">
        <f t="shared" si="34"/>
        <v>8</v>
      </c>
      <c r="AV660" s="418">
        <f t="shared" si="35"/>
        <v>2019</v>
      </c>
      <c r="AW660" s="24"/>
      <c r="AX660" s="28"/>
      <c r="AY660" s="28" t="s">
        <v>1347</v>
      </c>
      <c r="AZ660" s="132" t="s">
        <v>37</v>
      </c>
      <c r="BA660" s="132"/>
      <c r="BB660" s="24"/>
      <c r="BC660" s="135" t="s">
        <v>2745</v>
      </c>
      <c r="BD660" s="24">
        <v>43668</v>
      </c>
      <c r="BE660" s="135" t="s">
        <v>2746</v>
      </c>
      <c r="BF660" s="135" t="s">
        <v>2746</v>
      </c>
      <c r="BG660" s="135" t="s">
        <v>14</v>
      </c>
      <c r="BH660" s="135"/>
      <c r="BI660" s="314"/>
      <c r="BJ660" s="314"/>
      <c r="BK660" s="24"/>
      <c r="BL660" s="24"/>
      <c r="BM660" s="24"/>
      <c r="BN660" s="24"/>
      <c r="BO660" s="24"/>
      <c r="BP660" s="24"/>
      <c r="BQ660" s="24"/>
      <c r="BR660" s="43"/>
      <c r="BS660" s="24"/>
      <c r="BT660" s="24"/>
      <c r="BU660" s="24"/>
      <c r="BV660" s="132" t="e">
        <f>IF(#REF!="COMPLETO","OK","PENDIENTES")</f>
        <v>#REF!</v>
      </c>
      <c r="BW660" s="132"/>
      <c r="BX660" s="132"/>
      <c r="BY660" s="132"/>
      <c r="BZ660" s="132"/>
      <c r="CA660" s="132"/>
      <c r="CB660" s="132"/>
      <c r="CC660" s="22"/>
      <c r="CG660" s="24" t="s">
        <v>105</v>
      </c>
      <c r="CH660" s="24"/>
      <c r="CI660" s="24"/>
      <c r="CJ660" s="24"/>
    </row>
    <row r="661" spans="1:88" ht="15" customHeight="1">
      <c r="A661" s="18">
        <v>2019</v>
      </c>
      <c r="B661" s="18" t="str">
        <f>+INDEX(BDD!F:F,MATCH(P661,BDD!D:D,0))&amp;"-"&amp;INDEX(BDD!E:E,MATCH(P661,BDD!D:D,0))</f>
        <v>S-C</v>
      </c>
      <c r="C661" s="125" t="s">
        <v>484</v>
      </c>
      <c r="D661" s="150" t="s">
        <v>77</v>
      </c>
      <c r="E661" s="132"/>
      <c r="F661" s="24"/>
      <c r="G661" s="346">
        <v>8000000582</v>
      </c>
      <c r="H661" s="125" t="s">
        <v>2747</v>
      </c>
      <c r="I661" s="329"/>
      <c r="J661" s="346">
        <v>8000000582</v>
      </c>
      <c r="K661" s="24"/>
      <c r="L661" s="24"/>
      <c r="M661" s="24"/>
      <c r="N661" s="340" t="s">
        <v>486</v>
      </c>
      <c r="O661" s="334">
        <v>207580</v>
      </c>
      <c r="P661" s="25" t="s">
        <v>241</v>
      </c>
      <c r="Q661" s="127" t="s">
        <v>282</v>
      </c>
      <c r="R661" s="232" t="s">
        <v>2743</v>
      </c>
      <c r="S661" s="89">
        <v>43635</v>
      </c>
      <c r="T661" s="36">
        <v>120</v>
      </c>
      <c r="U661" s="125" t="s">
        <v>118</v>
      </c>
      <c r="V661" s="147" t="s">
        <v>2748</v>
      </c>
      <c r="W661" s="129"/>
      <c r="X661" s="88">
        <v>43864</v>
      </c>
      <c r="Y661" s="130" t="s">
        <v>20</v>
      </c>
      <c r="Z661" s="133" t="s">
        <v>81</v>
      </c>
      <c r="AA661" s="133"/>
      <c r="AB661" s="148">
        <v>216</v>
      </c>
      <c r="AC661" s="134">
        <v>733</v>
      </c>
      <c r="AD661" s="134"/>
      <c r="AE661" s="403">
        <f t="shared" si="33"/>
        <v>158328</v>
      </c>
      <c r="AF661" s="132">
        <v>9</v>
      </c>
      <c r="AG661" s="130" t="s">
        <v>5</v>
      </c>
      <c r="AH661" s="130"/>
      <c r="AI661" s="130" t="s">
        <v>34</v>
      </c>
      <c r="AJ661" s="130"/>
      <c r="AK661" s="130"/>
      <c r="AL661" s="135" t="s">
        <v>2674</v>
      </c>
      <c r="AM661" s="314"/>
      <c r="AN661" s="26"/>
      <c r="AO661" s="26"/>
      <c r="AP661" s="26"/>
      <c r="AQ661" s="26">
        <v>43743</v>
      </c>
      <c r="AR661" s="24"/>
      <c r="AS661" s="24"/>
      <c r="AT661" s="24">
        <v>43750</v>
      </c>
      <c r="AU661" s="418">
        <f t="shared" si="34"/>
        <v>10</v>
      </c>
      <c r="AV661" s="418">
        <f t="shared" si="35"/>
        <v>2019</v>
      </c>
      <c r="AW661" s="24"/>
      <c r="AX661" s="28"/>
      <c r="AY661" s="28" t="s">
        <v>1347</v>
      </c>
      <c r="AZ661" s="132" t="s">
        <v>37</v>
      </c>
      <c r="BA661" s="132"/>
      <c r="BB661" s="24"/>
      <c r="BC661" s="135" t="s">
        <v>2749</v>
      </c>
      <c r="BD661" s="24">
        <v>43741</v>
      </c>
      <c r="BE661" s="135" t="s">
        <v>2540</v>
      </c>
      <c r="BF661" s="135" t="s">
        <v>2540</v>
      </c>
      <c r="BG661" s="135" t="s">
        <v>41</v>
      </c>
      <c r="BH661" s="135"/>
      <c r="BI661" s="314"/>
      <c r="BJ661" s="314"/>
      <c r="BK661" s="24"/>
      <c r="BL661" s="24"/>
      <c r="BM661" s="24"/>
      <c r="BN661" s="24"/>
      <c r="BO661" s="24">
        <f>+AQ661+6</f>
        <v>43749</v>
      </c>
      <c r="BP661" s="24"/>
      <c r="BQ661" s="24"/>
      <c r="BR661" s="43"/>
      <c r="BS661" s="24"/>
      <c r="BT661" s="24"/>
      <c r="BU661" s="24"/>
      <c r="BV661" s="132" t="e">
        <f>IF(#REF!="COMPLETO","OK","PENDIENTES")</f>
        <v>#REF!</v>
      </c>
      <c r="BW661" s="132"/>
      <c r="BX661" s="132"/>
      <c r="BY661" s="132"/>
      <c r="BZ661" s="132"/>
      <c r="CA661" s="132"/>
      <c r="CB661" s="132"/>
      <c r="CC661" s="22"/>
      <c r="CG661" s="24" t="s">
        <v>105</v>
      </c>
      <c r="CH661" s="24"/>
      <c r="CI661" s="24"/>
      <c r="CJ661" s="24"/>
    </row>
    <row r="662" spans="1:88" ht="15" customHeight="1">
      <c r="A662" s="18">
        <v>2019</v>
      </c>
      <c r="B662" s="18" t="str">
        <f>+INDEX(BDD!F:F,MATCH(P662,BDD!D:D,0))&amp;"-"&amp;INDEX(BDD!E:E,MATCH(P662,BDD!D:D,0))</f>
        <v>S-C</v>
      </c>
      <c r="C662" s="125" t="s">
        <v>484</v>
      </c>
      <c r="D662" s="150" t="s">
        <v>77</v>
      </c>
      <c r="E662" s="132"/>
      <c r="F662" s="24"/>
      <c r="G662" s="346">
        <v>8000000583</v>
      </c>
      <c r="H662" s="125" t="s">
        <v>2750</v>
      </c>
      <c r="I662" s="329"/>
      <c r="J662" s="346">
        <v>8000000583</v>
      </c>
      <c r="K662" s="24"/>
      <c r="L662" s="24"/>
      <c r="M662" s="24"/>
      <c r="N662" s="340" t="s">
        <v>486</v>
      </c>
      <c r="O662" s="334">
        <v>207580</v>
      </c>
      <c r="P662" s="25" t="s">
        <v>241</v>
      </c>
      <c r="Q662" s="127" t="s">
        <v>282</v>
      </c>
      <c r="R662" s="232" t="s">
        <v>2743</v>
      </c>
      <c r="S662" s="89">
        <v>43635</v>
      </c>
      <c r="T662" s="36">
        <v>120</v>
      </c>
      <c r="U662" s="125" t="s">
        <v>118</v>
      </c>
      <c r="V662" s="147" t="s">
        <v>2751</v>
      </c>
      <c r="W662" s="129"/>
      <c r="X662" s="88">
        <v>43873</v>
      </c>
      <c r="Y662" s="130" t="s">
        <v>20</v>
      </c>
      <c r="Z662" s="133" t="s">
        <v>81</v>
      </c>
      <c r="AA662" s="133"/>
      <c r="AB662" s="148">
        <v>144</v>
      </c>
      <c r="AC662" s="134">
        <v>733</v>
      </c>
      <c r="AD662" s="134"/>
      <c r="AE662" s="403">
        <f t="shared" si="33"/>
        <v>105552</v>
      </c>
      <c r="AF662" s="132">
        <v>6</v>
      </c>
      <c r="AG662" s="130" t="s">
        <v>5</v>
      </c>
      <c r="AH662" s="130"/>
      <c r="AI662" s="130" t="s">
        <v>34</v>
      </c>
      <c r="AJ662" s="130"/>
      <c r="AK662" s="130"/>
      <c r="AL662" s="135" t="s">
        <v>2674</v>
      </c>
      <c r="AM662" s="314"/>
      <c r="AN662" s="26"/>
      <c r="AO662" s="26"/>
      <c r="AP662" s="26"/>
      <c r="AQ662" s="26">
        <v>43750</v>
      </c>
      <c r="AR662" s="24"/>
      <c r="AS662" s="24"/>
      <c r="AT662" s="164">
        <v>43754</v>
      </c>
      <c r="AU662" s="418">
        <f t="shared" si="34"/>
        <v>10</v>
      </c>
      <c r="AV662" s="418">
        <f t="shared" si="35"/>
        <v>2019</v>
      </c>
      <c r="AW662" s="164"/>
      <c r="AX662" s="28"/>
      <c r="AY662" s="28" t="s">
        <v>61</v>
      </c>
      <c r="AZ662" s="132" t="s">
        <v>37</v>
      </c>
      <c r="BA662" s="132"/>
      <c r="BB662" s="164"/>
      <c r="BC662" s="135" t="s">
        <v>2752</v>
      </c>
      <c r="BD662" s="24">
        <v>43748</v>
      </c>
      <c r="BE662" s="135" t="s">
        <v>2753</v>
      </c>
      <c r="BF662" s="135" t="s">
        <v>2753</v>
      </c>
      <c r="BG662" s="135" t="s">
        <v>14</v>
      </c>
      <c r="BH662" s="135"/>
      <c r="BI662" s="314"/>
      <c r="BJ662" s="314"/>
      <c r="BK662" s="24"/>
      <c r="BL662" s="24"/>
      <c r="BM662" s="24"/>
      <c r="BN662" s="24"/>
      <c r="BO662" s="24"/>
      <c r="BP662" s="24"/>
      <c r="BQ662" s="24"/>
      <c r="BR662" s="43"/>
      <c r="BS662" s="24"/>
      <c r="BT662" s="24"/>
      <c r="BU662" s="24"/>
      <c r="BV662" s="132" t="e">
        <f>IF(#REF!="COMPLETO","OK","PENDIENTES")</f>
        <v>#REF!</v>
      </c>
      <c r="BW662" s="132"/>
      <c r="BX662" s="132"/>
      <c r="BY662" s="132"/>
      <c r="BZ662" s="132"/>
      <c r="CA662" s="132"/>
      <c r="CB662" s="132"/>
      <c r="CC662" s="22"/>
      <c r="CG662" s="24" t="s">
        <v>105</v>
      </c>
      <c r="CH662" s="24"/>
      <c r="CI662" s="164"/>
      <c r="CJ662" s="164"/>
    </row>
    <row r="663" spans="1:88" ht="15" customHeight="1">
      <c r="A663" s="18">
        <v>2019</v>
      </c>
      <c r="B663" s="18" t="str">
        <f>+INDEX(BDD!F:F,MATCH(P663,BDD!D:D,0))&amp;"-"&amp;INDEX(BDD!E:E,MATCH(P663,BDD!D:D,0))</f>
        <v>G-S</v>
      </c>
      <c r="C663" s="125" t="s">
        <v>484</v>
      </c>
      <c r="D663" s="150" t="s">
        <v>77</v>
      </c>
      <c r="E663" s="132"/>
      <c r="F663" s="24"/>
      <c r="G663" s="346">
        <v>8000000522</v>
      </c>
      <c r="H663" s="125" t="s">
        <v>2754</v>
      </c>
      <c r="I663" s="329"/>
      <c r="J663" s="346">
        <v>8000000522</v>
      </c>
      <c r="K663" s="24"/>
      <c r="L663" s="24"/>
      <c r="M663" s="24"/>
      <c r="N663" s="340" t="s">
        <v>486</v>
      </c>
      <c r="O663" s="334">
        <v>207951</v>
      </c>
      <c r="P663" s="25" t="s">
        <v>354</v>
      </c>
      <c r="Q663" s="127" t="s">
        <v>288</v>
      </c>
      <c r="R663" s="232" t="s">
        <v>2755</v>
      </c>
      <c r="S663" s="89">
        <v>43641</v>
      </c>
      <c r="T663" s="36" t="s">
        <v>19</v>
      </c>
      <c r="U663" s="125"/>
      <c r="V663" s="147" t="s">
        <v>2756</v>
      </c>
      <c r="W663" s="129"/>
      <c r="X663" s="88">
        <v>43684</v>
      </c>
      <c r="Y663" s="130" t="s">
        <v>20</v>
      </c>
      <c r="Z663" s="133" t="s">
        <v>60</v>
      </c>
      <c r="AA663" s="133"/>
      <c r="AB663" s="148">
        <v>700</v>
      </c>
      <c r="AC663" s="134">
        <f>267.5+40</f>
        <v>307.5</v>
      </c>
      <c r="AD663" s="134"/>
      <c r="AE663" s="403">
        <f t="shared" si="33"/>
        <v>215250</v>
      </c>
      <c r="AF663" s="132"/>
      <c r="AG663" s="130" t="s">
        <v>46</v>
      </c>
      <c r="AH663" s="130"/>
      <c r="AI663" s="130" t="s">
        <v>100</v>
      </c>
      <c r="AJ663" s="130"/>
      <c r="AK663" s="130"/>
      <c r="AL663" s="135" t="s">
        <v>2674</v>
      </c>
      <c r="AM663" s="314"/>
      <c r="AN663" s="26"/>
      <c r="AO663" s="26"/>
      <c r="AP663" s="26"/>
      <c r="AQ663" s="26">
        <v>43709</v>
      </c>
      <c r="AR663" s="24"/>
      <c r="AS663" s="24"/>
      <c r="AT663" s="24">
        <v>43711</v>
      </c>
      <c r="AU663" s="418">
        <f t="shared" si="34"/>
        <v>9</v>
      </c>
      <c r="AV663" s="418">
        <f t="shared" si="35"/>
        <v>2019</v>
      </c>
      <c r="AW663" s="24"/>
      <c r="AX663" s="28"/>
      <c r="AY663" s="28" t="s">
        <v>269</v>
      </c>
      <c r="AZ663" s="132" t="s">
        <v>9</v>
      </c>
      <c r="BA663" s="132"/>
      <c r="BB663" s="24"/>
      <c r="BC663" s="135">
        <v>15</v>
      </c>
      <c r="BD663" s="24">
        <v>43673</v>
      </c>
      <c r="BE663" s="135" t="s">
        <v>2757</v>
      </c>
      <c r="BF663" s="135" t="s">
        <v>2757</v>
      </c>
      <c r="BG663" s="135" t="s">
        <v>52</v>
      </c>
      <c r="BH663" s="135"/>
      <c r="BI663" s="314"/>
      <c r="BJ663" s="314"/>
      <c r="BK663" s="24"/>
      <c r="BL663" s="24"/>
      <c r="BM663" s="24"/>
      <c r="BN663" s="24"/>
      <c r="BO663" s="24"/>
      <c r="BP663" s="24"/>
      <c r="BQ663" s="24"/>
      <c r="BR663" s="43"/>
      <c r="BS663" s="24"/>
      <c r="BT663" s="24"/>
      <c r="BU663" s="24"/>
      <c r="BV663" s="132" t="e">
        <f>IF(#REF!="COMPLETO","OK","PENDIENTES")</f>
        <v>#REF!</v>
      </c>
      <c r="BW663" s="132"/>
      <c r="BX663" s="132"/>
      <c r="BY663" s="132"/>
      <c r="BZ663" s="132"/>
      <c r="CA663" s="132"/>
      <c r="CB663" s="132"/>
      <c r="CC663" s="22"/>
      <c r="CG663" s="24" t="s">
        <v>105</v>
      </c>
      <c r="CH663" s="24"/>
      <c r="CI663" s="24"/>
      <c r="CJ663" s="24"/>
    </row>
    <row r="664" spans="1:88" ht="15" customHeight="1">
      <c r="A664" s="18">
        <v>2019</v>
      </c>
      <c r="B664" s="18" t="str">
        <f>+INDEX(BDD!F:F,MATCH(P664,BDD!D:D,0))&amp;"-"&amp;INDEX(BDD!E:E,MATCH(P664,BDD!D:D,0))</f>
        <v>G-S</v>
      </c>
      <c r="C664" s="125" t="s">
        <v>484</v>
      </c>
      <c r="D664" s="150" t="s">
        <v>77</v>
      </c>
      <c r="E664" s="132"/>
      <c r="F664" s="24"/>
      <c r="G664" s="346">
        <v>8000000523</v>
      </c>
      <c r="H664" s="125" t="s">
        <v>2758</v>
      </c>
      <c r="I664" s="329"/>
      <c r="J664" s="346">
        <v>8000000523</v>
      </c>
      <c r="K664" s="24"/>
      <c r="L664" s="24"/>
      <c r="M664" s="24"/>
      <c r="N664" s="340" t="s">
        <v>486</v>
      </c>
      <c r="O664" s="334">
        <v>207951</v>
      </c>
      <c r="P664" s="25" t="s">
        <v>354</v>
      </c>
      <c r="Q664" s="127" t="s">
        <v>288</v>
      </c>
      <c r="R664" s="232" t="s">
        <v>2755</v>
      </c>
      <c r="S664" s="89">
        <v>43641</v>
      </c>
      <c r="T664" s="36" t="s">
        <v>19</v>
      </c>
      <c r="U664" s="125"/>
      <c r="V664" s="147" t="s">
        <v>2759</v>
      </c>
      <c r="W664" s="129"/>
      <c r="X664" s="88">
        <v>43684</v>
      </c>
      <c r="Y664" s="130" t="s">
        <v>20</v>
      </c>
      <c r="Z664" s="133" t="s">
        <v>60</v>
      </c>
      <c r="AA664" s="133"/>
      <c r="AB664" s="148">
        <v>200</v>
      </c>
      <c r="AC664" s="134">
        <f>267.5+40</f>
        <v>307.5</v>
      </c>
      <c r="AD664" s="134"/>
      <c r="AE664" s="403">
        <f t="shared" si="33"/>
        <v>61500</v>
      </c>
      <c r="AF664" s="132"/>
      <c r="AG664" s="130" t="s">
        <v>46</v>
      </c>
      <c r="AH664" s="130"/>
      <c r="AI664" s="130" t="s">
        <v>100</v>
      </c>
      <c r="AJ664" s="130"/>
      <c r="AK664" s="130"/>
      <c r="AL664" s="135" t="s">
        <v>2674</v>
      </c>
      <c r="AM664" s="314"/>
      <c r="AN664" s="26"/>
      <c r="AO664" s="26"/>
      <c r="AP664" s="26"/>
      <c r="AQ664" s="26">
        <f>+AQ663+2</f>
        <v>43711</v>
      </c>
      <c r="AR664" s="24"/>
      <c r="AS664" s="24"/>
      <c r="AT664" s="24">
        <v>43713</v>
      </c>
      <c r="AU664" s="418">
        <f t="shared" si="34"/>
        <v>9</v>
      </c>
      <c r="AV664" s="418">
        <f t="shared" si="35"/>
        <v>2019</v>
      </c>
      <c r="AW664" s="24"/>
      <c r="AX664" s="28"/>
      <c r="AY664" s="28" t="s">
        <v>269</v>
      </c>
      <c r="AZ664" s="132" t="s">
        <v>25</v>
      </c>
      <c r="BA664" s="132"/>
      <c r="BB664" s="24"/>
      <c r="BC664" s="135">
        <v>16</v>
      </c>
      <c r="BD664" s="24">
        <v>43673</v>
      </c>
      <c r="BE664" s="135" t="s">
        <v>2757</v>
      </c>
      <c r="BF664" s="135" t="s">
        <v>2757</v>
      </c>
      <c r="BG664" s="135" t="s">
        <v>52</v>
      </c>
      <c r="BH664" s="135"/>
      <c r="BI664" s="314"/>
      <c r="BJ664" s="314"/>
      <c r="BK664" s="24"/>
      <c r="BL664" s="24"/>
      <c r="BM664" s="24"/>
      <c r="BN664" s="24"/>
      <c r="BO664" s="24"/>
      <c r="BP664" s="24"/>
      <c r="BQ664" s="24"/>
      <c r="BR664" s="43"/>
      <c r="BS664" s="24"/>
      <c r="BT664" s="24"/>
      <c r="BU664" s="24"/>
      <c r="BV664" s="132" t="e">
        <f>IF(#REF!="COMPLETO","OK","PENDIENTES")</f>
        <v>#REF!</v>
      </c>
      <c r="BW664" s="132"/>
      <c r="BX664" s="132"/>
      <c r="BY664" s="132"/>
      <c r="BZ664" s="132"/>
      <c r="CA664" s="132"/>
      <c r="CB664" s="132"/>
      <c r="CC664" s="22"/>
      <c r="CG664" s="24" t="s">
        <v>105</v>
      </c>
      <c r="CH664" s="24"/>
      <c r="CI664" s="24"/>
      <c r="CJ664" s="24"/>
    </row>
    <row r="665" spans="1:88" ht="15" customHeight="1">
      <c r="A665" s="18">
        <v>2019</v>
      </c>
      <c r="B665" s="18" t="str">
        <f>+INDEX(BDD!F:F,MATCH(P665,BDD!D:D,0))&amp;"-"&amp;INDEX(BDD!E:E,MATCH(P665,BDD!D:D,0))</f>
        <v>G-S</v>
      </c>
      <c r="C665" s="125" t="s">
        <v>484</v>
      </c>
      <c r="D665" s="150" t="s">
        <v>77</v>
      </c>
      <c r="E665" s="132"/>
      <c r="F665" s="24"/>
      <c r="G665" s="346">
        <v>8000000524</v>
      </c>
      <c r="H665" s="125" t="s">
        <v>2760</v>
      </c>
      <c r="I665" s="329"/>
      <c r="J665" s="346">
        <v>8000000524</v>
      </c>
      <c r="K665" s="24"/>
      <c r="L665" s="24"/>
      <c r="M665" s="24"/>
      <c r="N665" s="340" t="s">
        <v>486</v>
      </c>
      <c r="O665" s="334">
        <v>207951</v>
      </c>
      <c r="P665" s="25" t="s">
        <v>354</v>
      </c>
      <c r="Q665" s="127" t="s">
        <v>288</v>
      </c>
      <c r="R665" s="232" t="s">
        <v>2755</v>
      </c>
      <c r="S665" s="89">
        <v>43641</v>
      </c>
      <c r="T665" s="36" t="s">
        <v>19</v>
      </c>
      <c r="U665" s="125"/>
      <c r="V665" s="147" t="s">
        <v>2761</v>
      </c>
      <c r="W665" s="129"/>
      <c r="X665" s="88">
        <v>43684</v>
      </c>
      <c r="Y665" s="130" t="s">
        <v>20</v>
      </c>
      <c r="Z665" s="133" t="s">
        <v>60</v>
      </c>
      <c r="AA665" s="133"/>
      <c r="AB665" s="148">
        <v>450</v>
      </c>
      <c r="AC665" s="134">
        <f>267.5+40</f>
        <v>307.5</v>
      </c>
      <c r="AD665" s="134"/>
      <c r="AE665" s="403">
        <f t="shared" si="33"/>
        <v>138375</v>
      </c>
      <c r="AF665" s="132"/>
      <c r="AG665" s="130" t="s">
        <v>46</v>
      </c>
      <c r="AH665" s="130"/>
      <c r="AI665" s="130" t="s">
        <v>100</v>
      </c>
      <c r="AJ665" s="130"/>
      <c r="AK665" s="130"/>
      <c r="AL665" s="135" t="s">
        <v>2674</v>
      </c>
      <c r="AM665" s="314"/>
      <c r="AN665" s="26"/>
      <c r="AO665" s="26"/>
      <c r="AP665" s="26"/>
      <c r="AQ665" s="26">
        <f>+AQ664+6</f>
        <v>43717</v>
      </c>
      <c r="AR665" s="24"/>
      <c r="AS665" s="24"/>
      <c r="AT665" s="24">
        <v>43717</v>
      </c>
      <c r="AU665" s="418">
        <f t="shared" si="34"/>
        <v>9</v>
      </c>
      <c r="AV665" s="418">
        <f t="shared" si="35"/>
        <v>2019</v>
      </c>
      <c r="AW665" s="24"/>
      <c r="AX665" s="28"/>
      <c r="AY665" s="28" t="s">
        <v>269</v>
      </c>
      <c r="AZ665" s="132" t="s">
        <v>37</v>
      </c>
      <c r="BA665" s="132"/>
      <c r="BB665" s="24"/>
      <c r="BC665" s="135">
        <v>17</v>
      </c>
      <c r="BD665" s="24">
        <v>43673</v>
      </c>
      <c r="BE665" s="135" t="s">
        <v>2757</v>
      </c>
      <c r="BF665" s="135" t="s">
        <v>2757</v>
      </c>
      <c r="BG665" s="135" t="s">
        <v>52</v>
      </c>
      <c r="BH665" s="135"/>
      <c r="BI665" s="314"/>
      <c r="BJ665" s="314"/>
      <c r="BK665" s="24"/>
      <c r="BL665" s="24"/>
      <c r="BM665" s="24"/>
      <c r="BN665" s="24"/>
      <c r="BO665" s="24"/>
      <c r="BP665" s="24"/>
      <c r="BQ665" s="24"/>
      <c r="BR665" s="43"/>
      <c r="BS665" s="24"/>
      <c r="BT665" s="24"/>
      <c r="BU665" s="24"/>
      <c r="BV665" s="132" t="e">
        <f>IF(#REF!="COMPLETO","OK","PENDIENTES")</f>
        <v>#REF!</v>
      </c>
      <c r="BW665" s="132"/>
      <c r="BX665" s="132"/>
      <c r="BY665" s="132"/>
      <c r="BZ665" s="132"/>
      <c r="CA665" s="132"/>
      <c r="CB665" s="132"/>
      <c r="CC665" s="22"/>
      <c r="CG665" s="24" t="s">
        <v>105</v>
      </c>
      <c r="CH665" s="24"/>
      <c r="CI665" s="24"/>
      <c r="CJ665" s="24"/>
    </row>
    <row r="666" spans="1:88" ht="15" customHeight="1">
      <c r="A666" s="18">
        <v>2019</v>
      </c>
      <c r="B666" s="18" t="str">
        <f>+INDEX(BDD!F:F,MATCH(P666,BDD!D:D,0))&amp;"-"&amp;INDEX(BDD!E:E,MATCH(P666,BDD!D:D,0))</f>
        <v>G-S</v>
      </c>
      <c r="C666" s="125" t="s">
        <v>484</v>
      </c>
      <c r="D666" s="150" t="s">
        <v>77</v>
      </c>
      <c r="E666" s="132"/>
      <c r="F666" s="24"/>
      <c r="G666" s="346">
        <v>8000000528</v>
      </c>
      <c r="H666" s="125" t="s">
        <v>2762</v>
      </c>
      <c r="I666" s="329"/>
      <c r="J666" s="346">
        <v>8000000528</v>
      </c>
      <c r="K666" s="24"/>
      <c r="L666" s="24"/>
      <c r="M666" s="24"/>
      <c r="N666" s="340" t="s">
        <v>486</v>
      </c>
      <c r="O666" s="334">
        <v>207951</v>
      </c>
      <c r="P666" s="25" t="s">
        <v>354</v>
      </c>
      <c r="Q666" s="127" t="s">
        <v>288</v>
      </c>
      <c r="R666" s="232" t="s">
        <v>2755</v>
      </c>
      <c r="S666" s="89">
        <v>43641</v>
      </c>
      <c r="T666" s="36" t="s">
        <v>19</v>
      </c>
      <c r="U666" s="125"/>
      <c r="V666" s="147" t="s">
        <v>2763</v>
      </c>
      <c r="W666" s="129"/>
      <c r="X666" s="88">
        <v>43684</v>
      </c>
      <c r="Y666" s="130" t="s">
        <v>20</v>
      </c>
      <c r="Z666" s="133" t="s">
        <v>60</v>
      </c>
      <c r="AA666" s="133"/>
      <c r="AB666" s="148">
        <v>391.35</v>
      </c>
      <c r="AC666" s="134">
        <f>267.5+40</f>
        <v>307.5</v>
      </c>
      <c r="AD666" s="134"/>
      <c r="AE666" s="403">
        <f t="shared" si="33"/>
        <v>120340.125</v>
      </c>
      <c r="AF666" s="132"/>
      <c r="AG666" s="130" t="s">
        <v>46</v>
      </c>
      <c r="AH666" s="130"/>
      <c r="AI666" s="130" t="s">
        <v>100</v>
      </c>
      <c r="AJ666" s="130"/>
      <c r="AK666" s="130"/>
      <c r="AL666" s="135" t="s">
        <v>2674</v>
      </c>
      <c r="AM666" s="314"/>
      <c r="AN666" s="26"/>
      <c r="AO666" s="26"/>
      <c r="AP666" s="26"/>
      <c r="AQ666" s="26">
        <f>+AQ665+2</f>
        <v>43719</v>
      </c>
      <c r="AR666" s="24"/>
      <c r="AS666" s="24"/>
      <c r="AT666" s="24">
        <v>43722</v>
      </c>
      <c r="AU666" s="418">
        <f t="shared" si="34"/>
        <v>9</v>
      </c>
      <c r="AV666" s="418">
        <f t="shared" si="35"/>
        <v>2019</v>
      </c>
      <c r="AW666" s="24"/>
      <c r="AX666" s="28"/>
      <c r="AY666" s="28" t="s">
        <v>269</v>
      </c>
      <c r="AZ666" s="132" t="s">
        <v>62</v>
      </c>
      <c r="BA666" s="132"/>
      <c r="BB666" s="24"/>
      <c r="BC666" s="135">
        <v>18</v>
      </c>
      <c r="BD666" s="24">
        <v>43673</v>
      </c>
      <c r="BE666" s="135" t="s">
        <v>2757</v>
      </c>
      <c r="BF666" s="135" t="s">
        <v>2757</v>
      </c>
      <c r="BG666" s="135" t="s">
        <v>52</v>
      </c>
      <c r="BH666" s="135"/>
      <c r="BI666" s="314"/>
      <c r="BJ666" s="314"/>
      <c r="BK666" s="24"/>
      <c r="BL666" s="24"/>
      <c r="BM666" s="24"/>
      <c r="BN666" s="24"/>
      <c r="BO666" s="24"/>
      <c r="BP666" s="24"/>
      <c r="BQ666" s="24"/>
      <c r="BR666" s="43"/>
      <c r="BS666" s="24"/>
      <c r="BT666" s="24"/>
      <c r="BU666" s="24"/>
      <c r="BV666" s="132" t="e">
        <f>IF(#REF!="COMPLETO","OK","PENDIENTES")</f>
        <v>#REF!</v>
      </c>
      <c r="BW666" s="132"/>
      <c r="BX666" s="132"/>
      <c r="BY666" s="132"/>
      <c r="BZ666" s="132"/>
      <c r="CA666" s="132"/>
      <c r="CB666" s="132"/>
      <c r="CC666" s="22"/>
      <c r="CG666" s="24" t="s">
        <v>105</v>
      </c>
      <c r="CH666" s="24"/>
      <c r="CI666" s="24"/>
      <c r="CJ666" s="24"/>
    </row>
    <row r="667" spans="1:88" ht="15" customHeight="1">
      <c r="A667" s="18">
        <v>2019</v>
      </c>
      <c r="B667" s="18" t="str">
        <f>+INDEX(BDD!F:F,MATCH(P667,BDD!D:D,0))&amp;"-"&amp;INDEX(BDD!E:E,MATCH(P667,BDD!D:D,0))</f>
        <v>G-S</v>
      </c>
      <c r="C667" s="125" t="s">
        <v>484</v>
      </c>
      <c r="D667" s="150" t="s">
        <v>77</v>
      </c>
      <c r="E667" s="132"/>
      <c r="F667" s="24"/>
      <c r="G667" s="346">
        <v>8000000529</v>
      </c>
      <c r="H667" s="125" t="s">
        <v>2764</v>
      </c>
      <c r="I667" s="329"/>
      <c r="J667" s="346">
        <v>8000000529</v>
      </c>
      <c r="K667" s="24"/>
      <c r="L667" s="24"/>
      <c r="M667" s="24"/>
      <c r="N667" s="340" t="s">
        <v>486</v>
      </c>
      <c r="O667" s="334">
        <v>207951</v>
      </c>
      <c r="P667" s="25" t="s">
        <v>354</v>
      </c>
      <c r="Q667" s="127" t="s">
        <v>288</v>
      </c>
      <c r="R667" s="232" t="s">
        <v>2755</v>
      </c>
      <c r="S667" s="89">
        <v>43641</v>
      </c>
      <c r="T667" s="36" t="s">
        <v>19</v>
      </c>
      <c r="U667" s="125"/>
      <c r="V667" s="147" t="s">
        <v>2765</v>
      </c>
      <c r="W667" s="129"/>
      <c r="X667" s="88">
        <v>43684</v>
      </c>
      <c r="Y667" s="130" t="s">
        <v>20</v>
      </c>
      <c r="Z667" s="133" t="s">
        <v>60</v>
      </c>
      <c r="AA667" s="133"/>
      <c r="AB667" s="148">
        <v>233.65</v>
      </c>
      <c r="AC667" s="134">
        <f>267.5+40</f>
        <v>307.5</v>
      </c>
      <c r="AD667" s="134"/>
      <c r="AE667" s="403">
        <f t="shared" si="33"/>
        <v>71847.375</v>
      </c>
      <c r="AF667" s="132"/>
      <c r="AG667" s="130" t="s">
        <v>46</v>
      </c>
      <c r="AH667" s="130"/>
      <c r="AI667" s="130" t="s">
        <v>100</v>
      </c>
      <c r="AJ667" s="130"/>
      <c r="AK667" s="130"/>
      <c r="AL667" s="135" t="s">
        <v>2674</v>
      </c>
      <c r="AM667" s="314"/>
      <c r="AN667" s="26"/>
      <c r="AO667" s="26"/>
      <c r="AP667" s="26"/>
      <c r="AQ667" s="26">
        <f>+AQ666</f>
        <v>43719</v>
      </c>
      <c r="AR667" s="24"/>
      <c r="AS667" s="24"/>
      <c r="AT667" s="24">
        <v>43722</v>
      </c>
      <c r="AU667" s="418">
        <f t="shared" si="34"/>
        <v>9</v>
      </c>
      <c r="AV667" s="418">
        <f t="shared" si="35"/>
        <v>2019</v>
      </c>
      <c r="AW667" s="24"/>
      <c r="AX667" s="28"/>
      <c r="AY667" s="28" t="s">
        <v>269</v>
      </c>
      <c r="AZ667" s="132" t="s">
        <v>62</v>
      </c>
      <c r="BA667" s="132"/>
      <c r="BB667" s="24"/>
      <c r="BC667" s="135">
        <v>19</v>
      </c>
      <c r="BD667" s="24">
        <v>43673</v>
      </c>
      <c r="BE667" s="135" t="s">
        <v>2757</v>
      </c>
      <c r="BF667" s="135" t="s">
        <v>2757</v>
      </c>
      <c r="BG667" s="135" t="s">
        <v>52</v>
      </c>
      <c r="BH667" s="135"/>
      <c r="BI667" s="314"/>
      <c r="BJ667" s="314"/>
      <c r="BK667" s="24"/>
      <c r="BL667" s="24"/>
      <c r="BM667" s="24"/>
      <c r="BN667" s="24"/>
      <c r="BO667" s="24"/>
      <c r="BP667" s="24"/>
      <c r="BQ667" s="24"/>
      <c r="BR667" s="43"/>
      <c r="BS667" s="24"/>
      <c r="BT667" s="24"/>
      <c r="BU667" s="24"/>
      <c r="BV667" s="132" t="e">
        <f>IF(#REF!="COMPLETO","OK","PENDIENTES")</f>
        <v>#REF!</v>
      </c>
      <c r="BW667" s="132"/>
      <c r="BX667" s="132"/>
      <c r="BY667" s="132"/>
      <c r="BZ667" s="132"/>
      <c r="CA667" s="132"/>
      <c r="CB667" s="132"/>
      <c r="CC667" s="22"/>
      <c r="CG667" s="24" t="s">
        <v>105</v>
      </c>
      <c r="CH667" s="24"/>
      <c r="CI667" s="24"/>
      <c r="CJ667" s="24"/>
    </row>
    <row r="668" spans="1:88" ht="15" customHeight="1">
      <c r="A668" s="18">
        <v>2019</v>
      </c>
      <c r="B668" s="18" t="str">
        <f>+INDEX(BDD!F:F,MATCH(P668,BDD!D:D,0))&amp;"-"&amp;INDEX(BDD!E:E,MATCH(P668,BDD!D:D,0))</f>
        <v>G-C</v>
      </c>
      <c r="C668" s="125" t="s">
        <v>484</v>
      </c>
      <c r="D668" s="150" t="s">
        <v>77</v>
      </c>
      <c r="E668" s="132"/>
      <c r="F668" s="24"/>
      <c r="G668" s="346">
        <v>8000000530</v>
      </c>
      <c r="H668" s="125" t="s">
        <v>2766</v>
      </c>
      <c r="I668" s="329"/>
      <c r="J668" s="346">
        <v>8000000530</v>
      </c>
      <c r="K668" s="24"/>
      <c r="L668" s="24"/>
      <c r="M668" s="24"/>
      <c r="N668" s="340" t="s">
        <v>486</v>
      </c>
      <c r="O668" s="334">
        <v>206573</v>
      </c>
      <c r="P668" s="25" t="s">
        <v>226</v>
      </c>
      <c r="Q668" s="127" t="s">
        <v>288</v>
      </c>
      <c r="R668" s="232" t="s">
        <v>2767</v>
      </c>
      <c r="S668" s="89">
        <v>43641</v>
      </c>
      <c r="T668" s="36" t="s">
        <v>19</v>
      </c>
      <c r="U668" s="125"/>
      <c r="V668" s="147" t="s">
        <v>2768</v>
      </c>
      <c r="W668" s="129"/>
      <c r="X668" s="88">
        <v>43684</v>
      </c>
      <c r="Y668" s="130" t="s">
        <v>20</v>
      </c>
      <c r="Z668" s="133" t="s">
        <v>60</v>
      </c>
      <c r="AA668" s="133"/>
      <c r="AB668" s="241">
        <v>850</v>
      </c>
      <c r="AC668" s="134">
        <f>234+40</f>
        <v>274</v>
      </c>
      <c r="AD668" s="134"/>
      <c r="AE668" s="403">
        <f t="shared" si="33"/>
        <v>232900</v>
      </c>
      <c r="AF668" s="132"/>
      <c r="AG668" s="130" t="s">
        <v>46</v>
      </c>
      <c r="AH668" s="130"/>
      <c r="AI668" s="130" t="s">
        <v>100</v>
      </c>
      <c r="AJ668" s="130"/>
      <c r="AK668" s="130"/>
      <c r="AL668" s="135" t="s">
        <v>2674</v>
      </c>
      <c r="AM668" s="314"/>
      <c r="AN668" s="26"/>
      <c r="AO668" s="26"/>
      <c r="AP668" s="26"/>
      <c r="AQ668" s="26">
        <f>+AQ663</f>
        <v>43709</v>
      </c>
      <c r="AR668" s="24"/>
      <c r="AS668" s="24"/>
      <c r="AT668" s="24">
        <v>43711</v>
      </c>
      <c r="AU668" s="418">
        <f t="shared" si="34"/>
        <v>9</v>
      </c>
      <c r="AV668" s="418">
        <f t="shared" si="35"/>
        <v>2019</v>
      </c>
      <c r="AW668" s="24"/>
      <c r="AX668" s="28"/>
      <c r="AY668" s="28" t="s">
        <v>269</v>
      </c>
      <c r="AZ668" s="132" t="s">
        <v>9</v>
      </c>
      <c r="BA668" s="132"/>
      <c r="BB668" s="24"/>
      <c r="BC668" s="135">
        <v>5</v>
      </c>
      <c r="BD668" s="24">
        <v>43673</v>
      </c>
      <c r="BE668" s="135" t="s">
        <v>2757</v>
      </c>
      <c r="BF668" s="135" t="s">
        <v>2757</v>
      </c>
      <c r="BG668" s="135" t="s">
        <v>52</v>
      </c>
      <c r="BH668" s="135"/>
      <c r="BI668" s="314"/>
      <c r="BJ668" s="314"/>
      <c r="BK668" s="24"/>
      <c r="BL668" s="24"/>
      <c r="BM668" s="24"/>
      <c r="BN668" s="24"/>
      <c r="BO668" s="24"/>
      <c r="BP668" s="24"/>
      <c r="BQ668" s="24"/>
      <c r="BR668" s="43"/>
      <c r="BS668" s="24"/>
      <c r="BT668" s="24"/>
      <c r="BU668" s="24"/>
      <c r="BV668" s="132" t="e">
        <f>IF(#REF!="COMPLETO","OK","PENDIENTES")</f>
        <v>#REF!</v>
      </c>
      <c r="BW668" s="132"/>
      <c r="BX668" s="132"/>
      <c r="BY668" s="132"/>
      <c r="BZ668" s="132"/>
      <c r="CA668" s="132"/>
      <c r="CB668" s="132"/>
      <c r="CC668" s="22"/>
      <c r="CG668" s="24" t="s">
        <v>105</v>
      </c>
      <c r="CH668" s="24"/>
      <c r="CI668" s="24"/>
      <c r="CJ668" s="24"/>
    </row>
    <row r="669" spans="1:88" ht="15" customHeight="1">
      <c r="A669" s="18">
        <v>2019</v>
      </c>
      <c r="B669" s="18" t="str">
        <f>+INDEX(BDD!F:F,MATCH(P669,BDD!D:D,0))&amp;"-"&amp;INDEX(BDD!E:E,MATCH(P669,BDD!D:D,0))</f>
        <v>G-C</v>
      </c>
      <c r="C669" s="125" t="s">
        <v>484</v>
      </c>
      <c r="D669" s="150" t="s">
        <v>77</v>
      </c>
      <c r="E669" s="132"/>
      <c r="F669" s="24"/>
      <c r="G669" s="346">
        <v>8000000531</v>
      </c>
      <c r="H669" s="125" t="s">
        <v>2769</v>
      </c>
      <c r="I669" s="329"/>
      <c r="J669" s="346">
        <v>8000000531</v>
      </c>
      <c r="K669" s="24"/>
      <c r="L669" s="24"/>
      <c r="M669" s="24"/>
      <c r="N669" s="340" t="s">
        <v>486</v>
      </c>
      <c r="O669" s="334">
        <v>206573</v>
      </c>
      <c r="P669" s="25" t="s">
        <v>226</v>
      </c>
      <c r="Q669" s="127" t="s">
        <v>288</v>
      </c>
      <c r="R669" s="232" t="s">
        <v>2767</v>
      </c>
      <c r="S669" s="89">
        <v>43641</v>
      </c>
      <c r="T669" s="36" t="s">
        <v>19</v>
      </c>
      <c r="U669" s="125"/>
      <c r="V669" s="147" t="s">
        <v>2770</v>
      </c>
      <c r="W669" s="129"/>
      <c r="X669" s="88">
        <v>43684</v>
      </c>
      <c r="Y669" s="130" t="s">
        <v>20</v>
      </c>
      <c r="Z669" s="133" t="s">
        <v>60</v>
      </c>
      <c r="AA669" s="133"/>
      <c r="AB669" s="241">
        <v>2000</v>
      </c>
      <c r="AC669" s="134">
        <f>234+40</f>
        <v>274</v>
      </c>
      <c r="AD669" s="134"/>
      <c r="AE669" s="403">
        <f t="shared" si="33"/>
        <v>548000</v>
      </c>
      <c r="AF669" s="132"/>
      <c r="AG669" s="130" t="s">
        <v>46</v>
      </c>
      <c r="AH669" s="130"/>
      <c r="AI669" s="130" t="s">
        <v>100</v>
      </c>
      <c r="AJ669" s="130"/>
      <c r="AK669" s="130"/>
      <c r="AL669" s="135" t="s">
        <v>2674</v>
      </c>
      <c r="AM669" s="314"/>
      <c r="AN669" s="26"/>
      <c r="AO669" s="26"/>
      <c r="AP669" s="26"/>
      <c r="AQ669" s="26">
        <f>+AQ668+2</f>
        <v>43711</v>
      </c>
      <c r="AR669" s="24"/>
      <c r="AS669" s="24"/>
      <c r="AT669" s="24">
        <v>43713</v>
      </c>
      <c r="AU669" s="418">
        <f t="shared" si="34"/>
        <v>9</v>
      </c>
      <c r="AV669" s="418">
        <f t="shared" si="35"/>
        <v>2019</v>
      </c>
      <c r="AW669" s="24"/>
      <c r="AX669" s="28"/>
      <c r="AY669" s="28" t="s">
        <v>269</v>
      </c>
      <c r="AZ669" s="132" t="s">
        <v>25</v>
      </c>
      <c r="BA669" s="132"/>
      <c r="BB669" s="24"/>
      <c r="BC669" s="135">
        <v>6</v>
      </c>
      <c r="BD669" s="24">
        <v>43673</v>
      </c>
      <c r="BE669" s="135" t="s">
        <v>2757</v>
      </c>
      <c r="BF669" s="135" t="s">
        <v>2757</v>
      </c>
      <c r="BG669" s="135" t="s">
        <v>52</v>
      </c>
      <c r="BH669" s="135"/>
      <c r="BI669" s="314"/>
      <c r="BJ669" s="314"/>
      <c r="BK669" s="24"/>
      <c r="BL669" s="24"/>
      <c r="BM669" s="24"/>
      <c r="BN669" s="24"/>
      <c r="BO669" s="24"/>
      <c r="BP669" s="24"/>
      <c r="BQ669" s="24"/>
      <c r="BR669" s="43"/>
      <c r="BS669" s="24"/>
      <c r="BT669" s="24"/>
      <c r="BU669" s="24"/>
      <c r="BV669" s="132" t="e">
        <f>IF(#REF!="COMPLETO","OK","PENDIENTES")</f>
        <v>#REF!</v>
      </c>
      <c r="BW669" s="132"/>
      <c r="BX669" s="132"/>
      <c r="BY669" s="132"/>
      <c r="BZ669" s="132"/>
      <c r="CA669" s="132"/>
      <c r="CB669" s="132"/>
      <c r="CC669" s="22"/>
      <c r="CG669" s="24" t="s">
        <v>105</v>
      </c>
      <c r="CH669" s="24"/>
      <c r="CI669" s="24"/>
      <c r="CJ669" s="24"/>
    </row>
    <row r="670" spans="1:88" ht="15" customHeight="1">
      <c r="A670" s="18">
        <v>2019</v>
      </c>
      <c r="B670" s="18" t="str">
        <f>+INDEX(BDD!F:F,MATCH(P670,BDD!D:D,0))&amp;"-"&amp;INDEX(BDD!E:E,MATCH(P670,BDD!D:D,0))</f>
        <v>G-C</v>
      </c>
      <c r="C670" s="125" t="s">
        <v>484</v>
      </c>
      <c r="D670" s="150" t="s">
        <v>77</v>
      </c>
      <c r="E670" s="132"/>
      <c r="F670" s="24"/>
      <c r="G670" s="346">
        <v>8000000532</v>
      </c>
      <c r="H670" s="125" t="s">
        <v>2771</v>
      </c>
      <c r="I670" s="329"/>
      <c r="J670" s="346">
        <v>8000000532</v>
      </c>
      <c r="K670" s="24"/>
      <c r="L670" s="24"/>
      <c r="M670" s="24"/>
      <c r="N670" s="340" t="s">
        <v>486</v>
      </c>
      <c r="O670" s="334">
        <v>206573</v>
      </c>
      <c r="P670" s="25" t="s">
        <v>226</v>
      </c>
      <c r="Q670" s="127" t="s">
        <v>288</v>
      </c>
      <c r="R670" s="232" t="s">
        <v>2767</v>
      </c>
      <c r="S670" s="89">
        <v>43641</v>
      </c>
      <c r="T670" s="36" t="s">
        <v>19</v>
      </c>
      <c r="U670" s="125"/>
      <c r="V670" s="147" t="s">
        <v>2772</v>
      </c>
      <c r="W670" s="129"/>
      <c r="X670" s="88">
        <v>43684</v>
      </c>
      <c r="Y670" s="130" t="s">
        <v>20</v>
      </c>
      <c r="Z670" s="133" t="s">
        <v>60</v>
      </c>
      <c r="AA670" s="133"/>
      <c r="AB670" s="241">
        <v>1700</v>
      </c>
      <c r="AC670" s="134">
        <f>234+40</f>
        <v>274</v>
      </c>
      <c r="AD670" s="134"/>
      <c r="AE670" s="403">
        <f t="shared" si="33"/>
        <v>465800</v>
      </c>
      <c r="AF670" s="132"/>
      <c r="AG670" s="130" t="s">
        <v>46</v>
      </c>
      <c r="AH670" s="130"/>
      <c r="AI670" s="130" t="s">
        <v>100</v>
      </c>
      <c r="AJ670" s="130"/>
      <c r="AK670" s="130"/>
      <c r="AL670" s="135" t="s">
        <v>2674</v>
      </c>
      <c r="AM670" s="314"/>
      <c r="AN670" s="26"/>
      <c r="AO670" s="26"/>
      <c r="AP670" s="26"/>
      <c r="AQ670" s="26">
        <f>+AQ669+3</f>
        <v>43714</v>
      </c>
      <c r="AR670" s="24"/>
      <c r="AS670" s="24"/>
      <c r="AT670" s="24">
        <v>43717</v>
      </c>
      <c r="AU670" s="418">
        <f t="shared" si="34"/>
        <v>9</v>
      </c>
      <c r="AV670" s="418">
        <f t="shared" si="35"/>
        <v>2019</v>
      </c>
      <c r="AW670" s="24"/>
      <c r="AX670" s="28"/>
      <c r="AY670" s="28" t="s">
        <v>269</v>
      </c>
      <c r="AZ670" s="132" t="s">
        <v>37</v>
      </c>
      <c r="BA670" s="132"/>
      <c r="BB670" s="24"/>
      <c r="BC670" s="135">
        <v>7</v>
      </c>
      <c r="BD670" s="24">
        <v>43673</v>
      </c>
      <c r="BE670" s="135" t="s">
        <v>2757</v>
      </c>
      <c r="BF670" s="135" t="s">
        <v>2757</v>
      </c>
      <c r="BG670" s="135" t="s">
        <v>52</v>
      </c>
      <c r="BH670" s="135"/>
      <c r="BI670" s="314"/>
      <c r="BJ670" s="314"/>
      <c r="BK670" s="24"/>
      <c r="BL670" s="24"/>
      <c r="BM670" s="24"/>
      <c r="BN670" s="24"/>
      <c r="BO670" s="24"/>
      <c r="BP670" s="24"/>
      <c r="BQ670" s="24"/>
      <c r="BR670" s="43"/>
      <c r="BS670" s="24"/>
      <c r="BT670" s="24"/>
      <c r="BU670" s="24"/>
      <c r="BV670" s="132" t="e">
        <f>IF(#REF!="COMPLETO","OK","PENDIENTES")</f>
        <v>#REF!</v>
      </c>
      <c r="BW670" s="132"/>
      <c r="BX670" s="132"/>
      <c r="BY670" s="132"/>
      <c r="BZ670" s="132"/>
      <c r="CA670" s="132"/>
      <c r="CB670" s="132"/>
      <c r="CC670" s="22"/>
      <c r="CG670" s="24" t="s">
        <v>105</v>
      </c>
      <c r="CH670" s="24"/>
      <c r="CI670" s="24"/>
      <c r="CJ670" s="24"/>
    </row>
    <row r="671" spans="1:88" ht="15" customHeight="1">
      <c r="A671" s="18">
        <v>2019</v>
      </c>
      <c r="B671" s="18" t="str">
        <f>+INDEX(BDD!F:F,MATCH(P671,BDD!D:D,0))&amp;"-"&amp;INDEX(BDD!E:E,MATCH(P671,BDD!D:D,0))</f>
        <v>G-C</v>
      </c>
      <c r="C671" s="125" t="s">
        <v>484</v>
      </c>
      <c r="D671" s="150" t="s">
        <v>77</v>
      </c>
      <c r="E671" s="132"/>
      <c r="F671" s="24"/>
      <c r="G671" s="346">
        <v>8000000533</v>
      </c>
      <c r="H671" s="125" t="s">
        <v>2773</v>
      </c>
      <c r="I671" s="329"/>
      <c r="J671" s="346">
        <v>8000000533</v>
      </c>
      <c r="K671" s="24"/>
      <c r="L671" s="24"/>
      <c r="M671" s="24"/>
      <c r="N671" s="340" t="s">
        <v>486</v>
      </c>
      <c r="O671" s="334">
        <v>206573</v>
      </c>
      <c r="P671" s="25" t="s">
        <v>226</v>
      </c>
      <c r="Q671" s="127" t="s">
        <v>288</v>
      </c>
      <c r="R671" s="232" t="s">
        <v>2767</v>
      </c>
      <c r="S671" s="89">
        <v>43641</v>
      </c>
      <c r="T671" s="36" t="s">
        <v>19</v>
      </c>
      <c r="U671" s="125"/>
      <c r="V671" s="147" t="s">
        <v>2774</v>
      </c>
      <c r="W671" s="129"/>
      <c r="X671" s="88">
        <v>43684</v>
      </c>
      <c r="Y671" s="130" t="s">
        <v>20</v>
      </c>
      <c r="Z671" s="133" t="s">
        <v>60</v>
      </c>
      <c r="AA671" s="133"/>
      <c r="AB671" s="241">
        <v>550</v>
      </c>
      <c r="AC671" s="134">
        <f>234+40</f>
        <v>274</v>
      </c>
      <c r="AD671" s="134"/>
      <c r="AE671" s="403">
        <f t="shared" si="33"/>
        <v>150700</v>
      </c>
      <c r="AF671" s="132"/>
      <c r="AG671" s="130" t="s">
        <v>46</v>
      </c>
      <c r="AH671" s="130"/>
      <c r="AI671" s="130" t="s">
        <v>100</v>
      </c>
      <c r="AJ671" s="130"/>
      <c r="AK671" s="130"/>
      <c r="AL671" s="135" t="s">
        <v>2674</v>
      </c>
      <c r="AM671" s="314"/>
      <c r="AN671" s="26"/>
      <c r="AO671" s="26"/>
      <c r="AP671" s="26"/>
      <c r="AQ671" s="26">
        <f>+AQ670+3</f>
        <v>43717</v>
      </c>
      <c r="AR671" s="24"/>
      <c r="AS671" s="24"/>
      <c r="AT671" s="24">
        <v>43717</v>
      </c>
      <c r="AU671" s="418">
        <f t="shared" si="34"/>
        <v>9</v>
      </c>
      <c r="AV671" s="418">
        <f t="shared" si="35"/>
        <v>2019</v>
      </c>
      <c r="AW671" s="24"/>
      <c r="AX671" s="28"/>
      <c r="AY671" s="28" t="s">
        <v>269</v>
      </c>
      <c r="AZ671" s="132" t="s">
        <v>37</v>
      </c>
      <c r="BA671" s="132"/>
      <c r="BB671" s="24"/>
      <c r="BC671" s="135">
        <v>8</v>
      </c>
      <c r="BD671" s="24">
        <v>43673</v>
      </c>
      <c r="BE671" s="135" t="s">
        <v>2757</v>
      </c>
      <c r="BF671" s="135" t="s">
        <v>2757</v>
      </c>
      <c r="BG671" s="135" t="s">
        <v>52</v>
      </c>
      <c r="BH671" s="135"/>
      <c r="BI671" s="314"/>
      <c r="BJ671" s="314"/>
      <c r="BK671" s="24"/>
      <c r="BL671" s="24"/>
      <c r="BM671" s="24"/>
      <c r="BN671" s="24"/>
      <c r="BO671" s="24"/>
      <c r="BP671" s="24"/>
      <c r="BQ671" s="24"/>
      <c r="BR671" s="43"/>
      <c r="BS671" s="24"/>
      <c r="BT671" s="24"/>
      <c r="BU671" s="24"/>
      <c r="BV671" s="132" t="e">
        <f>IF(#REF!="COMPLETO","OK","PENDIENTES")</f>
        <v>#REF!</v>
      </c>
      <c r="BW671" s="132"/>
      <c r="BX671" s="132"/>
      <c r="BY671" s="132"/>
      <c r="BZ671" s="132"/>
      <c r="CA671" s="132"/>
      <c r="CB671" s="132"/>
      <c r="CC671" s="22"/>
      <c r="CG671" s="24" t="s">
        <v>105</v>
      </c>
      <c r="CH671" s="24"/>
      <c r="CI671" s="24"/>
      <c r="CJ671" s="24"/>
    </row>
    <row r="672" spans="1:88" ht="15" customHeight="1">
      <c r="A672" s="18">
        <v>2019</v>
      </c>
      <c r="B672" s="18" t="str">
        <f>+INDEX(BDD!F:F,MATCH(P672,BDD!D:D,0))&amp;"-"&amp;INDEX(BDD!E:E,MATCH(P672,BDD!D:D,0))</f>
        <v>G-C</v>
      </c>
      <c r="C672" s="125" t="s">
        <v>484</v>
      </c>
      <c r="D672" s="150" t="s">
        <v>77</v>
      </c>
      <c r="E672" s="132"/>
      <c r="F672" s="24"/>
      <c r="G672" s="346">
        <v>8000000534</v>
      </c>
      <c r="H672" s="125" t="s">
        <v>2775</v>
      </c>
      <c r="I672" s="329"/>
      <c r="J672" s="346">
        <v>8000000534</v>
      </c>
      <c r="K672" s="24"/>
      <c r="L672" s="24"/>
      <c r="M672" s="24"/>
      <c r="N672" s="340" t="s">
        <v>486</v>
      </c>
      <c r="O672" s="334">
        <v>206573</v>
      </c>
      <c r="P672" s="25" t="s">
        <v>226</v>
      </c>
      <c r="Q672" s="127" t="s">
        <v>288</v>
      </c>
      <c r="R672" s="232" t="s">
        <v>2767</v>
      </c>
      <c r="S672" s="89">
        <v>43641</v>
      </c>
      <c r="T672" s="36" t="s">
        <v>19</v>
      </c>
      <c r="U672" s="125"/>
      <c r="V672" s="147" t="s">
        <v>2776</v>
      </c>
      <c r="W672" s="129"/>
      <c r="X672" s="88">
        <v>43684</v>
      </c>
      <c r="Y672" s="130" t="s">
        <v>20</v>
      </c>
      <c r="Z672" s="133" t="s">
        <v>60</v>
      </c>
      <c r="AA672" s="133"/>
      <c r="AB672" s="241">
        <v>1056</v>
      </c>
      <c r="AC672" s="134">
        <f>234+40</f>
        <v>274</v>
      </c>
      <c r="AD672" s="134"/>
      <c r="AE672" s="403">
        <f t="shared" si="33"/>
        <v>289344</v>
      </c>
      <c r="AF672" s="132"/>
      <c r="AG672" s="130" t="s">
        <v>46</v>
      </c>
      <c r="AH672" s="130"/>
      <c r="AI672" s="130" t="s">
        <v>100</v>
      </c>
      <c r="AJ672" s="130"/>
      <c r="AK672" s="130"/>
      <c r="AL672" s="135" t="s">
        <v>2674</v>
      </c>
      <c r="AM672" s="314"/>
      <c r="AN672" s="26"/>
      <c r="AO672" s="26"/>
      <c r="AP672" s="26"/>
      <c r="AQ672" s="26">
        <f>+AQ667</f>
        <v>43719</v>
      </c>
      <c r="AR672" s="24"/>
      <c r="AS672" s="24"/>
      <c r="AT672" s="24">
        <v>43722</v>
      </c>
      <c r="AU672" s="418">
        <f t="shared" si="34"/>
        <v>9</v>
      </c>
      <c r="AV672" s="418">
        <f t="shared" si="35"/>
        <v>2019</v>
      </c>
      <c r="AW672" s="24"/>
      <c r="AX672" s="28"/>
      <c r="AY672" s="28" t="s">
        <v>269</v>
      </c>
      <c r="AZ672" s="132" t="s">
        <v>62</v>
      </c>
      <c r="BA672" s="132"/>
      <c r="BB672" s="24"/>
      <c r="BC672" s="135">
        <v>9</v>
      </c>
      <c r="BD672" s="24">
        <v>43673</v>
      </c>
      <c r="BE672" s="135" t="s">
        <v>2757</v>
      </c>
      <c r="BF672" s="135" t="s">
        <v>2757</v>
      </c>
      <c r="BG672" s="135" t="s">
        <v>52</v>
      </c>
      <c r="BH672" s="135"/>
      <c r="BI672" s="314"/>
      <c r="BJ672" s="314"/>
      <c r="BK672" s="24"/>
      <c r="BL672" s="24"/>
      <c r="BM672" s="24"/>
      <c r="BN672" s="24"/>
      <c r="BO672" s="24"/>
      <c r="BP672" s="24"/>
      <c r="BQ672" s="24"/>
      <c r="BR672" s="43"/>
      <c r="BS672" s="24"/>
      <c r="BT672" s="24"/>
      <c r="BU672" s="24"/>
      <c r="BV672" s="132" t="e">
        <f>IF(#REF!="COMPLETO","OK","PENDIENTES")</f>
        <v>#REF!</v>
      </c>
      <c r="BW672" s="132"/>
      <c r="BX672" s="132"/>
      <c r="BY672" s="132"/>
      <c r="BZ672" s="132"/>
      <c r="CA672" s="132"/>
      <c r="CB672" s="132"/>
      <c r="CC672" s="22"/>
      <c r="CG672" s="24" t="s">
        <v>105</v>
      </c>
      <c r="CH672" s="24"/>
      <c r="CI672" s="24"/>
      <c r="CJ672" s="24"/>
    </row>
    <row r="673" spans="1:88" ht="15" customHeight="1">
      <c r="A673" s="18">
        <v>2019</v>
      </c>
      <c r="B673" s="18" t="str">
        <f>+INDEX(BDD!F:F,MATCH(P673,BDD!D:D,0))&amp;"-"&amp;INDEX(BDD!E:E,MATCH(P673,BDD!D:D,0))</f>
        <v>E-S</v>
      </c>
      <c r="C673" s="125" t="s">
        <v>484</v>
      </c>
      <c r="D673" s="150" t="s">
        <v>77</v>
      </c>
      <c r="E673" s="132"/>
      <c r="F673" s="24"/>
      <c r="G673" s="346">
        <v>8000000543</v>
      </c>
      <c r="H673" s="125" t="s">
        <v>2777</v>
      </c>
      <c r="I673" s="329"/>
      <c r="J673" s="346">
        <v>8000000543</v>
      </c>
      <c r="K673" s="24"/>
      <c r="L673" s="24"/>
      <c r="M673" s="24"/>
      <c r="N673" s="340" t="s">
        <v>486</v>
      </c>
      <c r="O673" s="334">
        <v>204826</v>
      </c>
      <c r="P673" s="25" t="s">
        <v>351</v>
      </c>
      <c r="Q673" s="127" t="s">
        <v>252</v>
      </c>
      <c r="R673" s="232" t="s">
        <v>2778</v>
      </c>
      <c r="S673" s="89">
        <v>43647</v>
      </c>
      <c r="T673" s="36" t="s">
        <v>19</v>
      </c>
      <c r="U673" s="125"/>
      <c r="V673" s="147" t="s">
        <v>2779</v>
      </c>
      <c r="W673" s="129"/>
      <c r="X673" s="88">
        <v>43692</v>
      </c>
      <c r="Y673" s="130" t="s">
        <v>20</v>
      </c>
      <c r="Z673" s="133" t="s">
        <v>60</v>
      </c>
      <c r="AA673" s="133"/>
      <c r="AB673" s="148">
        <v>115.2</v>
      </c>
      <c r="AC673" s="134">
        <v>340</v>
      </c>
      <c r="AD673" s="134"/>
      <c r="AE673" s="403">
        <f t="shared" si="33"/>
        <v>39168</v>
      </c>
      <c r="AF673" s="132">
        <v>4</v>
      </c>
      <c r="AG673" s="130" t="s">
        <v>21</v>
      </c>
      <c r="AH673" s="130"/>
      <c r="AI673" s="130" t="s">
        <v>71</v>
      </c>
      <c r="AJ673" s="130"/>
      <c r="AK673" s="130"/>
      <c r="AL673" s="135" t="s">
        <v>2780</v>
      </c>
      <c r="AM673" s="314"/>
      <c r="AN673" s="26"/>
      <c r="AO673" s="26"/>
      <c r="AP673" s="26"/>
      <c r="AQ673" s="26">
        <v>43721</v>
      </c>
      <c r="AR673" s="24"/>
      <c r="AS673" s="24"/>
      <c r="AT673" s="24">
        <v>43722</v>
      </c>
      <c r="AU673" s="418">
        <f t="shared" si="34"/>
        <v>9</v>
      </c>
      <c r="AV673" s="418">
        <f t="shared" si="35"/>
        <v>2019</v>
      </c>
      <c r="AW673" s="24"/>
      <c r="AX673" s="28"/>
      <c r="AY673" s="28" t="s">
        <v>281</v>
      </c>
      <c r="AZ673" s="132" t="s">
        <v>37</v>
      </c>
      <c r="BA673" s="132"/>
      <c r="BB673" s="24"/>
      <c r="BC673" s="135" t="s">
        <v>2781</v>
      </c>
      <c r="BD673" s="24">
        <v>43682</v>
      </c>
      <c r="BE673" s="135" t="s">
        <v>2782</v>
      </c>
      <c r="BF673" s="135" t="s">
        <v>2329</v>
      </c>
      <c r="BG673" s="135" t="s">
        <v>64</v>
      </c>
      <c r="BH673" s="135"/>
      <c r="BI673" s="314"/>
      <c r="BJ673" s="314"/>
      <c r="BK673" s="24"/>
      <c r="BL673" s="24"/>
      <c r="BM673" s="24"/>
      <c r="BN673" s="24"/>
      <c r="BO673" s="24">
        <f>+AQ673+21</f>
        <v>43742</v>
      </c>
      <c r="BP673" s="24"/>
      <c r="BQ673" s="24"/>
      <c r="BR673" s="43"/>
      <c r="BS673" s="24"/>
      <c r="BT673" s="24"/>
      <c r="BU673" s="24"/>
      <c r="BV673" s="132" t="e">
        <f>IF(#REF!="COMPLETO","OK","PENDIENTES")</f>
        <v>#REF!</v>
      </c>
      <c r="BW673" s="132"/>
      <c r="BX673" s="132"/>
      <c r="BY673" s="132"/>
      <c r="BZ673" s="132"/>
      <c r="CA673" s="132"/>
      <c r="CB673" s="132"/>
      <c r="CC673" s="22"/>
      <c r="CG673" s="24" t="s">
        <v>105</v>
      </c>
      <c r="CH673" s="24"/>
      <c r="CI673" s="24"/>
      <c r="CJ673" s="24"/>
    </row>
    <row r="674" spans="1:88" ht="15" customHeight="1">
      <c r="A674" s="18">
        <v>2019</v>
      </c>
      <c r="B674" s="18" t="str">
        <f>+INDEX(BDD!F:F,MATCH(P674,BDD!D:D,0))&amp;"-"&amp;INDEX(BDD!E:E,MATCH(P674,BDD!D:D,0))</f>
        <v>G-S</v>
      </c>
      <c r="C674" s="125" t="s">
        <v>484</v>
      </c>
      <c r="D674" s="150" t="s">
        <v>77</v>
      </c>
      <c r="E674" s="132"/>
      <c r="F674" s="24"/>
      <c r="G674" s="346">
        <v>8000000520</v>
      </c>
      <c r="H674" s="125" t="s">
        <v>2783</v>
      </c>
      <c r="I674" s="329"/>
      <c r="J674" s="346">
        <v>8000000520</v>
      </c>
      <c r="K674" s="24"/>
      <c r="L674" s="24"/>
      <c r="M674" s="24"/>
      <c r="N674" s="340" t="s">
        <v>486</v>
      </c>
      <c r="O674" s="334">
        <v>206597</v>
      </c>
      <c r="P674" s="25" t="s">
        <v>104</v>
      </c>
      <c r="Q674" s="127" t="s">
        <v>163</v>
      </c>
      <c r="R674" s="232" t="s">
        <v>544</v>
      </c>
      <c r="S674" s="89">
        <v>43678</v>
      </c>
      <c r="T674" s="36" t="s">
        <v>19</v>
      </c>
      <c r="U674" s="125"/>
      <c r="V674" s="147" t="s">
        <v>2784</v>
      </c>
      <c r="W674" s="129"/>
      <c r="X674" s="88">
        <v>43692</v>
      </c>
      <c r="Y674" s="130" t="s">
        <v>20</v>
      </c>
      <c r="Z674" s="133" t="s">
        <v>60</v>
      </c>
      <c r="AA674" s="133"/>
      <c r="AB674" s="148">
        <v>200</v>
      </c>
      <c r="AC674" s="134">
        <v>325</v>
      </c>
      <c r="AD674" s="134"/>
      <c r="AE674" s="403">
        <f t="shared" si="33"/>
        <v>65000</v>
      </c>
      <c r="AF674" s="132"/>
      <c r="AG674" s="130" t="s">
        <v>46</v>
      </c>
      <c r="AH674" s="130"/>
      <c r="AI674" s="130" t="s">
        <v>100</v>
      </c>
      <c r="AJ674" s="130"/>
      <c r="AK674" s="130"/>
      <c r="AL674" s="135" t="s">
        <v>2674</v>
      </c>
      <c r="AM674" s="314"/>
      <c r="AN674" s="26"/>
      <c r="AO674" s="26"/>
      <c r="AP674" s="26"/>
      <c r="AQ674" s="26">
        <f>+AQ668</f>
        <v>43709</v>
      </c>
      <c r="AR674" s="24"/>
      <c r="AS674" s="24"/>
      <c r="AT674" s="24">
        <v>43711</v>
      </c>
      <c r="AU674" s="418">
        <f t="shared" si="34"/>
        <v>9</v>
      </c>
      <c r="AV674" s="418">
        <f t="shared" si="35"/>
        <v>2019</v>
      </c>
      <c r="AW674" s="24"/>
      <c r="AX674" s="28"/>
      <c r="AY674" s="28" t="s">
        <v>201</v>
      </c>
      <c r="AZ674" s="132" t="s">
        <v>9</v>
      </c>
      <c r="BA674" s="132"/>
      <c r="BB674" s="24"/>
      <c r="BC674" s="135">
        <v>6</v>
      </c>
      <c r="BD674" s="24">
        <v>43679</v>
      </c>
      <c r="BE674" s="135" t="s">
        <v>2757</v>
      </c>
      <c r="BF674" s="135" t="s">
        <v>2757</v>
      </c>
      <c r="BG674" s="135" t="s">
        <v>52</v>
      </c>
      <c r="BH674" s="135"/>
      <c r="BI674" s="314"/>
      <c r="BJ674" s="314"/>
      <c r="BK674" s="24"/>
      <c r="BL674" s="24"/>
      <c r="BM674" s="24"/>
      <c r="BN674" s="24"/>
      <c r="BO674" s="24"/>
      <c r="BP674" s="24"/>
      <c r="BQ674" s="24"/>
      <c r="BR674" s="43"/>
      <c r="BS674" s="24"/>
      <c r="BT674" s="24"/>
      <c r="BU674" s="24"/>
      <c r="BV674" s="132" t="e">
        <f>IF(#REF!="COMPLETO","OK","PENDIENTES")</f>
        <v>#REF!</v>
      </c>
      <c r="BW674" s="132"/>
      <c r="BX674" s="132"/>
      <c r="BY674" s="132"/>
      <c r="BZ674" s="132"/>
      <c r="CA674" s="132"/>
      <c r="CB674" s="132"/>
      <c r="CC674" s="22"/>
      <c r="CG674" s="24" t="s">
        <v>105</v>
      </c>
      <c r="CH674" s="24"/>
      <c r="CI674" s="24"/>
      <c r="CJ674" s="24"/>
    </row>
    <row r="675" spans="1:88" ht="15" customHeight="1">
      <c r="A675" s="18">
        <v>2019</v>
      </c>
      <c r="B675" s="18" t="str">
        <f>+INDEX(BDD!F:F,MATCH(P675,BDD!D:D,0))&amp;"-"&amp;INDEX(BDD!E:E,MATCH(P675,BDD!D:D,0))</f>
        <v>G-S</v>
      </c>
      <c r="C675" s="125" t="s">
        <v>484</v>
      </c>
      <c r="D675" s="150" t="s">
        <v>77</v>
      </c>
      <c r="E675" s="132"/>
      <c r="F675" s="24"/>
      <c r="G675" s="346">
        <v>8000000521</v>
      </c>
      <c r="H675" s="125" t="s">
        <v>2785</v>
      </c>
      <c r="I675" s="329"/>
      <c r="J675" s="346">
        <v>8000000521</v>
      </c>
      <c r="K675" s="24"/>
      <c r="L675" s="24"/>
      <c r="M675" s="24"/>
      <c r="N675" s="340" t="s">
        <v>486</v>
      </c>
      <c r="O675" s="334">
        <v>206597</v>
      </c>
      <c r="P675" s="25" t="s">
        <v>104</v>
      </c>
      <c r="Q675" s="127" t="s">
        <v>163</v>
      </c>
      <c r="R675" s="232" t="s">
        <v>544</v>
      </c>
      <c r="S675" s="89">
        <v>43678</v>
      </c>
      <c r="T675" s="36" t="s">
        <v>19</v>
      </c>
      <c r="U675" s="125"/>
      <c r="V675" s="147" t="s">
        <v>2786</v>
      </c>
      <c r="W675" s="129"/>
      <c r="X675" s="88">
        <v>43692</v>
      </c>
      <c r="Y675" s="130" t="s">
        <v>20</v>
      </c>
      <c r="Z675" s="133" t="s">
        <v>60</v>
      </c>
      <c r="AA675" s="133"/>
      <c r="AB675" s="148">
        <v>600</v>
      </c>
      <c r="AC675" s="134">
        <v>325</v>
      </c>
      <c r="AD675" s="134"/>
      <c r="AE675" s="403">
        <f t="shared" si="33"/>
        <v>195000</v>
      </c>
      <c r="AF675" s="132"/>
      <c r="AG675" s="130" t="s">
        <v>46</v>
      </c>
      <c r="AH675" s="130"/>
      <c r="AI675" s="130" t="s">
        <v>100</v>
      </c>
      <c r="AJ675" s="130"/>
      <c r="AK675" s="130"/>
      <c r="AL675" s="135" t="s">
        <v>2674</v>
      </c>
      <c r="AM675" s="314"/>
      <c r="AN675" s="26"/>
      <c r="AO675" s="26"/>
      <c r="AP675" s="26"/>
      <c r="AQ675" s="26">
        <f>+AQ674+2</f>
        <v>43711</v>
      </c>
      <c r="AR675" s="24"/>
      <c r="AS675" s="24"/>
      <c r="AT675" s="24">
        <v>43713</v>
      </c>
      <c r="AU675" s="418">
        <f t="shared" si="34"/>
        <v>9</v>
      </c>
      <c r="AV675" s="418">
        <f t="shared" si="35"/>
        <v>2019</v>
      </c>
      <c r="AW675" s="24"/>
      <c r="AX675" s="28"/>
      <c r="AY675" s="28" t="s">
        <v>201</v>
      </c>
      <c r="AZ675" s="132" t="s">
        <v>25</v>
      </c>
      <c r="BA675" s="132"/>
      <c r="BB675" s="24"/>
      <c r="BC675" s="135">
        <v>7</v>
      </c>
      <c r="BD675" s="24">
        <v>43679</v>
      </c>
      <c r="BE675" s="135" t="s">
        <v>2757</v>
      </c>
      <c r="BF675" s="135" t="s">
        <v>2757</v>
      </c>
      <c r="BG675" s="135" t="s">
        <v>52</v>
      </c>
      <c r="BH675" s="135"/>
      <c r="BI675" s="314"/>
      <c r="BJ675" s="314"/>
      <c r="BK675" s="24"/>
      <c r="BL675" s="24"/>
      <c r="BM675" s="24"/>
      <c r="BN675" s="24"/>
      <c r="BO675" s="24"/>
      <c r="BP675" s="24"/>
      <c r="BQ675" s="24"/>
      <c r="BR675" s="43"/>
      <c r="BS675" s="24"/>
      <c r="BT675" s="24"/>
      <c r="BU675" s="24"/>
      <c r="BV675" s="132" t="e">
        <f>IF(#REF!="COMPLETO","OK","PENDIENTES")</f>
        <v>#REF!</v>
      </c>
      <c r="BW675" s="132"/>
      <c r="BX675" s="132"/>
      <c r="BY675" s="132"/>
      <c r="BZ675" s="132"/>
      <c r="CA675" s="132"/>
      <c r="CB675" s="132"/>
      <c r="CC675" s="22"/>
      <c r="CG675" s="24" t="s">
        <v>105</v>
      </c>
      <c r="CH675" s="24"/>
      <c r="CI675" s="24"/>
      <c r="CJ675" s="24"/>
    </row>
    <row r="676" spans="1:88" ht="15" customHeight="1">
      <c r="A676" s="18">
        <v>2019</v>
      </c>
      <c r="B676" s="18" t="str">
        <f>+INDEX(BDD!F:F,MATCH(P676,BDD!D:D,0))&amp;"-"&amp;INDEX(BDD!E:E,MATCH(P676,BDD!D:D,0))</f>
        <v>G-S</v>
      </c>
      <c r="C676" s="125" t="s">
        <v>484</v>
      </c>
      <c r="D676" s="150" t="s">
        <v>77</v>
      </c>
      <c r="E676" s="132"/>
      <c r="F676" s="24"/>
      <c r="G676" s="346">
        <v>8000000525</v>
      </c>
      <c r="H676" s="125" t="s">
        <v>2787</v>
      </c>
      <c r="I676" s="329"/>
      <c r="J676" s="346">
        <v>8000000525</v>
      </c>
      <c r="K676" s="24"/>
      <c r="L676" s="24"/>
      <c r="M676" s="24"/>
      <c r="N676" s="340" t="s">
        <v>486</v>
      </c>
      <c r="O676" s="334">
        <v>206597</v>
      </c>
      <c r="P676" s="25" t="s">
        <v>104</v>
      </c>
      <c r="Q676" s="127" t="s">
        <v>163</v>
      </c>
      <c r="R676" s="232" t="s">
        <v>544</v>
      </c>
      <c r="S676" s="89">
        <v>43678</v>
      </c>
      <c r="T676" s="36" t="s">
        <v>19</v>
      </c>
      <c r="U676" s="125"/>
      <c r="V676" s="147" t="s">
        <v>2788</v>
      </c>
      <c r="W676" s="129"/>
      <c r="X676" s="88">
        <v>43692</v>
      </c>
      <c r="Y676" s="130" t="s">
        <v>20</v>
      </c>
      <c r="Z676" s="133" t="s">
        <v>60</v>
      </c>
      <c r="AA676" s="133"/>
      <c r="AB676" s="148">
        <v>1600</v>
      </c>
      <c r="AC676" s="134">
        <v>325</v>
      </c>
      <c r="AD676" s="134"/>
      <c r="AE676" s="403">
        <f t="shared" si="33"/>
        <v>520000</v>
      </c>
      <c r="AF676" s="132"/>
      <c r="AG676" s="130" t="s">
        <v>46</v>
      </c>
      <c r="AH676" s="130"/>
      <c r="AI676" s="130" t="s">
        <v>100</v>
      </c>
      <c r="AJ676" s="130"/>
      <c r="AK676" s="130"/>
      <c r="AL676" s="135" t="s">
        <v>2674</v>
      </c>
      <c r="AM676" s="314"/>
      <c r="AN676" s="26"/>
      <c r="AO676" s="26"/>
      <c r="AP676" s="26"/>
      <c r="AQ676" s="26">
        <f>+AQ670</f>
        <v>43714</v>
      </c>
      <c r="AR676" s="24"/>
      <c r="AS676" s="24"/>
      <c r="AT676" s="24">
        <v>43717</v>
      </c>
      <c r="AU676" s="418">
        <f t="shared" si="34"/>
        <v>9</v>
      </c>
      <c r="AV676" s="418">
        <f t="shared" si="35"/>
        <v>2019</v>
      </c>
      <c r="AW676" s="24"/>
      <c r="AX676" s="28"/>
      <c r="AY676" s="28" t="s">
        <v>201</v>
      </c>
      <c r="AZ676" s="132" t="s">
        <v>37</v>
      </c>
      <c r="BA676" s="132"/>
      <c r="BB676" s="24"/>
      <c r="BC676" s="135">
        <v>8</v>
      </c>
      <c r="BD676" s="24">
        <v>43679</v>
      </c>
      <c r="BE676" s="135" t="s">
        <v>2757</v>
      </c>
      <c r="BF676" s="135" t="s">
        <v>2757</v>
      </c>
      <c r="BG676" s="135" t="s">
        <v>52</v>
      </c>
      <c r="BH676" s="135"/>
      <c r="BI676" s="314"/>
      <c r="BJ676" s="314"/>
      <c r="BK676" s="24"/>
      <c r="BL676" s="24"/>
      <c r="BM676" s="24"/>
      <c r="BN676" s="24"/>
      <c r="BO676" s="24"/>
      <c r="BP676" s="24"/>
      <c r="BQ676" s="24"/>
      <c r="BR676" s="43"/>
      <c r="BS676" s="24"/>
      <c r="BT676" s="24"/>
      <c r="BU676" s="24"/>
      <c r="BV676" s="132" t="e">
        <f>IF(#REF!="COMPLETO","OK","PENDIENTES")</f>
        <v>#REF!</v>
      </c>
      <c r="BW676" s="132"/>
      <c r="BX676" s="132"/>
      <c r="BY676" s="132"/>
      <c r="BZ676" s="132"/>
      <c r="CA676" s="132"/>
      <c r="CB676" s="132"/>
      <c r="CC676" s="22"/>
      <c r="CG676" s="24" t="s">
        <v>105</v>
      </c>
      <c r="CH676" s="24"/>
      <c r="CI676" s="24"/>
      <c r="CJ676" s="24"/>
    </row>
    <row r="677" spans="1:88" ht="15" customHeight="1">
      <c r="A677" s="18">
        <v>2019</v>
      </c>
      <c r="B677" s="18" t="str">
        <f>+INDEX(BDD!F:F,MATCH(P677,BDD!D:D,0))&amp;"-"&amp;INDEX(BDD!E:E,MATCH(P677,BDD!D:D,0))</f>
        <v>G-S</v>
      </c>
      <c r="C677" s="125" t="s">
        <v>484</v>
      </c>
      <c r="D677" s="150" t="s">
        <v>77</v>
      </c>
      <c r="E677" s="132"/>
      <c r="F677" s="24"/>
      <c r="G677" s="346">
        <v>8000000526</v>
      </c>
      <c r="H677" s="125" t="s">
        <v>2789</v>
      </c>
      <c r="I677" s="329"/>
      <c r="J677" s="346">
        <v>8000000526</v>
      </c>
      <c r="K677" s="24"/>
      <c r="L677" s="24"/>
      <c r="M677" s="24"/>
      <c r="N677" s="340" t="s">
        <v>486</v>
      </c>
      <c r="O677" s="334">
        <v>206597</v>
      </c>
      <c r="P677" s="25" t="s">
        <v>104</v>
      </c>
      <c r="Q677" s="127" t="s">
        <v>163</v>
      </c>
      <c r="R677" s="232" t="s">
        <v>544</v>
      </c>
      <c r="S677" s="89">
        <v>43678</v>
      </c>
      <c r="T677" s="36" t="s">
        <v>19</v>
      </c>
      <c r="U677" s="125"/>
      <c r="V677" s="147" t="s">
        <v>2790</v>
      </c>
      <c r="W677" s="129"/>
      <c r="X677" s="88">
        <v>43692</v>
      </c>
      <c r="Y677" s="130" t="s">
        <v>20</v>
      </c>
      <c r="Z677" s="133" t="s">
        <v>60</v>
      </c>
      <c r="AA677" s="133"/>
      <c r="AB677" s="148">
        <v>200</v>
      </c>
      <c r="AC677" s="134">
        <v>325</v>
      </c>
      <c r="AD677" s="134"/>
      <c r="AE677" s="403">
        <f t="shared" si="33"/>
        <v>65000</v>
      </c>
      <c r="AF677" s="132"/>
      <c r="AG677" s="130" t="s">
        <v>46</v>
      </c>
      <c r="AH677" s="130"/>
      <c r="AI677" s="130" t="s">
        <v>100</v>
      </c>
      <c r="AJ677" s="130"/>
      <c r="AK677" s="130"/>
      <c r="AL677" s="135" t="s">
        <v>2674</v>
      </c>
      <c r="AM677" s="314"/>
      <c r="AN677" s="26"/>
      <c r="AO677" s="26"/>
      <c r="AP677" s="26"/>
      <c r="AQ677" s="26">
        <f>+AQ676+3</f>
        <v>43717</v>
      </c>
      <c r="AR677" s="24"/>
      <c r="AS677" s="24"/>
      <c r="AT677" s="24">
        <v>43717</v>
      </c>
      <c r="AU677" s="418">
        <f t="shared" si="34"/>
        <v>9</v>
      </c>
      <c r="AV677" s="418">
        <f t="shared" si="35"/>
        <v>2019</v>
      </c>
      <c r="AW677" s="24"/>
      <c r="AX677" s="28"/>
      <c r="AY677" s="28" t="s">
        <v>201</v>
      </c>
      <c r="AZ677" s="132" t="s">
        <v>37</v>
      </c>
      <c r="BA677" s="132"/>
      <c r="BB677" s="24"/>
      <c r="BC677" s="135">
        <v>9</v>
      </c>
      <c r="BD677" s="24">
        <v>43679</v>
      </c>
      <c r="BE677" s="135" t="s">
        <v>2757</v>
      </c>
      <c r="BF677" s="135" t="s">
        <v>2757</v>
      </c>
      <c r="BG677" s="135" t="s">
        <v>52</v>
      </c>
      <c r="BH677" s="135"/>
      <c r="BI677" s="314"/>
      <c r="BJ677" s="314"/>
      <c r="BK677" s="24"/>
      <c r="BL677" s="24"/>
      <c r="BM677" s="24"/>
      <c r="BN677" s="24"/>
      <c r="BO677" s="24"/>
      <c r="BP677" s="24"/>
      <c r="BQ677" s="24"/>
      <c r="BR677" s="43"/>
      <c r="BS677" s="24"/>
      <c r="BT677" s="24"/>
      <c r="BU677" s="24"/>
      <c r="BV677" s="132" t="e">
        <f>IF(#REF!="COMPLETO","OK","PENDIENTES")</f>
        <v>#REF!</v>
      </c>
      <c r="BW677" s="132"/>
      <c r="BX677" s="132"/>
      <c r="BY677" s="132"/>
      <c r="BZ677" s="132"/>
      <c r="CA677" s="132"/>
      <c r="CB677" s="132"/>
      <c r="CC677" s="22"/>
      <c r="CG677" s="24" t="s">
        <v>105</v>
      </c>
      <c r="CH677" s="24"/>
      <c r="CI677" s="24"/>
      <c r="CJ677" s="24"/>
    </row>
    <row r="678" spans="1:88" ht="15" customHeight="1">
      <c r="A678" s="18">
        <v>2019</v>
      </c>
      <c r="B678" s="18" t="str">
        <f>+INDEX(BDD!F:F,MATCH(P678,BDD!D:D,0))&amp;"-"&amp;INDEX(BDD!E:E,MATCH(P678,BDD!D:D,0))</f>
        <v>G-S</v>
      </c>
      <c r="C678" s="125" t="s">
        <v>484</v>
      </c>
      <c r="D678" s="150" t="s">
        <v>77</v>
      </c>
      <c r="E678" s="132"/>
      <c r="F678" s="24"/>
      <c r="G678" s="346">
        <v>8000000527</v>
      </c>
      <c r="H678" s="125" t="s">
        <v>2791</v>
      </c>
      <c r="I678" s="329"/>
      <c r="J678" s="346">
        <v>8000000527</v>
      </c>
      <c r="K678" s="24"/>
      <c r="L678" s="24"/>
      <c r="M678" s="24"/>
      <c r="N678" s="340" t="s">
        <v>486</v>
      </c>
      <c r="O678" s="334">
        <v>206597</v>
      </c>
      <c r="P678" s="25" t="s">
        <v>104</v>
      </c>
      <c r="Q678" s="127" t="s">
        <v>163</v>
      </c>
      <c r="R678" s="232" t="s">
        <v>544</v>
      </c>
      <c r="S678" s="89">
        <v>43678</v>
      </c>
      <c r="T678" s="36" t="s">
        <v>19</v>
      </c>
      <c r="U678" s="125"/>
      <c r="V678" s="147" t="s">
        <v>2792</v>
      </c>
      <c r="W678" s="129"/>
      <c r="X678" s="88">
        <v>43692</v>
      </c>
      <c r="Y678" s="130" t="s">
        <v>20</v>
      </c>
      <c r="Z678" s="133" t="s">
        <v>60</v>
      </c>
      <c r="AA678" s="133"/>
      <c r="AB678" s="148">
        <v>400</v>
      </c>
      <c r="AC678" s="134">
        <v>325</v>
      </c>
      <c r="AD678" s="134"/>
      <c r="AE678" s="403">
        <f t="shared" si="33"/>
        <v>130000</v>
      </c>
      <c r="AF678" s="132"/>
      <c r="AG678" s="130" t="s">
        <v>46</v>
      </c>
      <c r="AH678" s="130"/>
      <c r="AI678" s="130" t="s">
        <v>100</v>
      </c>
      <c r="AJ678" s="130"/>
      <c r="AK678" s="130"/>
      <c r="AL678" s="135" t="s">
        <v>2674</v>
      </c>
      <c r="AM678" s="314"/>
      <c r="AN678" s="26"/>
      <c r="AO678" s="26"/>
      <c r="AP678" s="26"/>
      <c r="AQ678" s="26">
        <f>+AQ667</f>
        <v>43719</v>
      </c>
      <c r="AR678" s="24"/>
      <c r="AS678" s="24"/>
      <c r="AT678" s="24">
        <v>43722</v>
      </c>
      <c r="AU678" s="418">
        <f t="shared" si="34"/>
        <v>9</v>
      </c>
      <c r="AV678" s="418">
        <f t="shared" si="35"/>
        <v>2019</v>
      </c>
      <c r="AW678" s="24"/>
      <c r="AX678" s="28"/>
      <c r="AY678" s="28" t="s">
        <v>201</v>
      </c>
      <c r="AZ678" s="132" t="s">
        <v>62</v>
      </c>
      <c r="BA678" s="132"/>
      <c r="BB678" s="24"/>
      <c r="BC678" s="135">
        <v>10</v>
      </c>
      <c r="BD678" s="24">
        <v>43679</v>
      </c>
      <c r="BE678" s="135" t="s">
        <v>2757</v>
      </c>
      <c r="BF678" s="135" t="s">
        <v>2757</v>
      </c>
      <c r="BG678" s="135" t="s">
        <v>52</v>
      </c>
      <c r="BH678" s="135"/>
      <c r="BI678" s="314"/>
      <c r="BJ678" s="314"/>
      <c r="BK678" s="24"/>
      <c r="BL678" s="24"/>
      <c r="BM678" s="24"/>
      <c r="BN678" s="24"/>
      <c r="BO678" s="24"/>
      <c r="BP678" s="24"/>
      <c r="BQ678" s="24"/>
      <c r="BR678" s="43"/>
      <c r="BS678" s="24"/>
      <c r="BT678" s="24"/>
      <c r="BU678" s="24"/>
      <c r="BV678" s="132" t="e">
        <f>IF(#REF!="COMPLETO","OK","PENDIENTES")</f>
        <v>#REF!</v>
      </c>
      <c r="BW678" s="132"/>
      <c r="BX678" s="132"/>
      <c r="BY678" s="132"/>
      <c r="BZ678" s="132"/>
      <c r="CA678" s="132"/>
      <c r="CB678" s="132"/>
      <c r="CC678" s="22"/>
      <c r="CG678" s="24" t="s">
        <v>105</v>
      </c>
      <c r="CH678" s="24"/>
      <c r="CI678" s="24"/>
      <c r="CJ678" s="24"/>
    </row>
    <row r="679" spans="1:88" ht="15" customHeight="1">
      <c r="A679" s="18">
        <v>2019</v>
      </c>
      <c r="B679" s="18" t="str">
        <f>+INDEX(BDD!F:F,MATCH(P679,BDD!D:D,0))&amp;"-"&amp;INDEX(BDD!E:E,MATCH(P679,BDD!D:D,0))</f>
        <v>G-S</v>
      </c>
      <c r="C679" s="125" t="s">
        <v>484</v>
      </c>
      <c r="D679" s="150" t="s">
        <v>77</v>
      </c>
      <c r="E679" s="132"/>
      <c r="F679" s="24"/>
      <c r="G679" s="346">
        <v>8000000535</v>
      </c>
      <c r="H679" s="125" t="s">
        <v>2793</v>
      </c>
      <c r="I679" s="329"/>
      <c r="J679" s="346">
        <v>8000000535</v>
      </c>
      <c r="K679" s="24"/>
      <c r="L679" s="24"/>
      <c r="M679" s="24"/>
      <c r="N679" s="340" t="s">
        <v>486</v>
      </c>
      <c r="O679" s="334">
        <v>207791</v>
      </c>
      <c r="P679" s="25" t="s">
        <v>98</v>
      </c>
      <c r="Q679" s="127" t="s">
        <v>163</v>
      </c>
      <c r="R679" s="232" t="s">
        <v>544</v>
      </c>
      <c r="S679" s="89">
        <v>43678</v>
      </c>
      <c r="T679" s="36" t="s">
        <v>19</v>
      </c>
      <c r="U679" s="125"/>
      <c r="V679" s="147" t="s">
        <v>2794</v>
      </c>
      <c r="W679" s="129"/>
      <c r="X679" s="88">
        <v>43692</v>
      </c>
      <c r="Y679" s="130" t="s">
        <v>20</v>
      </c>
      <c r="Z679" s="133" t="s">
        <v>60</v>
      </c>
      <c r="AA679" s="133"/>
      <c r="AB679" s="148">
        <v>350</v>
      </c>
      <c r="AC679" s="134">
        <v>315</v>
      </c>
      <c r="AD679" s="134"/>
      <c r="AE679" s="403">
        <f t="shared" si="33"/>
        <v>110250</v>
      </c>
      <c r="AF679" s="132"/>
      <c r="AG679" s="130" t="s">
        <v>46</v>
      </c>
      <c r="AH679" s="130"/>
      <c r="AI679" s="130" t="s">
        <v>100</v>
      </c>
      <c r="AJ679" s="130"/>
      <c r="AK679" s="130"/>
      <c r="AL679" s="135" t="s">
        <v>2674</v>
      </c>
      <c r="AM679" s="314"/>
      <c r="AN679" s="26"/>
      <c r="AO679" s="26"/>
      <c r="AP679" s="26"/>
      <c r="AQ679" s="26">
        <f>+AQ674</f>
        <v>43709</v>
      </c>
      <c r="AR679" s="24"/>
      <c r="AS679" s="24"/>
      <c r="AT679" s="24">
        <v>43711</v>
      </c>
      <c r="AU679" s="418">
        <f t="shared" si="34"/>
        <v>9</v>
      </c>
      <c r="AV679" s="418">
        <f t="shared" si="35"/>
        <v>2019</v>
      </c>
      <c r="AW679" s="24"/>
      <c r="AX679" s="28"/>
      <c r="AY679" s="28" t="s">
        <v>201</v>
      </c>
      <c r="AZ679" s="132" t="s">
        <v>9</v>
      </c>
      <c r="BA679" s="132"/>
      <c r="BB679" s="24"/>
      <c r="BC679" s="135">
        <v>16</v>
      </c>
      <c r="BD679" s="24">
        <v>43679</v>
      </c>
      <c r="BE679" s="135" t="s">
        <v>2757</v>
      </c>
      <c r="BF679" s="135" t="s">
        <v>2757</v>
      </c>
      <c r="BG679" s="135" t="s">
        <v>52</v>
      </c>
      <c r="BH679" s="135"/>
      <c r="BI679" s="314"/>
      <c r="BJ679" s="314"/>
      <c r="BK679" s="24"/>
      <c r="BL679" s="24"/>
      <c r="BM679" s="24"/>
      <c r="BN679" s="24"/>
      <c r="BO679" s="24"/>
      <c r="BP679" s="24"/>
      <c r="BQ679" s="24"/>
      <c r="BR679" s="43"/>
      <c r="BS679" s="24"/>
      <c r="BT679" s="24"/>
      <c r="BU679" s="24"/>
      <c r="BV679" s="132" t="e">
        <f>IF(#REF!="COMPLETO","OK","PENDIENTES")</f>
        <v>#REF!</v>
      </c>
      <c r="BW679" s="132"/>
      <c r="BX679" s="132"/>
      <c r="BY679" s="132"/>
      <c r="BZ679" s="132"/>
      <c r="CA679" s="132"/>
      <c r="CB679" s="132"/>
      <c r="CC679" s="22"/>
      <c r="CG679" s="24" t="s">
        <v>105</v>
      </c>
      <c r="CH679" s="24"/>
      <c r="CI679" s="24"/>
      <c r="CJ679" s="24"/>
    </row>
    <row r="680" spans="1:88" ht="15" customHeight="1">
      <c r="A680" s="18">
        <v>2019</v>
      </c>
      <c r="B680" s="18" t="str">
        <f>+INDEX(BDD!F:F,MATCH(P680,BDD!D:D,0))&amp;"-"&amp;INDEX(BDD!E:E,MATCH(P680,BDD!D:D,0))</f>
        <v>G-S</v>
      </c>
      <c r="C680" s="125" t="s">
        <v>484</v>
      </c>
      <c r="D680" s="150" t="s">
        <v>77</v>
      </c>
      <c r="E680" s="132"/>
      <c r="F680" s="24"/>
      <c r="G680" s="346">
        <v>8000000536</v>
      </c>
      <c r="H680" s="125" t="s">
        <v>2795</v>
      </c>
      <c r="I680" s="329"/>
      <c r="J680" s="346">
        <v>8000000536</v>
      </c>
      <c r="K680" s="24"/>
      <c r="L680" s="24"/>
      <c r="M680" s="24"/>
      <c r="N680" s="340" t="s">
        <v>486</v>
      </c>
      <c r="O680" s="334">
        <v>207791</v>
      </c>
      <c r="P680" s="25" t="s">
        <v>98</v>
      </c>
      <c r="Q680" s="127" t="s">
        <v>163</v>
      </c>
      <c r="R680" s="232" t="s">
        <v>544</v>
      </c>
      <c r="S680" s="89">
        <v>43678</v>
      </c>
      <c r="T680" s="36" t="s">
        <v>19</v>
      </c>
      <c r="U680" s="125"/>
      <c r="V680" s="147" t="s">
        <v>2796</v>
      </c>
      <c r="W680" s="129"/>
      <c r="X680" s="88">
        <v>43692</v>
      </c>
      <c r="Y680" s="130" t="s">
        <v>20</v>
      </c>
      <c r="Z680" s="133" t="s">
        <v>60</v>
      </c>
      <c r="AA680" s="133"/>
      <c r="AB680" s="148">
        <v>2300</v>
      </c>
      <c r="AC680" s="134">
        <v>315</v>
      </c>
      <c r="AD680" s="134"/>
      <c r="AE680" s="403">
        <f t="shared" si="33"/>
        <v>724500</v>
      </c>
      <c r="AF680" s="132"/>
      <c r="AG680" s="130" t="s">
        <v>46</v>
      </c>
      <c r="AH680" s="130"/>
      <c r="AI680" s="130" t="s">
        <v>100</v>
      </c>
      <c r="AJ680" s="130"/>
      <c r="AK680" s="130"/>
      <c r="AL680" s="135" t="s">
        <v>2674</v>
      </c>
      <c r="AM680" s="314"/>
      <c r="AN680" s="26"/>
      <c r="AO680" s="26"/>
      <c r="AP680" s="26"/>
      <c r="AQ680" s="26">
        <f>+AQ679+2</f>
        <v>43711</v>
      </c>
      <c r="AR680" s="24"/>
      <c r="AS680" s="24"/>
      <c r="AT680" s="24">
        <v>43713</v>
      </c>
      <c r="AU680" s="418">
        <f t="shared" si="34"/>
        <v>9</v>
      </c>
      <c r="AV680" s="418">
        <f t="shared" si="35"/>
        <v>2019</v>
      </c>
      <c r="AW680" s="24"/>
      <c r="AX680" s="28"/>
      <c r="AY680" s="28" t="s">
        <v>201</v>
      </c>
      <c r="AZ680" s="132" t="s">
        <v>25</v>
      </c>
      <c r="BA680" s="132"/>
      <c r="BB680" s="24"/>
      <c r="BC680" s="135">
        <v>17</v>
      </c>
      <c r="BD680" s="24">
        <v>43679</v>
      </c>
      <c r="BE680" s="135" t="s">
        <v>2757</v>
      </c>
      <c r="BF680" s="135" t="s">
        <v>2757</v>
      </c>
      <c r="BG680" s="135" t="s">
        <v>52</v>
      </c>
      <c r="BH680" s="135"/>
      <c r="BI680" s="314"/>
      <c r="BJ680" s="314"/>
      <c r="BK680" s="24"/>
      <c r="BL680" s="24"/>
      <c r="BM680" s="24"/>
      <c r="BN680" s="24"/>
      <c r="BO680" s="24"/>
      <c r="BP680" s="24"/>
      <c r="BQ680" s="24"/>
      <c r="BR680" s="43"/>
      <c r="BS680" s="24"/>
      <c r="BT680" s="24"/>
      <c r="BU680" s="24"/>
      <c r="BV680" s="132" t="e">
        <f>IF(#REF!="COMPLETO","OK","PENDIENTES")</f>
        <v>#REF!</v>
      </c>
      <c r="BW680" s="132"/>
      <c r="BX680" s="132"/>
      <c r="BY680" s="132"/>
      <c r="BZ680" s="132"/>
      <c r="CA680" s="132"/>
      <c r="CB680" s="132"/>
      <c r="CC680" s="22"/>
      <c r="CG680" s="24" t="s">
        <v>105</v>
      </c>
      <c r="CH680" s="24"/>
      <c r="CI680" s="24"/>
      <c r="CJ680" s="24"/>
    </row>
    <row r="681" spans="1:88" ht="15" customHeight="1">
      <c r="A681" s="18">
        <v>2019</v>
      </c>
      <c r="B681" s="18" t="str">
        <f>+INDEX(BDD!F:F,MATCH(P681,BDD!D:D,0))&amp;"-"&amp;INDEX(BDD!E:E,MATCH(P681,BDD!D:D,0))</f>
        <v>G-S</v>
      </c>
      <c r="C681" s="125" t="s">
        <v>484</v>
      </c>
      <c r="D681" s="150" t="s">
        <v>77</v>
      </c>
      <c r="E681" s="132"/>
      <c r="F681" s="24"/>
      <c r="G681" s="346">
        <v>8000000537</v>
      </c>
      <c r="H681" s="125" t="s">
        <v>2797</v>
      </c>
      <c r="I681" s="329"/>
      <c r="J681" s="346">
        <v>8000000537</v>
      </c>
      <c r="K681" s="24"/>
      <c r="L681" s="24"/>
      <c r="M681" s="24"/>
      <c r="N681" s="340" t="s">
        <v>486</v>
      </c>
      <c r="O681" s="334">
        <v>207791</v>
      </c>
      <c r="P681" s="25" t="s">
        <v>98</v>
      </c>
      <c r="Q681" s="127" t="s">
        <v>163</v>
      </c>
      <c r="R681" s="232" t="s">
        <v>544</v>
      </c>
      <c r="S681" s="89">
        <v>43678</v>
      </c>
      <c r="T681" s="36" t="s">
        <v>19</v>
      </c>
      <c r="U681" s="125"/>
      <c r="V681" s="147" t="s">
        <v>2798</v>
      </c>
      <c r="W681" s="129"/>
      <c r="X681" s="88">
        <v>43692</v>
      </c>
      <c r="Y681" s="130" t="s">
        <v>20</v>
      </c>
      <c r="Z681" s="133" t="s">
        <v>60</v>
      </c>
      <c r="AA681" s="133"/>
      <c r="AB681" s="148">
        <v>350</v>
      </c>
      <c r="AC681" s="134">
        <v>315</v>
      </c>
      <c r="AD681" s="134"/>
      <c r="AE681" s="403">
        <f t="shared" si="33"/>
        <v>110250</v>
      </c>
      <c r="AF681" s="132"/>
      <c r="AG681" s="130" t="s">
        <v>46</v>
      </c>
      <c r="AH681" s="130"/>
      <c r="AI681" s="130" t="s">
        <v>100</v>
      </c>
      <c r="AJ681" s="130"/>
      <c r="AK681" s="130"/>
      <c r="AL681" s="135" t="s">
        <v>2674</v>
      </c>
      <c r="AM681" s="314"/>
      <c r="AN681" s="26"/>
      <c r="AO681" s="26"/>
      <c r="AP681" s="26"/>
      <c r="AQ681" s="26">
        <f>+AQ676</f>
        <v>43714</v>
      </c>
      <c r="AR681" s="24"/>
      <c r="AS681" s="24"/>
      <c r="AT681" s="24">
        <v>43717</v>
      </c>
      <c r="AU681" s="418">
        <f t="shared" si="34"/>
        <v>9</v>
      </c>
      <c r="AV681" s="418">
        <f t="shared" si="35"/>
        <v>2019</v>
      </c>
      <c r="AW681" s="24"/>
      <c r="AX681" s="28"/>
      <c r="AY681" s="28" t="s">
        <v>201</v>
      </c>
      <c r="AZ681" s="132" t="s">
        <v>37</v>
      </c>
      <c r="BA681" s="132"/>
      <c r="BB681" s="24"/>
      <c r="BC681" s="135">
        <v>18</v>
      </c>
      <c r="BD681" s="24">
        <v>43679</v>
      </c>
      <c r="BE681" s="135" t="s">
        <v>2757</v>
      </c>
      <c r="BF681" s="135" t="s">
        <v>2757</v>
      </c>
      <c r="BG681" s="135" t="s">
        <v>52</v>
      </c>
      <c r="BH681" s="135"/>
      <c r="BI681" s="314"/>
      <c r="BJ681" s="314"/>
      <c r="BK681" s="24"/>
      <c r="BL681" s="24"/>
      <c r="BM681" s="24"/>
      <c r="BN681" s="24"/>
      <c r="BO681" s="24"/>
      <c r="BP681" s="24"/>
      <c r="BQ681" s="24"/>
      <c r="BR681" s="43"/>
      <c r="BS681" s="24"/>
      <c r="BT681" s="24"/>
      <c r="BU681" s="24"/>
      <c r="BV681" s="132" t="e">
        <f>IF(#REF!="COMPLETO","OK","PENDIENTES")</f>
        <v>#REF!</v>
      </c>
      <c r="BW681" s="132"/>
      <c r="BX681" s="132"/>
      <c r="BY681" s="132"/>
      <c r="BZ681" s="132"/>
      <c r="CA681" s="132"/>
      <c r="CB681" s="132"/>
      <c r="CC681" s="22"/>
      <c r="CG681" s="24" t="s">
        <v>105</v>
      </c>
      <c r="CH681" s="24"/>
      <c r="CI681" s="24"/>
      <c r="CJ681" s="24"/>
    </row>
    <row r="682" spans="1:88" ht="15" customHeight="1">
      <c r="A682" s="18">
        <v>2019</v>
      </c>
      <c r="B682" s="18" t="str">
        <f>+INDEX(BDD!F:F,MATCH(P682,BDD!D:D,0))&amp;"-"&amp;INDEX(BDD!E:E,MATCH(P682,BDD!D:D,0))</f>
        <v>G-S</v>
      </c>
      <c r="C682" s="125" t="s">
        <v>484</v>
      </c>
      <c r="D682" s="150" t="s">
        <v>77</v>
      </c>
      <c r="E682" s="132"/>
      <c r="F682" s="24"/>
      <c r="G682" s="346">
        <v>8000000538</v>
      </c>
      <c r="H682" s="125" t="s">
        <v>2799</v>
      </c>
      <c r="I682" s="329"/>
      <c r="J682" s="346">
        <v>8000000538</v>
      </c>
      <c r="K682" s="24"/>
      <c r="L682" s="24"/>
      <c r="M682" s="24"/>
      <c r="N682" s="340" t="s">
        <v>486</v>
      </c>
      <c r="O682" s="334">
        <v>207791</v>
      </c>
      <c r="P682" s="25" t="s">
        <v>98</v>
      </c>
      <c r="Q682" s="127" t="s">
        <v>163</v>
      </c>
      <c r="R682" s="232" t="s">
        <v>544</v>
      </c>
      <c r="S682" s="89">
        <v>43678</v>
      </c>
      <c r="T682" s="36" t="s">
        <v>19</v>
      </c>
      <c r="U682" s="125"/>
      <c r="V682" s="147" t="s">
        <v>2800</v>
      </c>
      <c r="W682" s="129"/>
      <c r="X682" s="88">
        <v>43692</v>
      </c>
      <c r="Y682" s="130" t="s">
        <v>20</v>
      </c>
      <c r="Z682" s="133" t="s">
        <v>60</v>
      </c>
      <c r="AA682" s="133"/>
      <c r="AB682" s="148">
        <v>200</v>
      </c>
      <c r="AC682" s="134">
        <v>315</v>
      </c>
      <c r="AD682" s="134"/>
      <c r="AE682" s="403">
        <f t="shared" si="33"/>
        <v>63000</v>
      </c>
      <c r="AF682" s="132"/>
      <c r="AG682" s="130" t="s">
        <v>46</v>
      </c>
      <c r="AH682" s="130"/>
      <c r="AI682" s="130" t="s">
        <v>100</v>
      </c>
      <c r="AJ682" s="130"/>
      <c r="AK682" s="130"/>
      <c r="AL682" s="135" t="s">
        <v>2674</v>
      </c>
      <c r="AM682" s="314"/>
      <c r="AN682" s="26"/>
      <c r="AO682" s="26"/>
      <c r="AP682" s="26"/>
      <c r="AQ682" s="26">
        <f>+AQ681+3</f>
        <v>43717</v>
      </c>
      <c r="AR682" s="24"/>
      <c r="AS682" s="24"/>
      <c r="AT682" s="24">
        <v>43717</v>
      </c>
      <c r="AU682" s="418">
        <f t="shared" si="34"/>
        <v>9</v>
      </c>
      <c r="AV682" s="418">
        <f t="shared" si="35"/>
        <v>2019</v>
      </c>
      <c r="AW682" s="24"/>
      <c r="AX682" s="28"/>
      <c r="AY682" s="28" t="s">
        <v>201</v>
      </c>
      <c r="AZ682" s="132" t="s">
        <v>37</v>
      </c>
      <c r="BA682" s="132"/>
      <c r="BB682" s="24"/>
      <c r="BC682" s="135">
        <v>19</v>
      </c>
      <c r="BD682" s="24">
        <v>43679</v>
      </c>
      <c r="BE682" s="135" t="s">
        <v>2757</v>
      </c>
      <c r="BF682" s="135" t="s">
        <v>2757</v>
      </c>
      <c r="BG682" s="135" t="s">
        <v>52</v>
      </c>
      <c r="BH682" s="135"/>
      <c r="BI682" s="314"/>
      <c r="BJ682" s="314"/>
      <c r="BK682" s="24"/>
      <c r="BL682" s="24"/>
      <c r="BM682" s="24"/>
      <c r="BN682" s="24"/>
      <c r="BO682" s="24"/>
      <c r="BP682" s="24"/>
      <c r="BQ682" s="24"/>
      <c r="BR682" s="43"/>
      <c r="BS682" s="24"/>
      <c r="BT682" s="24"/>
      <c r="BU682" s="24"/>
      <c r="BV682" s="132" t="e">
        <f>IF(#REF!="COMPLETO","OK","PENDIENTES")</f>
        <v>#REF!</v>
      </c>
      <c r="BW682" s="132"/>
      <c r="BX682" s="132"/>
      <c r="BY682" s="132"/>
      <c r="BZ682" s="132"/>
      <c r="CA682" s="132"/>
      <c r="CB682" s="132"/>
      <c r="CC682" s="22"/>
      <c r="CG682" s="24" t="s">
        <v>105</v>
      </c>
      <c r="CH682" s="24"/>
      <c r="CI682" s="24"/>
      <c r="CJ682" s="24"/>
    </row>
    <row r="683" spans="1:88" ht="15" customHeight="1">
      <c r="A683" s="18">
        <v>2019</v>
      </c>
      <c r="B683" s="18" t="str">
        <f>+INDEX(BDD!F:F,MATCH(P683,BDD!D:D,0))&amp;"-"&amp;INDEX(BDD!E:E,MATCH(P683,BDD!D:D,0))</f>
        <v>G-S</v>
      </c>
      <c r="C683" s="125" t="s">
        <v>484</v>
      </c>
      <c r="D683" s="150" t="s">
        <v>77</v>
      </c>
      <c r="E683" s="132"/>
      <c r="F683" s="24"/>
      <c r="G683" s="346">
        <v>8000000539</v>
      </c>
      <c r="H683" s="125" t="s">
        <v>2801</v>
      </c>
      <c r="I683" s="329"/>
      <c r="J683" s="346">
        <v>8000000539</v>
      </c>
      <c r="K683" s="24"/>
      <c r="L683" s="24"/>
      <c r="M683" s="24"/>
      <c r="N683" s="340" t="s">
        <v>486</v>
      </c>
      <c r="O683" s="334">
        <v>207791</v>
      </c>
      <c r="P683" s="25" t="s">
        <v>98</v>
      </c>
      <c r="Q683" s="127" t="s">
        <v>163</v>
      </c>
      <c r="R683" s="232" t="s">
        <v>544</v>
      </c>
      <c r="S683" s="89">
        <v>43678</v>
      </c>
      <c r="T683" s="36" t="s">
        <v>19</v>
      </c>
      <c r="U683" s="125"/>
      <c r="V683" s="147" t="s">
        <v>2802</v>
      </c>
      <c r="W683" s="129"/>
      <c r="X683" s="88">
        <v>43692</v>
      </c>
      <c r="Y683" s="130" t="s">
        <v>20</v>
      </c>
      <c r="Z683" s="133" t="s">
        <v>60</v>
      </c>
      <c r="AA683" s="133"/>
      <c r="AB683" s="148">
        <v>300</v>
      </c>
      <c r="AC683" s="134">
        <v>315</v>
      </c>
      <c r="AD683" s="134"/>
      <c r="AE683" s="403">
        <f t="shared" si="33"/>
        <v>94500</v>
      </c>
      <c r="AF683" s="132"/>
      <c r="AG683" s="130" t="s">
        <v>46</v>
      </c>
      <c r="AH683" s="130"/>
      <c r="AI683" s="130" t="s">
        <v>100</v>
      </c>
      <c r="AJ683" s="130"/>
      <c r="AK683" s="130"/>
      <c r="AL683" s="135" t="s">
        <v>2674</v>
      </c>
      <c r="AM683" s="314"/>
      <c r="AN683" s="26"/>
      <c r="AO683" s="26"/>
      <c r="AP683" s="26"/>
      <c r="AQ683" s="26">
        <f>+AQ667</f>
        <v>43719</v>
      </c>
      <c r="AR683" s="24"/>
      <c r="AS683" s="24"/>
      <c r="AT683" s="24">
        <v>43722</v>
      </c>
      <c r="AU683" s="418">
        <f t="shared" si="34"/>
        <v>9</v>
      </c>
      <c r="AV683" s="418">
        <f t="shared" si="35"/>
        <v>2019</v>
      </c>
      <c r="AW683" s="24"/>
      <c r="AX683" s="28"/>
      <c r="AY683" s="28" t="s">
        <v>201</v>
      </c>
      <c r="AZ683" s="132" t="s">
        <v>62</v>
      </c>
      <c r="BA683" s="132"/>
      <c r="BB683" s="24"/>
      <c r="BC683" s="135">
        <v>20</v>
      </c>
      <c r="BD683" s="24">
        <v>43679</v>
      </c>
      <c r="BE683" s="135" t="s">
        <v>2757</v>
      </c>
      <c r="BF683" s="135" t="s">
        <v>2757</v>
      </c>
      <c r="BG683" s="135" t="s">
        <v>52</v>
      </c>
      <c r="BH683" s="135"/>
      <c r="BI683" s="314"/>
      <c r="BJ683" s="314"/>
      <c r="BK683" s="24"/>
      <c r="BL683" s="24"/>
      <c r="BM683" s="24"/>
      <c r="BN683" s="24"/>
      <c r="BO683" s="24"/>
      <c r="BP683" s="24"/>
      <c r="BQ683" s="24"/>
      <c r="BR683" s="43"/>
      <c r="BS683" s="24"/>
      <c r="BT683" s="24"/>
      <c r="BU683" s="24"/>
      <c r="BV683" s="132" t="e">
        <f>IF(#REF!="COMPLETO","OK","PENDIENTES")</f>
        <v>#REF!</v>
      </c>
      <c r="BW683" s="132"/>
      <c r="BX683" s="132"/>
      <c r="BY683" s="132"/>
      <c r="BZ683" s="132"/>
      <c r="CA683" s="132"/>
      <c r="CB683" s="132"/>
      <c r="CC683" s="22"/>
      <c r="CG683" s="24" t="s">
        <v>105</v>
      </c>
      <c r="CH683" s="24"/>
      <c r="CI683" s="24"/>
      <c r="CJ683" s="24"/>
    </row>
    <row r="684" spans="1:88" ht="15" customHeight="1">
      <c r="A684" s="18">
        <v>2019</v>
      </c>
      <c r="B684" s="18" t="str">
        <f>+INDEX(BDD!F:F,MATCH(P684,BDD!D:D,0))&amp;"-"&amp;INDEX(BDD!E:E,MATCH(P684,BDD!D:D,0))</f>
        <v>E-S</v>
      </c>
      <c r="C684" s="125" t="s">
        <v>484</v>
      </c>
      <c r="D684" s="150" t="s">
        <v>77</v>
      </c>
      <c r="E684" s="132"/>
      <c r="F684" s="24"/>
      <c r="G684" s="346">
        <v>8000000475</v>
      </c>
      <c r="H684" s="125" t="s">
        <v>2803</v>
      </c>
      <c r="I684" s="329"/>
      <c r="J684" s="346">
        <v>8000000475</v>
      </c>
      <c r="K684" s="24"/>
      <c r="L684" s="24"/>
      <c r="M684" s="24"/>
      <c r="N684" s="340" t="s">
        <v>486</v>
      </c>
      <c r="O684" s="334">
        <v>206720</v>
      </c>
      <c r="P684" s="25" t="s">
        <v>336</v>
      </c>
      <c r="Q684" s="127" t="s">
        <v>207</v>
      </c>
      <c r="R684" s="232" t="s">
        <v>2804</v>
      </c>
      <c r="S684" s="89">
        <v>43658</v>
      </c>
      <c r="T684" s="36">
        <v>90</v>
      </c>
      <c r="U684" s="125" t="s">
        <v>2805</v>
      </c>
      <c r="V684" s="147" t="s">
        <v>2806</v>
      </c>
      <c r="W684" s="129"/>
      <c r="X684" s="88">
        <f>+BD684+T684</f>
        <v>43792</v>
      </c>
      <c r="Y684" s="130" t="s">
        <v>20</v>
      </c>
      <c r="Z684" s="133" t="s">
        <v>60</v>
      </c>
      <c r="AA684" s="133"/>
      <c r="AB684" s="148">
        <v>96.25</v>
      </c>
      <c r="AC684" s="134">
        <v>310</v>
      </c>
      <c r="AD684" s="134"/>
      <c r="AE684" s="403">
        <f t="shared" si="33"/>
        <v>29837.5</v>
      </c>
      <c r="AF684" s="132">
        <v>5</v>
      </c>
      <c r="AG684" s="130" t="s">
        <v>5</v>
      </c>
      <c r="AH684" s="130"/>
      <c r="AI684" s="130" t="s">
        <v>34</v>
      </c>
      <c r="AJ684" s="130"/>
      <c r="AK684" s="130"/>
      <c r="AL684" s="135" t="s">
        <v>2674</v>
      </c>
      <c r="AM684" s="314"/>
      <c r="AN684" s="26"/>
      <c r="AO684" s="26"/>
      <c r="AP684" s="26"/>
      <c r="AQ684" s="26">
        <v>43726</v>
      </c>
      <c r="AR684" s="24"/>
      <c r="AS684" s="24"/>
      <c r="AT684" s="24">
        <v>43752</v>
      </c>
      <c r="AU684" s="418">
        <f t="shared" si="34"/>
        <v>10</v>
      </c>
      <c r="AV684" s="418">
        <f t="shared" si="35"/>
        <v>2019</v>
      </c>
      <c r="AW684" s="24"/>
      <c r="AX684" s="28"/>
      <c r="AY684" s="28" t="s">
        <v>162</v>
      </c>
      <c r="AZ684" s="132" t="s">
        <v>9</v>
      </c>
      <c r="BA684" s="132"/>
      <c r="BB684" s="24"/>
      <c r="BC684" s="135" t="s">
        <v>2807</v>
      </c>
      <c r="BD684" s="24">
        <v>43702</v>
      </c>
      <c r="BE684" s="135" t="s">
        <v>579</v>
      </c>
      <c r="BF684" s="135" t="s">
        <v>2808</v>
      </c>
      <c r="BG684" s="135" t="s">
        <v>64</v>
      </c>
      <c r="BH684" s="135"/>
      <c r="BI684" s="314"/>
      <c r="BJ684" s="314"/>
      <c r="BK684" s="26"/>
      <c r="BL684" s="26"/>
      <c r="BM684" s="26"/>
      <c r="BN684" s="26"/>
      <c r="BO684" s="24"/>
      <c r="BP684" s="24"/>
      <c r="BQ684" s="24"/>
      <c r="BR684" s="43"/>
      <c r="BS684" s="24"/>
      <c r="BT684" s="24"/>
      <c r="BU684" s="24"/>
      <c r="BV684" s="132" t="e">
        <f>IF(#REF!="COMPLETO","OK","PENDIENTES")</f>
        <v>#REF!</v>
      </c>
      <c r="BW684" s="132"/>
      <c r="BX684" s="132"/>
      <c r="BY684" s="132"/>
      <c r="BZ684" s="132"/>
      <c r="CA684" s="132"/>
      <c r="CB684" s="132"/>
      <c r="CC684" s="22"/>
      <c r="CG684" s="24" t="s">
        <v>105</v>
      </c>
      <c r="CH684" s="24"/>
      <c r="CI684" s="24"/>
      <c r="CJ684" s="24"/>
    </row>
    <row r="685" spans="1:88" ht="15" customHeight="1">
      <c r="A685" s="18">
        <v>2019</v>
      </c>
      <c r="B685" s="18" t="str">
        <f>+INDEX(BDD!F:F,MATCH(P685,BDD!D:D,0))&amp;"-"&amp;INDEX(BDD!E:E,MATCH(P685,BDD!D:D,0))</f>
        <v>G-S</v>
      </c>
      <c r="C685" s="125" t="s">
        <v>484</v>
      </c>
      <c r="D685" s="150" t="s">
        <v>77</v>
      </c>
      <c r="E685" s="132"/>
      <c r="F685" s="24"/>
      <c r="G685" s="346">
        <v>8000000564</v>
      </c>
      <c r="H685" s="125" t="s">
        <v>2809</v>
      </c>
      <c r="I685" s="329"/>
      <c r="J685" s="346">
        <v>8000000564</v>
      </c>
      <c r="K685" s="24"/>
      <c r="L685" s="24"/>
      <c r="M685" s="24"/>
      <c r="N685" s="340" t="s">
        <v>486</v>
      </c>
      <c r="O685" s="334">
        <v>207485</v>
      </c>
      <c r="P685" s="25" t="s">
        <v>353</v>
      </c>
      <c r="Q685" s="127" t="s">
        <v>163</v>
      </c>
      <c r="R685" s="232" t="s">
        <v>544</v>
      </c>
      <c r="S685" s="89">
        <v>43644</v>
      </c>
      <c r="T685" s="36" t="s">
        <v>19</v>
      </c>
      <c r="U685" s="125"/>
      <c r="V685" s="147" t="s">
        <v>2810</v>
      </c>
      <c r="W685" s="129"/>
      <c r="X685" s="88">
        <v>43713</v>
      </c>
      <c r="Y685" s="130" t="s">
        <v>20</v>
      </c>
      <c r="Z685" s="133" t="s">
        <v>60</v>
      </c>
      <c r="AA685" s="133"/>
      <c r="AB685" s="148">
        <v>700</v>
      </c>
      <c r="AC685" s="134">
        <v>316.75</v>
      </c>
      <c r="AD685" s="134"/>
      <c r="AE685" s="403">
        <f t="shared" si="33"/>
        <v>221725</v>
      </c>
      <c r="AF685" s="132" t="s">
        <v>944</v>
      </c>
      <c r="AG685" s="130" t="s">
        <v>46</v>
      </c>
      <c r="AH685" s="130"/>
      <c r="AI685" s="130" t="s">
        <v>100</v>
      </c>
      <c r="AJ685" s="130"/>
      <c r="AK685" s="130"/>
      <c r="AL685" s="135" t="s">
        <v>2811</v>
      </c>
      <c r="AM685" s="314"/>
      <c r="AN685" s="26"/>
      <c r="AO685" s="26"/>
      <c r="AP685" s="26"/>
      <c r="AQ685" s="26">
        <f>+BD685+35</f>
        <v>43734</v>
      </c>
      <c r="AR685" s="24"/>
      <c r="AS685" s="24"/>
      <c r="AT685" s="24">
        <v>43736</v>
      </c>
      <c r="AU685" s="418">
        <f t="shared" si="34"/>
        <v>9</v>
      </c>
      <c r="AV685" s="418">
        <f t="shared" si="35"/>
        <v>2019</v>
      </c>
      <c r="AW685" s="24"/>
      <c r="AX685" s="28"/>
      <c r="AY685" s="28" t="s">
        <v>230</v>
      </c>
      <c r="AZ685" s="132" t="s">
        <v>9</v>
      </c>
      <c r="BA685" s="132"/>
      <c r="BB685" s="24"/>
      <c r="BC685" s="135" t="s">
        <v>2812</v>
      </c>
      <c r="BD685" s="24">
        <v>43699</v>
      </c>
      <c r="BE685" s="135" t="s">
        <v>2813</v>
      </c>
      <c r="BF685" s="135" t="s">
        <v>2813</v>
      </c>
      <c r="BG685" s="135" t="s">
        <v>52</v>
      </c>
      <c r="BH685" s="135"/>
      <c r="BI685" s="314"/>
      <c r="BJ685" s="314"/>
      <c r="BK685" s="24"/>
      <c r="BL685" s="24"/>
      <c r="BM685" s="24"/>
      <c r="BN685" s="24"/>
      <c r="BO685" s="24"/>
      <c r="BP685" s="24"/>
      <c r="BQ685" s="24"/>
      <c r="BR685" s="43"/>
      <c r="BS685" s="24"/>
      <c r="BT685" s="24"/>
      <c r="BU685" s="24"/>
      <c r="BV685" s="132" t="e">
        <f>IF(#REF!="COMPLETO","OK","PENDIENTES")</f>
        <v>#REF!</v>
      </c>
      <c r="BW685" s="132"/>
      <c r="BX685" s="132"/>
      <c r="BY685" s="132"/>
      <c r="BZ685" s="132"/>
      <c r="CA685" s="132"/>
      <c r="CB685" s="132"/>
      <c r="CC685" s="22"/>
      <c r="CG685" s="24" t="s">
        <v>105</v>
      </c>
      <c r="CH685" s="24"/>
      <c r="CI685" s="24"/>
      <c r="CJ685" s="24"/>
    </row>
    <row r="686" spans="1:88" ht="15" customHeight="1">
      <c r="A686" s="18">
        <v>2019</v>
      </c>
      <c r="B686" s="18" t="str">
        <f>+INDEX(BDD!F:F,MATCH(P686,BDD!D:D,0))&amp;"-"&amp;INDEX(BDD!E:E,MATCH(P686,BDD!D:D,0))</f>
        <v>G-S</v>
      </c>
      <c r="C686" s="125" t="s">
        <v>484</v>
      </c>
      <c r="D686" s="150" t="s">
        <v>77</v>
      </c>
      <c r="E686" s="132"/>
      <c r="F686" s="24"/>
      <c r="G686" s="346">
        <v>8000000566</v>
      </c>
      <c r="H686" s="125" t="s">
        <v>2814</v>
      </c>
      <c r="I686" s="329"/>
      <c r="J686" s="346">
        <v>8000000566</v>
      </c>
      <c r="K686" s="24"/>
      <c r="L686" s="24"/>
      <c r="M686" s="24"/>
      <c r="N686" s="340" t="s">
        <v>486</v>
      </c>
      <c r="O686" s="334">
        <v>207485</v>
      </c>
      <c r="P686" s="25" t="s">
        <v>353</v>
      </c>
      <c r="Q686" s="127" t="s">
        <v>163</v>
      </c>
      <c r="R686" s="232" t="s">
        <v>544</v>
      </c>
      <c r="S686" s="89">
        <v>43644</v>
      </c>
      <c r="T686" s="36" t="s">
        <v>19</v>
      </c>
      <c r="U686" s="125"/>
      <c r="V686" s="147" t="s">
        <v>2815</v>
      </c>
      <c r="W686" s="129"/>
      <c r="X686" s="88">
        <v>43713</v>
      </c>
      <c r="Y686" s="130" t="s">
        <v>20</v>
      </c>
      <c r="Z686" s="133" t="s">
        <v>60</v>
      </c>
      <c r="AA686" s="133"/>
      <c r="AB686" s="148">
        <v>700</v>
      </c>
      <c r="AC686" s="134">
        <v>316.75</v>
      </c>
      <c r="AD686" s="134"/>
      <c r="AE686" s="403">
        <f t="shared" si="33"/>
        <v>221725</v>
      </c>
      <c r="AF686" s="132" t="s">
        <v>944</v>
      </c>
      <c r="AG686" s="130" t="s">
        <v>46</v>
      </c>
      <c r="AH686" s="130"/>
      <c r="AI686" s="130" t="s">
        <v>100</v>
      </c>
      <c r="AJ686" s="130"/>
      <c r="AK686" s="130"/>
      <c r="AL686" s="135" t="s">
        <v>2811</v>
      </c>
      <c r="AM686" s="314"/>
      <c r="AN686" s="26"/>
      <c r="AO686" s="26"/>
      <c r="AP686" s="26"/>
      <c r="AQ686" s="26">
        <f>+AQ685+2</f>
        <v>43736</v>
      </c>
      <c r="AR686" s="24"/>
      <c r="AS686" s="24"/>
      <c r="AT686" s="24">
        <v>43741</v>
      </c>
      <c r="AU686" s="418">
        <f t="shared" si="34"/>
        <v>10</v>
      </c>
      <c r="AV686" s="418">
        <f t="shared" si="35"/>
        <v>2019</v>
      </c>
      <c r="AW686" s="24"/>
      <c r="AX686" s="28"/>
      <c r="AY686" s="28" t="s">
        <v>230</v>
      </c>
      <c r="AZ686" s="132" t="s">
        <v>25</v>
      </c>
      <c r="BA686" s="132"/>
      <c r="BB686" s="24"/>
      <c r="BC686" s="135" t="s">
        <v>2816</v>
      </c>
      <c r="BD686" s="24">
        <v>43699</v>
      </c>
      <c r="BE686" s="135" t="s">
        <v>2813</v>
      </c>
      <c r="BF686" s="135" t="s">
        <v>2813</v>
      </c>
      <c r="BG686" s="135" t="s">
        <v>52</v>
      </c>
      <c r="BH686" s="135"/>
      <c r="BI686" s="314"/>
      <c r="BJ686" s="314"/>
      <c r="BK686" s="24"/>
      <c r="BL686" s="24"/>
      <c r="BM686" s="24"/>
      <c r="BN686" s="24"/>
      <c r="BO686" s="24"/>
      <c r="BP686" s="24"/>
      <c r="BQ686" s="24"/>
      <c r="BR686" s="43"/>
      <c r="BS686" s="24"/>
      <c r="BT686" s="24"/>
      <c r="BU686" s="24"/>
      <c r="BV686" s="132" t="e">
        <f>IF(#REF!="COMPLETO","OK","PENDIENTES")</f>
        <v>#REF!</v>
      </c>
      <c r="BW686" s="132"/>
      <c r="BX686" s="132"/>
      <c r="BY686" s="132"/>
      <c r="BZ686" s="132"/>
      <c r="CA686" s="132"/>
      <c r="CB686" s="132"/>
      <c r="CC686" s="22"/>
      <c r="CG686" s="24" t="s">
        <v>105</v>
      </c>
      <c r="CH686" s="24"/>
      <c r="CI686" s="24"/>
      <c r="CJ686" s="24"/>
    </row>
    <row r="687" spans="1:88" ht="15" customHeight="1">
      <c r="A687" s="18">
        <v>2019</v>
      </c>
      <c r="B687" s="18" t="str">
        <f>+INDEX(BDD!F:F,MATCH(P687,BDD!D:D,0))&amp;"-"&amp;INDEX(BDD!E:E,MATCH(P687,BDD!D:D,0))</f>
        <v>G-S</v>
      </c>
      <c r="C687" s="125" t="s">
        <v>484</v>
      </c>
      <c r="D687" s="150" t="s">
        <v>77</v>
      </c>
      <c r="E687" s="132"/>
      <c r="F687" s="24"/>
      <c r="G687" s="346">
        <v>8000000561</v>
      </c>
      <c r="H687" s="125" t="s">
        <v>2817</v>
      </c>
      <c r="I687" s="329"/>
      <c r="J687" s="346">
        <v>8000000561</v>
      </c>
      <c r="K687" s="24"/>
      <c r="L687" s="24"/>
      <c r="M687" s="24"/>
      <c r="N687" s="340" t="s">
        <v>486</v>
      </c>
      <c r="O687" s="334">
        <v>207485</v>
      </c>
      <c r="P687" s="25" t="s">
        <v>353</v>
      </c>
      <c r="Q687" s="127" t="s">
        <v>163</v>
      </c>
      <c r="R687" s="232" t="s">
        <v>544</v>
      </c>
      <c r="S687" s="89">
        <v>43644</v>
      </c>
      <c r="T687" s="36" t="s">
        <v>19</v>
      </c>
      <c r="U687" s="125"/>
      <c r="V687" s="147" t="s">
        <v>2818</v>
      </c>
      <c r="W687" s="129"/>
      <c r="X687" s="88">
        <v>43713</v>
      </c>
      <c r="Y687" s="130" t="s">
        <v>20</v>
      </c>
      <c r="Z687" s="133" t="s">
        <v>60</v>
      </c>
      <c r="AA687" s="133"/>
      <c r="AB687" s="148">
        <v>530</v>
      </c>
      <c r="AC687" s="134">
        <v>316.75</v>
      </c>
      <c r="AD687" s="134"/>
      <c r="AE687" s="403">
        <f t="shared" si="33"/>
        <v>167877.5</v>
      </c>
      <c r="AF687" s="132" t="s">
        <v>944</v>
      </c>
      <c r="AG687" s="130" t="s">
        <v>46</v>
      </c>
      <c r="AH687" s="130"/>
      <c r="AI687" s="130" t="s">
        <v>100</v>
      </c>
      <c r="AJ687" s="130"/>
      <c r="AK687" s="130"/>
      <c r="AL687" s="135" t="s">
        <v>2811</v>
      </c>
      <c r="AM687" s="314"/>
      <c r="AN687" s="26"/>
      <c r="AO687" s="26"/>
      <c r="AP687" s="26"/>
      <c r="AQ687" s="26">
        <v>43742</v>
      </c>
      <c r="AR687" s="24"/>
      <c r="AS687" s="24"/>
      <c r="AT687" s="24">
        <v>43744</v>
      </c>
      <c r="AU687" s="418">
        <f t="shared" si="34"/>
        <v>10</v>
      </c>
      <c r="AV687" s="418">
        <f t="shared" si="35"/>
        <v>2019</v>
      </c>
      <c r="AW687" s="24"/>
      <c r="AX687" s="28"/>
      <c r="AY687" s="28" t="s">
        <v>230</v>
      </c>
      <c r="AZ687" s="132" t="s">
        <v>37</v>
      </c>
      <c r="BA687" s="132"/>
      <c r="BB687" s="24"/>
      <c r="BC687" s="135" t="s">
        <v>2819</v>
      </c>
      <c r="BD687" s="24">
        <v>43699</v>
      </c>
      <c r="BE687" s="135" t="s">
        <v>2813</v>
      </c>
      <c r="BF687" s="135" t="s">
        <v>2813</v>
      </c>
      <c r="BG687" s="135" t="s">
        <v>52</v>
      </c>
      <c r="BH687" s="135"/>
      <c r="BI687" s="314"/>
      <c r="BJ687" s="314"/>
      <c r="BK687" s="24"/>
      <c r="BL687" s="24"/>
      <c r="BM687" s="24"/>
      <c r="BN687" s="24"/>
      <c r="BO687" s="24"/>
      <c r="BP687" s="24"/>
      <c r="BQ687" s="24"/>
      <c r="BR687" s="43"/>
      <c r="BS687" s="24"/>
      <c r="BT687" s="24"/>
      <c r="BU687" s="24"/>
      <c r="BV687" s="132" t="e">
        <f>IF(#REF!="COMPLETO","OK","PENDIENTES")</f>
        <v>#REF!</v>
      </c>
      <c r="BW687" s="132"/>
      <c r="BX687" s="132"/>
      <c r="BY687" s="132"/>
      <c r="BZ687" s="132"/>
      <c r="CA687" s="132"/>
      <c r="CB687" s="132"/>
      <c r="CC687" s="22"/>
      <c r="CG687" s="24" t="s">
        <v>105</v>
      </c>
      <c r="CH687" s="24"/>
      <c r="CI687" s="24"/>
      <c r="CJ687" s="24"/>
    </row>
    <row r="688" spans="1:88" ht="15" customHeight="1">
      <c r="A688" s="18">
        <v>2019</v>
      </c>
      <c r="B688" s="18" t="str">
        <f>+INDEX(BDD!F:F,MATCH(P688,BDD!D:D,0))&amp;"-"&amp;INDEX(BDD!E:E,MATCH(P688,BDD!D:D,0))</f>
        <v>G-S</v>
      </c>
      <c r="C688" s="125" t="s">
        <v>484</v>
      </c>
      <c r="D688" s="150" t="s">
        <v>77</v>
      </c>
      <c r="E688" s="132"/>
      <c r="F688" s="24"/>
      <c r="G688" s="346">
        <v>8000000569</v>
      </c>
      <c r="H688" s="125" t="s">
        <v>2820</v>
      </c>
      <c r="I688" s="329"/>
      <c r="J688" s="346">
        <v>8000000569</v>
      </c>
      <c r="K688" s="24"/>
      <c r="L688" s="24"/>
      <c r="M688" s="24"/>
      <c r="N688" s="340" t="s">
        <v>486</v>
      </c>
      <c r="O688" s="334">
        <v>207485</v>
      </c>
      <c r="P688" s="25" t="s">
        <v>353</v>
      </c>
      <c r="Q688" s="127" t="s">
        <v>163</v>
      </c>
      <c r="R688" s="232" t="s">
        <v>544</v>
      </c>
      <c r="S688" s="89">
        <v>43644</v>
      </c>
      <c r="T688" s="36" t="s">
        <v>19</v>
      </c>
      <c r="U688" s="125"/>
      <c r="V688" s="147" t="s">
        <v>2821</v>
      </c>
      <c r="W688" s="129"/>
      <c r="X688" s="88">
        <v>43713</v>
      </c>
      <c r="Y688" s="130" t="s">
        <v>20</v>
      </c>
      <c r="Z688" s="133" t="s">
        <v>60</v>
      </c>
      <c r="AA688" s="133"/>
      <c r="AB688" s="148">
        <v>120</v>
      </c>
      <c r="AC688" s="134">
        <v>316.75</v>
      </c>
      <c r="AD688" s="134"/>
      <c r="AE688" s="403">
        <f t="shared" si="33"/>
        <v>38010</v>
      </c>
      <c r="AF688" s="145" t="s">
        <v>2822</v>
      </c>
      <c r="AG688" s="130" t="s">
        <v>46</v>
      </c>
      <c r="AH688" s="130"/>
      <c r="AI688" s="130" t="s">
        <v>100</v>
      </c>
      <c r="AJ688" s="130"/>
      <c r="AK688" s="130"/>
      <c r="AL688" s="135" t="s">
        <v>2811</v>
      </c>
      <c r="AM688" s="314"/>
      <c r="AN688" s="26"/>
      <c r="AO688" s="26"/>
      <c r="AP688" s="26"/>
      <c r="AQ688" s="26">
        <f>+AQ687+2</f>
        <v>43744</v>
      </c>
      <c r="AR688" s="24"/>
      <c r="AS688" s="24"/>
      <c r="AT688" s="24">
        <v>43745</v>
      </c>
      <c r="AU688" s="418">
        <f t="shared" si="34"/>
        <v>10</v>
      </c>
      <c r="AV688" s="418">
        <f t="shared" si="35"/>
        <v>2019</v>
      </c>
      <c r="AW688" s="24"/>
      <c r="AX688" s="28"/>
      <c r="AY688" s="28" t="s">
        <v>230</v>
      </c>
      <c r="AZ688" s="132" t="s">
        <v>50</v>
      </c>
      <c r="BA688" s="132"/>
      <c r="BB688" s="24"/>
      <c r="BC688" s="135" t="s">
        <v>2823</v>
      </c>
      <c r="BD688" s="24">
        <v>43699</v>
      </c>
      <c r="BE688" s="135" t="s">
        <v>2813</v>
      </c>
      <c r="BF688" s="135" t="s">
        <v>2813</v>
      </c>
      <c r="BG688" s="135" t="s">
        <v>52</v>
      </c>
      <c r="BH688" s="135"/>
      <c r="BI688" s="314"/>
      <c r="BJ688" s="314"/>
      <c r="BK688" s="24"/>
      <c r="BL688" s="24"/>
      <c r="BM688" s="24"/>
      <c r="BN688" s="24"/>
      <c r="BO688" s="24"/>
      <c r="BP688" s="24"/>
      <c r="BQ688" s="24"/>
      <c r="BR688" s="43"/>
      <c r="BS688" s="24"/>
      <c r="BT688" s="24"/>
      <c r="BU688" s="24"/>
      <c r="BV688" s="132" t="e">
        <f>IF(#REF!="COMPLETO","OK","PENDIENTES")</f>
        <v>#REF!</v>
      </c>
      <c r="BW688" s="132"/>
      <c r="BX688" s="132"/>
      <c r="BY688" s="132"/>
      <c r="BZ688" s="132"/>
      <c r="CA688" s="132"/>
      <c r="CB688" s="132"/>
      <c r="CC688" s="22"/>
      <c r="CG688" s="24" t="s">
        <v>105</v>
      </c>
      <c r="CH688" s="24"/>
      <c r="CI688" s="24"/>
      <c r="CJ688" s="24"/>
    </row>
    <row r="689" spans="1:88" ht="15" customHeight="1">
      <c r="A689" s="18">
        <v>2019</v>
      </c>
      <c r="B689" s="18" t="str">
        <f>+INDEX(BDD!F:F,MATCH(P689,BDD!D:D,0))&amp;"-"&amp;INDEX(BDD!E:E,MATCH(P689,BDD!D:D,0))</f>
        <v>G-S</v>
      </c>
      <c r="C689" s="125" t="s">
        <v>484</v>
      </c>
      <c r="D689" s="150" t="s">
        <v>77</v>
      </c>
      <c r="E689" s="132"/>
      <c r="F689" s="24"/>
      <c r="G689" s="346">
        <v>8000000579</v>
      </c>
      <c r="H689" s="125" t="s">
        <v>2824</v>
      </c>
      <c r="I689" s="329"/>
      <c r="J689" s="346">
        <v>8000000579</v>
      </c>
      <c r="K689" s="24"/>
      <c r="L689" s="24"/>
      <c r="M689" s="24"/>
      <c r="N689" s="340" t="s">
        <v>486</v>
      </c>
      <c r="O689" s="334">
        <v>207485</v>
      </c>
      <c r="P689" s="25" t="s">
        <v>353</v>
      </c>
      <c r="Q689" s="127" t="s">
        <v>163</v>
      </c>
      <c r="R689" s="232" t="s">
        <v>544</v>
      </c>
      <c r="S689" s="89">
        <v>43644</v>
      </c>
      <c r="T689" s="36" t="s">
        <v>19</v>
      </c>
      <c r="U689" s="125"/>
      <c r="V689" s="147" t="s">
        <v>2825</v>
      </c>
      <c r="W689" s="129"/>
      <c r="X689" s="88">
        <v>43713</v>
      </c>
      <c r="Y689" s="130" t="s">
        <v>20</v>
      </c>
      <c r="Z689" s="133" t="s">
        <v>60</v>
      </c>
      <c r="AA689" s="133"/>
      <c r="AB689" s="148">
        <v>950</v>
      </c>
      <c r="AC689" s="134">
        <v>316.75</v>
      </c>
      <c r="AD689" s="134"/>
      <c r="AE689" s="403">
        <f t="shared" si="33"/>
        <v>300912.5</v>
      </c>
      <c r="AF689" s="145" t="s">
        <v>2822</v>
      </c>
      <c r="AG689" s="130" t="s">
        <v>46</v>
      </c>
      <c r="AH689" s="130"/>
      <c r="AI689" s="130" t="s">
        <v>100</v>
      </c>
      <c r="AJ689" s="130"/>
      <c r="AK689" s="130"/>
      <c r="AL689" s="135" t="s">
        <v>2811</v>
      </c>
      <c r="AM689" s="314"/>
      <c r="AN689" s="26"/>
      <c r="AO689" s="26"/>
      <c r="AP689" s="26"/>
      <c r="AQ689" s="26">
        <f>+AQ688+2</f>
        <v>43746</v>
      </c>
      <c r="AR689" s="24"/>
      <c r="AS689" s="24"/>
      <c r="AT689" s="24">
        <v>43750</v>
      </c>
      <c r="AU689" s="418">
        <f t="shared" si="34"/>
        <v>10</v>
      </c>
      <c r="AV689" s="418">
        <f t="shared" si="35"/>
        <v>2019</v>
      </c>
      <c r="AW689" s="24"/>
      <c r="AX689" s="28"/>
      <c r="AY689" s="28" t="s">
        <v>230</v>
      </c>
      <c r="AZ689" s="132" t="s">
        <v>62</v>
      </c>
      <c r="BA689" s="132"/>
      <c r="BB689" s="24"/>
      <c r="BC689" s="135" t="s">
        <v>2826</v>
      </c>
      <c r="BD689" s="24">
        <v>43699</v>
      </c>
      <c r="BE689" s="135" t="s">
        <v>2813</v>
      </c>
      <c r="BF689" s="135" t="s">
        <v>2813</v>
      </c>
      <c r="BG689" s="135" t="s">
        <v>52</v>
      </c>
      <c r="BH689" s="135"/>
      <c r="BI689" s="314"/>
      <c r="BJ689" s="314"/>
      <c r="BK689" s="24"/>
      <c r="BL689" s="24"/>
      <c r="BM689" s="24"/>
      <c r="BN689" s="24"/>
      <c r="BO689" s="24"/>
      <c r="BP689" s="24"/>
      <c r="BQ689" s="24"/>
      <c r="BR689" s="43"/>
      <c r="BS689" s="24"/>
      <c r="BT689" s="24"/>
      <c r="BU689" s="24"/>
      <c r="BV689" s="132" t="e">
        <f>IF(#REF!="COMPLETO","OK","PENDIENTES")</f>
        <v>#REF!</v>
      </c>
      <c r="BW689" s="132"/>
      <c r="BX689" s="132"/>
      <c r="BY689" s="132"/>
      <c r="BZ689" s="132"/>
      <c r="CA689" s="132"/>
      <c r="CB689" s="132"/>
      <c r="CC689" s="22"/>
      <c r="CG689" s="24" t="s">
        <v>105</v>
      </c>
      <c r="CH689" s="24"/>
      <c r="CI689" s="24"/>
      <c r="CJ689" s="24"/>
    </row>
    <row r="690" spans="1:88" ht="15" customHeight="1">
      <c r="A690" s="18">
        <v>2019</v>
      </c>
      <c r="B690" s="18" t="str">
        <f>+INDEX(BDD!F:F,MATCH(P690,BDD!D:D,0))&amp;"-"&amp;INDEX(BDD!E:E,MATCH(P690,BDD!D:D,0))</f>
        <v>G-S</v>
      </c>
      <c r="C690" s="125" t="s">
        <v>484</v>
      </c>
      <c r="D690" s="150" t="s">
        <v>77</v>
      </c>
      <c r="E690" s="132"/>
      <c r="F690" s="24"/>
      <c r="G690" s="346">
        <v>8000000565</v>
      </c>
      <c r="H690" s="125" t="s">
        <v>2827</v>
      </c>
      <c r="I690" s="329"/>
      <c r="J690" s="346">
        <v>8000000565</v>
      </c>
      <c r="K690" s="24"/>
      <c r="L690" s="24"/>
      <c r="M690" s="24"/>
      <c r="N690" s="340" t="s">
        <v>486</v>
      </c>
      <c r="O690" s="334">
        <v>206569</v>
      </c>
      <c r="P690" s="25" t="s">
        <v>142</v>
      </c>
      <c r="Q690" s="127" t="s">
        <v>163</v>
      </c>
      <c r="R690" s="232" t="s">
        <v>544</v>
      </c>
      <c r="S690" s="89">
        <v>43644</v>
      </c>
      <c r="T690" s="36" t="s">
        <v>19</v>
      </c>
      <c r="U690" s="125"/>
      <c r="V690" s="147" t="s">
        <v>2828</v>
      </c>
      <c r="W690" s="129"/>
      <c r="X690" s="88">
        <v>43713</v>
      </c>
      <c r="Y690" s="130" t="s">
        <v>20</v>
      </c>
      <c r="Z690" s="133" t="s">
        <v>60</v>
      </c>
      <c r="AA690" s="133"/>
      <c r="AB690" s="148">
        <v>100</v>
      </c>
      <c r="AC690" s="134">
        <v>372</v>
      </c>
      <c r="AD690" s="134"/>
      <c r="AE690" s="403">
        <f t="shared" si="33"/>
        <v>37200</v>
      </c>
      <c r="AF690" s="132" t="s">
        <v>944</v>
      </c>
      <c r="AG690" s="130" t="s">
        <v>46</v>
      </c>
      <c r="AH690" s="130"/>
      <c r="AI690" s="130" t="s">
        <v>100</v>
      </c>
      <c r="AJ690" s="130"/>
      <c r="AK690" s="130"/>
      <c r="AL690" s="135" t="s">
        <v>2811</v>
      </c>
      <c r="AM690" s="314"/>
      <c r="AN690" s="26"/>
      <c r="AO690" s="26"/>
      <c r="AP690" s="26"/>
      <c r="AQ690" s="26">
        <v>43734</v>
      </c>
      <c r="AR690" s="24"/>
      <c r="AS690" s="24"/>
      <c r="AT690" s="24">
        <v>43736</v>
      </c>
      <c r="AU690" s="418">
        <f t="shared" si="34"/>
        <v>9</v>
      </c>
      <c r="AV690" s="418">
        <f t="shared" si="35"/>
        <v>2019</v>
      </c>
      <c r="AW690" s="24"/>
      <c r="AX690" s="28"/>
      <c r="AY690" s="28" t="s">
        <v>230</v>
      </c>
      <c r="AZ690" s="132" t="s">
        <v>9</v>
      </c>
      <c r="BA690" s="132"/>
      <c r="BB690" s="24"/>
      <c r="BC690" s="135" t="s">
        <v>2829</v>
      </c>
      <c r="BD690" s="24">
        <v>43699</v>
      </c>
      <c r="BE690" s="135" t="s">
        <v>2813</v>
      </c>
      <c r="BF690" s="135" t="s">
        <v>2813</v>
      </c>
      <c r="BG690" s="135" t="s">
        <v>52</v>
      </c>
      <c r="BH690" s="135"/>
      <c r="BI690" s="314"/>
      <c r="BJ690" s="314"/>
      <c r="BK690" s="24"/>
      <c r="BL690" s="24"/>
      <c r="BM690" s="24"/>
      <c r="BN690" s="24"/>
      <c r="BO690" s="24"/>
      <c r="BP690" s="24"/>
      <c r="BQ690" s="24"/>
      <c r="BR690" s="43"/>
      <c r="BS690" s="24"/>
      <c r="BT690" s="24"/>
      <c r="BU690" s="24"/>
      <c r="BV690" s="132" t="e">
        <f>IF(#REF!="COMPLETO","OK","PENDIENTES")</f>
        <v>#REF!</v>
      </c>
      <c r="BW690" s="132"/>
      <c r="BX690" s="132"/>
      <c r="BY690" s="132"/>
      <c r="BZ690" s="132"/>
      <c r="CA690" s="132"/>
      <c r="CB690" s="132"/>
      <c r="CC690" s="22"/>
      <c r="CG690" s="24" t="s">
        <v>105</v>
      </c>
      <c r="CH690" s="24"/>
      <c r="CI690" s="24"/>
      <c r="CJ690" s="24"/>
    </row>
    <row r="691" spans="1:88" ht="15" customHeight="1">
      <c r="A691" s="18">
        <v>2019</v>
      </c>
      <c r="B691" s="18" t="str">
        <f>+INDEX(BDD!F:F,MATCH(P691,BDD!D:D,0))&amp;"-"&amp;INDEX(BDD!E:E,MATCH(P691,BDD!D:D,0))</f>
        <v>G-S</v>
      </c>
      <c r="C691" s="125" t="s">
        <v>484</v>
      </c>
      <c r="D691" s="150" t="s">
        <v>77</v>
      </c>
      <c r="E691" s="132"/>
      <c r="F691" s="24"/>
      <c r="G691" s="346">
        <v>8000000567</v>
      </c>
      <c r="H691" s="125" t="s">
        <v>2830</v>
      </c>
      <c r="I691" s="329"/>
      <c r="J691" s="346">
        <v>8000000567</v>
      </c>
      <c r="K691" s="24"/>
      <c r="L691" s="24"/>
      <c r="M691" s="24"/>
      <c r="N691" s="340" t="s">
        <v>486</v>
      </c>
      <c r="O691" s="334">
        <v>206569</v>
      </c>
      <c r="P691" s="25" t="s">
        <v>142</v>
      </c>
      <c r="Q691" s="127" t="s">
        <v>163</v>
      </c>
      <c r="R691" s="232" t="s">
        <v>544</v>
      </c>
      <c r="S691" s="89">
        <v>43644</v>
      </c>
      <c r="T691" s="36" t="s">
        <v>19</v>
      </c>
      <c r="U691" s="125"/>
      <c r="V691" s="147" t="s">
        <v>2831</v>
      </c>
      <c r="W691" s="129"/>
      <c r="X691" s="88">
        <v>43713</v>
      </c>
      <c r="Y691" s="130" t="s">
        <v>20</v>
      </c>
      <c r="Z691" s="133" t="s">
        <v>60</v>
      </c>
      <c r="AA691" s="133"/>
      <c r="AB691" s="148">
        <v>865</v>
      </c>
      <c r="AC691" s="134">
        <v>372</v>
      </c>
      <c r="AD691" s="134"/>
      <c r="AE691" s="403">
        <f t="shared" si="33"/>
        <v>321780</v>
      </c>
      <c r="AF691" s="132" t="s">
        <v>944</v>
      </c>
      <c r="AG691" s="130" t="s">
        <v>46</v>
      </c>
      <c r="AH691" s="130"/>
      <c r="AI691" s="130" t="s">
        <v>100</v>
      </c>
      <c r="AJ691" s="130"/>
      <c r="AK691" s="130"/>
      <c r="AL691" s="135" t="s">
        <v>2811</v>
      </c>
      <c r="AM691" s="314"/>
      <c r="AN691" s="26"/>
      <c r="AO691" s="26"/>
      <c r="AP691" s="26"/>
      <c r="AQ691" s="26">
        <f>+AQ690+2</f>
        <v>43736</v>
      </c>
      <c r="AR691" s="24"/>
      <c r="AS691" s="24"/>
      <c r="AT691" s="24">
        <v>43741</v>
      </c>
      <c r="AU691" s="418">
        <f t="shared" si="34"/>
        <v>10</v>
      </c>
      <c r="AV691" s="418">
        <f t="shared" si="35"/>
        <v>2019</v>
      </c>
      <c r="AW691" s="24"/>
      <c r="AX691" s="28"/>
      <c r="AY691" s="28" t="s">
        <v>230</v>
      </c>
      <c r="AZ691" s="132" t="s">
        <v>25</v>
      </c>
      <c r="BA691" s="132"/>
      <c r="BB691" s="24"/>
      <c r="BC691" s="135" t="s">
        <v>2832</v>
      </c>
      <c r="BD691" s="24">
        <v>43699</v>
      </c>
      <c r="BE691" s="135" t="s">
        <v>2813</v>
      </c>
      <c r="BF691" s="135" t="s">
        <v>2813</v>
      </c>
      <c r="BG691" s="135" t="s">
        <v>52</v>
      </c>
      <c r="BH691" s="135"/>
      <c r="BI691" s="314"/>
      <c r="BJ691" s="314"/>
      <c r="BK691" s="24"/>
      <c r="BL691" s="24"/>
      <c r="BM691" s="24"/>
      <c r="BN691" s="24"/>
      <c r="BO691" s="24"/>
      <c r="BP691" s="24"/>
      <c r="BQ691" s="24"/>
      <c r="BR691" s="43"/>
      <c r="BS691" s="24"/>
      <c r="BT691" s="24"/>
      <c r="BU691" s="24"/>
      <c r="BV691" s="132" t="e">
        <f>IF(#REF!="COMPLETO","OK","PENDIENTES")</f>
        <v>#REF!</v>
      </c>
      <c r="BW691" s="132"/>
      <c r="BX691" s="132"/>
      <c r="BY691" s="132"/>
      <c r="BZ691" s="132"/>
      <c r="CA691" s="132"/>
      <c r="CB691" s="132"/>
      <c r="CC691" s="22"/>
      <c r="CG691" s="24" t="s">
        <v>105</v>
      </c>
      <c r="CH691" s="24"/>
      <c r="CI691" s="24"/>
      <c r="CJ691" s="24"/>
    </row>
    <row r="692" spans="1:88" ht="15" customHeight="1">
      <c r="A692" s="18">
        <v>2019</v>
      </c>
      <c r="B692" s="18" t="str">
        <f>+INDEX(BDD!F:F,MATCH(P692,BDD!D:D,0))&amp;"-"&amp;INDEX(BDD!E:E,MATCH(P692,BDD!D:D,0))</f>
        <v>G-S</v>
      </c>
      <c r="C692" s="125" t="s">
        <v>484</v>
      </c>
      <c r="D692" s="150" t="s">
        <v>77</v>
      </c>
      <c r="E692" s="132"/>
      <c r="F692" s="24"/>
      <c r="G692" s="346">
        <v>8000000576</v>
      </c>
      <c r="H692" s="125" t="s">
        <v>2833</v>
      </c>
      <c r="I692" s="329"/>
      <c r="J692" s="346">
        <v>8000000576</v>
      </c>
      <c r="K692" s="24"/>
      <c r="L692" s="24"/>
      <c r="M692" s="24"/>
      <c r="N692" s="340" t="s">
        <v>486</v>
      </c>
      <c r="O692" s="334">
        <v>206569</v>
      </c>
      <c r="P692" s="25" t="s">
        <v>142</v>
      </c>
      <c r="Q692" s="127" t="s">
        <v>163</v>
      </c>
      <c r="R692" s="232" t="s">
        <v>544</v>
      </c>
      <c r="S692" s="89">
        <v>43644</v>
      </c>
      <c r="T692" s="36" t="s">
        <v>19</v>
      </c>
      <c r="U692" s="125"/>
      <c r="V692" s="147" t="s">
        <v>2834</v>
      </c>
      <c r="W692" s="129"/>
      <c r="X692" s="88">
        <v>43713</v>
      </c>
      <c r="Y692" s="130" t="s">
        <v>20</v>
      </c>
      <c r="Z692" s="133" t="s">
        <v>60</v>
      </c>
      <c r="AA692" s="133"/>
      <c r="AB692" s="148">
        <v>1150</v>
      </c>
      <c r="AC692" s="134">
        <v>372</v>
      </c>
      <c r="AD692" s="134"/>
      <c r="AE692" s="403">
        <f t="shared" si="33"/>
        <v>427800</v>
      </c>
      <c r="AF692" s="132" t="s">
        <v>944</v>
      </c>
      <c r="AG692" s="130" t="s">
        <v>46</v>
      </c>
      <c r="AH692" s="130"/>
      <c r="AI692" s="130" t="s">
        <v>100</v>
      </c>
      <c r="AJ692" s="130"/>
      <c r="AK692" s="130"/>
      <c r="AL692" s="135" t="s">
        <v>2811</v>
      </c>
      <c r="AM692" s="314"/>
      <c r="AN692" s="26"/>
      <c r="AO692" s="26"/>
      <c r="AP692" s="26"/>
      <c r="AQ692" s="26">
        <v>43742</v>
      </c>
      <c r="AR692" s="24"/>
      <c r="AS692" s="24"/>
      <c r="AT692" s="24">
        <v>43744</v>
      </c>
      <c r="AU692" s="418">
        <f t="shared" si="34"/>
        <v>10</v>
      </c>
      <c r="AV692" s="418">
        <f t="shared" si="35"/>
        <v>2019</v>
      </c>
      <c r="AW692" s="24"/>
      <c r="AX692" s="28"/>
      <c r="AY692" s="28" t="s">
        <v>230</v>
      </c>
      <c r="AZ692" s="132" t="s">
        <v>37</v>
      </c>
      <c r="BA692" s="132"/>
      <c r="BB692" s="24"/>
      <c r="BC692" s="135" t="s">
        <v>2835</v>
      </c>
      <c r="BD692" s="24">
        <v>43699</v>
      </c>
      <c r="BE692" s="135" t="s">
        <v>2813</v>
      </c>
      <c r="BF692" s="135" t="s">
        <v>2813</v>
      </c>
      <c r="BG692" s="135" t="s">
        <v>52</v>
      </c>
      <c r="BH692" s="135"/>
      <c r="BI692" s="314"/>
      <c r="BJ692" s="314"/>
      <c r="BK692" s="24"/>
      <c r="BL692" s="24"/>
      <c r="BM692" s="24"/>
      <c r="BN692" s="24"/>
      <c r="BO692" s="24"/>
      <c r="BP692" s="24"/>
      <c r="BQ692" s="24"/>
      <c r="BR692" s="43"/>
      <c r="BS692" s="24"/>
      <c r="BT692" s="24"/>
      <c r="BU692" s="24"/>
      <c r="BV692" s="132" t="e">
        <f>IF(#REF!="COMPLETO","OK","PENDIENTES")</f>
        <v>#REF!</v>
      </c>
      <c r="BW692" s="132"/>
      <c r="BX692" s="132"/>
      <c r="BY692" s="132"/>
      <c r="BZ692" s="132"/>
      <c r="CA692" s="132"/>
      <c r="CB692" s="132"/>
      <c r="CC692" s="22"/>
      <c r="CG692" s="24" t="s">
        <v>105</v>
      </c>
      <c r="CH692" s="24"/>
      <c r="CI692" s="24"/>
      <c r="CJ692" s="24"/>
    </row>
    <row r="693" spans="1:88" ht="15" customHeight="1">
      <c r="A693" s="18">
        <v>2019</v>
      </c>
      <c r="B693" s="18" t="str">
        <f>+INDEX(BDD!F:F,MATCH(P693,BDD!D:D,0))&amp;"-"&amp;INDEX(BDD!E:E,MATCH(P693,BDD!D:D,0))</f>
        <v>G-S</v>
      </c>
      <c r="C693" s="125" t="s">
        <v>484</v>
      </c>
      <c r="D693" s="150" t="s">
        <v>77</v>
      </c>
      <c r="E693" s="132"/>
      <c r="F693" s="24"/>
      <c r="G693" s="346">
        <v>8000000570</v>
      </c>
      <c r="H693" s="125" t="s">
        <v>2836</v>
      </c>
      <c r="I693" s="329"/>
      <c r="J693" s="346">
        <v>8000000570</v>
      </c>
      <c r="K693" s="24"/>
      <c r="L693" s="24"/>
      <c r="M693" s="24"/>
      <c r="N693" s="340" t="s">
        <v>486</v>
      </c>
      <c r="O693" s="334">
        <v>206569</v>
      </c>
      <c r="P693" s="25" t="s">
        <v>142</v>
      </c>
      <c r="Q693" s="127" t="s">
        <v>163</v>
      </c>
      <c r="R693" s="232" t="s">
        <v>544</v>
      </c>
      <c r="S693" s="89">
        <v>43644</v>
      </c>
      <c r="T693" s="36" t="s">
        <v>19</v>
      </c>
      <c r="U693" s="125"/>
      <c r="V693" s="147" t="s">
        <v>2837</v>
      </c>
      <c r="W693" s="129"/>
      <c r="X693" s="88">
        <v>43713</v>
      </c>
      <c r="Y693" s="130" t="s">
        <v>20</v>
      </c>
      <c r="Z693" s="133" t="s">
        <v>60</v>
      </c>
      <c r="AA693" s="133"/>
      <c r="AB693" s="148">
        <v>500</v>
      </c>
      <c r="AC693" s="134">
        <v>372</v>
      </c>
      <c r="AD693" s="134"/>
      <c r="AE693" s="403">
        <f t="shared" si="33"/>
        <v>186000</v>
      </c>
      <c r="AF693" s="145" t="s">
        <v>2822</v>
      </c>
      <c r="AG693" s="130" t="s">
        <v>46</v>
      </c>
      <c r="AH693" s="130"/>
      <c r="AI693" s="130" t="s">
        <v>100</v>
      </c>
      <c r="AJ693" s="130"/>
      <c r="AK693" s="130"/>
      <c r="AL693" s="135" t="s">
        <v>2811</v>
      </c>
      <c r="AM693" s="314"/>
      <c r="AN693" s="26"/>
      <c r="AO693" s="26"/>
      <c r="AP693" s="26"/>
      <c r="AQ693" s="26">
        <f>+AQ692+2</f>
        <v>43744</v>
      </c>
      <c r="AR693" s="24"/>
      <c r="AS693" s="24"/>
      <c r="AT693" s="24">
        <v>43745</v>
      </c>
      <c r="AU693" s="418">
        <f t="shared" si="34"/>
        <v>10</v>
      </c>
      <c r="AV693" s="418">
        <f t="shared" si="35"/>
        <v>2019</v>
      </c>
      <c r="AW693" s="24"/>
      <c r="AX693" s="28"/>
      <c r="AY693" s="28" t="s">
        <v>230</v>
      </c>
      <c r="AZ693" s="132" t="s">
        <v>50</v>
      </c>
      <c r="BA693" s="132"/>
      <c r="BB693" s="24"/>
      <c r="BC693" s="135" t="s">
        <v>2838</v>
      </c>
      <c r="BD693" s="24">
        <v>43699</v>
      </c>
      <c r="BE693" s="135" t="s">
        <v>2813</v>
      </c>
      <c r="BF693" s="135" t="s">
        <v>2813</v>
      </c>
      <c r="BG693" s="135" t="s">
        <v>52</v>
      </c>
      <c r="BH693" s="135"/>
      <c r="BI693" s="314"/>
      <c r="BJ693" s="314"/>
      <c r="BK693" s="24"/>
      <c r="BL693" s="24"/>
      <c r="BM693" s="24"/>
      <c r="BN693" s="24"/>
      <c r="BO693" s="24"/>
      <c r="BP693" s="24"/>
      <c r="BQ693" s="24"/>
      <c r="BR693" s="43"/>
      <c r="BS693" s="24"/>
      <c r="BT693" s="24"/>
      <c r="BU693" s="24"/>
      <c r="BV693" s="132" t="e">
        <f>IF(#REF!="COMPLETO","OK","PENDIENTES")</f>
        <v>#REF!</v>
      </c>
      <c r="BW693" s="132"/>
      <c r="BX693" s="132"/>
      <c r="BY693" s="132"/>
      <c r="BZ693" s="132"/>
      <c r="CA693" s="132"/>
      <c r="CB693" s="132"/>
      <c r="CC693" s="22"/>
      <c r="CG693" s="24" t="s">
        <v>105</v>
      </c>
      <c r="CH693" s="24"/>
      <c r="CI693" s="24"/>
      <c r="CJ693" s="24"/>
    </row>
    <row r="694" spans="1:88" ht="15" customHeight="1">
      <c r="A694" s="18">
        <v>2019</v>
      </c>
      <c r="B694" s="18" t="str">
        <f>+INDEX(BDD!F:F,MATCH(P694,BDD!D:D,0))&amp;"-"&amp;INDEX(BDD!E:E,MATCH(P694,BDD!D:D,0))</f>
        <v>G-S</v>
      </c>
      <c r="C694" s="125" t="s">
        <v>484</v>
      </c>
      <c r="D694" s="150" t="s">
        <v>77</v>
      </c>
      <c r="E694" s="132"/>
      <c r="F694" s="24"/>
      <c r="G694" s="346">
        <v>8000000580</v>
      </c>
      <c r="H694" s="125" t="s">
        <v>2839</v>
      </c>
      <c r="I694" s="329"/>
      <c r="J694" s="346">
        <v>8000000580</v>
      </c>
      <c r="K694" s="24"/>
      <c r="L694" s="24"/>
      <c r="M694" s="24"/>
      <c r="N694" s="340" t="s">
        <v>486</v>
      </c>
      <c r="O694" s="334">
        <v>206569</v>
      </c>
      <c r="P694" s="25" t="s">
        <v>142</v>
      </c>
      <c r="Q694" s="127" t="s">
        <v>163</v>
      </c>
      <c r="R694" s="232" t="s">
        <v>544</v>
      </c>
      <c r="S694" s="89">
        <v>43644</v>
      </c>
      <c r="T694" s="36" t="s">
        <v>19</v>
      </c>
      <c r="U694" s="125"/>
      <c r="V694" s="147" t="s">
        <v>2840</v>
      </c>
      <c r="W694" s="129"/>
      <c r="X694" s="88">
        <v>43713</v>
      </c>
      <c r="Y694" s="130" t="s">
        <v>20</v>
      </c>
      <c r="Z694" s="133" t="s">
        <v>60</v>
      </c>
      <c r="AA694" s="133"/>
      <c r="AB694" s="148">
        <v>1052</v>
      </c>
      <c r="AC694" s="134">
        <v>372</v>
      </c>
      <c r="AD694" s="134"/>
      <c r="AE694" s="403">
        <f t="shared" si="33"/>
        <v>391344</v>
      </c>
      <c r="AF694" s="145" t="s">
        <v>2822</v>
      </c>
      <c r="AG694" s="130" t="s">
        <v>46</v>
      </c>
      <c r="AH694" s="130"/>
      <c r="AI694" s="130" t="s">
        <v>100</v>
      </c>
      <c r="AJ694" s="130"/>
      <c r="AK694" s="130"/>
      <c r="AL694" s="135" t="s">
        <v>2811</v>
      </c>
      <c r="AM694" s="314"/>
      <c r="AN694" s="26"/>
      <c r="AO694" s="26"/>
      <c r="AP694" s="26"/>
      <c r="AQ694" s="26">
        <f>+AQ693+2</f>
        <v>43746</v>
      </c>
      <c r="AR694" s="24"/>
      <c r="AS694" s="24"/>
      <c r="AT694" s="24">
        <v>43750</v>
      </c>
      <c r="AU694" s="418">
        <f t="shared" si="34"/>
        <v>10</v>
      </c>
      <c r="AV694" s="418">
        <f t="shared" si="35"/>
        <v>2019</v>
      </c>
      <c r="AW694" s="24"/>
      <c r="AX694" s="28"/>
      <c r="AY694" s="28" t="s">
        <v>230</v>
      </c>
      <c r="AZ694" s="132" t="s">
        <v>62</v>
      </c>
      <c r="BA694" s="132"/>
      <c r="BB694" s="24"/>
      <c r="BC694" s="135" t="s">
        <v>2841</v>
      </c>
      <c r="BD694" s="24">
        <v>43699</v>
      </c>
      <c r="BE694" s="135" t="s">
        <v>2813</v>
      </c>
      <c r="BF694" s="135" t="s">
        <v>2813</v>
      </c>
      <c r="BG694" s="135" t="s">
        <v>52</v>
      </c>
      <c r="BH694" s="135"/>
      <c r="BI694" s="314"/>
      <c r="BJ694" s="314"/>
      <c r="BK694" s="24"/>
      <c r="BL694" s="24"/>
      <c r="BM694" s="24"/>
      <c r="BN694" s="24"/>
      <c r="BO694" s="24"/>
      <c r="BP694" s="24"/>
      <c r="BQ694" s="24"/>
      <c r="BR694" s="43"/>
      <c r="BS694" s="24"/>
      <c r="BT694" s="24"/>
      <c r="BU694" s="24"/>
      <c r="BV694" s="132" t="e">
        <f>IF(#REF!="COMPLETO","OK","PENDIENTES")</f>
        <v>#REF!</v>
      </c>
      <c r="BW694" s="132"/>
      <c r="BX694" s="132"/>
      <c r="BY694" s="132"/>
      <c r="BZ694" s="132"/>
      <c r="CA694" s="132"/>
      <c r="CB694" s="132"/>
      <c r="CC694" s="22"/>
      <c r="CG694" s="24" t="s">
        <v>105</v>
      </c>
      <c r="CH694" s="24"/>
      <c r="CI694" s="24"/>
      <c r="CJ694" s="24"/>
    </row>
    <row r="695" spans="1:88" ht="15" customHeight="1">
      <c r="A695" s="18">
        <v>2019</v>
      </c>
      <c r="B695" s="18" t="str">
        <f>+INDEX(BDD!F:F,MATCH(P695,BDD!D:D,0))&amp;"-"&amp;INDEX(BDD!E:E,MATCH(P695,BDD!D:D,0))</f>
        <v>G-S</v>
      </c>
      <c r="C695" s="125" t="s">
        <v>484</v>
      </c>
      <c r="D695" s="150" t="s">
        <v>77</v>
      </c>
      <c r="E695" s="132"/>
      <c r="F695" s="24"/>
      <c r="G695" s="346">
        <v>8000000559</v>
      </c>
      <c r="H695" s="125" t="s">
        <v>2842</v>
      </c>
      <c r="I695" s="329"/>
      <c r="J695" s="346">
        <v>8000000559</v>
      </c>
      <c r="K695" s="24"/>
      <c r="L695" s="24"/>
      <c r="M695" s="24"/>
      <c r="N695" s="340" t="s">
        <v>486</v>
      </c>
      <c r="O695" s="334">
        <v>203616</v>
      </c>
      <c r="P695" s="25" t="s">
        <v>331</v>
      </c>
      <c r="Q695" s="127" t="s">
        <v>163</v>
      </c>
      <c r="R695" s="232" t="s">
        <v>544</v>
      </c>
      <c r="S695" s="89">
        <v>43644</v>
      </c>
      <c r="T695" s="36" t="s">
        <v>19</v>
      </c>
      <c r="U695" s="125"/>
      <c r="V695" s="147" t="s">
        <v>2843</v>
      </c>
      <c r="W695" s="129"/>
      <c r="X695" s="88">
        <v>43713</v>
      </c>
      <c r="Y695" s="130" t="s">
        <v>20</v>
      </c>
      <c r="Z695" s="133" t="s">
        <v>60</v>
      </c>
      <c r="AA695" s="133"/>
      <c r="AB695" s="148">
        <v>2890</v>
      </c>
      <c r="AC695" s="134">
        <v>147.5</v>
      </c>
      <c r="AD695" s="134"/>
      <c r="AE695" s="403">
        <f t="shared" si="33"/>
        <v>426275</v>
      </c>
      <c r="AF695" s="132" t="s">
        <v>944</v>
      </c>
      <c r="AG695" s="130" t="s">
        <v>46</v>
      </c>
      <c r="AH695" s="130"/>
      <c r="AI695" s="130" t="s">
        <v>100</v>
      </c>
      <c r="AJ695" s="130"/>
      <c r="AK695" s="130"/>
      <c r="AL695" s="135" t="s">
        <v>2811</v>
      </c>
      <c r="AM695" s="314"/>
      <c r="AN695" s="26"/>
      <c r="AO695" s="26"/>
      <c r="AP695" s="26"/>
      <c r="AQ695" s="26">
        <v>43734</v>
      </c>
      <c r="AR695" s="24"/>
      <c r="AS695" s="24"/>
      <c r="AT695" s="24">
        <v>43736</v>
      </c>
      <c r="AU695" s="418">
        <f t="shared" si="34"/>
        <v>9</v>
      </c>
      <c r="AV695" s="418">
        <f t="shared" si="35"/>
        <v>2019</v>
      </c>
      <c r="AW695" s="24"/>
      <c r="AX695" s="28"/>
      <c r="AY695" s="28" t="s">
        <v>230</v>
      </c>
      <c r="AZ695" s="132" t="s">
        <v>9</v>
      </c>
      <c r="BA695" s="132"/>
      <c r="BB695" s="24"/>
      <c r="BC695" s="135" t="s">
        <v>2844</v>
      </c>
      <c r="BD695" s="24">
        <v>43699</v>
      </c>
      <c r="BE695" s="135" t="s">
        <v>2813</v>
      </c>
      <c r="BF695" s="135" t="s">
        <v>2813</v>
      </c>
      <c r="BG695" s="135" t="s">
        <v>52</v>
      </c>
      <c r="BH695" s="135"/>
      <c r="BI695" s="314"/>
      <c r="BJ695" s="314"/>
      <c r="BK695" s="24"/>
      <c r="BL695" s="24"/>
      <c r="BM695" s="24"/>
      <c r="BN695" s="24"/>
      <c r="BO695" s="24"/>
      <c r="BP695" s="24"/>
      <c r="BQ695" s="24"/>
      <c r="BR695" s="43"/>
      <c r="BS695" s="24"/>
      <c r="BT695" s="24"/>
      <c r="BU695" s="24"/>
      <c r="BV695" s="132" t="e">
        <f>IF(#REF!="COMPLETO","OK","PENDIENTES")</f>
        <v>#REF!</v>
      </c>
      <c r="BW695" s="132"/>
      <c r="BX695" s="132"/>
      <c r="BY695" s="132"/>
      <c r="BZ695" s="132"/>
      <c r="CA695" s="132"/>
      <c r="CB695" s="132"/>
      <c r="CC695" s="22"/>
      <c r="CG695" s="24" t="s">
        <v>105</v>
      </c>
      <c r="CH695" s="24"/>
      <c r="CI695" s="24"/>
      <c r="CJ695" s="24"/>
    </row>
    <row r="696" spans="1:88" ht="15" customHeight="1">
      <c r="A696" s="18">
        <v>2019</v>
      </c>
      <c r="B696" s="18" t="str">
        <f>+INDEX(BDD!F:F,MATCH(P696,BDD!D:D,0))&amp;"-"&amp;INDEX(BDD!E:E,MATCH(P696,BDD!D:D,0))</f>
        <v>G-S</v>
      </c>
      <c r="C696" s="125" t="s">
        <v>484</v>
      </c>
      <c r="D696" s="150" t="s">
        <v>77</v>
      </c>
      <c r="E696" s="132"/>
      <c r="F696" s="24"/>
      <c r="G696" s="346">
        <v>8000000568</v>
      </c>
      <c r="H696" s="125" t="s">
        <v>2845</v>
      </c>
      <c r="I696" s="329"/>
      <c r="J696" s="346">
        <v>8000000568</v>
      </c>
      <c r="K696" s="24"/>
      <c r="L696" s="24"/>
      <c r="M696" s="24"/>
      <c r="N696" s="340" t="s">
        <v>486</v>
      </c>
      <c r="O696" s="334">
        <v>203616</v>
      </c>
      <c r="P696" s="25" t="s">
        <v>331</v>
      </c>
      <c r="Q696" s="127" t="s">
        <v>163</v>
      </c>
      <c r="R696" s="232" t="s">
        <v>544</v>
      </c>
      <c r="S696" s="89">
        <v>43644</v>
      </c>
      <c r="T696" s="36" t="s">
        <v>19</v>
      </c>
      <c r="U696" s="125"/>
      <c r="V696" s="147" t="s">
        <v>2846</v>
      </c>
      <c r="W696" s="129"/>
      <c r="X696" s="88">
        <v>43713</v>
      </c>
      <c r="Y696" s="130" t="s">
        <v>20</v>
      </c>
      <c r="Z696" s="133" t="s">
        <v>60</v>
      </c>
      <c r="AA696" s="133"/>
      <c r="AB696" s="148">
        <v>4660</v>
      </c>
      <c r="AC696" s="134">
        <v>147.5</v>
      </c>
      <c r="AD696" s="134"/>
      <c r="AE696" s="403">
        <f t="shared" si="33"/>
        <v>687350</v>
      </c>
      <c r="AF696" s="132" t="s">
        <v>944</v>
      </c>
      <c r="AG696" s="130" t="s">
        <v>46</v>
      </c>
      <c r="AH696" s="130"/>
      <c r="AI696" s="130" t="s">
        <v>100</v>
      </c>
      <c r="AJ696" s="130"/>
      <c r="AK696" s="130"/>
      <c r="AL696" s="135" t="s">
        <v>2811</v>
      </c>
      <c r="AM696" s="314"/>
      <c r="AN696" s="26"/>
      <c r="AO696" s="26"/>
      <c r="AP696" s="26"/>
      <c r="AQ696" s="26">
        <v>43737</v>
      </c>
      <c r="AR696" s="24"/>
      <c r="AS696" s="24"/>
      <c r="AT696" s="24">
        <v>43741</v>
      </c>
      <c r="AU696" s="418">
        <f t="shared" si="34"/>
        <v>10</v>
      </c>
      <c r="AV696" s="418">
        <f t="shared" si="35"/>
        <v>2019</v>
      </c>
      <c r="AW696" s="24"/>
      <c r="AX696" s="28"/>
      <c r="AY696" s="28" t="s">
        <v>230</v>
      </c>
      <c r="AZ696" s="132" t="s">
        <v>25</v>
      </c>
      <c r="BA696" s="132"/>
      <c r="BB696" s="24"/>
      <c r="BC696" s="135" t="s">
        <v>2847</v>
      </c>
      <c r="BD696" s="24">
        <v>43699</v>
      </c>
      <c r="BE696" s="135" t="s">
        <v>2813</v>
      </c>
      <c r="BF696" s="135" t="s">
        <v>2813</v>
      </c>
      <c r="BG696" s="135" t="s">
        <v>52</v>
      </c>
      <c r="BH696" s="135"/>
      <c r="BI696" s="314"/>
      <c r="BJ696" s="314"/>
      <c r="BK696" s="24"/>
      <c r="BL696" s="24"/>
      <c r="BM696" s="24"/>
      <c r="BN696" s="24"/>
      <c r="BO696" s="24"/>
      <c r="BP696" s="24"/>
      <c r="BQ696" s="24"/>
      <c r="BR696" s="43"/>
      <c r="BS696" s="24"/>
      <c r="BT696" s="24"/>
      <c r="BU696" s="24"/>
      <c r="BV696" s="132" t="e">
        <f>IF(#REF!="COMPLETO","OK","PENDIENTES")</f>
        <v>#REF!</v>
      </c>
      <c r="BW696" s="132"/>
      <c r="BX696" s="132"/>
      <c r="BY696" s="132"/>
      <c r="BZ696" s="132"/>
      <c r="CA696" s="132"/>
      <c r="CB696" s="132"/>
      <c r="CC696" s="22"/>
      <c r="CG696" s="24" t="s">
        <v>105</v>
      </c>
      <c r="CH696" s="24"/>
      <c r="CI696" s="24"/>
      <c r="CJ696" s="24"/>
    </row>
    <row r="697" spans="1:88" ht="15" customHeight="1">
      <c r="A697" s="18">
        <v>2019</v>
      </c>
      <c r="B697" s="18" t="str">
        <f>+INDEX(BDD!F:F,MATCH(P697,BDD!D:D,0))&amp;"-"&amp;INDEX(BDD!E:E,MATCH(P697,BDD!D:D,0))</f>
        <v>G-S</v>
      </c>
      <c r="C697" s="125" t="s">
        <v>484</v>
      </c>
      <c r="D697" s="150" t="s">
        <v>77</v>
      </c>
      <c r="E697" s="132"/>
      <c r="F697" s="24"/>
      <c r="G697" s="346">
        <v>8000000563</v>
      </c>
      <c r="H697" s="125" t="s">
        <v>2848</v>
      </c>
      <c r="I697" s="329"/>
      <c r="J697" s="346">
        <v>8000000563</v>
      </c>
      <c r="K697" s="24"/>
      <c r="L697" s="24"/>
      <c r="M697" s="24"/>
      <c r="N697" s="340" t="s">
        <v>486</v>
      </c>
      <c r="O697" s="334">
        <v>203616</v>
      </c>
      <c r="P697" s="25" t="s">
        <v>331</v>
      </c>
      <c r="Q697" s="127" t="s">
        <v>163</v>
      </c>
      <c r="R697" s="232" t="s">
        <v>544</v>
      </c>
      <c r="S697" s="89">
        <v>43644</v>
      </c>
      <c r="T697" s="36" t="s">
        <v>19</v>
      </c>
      <c r="U697" s="125"/>
      <c r="V697" s="147" t="s">
        <v>2849</v>
      </c>
      <c r="W697" s="129"/>
      <c r="X697" s="88">
        <v>43713</v>
      </c>
      <c r="Y697" s="130" t="s">
        <v>20</v>
      </c>
      <c r="Z697" s="133" t="s">
        <v>60</v>
      </c>
      <c r="AA697" s="133"/>
      <c r="AB697" s="148">
        <v>750</v>
      </c>
      <c r="AC697" s="134">
        <v>147.5</v>
      </c>
      <c r="AD697" s="134"/>
      <c r="AE697" s="403">
        <f t="shared" si="33"/>
        <v>110625</v>
      </c>
      <c r="AF697" s="132" t="s">
        <v>944</v>
      </c>
      <c r="AG697" s="130" t="s">
        <v>46</v>
      </c>
      <c r="AH697" s="130"/>
      <c r="AI697" s="130" t="s">
        <v>100</v>
      </c>
      <c r="AJ697" s="130"/>
      <c r="AK697" s="130"/>
      <c r="AL697" s="135" t="s">
        <v>2811</v>
      </c>
      <c r="AM697" s="314"/>
      <c r="AN697" s="26"/>
      <c r="AO697" s="26"/>
      <c r="AP697" s="26"/>
      <c r="AQ697" s="26">
        <v>43742</v>
      </c>
      <c r="AR697" s="24"/>
      <c r="AS697" s="24"/>
      <c r="AT697" s="24">
        <v>43744</v>
      </c>
      <c r="AU697" s="418">
        <f t="shared" si="34"/>
        <v>10</v>
      </c>
      <c r="AV697" s="418">
        <f t="shared" si="35"/>
        <v>2019</v>
      </c>
      <c r="AW697" s="24"/>
      <c r="AX697" s="28"/>
      <c r="AY697" s="28" t="s">
        <v>230</v>
      </c>
      <c r="AZ697" s="132" t="s">
        <v>37</v>
      </c>
      <c r="BA697" s="132"/>
      <c r="BB697" s="24"/>
      <c r="BC697" s="135" t="s">
        <v>2850</v>
      </c>
      <c r="BD697" s="24">
        <v>43699</v>
      </c>
      <c r="BE697" s="135" t="s">
        <v>2813</v>
      </c>
      <c r="BF697" s="135" t="s">
        <v>2813</v>
      </c>
      <c r="BG697" s="135" t="s">
        <v>52</v>
      </c>
      <c r="BH697" s="135"/>
      <c r="BI697" s="314"/>
      <c r="BJ697" s="314"/>
      <c r="BK697" s="24"/>
      <c r="BL697" s="24"/>
      <c r="BM697" s="24"/>
      <c r="BN697" s="24"/>
      <c r="BO697" s="24"/>
      <c r="BP697" s="24"/>
      <c r="BQ697" s="24"/>
      <c r="BR697" s="43"/>
      <c r="BS697" s="24"/>
      <c r="BT697" s="24"/>
      <c r="BU697" s="24"/>
      <c r="BV697" s="132" t="e">
        <f>IF(#REF!="COMPLETO","OK","PENDIENTES")</f>
        <v>#REF!</v>
      </c>
      <c r="BW697" s="132"/>
      <c r="BX697" s="132"/>
      <c r="BY697" s="132"/>
      <c r="BZ697" s="132"/>
      <c r="CA697" s="132"/>
      <c r="CB697" s="132"/>
      <c r="CC697" s="22"/>
      <c r="CG697" s="24" t="s">
        <v>105</v>
      </c>
      <c r="CH697" s="24"/>
      <c r="CI697" s="24"/>
      <c r="CJ697" s="24"/>
    </row>
    <row r="698" spans="1:88" ht="15" customHeight="1">
      <c r="A698" s="18">
        <v>2019</v>
      </c>
      <c r="B698" s="18" t="str">
        <f>+INDEX(BDD!F:F,MATCH(P698,BDD!D:D,0))&amp;"-"&amp;INDEX(BDD!E:E,MATCH(P698,BDD!D:D,0))</f>
        <v>G-S</v>
      </c>
      <c r="C698" s="125" t="s">
        <v>484</v>
      </c>
      <c r="D698" s="150" t="s">
        <v>77</v>
      </c>
      <c r="E698" s="132"/>
      <c r="F698" s="24"/>
      <c r="G698" s="346">
        <v>8000000571</v>
      </c>
      <c r="H698" s="125" t="s">
        <v>2851</v>
      </c>
      <c r="I698" s="329"/>
      <c r="J698" s="346">
        <v>8000000571</v>
      </c>
      <c r="K698" s="24"/>
      <c r="L698" s="24"/>
      <c r="M698" s="24"/>
      <c r="N698" s="340" t="s">
        <v>486</v>
      </c>
      <c r="O698" s="334">
        <v>203616</v>
      </c>
      <c r="P698" s="25" t="s">
        <v>331</v>
      </c>
      <c r="Q698" s="127" t="s">
        <v>163</v>
      </c>
      <c r="R698" s="232" t="s">
        <v>544</v>
      </c>
      <c r="S698" s="89">
        <v>43644</v>
      </c>
      <c r="T698" s="36" t="s">
        <v>19</v>
      </c>
      <c r="U698" s="125"/>
      <c r="V698" s="147" t="s">
        <v>2852</v>
      </c>
      <c r="W698" s="129"/>
      <c r="X698" s="88">
        <v>43713</v>
      </c>
      <c r="Y698" s="130" t="s">
        <v>20</v>
      </c>
      <c r="Z698" s="133" t="s">
        <v>60</v>
      </c>
      <c r="AA698" s="133"/>
      <c r="AB698" s="148">
        <v>370</v>
      </c>
      <c r="AC698" s="134">
        <v>147.5</v>
      </c>
      <c r="AD698" s="134"/>
      <c r="AE698" s="403">
        <f t="shared" si="33"/>
        <v>54575</v>
      </c>
      <c r="AF698" s="145" t="s">
        <v>2822</v>
      </c>
      <c r="AG698" s="130" t="s">
        <v>46</v>
      </c>
      <c r="AH698" s="130"/>
      <c r="AI698" s="130" t="s">
        <v>100</v>
      </c>
      <c r="AJ698" s="130"/>
      <c r="AK698" s="130"/>
      <c r="AL698" s="135" t="s">
        <v>2811</v>
      </c>
      <c r="AM698" s="314"/>
      <c r="AN698" s="26"/>
      <c r="AO698" s="26"/>
      <c r="AP698" s="26"/>
      <c r="AQ698" s="26">
        <f>+AQ697+2</f>
        <v>43744</v>
      </c>
      <c r="AR698" s="24"/>
      <c r="AS698" s="24"/>
      <c r="AT698" s="24">
        <v>43745</v>
      </c>
      <c r="AU698" s="418">
        <f t="shared" si="34"/>
        <v>10</v>
      </c>
      <c r="AV698" s="418">
        <f t="shared" si="35"/>
        <v>2019</v>
      </c>
      <c r="AW698" s="24"/>
      <c r="AX698" s="28"/>
      <c r="AY698" s="28" t="s">
        <v>230</v>
      </c>
      <c r="AZ698" s="132" t="s">
        <v>50</v>
      </c>
      <c r="BA698" s="132"/>
      <c r="BB698" s="24"/>
      <c r="BC698" s="135" t="s">
        <v>2853</v>
      </c>
      <c r="BD698" s="24">
        <v>43699</v>
      </c>
      <c r="BE698" s="135" t="s">
        <v>2813</v>
      </c>
      <c r="BF698" s="135" t="s">
        <v>2813</v>
      </c>
      <c r="BG698" s="135" t="s">
        <v>52</v>
      </c>
      <c r="BH698" s="135"/>
      <c r="BI698" s="314"/>
      <c r="BJ698" s="314"/>
      <c r="BK698" s="24"/>
      <c r="BL698" s="24"/>
      <c r="BM698" s="24"/>
      <c r="BN698" s="24"/>
      <c r="BO698" s="24"/>
      <c r="BP698" s="24"/>
      <c r="BQ698" s="24"/>
      <c r="BR698" s="43"/>
      <c r="BS698" s="24"/>
      <c r="BT698" s="24"/>
      <c r="BU698" s="24"/>
      <c r="BV698" s="132" t="e">
        <f>IF(#REF!="COMPLETO","OK","PENDIENTES")</f>
        <v>#REF!</v>
      </c>
      <c r="BW698" s="132"/>
      <c r="BX698" s="132"/>
      <c r="BY698" s="132"/>
      <c r="BZ698" s="132"/>
      <c r="CA698" s="132"/>
      <c r="CB698" s="132"/>
      <c r="CC698" s="22"/>
      <c r="CG698" s="24" t="s">
        <v>105</v>
      </c>
      <c r="CH698" s="24"/>
      <c r="CI698" s="24"/>
      <c r="CJ698" s="24"/>
    </row>
    <row r="699" spans="1:88" ht="15" customHeight="1">
      <c r="A699" s="18">
        <v>2019</v>
      </c>
      <c r="B699" s="18" t="str">
        <f>+INDEX(BDD!F:F,MATCH(P699,BDD!D:D,0))&amp;"-"&amp;INDEX(BDD!E:E,MATCH(P699,BDD!D:D,0))</f>
        <v>G-S</v>
      </c>
      <c r="C699" s="125" t="s">
        <v>484</v>
      </c>
      <c r="D699" s="150" t="s">
        <v>77</v>
      </c>
      <c r="E699" s="132"/>
      <c r="F699" s="24"/>
      <c r="G699" s="346">
        <v>8000000581</v>
      </c>
      <c r="H699" s="125" t="s">
        <v>2854</v>
      </c>
      <c r="I699" s="329"/>
      <c r="J699" s="346">
        <v>8000000581</v>
      </c>
      <c r="K699" s="24"/>
      <c r="L699" s="24"/>
      <c r="M699" s="24"/>
      <c r="N699" s="340" t="s">
        <v>486</v>
      </c>
      <c r="O699" s="334">
        <v>203616</v>
      </c>
      <c r="P699" s="25" t="s">
        <v>331</v>
      </c>
      <c r="Q699" s="127" t="s">
        <v>163</v>
      </c>
      <c r="R699" s="232" t="s">
        <v>544</v>
      </c>
      <c r="S699" s="89">
        <v>43644</v>
      </c>
      <c r="T699" s="36" t="s">
        <v>19</v>
      </c>
      <c r="U699" s="125"/>
      <c r="V699" s="147" t="s">
        <v>2855</v>
      </c>
      <c r="W699" s="129"/>
      <c r="X699" s="88">
        <v>43713</v>
      </c>
      <c r="Y699" s="130" t="s">
        <v>20</v>
      </c>
      <c r="Z699" s="133" t="s">
        <v>60</v>
      </c>
      <c r="AA699" s="133"/>
      <c r="AB699" s="148">
        <v>650</v>
      </c>
      <c r="AC699" s="134">
        <v>147.5</v>
      </c>
      <c r="AD699" s="134"/>
      <c r="AE699" s="403">
        <f t="shared" si="33"/>
        <v>95875</v>
      </c>
      <c r="AF699" s="145" t="s">
        <v>2822</v>
      </c>
      <c r="AG699" s="130" t="s">
        <v>46</v>
      </c>
      <c r="AH699" s="130"/>
      <c r="AI699" s="130" t="s">
        <v>100</v>
      </c>
      <c r="AJ699" s="130"/>
      <c r="AK699" s="130"/>
      <c r="AL699" s="135" t="s">
        <v>2811</v>
      </c>
      <c r="AM699" s="314"/>
      <c r="AN699" s="26"/>
      <c r="AO699" s="26"/>
      <c r="AP699" s="26"/>
      <c r="AQ699" s="26">
        <f>+AQ698+2</f>
        <v>43746</v>
      </c>
      <c r="AR699" s="24"/>
      <c r="AS699" s="24"/>
      <c r="AT699" s="24">
        <v>43750</v>
      </c>
      <c r="AU699" s="418">
        <f t="shared" si="34"/>
        <v>10</v>
      </c>
      <c r="AV699" s="418">
        <f t="shared" si="35"/>
        <v>2019</v>
      </c>
      <c r="AW699" s="24"/>
      <c r="AX699" s="28"/>
      <c r="AY699" s="28" t="s">
        <v>230</v>
      </c>
      <c r="AZ699" s="132" t="s">
        <v>62</v>
      </c>
      <c r="BA699" s="132"/>
      <c r="BB699" s="24"/>
      <c r="BC699" s="135" t="s">
        <v>2856</v>
      </c>
      <c r="BD699" s="24">
        <v>43699</v>
      </c>
      <c r="BE699" s="135" t="s">
        <v>2813</v>
      </c>
      <c r="BF699" s="135" t="s">
        <v>2813</v>
      </c>
      <c r="BG699" s="135" t="s">
        <v>52</v>
      </c>
      <c r="BH699" s="135"/>
      <c r="BI699" s="314"/>
      <c r="BJ699" s="314"/>
      <c r="BK699" s="24"/>
      <c r="BL699" s="24"/>
      <c r="BM699" s="24"/>
      <c r="BN699" s="24"/>
      <c r="BO699" s="24"/>
      <c r="BP699" s="24"/>
      <c r="BQ699" s="24"/>
      <c r="BR699" s="43"/>
      <c r="BS699" s="24"/>
      <c r="BT699" s="24"/>
      <c r="BU699" s="24"/>
      <c r="BV699" s="132" t="e">
        <f>IF(#REF!="COMPLETO","OK","PENDIENTES")</f>
        <v>#REF!</v>
      </c>
      <c r="BW699" s="132"/>
      <c r="BX699" s="132"/>
      <c r="BY699" s="132"/>
      <c r="BZ699" s="132"/>
      <c r="CA699" s="132"/>
      <c r="CB699" s="132"/>
      <c r="CC699" s="22"/>
      <c r="CG699" s="24" t="s">
        <v>105</v>
      </c>
      <c r="CH699" s="24"/>
      <c r="CI699" s="24"/>
      <c r="CJ699" s="24"/>
    </row>
    <row r="700" spans="1:88" ht="15" customHeight="1">
      <c r="A700" s="18">
        <v>2019</v>
      </c>
      <c r="B700" s="18" t="str">
        <f>+INDEX(BDD!F:F,MATCH(P700,BDD!D:D,0))&amp;"-"&amp;INDEX(BDD!E:E,MATCH(P700,BDD!D:D,0))</f>
        <v>S-P</v>
      </c>
      <c r="C700" s="125" t="s">
        <v>484</v>
      </c>
      <c r="D700" s="150" t="s">
        <v>77</v>
      </c>
      <c r="E700" s="132"/>
      <c r="F700" s="24"/>
      <c r="G700" s="346">
        <v>8000000490</v>
      </c>
      <c r="H700" s="125" t="s">
        <v>2857</v>
      </c>
      <c r="I700" s="329"/>
      <c r="J700" s="346">
        <v>8000000490</v>
      </c>
      <c r="K700" s="24"/>
      <c r="L700" s="24"/>
      <c r="M700" s="24"/>
      <c r="N700" s="340" t="s">
        <v>486</v>
      </c>
      <c r="O700" s="334">
        <v>206710</v>
      </c>
      <c r="P700" s="25" t="s">
        <v>232</v>
      </c>
      <c r="Q700" s="127" t="s">
        <v>288</v>
      </c>
      <c r="R700" s="232" t="s">
        <v>2858</v>
      </c>
      <c r="S700" s="89">
        <v>43668</v>
      </c>
      <c r="T700" s="36" t="s">
        <v>4</v>
      </c>
      <c r="U700" s="125"/>
      <c r="V700" s="147" t="s">
        <v>2859</v>
      </c>
      <c r="W700" s="129"/>
      <c r="X700" s="88">
        <v>43691</v>
      </c>
      <c r="Y700" s="130" t="s">
        <v>20</v>
      </c>
      <c r="Z700" s="133" t="s">
        <v>60</v>
      </c>
      <c r="AA700" s="133"/>
      <c r="AB700" s="148">
        <v>168</v>
      </c>
      <c r="AC700" s="134">
        <v>340</v>
      </c>
      <c r="AD700" s="134"/>
      <c r="AE700" s="403">
        <f t="shared" si="33"/>
        <v>57120</v>
      </c>
      <c r="AF700" s="132">
        <v>7</v>
      </c>
      <c r="AG700" s="130" t="s">
        <v>5</v>
      </c>
      <c r="AH700" s="130"/>
      <c r="AI700" s="130" t="s">
        <v>71</v>
      </c>
      <c r="AJ700" s="130"/>
      <c r="AK700" s="130"/>
      <c r="AL700" s="135" t="s">
        <v>2860</v>
      </c>
      <c r="AM700" s="314"/>
      <c r="AN700" s="26"/>
      <c r="AO700" s="26"/>
      <c r="AP700" s="26"/>
      <c r="AQ700" s="26">
        <v>43768</v>
      </c>
      <c r="AR700" s="24"/>
      <c r="AS700" s="24"/>
      <c r="AT700" s="24">
        <v>43773</v>
      </c>
      <c r="AU700" s="418">
        <f t="shared" si="34"/>
        <v>11</v>
      </c>
      <c r="AV700" s="418">
        <f t="shared" si="35"/>
        <v>2019</v>
      </c>
      <c r="AW700" s="24"/>
      <c r="AX700" s="28"/>
      <c r="AY700" s="28" t="s">
        <v>2862</v>
      </c>
      <c r="AZ700" s="132" t="s">
        <v>9</v>
      </c>
      <c r="BA700" s="132"/>
      <c r="BB700" s="24"/>
      <c r="BC700" s="135" t="s">
        <v>2861</v>
      </c>
      <c r="BD700" s="24">
        <v>43729</v>
      </c>
      <c r="BE700" s="135" t="s">
        <v>2863</v>
      </c>
      <c r="BF700" s="135" t="s">
        <v>2808</v>
      </c>
      <c r="BG700" s="135" t="s">
        <v>64</v>
      </c>
      <c r="BH700" s="135"/>
      <c r="BI700" s="314"/>
      <c r="BJ700" s="314"/>
      <c r="BK700" s="24"/>
      <c r="BL700" s="24"/>
      <c r="BM700" s="24"/>
      <c r="BN700" s="24"/>
      <c r="BO700" s="24">
        <f>+AQ700+14</f>
        <v>43782</v>
      </c>
      <c r="BP700" s="24"/>
      <c r="BQ700" s="24"/>
      <c r="BR700" s="43"/>
      <c r="BS700" s="24"/>
      <c r="BT700" s="24"/>
      <c r="BU700" s="24"/>
      <c r="BV700" s="132" t="e">
        <f>IF(#REF!="COMPLETO","OK","PENDIENTES")</f>
        <v>#REF!</v>
      </c>
      <c r="BW700" s="132"/>
      <c r="BX700" s="132"/>
      <c r="BY700" s="132"/>
      <c r="BZ700" s="132"/>
      <c r="CA700" s="132"/>
      <c r="CB700" s="132"/>
      <c r="CC700" s="22"/>
      <c r="CG700" s="24" t="s">
        <v>105</v>
      </c>
      <c r="CH700" s="24"/>
      <c r="CI700" s="24"/>
      <c r="CJ700" s="24"/>
    </row>
    <row r="701" spans="1:88" ht="14.25" customHeight="1">
      <c r="A701" s="18">
        <v>2019</v>
      </c>
      <c r="B701" s="18" t="str">
        <f>+INDEX(BDD!F:F,MATCH(P701,BDD!D:D,0))&amp;"-"&amp;INDEX(BDD!E:E,MATCH(P701,BDD!D:D,0))</f>
        <v>S-P</v>
      </c>
      <c r="C701" s="125" t="s">
        <v>484</v>
      </c>
      <c r="D701" s="150" t="s">
        <v>77</v>
      </c>
      <c r="E701" s="132"/>
      <c r="F701" s="24"/>
      <c r="G701" s="346">
        <v>8000000595</v>
      </c>
      <c r="H701" s="125" t="s">
        <v>2864</v>
      </c>
      <c r="I701" s="329"/>
      <c r="J701" s="346">
        <v>8000000595</v>
      </c>
      <c r="K701" s="24"/>
      <c r="L701" s="24"/>
      <c r="M701" s="24"/>
      <c r="N701" s="340" t="s">
        <v>486</v>
      </c>
      <c r="O701" s="334">
        <v>206710</v>
      </c>
      <c r="P701" s="25" t="s">
        <v>232</v>
      </c>
      <c r="Q701" s="127" t="s">
        <v>288</v>
      </c>
      <c r="R701" s="232" t="s">
        <v>2865</v>
      </c>
      <c r="S701" s="89">
        <v>43668</v>
      </c>
      <c r="T701" s="36" t="s">
        <v>4</v>
      </c>
      <c r="U701" s="125"/>
      <c r="V701" s="147" t="s">
        <v>2866</v>
      </c>
      <c r="W701" s="129"/>
      <c r="X701" s="88">
        <v>43691</v>
      </c>
      <c r="Y701" s="130" t="s">
        <v>20</v>
      </c>
      <c r="Z701" s="133" t="s">
        <v>60</v>
      </c>
      <c r="AA701" s="133"/>
      <c r="AB701" s="148">
        <v>120</v>
      </c>
      <c r="AC701" s="134">
        <v>338</v>
      </c>
      <c r="AD701" s="134"/>
      <c r="AE701" s="403">
        <f t="shared" si="33"/>
        <v>40560</v>
      </c>
      <c r="AF701" s="132">
        <v>5</v>
      </c>
      <c r="AG701" s="130" t="s">
        <v>5</v>
      </c>
      <c r="AH701" s="130"/>
      <c r="AI701" s="130" t="s">
        <v>71</v>
      </c>
      <c r="AJ701" s="130"/>
      <c r="AK701" s="130"/>
      <c r="AL701" s="135" t="s">
        <v>2860</v>
      </c>
      <c r="AM701" s="314"/>
      <c r="AN701" s="26"/>
      <c r="AO701" s="26"/>
      <c r="AP701" s="26"/>
      <c r="AQ701" s="26">
        <v>43770</v>
      </c>
      <c r="AR701" s="24"/>
      <c r="AS701" s="24"/>
      <c r="AT701" s="24">
        <v>43775</v>
      </c>
      <c r="AU701" s="418">
        <f t="shared" si="34"/>
        <v>11</v>
      </c>
      <c r="AV701" s="418">
        <f t="shared" si="35"/>
        <v>2019</v>
      </c>
      <c r="AW701" s="24"/>
      <c r="AX701" s="28"/>
      <c r="AY701" s="28" t="s">
        <v>2862</v>
      </c>
      <c r="AZ701" s="132" t="s">
        <v>37</v>
      </c>
      <c r="BA701" s="132"/>
      <c r="BB701" s="24"/>
      <c r="BC701" s="135" t="s">
        <v>2867</v>
      </c>
      <c r="BD701" s="24">
        <v>43729</v>
      </c>
      <c r="BE701" s="135" t="s">
        <v>2863</v>
      </c>
      <c r="BF701" s="135" t="s">
        <v>814</v>
      </c>
      <c r="BG701" s="135" t="s">
        <v>64</v>
      </c>
      <c r="BH701" s="135"/>
      <c r="BI701" s="314"/>
      <c r="BJ701" s="314"/>
      <c r="BK701" s="24"/>
      <c r="BL701" s="24"/>
      <c r="BM701" s="24"/>
      <c r="BN701" s="24"/>
      <c r="BO701" s="24">
        <f>+AQ701+14</f>
        <v>43784</v>
      </c>
      <c r="BP701" s="24"/>
      <c r="BQ701" s="24"/>
      <c r="BR701" s="43"/>
      <c r="BS701" s="24"/>
      <c r="BT701" s="24"/>
      <c r="BU701" s="24"/>
      <c r="BV701" s="132" t="e">
        <f>IF(#REF!="COMPLETO","OK","PENDIENTES")</f>
        <v>#REF!</v>
      </c>
      <c r="BW701" s="132"/>
      <c r="BX701" s="132"/>
      <c r="BY701" s="132"/>
      <c r="BZ701" s="132"/>
      <c r="CA701" s="132"/>
      <c r="CB701" s="132"/>
      <c r="CC701" s="22"/>
      <c r="CG701" s="24" t="s">
        <v>105</v>
      </c>
      <c r="CH701" s="24"/>
      <c r="CI701" s="24"/>
      <c r="CJ701" s="24"/>
    </row>
    <row r="702" spans="1:88" ht="15" customHeight="1">
      <c r="A702" s="18">
        <v>2019</v>
      </c>
      <c r="B702" s="18" t="str">
        <f>+INDEX(BDD!F:F,MATCH(P702,BDD!D:D,0))&amp;"-"&amp;INDEX(BDD!E:E,MATCH(P702,BDD!D:D,0))</f>
        <v>S-S</v>
      </c>
      <c r="C702" s="125" t="s">
        <v>484</v>
      </c>
      <c r="D702" s="150" t="s">
        <v>77</v>
      </c>
      <c r="E702" s="132"/>
      <c r="F702" s="24"/>
      <c r="G702" s="346">
        <v>8000000586</v>
      </c>
      <c r="H702" s="125" t="s">
        <v>2868</v>
      </c>
      <c r="I702" s="329"/>
      <c r="J702" s="346">
        <v>8000000586</v>
      </c>
      <c r="K702" s="24"/>
      <c r="L702" s="24"/>
      <c r="M702" s="24"/>
      <c r="N702" s="340" t="s">
        <v>486</v>
      </c>
      <c r="O702" s="334">
        <v>206914</v>
      </c>
      <c r="P702" s="25" t="s">
        <v>335</v>
      </c>
      <c r="Q702" s="127" t="s">
        <v>264</v>
      </c>
      <c r="R702" s="232" t="s">
        <v>2869</v>
      </c>
      <c r="S702" s="89">
        <v>43668</v>
      </c>
      <c r="T702" s="36">
        <v>90</v>
      </c>
      <c r="U702" s="125" t="s">
        <v>2805</v>
      </c>
      <c r="V702" s="232" t="s">
        <v>2869</v>
      </c>
      <c r="W702" s="151"/>
      <c r="X702" s="88">
        <f>+BD702+T702</f>
        <v>43802</v>
      </c>
      <c r="Y702" s="130" t="s">
        <v>20</v>
      </c>
      <c r="Z702" s="133" t="s">
        <v>60</v>
      </c>
      <c r="AA702" s="133"/>
      <c r="AB702" s="148">
        <v>400.4</v>
      </c>
      <c r="AC702" s="134">
        <v>124</v>
      </c>
      <c r="AD702" s="134"/>
      <c r="AE702" s="403">
        <f t="shared" si="33"/>
        <v>49649.599999999999</v>
      </c>
      <c r="AF702" s="132">
        <v>14</v>
      </c>
      <c r="AG702" s="130" t="s">
        <v>21</v>
      </c>
      <c r="AH702" s="130"/>
      <c r="AI702" s="130" t="s">
        <v>34</v>
      </c>
      <c r="AJ702" s="130"/>
      <c r="AK702" s="130"/>
      <c r="AL702" s="135" t="s">
        <v>2870</v>
      </c>
      <c r="AM702" s="314"/>
      <c r="AN702" s="26"/>
      <c r="AO702" s="26"/>
      <c r="AP702" s="26"/>
      <c r="AQ702" s="26">
        <v>43760</v>
      </c>
      <c r="AR702" s="24"/>
      <c r="AS702" s="24"/>
      <c r="AT702" s="24">
        <v>43762</v>
      </c>
      <c r="AU702" s="418">
        <f t="shared" si="34"/>
        <v>10</v>
      </c>
      <c r="AV702" s="418">
        <f t="shared" si="35"/>
        <v>2019</v>
      </c>
      <c r="AW702" s="24"/>
      <c r="AX702" s="28"/>
      <c r="AY702" s="28" t="s">
        <v>139</v>
      </c>
      <c r="AZ702" s="132" t="s">
        <v>9</v>
      </c>
      <c r="BA702" s="132"/>
      <c r="BB702" s="24"/>
      <c r="BC702" s="135" t="s">
        <v>2871</v>
      </c>
      <c r="BD702" s="24">
        <v>43712</v>
      </c>
      <c r="BE702" s="135" t="s">
        <v>2872</v>
      </c>
      <c r="BF702" s="135" t="s">
        <v>1251</v>
      </c>
      <c r="BG702" s="135" t="s">
        <v>2873</v>
      </c>
      <c r="BH702" s="135"/>
      <c r="BI702" s="314"/>
      <c r="BJ702" s="314"/>
      <c r="BK702" s="24"/>
      <c r="BL702" s="24"/>
      <c r="BM702" s="24"/>
      <c r="BN702" s="24"/>
      <c r="BO702" s="24">
        <f>+AQ702+16</f>
        <v>43776</v>
      </c>
      <c r="BP702" s="24"/>
      <c r="BQ702" s="24"/>
      <c r="BR702" s="43"/>
      <c r="BS702" s="24"/>
      <c r="BT702" s="24"/>
      <c r="BU702" s="24"/>
      <c r="BV702" s="132" t="e">
        <f>IF(#REF!="COMPLETO","OK","PENDIENTES")</f>
        <v>#REF!</v>
      </c>
      <c r="BW702" s="132"/>
      <c r="BX702" s="132"/>
      <c r="BY702" s="132"/>
      <c r="BZ702" s="132"/>
      <c r="CA702" s="132"/>
      <c r="CB702" s="132"/>
      <c r="CC702" s="22"/>
      <c r="CG702" s="24" t="s">
        <v>105</v>
      </c>
      <c r="CH702" s="24"/>
      <c r="CI702" s="24"/>
      <c r="CJ702" s="24"/>
    </row>
    <row r="703" spans="1:88" ht="15" customHeight="1">
      <c r="A703" s="18">
        <v>2019</v>
      </c>
      <c r="B703" s="18" t="str">
        <f>+INDEX(BDD!F:F,MATCH(P703,BDD!D:D,0))&amp;"-"&amp;INDEX(BDD!E:E,MATCH(P703,BDD!D:D,0))</f>
        <v>S-S</v>
      </c>
      <c r="C703" s="125" t="s">
        <v>484</v>
      </c>
      <c r="D703" s="150" t="s">
        <v>77</v>
      </c>
      <c r="E703" s="132" t="s">
        <v>51</v>
      </c>
      <c r="F703" s="24"/>
      <c r="G703" s="346">
        <v>8000000553</v>
      </c>
      <c r="H703" s="125" t="s">
        <v>2874</v>
      </c>
      <c r="I703" s="329"/>
      <c r="J703" s="346">
        <v>8000000553</v>
      </c>
      <c r="K703" s="24"/>
      <c r="L703" s="24"/>
      <c r="M703" s="24"/>
      <c r="N703" s="340" t="s">
        <v>486</v>
      </c>
      <c r="O703" s="334">
        <v>207579</v>
      </c>
      <c r="P703" s="25" t="s">
        <v>238</v>
      </c>
      <c r="Q703" s="127" t="s">
        <v>231</v>
      </c>
      <c r="R703" s="232" t="s">
        <v>2875</v>
      </c>
      <c r="S703" s="89">
        <v>43669</v>
      </c>
      <c r="T703" s="36">
        <v>90</v>
      </c>
      <c r="U703" s="125" t="s">
        <v>2805</v>
      </c>
      <c r="V703" s="147" t="s">
        <v>2875</v>
      </c>
      <c r="W703" s="129"/>
      <c r="X703" s="88">
        <f>+BD703+T703</f>
        <v>43776</v>
      </c>
      <c r="Y703" s="130" t="s">
        <v>20</v>
      </c>
      <c r="Z703" s="133" t="s">
        <v>60</v>
      </c>
      <c r="AA703" s="133"/>
      <c r="AB703" s="148">
        <v>170.4</v>
      </c>
      <c r="AC703" s="134">
        <v>270</v>
      </c>
      <c r="AD703" s="134"/>
      <c r="AE703" s="403">
        <f t="shared" si="33"/>
        <v>46008</v>
      </c>
      <c r="AF703" s="132">
        <v>6</v>
      </c>
      <c r="AG703" s="130" t="s">
        <v>21</v>
      </c>
      <c r="AH703" s="130"/>
      <c r="AI703" s="130" t="s">
        <v>34</v>
      </c>
      <c r="AJ703" s="130"/>
      <c r="AK703" s="130"/>
      <c r="AL703" s="135" t="s">
        <v>2876</v>
      </c>
      <c r="AM703" s="314"/>
      <c r="AN703" s="26"/>
      <c r="AO703" s="26"/>
      <c r="AP703" s="26"/>
      <c r="AQ703" s="26">
        <v>43724</v>
      </c>
      <c r="AR703" s="24"/>
      <c r="AS703" s="24"/>
      <c r="AT703" s="24">
        <v>43727</v>
      </c>
      <c r="AU703" s="418">
        <f t="shared" si="34"/>
        <v>9</v>
      </c>
      <c r="AV703" s="418">
        <f t="shared" si="35"/>
        <v>2019</v>
      </c>
      <c r="AW703" s="24"/>
      <c r="AX703" s="28"/>
      <c r="AY703" s="28" t="s">
        <v>257</v>
      </c>
      <c r="AZ703" s="132" t="s">
        <v>9</v>
      </c>
      <c r="BA703" s="132"/>
      <c r="BB703" s="24"/>
      <c r="BC703" s="135" t="s">
        <v>2877</v>
      </c>
      <c r="BD703" s="24">
        <v>43686</v>
      </c>
      <c r="BE703" s="135" t="s">
        <v>2878</v>
      </c>
      <c r="BF703" s="135" t="s">
        <v>1251</v>
      </c>
      <c r="BG703" s="135" t="s">
        <v>174</v>
      </c>
      <c r="BH703" s="135"/>
      <c r="BI703" s="314"/>
      <c r="BJ703" s="314"/>
      <c r="BK703" s="24"/>
      <c r="BL703" s="24"/>
      <c r="BM703" s="24"/>
      <c r="BN703" s="24"/>
      <c r="BO703" s="24"/>
      <c r="BP703" s="24"/>
      <c r="BQ703" s="24"/>
      <c r="BR703" s="43"/>
      <c r="BS703" s="24"/>
      <c r="BT703" s="24"/>
      <c r="BU703" s="24"/>
      <c r="BV703" s="132" t="e">
        <f>IF(#REF!="COMPLETO","OK","PENDIENTES")</f>
        <v>#REF!</v>
      </c>
      <c r="BW703" s="132"/>
      <c r="BX703" s="132"/>
      <c r="BY703" s="132"/>
      <c r="BZ703" s="132"/>
      <c r="CA703" s="132"/>
      <c r="CB703" s="132"/>
      <c r="CC703" s="22"/>
      <c r="CG703" s="24" t="s">
        <v>105</v>
      </c>
      <c r="CH703" s="24"/>
      <c r="CI703" s="24"/>
      <c r="CJ703" s="24"/>
    </row>
    <row r="704" spans="1:88" ht="15" customHeight="1">
      <c r="A704" s="18">
        <v>2019</v>
      </c>
      <c r="B704" s="18" t="str">
        <f>+INDEX(BDD!F:F,MATCH(P704,BDD!D:D,0))&amp;"-"&amp;INDEX(BDD!E:E,MATCH(P704,BDD!D:D,0))</f>
        <v>S-S</v>
      </c>
      <c r="C704" s="125" t="s">
        <v>484</v>
      </c>
      <c r="D704" s="150" t="s">
        <v>77</v>
      </c>
      <c r="E704" s="132"/>
      <c r="F704" s="24"/>
      <c r="G704" s="346">
        <v>8000000594</v>
      </c>
      <c r="H704" s="125" t="s">
        <v>2879</v>
      </c>
      <c r="I704" s="329"/>
      <c r="J704" s="346">
        <v>8000000594</v>
      </c>
      <c r="K704" s="24"/>
      <c r="L704" s="24"/>
      <c r="M704" s="24"/>
      <c r="N704" s="340" t="s">
        <v>486</v>
      </c>
      <c r="O704" s="334">
        <v>206966</v>
      </c>
      <c r="P704" s="25" t="s">
        <v>152</v>
      </c>
      <c r="Q704" s="127" t="s">
        <v>213</v>
      </c>
      <c r="R704" s="232" t="s">
        <v>2880</v>
      </c>
      <c r="S704" s="89">
        <v>43675</v>
      </c>
      <c r="T704" s="36">
        <v>90</v>
      </c>
      <c r="U704" s="125" t="s">
        <v>2805</v>
      </c>
      <c r="V704" s="147" t="s">
        <v>2881</v>
      </c>
      <c r="W704" s="129"/>
      <c r="X704" s="88">
        <v>43853</v>
      </c>
      <c r="Y704" s="130" t="s">
        <v>20</v>
      </c>
      <c r="Z704" s="133" t="s">
        <v>72</v>
      </c>
      <c r="AA704" s="133"/>
      <c r="AB704" s="148">
        <v>449.625</v>
      </c>
      <c r="AC704" s="134">
        <v>670</v>
      </c>
      <c r="AD704" s="134"/>
      <c r="AE704" s="403">
        <f t="shared" si="33"/>
        <v>301248.75</v>
      </c>
      <c r="AF704" s="132">
        <v>19</v>
      </c>
      <c r="AG704" s="130" t="s">
        <v>21</v>
      </c>
      <c r="AH704" s="130"/>
      <c r="AI704" s="130" t="s">
        <v>34</v>
      </c>
      <c r="AJ704" s="130"/>
      <c r="AK704" s="130"/>
      <c r="AL704" s="135" t="s">
        <v>2882</v>
      </c>
      <c r="AM704" s="314"/>
      <c r="AN704" s="26"/>
      <c r="AO704" s="26"/>
      <c r="AP704" s="26"/>
      <c r="AQ704" s="26">
        <v>43798</v>
      </c>
      <c r="AR704" s="24"/>
      <c r="AS704" s="24"/>
      <c r="AT704" s="24">
        <v>43804</v>
      </c>
      <c r="AU704" s="418">
        <f t="shared" si="34"/>
        <v>12</v>
      </c>
      <c r="AV704" s="418">
        <f t="shared" si="35"/>
        <v>2019</v>
      </c>
      <c r="AW704" s="24"/>
      <c r="AX704" s="28"/>
      <c r="AY704" s="28" t="s">
        <v>230</v>
      </c>
      <c r="AZ704" s="132" t="s">
        <v>9</v>
      </c>
      <c r="BA704" s="132"/>
      <c r="BB704" s="24"/>
      <c r="BC704" s="135" t="s">
        <v>2883</v>
      </c>
      <c r="BD704" s="24">
        <v>43748</v>
      </c>
      <c r="BE704" s="135" t="s">
        <v>2884</v>
      </c>
      <c r="BF704" s="135" t="s">
        <v>994</v>
      </c>
      <c r="BG704" s="135" t="s">
        <v>41</v>
      </c>
      <c r="BH704" s="135"/>
      <c r="BI704" s="314"/>
      <c r="BJ704" s="314"/>
      <c r="BK704" s="24"/>
      <c r="BL704" s="24"/>
      <c r="BM704" s="24"/>
      <c r="BN704" s="24"/>
      <c r="BO704" s="24">
        <f>+AQ704+13</f>
        <v>43811</v>
      </c>
      <c r="BP704" s="24"/>
      <c r="BQ704" s="24"/>
      <c r="BR704" s="43"/>
      <c r="BS704" s="24"/>
      <c r="BT704" s="24"/>
      <c r="BU704" s="24"/>
      <c r="BV704" s="132" t="e">
        <f>IF(#REF!="COMPLETO","OK","PENDIENTES")</f>
        <v>#REF!</v>
      </c>
      <c r="BW704" s="132"/>
      <c r="BX704" s="132"/>
      <c r="BY704" s="132"/>
      <c r="BZ704" s="132"/>
      <c r="CA704" s="132"/>
      <c r="CB704" s="132"/>
      <c r="CC704" s="22"/>
      <c r="CG704" s="24" t="s">
        <v>105</v>
      </c>
      <c r="CH704" s="24"/>
      <c r="CI704" s="24"/>
      <c r="CJ704" s="24"/>
    </row>
    <row r="705" spans="1:88" ht="15" customHeight="1">
      <c r="A705" s="18">
        <v>2019</v>
      </c>
      <c r="B705" s="18" t="str">
        <f>+INDEX(BDD!F:F,MATCH(P705,BDD!D:D,0))&amp;"-"&amp;INDEX(BDD!E:E,MATCH(P705,BDD!D:D,0))</f>
        <v>S-S</v>
      </c>
      <c r="C705" s="125" t="s">
        <v>484</v>
      </c>
      <c r="D705" s="150" t="s">
        <v>77</v>
      </c>
      <c r="E705" s="132"/>
      <c r="F705" s="24"/>
      <c r="G705" s="346">
        <v>8000000593</v>
      </c>
      <c r="H705" s="125" t="s">
        <v>2885</v>
      </c>
      <c r="I705" s="329"/>
      <c r="J705" s="346">
        <v>8000000593</v>
      </c>
      <c r="K705" s="24"/>
      <c r="L705" s="24"/>
      <c r="M705" s="24"/>
      <c r="N705" s="340" t="s">
        <v>486</v>
      </c>
      <c r="O705" s="334">
        <v>206966</v>
      </c>
      <c r="P705" s="25" t="s">
        <v>152</v>
      </c>
      <c r="Q705" s="127" t="s">
        <v>213</v>
      </c>
      <c r="R705" s="232" t="s">
        <v>2886</v>
      </c>
      <c r="S705" s="89">
        <v>43675</v>
      </c>
      <c r="T705" s="36">
        <v>90</v>
      </c>
      <c r="U705" s="125" t="s">
        <v>2805</v>
      </c>
      <c r="V705" s="147" t="s">
        <v>2887</v>
      </c>
      <c r="W705" s="129"/>
      <c r="X705" s="88">
        <f>+BD705+T705</f>
        <v>43794</v>
      </c>
      <c r="Y705" s="130" t="s">
        <v>20</v>
      </c>
      <c r="Z705" s="133" t="s">
        <v>72</v>
      </c>
      <c r="AA705" s="133"/>
      <c r="AB705" s="148">
        <v>110</v>
      </c>
      <c r="AC705" s="134">
        <v>703</v>
      </c>
      <c r="AD705" s="134"/>
      <c r="AE705" s="403">
        <f t="shared" si="33"/>
        <v>77330</v>
      </c>
      <c r="AF705" s="132" t="s">
        <v>944</v>
      </c>
      <c r="AG705" s="130" t="s">
        <v>58</v>
      </c>
      <c r="AH705" s="130"/>
      <c r="AI705" s="130" t="s">
        <v>34</v>
      </c>
      <c r="AJ705" s="130"/>
      <c r="AK705" s="130"/>
      <c r="AL705" s="135" t="s">
        <v>2882</v>
      </c>
      <c r="AM705" s="314"/>
      <c r="AN705" s="26"/>
      <c r="AO705" s="26"/>
      <c r="AP705" s="26"/>
      <c r="AQ705" s="26">
        <v>43770</v>
      </c>
      <c r="AR705" s="24"/>
      <c r="AS705" s="24"/>
      <c r="AT705" s="24">
        <v>43773</v>
      </c>
      <c r="AU705" s="418">
        <f t="shared" si="34"/>
        <v>11</v>
      </c>
      <c r="AV705" s="418">
        <f t="shared" si="35"/>
        <v>2019</v>
      </c>
      <c r="AW705" s="24"/>
      <c r="AX705" s="28"/>
      <c r="AY705" s="28" t="s">
        <v>2889</v>
      </c>
      <c r="AZ705" s="132" t="s">
        <v>62</v>
      </c>
      <c r="BA705" s="132"/>
      <c r="BB705" s="24"/>
      <c r="BC705" s="135" t="s">
        <v>2888</v>
      </c>
      <c r="BD705" s="24">
        <v>43704</v>
      </c>
      <c r="BE705" s="135" t="s">
        <v>2890</v>
      </c>
      <c r="BF705" s="135" t="s">
        <v>2890</v>
      </c>
      <c r="BG705" s="135" t="s">
        <v>52</v>
      </c>
      <c r="BH705" s="135"/>
      <c r="BI705" s="314"/>
      <c r="BJ705" s="314"/>
      <c r="BK705" s="24"/>
      <c r="BL705" s="24"/>
      <c r="BM705" s="24"/>
      <c r="BN705" s="24"/>
      <c r="BO705" s="24" t="s">
        <v>944</v>
      </c>
      <c r="BP705" s="24"/>
      <c r="BQ705" s="24"/>
      <c r="BR705" s="43"/>
      <c r="BS705" s="24"/>
      <c r="BT705" s="24"/>
      <c r="BU705" s="24"/>
      <c r="BV705" s="132" t="e">
        <f>IF(#REF!="COMPLETO","OK","PENDIENTES")</f>
        <v>#REF!</v>
      </c>
      <c r="BW705" s="132"/>
      <c r="BX705" s="132"/>
      <c r="BY705" s="132"/>
      <c r="BZ705" s="132"/>
      <c r="CA705" s="132"/>
      <c r="CB705" s="132"/>
      <c r="CC705" s="22"/>
      <c r="CG705" s="24" t="s">
        <v>105</v>
      </c>
      <c r="CH705" s="24"/>
      <c r="CI705" s="24"/>
      <c r="CJ705" s="24"/>
    </row>
    <row r="706" spans="1:88" ht="15" customHeight="1">
      <c r="A706" s="18">
        <v>2019</v>
      </c>
      <c r="B706" s="18" t="str">
        <f>+INDEX(BDD!F:F,MATCH(P706,BDD!D:D,0))&amp;"-"&amp;INDEX(BDD!E:E,MATCH(P706,BDD!D:D,0))</f>
        <v>-</v>
      </c>
      <c r="C706" s="125" t="s">
        <v>484</v>
      </c>
      <c r="D706" s="150" t="s">
        <v>77</v>
      </c>
      <c r="E706" s="132"/>
      <c r="F706" s="24"/>
      <c r="G706" s="346">
        <v>8000000587</v>
      </c>
      <c r="H706" s="125" t="s">
        <v>2891</v>
      </c>
      <c r="I706" s="329"/>
      <c r="J706" s="346">
        <v>8000000587</v>
      </c>
      <c r="K706" s="24"/>
      <c r="L706" s="24"/>
      <c r="M706" s="24"/>
      <c r="N706" s="340" t="s">
        <v>486</v>
      </c>
      <c r="O706" s="334">
        <v>209856</v>
      </c>
      <c r="P706" s="25" t="s">
        <v>377</v>
      </c>
      <c r="Q706" s="127" t="s">
        <v>237</v>
      </c>
      <c r="R706" s="232" t="s">
        <v>2892</v>
      </c>
      <c r="S706" s="89">
        <v>43671</v>
      </c>
      <c r="T706" s="36">
        <v>90</v>
      </c>
      <c r="U706" s="125" t="s">
        <v>118</v>
      </c>
      <c r="V706" s="147" t="s">
        <v>2893</v>
      </c>
      <c r="W706" s="129"/>
      <c r="X706" s="88">
        <f>+BD706+T706</f>
        <v>43803</v>
      </c>
      <c r="Y706" s="130" t="s">
        <v>20</v>
      </c>
      <c r="Z706" s="133" t="s">
        <v>60</v>
      </c>
      <c r="AA706" s="133"/>
      <c r="AB706" s="148">
        <v>100</v>
      </c>
      <c r="AC706" s="134">
        <v>957</v>
      </c>
      <c r="AD706" s="134"/>
      <c r="AE706" s="403">
        <f t="shared" ref="AE706:AE769" si="36">AB706*AC706</f>
        <v>95700</v>
      </c>
      <c r="AF706" s="132">
        <v>5</v>
      </c>
      <c r="AG706" s="130" t="s">
        <v>5</v>
      </c>
      <c r="AH706" s="130"/>
      <c r="AI706" s="130" t="s">
        <v>34</v>
      </c>
      <c r="AJ706" s="130"/>
      <c r="AK706" s="130"/>
      <c r="AL706" s="135" t="s">
        <v>2811</v>
      </c>
      <c r="AM706" s="314"/>
      <c r="AN706" s="26"/>
      <c r="AO706" s="26"/>
      <c r="AP706" s="26"/>
      <c r="AQ706" s="26">
        <v>43755</v>
      </c>
      <c r="AR706" s="24"/>
      <c r="AS706" s="24"/>
      <c r="AT706" s="24">
        <v>43761</v>
      </c>
      <c r="AU706" s="418">
        <f t="shared" si="34"/>
        <v>10</v>
      </c>
      <c r="AV706" s="418">
        <f t="shared" si="35"/>
        <v>2019</v>
      </c>
      <c r="AW706" s="24"/>
      <c r="AX706" s="28"/>
      <c r="AY706" s="28" t="s">
        <v>302</v>
      </c>
      <c r="AZ706" s="132" t="s">
        <v>62</v>
      </c>
      <c r="BA706" s="132"/>
      <c r="BB706" s="24"/>
      <c r="BC706" s="135" t="s">
        <v>2894</v>
      </c>
      <c r="BD706" s="24">
        <v>43713</v>
      </c>
      <c r="BE706" s="135" t="s">
        <v>2895</v>
      </c>
      <c r="BF706" s="135" t="s">
        <v>1415</v>
      </c>
      <c r="BG706" s="135" t="s">
        <v>29</v>
      </c>
      <c r="BH706" s="135"/>
      <c r="BI706" s="314"/>
      <c r="BJ706" s="314"/>
      <c r="BK706" s="24"/>
      <c r="BL706" s="24"/>
      <c r="BM706" s="24"/>
      <c r="BN706" s="24"/>
      <c r="BO706" s="24">
        <f>+AQ706+22</f>
        <v>43777</v>
      </c>
      <c r="BP706" s="24"/>
      <c r="BQ706" s="24"/>
      <c r="BR706" s="43"/>
      <c r="BS706" s="24"/>
      <c r="BT706" s="24"/>
      <c r="BU706" s="24"/>
      <c r="BV706" s="132" t="e">
        <f>IF(#REF!="COMPLETO","OK","PENDIENTES")</f>
        <v>#REF!</v>
      </c>
      <c r="BW706" s="132"/>
      <c r="BX706" s="132"/>
      <c r="BY706" s="132"/>
      <c r="BZ706" s="132"/>
      <c r="CA706" s="132"/>
      <c r="CB706" s="132"/>
      <c r="CC706" s="22"/>
      <c r="CG706" s="24" t="s">
        <v>105</v>
      </c>
      <c r="CH706" s="24"/>
      <c r="CI706" s="24"/>
      <c r="CJ706" s="24"/>
    </row>
    <row r="707" spans="1:88" ht="15" customHeight="1">
      <c r="A707" s="18">
        <v>2019</v>
      </c>
      <c r="B707" s="18" t="str">
        <f>+INDEX(BDD!F:F,MATCH(P707,BDD!D:D,0))&amp;"-"&amp;INDEX(BDD!E:E,MATCH(P707,BDD!D:D,0))</f>
        <v>E-S</v>
      </c>
      <c r="C707" s="125" t="s">
        <v>484</v>
      </c>
      <c r="D707" s="150" t="s">
        <v>77</v>
      </c>
      <c r="E707" s="132"/>
      <c r="F707" s="24"/>
      <c r="G707" s="346">
        <v>8000000492</v>
      </c>
      <c r="H707" s="125" t="s">
        <v>2896</v>
      </c>
      <c r="I707" s="329"/>
      <c r="J707" s="346">
        <v>8000000492</v>
      </c>
      <c r="K707" s="24"/>
      <c r="L707" s="24"/>
      <c r="M707" s="24"/>
      <c r="N707" s="340" t="s">
        <v>486</v>
      </c>
      <c r="O707" s="334">
        <v>204826</v>
      </c>
      <c r="P707" s="25" t="s">
        <v>351</v>
      </c>
      <c r="Q707" s="127" t="s">
        <v>252</v>
      </c>
      <c r="R707" s="232" t="s">
        <v>2897</v>
      </c>
      <c r="S707" s="89">
        <v>43679</v>
      </c>
      <c r="T707" s="36" t="s">
        <v>19</v>
      </c>
      <c r="U707" s="125"/>
      <c r="V707" s="147" t="s">
        <v>2898</v>
      </c>
      <c r="W707" s="129"/>
      <c r="X707" s="88">
        <v>43728</v>
      </c>
      <c r="Y707" s="130" t="s">
        <v>20</v>
      </c>
      <c r="Z707" s="133" t="s">
        <v>60</v>
      </c>
      <c r="AA707" s="133"/>
      <c r="AB707" s="148">
        <v>374.4</v>
      </c>
      <c r="AC707" s="134">
        <v>340</v>
      </c>
      <c r="AD707" s="134"/>
      <c r="AE707" s="403">
        <f t="shared" si="36"/>
        <v>127295.99999999999</v>
      </c>
      <c r="AF707" s="132">
        <v>13</v>
      </c>
      <c r="AG707" s="130" t="s">
        <v>21</v>
      </c>
      <c r="AH707" s="130"/>
      <c r="AI707" s="130" t="s">
        <v>71</v>
      </c>
      <c r="AJ707" s="130"/>
      <c r="AK707" s="130"/>
      <c r="AL707" s="135" t="s">
        <v>2899</v>
      </c>
      <c r="AM707" s="314"/>
      <c r="AN707" s="26"/>
      <c r="AO707" s="26"/>
      <c r="AP707" s="26"/>
      <c r="AQ707" s="26">
        <v>43749</v>
      </c>
      <c r="AR707" s="24"/>
      <c r="AS707" s="24"/>
      <c r="AT707" s="24">
        <v>43753</v>
      </c>
      <c r="AU707" s="418">
        <f t="shared" ref="AU707:AU770" si="37">MONTH(AT707)</f>
        <v>10</v>
      </c>
      <c r="AV707" s="418">
        <f t="shared" ref="AV707:AV770" si="38">YEAR(AT707)</f>
        <v>2019</v>
      </c>
      <c r="AW707" s="24"/>
      <c r="AX707" s="28"/>
      <c r="AY707" s="28" t="s">
        <v>281</v>
      </c>
      <c r="AZ707" s="132" t="s">
        <v>37</v>
      </c>
      <c r="BA707" s="132"/>
      <c r="BB707" s="24"/>
      <c r="BC707" s="135" t="s">
        <v>2900</v>
      </c>
      <c r="BD707" s="24">
        <v>43715</v>
      </c>
      <c r="BE707" s="135" t="s">
        <v>2901</v>
      </c>
      <c r="BF707" s="135" t="s">
        <v>870</v>
      </c>
      <c r="BG707" s="135" t="s">
        <v>64</v>
      </c>
      <c r="BH707" s="135"/>
      <c r="BI707" s="314"/>
      <c r="BJ707" s="314"/>
      <c r="BK707" s="24"/>
      <c r="BL707" s="24"/>
      <c r="BM707" s="24"/>
      <c r="BN707" s="24"/>
      <c r="BO707" s="24"/>
      <c r="BP707" s="24"/>
      <c r="BQ707" s="24"/>
      <c r="BR707" s="43"/>
      <c r="BS707" s="24"/>
      <c r="BT707" s="24"/>
      <c r="BU707" s="24"/>
      <c r="BV707" s="132" t="e">
        <f>IF(#REF!="COMPLETO","OK","PENDIENTES")</f>
        <v>#REF!</v>
      </c>
      <c r="BW707" s="132"/>
      <c r="BX707" s="132"/>
      <c r="BY707" s="132"/>
      <c r="BZ707" s="132"/>
      <c r="CA707" s="132"/>
      <c r="CB707" s="132"/>
      <c r="CC707" s="22"/>
      <c r="CG707" s="24" t="s">
        <v>105</v>
      </c>
      <c r="CH707" s="24"/>
      <c r="CI707" s="24"/>
      <c r="CJ707" s="24"/>
    </row>
    <row r="708" spans="1:88" ht="15" customHeight="1">
      <c r="A708" s="18">
        <v>2019</v>
      </c>
      <c r="B708" s="18" t="str">
        <f>+INDEX(BDD!F:F,MATCH(P708,BDD!D:D,0))&amp;"-"&amp;INDEX(BDD!E:E,MATCH(P708,BDD!D:D,0))</f>
        <v>S-S</v>
      </c>
      <c r="C708" s="125" t="s">
        <v>484</v>
      </c>
      <c r="D708" s="150" t="s">
        <v>77</v>
      </c>
      <c r="E708" s="132" t="s">
        <v>51</v>
      </c>
      <c r="F708" s="24"/>
      <c r="G708" s="346">
        <v>8000000591</v>
      </c>
      <c r="H708" s="125" t="s">
        <v>2902</v>
      </c>
      <c r="I708" s="329"/>
      <c r="J708" s="346">
        <v>8000000591</v>
      </c>
      <c r="K708" s="24"/>
      <c r="L708" s="24"/>
      <c r="M708" s="24"/>
      <c r="N708" s="340" t="s">
        <v>486</v>
      </c>
      <c r="O708" s="334">
        <v>207579</v>
      </c>
      <c r="P708" s="25" t="s">
        <v>238</v>
      </c>
      <c r="Q708" s="127" t="s">
        <v>133</v>
      </c>
      <c r="R708" s="232" t="s">
        <v>2903</v>
      </c>
      <c r="S708" s="89">
        <v>43678</v>
      </c>
      <c r="T708" s="36">
        <v>90</v>
      </c>
      <c r="U708" s="125" t="s">
        <v>118</v>
      </c>
      <c r="V708" s="147" t="s">
        <v>2904</v>
      </c>
      <c r="W708" s="129"/>
      <c r="X708" s="88">
        <v>43812</v>
      </c>
      <c r="Y708" s="130" t="s">
        <v>20</v>
      </c>
      <c r="Z708" s="133" t="s">
        <v>60</v>
      </c>
      <c r="AA708" s="133"/>
      <c r="AB708" s="148">
        <v>300</v>
      </c>
      <c r="AC708" s="134">
        <v>269</v>
      </c>
      <c r="AD708" s="134"/>
      <c r="AE708" s="403">
        <f t="shared" si="36"/>
        <v>80700</v>
      </c>
      <c r="AF708" s="132"/>
      <c r="AG708" s="130" t="s">
        <v>58</v>
      </c>
      <c r="AH708" s="130"/>
      <c r="AI708" s="130" t="s">
        <v>34</v>
      </c>
      <c r="AJ708" s="130"/>
      <c r="AK708" s="130"/>
      <c r="AL708" s="135" t="s">
        <v>2882</v>
      </c>
      <c r="AM708" s="314"/>
      <c r="AN708" s="26"/>
      <c r="AO708" s="26"/>
      <c r="AP708" s="26"/>
      <c r="AQ708" s="26">
        <v>43757</v>
      </c>
      <c r="AR708" s="24"/>
      <c r="AS708" s="24"/>
      <c r="AT708" s="24">
        <v>43766</v>
      </c>
      <c r="AU708" s="418">
        <f t="shared" si="37"/>
        <v>10</v>
      </c>
      <c r="AV708" s="418">
        <f t="shared" si="38"/>
        <v>2019</v>
      </c>
      <c r="AW708" s="24"/>
      <c r="AX708" s="28"/>
      <c r="AY708" s="28" t="s">
        <v>290</v>
      </c>
      <c r="AZ708" s="132" t="s">
        <v>37</v>
      </c>
      <c r="BA708" s="132"/>
      <c r="BB708" s="24"/>
      <c r="BC708" s="135" t="s">
        <v>2905</v>
      </c>
      <c r="BD708" s="24">
        <v>43723</v>
      </c>
      <c r="BE708" s="135" t="s">
        <v>2890</v>
      </c>
      <c r="BF708" s="135" t="s">
        <v>2890</v>
      </c>
      <c r="BG708" s="135" t="s">
        <v>52</v>
      </c>
      <c r="BH708" s="135"/>
      <c r="BI708" s="314"/>
      <c r="BJ708" s="314"/>
      <c r="BK708" s="24"/>
      <c r="BL708" s="24"/>
      <c r="BM708" s="24"/>
      <c r="BN708" s="24"/>
      <c r="BO708" s="24"/>
      <c r="BP708" s="24"/>
      <c r="BQ708" s="24"/>
      <c r="BR708" s="43"/>
      <c r="BS708" s="24"/>
      <c r="BT708" s="24"/>
      <c r="BU708" s="24"/>
      <c r="BV708" s="132" t="e">
        <f>IF(#REF!="COMPLETO","OK","PENDIENTES")</f>
        <v>#REF!</v>
      </c>
      <c r="BW708" s="132"/>
      <c r="BX708" s="132"/>
      <c r="BY708" s="132"/>
      <c r="BZ708" s="132"/>
      <c r="CA708" s="132"/>
      <c r="CB708" s="132"/>
      <c r="CC708" s="22"/>
      <c r="CG708" s="24" t="s">
        <v>105</v>
      </c>
      <c r="CH708" s="24"/>
      <c r="CI708" s="24"/>
      <c r="CJ708" s="24"/>
    </row>
    <row r="709" spans="1:88" ht="15" customHeight="1">
      <c r="A709" s="18">
        <v>2019</v>
      </c>
      <c r="B709" s="18" t="str">
        <f>+INDEX(BDD!F:F,MATCH(P709,BDD!D:D,0))&amp;"-"&amp;INDEX(BDD!E:E,MATCH(P709,BDD!D:D,0))</f>
        <v>S-S</v>
      </c>
      <c r="C709" s="125" t="s">
        <v>484</v>
      </c>
      <c r="D709" s="150" t="s">
        <v>77</v>
      </c>
      <c r="E709" s="132"/>
      <c r="F709" s="24"/>
      <c r="G709" s="346">
        <v>8000000588</v>
      </c>
      <c r="H709" s="125" t="s">
        <v>2906</v>
      </c>
      <c r="I709" s="329"/>
      <c r="J709" s="346">
        <v>8000000588</v>
      </c>
      <c r="K709" s="24"/>
      <c r="L709" s="24"/>
      <c r="M709" s="24"/>
      <c r="N709" s="340" t="s">
        <v>486</v>
      </c>
      <c r="O709" s="334">
        <v>207578</v>
      </c>
      <c r="P709" s="25" t="s">
        <v>316</v>
      </c>
      <c r="Q709" s="127" t="s">
        <v>213</v>
      </c>
      <c r="R709" s="232" t="s">
        <v>2907</v>
      </c>
      <c r="S709" s="89">
        <v>43690</v>
      </c>
      <c r="T709" s="36">
        <v>90</v>
      </c>
      <c r="U709" s="125" t="s">
        <v>118</v>
      </c>
      <c r="V709" s="147" t="s">
        <v>2908</v>
      </c>
      <c r="W709" s="129"/>
      <c r="X709" s="88">
        <v>43815</v>
      </c>
      <c r="Y709" s="130" t="s">
        <v>20</v>
      </c>
      <c r="Z709" s="133" t="s">
        <v>60</v>
      </c>
      <c r="AA709" s="133"/>
      <c r="AB709" s="148">
        <v>930</v>
      </c>
      <c r="AC709" s="134">
        <v>244.5</v>
      </c>
      <c r="AD709" s="134"/>
      <c r="AE709" s="403">
        <f t="shared" si="36"/>
        <v>227385</v>
      </c>
      <c r="AF709" s="132" t="s">
        <v>944</v>
      </c>
      <c r="AG709" s="130" t="s">
        <v>58</v>
      </c>
      <c r="AH709" s="130"/>
      <c r="AI709" s="130" t="s">
        <v>34</v>
      </c>
      <c r="AJ709" s="130"/>
      <c r="AK709" s="130"/>
      <c r="AL709" s="135" t="s">
        <v>2882</v>
      </c>
      <c r="AM709" s="314"/>
      <c r="AN709" s="26"/>
      <c r="AO709" s="26"/>
      <c r="AP709" s="26"/>
      <c r="AQ709" s="26">
        <v>43757</v>
      </c>
      <c r="AR709" s="24"/>
      <c r="AS709" s="24"/>
      <c r="AT709" s="24">
        <v>43763</v>
      </c>
      <c r="AU709" s="418">
        <f t="shared" si="37"/>
        <v>10</v>
      </c>
      <c r="AV709" s="418">
        <f t="shared" si="38"/>
        <v>2019</v>
      </c>
      <c r="AW709" s="24"/>
      <c r="AX709" s="28"/>
      <c r="AY709" s="28" t="s">
        <v>311</v>
      </c>
      <c r="AZ709" s="132" t="s">
        <v>37</v>
      </c>
      <c r="BA709" s="132"/>
      <c r="BB709" s="24"/>
      <c r="BC709" s="135" t="s">
        <v>2909</v>
      </c>
      <c r="BD709" s="24">
        <v>43724</v>
      </c>
      <c r="BE709" s="135" t="s">
        <v>2890</v>
      </c>
      <c r="BF709" s="135" t="s">
        <v>2890</v>
      </c>
      <c r="BG709" s="135" t="s">
        <v>52</v>
      </c>
      <c r="BH709" s="135"/>
      <c r="BI709" s="314"/>
      <c r="BJ709" s="314"/>
      <c r="BK709" s="24"/>
      <c r="BL709" s="24"/>
      <c r="BM709" s="24"/>
      <c r="BN709" s="24"/>
      <c r="BO709" s="24" t="s">
        <v>944</v>
      </c>
      <c r="BP709" s="24"/>
      <c r="BQ709" s="24"/>
      <c r="BR709" s="43"/>
      <c r="BS709" s="24"/>
      <c r="BT709" s="24"/>
      <c r="BU709" s="24"/>
      <c r="BV709" s="132" t="e">
        <f>IF(#REF!="COMPLETO","OK","PENDIENTES")</f>
        <v>#REF!</v>
      </c>
      <c r="BW709" s="132"/>
      <c r="BX709" s="132"/>
      <c r="BY709" s="132"/>
      <c r="BZ709" s="132"/>
      <c r="CA709" s="132"/>
      <c r="CB709" s="132"/>
      <c r="CC709" s="22"/>
      <c r="CG709" s="24" t="s">
        <v>105</v>
      </c>
      <c r="CH709" s="24"/>
      <c r="CI709" s="24"/>
      <c r="CJ709" s="24"/>
    </row>
    <row r="710" spans="1:88" ht="15" customHeight="1">
      <c r="A710" s="18">
        <v>2019</v>
      </c>
      <c r="B710" s="18" t="str">
        <f>+INDEX(BDD!F:F,MATCH(P710,BDD!D:D,0))&amp;"-"&amp;INDEX(BDD!E:E,MATCH(P710,BDD!D:D,0))</f>
        <v>S-S</v>
      </c>
      <c r="C710" s="125" t="s">
        <v>484</v>
      </c>
      <c r="D710" s="150" t="s">
        <v>77</v>
      </c>
      <c r="E710" s="132"/>
      <c r="F710" s="24"/>
      <c r="G710" s="346">
        <v>8000000589</v>
      </c>
      <c r="H710" s="125" t="s">
        <v>2910</v>
      </c>
      <c r="I710" s="329"/>
      <c r="J710" s="346">
        <v>8000000589</v>
      </c>
      <c r="K710" s="24"/>
      <c r="L710" s="24"/>
      <c r="M710" s="24"/>
      <c r="N710" s="340" t="s">
        <v>486</v>
      </c>
      <c r="O710" s="334">
        <v>207578</v>
      </c>
      <c r="P710" s="25" t="s">
        <v>316</v>
      </c>
      <c r="Q710" s="127" t="s">
        <v>213</v>
      </c>
      <c r="R710" s="232" t="s">
        <v>2907</v>
      </c>
      <c r="S710" s="89">
        <v>43690</v>
      </c>
      <c r="T710" s="36">
        <v>90</v>
      </c>
      <c r="U710" s="125" t="s">
        <v>118</v>
      </c>
      <c r="V710" s="147" t="s">
        <v>2911</v>
      </c>
      <c r="W710" s="129"/>
      <c r="X710" s="88">
        <v>43815</v>
      </c>
      <c r="Y710" s="130" t="s">
        <v>20</v>
      </c>
      <c r="Z710" s="133" t="s">
        <v>60</v>
      </c>
      <c r="AA710" s="133"/>
      <c r="AB710" s="148">
        <v>600</v>
      </c>
      <c r="AC710" s="134">
        <v>244.5</v>
      </c>
      <c r="AD710" s="134"/>
      <c r="AE710" s="403">
        <f t="shared" si="36"/>
        <v>146700</v>
      </c>
      <c r="AF710" s="132" t="s">
        <v>944</v>
      </c>
      <c r="AG710" s="130" t="s">
        <v>58</v>
      </c>
      <c r="AH710" s="130"/>
      <c r="AI710" s="130" t="s">
        <v>34</v>
      </c>
      <c r="AJ710" s="130"/>
      <c r="AK710" s="130"/>
      <c r="AL710" s="135" t="s">
        <v>2882</v>
      </c>
      <c r="AM710" s="314"/>
      <c r="AN710" s="26"/>
      <c r="AO710" s="26"/>
      <c r="AP710" s="26"/>
      <c r="AQ710" s="26">
        <v>43757</v>
      </c>
      <c r="AR710" s="24"/>
      <c r="AS710" s="24"/>
      <c r="AT710" s="24">
        <v>43763</v>
      </c>
      <c r="AU710" s="418">
        <f t="shared" si="37"/>
        <v>10</v>
      </c>
      <c r="AV710" s="418">
        <f t="shared" si="38"/>
        <v>2019</v>
      </c>
      <c r="AW710" s="24"/>
      <c r="AX710" s="28"/>
      <c r="AY710" s="28" t="s">
        <v>311</v>
      </c>
      <c r="AZ710" s="132" t="s">
        <v>37</v>
      </c>
      <c r="BA710" s="132"/>
      <c r="BB710" s="24"/>
      <c r="BC710" s="135" t="s">
        <v>2912</v>
      </c>
      <c r="BD710" s="24">
        <v>43724</v>
      </c>
      <c r="BE710" s="135" t="s">
        <v>2890</v>
      </c>
      <c r="BF710" s="135" t="s">
        <v>2890</v>
      </c>
      <c r="BG710" s="135" t="s">
        <v>52</v>
      </c>
      <c r="BH710" s="135"/>
      <c r="BI710" s="314"/>
      <c r="BJ710" s="314"/>
      <c r="BK710" s="24"/>
      <c r="BL710" s="24"/>
      <c r="BM710" s="24"/>
      <c r="BN710" s="24"/>
      <c r="BO710" s="24" t="s">
        <v>944</v>
      </c>
      <c r="BP710" s="24"/>
      <c r="BQ710" s="24"/>
      <c r="BR710" s="43"/>
      <c r="BS710" s="24"/>
      <c r="BT710" s="24"/>
      <c r="BU710" s="24"/>
      <c r="BV710" s="132" t="e">
        <f>IF(#REF!="COMPLETO","OK","PENDIENTES")</f>
        <v>#REF!</v>
      </c>
      <c r="BW710" s="132"/>
      <c r="BX710" s="132"/>
      <c r="BY710" s="132"/>
      <c r="BZ710" s="132"/>
      <c r="CA710" s="132"/>
      <c r="CB710" s="132"/>
      <c r="CC710" s="22"/>
      <c r="CG710" s="24" t="s">
        <v>105</v>
      </c>
      <c r="CH710" s="24"/>
      <c r="CI710" s="24"/>
      <c r="CJ710" s="24"/>
    </row>
    <row r="711" spans="1:88" ht="15" customHeight="1">
      <c r="A711" s="18">
        <v>2019</v>
      </c>
      <c r="B711" s="18" t="str">
        <f>+INDEX(BDD!F:F,MATCH(P711,BDD!D:D,0))&amp;"-"&amp;INDEX(BDD!E:E,MATCH(P711,BDD!D:D,0))</f>
        <v>S-S</v>
      </c>
      <c r="C711" s="125" t="s">
        <v>484</v>
      </c>
      <c r="D711" s="150" t="s">
        <v>77</v>
      </c>
      <c r="E711" s="132"/>
      <c r="F711" s="24"/>
      <c r="G711" s="346">
        <v>8000000590</v>
      </c>
      <c r="H711" s="125" t="s">
        <v>2913</v>
      </c>
      <c r="I711" s="329"/>
      <c r="J711" s="346">
        <v>8000000590</v>
      </c>
      <c r="K711" s="24"/>
      <c r="L711" s="24"/>
      <c r="M711" s="24"/>
      <c r="N711" s="340" t="s">
        <v>486</v>
      </c>
      <c r="O711" s="334">
        <v>207578</v>
      </c>
      <c r="P711" s="25" t="s">
        <v>316</v>
      </c>
      <c r="Q711" s="127" t="s">
        <v>213</v>
      </c>
      <c r="R711" s="232" t="s">
        <v>2914</v>
      </c>
      <c r="S711" s="89">
        <v>43690</v>
      </c>
      <c r="T711" s="36">
        <v>90</v>
      </c>
      <c r="U711" s="125" t="s">
        <v>118</v>
      </c>
      <c r="V711" s="147" t="s">
        <v>2915</v>
      </c>
      <c r="W711" s="129"/>
      <c r="X711" s="88">
        <f>+BD711+T711</f>
        <v>43798</v>
      </c>
      <c r="Y711" s="130" t="s">
        <v>20</v>
      </c>
      <c r="Z711" s="133" t="s">
        <v>72</v>
      </c>
      <c r="AA711" s="133"/>
      <c r="AB711" s="148">
        <v>896</v>
      </c>
      <c r="AC711" s="134">
        <v>244</v>
      </c>
      <c r="AD711" s="134"/>
      <c r="AE711" s="403">
        <f t="shared" si="36"/>
        <v>218624</v>
      </c>
      <c r="AF711" s="132">
        <v>32</v>
      </c>
      <c r="AG711" s="130" t="s">
        <v>21</v>
      </c>
      <c r="AH711" s="130"/>
      <c r="AI711" s="130" t="s">
        <v>34</v>
      </c>
      <c r="AJ711" s="130"/>
      <c r="AK711" s="130"/>
      <c r="AL711" s="135" t="s">
        <v>2811</v>
      </c>
      <c r="AM711" s="314"/>
      <c r="AN711" s="26"/>
      <c r="AO711" s="26"/>
      <c r="AP711" s="26"/>
      <c r="AQ711" s="26">
        <v>43760</v>
      </c>
      <c r="AR711" s="24"/>
      <c r="AS711" s="24"/>
      <c r="AT711" s="24">
        <v>43766</v>
      </c>
      <c r="AU711" s="418">
        <f t="shared" si="37"/>
        <v>10</v>
      </c>
      <c r="AV711" s="418">
        <f t="shared" si="38"/>
        <v>2019</v>
      </c>
      <c r="AW711" s="24"/>
      <c r="AX711" s="28"/>
      <c r="AY711" s="28" t="s">
        <v>311</v>
      </c>
      <c r="AZ711" s="132" t="s">
        <v>9</v>
      </c>
      <c r="BA711" s="132"/>
      <c r="BB711" s="24"/>
      <c r="BC711" s="135" t="s">
        <v>2916</v>
      </c>
      <c r="BD711" s="24">
        <v>43708</v>
      </c>
      <c r="BE711" s="135" t="s">
        <v>2917</v>
      </c>
      <c r="BF711" s="135" t="s">
        <v>2214</v>
      </c>
      <c r="BG711" s="135" t="s">
        <v>174</v>
      </c>
      <c r="BH711" s="135"/>
      <c r="BI711" s="314"/>
      <c r="BJ711" s="314"/>
      <c r="BK711" s="24"/>
      <c r="BL711" s="24"/>
      <c r="BM711" s="24"/>
      <c r="BN711" s="24"/>
      <c r="BO711" s="24">
        <f>+AQ711+14</f>
        <v>43774</v>
      </c>
      <c r="BP711" s="24"/>
      <c r="BQ711" s="24"/>
      <c r="BR711" s="43"/>
      <c r="BS711" s="24"/>
      <c r="BT711" s="24"/>
      <c r="BU711" s="24"/>
      <c r="BV711" s="132" t="e">
        <f>IF(#REF!="COMPLETO","OK","PENDIENTES")</f>
        <v>#REF!</v>
      </c>
      <c r="BW711" s="132"/>
      <c r="BX711" s="132"/>
      <c r="BY711" s="132"/>
      <c r="BZ711" s="132"/>
      <c r="CA711" s="132"/>
      <c r="CB711" s="132"/>
      <c r="CC711" s="22"/>
      <c r="CG711" s="24" t="s">
        <v>105</v>
      </c>
      <c r="CH711" s="24"/>
      <c r="CI711" s="24"/>
      <c r="CJ711" s="24"/>
    </row>
    <row r="712" spans="1:88" ht="15" customHeight="1">
      <c r="A712" s="18">
        <v>2019</v>
      </c>
      <c r="B712" s="18" t="str">
        <f>+INDEX(BDD!F:F,MATCH(P712,BDD!D:D,0))&amp;"-"&amp;INDEX(BDD!E:E,MATCH(P712,BDD!D:D,0))</f>
        <v>S-S</v>
      </c>
      <c r="C712" s="125" t="s">
        <v>484</v>
      </c>
      <c r="D712" s="150" t="s">
        <v>77</v>
      </c>
      <c r="E712" s="132"/>
      <c r="F712" s="24"/>
      <c r="G712" s="346">
        <v>8000000604</v>
      </c>
      <c r="H712" s="125" t="s">
        <v>2918</v>
      </c>
      <c r="I712" s="329"/>
      <c r="J712" s="346">
        <v>8000000604</v>
      </c>
      <c r="K712" s="24"/>
      <c r="L712" s="24"/>
      <c r="M712" s="24"/>
      <c r="N712" s="340" t="s">
        <v>486</v>
      </c>
      <c r="O712" s="334">
        <v>207578</v>
      </c>
      <c r="P712" s="25" t="s">
        <v>316</v>
      </c>
      <c r="Q712" s="127" t="s">
        <v>213</v>
      </c>
      <c r="R712" s="232" t="s">
        <v>2914</v>
      </c>
      <c r="S712" s="89">
        <v>43690</v>
      </c>
      <c r="T712" s="36">
        <v>90</v>
      </c>
      <c r="U712" s="125" t="s">
        <v>118</v>
      </c>
      <c r="V712" s="147" t="s">
        <v>2919</v>
      </c>
      <c r="W712" s="129"/>
      <c r="X712" s="88">
        <v>43815</v>
      </c>
      <c r="Y712" s="130" t="s">
        <v>20</v>
      </c>
      <c r="Z712" s="133" t="s">
        <v>72</v>
      </c>
      <c r="AA712" s="133"/>
      <c r="AB712" s="148">
        <v>700</v>
      </c>
      <c r="AC712" s="134">
        <v>244</v>
      </c>
      <c r="AD712" s="134"/>
      <c r="AE712" s="403">
        <f t="shared" si="36"/>
        <v>170800</v>
      </c>
      <c r="AF712" s="132">
        <v>28</v>
      </c>
      <c r="AG712" s="130" t="s">
        <v>21</v>
      </c>
      <c r="AH712" s="130"/>
      <c r="AI712" s="130" t="s">
        <v>34</v>
      </c>
      <c r="AJ712" s="130"/>
      <c r="AK712" s="130"/>
      <c r="AL712" s="135" t="s">
        <v>2811</v>
      </c>
      <c r="AM712" s="314"/>
      <c r="AN712" s="26"/>
      <c r="AO712" s="26"/>
      <c r="AP712" s="26"/>
      <c r="AQ712" s="26">
        <v>43788</v>
      </c>
      <c r="AR712" s="24"/>
      <c r="AS712" s="24"/>
      <c r="AT712" s="24">
        <v>43795</v>
      </c>
      <c r="AU712" s="418">
        <f t="shared" si="37"/>
        <v>11</v>
      </c>
      <c r="AV712" s="418">
        <f t="shared" si="38"/>
        <v>2019</v>
      </c>
      <c r="AW712" s="24"/>
      <c r="AX712" s="28"/>
      <c r="AY712" s="28" t="s">
        <v>311</v>
      </c>
      <c r="AZ712" s="132" t="s">
        <v>9</v>
      </c>
      <c r="BA712" s="132"/>
      <c r="BB712" s="24"/>
      <c r="BC712" s="135" t="s">
        <v>2920</v>
      </c>
      <c r="BD712" s="24">
        <v>43723</v>
      </c>
      <c r="BE712" s="135" t="s">
        <v>2921</v>
      </c>
      <c r="BF712" s="135" t="s">
        <v>2214</v>
      </c>
      <c r="BG712" s="135" t="s">
        <v>174</v>
      </c>
      <c r="BH712" s="135"/>
      <c r="BI712" s="314"/>
      <c r="BJ712" s="314"/>
      <c r="BK712" s="24"/>
      <c r="BL712" s="24"/>
      <c r="BM712" s="24"/>
      <c r="BN712" s="24"/>
      <c r="BO712" s="24">
        <f>+AQ712+14</f>
        <v>43802</v>
      </c>
      <c r="BP712" s="24"/>
      <c r="BQ712" s="24"/>
      <c r="BR712" s="43"/>
      <c r="BS712" s="24"/>
      <c r="BT712" s="24"/>
      <c r="BU712" s="24"/>
      <c r="BV712" s="132" t="e">
        <f>IF(#REF!="COMPLETO","OK","PENDIENTES")</f>
        <v>#REF!</v>
      </c>
      <c r="BW712" s="132"/>
      <c r="BX712" s="132"/>
      <c r="BY712" s="132"/>
      <c r="BZ712" s="132"/>
      <c r="CA712" s="132"/>
      <c r="CB712" s="132"/>
      <c r="CC712" s="22"/>
      <c r="CG712" s="24" t="s">
        <v>105</v>
      </c>
      <c r="CH712" s="24"/>
      <c r="CI712" s="24"/>
      <c r="CJ712" s="24"/>
    </row>
    <row r="713" spans="1:88" ht="15" customHeight="1">
      <c r="A713" s="18">
        <v>2019</v>
      </c>
      <c r="B713" s="18" t="str">
        <f>+INDEX(BDD!F:F,MATCH(P713,BDD!D:D,0))&amp;"-"&amp;INDEX(BDD!E:E,MATCH(P713,BDD!D:D,0))</f>
        <v>E-S</v>
      </c>
      <c r="C713" s="125" t="s">
        <v>484</v>
      </c>
      <c r="D713" s="150" t="s">
        <v>77</v>
      </c>
      <c r="E713" s="132"/>
      <c r="F713" s="24"/>
      <c r="G713" s="346">
        <v>8000000572</v>
      </c>
      <c r="H713" s="125" t="s">
        <v>2922</v>
      </c>
      <c r="I713" s="329"/>
      <c r="J713" s="346">
        <v>8000000572</v>
      </c>
      <c r="K713" s="24"/>
      <c r="L713" s="24"/>
      <c r="M713" s="24"/>
      <c r="N713" s="340" t="s">
        <v>486</v>
      </c>
      <c r="O713" s="334">
        <v>206613</v>
      </c>
      <c r="P713" s="25" t="s">
        <v>304</v>
      </c>
      <c r="Q713" s="127" t="s">
        <v>183</v>
      </c>
      <c r="R713" s="232" t="s">
        <v>2923</v>
      </c>
      <c r="S713" s="89">
        <v>43688</v>
      </c>
      <c r="T713" s="36">
        <v>90</v>
      </c>
      <c r="U713" s="125" t="s">
        <v>118</v>
      </c>
      <c r="V713" s="147" t="s">
        <v>2924</v>
      </c>
      <c r="W713" s="129"/>
      <c r="X713" s="88">
        <f>+BD713+T713</f>
        <v>43804</v>
      </c>
      <c r="Y713" s="130" t="s">
        <v>20</v>
      </c>
      <c r="Z713" s="133" t="s">
        <v>60</v>
      </c>
      <c r="AA713" s="133"/>
      <c r="AB713" s="148">
        <v>194.96</v>
      </c>
      <c r="AC713" s="134">
        <v>275</v>
      </c>
      <c r="AD713" s="134"/>
      <c r="AE713" s="403">
        <f t="shared" si="36"/>
        <v>53614</v>
      </c>
      <c r="AF713" s="132">
        <v>7</v>
      </c>
      <c r="AG713" s="130" t="s">
        <v>5</v>
      </c>
      <c r="AH713" s="130"/>
      <c r="AI713" s="130" t="s">
        <v>100</v>
      </c>
      <c r="AJ713" s="130"/>
      <c r="AK713" s="130"/>
      <c r="AL713" s="135" t="s">
        <v>2882</v>
      </c>
      <c r="AM713" s="314"/>
      <c r="AN713" s="26"/>
      <c r="AO713" s="26"/>
      <c r="AP713" s="26"/>
      <c r="AQ713" s="26">
        <v>43739</v>
      </c>
      <c r="AR713" s="24"/>
      <c r="AS713" s="24"/>
      <c r="AT713" s="24">
        <v>43743</v>
      </c>
      <c r="AU713" s="418">
        <f t="shared" si="37"/>
        <v>10</v>
      </c>
      <c r="AV713" s="418">
        <f t="shared" si="38"/>
        <v>2019</v>
      </c>
      <c r="AW713" s="24"/>
      <c r="AX713" s="28"/>
      <c r="AY713" s="28" t="s">
        <v>8</v>
      </c>
      <c r="AZ713" s="132" t="s">
        <v>37</v>
      </c>
      <c r="BA713" s="132"/>
      <c r="BB713" s="24"/>
      <c r="BC713" s="135" t="s">
        <v>2925</v>
      </c>
      <c r="BD713" s="24">
        <v>43714</v>
      </c>
      <c r="BE713" s="135" t="s">
        <v>2926</v>
      </c>
      <c r="BF713" s="135" t="s">
        <v>2926</v>
      </c>
      <c r="BG713" s="135" t="s">
        <v>41</v>
      </c>
      <c r="BH713" s="135"/>
      <c r="BI713" s="314"/>
      <c r="BJ713" s="314"/>
      <c r="BK713" s="24"/>
      <c r="BL713" s="24"/>
      <c r="BM713" s="24"/>
      <c r="BN713" s="24"/>
      <c r="BO713" s="24"/>
      <c r="BP713" s="24"/>
      <c r="BQ713" s="24"/>
      <c r="BR713" s="43"/>
      <c r="BS713" s="24"/>
      <c r="BT713" s="24"/>
      <c r="BU713" s="24"/>
      <c r="BV713" s="132" t="e">
        <f>IF(#REF!="COMPLETO","OK","PENDIENTES")</f>
        <v>#REF!</v>
      </c>
      <c r="BW713" s="132"/>
      <c r="BX713" s="132"/>
      <c r="BY713" s="132"/>
      <c r="BZ713" s="132"/>
      <c r="CA713" s="132"/>
      <c r="CB713" s="132"/>
      <c r="CC713" s="22"/>
      <c r="CG713" s="24" t="s">
        <v>105</v>
      </c>
      <c r="CH713" s="24"/>
      <c r="CI713" s="24"/>
      <c r="CJ713" s="24"/>
    </row>
    <row r="714" spans="1:88" ht="15" customHeight="1">
      <c r="A714" s="18">
        <v>2019</v>
      </c>
      <c r="B714" s="18" t="str">
        <f>+INDEX(BDD!F:F,MATCH(P714,BDD!D:D,0))&amp;"-"&amp;INDEX(BDD!E:E,MATCH(P714,BDD!D:D,0))</f>
        <v>E-S</v>
      </c>
      <c r="C714" s="125" t="s">
        <v>484</v>
      </c>
      <c r="D714" s="150" t="s">
        <v>77</v>
      </c>
      <c r="E714" s="132"/>
      <c r="F714" s="24"/>
      <c r="G714" s="346">
        <v>8000000573</v>
      </c>
      <c r="H714" s="125" t="s">
        <v>2927</v>
      </c>
      <c r="I714" s="329"/>
      <c r="J714" s="346">
        <v>8000000573</v>
      </c>
      <c r="K714" s="24"/>
      <c r="L714" s="24"/>
      <c r="M714" s="24"/>
      <c r="N714" s="340" t="s">
        <v>486</v>
      </c>
      <c r="O714" s="334">
        <v>206613</v>
      </c>
      <c r="P714" s="25" t="s">
        <v>304</v>
      </c>
      <c r="Q714" s="127" t="s">
        <v>183</v>
      </c>
      <c r="R714" s="232" t="s">
        <v>2923</v>
      </c>
      <c r="S714" s="89">
        <v>43688</v>
      </c>
      <c r="T714" s="36">
        <v>90</v>
      </c>
      <c r="U714" s="125" t="s">
        <v>118</v>
      </c>
      <c r="V714" s="147" t="s">
        <v>2928</v>
      </c>
      <c r="W714" s="129"/>
      <c r="X714" s="88">
        <f>+BD714+T714</f>
        <v>43804</v>
      </c>
      <c r="Y714" s="130" t="s">
        <v>20</v>
      </c>
      <c r="Z714" s="133" t="s">
        <v>60</v>
      </c>
      <c r="AA714" s="133"/>
      <c r="AB714" s="148">
        <v>111.86</v>
      </c>
      <c r="AC714" s="134">
        <v>275</v>
      </c>
      <c r="AD714" s="134"/>
      <c r="AE714" s="403">
        <f t="shared" si="36"/>
        <v>30761.5</v>
      </c>
      <c r="AF714" s="132">
        <v>4</v>
      </c>
      <c r="AG714" s="130" t="s">
        <v>5</v>
      </c>
      <c r="AH714" s="130"/>
      <c r="AI714" s="130" t="s">
        <v>100</v>
      </c>
      <c r="AJ714" s="130"/>
      <c r="AK714" s="130"/>
      <c r="AL714" s="135" t="s">
        <v>2882</v>
      </c>
      <c r="AM714" s="314"/>
      <c r="AN714" s="26"/>
      <c r="AO714" s="26"/>
      <c r="AP714" s="26"/>
      <c r="AQ714" s="26">
        <v>43742</v>
      </c>
      <c r="AR714" s="24"/>
      <c r="AS714" s="24"/>
      <c r="AT714" s="24">
        <v>43747</v>
      </c>
      <c r="AU714" s="418">
        <f t="shared" si="37"/>
        <v>10</v>
      </c>
      <c r="AV714" s="418">
        <f t="shared" si="38"/>
        <v>2019</v>
      </c>
      <c r="AW714" s="24"/>
      <c r="AX714" s="28"/>
      <c r="AY714" s="28" t="s">
        <v>8</v>
      </c>
      <c r="AZ714" s="132" t="s">
        <v>9</v>
      </c>
      <c r="BA714" s="132"/>
      <c r="BB714" s="24"/>
      <c r="BC714" s="135" t="s">
        <v>2929</v>
      </c>
      <c r="BD714" s="24">
        <v>43714</v>
      </c>
      <c r="BE714" s="135" t="s">
        <v>2926</v>
      </c>
      <c r="BF714" s="135" t="s">
        <v>589</v>
      </c>
      <c r="BG714" s="135" t="s">
        <v>41</v>
      </c>
      <c r="BH714" s="135"/>
      <c r="BI714" s="314"/>
      <c r="BJ714" s="314"/>
      <c r="BK714" s="24"/>
      <c r="BL714" s="24"/>
      <c r="BM714" s="24"/>
      <c r="BN714" s="24"/>
      <c r="BO714" s="24">
        <v>43755</v>
      </c>
      <c r="BP714" s="24"/>
      <c r="BQ714" s="24"/>
      <c r="BR714" s="43"/>
      <c r="BS714" s="24"/>
      <c r="BT714" s="24"/>
      <c r="BU714" s="24"/>
      <c r="BV714" s="132" t="e">
        <f>IF(#REF!="COMPLETO","OK","PENDIENTES")</f>
        <v>#REF!</v>
      </c>
      <c r="BW714" s="132"/>
      <c r="BX714" s="132"/>
      <c r="BY714" s="132"/>
      <c r="BZ714" s="132"/>
      <c r="CA714" s="132"/>
      <c r="CB714" s="132"/>
      <c r="CC714" s="22"/>
      <c r="CG714" s="24" t="s">
        <v>105</v>
      </c>
      <c r="CH714" s="24"/>
      <c r="CI714" s="24"/>
      <c r="CJ714" s="24"/>
    </row>
    <row r="715" spans="1:88" ht="15" customHeight="1">
      <c r="A715" s="18">
        <v>2019</v>
      </c>
      <c r="B715" s="18" t="str">
        <f>+INDEX(BDD!F:F,MATCH(P715,BDD!D:D,0))&amp;"-"&amp;INDEX(BDD!E:E,MATCH(P715,BDD!D:D,0))</f>
        <v>S-P</v>
      </c>
      <c r="C715" s="125" t="s">
        <v>484</v>
      </c>
      <c r="D715" s="150" t="s">
        <v>77</v>
      </c>
      <c r="E715" s="132"/>
      <c r="F715" s="24"/>
      <c r="G715" s="346">
        <v>8000000648</v>
      </c>
      <c r="H715" s="125" t="s">
        <v>2930</v>
      </c>
      <c r="I715" s="329"/>
      <c r="J715" s="346">
        <v>8000000648</v>
      </c>
      <c r="K715" s="24"/>
      <c r="L715" s="24"/>
      <c r="M715" s="24"/>
      <c r="N715" s="340" t="s">
        <v>486</v>
      </c>
      <c r="O715" s="334">
        <v>207499</v>
      </c>
      <c r="P715" s="25" t="s">
        <v>343</v>
      </c>
      <c r="Q715" s="127" t="s">
        <v>199</v>
      </c>
      <c r="R715" s="232" t="s">
        <v>2931</v>
      </c>
      <c r="S715" s="89">
        <v>43703</v>
      </c>
      <c r="T715" s="36">
        <v>90</v>
      </c>
      <c r="U715" s="125" t="s">
        <v>118</v>
      </c>
      <c r="V715" s="147" t="s">
        <v>2932</v>
      </c>
      <c r="W715" s="129"/>
      <c r="X715" s="88">
        <f>+BD715+T715</f>
        <v>43848</v>
      </c>
      <c r="Y715" s="130" t="s">
        <v>20</v>
      </c>
      <c r="Z715" s="133" t="s">
        <v>60</v>
      </c>
      <c r="AA715" s="133"/>
      <c r="AB715" s="148">
        <v>300</v>
      </c>
      <c r="AC715" s="134">
        <v>500</v>
      </c>
      <c r="AD715" s="134"/>
      <c r="AE715" s="403">
        <f t="shared" si="36"/>
        <v>150000</v>
      </c>
      <c r="AF715" s="132"/>
      <c r="AG715" s="130" t="s">
        <v>58</v>
      </c>
      <c r="AH715" s="130"/>
      <c r="AI715" s="130" t="s">
        <v>34</v>
      </c>
      <c r="AJ715" s="130"/>
      <c r="AK715" s="130"/>
      <c r="AL715" s="135" t="s">
        <v>2882</v>
      </c>
      <c r="AM715" s="314"/>
      <c r="AN715" s="26"/>
      <c r="AO715" s="26"/>
      <c r="AP715" s="26"/>
      <c r="AQ715" s="26">
        <v>43810</v>
      </c>
      <c r="AR715" s="24"/>
      <c r="AS715" s="24"/>
      <c r="AT715" s="26">
        <v>43817</v>
      </c>
      <c r="AU715" s="418">
        <f t="shared" si="37"/>
        <v>12</v>
      </c>
      <c r="AV715" s="418">
        <f t="shared" si="38"/>
        <v>2019</v>
      </c>
      <c r="AW715" s="26"/>
      <c r="AX715" s="28"/>
      <c r="AY715" s="28" t="s">
        <v>95</v>
      </c>
      <c r="AZ715" s="132" t="s">
        <v>37</v>
      </c>
      <c r="BA715" s="132"/>
      <c r="BB715" s="26"/>
      <c r="BC715" s="135" t="s">
        <v>2933</v>
      </c>
      <c r="BD715" s="24">
        <v>43758</v>
      </c>
      <c r="BE715" s="135" t="s">
        <v>2934</v>
      </c>
      <c r="BF715" s="135" t="s">
        <v>2934</v>
      </c>
      <c r="BG715" s="135" t="s">
        <v>52</v>
      </c>
      <c r="BH715" s="135"/>
      <c r="BI715" s="314"/>
      <c r="BJ715" s="314"/>
      <c r="BK715" s="24"/>
      <c r="BL715" s="24"/>
      <c r="BM715" s="24"/>
      <c r="BN715" s="24"/>
      <c r="BO715" s="24"/>
      <c r="BP715" s="24"/>
      <c r="BQ715" s="24"/>
      <c r="BR715" s="43"/>
      <c r="BS715" s="24"/>
      <c r="BT715" s="24"/>
      <c r="BU715" s="24"/>
      <c r="BV715" s="132" t="e">
        <f>IF(#REF!="COMPLETO","OK","PENDIENTES")</f>
        <v>#REF!</v>
      </c>
      <c r="BW715" s="132"/>
      <c r="BX715" s="132"/>
      <c r="BY715" s="132"/>
      <c r="BZ715" s="132"/>
      <c r="CA715" s="132"/>
      <c r="CB715" s="132"/>
      <c r="CC715" s="22"/>
      <c r="CG715" s="24" t="s">
        <v>105</v>
      </c>
      <c r="CH715" s="24"/>
      <c r="CI715" s="26"/>
      <c r="CJ715" s="26"/>
    </row>
    <row r="716" spans="1:88" s="242" customFormat="1" ht="15" customHeight="1">
      <c r="A716" s="18">
        <v>2019</v>
      </c>
      <c r="B716" s="18" t="str">
        <f>+INDEX(BDD!F:F,MATCH(P716,BDD!D:D,0))&amp;"-"&amp;INDEX(BDD!E:E,MATCH(P716,BDD!D:D,0))</f>
        <v>S-P</v>
      </c>
      <c r="C716" s="360" t="s">
        <v>484</v>
      </c>
      <c r="D716" s="150" t="s">
        <v>77</v>
      </c>
      <c r="E716" s="132"/>
      <c r="F716" s="24"/>
      <c r="G716" s="346">
        <v>8000000607</v>
      </c>
      <c r="H716" s="243" t="s">
        <v>2935</v>
      </c>
      <c r="I716" s="329"/>
      <c r="J716" s="346">
        <v>8000000607</v>
      </c>
      <c r="K716" s="24"/>
      <c r="L716" s="24"/>
      <c r="M716" s="24"/>
      <c r="N716" s="340" t="s">
        <v>486</v>
      </c>
      <c r="O716" s="334">
        <v>207499</v>
      </c>
      <c r="P716" s="244" t="s">
        <v>343</v>
      </c>
      <c r="Q716" s="245" t="s">
        <v>199</v>
      </c>
      <c r="R716" s="246" t="s">
        <v>2931</v>
      </c>
      <c r="S716" s="89">
        <v>43703</v>
      </c>
      <c r="T716" s="36">
        <v>90</v>
      </c>
      <c r="U716" s="243" t="s">
        <v>118</v>
      </c>
      <c r="V716" s="155">
        <v>5110</v>
      </c>
      <c r="W716" s="129"/>
      <c r="X716" s="88">
        <f>+BD716+T716</f>
        <v>43819</v>
      </c>
      <c r="Y716" s="247" t="s">
        <v>20</v>
      </c>
      <c r="Z716" s="249" t="s">
        <v>60</v>
      </c>
      <c r="AA716" s="249"/>
      <c r="AB716" s="248">
        <v>202.3</v>
      </c>
      <c r="AC716" s="250">
        <v>505</v>
      </c>
      <c r="AD716" s="250"/>
      <c r="AE716" s="403">
        <f t="shared" si="36"/>
        <v>102161.5</v>
      </c>
      <c r="AF716" s="132">
        <v>7</v>
      </c>
      <c r="AG716" s="247" t="s">
        <v>21</v>
      </c>
      <c r="AH716" s="247"/>
      <c r="AI716" s="247" t="s">
        <v>34</v>
      </c>
      <c r="AJ716" s="247"/>
      <c r="AK716" s="247"/>
      <c r="AL716" s="246" t="s">
        <v>2882</v>
      </c>
      <c r="AM716" s="314"/>
      <c r="AN716" s="26"/>
      <c r="AO716" s="26"/>
      <c r="AP716" s="26"/>
      <c r="AQ716" s="26">
        <v>43788</v>
      </c>
      <c r="AR716" s="24"/>
      <c r="AS716" s="24"/>
      <c r="AT716" s="24">
        <v>43791</v>
      </c>
      <c r="AU716" s="418">
        <f t="shared" si="37"/>
        <v>11</v>
      </c>
      <c r="AV716" s="418">
        <f t="shared" si="38"/>
        <v>2019</v>
      </c>
      <c r="AW716" s="24"/>
      <c r="AX716" s="251"/>
      <c r="AY716" s="251" t="s">
        <v>311</v>
      </c>
      <c r="AZ716" s="132" t="s">
        <v>9</v>
      </c>
      <c r="BA716" s="132"/>
      <c r="BB716" s="24"/>
      <c r="BC716" s="246" t="s">
        <v>2936</v>
      </c>
      <c r="BD716" s="24">
        <v>43729</v>
      </c>
      <c r="BE716" s="246" t="s">
        <v>2921</v>
      </c>
      <c r="BF716" s="246" t="s">
        <v>1251</v>
      </c>
      <c r="BG716" s="246" t="s">
        <v>174</v>
      </c>
      <c r="BH716" s="246"/>
      <c r="BI716" s="314"/>
      <c r="BJ716" s="314"/>
      <c r="BK716" s="24"/>
      <c r="BL716" s="24"/>
      <c r="BM716" s="24"/>
      <c r="BN716" s="24"/>
      <c r="BO716" s="24">
        <f>+AQ716+14</f>
        <v>43802</v>
      </c>
      <c r="BP716" s="24"/>
      <c r="BQ716" s="24"/>
      <c r="BR716" s="43"/>
      <c r="BS716" s="24"/>
      <c r="BT716" s="24"/>
      <c r="BU716" s="24"/>
      <c r="BV716" s="132" t="e">
        <f>IF(#REF!="COMPLETO","OK","PENDIENTES")</f>
        <v>#REF!</v>
      </c>
      <c r="BW716" s="132"/>
      <c r="BX716" s="132"/>
      <c r="BY716" s="132"/>
      <c r="BZ716" s="132"/>
      <c r="CA716" s="132"/>
      <c r="CB716" s="132"/>
      <c r="CC716" s="22"/>
      <c r="CD716" s="252"/>
      <c r="CE716" s="252"/>
      <c r="CF716" s="252"/>
      <c r="CG716" s="24" t="s">
        <v>105</v>
      </c>
      <c r="CH716" s="24"/>
      <c r="CI716" s="24"/>
      <c r="CJ716" s="24"/>
    </row>
    <row r="717" spans="1:88" ht="15" customHeight="1">
      <c r="A717" s="18">
        <v>2019</v>
      </c>
      <c r="B717" s="18" t="str">
        <f>+INDEX(BDD!F:F,MATCH(P717,BDD!D:D,0))&amp;"-"&amp;INDEX(BDD!E:E,MATCH(P717,BDD!D:D,0))</f>
        <v>S-P</v>
      </c>
      <c r="C717" s="125" t="s">
        <v>484</v>
      </c>
      <c r="D717" s="150" t="s">
        <v>77</v>
      </c>
      <c r="E717" s="132"/>
      <c r="F717" s="24"/>
      <c r="G717" s="346">
        <v>8000000584</v>
      </c>
      <c r="H717" s="125" t="s">
        <v>2937</v>
      </c>
      <c r="I717" s="329"/>
      <c r="J717" s="346">
        <v>8000000584</v>
      </c>
      <c r="K717" s="24"/>
      <c r="L717" s="24"/>
      <c r="M717" s="24"/>
      <c r="N717" s="340" t="s">
        <v>486</v>
      </c>
      <c r="O717" s="334">
        <v>206766</v>
      </c>
      <c r="P717" s="25" t="s">
        <v>2</v>
      </c>
      <c r="Q717" s="127" t="s">
        <v>237</v>
      </c>
      <c r="R717" s="232" t="s">
        <v>2938</v>
      </c>
      <c r="S717" s="89">
        <v>43699</v>
      </c>
      <c r="T717" s="36">
        <v>90</v>
      </c>
      <c r="U717" s="125" t="s">
        <v>118</v>
      </c>
      <c r="V717" s="147" t="s">
        <v>2939</v>
      </c>
      <c r="W717" s="129"/>
      <c r="X717" s="88">
        <v>43818</v>
      </c>
      <c r="Y717" s="130" t="s">
        <v>20</v>
      </c>
      <c r="Z717" s="133" t="s">
        <v>60</v>
      </c>
      <c r="AA717" s="133"/>
      <c r="AB717" s="148">
        <v>504</v>
      </c>
      <c r="AC717" s="134">
        <v>884</v>
      </c>
      <c r="AD717" s="134"/>
      <c r="AE717" s="403">
        <f t="shared" si="36"/>
        <v>445536</v>
      </c>
      <c r="AF717" s="132">
        <v>21</v>
      </c>
      <c r="AG717" s="130" t="s">
        <v>5</v>
      </c>
      <c r="AH717" s="130"/>
      <c r="AI717" s="130" t="s">
        <v>86</v>
      </c>
      <c r="AJ717" s="130"/>
      <c r="AK717" s="130"/>
      <c r="AL717" s="135" t="s">
        <v>2899</v>
      </c>
      <c r="AM717" s="314"/>
      <c r="AN717" s="26"/>
      <c r="AO717" s="26"/>
      <c r="AP717" s="26"/>
      <c r="AQ717" s="26">
        <v>43756</v>
      </c>
      <c r="AR717" s="24"/>
      <c r="AS717" s="24"/>
      <c r="AT717" s="24">
        <v>43761</v>
      </c>
      <c r="AU717" s="418">
        <f t="shared" si="37"/>
        <v>10</v>
      </c>
      <c r="AV717" s="418">
        <f t="shared" si="38"/>
        <v>2019</v>
      </c>
      <c r="AW717" s="24"/>
      <c r="AX717" s="28"/>
      <c r="AY717" s="28" t="s">
        <v>302</v>
      </c>
      <c r="AZ717" s="132" t="s">
        <v>37</v>
      </c>
      <c r="BA717" s="132"/>
      <c r="BB717" s="24"/>
      <c r="BC717" s="135" t="s">
        <v>2940</v>
      </c>
      <c r="BD717" s="24">
        <v>43728</v>
      </c>
      <c r="BE717" s="135" t="s">
        <v>2941</v>
      </c>
      <c r="BF717" s="135" t="s">
        <v>797</v>
      </c>
      <c r="BG717" s="135" t="s">
        <v>29</v>
      </c>
      <c r="BH717" s="135"/>
      <c r="BI717" s="314"/>
      <c r="BJ717" s="314"/>
      <c r="BK717" s="24"/>
      <c r="BL717" s="24"/>
      <c r="BM717" s="24"/>
      <c r="BN717" s="24"/>
      <c r="BO717" s="24"/>
      <c r="BP717" s="24"/>
      <c r="BQ717" s="24"/>
      <c r="BR717" s="43"/>
      <c r="BS717" s="24"/>
      <c r="BT717" s="24"/>
      <c r="BU717" s="24"/>
      <c r="BV717" s="132" t="e">
        <f>IF(#REF!="COMPLETO","OK","PENDIENTES")</f>
        <v>#REF!</v>
      </c>
      <c r="BW717" s="132"/>
      <c r="BX717" s="132"/>
      <c r="BY717" s="132"/>
      <c r="BZ717" s="132"/>
      <c r="CA717" s="132"/>
      <c r="CB717" s="132"/>
      <c r="CC717" s="22"/>
      <c r="CG717" s="24" t="s">
        <v>105</v>
      </c>
      <c r="CH717" s="24"/>
      <c r="CI717" s="24"/>
      <c r="CJ717" s="24"/>
    </row>
    <row r="718" spans="1:88" ht="15" customHeight="1">
      <c r="A718" s="18">
        <v>2019</v>
      </c>
      <c r="B718" s="18" t="str">
        <f>+INDEX(BDD!F:F,MATCH(P718,BDD!D:D,0))&amp;"-"&amp;INDEX(BDD!E:E,MATCH(P718,BDD!D:D,0))</f>
        <v>S-P</v>
      </c>
      <c r="C718" s="125" t="s">
        <v>484</v>
      </c>
      <c r="D718" s="150" t="s">
        <v>77</v>
      </c>
      <c r="E718" s="132"/>
      <c r="F718" s="24"/>
      <c r="G718" s="346">
        <v>8000000592</v>
      </c>
      <c r="H718" s="125" t="s">
        <v>2942</v>
      </c>
      <c r="I718" s="329"/>
      <c r="J718" s="346">
        <v>8000000592</v>
      </c>
      <c r="K718" s="24"/>
      <c r="L718" s="24"/>
      <c r="M718" s="24"/>
      <c r="N718" s="340" t="s">
        <v>486</v>
      </c>
      <c r="O718" s="334">
        <v>206766</v>
      </c>
      <c r="P718" s="25" t="s">
        <v>2</v>
      </c>
      <c r="Q718" s="127" t="s">
        <v>237</v>
      </c>
      <c r="R718" s="232" t="s">
        <v>2938</v>
      </c>
      <c r="S718" s="89">
        <v>43699</v>
      </c>
      <c r="T718" s="36">
        <v>90</v>
      </c>
      <c r="U718" s="125" t="s">
        <v>118</v>
      </c>
      <c r="V718" s="235" t="s">
        <v>2943</v>
      </c>
      <c r="W718" s="151"/>
      <c r="X718" s="88">
        <v>43836</v>
      </c>
      <c r="Y718" s="130" t="s">
        <v>20</v>
      </c>
      <c r="Z718" s="133" t="s">
        <v>60</v>
      </c>
      <c r="AA718" s="133"/>
      <c r="AB718" s="148">
        <v>480</v>
      </c>
      <c r="AC718" s="134">
        <v>884</v>
      </c>
      <c r="AD718" s="134"/>
      <c r="AE718" s="403">
        <f t="shared" si="36"/>
        <v>424320</v>
      </c>
      <c r="AF718" s="132">
        <v>20</v>
      </c>
      <c r="AG718" s="130" t="s">
        <v>5</v>
      </c>
      <c r="AH718" s="130"/>
      <c r="AI718" s="130" t="s">
        <v>86</v>
      </c>
      <c r="AJ718" s="130"/>
      <c r="AK718" s="130"/>
      <c r="AL718" s="135" t="s">
        <v>2944</v>
      </c>
      <c r="AM718" s="314"/>
      <c r="AN718" s="26"/>
      <c r="AO718" s="26"/>
      <c r="AP718" s="26"/>
      <c r="AQ718" s="26">
        <v>43760</v>
      </c>
      <c r="AR718" s="24"/>
      <c r="AS718" s="24"/>
      <c r="AT718" s="24">
        <v>43763</v>
      </c>
      <c r="AU718" s="418">
        <f t="shared" si="37"/>
        <v>10</v>
      </c>
      <c r="AV718" s="418">
        <f t="shared" si="38"/>
        <v>2019</v>
      </c>
      <c r="AW718" s="24"/>
      <c r="AX718" s="28"/>
      <c r="AY718" s="28" t="s">
        <v>302</v>
      </c>
      <c r="AZ718" s="132" t="s">
        <v>37</v>
      </c>
      <c r="BA718" s="132"/>
      <c r="BB718" s="24"/>
      <c r="BC718" s="135" t="s">
        <v>2945</v>
      </c>
      <c r="BD718" s="24">
        <v>43736</v>
      </c>
      <c r="BE718" s="135" t="s">
        <v>2946</v>
      </c>
      <c r="BF718" s="135" t="s">
        <v>2947</v>
      </c>
      <c r="BG718" s="135" t="s">
        <v>41</v>
      </c>
      <c r="BH718" s="135"/>
      <c r="BI718" s="314"/>
      <c r="BJ718" s="314"/>
      <c r="BK718" s="24"/>
      <c r="BL718" s="24"/>
      <c r="BM718" s="24"/>
      <c r="BN718" s="24"/>
      <c r="BO718" s="24"/>
      <c r="BP718" s="24"/>
      <c r="BQ718" s="24"/>
      <c r="BR718" s="43"/>
      <c r="BS718" s="24"/>
      <c r="BT718" s="24"/>
      <c r="BU718" s="24"/>
      <c r="BV718" s="132" t="e">
        <f>IF(#REF!="COMPLETO","OK","PENDIENTES")</f>
        <v>#REF!</v>
      </c>
      <c r="BW718" s="132"/>
      <c r="BX718" s="132"/>
      <c r="BY718" s="132"/>
      <c r="BZ718" s="132"/>
      <c r="CA718" s="132"/>
      <c r="CB718" s="132"/>
      <c r="CC718" s="22"/>
      <c r="CG718" s="24" t="s">
        <v>105</v>
      </c>
      <c r="CH718" s="24"/>
      <c r="CI718" s="24"/>
      <c r="CJ718" s="24"/>
    </row>
    <row r="719" spans="1:88" ht="15" customHeight="1">
      <c r="A719" s="18">
        <v>2019</v>
      </c>
      <c r="B719" s="18" t="str">
        <f>+INDEX(BDD!F:F,MATCH(P719,BDD!D:D,0))&amp;"-"&amp;INDEX(BDD!E:E,MATCH(P719,BDD!D:D,0))</f>
        <v>S-P</v>
      </c>
      <c r="C719" s="125" t="s">
        <v>484</v>
      </c>
      <c r="D719" s="150" t="s">
        <v>77</v>
      </c>
      <c r="E719" s="132"/>
      <c r="F719" s="24"/>
      <c r="G719" s="346">
        <v>8000000599</v>
      </c>
      <c r="H719" s="125" t="s">
        <v>2948</v>
      </c>
      <c r="I719" s="329"/>
      <c r="J719" s="346">
        <v>8000000599</v>
      </c>
      <c r="K719" s="24"/>
      <c r="L719" s="24"/>
      <c r="M719" s="24"/>
      <c r="N719" s="340" t="s">
        <v>486</v>
      </c>
      <c r="O719" s="334">
        <v>206766</v>
      </c>
      <c r="P719" s="25" t="s">
        <v>2</v>
      </c>
      <c r="Q719" s="127" t="s">
        <v>237</v>
      </c>
      <c r="R719" s="232" t="s">
        <v>2938</v>
      </c>
      <c r="S719" s="89">
        <v>43699</v>
      </c>
      <c r="T719" s="36">
        <v>90</v>
      </c>
      <c r="U719" s="125" t="s">
        <v>118</v>
      </c>
      <c r="V719" s="235" t="s">
        <v>2949</v>
      </c>
      <c r="W719" s="151"/>
      <c r="X719" s="88">
        <v>43853</v>
      </c>
      <c r="Y719" s="130" t="s">
        <v>20</v>
      </c>
      <c r="Z719" s="133" t="s">
        <v>60</v>
      </c>
      <c r="AA719" s="133"/>
      <c r="AB719" s="148">
        <v>16</v>
      </c>
      <c r="AC719" s="134">
        <v>884</v>
      </c>
      <c r="AD719" s="134"/>
      <c r="AE719" s="403">
        <f t="shared" si="36"/>
        <v>14144</v>
      </c>
      <c r="AF719" s="132">
        <v>1</v>
      </c>
      <c r="AG719" s="130" t="s">
        <v>5</v>
      </c>
      <c r="AH719" s="130"/>
      <c r="AI719" s="130" t="s">
        <v>86</v>
      </c>
      <c r="AJ719" s="130"/>
      <c r="AK719" s="130"/>
      <c r="AL719" s="135" t="s">
        <v>2944</v>
      </c>
      <c r="AM719" s="314"/>
      <c r="AN719" s="26"/>
      <c r="AO719" s="26"/>
      <c r="AP719" s="26"/>
      <c r="AQ719" s="26">
        <v>43774</v>
      </c>
      <c r="AR719" s="24"/>
      <c r="AS719" s="24"/>
      <c r="AT719" s="24">
        <v>43787</v>
      </c>
      <c r="AU719" s="418">
        <f t="shared" si="37"/>
        <v>11</v>
      </c>
      <c r="AV719" s="418">
        <f t="shared" si="38"/>
        <v>2019</v>
      </c>
      <c r="AW719" s="24"/>
      <c r="AX719" s="28"/>
      <c r="AY719" s="28" t="s">
        <v>302</v>
      </c>
      <c r="AZ719" s="132" t="s">
        <v>37</v>
      </c>
      <c r="BA719" s="132"/>
      <c r="BB719" s="24"/>
      <c r="BC719" s="135" t="s">
        <v>2950</v>
      </c>
      <c r="BD719" s="24">
        <v>43769</v>
      </c>
      <c r="BE719" s="135" t="s">
        <v>2946</v>
      </c>
      <c r="BF719" s="135" t="s">
        <v>2951</v>
      </c>
      <c r="BG719" s="135" t="s">
        <v>41</v>
      </c>
      <c r="BH719" s="135"/>
      <c r="BI719" s="314"/>
      <c r="BJ719" s="314"/>
      <c r="BK719" s="24"/>
      <c r="BL719" s="24"/>
      <c r="BM719" s="24"/>
      <c r="BN719" s="24"/>
      <c r="BO719" s="24"/>
      <c r="BP719" s="24"/>
      <c r="BQ719" s="24"/>
      <c r="BR719" s="43"/>
      <c r="BS719" s="24"/>
      <c r="BT719" s="24"/>
      <c r="BU719" s="24"/>
      <c r="BV719" s="132" t="e">
        <f>IF(#REF!="COMPLETO","OK","PENDIENTES")</f>
        <v>#REF!</v>
      </c>
      <c r="BW719" s="132"/>
      <c r="BX719" s="132"/>
      <c r="BY719" s="132"/>
      <c r="BZ719" s="132"/>
      <c r="CA719" s="132"/>
      <c r="CB719" s="132"/>
      <c r="CC719" s="22"/>
      <c r="CG719" s="24" t="s">
        <v>105</v>
      </c>
      <c r="CH719" s="24"/>
      <c r="CI719" s="24"/>
      <c r="CJ719" s="24"/>
    </row>
    <row r="720" spans="1:88" ht="15" customHeight="1">
      <c r="A720" s="18">
        <v>2019</v>
      </c>
      <c r="B720" s="18" t="str">
        <f>+INDEX(BDD!F:F,MATCH(P720,BDD!D:D,0))&amp;"-"&amp;INDEX(BDD!E:E,MATCH(P720,BDD!D:D,0))</f>
        <v>S-P</v>
      </c>
      <c r="C720" s="125" t="s">
        <v>484</v>
      </c>
      <c r="D720" s="150" t="s">
        <v>77</v>
      </c>
      <c r="E720" s="132"/>
      <c r="F720" s="24"/>
      <c r="G720" s="346">
        <v>8000000677</v>
      </c>
      <c r="H720" s="125" t="s">
        <v>2952</v>
      </c>
      <c r="I720" s="329"/>
      <c r="J720" s="346">
        <v>8000000677</v>
      </c>
      <c r="K720" s="24"/>
      <c r="L720" s="24"/>
      <c r="M720" s="24"/>
      <c r="N720" s="340" t="s">
        <v>486</v>
      </c>
      <c r="O720" s="334">
        <v>206766</v>
      </c>
      <c r="P720" s="25" t="s">
        <v>2</v>
      </c>
      <c r="Q720" s="127" t="s">
        <v>237</v>
      </c>
      <c r="R720" s="232" t="s">
        <v>2938</v>
      </c>
      <c r="S720" s="89">
        <v>43699</v>
      </c>
      <c r="T720" s="36">
        <v>90</v>
      </c>
      <c r="U720" s="125" t="s">
        <v>118</v>
      </c>
      <c r="V720" s="235" t="s">
        <v>2953</v>
      </c>
      <c r="W720" s="151"/>
      <c r="X720" s="88">
        <v>43853</v>
      </c>
      <c r="Y720" s="130" t="s">
        <v>20</v>
      </c>
      <c r="Z720" s="133" t="s">
        <v>60</v>
      </c>
      <c r="AA720" s="133"/>
      <c r="AB720" s="148">
        <v>8</v>
      </c>
      <c r="AC720" s="134">
        <v>884</v>
      </c>
      <c r="AD720" s="134"/>
      <c r="AE720" s="403">
        <f t="shared" si="36"/>
        <v>7072</v>
      </c>
      <c r="AF720" s="132">
        <v>1</v>
      </c>
      <c r="AG720" s="130" t="s">
        <v>5</v>
      </c>
      <c r="AH720" s="130"/>
      <c r="AI720" s="130" t="s">
        <v>86</v>
      </c>
      <c r="AJ720" s="130"/>
      <c r="AK720" s="130"/>
      <c r="AL720" s="135" t="s">
        <v>2944</v>
      </c>
      <c r="AM720" s="314"/>
      <c r="AN720" s="26"/>
      <c r="AO720" s="26"/>
      <c r="AP720" s="26"/>
      <c r="AQ720" s="26">
        <v>43910</v>
      </c>
      <c r="AR720" s="24"/>
      <c r="AS720" s="24"/>
      <c r="AT720" s="24">
        <v>43917</v>
      </c>
      <c r="AU720" s="418">
        <f t="shared" si="37"/>
        <v>3</v>
      </c>
      <c r="AV720" s="418">
        <f t="shared" si="38"/>
        <v>2020</v>
      </c>
      <c r="AW720" s="24"/>
      <c r="AX720" s="28"/>
      <c r="AY720" s="28" t="s">
        <v>302</v>
      </c>
      <c r="AZ720" s="132" t="s">
        <v>37</v>
      </c>
      <c r="BA720" s="132"/>
      <c r="BB720" s="24" t="s">
        <v>2956</v>
      </c>
      <c r="BC720" s="135" t="s">
        <v>2954</v>
      </c>
      <c r="BD720" s="24">
        <v>43769</v>
      </c>
      <c r="BE720" s="135" t="s">
        <v>2955</v>
      </c>
      <c r="BF720" s="135" t="s">
        <v>2955</v>
      </c>
      <c r="BG720" s="135" t="s">
        <v>41</v>
      </c>
      <c r="BH720" s="135"/>
      <c r="BI720" s="314"/>
      <c r="BJ720" s="314"/>
      <c r="BK720" s="24"/>
      <c r="BL720" s="24"/>
      <c r="BM720" s="24"/>
      <c r="BN720" s="24"/>
      <c r="BO720" s="24">
        <f>+AQ720+21</f>
        <v>43931</v>
      </c>
      <c r="BP720" s="24"/>
      <c r="BQ720" s="24"/>
      <c r="BR720" s="43"/>
      <c r="BS720" s="24"/>
      <c r="BT720" s="24"/>
      <c r="BU720" s="24"/>
      <c r="BV720" s="132" t="e">
        <f>IF(#REF!="COMPLETO","OK","PENDIENTES")</f>
        <v>#REF!</v>
      </c>
      <c r="BW720" s="132"/>
      <c r="BX720" s="132"/>
      <c r="BY720" s="132"/>
      <c r="BZ720" s="132"/>
      <c r="CA720" s="132"/>
      <c r="CB720" s="132"/>
      <c r="CC720" s="22"/>
      <c r="CG720" s="24" t="s">
        <v>105</v>
      </c>
      <c r="CH720" s="24"/>
      <c r="CI720" s="24"/>
      <c r="CJ720" s="24"/>
    </row>
    <row r="721" spans="1:88" ht="14.65" customHeight="1">
      <c r="A721" s="18">
        <v>2019</v>
      </c>
      <c r="B721" s="18" t="str">
        <f>+INDEX(BDD!F:F,MATCH(P721,BDD!D:D,0))&amp;"-"&amp;INDEX(BDD!E:E,MATCH(P721,BDD!D:D,0))</f>
        <v>S-S</v>
      </c>
      <c r="C721" s="125" t="s">
        <v>484</v>
      </c>
      <c r="D721" s="150" t="s">
        <v>77</v>
      </c>
      <c r="E721" s="132"/>
      <c r="F721" s="24"/>
      <c r="G721" s="346">
        <v>8000000651</v>
      </c>
      <c r="H721" s="125" t="s">
        <v>2957</v>
      </c>
      <c r="I721" s="329"/>
      <c r="J721" s="346">
        <v>8000000651</v>
      </c>
      <c r="K721" s="24"/>
      <c r="L721" s="24"/>
      <c r="M721" s="24"/>
      <c r="N721" s="340" t="s">
        <v>486</v>
      </c>
      <c r="O721" s="334">
        <v>206914</v>
      </c>
      <c r="P721" s="25" t="s">
        <v>335</v>
      </c>
      <c r="Q721" s="127" t="s">
        <v>264</v>
      </c>
      <c r="R721" s="232" t="s">
        <v>2958</v>
      </c>
      <c r="S721" s="89">
        <v>43703</v>
      </c>
      <c r="T721" s="36">
        <v>90</v>
      </c>
      <c r="U721" s="125" t="s">
        <v>118</v>
      </c>
      <c r="V721" s="147" t="s">
        <v>2958</v>
      </c>
      <c r="W721" s="129"/>
      <c r="X721" s="88">
        <f>+BD721+T721</f>
        <v>43844</v>
      </c>
      <c r="Y721" s="130" t="s">
        <v>20</v>
      </c>
      <c r="Z721" s="133" t="s">
        <v>60</v>
      </c>
      <c r="AA721" s="133"/>
      <c r="AB721" s="148">
        <f>600.6/21*10</f>
        <v>286</v>
      </c>
      <c r="AC721" s="134">
        <v>123</v>
      </c>
      <c r="AD721" s="134"/>
      <c r="AE721" s="403">
        <f t="shared" si="36"/>
        <v>35178</v>
      </c>
      <c r="AF721" s="132">
        <v>10</v>
      </c>
      <c r="AG721" s="130" t="s">
        <v>21</v>
      </c>
      <c r="AH721" s="130"/>
      <c r="AI721" s="130" t="s">
        <v>34</v>
      </c>
      <c r="AJ721" s="130"/>
      <c r="AK721" s="130"/>
      <c r="AL721" s="24" t="s">
        <v>2944</v>
      </c>
      <c r="AM721" s="314"/>
      <c r="AN721" s="26"/>
      <c r="AO721" s="26"/>
      <c r="AP721" s="26"/>
      <c r="AQ721" s="26">
        <v>43816</v>
      </c>
      <c r="AR721" s="24"/>
      <c r="AS721" s="24"/>
      <c r="AT721" s="26">
        <v>43818</v>
      </c>
      <c r="AU721" s="418">
        <f t="shared" si="37"/>
        <v>12</v>
      </c>
      <c r="AV721" s="418">
        <f t="shared" si="38"/>
        <v>2019</v>
      </c>
      <c r="AW721" s="26"/>
      <c r="AX721" s="28"/>
      <c r="AY721" s="28" t="s">
        <v>139</v>
      </c>
      <c r="AZ721" s="132" t="s">
        <v>9</v>
      </c>
      <c r="BA721" s="132"/>
      <c r="BB721" s="26"/>
      <c r="BC721" s="135" t="s">
        <v>2959</v>
      </c>
      <c r="BD721" s="24">
        <v>43754</v>
      </c>
      <c r="BE721" s="135" t="s">
        <v>2960</v>
      </c>
      <c r="BF721" s="135" t="s">
        <v>2214</v>
      </c>
      <c r="BG721" s="135" t="s">
        <v>174</v>
      </c>
      <c r="BH721" s="135"/>
      <c r="BI721" s="314"/>
      <c r="BJ721" s="314"/>
      <c r="BK721" s="24"/>
      <c r="BL721" s="24"/>
      <c r="BM721" s="24"/>
      <c r="BN721" s="24"/>
      <c r="BO721" s="24"/>
      <c r="BP721" s="24"/>
      <c r="BQ721" s="24"/>
      <c r="BR721" s="43"/>
      <c r="BS721" s="24"/>
      <c r="BT721" s="24"/>
      <c r="BU721" s="24"/>
      <c r="BV721" s="132" t="e">
        <f>IF(#REF!="COMPLETO","OK","PENDIENTES")</f>
        <v>#REF!</v>
      </c>
      <c r="BW721" s="132"/>
      <c r="BX721" s="132"/>
      <c r="BY721" s="132"/>
      <c r="BZ721" s="132"/>
      <c r="CA721" s="132"/>
      <c r="CB721" s="132"/>
      <c r="CC721" s="22"/>
      <c r="CG721" s="24" t="s">
        <v>105</v>
      </c>
      <c r="CH721" s="24"/>
      <c r="CI721" s="26"/>
      <c r="CJ721" s="26"/>
    </row>
    <row r="722" spans="1:88" ht="15" customHeight="1">
      <c r="A722" s="18">
        <v>2019</v>
      </c>
      <c r="B722" s="18" t="str">
        <f>+INDEX(BDD!F:F,MATCH(P722,BDD!D:D,0))&amp;"-"&amp;INDEX(BDD!E:E,MATCH(P722,BDD!D:D,0))</f>
        <v>S-S</v>
      </c>
      <c r="C722" s="125" t="s">
        <v>484</v>
      </c>
      <c r="D722" s="150" t="s">
        <v>77</v>
      </c>
      <c r="E722" s="132"/>
      <c r="F722" s="24"/>
      <c r="G722" s="346">
        <v>8000000693</v>
      </c>
      <c r="H722" s="125" t="s">
        <v>2961</v>
      </c>
      <c r="I722" s="329"/>
      <c r="J722" s="346">
        <v>8000000693</v>
      </c>
      <c r="K722" s="24"/>
      <c r="L722" s="24"/>
      <c r="M722" s="24"/>
      <c r="N722" s="340" t="s">
        <v>486</v>
      </c>
      <c r="O722" s="334">
        <v>206914</v>
      </c>
      <c r="P722" s="25" t="s">
        <v>335</v>
      </c>
      <c r="Q722" s="127" t="s">
        <v>264</v>
      </c>
      <c r="R722" s="232" t="s">
        <v>2962</v>
      </c>
      <c r="S722" s="89">
        <v>43703</v>
      </c>
      <c r="T722" s="36">
        <v>90</v>
      </c>
      <c r="U722" s="125" t="s">
        <v>118</v>
      </c>
      <c r="V722" s="147" t="s">
        <v>2962</v>
      </c>
      <c r="W722" s="129"/>
      <c r="X722" s="88">
        <v>43923</v>
      </c>
      <c r="Y722" s="130" t="s">
        <v>20</v>
      </c>
      <c r="Z722" s="133" t="s">
        <v>60</v>
      </c>
      <c r="AA722" s="133"/>
      <c r="AB722" s="187">
        <f>600.6/21*11</f>
        <v>314.60000000000002</v>
      </c>
      <c r="AC722" s="134">
        <v>123</v>
      </c>
      <c r="AD722" s="134"/>
      <c r="AE722" s="403">
        <f t="shared" si="36"/>
        <v>38695.800000000003</v>
      </c>
      <c r="AF722" s="132">
        <v>11</v>
      </c>
      <c r="AG722" s="130" t="s">
        <v>21</v>
      </c>
      <c r="AH722" s="130"/>
      <c r="AI722" s="130" t="s">
        <v>34</v>
      </c>
      <c r="AJ722" s="130"/>
      <c r="AK722" s="130"/>
      <c r="AL722" s="24" t="s">
        <v>2963</v>
      </c>
      <c r="AM722" s="314"/>
      <c r="AN722" s="26"/>
      <c r="AO722" s="26"/>
      <c r="AP722" s="26"/>
      <c r="AQ722" s="26">
        <v>43886</v>
      </c>
      <c r="AR722" s="24"/>
      <c r="AS722" s="24"/>
      <c r="AT722" s="24">
        <v>43893</v>
      </c>
      <c r="AU722" s="418">
        <f t="shared" si="37"/>
        <v>3</v>
      </c>
      <c r="AV722" s="418">
        <f t="shared" si="38"/>
        <v>2020</v>
      </c>
      <c r="AW722" s="24"/>
      <c r="AX722" s="28"/>
      <c r="AY722" s="28" t="s">
        <v>139</v>
      </c>
      <c r="AZ722" s="132" t="s">
        <v>9</v>
      </c>
      <c r="BA722" s="132"/>
      <c r="BB722" s="24" t="s">
        <v>2956</v>
      </c>
      <c r="BC722" s="135" t="s">
        <v>2964</v>
      </c>
      <c r="BD722" s="24">
        <v>43834</v>
      </c>
      <c r="BE722" s="135" t="s">
        <v>2872</v>
      </c>
      <c r="BF722" s="135" t="s">
        <v>2214</v>
      </c>
      <c r="BG722" s="135" t="s">
        <v>174</v>
      </c>
      <c r="BH722" s="135"/>
      <c r="BI722" s="314"/>
      <c r="BJ722" s="314"/>
      <c r="BK722" s="24"/>
      <c r="BL722" s="24"/>
      <c r="BM722" s="24"/>
      <c r="BN722" s="24"/>
      <c r="BO722" s="24">
        <f>+AQ722+14</f>
        <v>43900</v>
      </c>
      <c r="BP722" s="24"/>
      <c r="BQ722" s="24"/>
      <c r="BR722" s="43"/>
      <c r="BS722" s="24"/>
      <c r="BT722" s="24"/>
      <c r="BU722" s="24"/>
      <c r="BV722" s="132" t="e">
        <f>IF(#REF!="COMPLETO","OK","PENDIENTES")</f>
        <v>#REF!</v>
      </c>
      <c r="BW722" s="132"/>
      <c r="BX722" s="132"/>
      <c r="BY722" s="132"/>
      <c r="BZ722" s="132"/>
      <c r="CA722" s="132"/>
      <c r="CB722" s="132"/>
      <c r="CC722" s="22"/>
      <c r="CG722" s="24" t="s">
        <v>105</v>
      </c>
      <c r="CH722" s="24"/>
      <c r="CI722" s="24"/>
      <c r="CJ722" s="24"/>
    </row>
    <row r="723" spans="1:88" ht="15" customHeight="1">
      <c r="A723" s="18">
        <v>2019</v>
      </c>
      <c r="B723" s="18" t="str">
        <f>+INDEX(BDD!F:F,MATCH(P723,BDD!D:D,0))&amp;"-"&amp;INDEX(BDD!E:E,MATCH(P723,BDD!D:D,0))</f>
        <v>S-S</v>
      </c>
      <c r="C723" s="125" t="s">
        <v>484</v>
      </c>
      <c r="D723" s="150" t="s">
        <v>77</v>
      </c>
      <c r="E723" s="132"/>
      <c r="F723" s="24"/>
      <c r="G723" s="346">
        <v>8000000649</v>
      </c>
      <c r="H723" s="125" t="s">
        <v>2965</v>
      </c>
      <c r="I723" s="329"/>
      <c r="J723" s="346">
        <v>8000000649</v>
      </c>
      <c r="K723" s="24"/>
      <c r="L723" s="24"/>
      <c r="M723" s="24"/>
      <c r="N723" s="340" t="s">
        <v>486</v>
      </c>
      <c r="O723" s="334">
        <v>206914</v>
      </c>
      <c r="P723" s="25" t="s">
        <v>335</v>
      </c>
      <c r="Q723" s="127" t="s">
        <v>133</v>
      </c>
      <c r="R723" s="232" t="s">
        <v>2966</v>
      </c>
      <c r="S723" s="89">
        <v>43705</v>
      </c>
      <c r="T723" s="36">
        <v>150</v>
      </c>
      <c r="U723" s="125" t="s">
        <v>118</v>
      </c>
      <c r="V723" s="147" t="s">
        <v>2967</v>
      </c>
      <c r="W723" s="129"/>
      <c r="X723" s="88">
        <f>+BD723+T723</f>
        <v>43914</v>
      </c>
      <c r="Y723" s="130" t="s">
        <v>20</v>
      </c>
      <c r="Z723" s="133" t="s">
        <v>60</v>
      </c>
      <c r="AA723" s="133"/>
      <c r="AB723" s="148">
        <v>192.5</v>
      </c>
      <c r="AC723" s="134">
        <v>112</v>
      </c>
      <c r="AD723" s="134"/>
      <c r="AE723" s="403">
        <f t="shared" si="36"/>
        <v>21560</v>
      </c>
      <c r="AF723" s="132" t="s">
        <v>944</v>
      </c>
      <c r="AG723" s="130" t="s">
        <v>58</v>
      </c>
      <c r="AH723" s="130"/>
      <c r="AI723" s="130" t="s">
        <v>34</v>
      </c>
      <c r="AJ723" s="130"/>
      <c r="AK723" s="130"/>
      <c r="AL723" s="135" t="s">
        <v>2899</v>
      </c>
      <c r="AM723" s="314"/>
      <c r="AN723" s="26"/>
      <c r="AO723" s="26"/>
      <c r="AP723" s="26"/>
      <c r="AQ723" s="26">
        <v>43810</v>
      </c>
      <c r="AR723" s="24"/>
      <c r="AS723" s="24"/>
      <c r="AT723" s="26">
        <v>43817</v>
      </c>
      <c r="AU723" s="418">
        <f t="shared" si="37"/>
        <v>12</v>
      </c>
      <c r="AV723" s="418">
        <f t="shared" si="38"/>
        <v>2019</v>
      </c>
      <c r="AW723" s="26"/>
      <c r="AX723" s="28"/>
      <c r="AY723" s="28" t="s">
        <v>95</v>
      </c>
      <c r="AZ723" s="132" t="s">
        <v>37</v>
      </c>
      <c r="BA723" s="132"/>
      <c r="BB723" s="26"/>
      <c r="BC723" s="135" t="s">
        <v>2968</v>
      </c>
      <c r="BD723" s="24">
        <v>43764</v>
      </c>
      <c r="BE723" s="135" t="s">
        <v>2969</v>
      </c>
      <c r="BF723" s="135" t="s">
        <v>2969</v>
      </c>
      <c r="BG723" s="135" t="s">
        <v>52</v>
      </c>
      <c r="BH723" s="135"/>
      <c r="BI723" s="314"/>
      <c r="BJ723" s="314"/>
      <c r="BK723" s="26"/>
      <c r="BL723" s="26"/>
      <c r="BM723" s="26"/>
      <c r="BN723" s="26"/>
      <c r="BO723" s="24"/>
      <c r="BP723" s="24"/>
      <c r="BQ723" s="24"/>
      <c r="BR723" s="43"/>
      <c r="BS723" s="24"/>
      <c r="BT723" s="24"/>
      <c r="BU723" s="24"/>
      <c r="BV723" s="132" t="e">
        <f>IF(#REF!="COMPLETO","OK","PENDIENTES")</f>
        <v>#REF!</v>
      </c>
      <c r="BW723" s="132"/>
      <c r="BX723" s="132"/>
      <c r="BY723" s="132"/>
      <c r="BZ723" s="132"/>
      <c r="CA723" s="132"/>
      <c r="CB723" s="132"/>
      <c r="CC723" s="22"/>
      <c r="CG723" s="24" t="s">
        <v>105</v>
      </c>
      <c r="CH723" s="24"/>
      <c r="CI723" s="26"/>
      <c r="CJ723" s="26"/>
    </row>
    <row r="724" spans="1:88" ht="13.5" customHeight="1">
      <c r="A724" s="18">
        <v>2019</v>
      </c>
      <c r="B724" s="18" t="str">
        <f>+INDEX(BDD!F:F,MATCH(P724,BDD!D:D,0))&amp;"-"&amp;INDEX(BDD!E:E,MATCH(P724,BDD!D:D,0))</f>
        <v>S-S</v>
      </c>
      <c r="C724" s="125" t="s">
        <v>484</v>
      </c>
      <c r="D724" s="150" t="s">
        <v>77</v>
      </c>
      <c r="E724" s="132"/>
      <c r="F724" s="24"/>
      <c r="G724" s="346">
        <v>8000000634</v>
      </c>
      <c r="H724" s="125" t="s">
        <v>2970</v>
      </c>
      <c r="I724" s="329"/>
      <c r="J724" s="346">
        <v>8000000634</v>
      </c>
      <c r="K724" s="24"/>
      <c r="L724" s="24"/>
      <c r="M724" s="24"/>
      <c r="N724" s="340" t="s">
        <v>486</v>
      </c>
      <c r="O724" s="334">
        <v>206914</v>
      </c>
      <c r="P724" s="25" t="s">
        <v>335</v>
      </c>
      <c r="Q724" s="127" t="s">
        <v>133</v>
      </c>
      <c r="R724" s="232" t="s">
        <v>2971</v>
      </c>
      <c r="S724" s="89">
        <v>43705</v>
      </c>
      <c r="T724" s="36">
        <v>150</v>
      </c>
      <c r="U724" s="125" t="s">
        <v>118</v>
      </c>
      <c r="V724" s="147" t="s">
        <v>2972</v>
      </c>
      <c r="W724" s="129"/>
      <c r="X724" s="88">
        <v>43929</v>
      </c>
      <c r="Y724" s="130" t="s">
        <v>20</v>
      </c>
      <c r="Z724" s="133" t="s">
        <v>60</v>
      </c>
      <c r="AA724" s="133"/>
      <c r="AB724" s="148">
        <v>189</v>
      </c>
      <c r="AC724" s="134">
        <v>112</v>
      </c>
      <c r="AD724" s="134"/>
      <c r="AE724" s="403">
        <f t="shared" si="36"/>
        <v>21168</v>
      </c>
      <c r="AF724" s="132">
        <v>7</v>
      </c>
      <c r="AG724" s="130" t="s">
        <v>5</v>
      </c>
      <c r="AH724" s="130"/>
      <c r="AI724" s="130" t="s">
        <v>34</v>
      </c>
      <c r="AJ724" s="130"/>
      <c r="AK724" s="130"/>
      <c r="AL724" s="135" t="s">
        <v>2944</v>
      </c>
      <c r="AM724" s="314"/>
      <c r="AN724" s="26"/>
      <c r="AO724" s="26"/>
      <c r="AP724" s="26"/>
      <c r="AQ724" s="26">
        <v>43810</v>
      </c>
      <c r="AR724" s="24"/>
      <c r="AS724" s="24"/>
      <c r="AT724" s="24">
        <v>43811</v>
      </c>
      <c r="AU724" s="418">
        <f t="shared" si="37"/>
        <v>12</v>
      </c>
      <c r="AV724" s="418">
        <f t="shared" si="38"/>
        <v>2019</v>
      </c>
      <c r="AW724" s="24"/>
      <c r="AX724" s="28"/>
      <c r="AY724" s="28" t="s">
        <v>257</v>
      </c>
      <c r="AZ724" s="132" t="s">
        <v>37</v>
      </c>
      <c r="BA724" s="132"/>
      <c r="BB724" s="24"/>
      <c r="BC724" s="135" t="s">
        <v>2973</v>
      </c>
      <c r="BD724" s="24">
        <v>43778</v>
      </c>
      <c r="BE724" s="135" t="s">
        <v>2974</v>
      </c>
      <c r="BF724" s="135" t="s">
        <v>2974</v>
      </c>
      <c r="BG724" s="135" t="s">
        <v>14</v>
      </c>
      <c r="BH724" s="135"/>
      <c r="BI724" s="314"/>
      <c r="BJ724" s="314"/>
      <c r="BK724" s="24"/>
      <c r="BL724" s="24"/>
      <c r="BM724" s="24"/>
      <c r="BN724" s="24"/>
      <c r="BO724" s="24"/>
      <c r="BP724" s="24"/>
      <c r="BQ724" s="24"/>
      <c r="BR724" s="43"/>
      <c r="BS724" s="24"/>
      <c r="BT724" s="24"/>
      <c r="BU724" s="24"/>
      <c r="BV724" s="132" t="e">
        <f>IF(#REF!="COMPLETO","OK","PENDIENTES")</f>
        <v>#REF!</v>
      </c>
      <c r="BW724" s="132"/>
      <c r="BX724" s="132"/>
      <c r="BY724" s="132"/>
      <c r="BZ724" s="132"/>
      <c r="CA724" s="132"/>
      <c r="CB724" s="132"/>
      <c r="CC724" s="22"/>
      <c r="CG724" s="24" t="s">
        <v>105</v>
      </c>
      <c r="CH724" s="24"/>
      <c r="CI724" s="24"/>
      <c r="CJ724" s="24"/>
    </row>
    <row r="725" spans="1:88" ht="15" customHeight="1">
      <c r="A725" s="18">
        <v>2019</v>
      </c>
      <c r="B725" s="18" t="str">
        <f>+INDEX(BDD!F:F,MATCH(P725,BDD!D:D,0))&amp;"-"&amp;INDEX(BDD!E:E,MATCH(P725,BDD!D:D,0))</f>
        <v>S-S</v>
      </c>
      <c r="C725" s="125" t="s">
        <v>484</v>
      </c>
      <c r="D725" s="150" t="s">
        <v>77</v>
      </c>
      <c r="E725" s="132"/>
      <c r="F725" s="24"/>
      <c r="G725" s="346">
        <v>8000000666</v>
      </c>
      <c r="H725" s="125" t="s">
        <v>2975</v>
      </c>
      <c r="I725" s="329"/>
      <c r="J725" s="346">
        <v>8000000666</v>
      </c>
      <c r="K725" s="24"/>
      <c r="L725" s="24"/>
      <c r="M725" s="24"/>
      <c r="N725" s="340" t="s">
        <v>486</v>
      </c>
      <c r="O725" s="334">
        <v>206914</v>
      </c>
      <c r="P725" s="25" t="s">
        <v>335</v>
      </c>
      <c r="Q725" s="127" t="s">
        <v>133</v>
      </c>
      <c r="R725" s="232" t="s">
        <v>2976</v>
      </c>
      <c r="S725" s="89">
        <v>43705</v>
      </c>
      <c r="T725" s="36">
        <v>150</v>
      </c>
      <c r="U725" s="125" t="s">
        <v>118</v>
      </c>
      <c r="V725" s="147" t="s">
        <v>2977</v>
      </c>
      <c r="W725" s="129"/>
      <c r="X725" s="88">
        <f>+BD725+T725</f>
        <v>43929</v>
      </c>
      <c r="Y725" s="130" t="s">
        <v>20</v>
      </c>
      <c r="Z725" s="133" t="s">
        <v>60</v>
      </c>
      <c r="AA725" s="133"/>
      <c r="AB725" s="148">
        <v>918.75</v>
      </c>
      <c r="AC725" s="134">
        <v>112</v>
      </c>
      <c r="AD725" s="134"/>
      <c r="AE725" s="403">
        <f t="shared" si="36"/>
        <v>102900</v>
      </c>
      <c r="AF725" s="132" t="s">
        <v>944</v>
      </c>
      <c r="AG725" s="130" t="s">
        <v>58</v>
      </c>
      <c r="AH725" s="130"/>
      <c r="AI725" s="130" t="s">
        <v>34</v>
      </c>
      <c r="AJ725" s="130"/>
      <c r="AK725" s="130"/>
      <c r="AL725" s="24" t="s">
        <v>2963</v>
      </c>
      <c r="AM725" s="314"/>
      <c r="AN725" s="26"/>
      <c r="AO725" s="26"/>
      <c r="AP725" s="26"/>
      <c r="AQ725" s="26">
        <v>43845</v>
      </c>
      <c r="AR725" s="24"/>
      <c r="AS725" s="24"/>
      <c r="AT725" s="24">
        <v>43852</v>
      </c>
      <c r="AU725" s="418">
        <f t="shared" si="37"/>
        <v>1</v>
      </c>
      <c r="AV725" s="418">
        <f t="shared" si="38"/>
        <v>2020</v>
      </c>
      <c r="AW725" s="24"/>
      <c r="AX725" s="28"/>
      <c r="AY725" s="28" t="s">
        <v>95</v>
      </c>
      <c r="AZ725" s="132" t="s">
        <v>37</v>
      </c>
      <c r="BA725" s="132"/>
      <c r="BB725" s="24" t="s">
        <v>2956</v>
      </c>
      <c r="BC725" s="135" t="s">
        <v>2978</v>
      </c>
      <c r="BD725" s="24">
        <v>43779</v>
      </c>
      <c r="BE725" s="135" t="s">
        <v>2979</v>
      </c>
      <c r="BF725" s="135" t="s">
        <v>2979</v>
      </c>
      <c r="BG725" s="135" t="s">
        <v>52</v>
      </c>
      <c r="BH725" s="135"/>
      <c r="BI725" s="314"/>
      <c r="BJ725" s="314"/>
      <c r="BK725" s="24"/>
      <c r="BL725" s="24"/>
      <c r="BM725" s="24"/>
      <c r="BN725" s="24"/>
      <c r="BO725" s="24"/>
      <c r="BP725" s="24"/>
      <c r="BQ725" s="24"/>
      <c r="BR725" s="43"/>
      <c r="BS725" s="24"/>
      <c r="BT725" s="24"/>
      <c r="BU725" s="24"/>
      <c r="BV725" s="132" t="e">
        <f>IF(#REF!="COMPLETO","OK","PENDIENTES")</f>
        <v>#REF!</v>
      </c>
      <c r="BW725" s="132"/>
      <c r="BX725" s="132"/>
      <c r="BY725" s="132"/>
      <c r="BZ725" s="132"/>
      <c r="CA725" s="132"/>
      <c r="CB725" s="132"/>
      <c r="CC725" s="22"/>
      <c r="CG725" s="24" t="s">
        <v>105</v>
      </c>
      <c r="CH725" s="24"/>
      <c r="CI725" s="24"/>
      <c r="CJ725" s="24"/>
    </row>
    <row r="726" spans="1:88" ht="15" customHeight="1">
      <c r="A726" s="18">
        <v>2019</v>
      </c>
      <c r="B726" s="18" t="str">
        <f>+INDEX(BDD!F:F,MATCH(P726,BDD!D:D,0))&amp;"-"&amp;INDEX(BDD!E:E,MATCH(P726,BDD!D:D,0))</f>
        <v>S-S</v>
      </c>
      <c r="C726" s="125" t="s">
        <v>484</v>
      </c>
      <c r="D726" s="150" t="s">
        <v>77</v>
      </c>
      <c r="E726" s="132"/>
      <c r="F726" s="24"/>
      <c r="G726" s="346">
        <v>8000000585</v>
      </c>
      <c r="H726" s="125" t="s">
        <v>2980</v>
      </c>
      <c r="I726" s="329"/>
      <c r="J726" s="346">
        <v>8000000585</v>
      </c>
      <c r="K726" s="24"/>
      <c r="L726" s="24"/>
      <c r="M726" s="24"/>
      <c r="N726" s="340" t="s">
        <v>486</v>
      </c>
      <c r="O726" s="334">
        <v>206971</v>
      </c>
      <c r="P726" s="25" t="s">
        <v>340</v>
      </c>
      <c r="Q726" s="127" t="s">
        <v>195</v>
      </c>
      <c r="R726" s="232" t="s">
        <v>2981</v>
      </c>
      <c r="S726" s="89">
        <v>43704</v>
      </c>
      <c r="T726" s="36">
        <v>120</v>
      </c>
      <c r="U726" s="125" t="s">
        <v>118</v>
      </c>
      <c r="V726" s="147" t="s">
        <v>2982</v>
      </c>
      <c r="W726" s="129"/>
      <c r="X726" s="88">
        <f>+BD726+T726</f>
        <v>43837</v>
      </c>
      <c r="Y726" s="130" t="s">
        <v>20</v>
      </c>
      <c r="Z726" s="133" t="s">
        <v>72</v>
      </c>
      <c r="AA726" s="133"/>
      <c r="AB726" s="148">
        <v>392</v>
      </c>
      <c r="AC726" s="134">
        <v>505.49</v>
      </c>
      <c r="AD726" s="134"/>
      <c r="AE726" s="403">
        <f t="shared" si="36"/>
        <v>198152.08000000002</v>
      </c>
      <c r="AF726" s="132">
        <f>+AB726/24.5</f>
        <v>16</v>
      </c>
      <c r="AG726" s="130" t="s">
        <v>5</v>
      </c>
      <c r="AH726" s="130"/>
      <c r="AI726" s="130" t="s">
        <v>34</v>
      </c>
      <c r="AJ726" s="130"/>
      <c r="AK726" s="130"/>
      <c r="AL726" s="135" t="s">
        <v>2983</v>
      </c>
      <c r="AM726" s="314"/>
      <c r="AN726" s="26"/>
      <c r="AO726" s="26"/>
      <c r="AP726" s="26"/>
      <c r="AQ726" s="26">
        <v>43753</v>
      </c>
      <c r="AR726" s="24"/>
      <c r="AS726" s="24"/>
      <c r="AT726" s="24">
        <v>43756</v>
      </c>
      <c r="AU726" s="418">
        <f t="shared" si="37"/>
        <v>10</v>
      </c>
      <c r="AV726" s="418">
        <f t="shared" si="38"/>
        <v>2019</v>
      </c>
      <c r="AW726" s="24"/>
      <c r="AX726" s="28"/>
      <c r="AY726" s="28" t="s">
        <v>165</v>
      </c>
      <c r="AZ726" s="132" t="s">
        <v>37</v>
      </c>
      <c r="BA726" s="132"/>
      <c r="BB726" s="24" t="s">
        <v>2956</v>
      </c>
      <c r="BC726" s="135" t="s">
        <v>2984</v>
      </c>
      <c r="BD726" s="24">
        <v>43717</v>
      </c>
      <c r="BE726" s="135" t="s">
        <v>2985</v>
      </c>
      <c r="BF726" s="135" t="s">
        <v>2986</v>
      </c>
      <c r="BG726" s="135" t="s">
        <v>2987</v>
      </c>
      <c r="BH726" s="135"/>
      <c r="BI726" s="314"/>
      <c r="BJ726" s="314"/>
      <c r="BK726" s="24"/>
      <c r="BL726" s="24"/>
      <c r="BM726" s="24"/>
      <c r="BN726" s="24"/>
      <c r="BO726" s="24">
        <f>+AQ726+14</f>
        <v>43767</v>
      </c>
      <c r="BP726" s="24"/>
      <c r="BQ726" s="24"/>
      <c r="BR726" s="43"/>
      <c r="BS726" s="24"/>
      <c r="BT726" s="24"/>
      <c r="BU726" s="24"/>
      <c r="BV726" s="132" t="e">
        <f>IF(#REF!="COMPLETO","OK","PENDIENTES")</f>
        <v>#REF!</v>
      </c>
      <c r="BW726" s="132"/>
      <c r="BX726" s="132"/>
      <c r="BY726" s="132"/>
      <c r="BZ726" s="132"/>
      <c r="CA726" s="132"/>
      <c r="CB726" s="132"/>
      <c r="CC726" s="22"/>
      <c r="CG726" s="24" t="s">
        <v>105</v>
      </c>
      <c r="CH726" s="24"/>
      <c r="CI726" s="24"/>
      <c r="CJ726" s="24"/>
    </row>
    <row r="727" spans="1:88" ht="15" customHeight="1">
      <c r="A727" s="18">
        <v>2019</v>
      </c>
      <c r="B727" s="18" t="str">
        <f>+INDEX(BDD!F:F,MATCH(P727,BDD!D:D,0))&amp;"-"&amp;INDEX(BDD!E:E,MATCH(P727,BDD!D:D,0))</f>
        <v>S-S</v>
      </c>
      <c r="C727" s="125" t="s">
        <v>484</v>
      </c>
      <c r="D727" s="150" t="s">
        <v>77</v>
      </c>
      <c r="E727" s="132"/>
      <c r="F727" s="24"/>
      <c r="G727" s="346">
        <v>8000000597</v>
      </c>
      <c r="H727" s="125" t="s">
        <v>2988</v>
      </c>
      <c r="I727" s="329"/>
      <c r="J727" s="346">
        <v>8000000597</v>
      </c>
      <c r="K727" s="24"/>
      <c r="L727" s="24"/>
      <c r="M727" s="24"/>
      <c r="N727" s="340" t="s">
        <v>486</v>
      </c>
      <c r="O727" s="334">
        <v>206971</v>
      </c>
      <c r="P727" s="25" t="s">
        <v>340</v>
      </c>
      <c r="Q727" s="127" t="s">
        <v>195</v>
      </c>
      <c r="R727" s="232" t="s">
        <v>2981</v>
      </c>
      <c r="S727" s="89">
        <v>43704</v>
      </c>
      <c r="T727" s="36">
        <v>120</v>
      </c>
      <c r="U727" s="125" t="s">
        <v>118</v>
      </c>
      <c r="V727" s="147" t="s">
        <v>2989</v>
      </c>
      <c r="W727" s="129"/>
      <c r="X727" s="88">
        <f>+BD727+T727</f>
        <v>43844</v>
      </c>
      <c r="Y727" s="130" t="s">
        <v>20</v>
      </c>
      <c r="Z727" s="133" t="s">
        <v>72</v>
      </c>
      <c r="AA727" s="133"/>
      <c r="AB727" s="148">
        <v>710.5</v>
      </c>
      <c r="AC727" s="134">
        <v>513.59</v>
      </c>
      <c r="AD727" s="134"/>
      <c r="AE727" s="403">
        <f t="shared" si="36"/>
        <v>364905.69500000001</v>
      </c>
      <c r="AF727" s="132">
        <f>+AB727/24.5</f>
        <v>29</v>
      </c>
      <c r="AG727" s="130" t="s">
        <v>5</v>
      </c>
      <c r="AH727" s="130"/>
      <c r="AI727" s="130" t="s">
        <v>34</v>
      </c>
      <c r="AJ727" s="130"/>
      <c r="AK727" s="130"/>
      <c r="AL727" s="135" t="s">
        <v>2983</v>
      </c>
      <c r="AM727" s="314"/>
      <c r="AN727" s="26"/>
      <c r="AO727" s="26"/>
      <c r="AP727" s="26"/>
      <c r="AQ727" s="26">
        <v>43771</v>
      </c>
      <c r="AR727" s="24"/>
      <c r="AS727" s="24"/>
      <c r="AT727" s="24">
        <v>43778</v>
      </c>
      <c r="AU727" s="418">
        <f t="shared" si="37"/>
        <v>11</v>
      </c>
      <c r="AV727" s="418">
        <f t="shared" si="38"/>
        <v>2019</v>
      </c>
      <c r="AW727" s="24"/>
      <c r="AX727" s="28"/>
      <c r="AY727" s="28" t="s">
        <v>165</v>
      </c>
      <c r="AZ727" s="132" t="s">
        <v>9</v>
      </c>
      <c r="BA727" s="132"/>
      <c r="BB727" s="24" t="s">
        <v>2956</v>
      </c>
      <c r="BC727" s="135" t="s">
        <v>2990</v>
      </c>
      <c r="BD727" s="24">
        <v>43724</v>
      </c>
      <c r="BE727" s="135" t="s">
        <v>2985</v>
      </c>
      <c r="BF727" s="135" t="s">
        <v>769</v>
      </c>
      <c r="BG727" s="135" t="s">
        <v>2991</v>
      </c>
      <c r="BH727" s="135"/>
      <c r="BI727" s="314"/>
      <c r="BJ727" s="314"/>
      <c r="BK727" s="24"/>
      <c r="BL727" s="24"/>
      <c r="BM727" s="24"/>
      <c r="BN727" s="24"/>
      <c r="BO727" s="24">
        <f>+AQ727+14</f>
        <v>43785</v>
      </c>
      <c r="BP727" s="24"/>
      <c r="BQ727" s="24"/>
      <c r="BR727" s="43"/>
      <c r="BS727" s="24"/>
      <c r="BT727" s="24"/>
      <c r="BU727" s="24"/>
      <c r="BV727" s="132" t="e">
        <f>IF(#REF!="COMPLETO","OK","PENDIENTES")</f>
        <v>#REF!</v>
      </c>
      <c r="BW727" s="132"/>
      <c r="BX727" s="132"/>
      <c r="BY727" s="132"/>
      <c r="BZ727" s="132"/>
      <c r="CA727" s="132"/>
      <c r="CB727" s="132"/>
      <c r="CC727" s="22"/>
      <c r="CG727" s="24" t="s">
        <v>105</v>
      </c>
      <c r="CH727" s="24"/>
      <c r="CI727" s="24"/>
      <c r="CJ727" s="24"/>
    </row>
    <row r="728" spans="1:88" ht="15" customHeight="1">
      <c r="A728" s="18">
        <v>2019</v>
      </c>
      <c r="B728" s="18" t="str">
        <f>+INDEX(BDD!F:F,MATCH(P728,BDD!D:D,0))&amp;"-"&amp;INDEX(BDD!E:E,MATCH(P728,BDD!D:D,0))</f>
        <v>S-S</v>
      </c>
      <c r="C728" s="125" t="s">
        <v>484</v>
      </c>
      <c r="D728" s="150" t="s">
        <v>77</v>
      </c>
      <c r="E728" s="132"/>
      <c r="F728" s="24"/>
      <c r="G728" s="346">
        <v>8000000598</v>
      </c>
      <c r="H728" s="125" t="s">
        <v>2992</v>
      </c>
      <c r="I728" s="329"/>
      <c r="J728" s="346">
        <v>8000000598</v>
      </c>
      <c r="K728" s="24"/>
      <c r="L728" s="24"/>
      <c r="M728" s="24"/>
      <c r="N728" s="340" t="s">
        <v>486</v>
      </c>
      <c r="O728" s="334">
        <v>206971</v>
      </c>
      <c r="P728" s="25" t="s">
        <v>340</v>
      </c>
      <c r="Q728" s="127" t="s">
        <v>195</v>
      </c>
      <c r="R728" s="232" t="s">
        <v>2981</v>
      </c>
      <c r="S728" s="89">
        <v>43704</v>
      </c>
      <c r="T728" s="36">
        <v>120</v>
      </c>
      <c r="U728" s="125" t="s">
        <v>118</v>
      </c>
      <c r="V728" s="147" t="s">
        <v>2993</v>
      </c>
      <c r="W728" s="129"/>
      <c r="X728" s="88">
        <f>+BD728+T728</f>
        <v>43855</v>
      </c>
      <c r="Y728" s="130" t="s">
        <v>20</v>
      </c>
      <c r="Z728" s="133" t="s">
        <v>72</v>
      </c>
      <c r="AA728" s="133"/>
      <c r="AB728" s="148">
        <v>906.5</v>
      </c>
      <c r="AC728" s="134">
        <v>513.59</v>
      </c>
      <c r="AD728" s="134"/>
      <c r="AE728" s="403">
        <f t="shared" si="36"/>
        <v>465569.33500000002</v>
      </c>
      <c r="AF728" s="132">
        <f>+AB728/24.5</f>
        <v>37</v>
      </c>
      <c r="AG728" s="130" t="s">
        <v>5</v>
      </c>
      <c r="AH728" s="130"/>
      <c r="AI728" s="130" t="s">
        <v>34</v>
      </c>
      <c r="AJ728" s="130"/>
      <c r="AK728" s="130"/>
      <c r="AL728" s="135" t="s">
        <v>2983</v>
      </c>
      <c r="AM728" s="314"/>
      <c r="AN728" s="26"/>
      <c r="AO728" s="26"/>
      <c r="AP728" s="26"/>
      <c r="AQ728" s="26">
        <v>43777</v>
      </c>
      <c r="AR728" s="24"/>
      <c r="AS728" s="24"/>
      <c r="AT728" s="24">
        <v>43783</v>
      </c>
      <c r="AU728" s="418">
        <f t="shared" si="37"/>
        <v>11</v>
      </c>
      <c r="AV728" s="418">
        <f t="shared" si="38"/>
        <v>2019</v>
      </c>
      <c r="AW728" s="24"/>
      <c r="AX728" s="28"/>
      <c r="AY728" s="28" t="s">
        <v>165</v>
      </c>
      <c r="AZ728" s="132" t="s">
        <v>9</v>
      </c>
      <c r="BA728" s="132"/>
      <c r="BB728" s="24" t="s">
        <v>2956</v>
      </c>
      <c r="BC728" s="135" t="s">
        <v>2994</v>
      </c>
      <c r="BD728" s="24">
        <v>43735</v>
      </c>
      <c r="BE728" s="135" t="s">
        <v>2995</v>
      </c>
      <c r="BF728" s="135" t="s">
        <v>589</v>
      </c>
      <c r="BG728" s="135" t="s">
        <v>2991</v>
      </c>
      <c r="BH728" s="135"/>
      <c r="BI728" s="314"/>
      <c r="BJ728" s="314"/>
      <c r="BK728" s="24"/>
      <c r="BL728" s="24"/>
      <c r="BM728" s="24"/>
      <c r="BN728" s="24"/>
      <c r="BO728" s="24"/>
      <c r="BP728" s="24"/>
      <c r="BQ728" s="24"/>
      <c r="BR728" s="43"/>
      <c r="BS728" s="24"/>
      <c r="BT728" s="24"/>
      <c r="BU728" s="24"/>
      <c r="BV728" s="132" t="e">
        <f>IF(#REF!="COMPLETO","OK","PENDIENTES")</f>
        <v>#REF!</v>
      </c>
      <c r="BW728" s="132"/>
      <c r="BX728" s="132"/>
      <c r="BY728" s="132"/>
      <c r="BZ728" s="132"/>
      <c r="CA728" s="132"/>
      <c r="CB728" s="132"/>
      <c r="CC728" s="22"/>
      <c r="CG728" s="24" t="s">
        <v>105</v>
      </c>
      <c r="CH728" s="24"/>
      <c r="CI728" s="24"/>
      <c r="CJ728" s="24"/>
    </row>
    <row r="729" spans="1:88" ht="15" customHeight="1">
      <c r="A729" s="18">
        <v>2019</v>
      </c>
      <c r="B729" s="18" t="str">
        <f>+INDEX(BDD!F:F,MATCH(P729,BDD!D:D,0))&amp;"-"&amp;INDEX(BDD!E:E,MATCH(P729,BDD!D:D,0))</f>
        <v>E-S</v>
      </c>
      <c r="C729" s="125" t="s">
        <v>484</v>
      </c>
      <c r="D729" s="150" t="s">
        <v>77</v>
      </c>
      <c r="E729" s="132"/>
      <c r="F729" s="24"/>
      <c r="G729" s="346">
        <v>8000000512</v>
      </c>
      <c r="H729" s="125" t="s">
        <v>2996</v>
      </c>
      <c r="I729" s="329"/>
      <c r="J729" s="346">
        <v>8000000512</v>
      </c>
      <c r="K729" s="24"/>
      <c r="L729" s="24"/>
      <c r="M729" s="24"/>
      <c r="N729" s="340" t="s">
        <v>486</v>
      </c>
      <c r="O729" s="334">
        <v>209624</v>
      </c>
      <c r="P729" s="25" t="s">
        <v>204</v>
      </c>
      <c r="Q729" s="127" t="s">
        <v>222</v>
      </c>
      <c r="R729" s="232"/>
      <c r="S729" s="89">
        <v>43704</v>
      </c>
      <c r="T729" s="36">
        <v>60</v>
      </c>
      <c r="U729" s="125" t="s">
        <v>118</v>
      </c>
      <c r="V729" s="147" t="s">
        <v>2997</v>
      </c>
      <c r="W729" s="129"/>
      <c r="X729" s="88">
        <v>44146</v>
      </c>
      <c r="Y729" s="130" t="s">
        <v>20</v>
      </c>
      <c r="Z729" s="133" t="s">
        <v>60</v>
      </c>
      <c r="AA729" s="133"/>
      <c r="AB729" s="148">
        <v>52</v>
      </c>
      <c r="AC729" s="134">
        <v>285</v>
      </c>
      <c r="AD729" s="134"/>
      <c r="AE729" s="403">
        <f t="shared" si="36"/>
        <v>14820</v>
      </c>
      <c r="AF729" s="132">
        <v>2</v>
      </c>
      <c r="AG729" s="130" t="s">
        <v>21</v>
      </c>
      <c r="AH729" s="130"/>
      <c r="AI729" s="130" t="s">
        <v>71</v>
      </c>
      <c r="AJ729" s="130"/>
      <c r="AK729" s="130"/>
      <c r="AL729" s="135" t="s">
        <v>2899</v>
      </c>
      <c r="AM729" s="314"/>
      <c r="AN729" s="26"/>
      <c r="AO729" s="26"/>
      <c r="AP729" s="26"/>
      <c r="AQ729" s="26">
        <v>43726</v>
      </c>
      <c r="AR729" s="24"/>
      <c r="AS729" s="24"/>
      <c r="AT729" s="24">
        <v>43728</v>
      </c>
      <c r="AU729" s="418">
        <f t="shared" si="37"/>
        <v>9</v>
      </c>
      <c r="AV729" s="418">
        <f t="shared" si="38"/>
        <v>2019</v>
      </c>
      <c r="AW729" s="24"/>
      <c r="AX729" s="28"/>
      <c r="AY729" s="28" t="s">
        <v>263</v>
      </c>
      <c r="AZ729" s="132" t="s">
        <v>37</v>
      </c>
      <c r="BA729" s="132"/>
      <c r="BB729" s="24" t="s">
        <v>2956</v>
      </c>
      <c r="BC729" s="135" t="s">
        <v>2998</v>
      </c>
      <c r="BD729" s="24">
        <v>43719</v>
      </c>
      <c r="BE729" s="135" t="s">
        <v>2999</v>
      </c>
      <c r="BF729" s="135" t="s">
        <v>2999</v>
      </c>
      <c r="BG729" s="135" t="s">
        <v>3000</v>
      </c>
      <c r="BH729" s="135"/>
      <c r="BI729" s="314"/>
      <c r="BJ729" s="314"/>
      <c r="BK729" s="24"/>
      <c r="BL729" s="24"/>
      <c r="BM729" s="24"/>
      <c r="BN729" s="24"/>
      <c r="BO729" s="24"/>
      <c r="BP729" s="24"/>
      <c r="BQ729" s="24"/>
      <c r="BR729" s="43"/>
      <c r="BS729" s="24"/>
      <c r="BT729" s="24"/>
      <c r="BU729" s="24"/>
      <c r="BV729" s="132" t="e">
        <f>IF(#REF!="COMPLETO","OK","PENDIENTES")</f>
        <v>#REF!</v>
      </c>
      <c r="BW729" s="132"/>
      <c r="BX729" s="132"/>
      <c r="BY729" s="132"/>
      <c r="BZ729" s="132"/>
      <c r="CA729" s="132"/>
      <c r="CB729" s="132"/>
      <c r="CC729" s="22"/>
      <c r="CG729" s="24" t="s">
        <v>105</v>
      </c>
      <c r="CH729" s="24"/>
      <c r="CI729" s="24"/>
      <c r="CJ729" s="24"/>
    </row>
    <row r="730" spans="1:88" ht="15" customHeight="1">
      <c r="A730" s="18">
        <v>2019</v>
      </c>
      <c r="B730" s="18" t="str">
        <f>+INDEX(BDD!F:F,MATCH(P730,BDD!D:D,0))&amp;"-"&amp;INDEX(BDD!E:E,MATCH(P730,BDD!D:D,0))</f>
        <v>E-S</v>
      </c>
      <c r="C730" s="125" t="s">
        <v>484</v>
      </c>
      <c r="D730" s="150" t="s">
        <v>77</v>
      </c>
      <c r="E730" s="132"/>
      <c r="F730" s="24"/>
      <c r="G730" s="346">
        <v>8000000596</v>
      </c>
      <c r="H730" s="125" t="s">
        <v>3001</v>
      </c>
      <c r="I730" s="329"/>
      <c r="J730" s="346">
        <v>8000000596</v>
      </c>
      <c r="K730" s="24"/>
      <c r="L730" s="24"/>
      <c r="M730" s="24"/>
      <c r="N730" s="340" t="s">
        <v>486</v>
      </c>
      <c r="O730" s="334">
        <v>204826</v>
      </c>
      <c r="P730" s="25" t="s">
        <v>351</v>
      </c>
      <c r="Q730" s="127" t="s">
        <v>252</v>
      </c>
      <c r="R730" s="232" t="s">
        <v>3002</v>
      </c>
      <c r="S730" s="89">
        <v>43693</v>
      </c>
      <c r="T730" s="36" t="s">
        <v>19</v>
      </c>
      <c r="U730" s="125"/>
      <c r="V730" s="147" t="s">
        <v>3003</v>
      </c>
      <c r="W730" s="129"/>
      <c r="X730" s="88">
        <v>43760</v>
      </c>
      <c r="Y730" s="130" t="s">
        <v>20</v>
      </c>
      <c r="Z730" s="133" t="s">
        <v>60</v>
      </c>
      <c r="AA730" s="133"/>
      <c r="AB730" s="148">
        <v>374.4</v>
      </c>
      <c r="AC730" s="134">
        <v>320</v>
      </c>
      <c r="AD730" s="134"/>
      <c r="AE730" s="403">
        <f t="shared" si="36"/>
        <v>119808</v>
      </c>
      <c r="AF730" s="132">
        <v>13</v>
      </c>
      <c r="AG730" s="130" t="s">
        <v>21</v>
      </c>
      <c r="AH730" s="130"/>
      <c r="AI730" s="130" t="s">
        <v>71</v>
      </c>
      <c r="AJ730" s="130"/>
      <c r="AK730" s="130"/>
      <c r="AL730" s="135" t="s">
        <v>2944</v>
      </c>
      <c r="AM730" s="314"/>
      <c r="AN730" s="26"/>
      <c r="AO730" s="26"/>
      <c r="AP730" s="26"/>
      <c r="AQ730" s="26">
        <v>43774</v>
      </c>
      <c r="AR730" s="24"/>
      <c r="AS730" s="24"/>
      <c r="AT730" s="24">
        <v>43777</v>
      </c>
      <c r="AU730" s="418">
        <f t="shared" si="37"/>
        <v>11</v>
      </c>
      <c r="AV730" s="418">
        <f t="shared" si="38"/>
        <v>2019</v>
      </c>
      <c r="AW730" s="24"/>
      <c r="AX730" s="28"/>
      <c r="AY730" s="28" t="s">
        <v>281</v>
      </c>
      <c r="AZ730" s="132" t="s">
        <v>37</v>
      </c>
      <c r="BA730" s="132"/>
      <c r="BB730" s="24" t="s">
        <v>2956</v>
      </c>
      <c r="BC730" s="135" t="s">
        <v>3004</v>
      </c>
      <c r="BD730" s="24">
        <v>43744</v>
      </c>
      <c r="BE730" s="135" t="s">
        <v>3005</v>
      </c>
      <c r="BF730" s="253" t="s">
        <v>2951</v>
      </c>
      <c r="BG730" s="135" t="s">
        <v>41</v>
      </c>
      <c r="BH730" s="135"/>
      <c r="BI730" s="314"/>
      <c r="BJ730" s="314"/>
      <c r="BK730" s="24"/>
      <c r="BL730" s="24"/>
      <c r="BM730" s="24"/>
      <c r="BN730" s="24"/>
      <c r="BO730" s="24">
        <f>+AQ730+21</f>
        <v>43795</v>
      </c>
      <c r="BP730" s="24"/>
      <c r="BQ730" s="24"/>
      <c r="BR730" s="43"/>
      <c r="BS730" s="24"/>
      <c r="BT730" s="24"/>
      <c r="BU730" s="24"/>
      <c r="BV730" s="132" t="e">
        <f>IF(#REF!="COMPLETO","OK","PENDIENTES")</f>
        <v>#REF!</v>
      </c>
      <c r="BW730" s="132"/>
      <c r="BX730" s="132"/>
      <c r="BY730" s="132"/>
      <c r="BZ730" s="132"/>
      <c r="CA730" s="132"/>
      <c r="CB730" s="132"/>
      <c r="CC730" s="22"/>
      <c r="CG730" s="24" t="s">
        <v>105</v>
      </c>
      <c r="CH730" s="24"/>
      <c r="CI730" s="24"/>
      <c r="CJ730" s="24"/>
    </row>
    <row r="731" spans="1:88" ht="15" customHeight="1">
      <c r="A731" s="18">
        <v>2019</v>
      </c>
      <c r="B731" s="18" t="str">
        <f>+INDEX(BDD!F:F,MATCH(P731,BDD!D:D,0))&amp;"-"&amp;INDEX(BDD!E:E,MATCH(P731,BDD!D:D,0))</f>
        <v>E-S</v>
      </c>
      <c r="C731" s="125" t="s">
        <v>484</v>
      </c>
      <c r="D731" s="150" t="s">
        <v>77</v>
      </c>
      <c r="E731" s="132"/>
      <c r="F731" s="24"/>
      <c r="G731" s="346">
        <v>8000000606</v>
      </c>
      <c r="H731" s="125" t="s">
        <v>3006</v>
      </c>
      <c r="I731" s="329"/>
      <c r="J731" s="346">
        <v>8000000606</v>
      </c>
      <c r="K731" s="24"/>
      <c r="L731" s="24"/>
      <c r="M731" s="24"/>
      <c r="N731" s="340" t="s">
        <v>486</v>
      </c>
      <c r="O731" s="334">
        <v>204826</v>
      </c>
      <c r="P731" s="25" t="s">
        <v>351</v>
      </c>
      <c r="Q731" s="127" t="s">
        <v>252</v>
      </c>
      <c r="R731" s="232" t="s">
        <v>3002</v>
      </c>
      <c r="S731" s="89">
        <v>43693</v>
      </c>
      <c r="T731" s="36" t="s">
        <v>19</v>
      </c>
      <c r="U731" s="125"/>
      <c r="V731" s="147" t="s">
        <v>3007</v>
      </c>
      <c r="W731" s="129"/>
      <c r="X731" s="88">
        <v>43768</v>
      </c>
      <c r="Y731" s="130" t="s">
        <v>20</v>
      </c>
      <c r="Z731" s="133" t="s">
        <v>60</v>
      </c>
      <c r="AA731" s="133"/>
      <c r="AB731" s="148">
        <v>371.2</v>
      </c>
      <c r="AC731" s="134">
        <v>320</v>
      </c>
      <c r="AD731" s="134"/>
      <c r="AE731" s="403">
        <f t="shared" si="36"/>
        <v>118784</v>
      </c>
      <c r="AF731" s="132">
        <v>13</v>
      </c>
      <c r="AG731" s="130" t="s">
        <v>21</v>
      </c>
      <c r="AH731" s="130"/>
      <c r="AI731" s="130" t="s">
        <v>71</v>
      </c>
      <c r="AJ731" s="130"/>
      <c r="AK731" s="130"/>
      <c r="AL731" s="135" t="s">
        <v>2944</v>
      </c>
      <c r="AM731" s="314"/>
      <c r="AN731" s="26"/>
      <c r="AO731" s="26"/>
      <c r="AP731" s="26"/>
      <c r="AQ731" s="26">
        <v>43789</v>
      </c>
      <c r="AR731" s="24"/>
      <c r="AS731" s="24"/>
      <c r="AT731" s="24">
        <v>43791</v>
      </c>
      <c r="AU731" s="418">
        <f t="shared" si="37"/>
        <v>11</v>
      </c>
      <c r="AV731" s="418">
        <f t="shared" si="38"/>
        <v>2019</v>
      </c>
      <c r="AW731" s="24"/>
      <c r="AX731" s="28"/>
      <c r="AY731" s="28" t="s">
        <v>281</v>
      </c>
      <c r="AZ731" s="132" t="s">
        <v>37</v>
      </c>
      <c r="BA731" s="132"/>
      <c r="BB731" s="24" t="s">
        <v>2956</v>
      </c>
      <c r="BC731" s="135" t="s">
        <v>3008</v>
      </c>
      <c r="BD731" s="24">
        <v>43758</v>
      </c>
      <c r="BE731" s="135" t="s">
        <v>3009</v>
      </c>
      <c r="BF731" s="135" t="s">
        <v>2603</v>
      </c>
      <c r="BG731" s="135" t="s">
        <v>41</v>
      </c>
      <c r="BH731" s="135"/>
      <c r="BI731" s="314"/>
      <c r="BJ731" s="314"/>
      <c r="BK731" s="24"/>
      <c r="BL731" s="24"/>
      <c r="BM731" s="24"/>
      <c r="BN731" s="24"/>
      <c r="BO731" s="24">
        <f>+AQ731+21</f>
        <v>43810</v>
      </c>
      <c r="BP731" s="24"/>
      <c r="BQ731" s="24"/>
      <c r="BR731" s="43"/>
      <c r="BS731" s="24"/>
      <c r="BT731" s="24"/>
      <c r="BU731" s="24"/>
      <c r="BV731" s="132" t="e">
        <f>IF(#REF!="COMPLETO","OK","PENDIENTES")</f>
        <v>#REF!</v>
      </c>
      <c r="BW731" s="132"/>
      <c r="BX731" s="132"/>
      <c r="BY731" s="132"/>
      <c r="BZ731" s="132"/>
      <c r="CA731" s="132"/>
      <c r="CB731" s="132"/>
      <c r="CC731" s="22"/>
      <c r="CG731" s="24" t="s">
        <v>105</v>
      </c>
      <c r="CH731" s="24"/>
      <c r="CI731" s="24"/>
      <c r="CJ731" s="24"/>
    </row>
    <row r="732" spans="1:88" ht="15" customHeight="1">
      <c r="A732" s="18">
        <v>2019</v>
      </c>
      <c r="B732" s="18" t="str">
        <f>+INDEX(BDD!F:F,MATCH(P732,BDD!D:D,0))&amp;"-"&amp;INDEX(BDD!E:E,MATCH(P732,BDD!D:D,0))</f>
        <v>G-S</v>
      </c>
      <c r="C732" s="125" t="s">
        <v>484</v>
      </c>
      <c r="D732" s="150" t="s">
        <v>77</v>
      </c>
      <c r="E732" s="132"/>
      <c r="F732" s="24"/>
      <c r="G732" s="346">
        <v>8000000557</v>
      </c>
      <c r="H732" s="125" t="s">
        <v>3010</v>
      </c>
      <c r="I732" s="329"/>
      <c r="J732" s="346">
        <v>8000000557</v>
      </c>
      <c r="K732" s="24"/>
      <c r="L732" s="24"/>
      <c r="M732" s="24"/>
      <c r="N732" s="340" t="s">
        <v>486</v>
      </c>
      <c r="O732" s="334">
        <v>209371</v>
      </c>
      <c r="P732" s="25" t="s">
        <v>147</v>
      </c>
      <c r="Q732" s="127" t="s">
        <v>179</v>
      </c>
      <c r="R732" s="232" t="s">
        <v>3011</v>
      </c>
      <c r="S732" s="89">
        <v>43707</v>
      </c>
      <c r="T732" s="36">
        <v>120</v>
      </c>
      <c r="U732" s="125"/>
      <c r="V732" s="147" t="s">
        <v>3012</v>
      </c>
      <c r="W732" s="129"/>
      <c r="X732" s="88">
        <v>43840</v>
      </c>
      <c r="Y732" s="130" t="s">
        <v>20</v>
      </c>
      <c r="Z732" s="133" t="s">
        <v>60</v>
      </c>
      <c r="AA732" s="133"/>
      <c r="AB732" s="148">
        <v>800</v>
      </c>
      <c r="AC732" s="134">
        <v>366.6</v>
      </c>
      <c r="AD732" s="134"/>
      <c r="AE732" s="403">
        <f t="shared" si="36"/>
        <v>293280</v>
      </c>
      <c r="AF732" s="132" t="s">
        <v>944</v>
      </c>
      <c r="AG732" s="130" t="s">
        <v>46</v>
      </c>
      <c r="AH732" s="130"/>
      <c r="AI732" s="130" t="s">
        <v>100</v>
      </c>
      <c r="AJ732" s="130"/>
      <c r="AK732" s="130"/>
      <c r="AL732" s="135" t="s">
        <v>2899</v>
      </c>
      <c r="AM732" s="314"/>
      <c r="AN732" s="26"/>
      <c r="AO732" s="26"/>
      <c r="AP732" s="26"/>
      <c r="AQ732" s="26">
        <v>43729</v>
      </c>
      <c r="AR732" s="24"/>
      <c r="AS732" s="24"/>
      <c r="AT732" s="24">
        <v>43730</v>
      </c>
      <c r="AU732" s="418">
        <f t="shared" si="37"/>
        <v>9</v>
      </c>
      <c r="AV732" s="418">
        <f t="shared" si="38"/>
        <v>2019</v>
      </c>
      <c r="AW732" s="24"/>
      <c r="AX732" s="28"/>
      <c r="AY732" s="28" t="s">
        <v>215</v>
      </c>
      <c r="AZ732" s="132" t="s">
        <v>25</v>
      </c>
      <c r="BA732" s="132"/>
      <c r="BB732" s="24" t="s">
        <v>2956</v>
      </c>
      <c r="BC732" s="135">
        <v>7</v>
      </c>
      <c r="BD732" s="24">
        <v>43721</v>
      </c>
      <c r="BE732" s="135" t="s">
        <v>3013</v>
      </c>
      <c r="BF732" s="135" t="s">
        <v>3013</v>
      </c>
      <c r="BG732" s="135" t="s">
        <v>52</v>
      </c>
      <c r="BH732" s="135"/>
      <c r="BI732" s="314"/>
      <c r="BJ732" s="314"/>
      <c r="BK732" s="24"/>
      <c r="BL732" s="24"/>
      <c r="BM732" s="24"/>
      <c r="BN732" s="24"/>
      <c r="BO732" s="24"/>
      <c r="BP732" s="24"/>
      <c r="BQ732" s="24"/>
      <c r="BR732" s="43"/>
      <c r="BS732" s="24"/>
      <c r="BT732" s="24"/>
      <c r="BU732" s="24"/>
      <c r="BV732" s="132" t="e">
        <f>IF(#REF!="COMPLETO","OK","PENDIENTES")</f>
        <v>#REF!</v>
      </c>
      <c r="BW732" s="132"/>
      <c r="BX732" s="132"/>
      <c r="BY732" s="132"/>
      <c r="BZ732" s="132"/>
      <c r="CA732" s="132"/>
      <c r="CB732" s="132"/>
      <c r="CC732" s="22"/>
      <c r="CG732" s="24" t="s">
        <v>105</v>
      </c>
      <c r="CH732" s="24"/>
      <c r="CI732" s="24"/>
      <c r="CJ732" s="24"/>
    </row>
    <row r="733" spans="1:88" ht="15" customHeight="1">
      <c r="A733" s="18">
        <v>2019</v>
      </c>
      <c r="B733" s="18" t="str">
        <f>+INDEX(BDD!F:F,MATCH(P733,BDD!D:D,0))&amp;"-"&amp;INDEX(BDD!E:E,MATCH(P733,BDD!D:D,0))</f>
        <v>G-S</v>
      </c>
      <c r="C733" s="125" t="s">
        <v>484</v>
      </c>
      <c r="D733" s="150" t="s">
        <v>77</v>
      </c>
      <c r="E733" s="132"/>
      <c r="F733" s="24"/>
      <c r="G733" s="346">
        <v>8000000549</v>
      </c>
      <c r="H733" s="125" t="s">
        <v>3014</v>
      </c>
      <c r="I733" s="329"/>
      <c r="J733" s="346">
        <v>8000000549</v>
      </c>
      <c r="K733" s="24"/>
      <c r="L733" s="24"/>
      <c r="M733" s="24"/>
      <c r="N733" s="340" t="s">
        <v>486</v>
      </c>
      <c r="O733" s="334">
        <v>206226</v>
      </c>
      <c r="P733" s="25" t="s">
        <v>147</v>
      </c>
      <c r="Q733" s="127" t="s">
        <v>179</v>
      </c>
      <c r="R733" s="232" t="s">
        <v>3011</v>
      </c>
      <c r="S733" s="89">
        <v>43707</v>
      </c>
      <c r="T733" s="36" t="s">
        <v>19</v>
      </c>
      <c r="U733" s="125"/>
      <c r="V733" s="147" t="s">
        <v>3015</v>
      </c>
      <c r="W733" s="129"/>
      <c r="X733" s="88">
        <v>43726</v>
      </c>
      <c r="Y733" s="130" t="s">
        <v>20</v>
      </c>
      <c r="Z733" s="133" t="s">
        <v>60</v>
      </c>
      <c r="AA733" s="133"/>
      <c r="AB733" s="148">
        <v>1000</v>
      </c>
      <c r="AC733" s="134">
        <v>360</v>
      </c>
      <c r="AD733" s="134"/>
      <c r="AE733" s="403">
        <f t="shared" si="36"/>
        <v>360000</v>
      </c>
      <c r="AF733" s="132" t="s">
        <v>944</v>
      </c>
      <c r="AG733" s="130" t="s">
        <v>46</v>
      </c>
      <c r="AH733" s="130"/>
      <c r="AI733" s="130" t="s">
        <v>100</v>
      </c>
      <c r="AJ733" s="130"/>
      <c r="AK733" s="130"/>
      <c r="AL733" s="135" t="s">
        <v>2899</v>
      </c>
      <c r="AM733" s="314"/>
      <c r="AN733" s="26"/>
      <c r="AO733" s="26"/>
      <c r="AP733" s="26"/>
      <c r="AQ733" s="26">
        <v>43729</v>
      </c>
      <c r="AR733" s="24"/>
      <c r="AS733" s="24"/>
      <c r="AT733" s="24">
        <v>43730</v>
      </c>
      <c r="AU733" s="418">
        <f t="shared" si="37"/>
        <v>9</v>
      </c>
      <c r="AV733" s="418">
        <f t="shared" si="38"/>
        <v>2019</v>
      </c>
      <c r="AW733" s="24"/>
      <c r="AX733" s="28"/>
      <c r="AY733" s="28" t="s">
        <v>215</v>
      </c>
      <c r="AZ733" s="132" t="s">
        <v>25</v>
      </c>
      <c r="BA733" s="132"/>
      <c r="BB733" s="24" t="s">
        <v>2956</v>
      </c>
      <c r="BC733" s="135">
        <v>6</v>
      </c>
      <c r="BD733" s="24">
        <v>43721</v>
      </c>
      <c r="BE733" s="135" t="s">
        <v>3013</v>
      </c>
      <c r="BF733" s="135" t="s">
        <v>3013</v>
      </c>
      <c r="BG733" s="135" t="s">
        <v>52</v>
      </c>
      <c r="BH733" s="135"/>
      <c r="BI733" s="314"/>
      <c r="BJ733" s="314"/>
      <c r="BK733" s="24"/>
      <c r="BL733" s="24"/>
      <c r="BM733" s="24"/>
      <c r="BN733" s="24"/>
      <c r="BO733" s="24"/>
      <c r="BP733" s="24"/>
      <c r="BQ733" s="24"/>
      <c r="BR733" s="43"/>
      <c r="BS733" s="24"/>
      <c r="BT733" s="24"/>
      <c r="BU733" s="24"/>
      <c r="BV733" s="132" t="e">
        <f>IF(#REF!="COMPLETO","OK","PENDIENTES")</f>
        <v>#REF!</v>
      </c>
      <c r="BW733" s="132"/>
      <c r="BX733" s="132"/>
      <c r="BY733" s="132"/>
      <c r="BZ733" s="132"/>
      <c r="CA733" s="132"/>
      <c r="CB733" s="132"/>
      <c r="CC733" s="22"/>
      <c r="CG733" s="24" t="s">
        <v>105</v>
      </c>
      <c r="CH733" s="24"/>
      <c r="CI733" s="24"/>
      <c r="CJ733" s="24"/>
    </row>
    <row r="734" spans="1:88" ht="13.5" customHeight="1">
      <c r="A734" s="18">
        <v>2019</v>
      </c>
      <c r="B734" s="18" t="str">
        <f>+INDEX(BDD!F:F,MATCH(P734,BDD!D:D,0))&amp;"-"&amp;INDEX(BDD!E:E,MATCH(P734,BDD!D:D,0))</f>
        <v>G-S</v>
      </c>
      <c r="C734" s="125" t="s">
        <v>484</v>
      </c>
      <c r="D734" s="150" t="s">
        <v>77</v>
      </c>
      <c r="E734" s="132"/>
      <c r="F734" s="24"/>
      <c r="G734" s="346">
        <v>8000000558</v>
      </c>
      <c r="H734" s="125" t="s">
        <v>3016</v>
      </c>
      <c r="I734" s="329"/>
      <c r="J734" s="346">
        <v>8000000558</v>
      </c>
      <c r="K734" s="24"/>
      <c r="L734" s="24"/>
      <c r="M734" s="24"/>
      <c r="N734" s="340" t="s">
        <v>486</v>
      </c>
      <c r="O734" s="334">
        <v>209371</v>
      </c>
      <c r="P734" s="25" t="s">
        <v>147</v>
      </c>
      <c r="Q734" s="127" t="s">
        <v>179</v>
      </c>
      <c r="R734" s="232" t="s">
        <v>3011</v>
      </c>
      <c r="S734" s="89">
        <v>43707</v>
      </c>
      <c r="T734" s="36">
        <v>120</v>
      </c>
      <c r="U734" s="125"/>
      <c r="V734" s="147" t="s">
        <v>3017</v>
      </c>
      <c r="W734" s="129"/>
      <c r="X734" s="88">
        <v>43840</v>
      </c>
      <c r="Y734" s="130" t="s">
        <v>20</v>
      </c>
      <c r="Z734" s="133" t="s">
        <v>60</v>
      </c>
      <c r="AA734" s="133"/>
      <c r="AB734" s="148">
        <v>2200</v>
      </c>
      <c r="AC734" s="134">
        <v>366.6</v>
      </c>
      <c r="AD734" s="134"/>
      <c r="AE734" s="403">
        <f t="shared" si="36"/>
        <v>806520</v>
      </c>
      <c r="AF734" s="132" t="s">
        <v>944</v>
      </c>
      <c r="AG734" s="130" t="s">
        <v>46</v>
      </c>
      <c r="AH734" s="130"/>
      <c r="AI734" s="130" t="s">
        <v>100</v>
      </c>
      <c r="AJ734" s="130"/>
      <c r="AK734" s="130"/>
      <c r="AL734" s="135" t="s">
        <v>2899</v>
      </c>
      <c r="AM734" s="314"/>
      <c r="AN734" s="26"/>
      <c r="AO734" s="26"/>
      <c r="AP734" s="26"/>
      <c r="AQ734" s="26">
        <v>43735</v>
      </c>
      <c r="AR734" s="24"/>
      <c r="AS734" s="24"/>
      <c r="AT734" s="24">
        <v>43736</v>
      </c>
      <c r="AU734" s="418">
        <f t="shared" si="37"/>
        <v>9</v>
      </c>
      <c r="AV734" s="418">
        <f t="shared" si="38"/>
        <v>2019</v>
      </c>
      <c r="AW734" s="24"/>
      <c r="AX734" s="28"/>
      <c r="AY734" s="28" t="s">
        <v>215</v>
      </c>
      <c r="AZ734" s="132" t="s">
        <v>62</v>
      </c>
      <c r="BA734" s="132"/>
      <c r="BB734" s="24" t="s">
        <v>2956</v>
      </c>
      <c r="BC734" s="135">
        <v>5</v>
      </c>
      <c r="BD734" s="24">
        <v>43721</v>
      </c>
      <c r="BE734" s="135" t="s">
        <v>3013</v>
      </c>
      <c r="BF734" s="135" t="s">
        <v>3013</v>
      </c>
      <c r="BG734" s="135" t="s">
        <v>52</v>
      </c>
      <c r="BH734" s="135"/>
      <c r="BI734" s="314"/>
      <c r="BJ734" s="314"/>
      <c r="BK734" s="24"/>
      <c r="BL734" s="24"/>
      <c r="BM734" s="24"/>
      <c r="BN734" s="24"/>
      <c r="BO734" s="24"/>
      <c r="BP734" s="24"/>
      <c r="BQ734" s="24"/>
      <c r="BR734" s="43"/>
      <c r="BS734" s="24"/>
      <c r="BT734" s="24"/>
      <c r="BU734" s="24"/>
      <c r="BV734" s="132" t="e">
        <f>IF(#REF!="COMPLETO","OK","PENDIENTES")</f>
        <v>#REF!</v>
      </c>
      <c r="BW734" s="132"/>
      <c r="BX734" s="132"/>
      <c r="BY734" s="132"/>
      <c r="BZ734" s="132"/>
      <c r="CA734" s="132"/>
      <c r="CB734" s="132"/>
      <c r="CC734" s="22"/>
      <c r="CG734" s="24" t="s">
        <v>105</v>
      </c>
      <c r="CH734" s="24"/>
      <c r="CI734" s="24"/>
      <c r="CJ734" s="24"/>
    </row>
    <row r="735" spans="1:88" ht="14.25" customHeight="1">
      <c r="A735" s="18">
        <v>2019</v>
      </c>
      <c r="B735" s="18" t="str">
        <f>+INDEX(BDD!F:F,MATCH(P735,BDD!D:D,0))&amp;"-"&amp;INDEX(BDD!E:E,MATCH(P735,BDD!D:D,0))</f>
        <v>G-S</v>
      </c>
      <c r="C735" s="125" t="s">
        <v>484</v>
      </c>
      <c r="D735" s="150" t="s">
        <v>77</v>
      </c>
      <c r="E735" s="132"/>
      <c r="F735" s="24"/>
      <c r="G735" s="346">
        <v>8000000550</v>
      </c>
      <c r="H735" s="125" t="s">
        <v>3018</v>
      </c>
      <c r="I735" s="329"/>
      <c r="J735" s="346">
        <v>8000000550</v>
      </c>
      <c r="K735" s="24"/>
      <c r="L735" s="24"/>
      <c r="M735" s="24"/>
      <c r="N735" s="340" t="s">
        <v>486</v>
      </c>
      <c r="O735" s="334">
        <v>206226</v>
      </c>
      <c r="P735" s="25" t="s">
        <v>147</v>
      </c>
      <c r="Q735" s="127" t="s">
        <v>179</v>
      </c>
      <c r="R735" s="232" t="s">
        <v>3011</v>
      </c>
      <c r="S735" s="89">
        <v>43707</v>
      </c>
      <c r="T735" s="36" t="s">
        <v>19</v>
      </c>
      <c r="U735" s="125"/>
      <c r="V735" s="147" t="s">
        <v>3019</v>
      </c>
      <c r="W735" s="129"/>
      <c r="X735" s="88">
        <v>43725</v>
      </c>
      <c r="Y735" s="130" t="s">
        <v>20</v>
      </c>
      <c r="Z735" s="133" t="s">
        <v>60</v>
      </c>
      <c r="AA735" s="133"/>
      <c r="AB735" s="148">
        <v>2000</v>
      </c>
      <c r="AC735" s="134">
        <v>360</v>
      </c>
      <c r="AD735" s="134"/>
      <c r="AE735" s="403">
        <f t="shared" si="36"/>
        <v>720000</v>
      </c>
      <c r="AF735" s="132" t="s">
        <v>944</v>
      </c>
      <c r="AG735" s="130" t="s">
        <v>46</v>
      </c>
      <c r="AH735" s="130"/>
      <c r="AI735" s="130" t="s">
        <v>100</v>
      </c>
      <c r="AJ735" s="130"/>
      <c r="AK735" s="130"/>
      <c r="AL735" s="135" t="s">
        <v>2899</v>
      </c>
      <c r="AM735" s="314"/>
      <c r="AN735" s="26"/>
      <c r="AO735" s="26"/>
      <c r="AP735" s="26"/>
      <c r="AQ735" s="26">
        <v>43735</v>
      </c>
      <c r="AR735" s="24"/>
      <c r="AS735" s="24"/>
      <c r="AT735" s="24">
        <v>43736</v>
      </c>
      <c r="AU735" s="418">
        <f t="shared" si="37"/>
        <v>9</v>
      </c>
      <c r="AV735" s="418">
        <f t="shared" si="38"/>
        <v>2019</v>
      </c>
      <c r="AW735" s="24"/>
      <c r="AX735" s="28"/>
      <c r="AY735" s="28" t="s">
        <v>215</v>
      </c>
      <c r="AZ735" s="132" t="s">
        <v>62</v>
      </c>
      <c r="BA735" s="132"/>
      <c r="BB735" s="24" t="s">
        <v>2956</v>
      </c>
      <c r="BC735" s="135">
        <v>4</v>
      </c>
      <c r="BD735" s="24">
        <v>43721</v>
      </c>
      <c r="BE735" s="135" t="s">
        <v>3013</v>
      </c>
      <c r="BF735" s="135" t="s">
        <v>3013</v>
      </c>
      <c r="BG735" s="135" t="s">
        <v>52</v>
      </c>
      <c r="BH735" s="135"/>
      <c r="BI735" s="314"/>
      <c r="BJ735" s="314"/>
      <c r="BK735" s="24"/>
      <c r="BL735" s="24"/>
      <c r="BM735" s="24"/>
      <c r="BN735" s="24"/>
      <c r="BO735" s="24"/>
      <c r="BP735" s="24"/>
      <c r="BQ735" s="24"/>
      <c r="BR735" s="43"/>
      <c r="BS735" s="24"/>
      <c r="BT735" s="24"/>
      <c r="BU735" s="24"/>
      <c r="BV735" s="132" t="e">
        <f>IF(#REF!="COMPLETO","OK","PENDIENTES")</f>
        <v>#REF!</v>
      </c>
      <c r="BW735" s="132"/>
      <c r="BX735" s="132"/>
      <c r="BY735" s="132"/>
      <c r="BZ735" s="132"/>
      <c r="CA735" s="132"/>
      <c r="CB735" s="132"/>
      <c r="CC735" s="22"/>
      <c r="CG735" s="24" t="s">
        <v>105</v>
      </c>
      <c r="CH735" s="24"/>
      <c r="CI735" s="24"/>
      <c r="CJ735" s="24"/>
    </row>
    <row r="736" spans="1:88" ht="15" customHeight="1">
      <c r="A736" s="18">
        <v>2019</v>
      </c>
      <c r="B736" s="18" t="str">
        <f>+INDEX(BDD!F:F,MATCH(P736,BDD!D:D,0))&amp;"-"&amp;INDEX(BDD!E:E,MATCH(P736,BDD!D:D,0))</f>
        <v>S-P</v>
      </c>
      <c r="C736" s="125" t="s">
        <v>484</v>
      </c>
      <c r="D736" s="150" t="s">
        <v>77</v>
      </c>
      <c r="E736" s="132"/>
      <c r="F736" s="24"/>
      <c r="G736" s="346">
        <v>8000000635</v>
      </c>
      <c r="H736" s="125" t="s">
        <v>3020</v>
      </c>
      <c r="I736" s="329"/>
      <c r="J736" s="346">
        <v>8000000635</v>
      </c>
      <c r="K736" s="24"/>
      <c r="L736" s="24"/>
      <c r="M736" s="24"/>
      <c r="N736" s="340" t="s">
        <v>486</v>
      </c>
      <c r="O736" s="334">
        <v>207374</v>
      </c>
      <c r="P736" s="25" t="s">
        <v>232</v>
      </c>
      <c r="Q736" s="127" t="s">
        <v>288</v>
      </c>
      <c r="R736" s="232" t="s">
        <v>3021</v>
      </c>
      <c r="S736" s="89">
        <v>43721</v>
      </c>
      <c r="T736" s="36" t="s">
        <v>4</v>
      </c>
      <c r="U736" s="125"/>
      <c r="V736" s="147" t="s">
        <v>3022</v>
      </c>
      <c r="W736" s="129"/>
      <c r="X736" s="88">
        <v>43728</v>
      </c>
      <c r="Y736" s="130" t="s">
        <v>20</v>
      </c>
      <c r="Z736" s="133" t="s">
        <v>60</v>
      </c>
      <c r="AA736" s="133"/>
      <c r="AB736" s="148">
        <f>24*11</f>
        <v>264</v>
      </c>
      <c r="AC736" s="134">
        <v>327</v>
      </c>
      <c r="AD736" s="134"/>
      <c r="AE736" s="403">
        <f t="shared" si="36"/>
        <v>86328</v>
      </c>
      <c r="AF736" s="132">
        <v>11</v>
      </c>
      <c r="AG736" s="130" t="s">
        <v>5</v>
      </c>
      <c r="AH736" s="130"/>
      <c r="AI736" s="130" t="s">
        <v>34</v>
      </c>
      <c r="AJ736" s="130"/>
      <c r="AK736" s="130"/>
      <c r="AL736" s="135" t="s">
        <v>2944</v>
      </c>
      <c r="AM736" s="314"/>
      <c r="AN736" s="26"/>
      <c r="AO736" s="26"/>
      <c r="AP736" s="26"/>
      <c r="AQ736" s="26">
        <v>43802</v>
      </c>
      <c r="AR736" s="24"/>
      <c r="AS736" s="24"/>
      <c r="AT736" s="24">
        <v>43808</v>
      </c>
      <c r="AU736" s="418">
        <f t="shared" si="37"/>
        <v>12</v>
      </c>
      <c r="AV736" s="418">
        <f t="shared" si="38"/>
        <v>2019</v>
      </c>
      <c r="AW736" s="24"/>
      <c r="AX736" s="28"/>
      <c r="AY736" s="28" t="s">
        <v>2862</v>
      </c>
      <c r="AZ736" s="132" t="s">
        <v>9</v>
      </c>
      <c r="BA736" s="132"/>
      <c r="BB736" s="24" t="s">
        <v>2956</v>
      </c>
      <c r="BC736" s="135" t="s">
        <v>3023</v>
      </c>
      <c r="BD736" s="24">
        <v>43765</v>
      </c>
      <c r="BE736" s="135" t="s">
        <v>865</v>
      </c>
      <c r="BF736" s="135" t="s">
        <v>2663</v>
      </c>
      <c r="BG736" s="135" t="s">
        <v>64</v>
      </c>
      <c r="BH736" s="135"/>
      <c r="BI736" s="314"/>
      <c r="BJ736" s="314"/>
      <c r="BK736" s="24"/>
      <c r="BL736" s="24"/>
      <c r="BM736" s="24"/>
      <c r="BN736" s="24"/>
      <c r="BO736" s="24">
        <f>+AQ736+13</f>
        <v>43815</v>
      </c>
      <c r="BP736" s="24"/>
      <c r="BQ736" s="24"/>
      <c r="BR736" s="43"/>
      <c r="BS736" s="24"/>
      <c r="BT736" s="24"/>
      <c r="BU736" s="24"/>
      <c r="BV736" s="132" t="e">
        <f>IF(#REF!="COMPLETO","OK","PENDIENTES")</f>
        <v>#REF!</v>
      </c>
      <c r="BW736" s="132"/>
      <c r="BX736" s="132"/>
      <c r="BY736" s="132"/>
      <c r="BZ736" s="132"/>
      <c r="CA736" s="132"/>
      <c r="CB736" s="132"/>
      <c r="CC736" s="22"/>
      <c r="CG736" s="24" t="s">
        <v>105</v>
      </c>
      <c r="CH736" s="24"/>
      <c r="CI736" s="24"/>
      <c r="CJ736" s="24"/>
    </row>
    <row r="737" spans="1:88" ht="15" customHeight="1">
      <c r="A737" s="18">
        <v>2019</v>
      </c>
      <c r="B737" s="18" t="str">
        <f>+INDEX(BDD!F:F,MATCH(P737,BDD!D:D,0))&amp;"-"&amp;INDEX(BDD!E:E,MATCH(P737,BDD!D:D,0))</f>
        <v>S-P</v>
      </c>
      <c r="C737" s="125" t="s">
        <v>484</v>
      </c>
      <c r="D737" s="150" t="s">
        <v>77</v>
      </c>
      <c r="E737" s="132"/>
      <c r="F737" s="24"/>
      <c r="G737" s="346">
        <v>8000000636</v>
      </c>
      <c r="H737" s="125" t="s">
        <v>3024</v>
      </c>
      <c r="I737" s="329"/>
      <c r="J737" s="346">
        <v>8000000636</v>
      </c>
      <c r="K737" s="24"/>
      <c r="L737" s="24"/>
      <c r="M737" s="24"/>
      <c r="N737" s="340" t="s">
        <v>486</v>
      </c>
      <c r="O737" s="334">
        <v>207374</v>
      </c>
      <c r="P737" s="25" t="s">
        <v>232</v>
      </c>
      <c r="Q737" s="127" t="s">
        <v>288</v>
      </c>
      <c r="R737" s="232" t="s">
        <v>3025</v>
      </c>
      <c r="S737" s="89">
        <v>43721</v>
      </c>
      <c r="T737" s="36" t="s">
        <v>4</v>
      </c>
      <c r="U737" s="125"/>
      <c r="V737" s="147" t="s">
        <v>3026</v>
      </c>
      <c r="W737" s="129"/>
      <c r="X737" s="88">
        <v>43728</v>
      </c>
      <c r="Y737" s="130" t="s">
        <v>20</v>
      </c>
      <c r="Z737" s="133" t="s">
        <v>60</v>
      </c>
      <c r="AA737" s="133"/>
      <c r="AB737" s="148">
        <f>24*11</f>
        <v>264</v>
      </c>
      <c r="AC737" s="134">
        <v>327</v>
      </c>
      <c r="AD737" s="134"/>
      <c r="AE737" s="403">
        <f t="shared" si="36"/>
        <v>86328</v>
      </c>
      <c r="AF737" s="132">
        <v>11</v>
      </c>
      <c r="AG737" s="130" t="s">
        <v>5</v>
      </c>
      <c r="AH737" s="130"/>
      <c r="AI737" s="130" t="s">
        <v>34</v>
      </c>
      <c r="AJ737" s="130"/>
      <c r="AK737" s="130"/>
      <c r="AL737" s="135" t="s">
        <v>2944</v>
      </c>
      <c r="AM737" s="314"/>
      <c r="AN737" s="26"/>
      <c r="AO737" s="26"/>
      <c r="AP737" s="26"/>
      <c r="AQ737" s="26">
        <v>43805</v>
      </c>
      <c r="AR737" s="24"/>
      <c r="AS737" s="24"/>
      <c r="AT737" s="24">
        <v>43810</v>
      </c>
      <c r="AU737" s="418">
        <f t="shared" si="37"/>
        <v>12</v>
      </c>
      <c r="AV737" s="418">
        <f t="shared" si="38"/>
        <v>2019</v>
      </c>
      <c r="AW737" s="24"/>
      <c r="AX737" s="28"/>
      <c r="AY737" s="28" t="s">
        <v>2862</v>
      </c>
      <c r="AZ737" s="132" t="s">
        <v>37</v>
      </c>
      <c r="BA737" s="132"/>
      <c r="BB737" s="24" t="s">
        <v>2956</v>
      </c>
      <c r="BC737" s="135" t="s">
        <v>3027</v>
      </c>
      <c r="BD737" s="24">
        <v>43764</v>
      </c>
      <c r="BE737" s="135" t="s">
        <v>865</v>
      </c>
      <c r="BF737" s="135" t="s">
        <v>865</v>
      </c>
      <c r="BG737" s="135" t="s">
        <v>64</v>
      </c>
      <c r="BH737" s="135"/>
      <c r="BI737" s="314"/>
      <c r="BJ737" s="314"/>
      <c r="BK737" s="24"/>
      <c r="BL737" s="24"/>
      <c r="BM737" s="24"/>
      <c r="BN737" s="24"/>
      <c r="BO737" s="24">
        <f>+AQ737+14</f>
        <v>43819</v>
      </c>
      <c r="BP737" s="24"/>
      <c r="BQ737" s="24"/>
      <c r="BR737" s="43"/>
      <c r="BS737" s="24"/>
      <c r="BT737" s="24"/>
      <c r="BU737" s="24"/>
      <c r="BV737" s="132" t="e">
        <f>IF(#REF!="COMPLETO","OK","PENDIENTES")</f>
        <v>#REF!</v>
      </c>
      <c r="BW737" s="132"/>
      <c r="BX737" s="132"/>
      <c r="BY737" s="132"/>
      <c r="BZ737" s="132"/>
      <c r="CA737" s="132"/>
      <c r="CB737" s="132"/>
      <c r="CC737" s="22"/>
      <c r="CG737" s="24" t="s">
        <v>105</v>
      </c>
      <c r="CH737" s="24"/>
      <c r="CI737" s="24"/>
      <c r="CJ737" s="24"/>
    </row>
    <row r="738" spans="1:88" ht="15" customHeight="1">
      <c r="A738" s="18">
        <v>2019</v>
      </c>
      <c r="B738" s="18" t="str">
        <f>+INDEX(BDD!F:F,MATCH(P738,BDD!D:D,0))&amp;"-"&amp;INDEX(BDD!E:E,MATCH(P738,BDD!D:D,0))</f>
        <v>S-S</v>
      </c>
      <c r="C738" s="125" t="s">
        <v>484</v>
      </c>
      <c r="D738" s="150" t="s">
        <v>77</v>
      </c>
      <c r="E738" s="132"/>
      <c r="F738" s="24"/>
      <c r="G738" s="346">
        <v>8000000602</v>
      </c>
      <c r="H738" s="125" t="s">
        <v>3028</v>
      </c>
      <c r="I738" s="329"/>
      <c r="J738" s="346">
        <v>8000000602</v>
      </c>
      <c r="K738" s="24"/>
      <c r="L738" s="24"/>
      <c r="M738" s="24"/>
      <c r="N738" s="340" t="s">
        <v>486</v>
      </c>
      <c r="O738" s="334">
        <v>203631</v>
      </c>
      <c r="P738" s="25" t="s">
        <v>340</v>
      </c>
      <c r="Q738" s="127" t="s">
        <v>203</v>
      </c>
      <c r="R738" s="232" t="s">
        <v>3029</v>
      </c>
      <c r="S738" s="89">
        <v>43712</v>
      </c>
      <c r="T738" s="36">
        <v>90</v>
      </c>
      <c r="U738" s="125" t="s">
        <v>118</v>
      </c>
      <c r="V738" s="147" t="s">
        <v>3030</v>
      </c>
      <c r="W738" s="129"/>
      <c r="X738" s="88">
        <f>+BD738+T738</f>
        <v>43822</v>
      </c>
      <c r="Y738" s="130" t="s">
        <v>20</v>
      </c>
      <c r="Z738" s="146" t="s">
        <v>72</v>
      </c>
      <c r="AA738" s="146"/>
      <c r="AB738" s="148">
        <v>72</v>
      </c>
      <c r="AC738" s="134">
        <v>495</v>
      </c>
      <c r="AD738" s="134"/>
      <c r="AE738" s="403">
        <f t="shared" si="36"/>
        <v>35640</v>
      </c>
      <c r="AF738" s="132">
        <v>3</v>
      </c>
      <c r="AG738" s="130" t="s">
        <v>5</v>
      </c>
      <c r="AH738" s="130"/>
      <c r="AI738" s="130" t="s">
        <v>34</v>
      </c>
      <c r="AJ738" s="130"/>
      <c r="AK738" s="130"/>
      <c r="AL738" s="135" t="s">
        <v>2944</v>
      </c>
      <c r="AM738" s="314"/>
      <c r="AN738" s="26"/>
      <c r="AO738" s="26"/>
      <c r="AP738" s="26"/>
      <c r="AQ738" s="26">
        <v>43785</v>
      </c>
      <c r="AR738" s="24"/>
      <c r="AS738" s="24"/>
      <c r="AT738" s="24">
        <v>43787</v>
      </c>
      <c r="AU738" s="418">
        <f t="shared" si="37"/>
        <v>11</v>
      </c>
      <c r="AV738" s="418">
        <f t="shared" si="38"/>
        <v>2019</v>
      </c>
      <c r="AW738" s="24"/>
      <c r="AX738" s="28"/>
      <c r="AY738" s="28" t="s">
        <v>185</v>
      </c>
      <c r="AZ738" s="132" t="s">
        <v>37</v>
      </c>
      <c r="BA738" s="132"/>
      <c r="BB738" s="24"/>
      <c r="BC738" s="135" t="s">
        <v>3031</v>
      </c>
      <c r="BD738" s="24">
        <v>43732</v>
      </c>
      <c r="BE738" s="135" t="s">
        <v>3032</v>
      </c>
      <c r="BF738" s="135" t="s">
        <v>2960</v>
      </c>
      <c r="BG738" s="135" t="s">
        <v>29</v>
      </c>
      <c r="BH738" s="135"/>
      <c r="BI738" s="314"/>
      <c r="BJ738" s="314"/>
      <c r="BK738" s="24"/>
      <c r="BL738" s="24"/>
      <c r="BM738" s="24"/>
      <c r="BN738" s="24"/>
      <c r="BO738" s="24">
        <f>+AQ738+20</f>
        <v>43805</v>
      </c>
      <c r="BP738" s="24"/>
      <c r="BQ738" s="24"/>
      <c r="BR738" s="43"/>
      <c r="BS738" s="24"/>
      <c r="BT738" s="24"/>
      <c r="BU738" s="24"/>
      <c r="BV738" s="132" t="e">
        <f>IF(#REF!="COMPLETO","OK","PENDIENTES")</f>
        <v>#REF!</v>
      </c>
      <c r="BW738" s="132"/>
      <c r="BX738" s="132"/>
      <c r="BY738" s="132"/>
      <c r="BZ738" s="132"/>
      <c r="CA738" s="132"/>
      <c r="CB738" s="132"/>
      <c r="CC738" s="22"/>
      <c r="CG738" s="24" t="s">
        <v>105</v>
      </c>
      <c r="CH738" s="24"/>
      <c r="CI738" s="24"/>
      <c r="CJ738" s="24"/>
    </row>
    <row r="739" spans="1:88" ht="15" customHeight="1">
      <c r="A739" s="18">
        <v>2019</v>
      </c>
      <c r="B739" s="18" t="str">
        <f>+INDEX(BDD!F:F,MATCH(P739,BDD!D:D,0))&amp;"-"&amp;INDEX(BDD!E:E,MATCH(P739,BDD!D:D,0))</f>
        <v>S-S</v>
      </c>
      <c r="C739" s="125" t="s">
        <v>484</v>
      </c>
      <c r="D739" s="150" t="s">
        <v>77</v>
      </c>
      <c r="E739" s="132"/>
      <c r="F739" s="24"/>
      <c r="G739" s="346">
        <v>8000000603</v>
      </c>
      <c r="H739" s="125" t="s">
        <v>3033</v>
      </c>
      <c r="I739" s="329"/>
      <c r="J739" s="346">
        <v>8000000603</v>
      </c>
      <c r="K739" s="24"/>
      <c r="L739" s="24"/>
      <c r="M739" s="24"/>
      <c r="N739" s="340" t="s">
        <v>486</v>
      </c>
      <c r="O739" s="334">
        <v>203631</v>
      </c>
      <c r="P739" s="25" t="s">
        <v>340</v>
      </c>
      <c r="Q739" s="127" t="s">
        <v>203</v>
      </c>
      <c r="R739" s="232" t="s">
        <v>3029</v>
      </c>
      <c r="S739" s="89">
        <v>43712</v>
      </c>
      <c r="T739" s="36">
        <v>90</v>
      </c>
      <c r="U739" s="125" t="s">
        <v>118</v>
      </c>
      <c r="V739" s="147" t="s">
        <v>3034</v>
      </c>
      <c r="W739" s="129"/>
      <c r="X739" s="88">
        <f>+BD739+T739</f>
        <v>43826</v>
      </c>
      <c r="Y739" s="130" t="s">
        <v>20</v>
      </c>
      <c r="Z739" s="146" t="s">
        <v>72</v>
      </c>
      <c r="AA739" s="146"/>
      <c r="AB739" s="148">
        <v>72</v>
      </c>
      <c r="AC739" s="134">
        <v>499</v>
      </c>
      <c r="AD739" s="134"/>
      <c r="AE739" s="403">
        <f t="shared" si="36"/>
        <v>35928</v>
      </c>
      <c r="AF739" s="132">
        <v>3</v>
      </c>
      <c r="AG739" s="130" t="s">
        <v>5</v>
      </c>
      <c r="AH739" s="130"/>
      <c r="AI739" s="130" t="s">
        <v>34</v>
      </c>
      <c r="AJ739" s="130"/>
      <c r="AK739" s="130"/>
      <c r="AL739" s="135" t="s">
        <v>2944</v>
      </c>
      <c r="AM739" s="314"/>
      <c r="AN739" s="26"/>
      <c r="AO739" s="26"/>
      <c r="AP739" s="26"/>
      <c r="AQ739" s="26">
        <v>43803</v>
      </c>
      <c r="AR739" s="24"/>
      <c r="AS739" s="24"/>
      <c r="AT739" s="24">
        <v>43804</v>
      </c>
      <c r="AU739" s="418">
        <f t="shared" si="37"/>
        <v>12</v>
      </c>
      <c r="AV739" s="418">
        <f t="shared" si="38"/>
        <v>2019</v>
      </c>
      <c r="AW739" s="24"/>
      <c r="AX739" s="28"/>
      <c r="AY739" s="28" t="s">
        <v>185</v>
      </c>
      <c r="AZ739" s="132" t="s">
        <v>9</v>
      </c>
      <c r="BA739" s="132"/>
      <c r="BB739" s="24"/>
      <c r="BC739" s="135" t="s">
        <v>3035</v>
      </c>
      <c r="BD739" s="24">
        <v>43736</v>
      </c>
      <c r="BE739" s="135" t="s">
        <v>3036</v>
      </c>
      <c r="BF739" s="135" t="s">
        <v>1938</v>
      </c>
      <c r="BG739" s="135" t="s">
        <v>29</v>
      </c>
      <c r="BH739" s="135"/>
      <c r="BI739" s="314"/>
      <c r="BJ739" s="314"/>
      <c r="BK739" s="24"/>
      <c r="BL739" s="24"/>
      <c r="BM739" s="24"/>
      <c r="BN739" s="24"/>
      <c r="BO739" s="24">
        <v>43822</v>
      </c>
      <c r="BP739" s="24"/>
      <c r="BQ739" s="24"/>
      <c r="BR739" s="43"/>
      <c r="BS739" s="24"/>
      <c r="BT739" s="24"/>
      <c r="BU739" s="24"/>
      <c r="BV739" s="132" t="e">
        <f>IF(#REF!="COMPLETO","OK","PENDIENTES")</f>
        <v>#REF!</v>
      </c>
      <c r="BW739" s="132"/>
      <c r="BX739" s="132"/>
      <c r="BY739" s="132"/>
      <c r="BZ739" s="132"/>
      <c r="CA739" s="132"/>
      <c r="CB739" s="132"/>
      <c r="CC739" s="22"/>
      <c r="CG739" s="24" t="s">
        <v>105</v>
      </c>
      <c r="CH739" s="24"/>
      <c r="CI739" s="24"/>
      <c r="CJ739" s="24"/>
    </row>
    <row r="740" spans="1:88" ht="15" customHeight="1">
      <c r="A740" s="18">
        <v>2019</v>
      </c>
      <c r="B740" s="18" t="str">
        <f>+INDEX(BDD!F:F,MATCH(P740,BDD!D:D,0))&amp;"-"&amp;INDEX(BDD!E:E,MATCH(P740,BDD!D:D,0))</f>
        <v>S-S</v>
      </c>
      <c r="C740" s="125" t="s">
        <v>484</v>
      </c>
      <c r="D740" s="150" t="s">
        <v>77</v>
      </c>
      <c r="E740" s="132"/>
      <c r="F740" s="24"/>
      <c r="G740" s="346">
        <v>8000000605</v>
      </c>
      <c r="H740" s="125" t="s">
        <v>3037</v>
      </c>
      <c r="I740" s="329"/>
      <c r="J740" s="346">
        <v>8000000605</v>
      </c>
      <c r="K740" s="24"/>
      <c r="L740" s="24"/>
      <c r="M740" s="24"/>
      <c r="N740" s="340" t="s">
        <v>486</v>
      </c>
      <c r="O740" s="334">
        <v>206966</v>
      </c>
      <c r="P740" s="25" t="s">
        <v>152</v>
      </c>
      <c r="Q740" s="127" t="s">
        <v>213</v>
      </c>
      <c r="R740" s="232" t="s">
        <v>3038</v>
      </c>
      <c r="S740" s="89">
        <v>43713</v>
      </c>
      <c r="T740" s="36">
        <v>90</v>
      </c>
      <c r="U740" s="125" t="s">
        <v>2805</v>
      </c>
      <c r="V740" s="147" t="s">
        <v>3039</v>
      </c>
      <c r="W740" s="129"/>
      <c r="X740" s="88">
        <v>43853</v>
      </c>
      <c r="Y740" s="130" t="s">
        <v>20</v>
      </c>
      <c r="Z740" s="133" t="s">
        <v>72</v>
      </c>
      <c r="AA740" s="133"/>
      <c r="AB740" s="148">
        <v>140.625</v>
      </c>
      <c r="AC740" s="134">
        <v>665</v>
      </c>
      <c r="AD740" s="134"/>
      <c r="AE740" s="403">
        <f t="shared" si="36"/>
        <v>93515.625</v>
      </c>
      <c r="AF740" s="132">
        <v>6</v>
      </c>
      <c r="AG740" s="130" t="s">
        <v>5</v>
      </c>
      <c r="AH740" s="130"/>
      <c r="AI740" s="130" t="s">
        <v>34</v>
      </c>
      <c r="AJ740" s="130"/>
      <c r="AK740" s="130"/>
      <c r="AL740" s="135" t="s">
        <v>2882</v>
      </c>
      <c r="AM740" s="314"/>
      <c r="AN740" s="26"/>
      <c r="AO740" s="26"/>
      <c r="AP740" s="26"/>
      <c r="AQ740" s="26">
        <v>43792</v>
      </c>
      <c r="AR740" s="24"/>
      <c r="AS740" s="24"/>
      <c r="AT740" s="26">
        <v>43795</v>
      </c>
      <c r="AU740" s="418">
        <f t="shared" si="37"/>
        <v>11</v>
      </c>
      <c r="AV740" s="418">
        <f t="shared" si="38"/>
        <v>2019</v>
      </c>
      <c r="AW740" s="26"/>
      <c r="AX740" s="28"/>
      <c r="AY740" s="28" t="s">
        <v>230</v>
      </c>
      <c r="AZ740" s="132" t="s">
        <v>37</v>
      </c>
      <c r="BA740" s="132"/>
      <c r="BB740" s="26"/>
      <c r="BC740" s="232">
        <v>1159507427</v>
      </c>
      <c r="BD740" s="24">
        <v>43748</v>
      </c>
      <c r="BE740" s="135" t="s">
        <v>3040</v>
      </c>
      <c r="BF740" s="135" t="s">
        <v>3041</v>
      </c>
      <c r="BG740" s="135" t="s">
        <v>206</v>
      </c>
      <c r="BH740" s="135"/>
      <c r="BI740" s="314"/>
      <c r="BJ740" s="314"/>
      <c r="BK740" s="24"/>
      <c r="BL740" s="24"/>
      <c r="BM740" s="24"/>
      <c r="BN740" s="24"/>
      <c r="BO740" s="24">
        <f>+AQ740+21</f>
        <v>43813</v>
      </c>
      <c r="BP740" s="24"/>
      <c r="BQ740" s="24"/>
      <c r="BR740" s="43"/>
      <c r="BS740" s="24"/>
      <c r="BT740" s="24"/>
      <c r="BU740" s="24"/>
      <c r="BV740" s="132" t="e">
        <f>IF(#REF!="COMPLETO","OK","PENDIENTES")</f>
        <v>#REF!</v>
      </c>
      <c r="BW740" s="132"/>
      <c r="BX740" s="132"/>
      <c r="BY740" s="132"/>
      <c r="BZ740" s="132"/>
      <c r="CA740" s="132"/>
      <c r="CB740" s="132"/>
      <c r="CC740" s="22"/>
      <c r="CG740" s="24" t="s">
        <v>105</v>
      </c>
      <c r="CH740" s="24"/>
      <c r="CI740" s="26"/>
      <c r="CJ740" s="26"/>
    </row>
    <row r="741" spans="1:88" ht="15" customHeight="1">
      <c r="A741" s="18">
        <v>2019</v>
      </c>
      <c r="B741" s="18" t="str">
        <f>+INDEX(BDD!F:F,MATCH(P741,BDD!D:D,0))&amp;"-"&amp;INDEX(BDD!E:E,MATCH(P741,BDD!D:D,0))</f>
        <v>G-S</v>
      </c>
      <c r="C741" s="125" t="s">
        <v>484</v>
      </c>
      <c r="D741" s="150" t="s">
        <v>77</v>
      </c>
      <c r="E741" s="132"/>
      <c r="F741" s="24"/>
      <c r="G741" s="346">
        <v>8000000638</v>
      </c>
      <c r="H741" s="125" t="s">
        <v>3042</v>
      </c>
      <c r="I741" s="329"/>
      <c r="J741" s="346">
        <v>8000000638</v>
      </c>
      <c r="K741" s="24"/>
      <c r="L741" s="24"/>
      <c r="M741" s="24"/>
      <c r="N741" s="340" t="s">
        <v>486</v>
      </c>
      <c r="O741" s="334">
        <v>207951</v>
      </c>
      <c r="P741" s="25" t="s">
        <v>354</v>
      </c>
      <c r="Q741" s="127" t="s">
        <v>291</v>
      </c>
      <c r="R741" s="232" t="s">
        <v>3043</v>
      </c>
      <c r="S741" s="89">
        <v>43718</v>
      </c>
      <c r="T741" s="36">
        <v>120</v>
      </c>
      <c r="U741" s="125" t="s">
        <v>118</v>
      </c>
      <c r="V741" s="147" t="s">
        <v>3044</v>
      </c>
      <c r="W741" s="129"/>
      <c r="X741" s="88">
        <v>43889</v>
      </c>
      <c r="Y741" s="130" t="s">
        <v>20</v>
      </c>
      <c r="Z741" s="133" t="s">
        <v>60</v>
      </c>
      <c r="AA741" s="133"/>
      <c r="AB741" s="241">
        <v>323.62</v>
      </c>
      <c r="AC741" s="134">
        <v>287.8</v>
      </c>
      <c r="AD741" s="134"/>
      <c r="AE741" s="403">
        <f t="shared" si="36"/>
        <v>93137.83600000001</v>
      </c>
      <c r="AF741" s="145" t="s">
        <v>2822</v>
      </c>
      <c r="AG741" s="130" t="s">
        <v>46</v>
      </c>
      <c r="AH741" s="130"/>
      <c r="AI741" s="130" t="s">
        <v>100</v>
      </c>
      <c r="AJ741" s="130"/>
      <c r="AK741" s="130"/>
      <c r="AL741" s="135" t="s">
        <v>2944</v>
      </c>
      <c r="AM741" s="314"/>
      <c r="AN741" s="26"/>
      <c r="AO741" s="26"/>
      <c r="AP741" s="26"/>
      <c r="AQ741" s="26">
        <v>43801</v>
      </c>
      <c r="AR741" s="24"/>
      <c r="AS741" s="24"/>
      <c r="AT741" s="24">
        <v>43802</v>
      </c>
      <c r="AU741" s="418">
        <f t="shared" si="37"/>
        <v>12</v>
      </c>
      <c r="AV741" s="418">
        <f t="shared" si="38"/>
        <v>2019</v>
      </c>
      <c r="AW741" s="24"/>
      <c r="AX741" s="28"/>
      <c r="AY741" s="28" t="s">
        <v>269</v>
      </c>
      <c r="AZ741" s="132" t="s">
        <v>9</v>
      </c>
      <c r="BA741" s="132"/>
      <c r="BB741" s="24"/>
      <c r="BC741" s="135">
        <v>13</v>
      </c>
      <c r="BD741" s="24">
        <v>43768</v>
      </c>
      <c r="BE741" s="135" t="s">
        <v>3045</v>
      </c>
      <c r="BF741" s="135" t="s">
        <v>3045</v>
      </c>
      <c r="BG741" s="135" t="s">
        <v>52</v>
      </c>
      <c r="BH741" s="135"/>
      <c r="BI741" s="314"/>
      <c r="BJ741" s="314"/>
      <c r="BK741" s="24"/>
      <c r="BL741" s="24"/>
      <c r="BM741" s="24"/>
      <c r="BN741" s="24"/>
      <c r="BO741" s="24"/>
      <c r="BP741" s="24"/>
      <c r="BQ741" s="24"/>
      <c r="BR741" s="43"/>
      <c r="BS741" s="24"/>
      <c r="BT741" s="24"/>
      <c r="BU741" s="24"/>
      <c r="BV741" s="132" t="e">
        <f>IF(#REF!="COMPLETO","OK","PENDIENTES")</f>
        <v>#REF!</v>
      </c>
      <c r="BW741" s="132"/>
      <c r="BX741" s="132"/>
      <c r="BY741" s="132"/>
      <c r="BZ741" s="132"/>
      <c r="CA741" s="132"/>
      <c r="CB741" s="132"/>
      <c r="CC741" s="22"/>
      <c r="CG741" s="24" t="s">
        <v>105</v>
      </c>
      <c r="CH741" s="24"/>
      <c r="CI741" s="24"/>
      <c r="CJ741" s="24"/>
    </row>
    <row r="742" spans="1:88" ht="15" customHeight="1">
      <c r="A742" s="18">
        <v>2019</v>
      </c>
      <c r="B742" s="18" t="str">
        <f>+INDEX(BDD!F:F,MATCH(P742,BDD!D:D,0))&amp;"-"&amp;INDEX(BDD!E:E,MATCH(P742,BDD!D:D,0))</f>
        <v>G-S</v>
      </c>
      <c r="C742" s="125" t="s">
        <v>484</v>
      </c>
      <c r="D742" s="150" t="s">
        <v>77</v>
      </c>
      <c r="E742" s="132"/>
      <c r="F742" s="24"/>
      <c r="G742" s="346">
        <v>8000000638</v>
      </c>
      <c r="H742" s="125" t="s">
        <v>3046</v>
      </c>
      <c r="I742" s="329"/>
      <c r="J742" s="346">
        <v>8000000638</v>
      </c>
      <c r="K742" s="24"/>
      <c r="L742" s="24"/>
      <c r="M742" s="24"/>
      <c r="N742" s="340" t="s">
        <v>486</v>
      </c>
      <c r="O742" s="334">
        <v>207951</v>
      </c>
      <c r="P742" s="25" t="s">
        <v>354</v>
      </c>
      <c r="Q742" s="127" t="s">
        <v>291</v>
      </c>
      <c r="R742" s="232" t="s">
        <v>3043</v>
      </c>
      <c r="S742" s="89">
        <v>43718</v>
      </c>
      <c r="T742" s="36">
        <v>120</v>
      </c>
      <c r="U742" s="125" t="s">
        <v>118</v>
      </c>
      <c r="V742" s="147" t="s">
        <v>3047</v>
      </c>
      <c r="W742" s="129"/>
      <c r="X742" s="88">
        <v>43889</v>
      </c>
      <c r="Y742" s="130" t="s">
        <v>20</v>
      </c>
      <c r="Z742" s="133" t="s">
        <v>60</v>
      </c>
      <c r="AA742" s="133"/>
      <c r="AB742" s="241">
        <v>1546.38</v>
      </c>
      <c r="AC742" s="134">
        <v>287.8</v>
      </c>
      <c r="AD742" s="134"/>
      <c r="AE742" s="403">
        <f t="shared" si="36"/>
        <v>445048.16400000005</v>
      </c>
      <c r="AF742" s="145" t="s">
        <v>2822</v>
      </c>
      <c r="AG742" s="130" t="s">
        <v>46</v>
      </c>
      <c r="AH742" s="130"/>
      <c r="AI742" s="130" t="s">
        <v>100</v>
      </c>
      <c r="AJ742" s="130"/>
      <c r="AK742" s="130"/>
      <c r="AL742" s="135" t="s">
        <v>2944</v>
      </c>
      <c r="AM742" s="314"/>
      <c r="AN742" s="26"/>
      <c r="AO742" s="26"/>
      <c r="AP742" s="26"/>
      <c r="AQ742" s="26">
        <v>43801</v>
      </c>
      <c r="AR742" s="24"/>
      <c r="AS742" s="24"/>
      <c r="AT742" s="24">
        <v>43802</v>
      </c>
      <c r="AU742" s="418">
        <f t="shared" si="37"/>
        <v>12</v>
      </c>
      <c r="AV742" s="418">
        <f t="shared" si="38"/>
        <v>2019</v>
      </c>
      <c r="AW742" s="24"/>
      <c r="AX742" s="28"/>
      <c r="AY742" s="28" t="s">
        <v>269</v>
      </c>
      <c r="AZ742" s="132" t="s">
        <v>9</v>
      </c>
      <c r="BA742" s="132"/>
      <c r="BB742" s="24"/>
      <c r="BC742" s="135">
        <v>14</v>
      </c>
      <c r="BD742" s="24">
        <v>43768</v>
      </c>
      <c r="BE742" s="135" t="s">
        <v>3045</v>
      </c>
      <c r="BF742" s="135" t="s">
        <v>3045</v>
      </c>
      <c r="BG742" s="135" t="s">
        <v>52</v>
      </c>
      <c r="BH742" s="135"/>
      <c r="BI742" s="314"/>
      <c r="BJ742" s="314"/>
      <c r="BK742" s="24"/>
      <c r="BL742" s="24"/>
      <c r="BM742" s="24"/>
      <c r="BN742" s="24"/>
      <c r="BO742" s="24"/>
      <c r="BP742" s="24"/>
      <c r="BQ742" s="24"/>
      <c r="BR742" s="43"/>
      <c r="BS742" s="24"/>
      <c r="BT742" s="24"/>
      <c r="BU742" s="24"/>
      <c r="BV742" s="132" t="e">
        <f>IF(#REF!="COMPLETO","OK","PENDIENTES")</f>
        <v>#REF!</v>
      </c>
      <c r="BW742" s="132"/>
      <c r="BX742" s="132"/>
      <c r="BY742" s="132"/>
      <c r="BZ742" s="132"/>
      <c r="CA742" s="132"/>
      <c r="CB742" s="132"/>
      <c r="CC742" s="22"/>
      <c r="CG742" s="24" t="s">
        <v>105</v>
      </c>
      <c r="CH742" s="24"/>
      <c r="CI742" s="24"/>
      <c r="CJ742" s="24"/>
    </row>
    <row r="743" spans="1:88" ht="15" customHeight="1">
      <c r="A743" s="18">
        <v>2019</v>
      </c>
      <c r="B743" s="18" t="str">
        <f>+INDEX(BDD!F:F,MATCH(P743,BDD!D:D,0))&amp;"-"&amp;INDEX(BDD!E:E,MATCH(P743,BDD!D:D,0))</f>
        <v>G-S</v>
      </c>
      <c r="C743" s="125" t="s">
        <v>484</v>
      </c>
      <c r="D743" s="150" t="s">
        <v>77</v>
      </c>
      <c r="E743" s="132"/>
      <c r="F743" s="24"/>
      <c r="G743" s="346">
        <v>8000000639</v>
      </c>
      <c r="H743" s="125" t="s">
        <v>3048</v>
      </c>
      <c r="I743" s="329"/>
      <c r="J743" s="346">
        <v>8000000639</v>
      </c>
      <c r="K743" s="24"/>
      <c r="L743" s="24"/>
      <c r="M743" s="24"/>
      <c r="N743" s="340" t="s">
        <v>486</v>
      </c>
      <c r="O743" s="334">
        <v>207951</v>
      </c>
      <c r="P743" s="25" t="s">
        <v>354</v>
      </c>
      <c r="Q743" s="127" t="s">
        <v>291</v>
      </c>
      <c r="R743" s="232" t="s">
        <v>3043</v>
      </c>
      <c r="S743" s="89">
        <v>43718</v>
      </c>
      <c r="T743" s="36">
        <v>120</v>
      </c>
      <c r="U743" s="125" t="s">
        <v>118</v>
      </c>
      <c r="V743" s="147" t="s">
        <v>3049</v>
      </c>
      <c r="W743" s="129"/>
      <c r="X743" s="88">
        <v>43889</v>
      </c>
      <c r="Y743" s="130" t="s">
        <v>20</v>
      </c>
      <c r="Z743" s="133" t="s">
        <v>60</v>
      </c>
      <c r="AA743" s="133"/>
      <c r="AB743" s="241">
        <v>2860</v>
      </c>
      <c r="AC743" s="134">
        <v>287.8</v>
      </c>
      <c r="AD743" s="134"/>
      <c r="AE743" s="403">
        <f t="shared" si="36"/>
        <v>823108</v>
      </c>
      <c r="AF743" s="145" t="s">
        <v>2822</v>
      </c>
      <c r="AG743" s="130" t="s">
        <v>46</v>
      </c>
      <c r="AH743" s="130"/>
      <c r="AI743" s="130" t="s">
        <v>100</v>
      </c>
      <c r="AJ743" s="130"/>
      <c r="AK743" s="130"/>
      <c r="AL743" s="135" t="s">
        <v>2944</v>
      </c>
      <c r="AM743" s="314"/>
      <c r="AN743" s="26"/>
      <c r="AO743" s="26"/>
      <c r="AP743" s="26"/>
      <c r="AQ743" s="26">
        <f>+AQ742+2</f>
        <v>43803</v>
      </c>
      <c r="AR743" s="24"/>
      <c r="AS743" s="24"/>
      <c r="AT743" s="24">
        <v>43805</v>
      </c>
      <c r="AU743" s="418">
        <f t="shared" si="37"/>
        <v>12</v>
      </c>
      <c r="AV743" s="418">
        <f t="shared" si="38"/>
        <v>2019</v>
      </c>
      <c r="AW743" s="24"/>
      <c r="AX743" s="28"/>
      <c r="AY743" s="28" t="s">
        <v>269</v>
      </c>
      <c r="AZ743" s="132" t="s">
        <v>25</v>
      </c>
      <c r="BA743" s="132"/>
      <c r="BB743" s="24"/>
      <c r="BC743" s="135">
        <v>15</v>
      </c>
      <c r="BD743" s="24">
        <v>43768</v>
      </c>
      <c r="BE743" s="135" t="s">
        <v>3045</v>
      </c>
      <c r="BF743" s="135" t="s">
        <v>3045</v>
      </c>
      <c r="BG743" s="135" t="s">
        <v>52</v>
      </c>
      <c r="BH743" s="135"/>
      <c r="BI743" s="314"/>
      <c r="BJ743" s="314"/>
      <c r="BK743" s="24"/>
      <c r="BL743" s="24"/>
      <c r="BM743" s="24"/>
      <c r="BN743" s="24"/>
      <c r="BO743" s="24"/>
      <c r="BP743" s="24"/>
      <c r="BQ743" s="24"/>
      <c r="BR743" s="43"/>
      <c r="BS743" s="24"/>
      <c r="BT743" s="24"/>
      <c r="BU743" s="24"/>
      <c r="BV743" s="132" t="e">
        <f>IF(#REF!="COMPLETO","OK","PENDIENTES")</f>
        <v>#REF!</v>
      </c>
      <c r="BW743" s="132"/>
      <c r="BX743" s="132"/>
      <c r="BY743" s="132"/>
      <c r="BZ743" s="132"/>
      <c r="CA743" s="132"/>
      <c r="CB743" s="132"/>
      <c r="CC743" s="22"/>
      <c r="CG743" s="24" t="s">
        <v>105</v>
      </c>
      <c r="CH743" s="24"/>
      <c r="CI743" s="24"/>
      <c r="CJ743" s="24"/>
    </row>
    <row r="744" spans="1:88" ht="14.25" customHeight="1">
      <c r="A744" s="18">
        <v>2019</v>
      </c>
      <c r="B744" s="18" t="str">
        <f>+INDEX(BDD!F:F,MATCH(P744,BDD!D:D,0))&amp;"-"&amp;INDEX(BDD!E:E,MATCH(P744,BDD!D:D,0))</f>
        <v>G-S</v>
      </c>
      <c r="C744" s="125" t="s">
        <v>484</v>
      </c>
      <c r="D744" s="150" t="s">
        <v>77</v>
      </c>
      <c r="E744" s="132"/>
      <c r="F744" s="24"/>
      <c r="G744" s="346">
        <v>8000000640</v>
      </c>
      <c r="H744" s="125" t="s">
        <v>3050</v>
      </c>
      <c r="I744" s="329"/>
      <c r="J744" s="346">
        <v>8000000640</v>
      </c>
      <c r="K744" s="24"/>
      <c r="L744" s="24"/>
      <c r="M744" s="24"/>
      <c r="N744" s="340" t="s">
        <v>486</v>
      </c>
      <c r="O744" s="334">
        <v>207951</v>
      </c>
      <c r="P744" s="25" t="s">
        <v>354</v>
      </c>
      <c r="Q744" s="127" t="s">
        <v>291</v>
      </c>
      <c r="R744" s="232" t="s">
        <v>3043</v>
      </c>
      <c r="S744" s="89">
        <v>43718</v>
      </c>
      <c r="T744" s="36">
        <v>120</v>
      </c>
      <c r="U744" s="125" t="s">
        <v>118</v>
      </c>
      <c r="V744" s="147" t="s">
        <v>3051</v>
      </c>
      <c r="W744" s="129"/>
      <c r="X744" s="88">
        <v>43889</v>
      </c>
      <c r="Y744" s="130" t="s">
        <v>20</v>
      </c>
      <c r="Z744" s="133" t="s">
        <v>60</v>
      </c>
      <c r="AA744" s="133"/>
      <c r="AB744" s="241">
        <v>990</v>
      </c>
      <c r="AC744" s="134">
        <v>287.8</v>
      </c>
      <c r="AD744" s="134"/>
      <c r="AE744" s="403">
        <f t="shared" si="36"/>
        <v>284922</v>
      </c>
      <c r="AF744" s="145" t="s">
        <v>2822</v>
      </c>
      <c r="AG744" s="130" t="s">
        <v>46</v>
      </c>
      <c r="AH744" s="130"/>
      <c r="AI744" s="130" t="s">
        <v>100</v>
      </c>
      <c r="AJ744" s="130"/>
      <c r="AK744" s="130"/>
      <c r="AL744" s="135" t="s">
        <v>2944</v>
      </c>
      <c r="AM744" s="314"/>
      <c r="AN744" s="26"/>
      <c r="AO744" s="26"/>
      <c r="AP744" s="26"/>
      <c r="AQ744" s="26">
        <f>+AQ743+3</f>
        <v>43806</v>
      </c>
      <c r="AR744" s="24"/>
      <c r="AS744" s="24"/>
      <c r="AT744" s="24">
        <v>43807</v>
      </c>
      <c r="AU744" s="418">
        <f t="shared" si="37"/>
        <v>12</v>
      </c>
      <c r="AV744" s="418">
        <f t="shared" si="38"/>
        <v>2019</v>
      </c>
      <c r="AW744" s="24"/>
      <c r="AX744" s="28"/>
      <c r="AY744" s="28" t="s">
        <v>269</v>
      </c>
      <c r="AZ744" s="132" t="s">
        <v>37</v>
      </c>
      <c r="BA744" s="132"/>
      <c r="BB744" s="24"/>
      <c r="BC744" s="135">
        <v>10</v>
      </c>
      <c r="BD744" s="24">
        <v>43768</v>
      </c>
      <c r="BE744" s="135" t="s">
        <v>3045</v>
      </c>
      <c r="BF744" s="135" t="s">
        <v>3045</v>
      </c>
      <c r="BG744" s="135" t="s">
        <v>52</v>
      </c>
      <c r="BH744" s="135"/>
      <c r="BI744" s="314"/>
      <c r="BJ744" s="314"/>
      <c r="BK744" s="24"/>
      <c r="BL744" s="24"/>
      <c r="BM744" s="24"/>
      <c r="BN744" s="24"/>
      <c r="BO744" s="24"/>
      <c r="BP744" s="24"/>
      <c r="BQ744" s="24"/>
      <c r="BR744" s="43"/>
      <c r="BS744" s="24"/>
      <c r="BT744" s="24"/>
      <c r="BU744" s="24"/>
      <c r="BV744" s="132" t="e">
        <f>IF(#REF!="COMPLETO","OK","PENDIENTES")</f>
        <v>#REF!</v>
      </c>
      <c r="BW744" s="132"/>
      <c r="BX744" s="132"/>
      <c r="BY744" s="132"/>
      <c r="BZ744" s="132"/>
      <c r="CA744" s="132"/>
      <c r="CB744" s="132"/>
      <c r="CC744" s="22"/>
      <c r="CG744" s="24" t="s">
        <v>105</v>
      </c>
      <c r="CH744" s="24"/>
      <c r="CI744" s="24"/>
      <c r="CJ744" s="24"/>
    </row>
    <row r="745" spans="1:88" ht="15" customHeight="1">
      <c r="A745" s="18">
        <v>2019</v>
      </c>
      <c r="B745" s="18" t="str">
        <f>+INDEX(BDD!F:F,MATCH(P745,BDD!D:D,0))&amp;"-"&amp;INDEX(BDD!E:E,MATCH(P745,BDD!D:D,0))</f>
        <v>G-S</v>
      </c>
      <c r="C745" s="125" t="s">
        <v>484</v>
      </c>
      <c r="D745" s="150" t="s">
        <v>77</v>
      </c>
      <c r="E745" s="132"/>
      <c r="F745" s="24"/>
      <c r="G745" s="346">
        <v>8000000641</v>
      </c>
      <c r="H745" s="125" t="s">
        <v>3052</v>
      </c>
      <c r="I745" s="329"/>
      <c r="J745" s="346">
        <v>8000000641</v>
      </c>
      <c r="K745" s="24"/>
      <c r="L745" s="24"/>
      <c r="M745" s="24"/>
      <c r="N745" s="340" t="s">
        <v>486</v>
      </c>
      <c r="O745" s="334">
        <v>207951</v>
      </c>
      <c r="P745" s="25" t="s">
        <v>354</v>
      </c>
      <c r="Q745" s="127" t="s">
        <v>291</v>
      </c>
      <c r="R745" s="232" t="s">
        <v>3043</v>
      </c>
      <c r="S745" s="89">
        <v>43718</v>
      </c>
      <c r="T745" s="36">
        <v>120</v>
      </c>
      <c r="U745" s="125" t="s">
        <v>118</v>
      </c>
      <c r="V745" s="147" t="s">
        <v>3053</v>
      </c>
      <c r="W745" s="129"/>
      <c r="X745" s="88">
        <v>43889</v>
      </c>
      <c r="Y745" s="130" t="s">
        <v>20</v>
      </c>
      <c r="Z745" s="133" t="s">
        <v>60</v>
      </c>
      <c r="AA745" s="133"/>
      <c r="AB745" s="241">
        <v>1540</v>
      </c>
      <c r="AC745" s="134">
        <v>287.8</v>
      </c>
      <c r="AD745" s="134"/>
      <c r="AE745" s="403">
        <f t="shared" si="36"/>
        <v>443212</v>
      </c>
      <c r="AF745" s="145" t="s">
        <v>2822</v>
      </c>
      <c r="AG745" s="130" t="s">
        <v>46</v>
      </c>
      <c r="AH745" s="130"/>
      <c r="AI745" s="130" t="s">
        <v>100</v>
      </c>
      <c r="AJ745" s="130"/>
      <c r="AK745" s="130"/>
      <c r="AL745" s="135" t="s">
        <v>2944</v>
      </c>
      <c r="AM745" s="314"/>
      <c r="AN745" s="26"/>
      <c r="AO745" s="26"/>
      <c r="AP745" s="26"/>
      <c r="AQ745" s="26">
        <f>+AQ744+2</f>
        <v>43808</v>
      </c>
      <c r="AR745" s="24"/>
      <c r="AS745" s="24"/>
      <c r="AT745" s="24">
        <v>43809</v>
      </c>
      <c r="AU745" s="418">
        <f t="shared" si="37"/>
        <v>12</v>
      </c>
      <c r="AV745" s="418">
        <f t="shared" si="38"/>
        <v>2019</v>
      </c>
      <c r="AW745" s="24"/>
      <c r="AX745" s="28"/>
      <c r="AY745" s="28" t="s">
        <v>269</v>
      </c>
      <c r="AZ745" s="132" t="s">
        <v>50</v>
      </c>
      <c r="BA745" s="132"/>
      <c r="BB745" s="24"/>
      <c r="BC745" s="135">
        <v>11</v>
      </c>
      <c r="BD745" s="24">
        <v>43768</v>
      </c>
      <c r="BE745" s="135" t="s">
        <v>3045</v>
      </c>
      <c r="BF745" s="135" t="s">
        <v>3045</v>
      </c>
      <c r="BG745" s="135" t="s">
        <v>52</v>
      </c>
      <c r="BH745" s="135"/>
      <c r="BI745" s="314"/>
      <c r="BJ745" s="314"/>
      <c r="BK745" s="24"/>
      <c r="BL745" s="24"/>
      <c r="BM745" s="24"/>
      <c r="BN745" s="24"/>
      <c r="BO745" s="24"/>
      <c r="BP745" s="24"/>
      <c r="BQ745" s="24"/>
      <c r="BR745" s="43"/>
      <c r="BS745" s="24"/>
      <c r="BT745" s="24"/>
      <c r="BU745" s="24"/>
      <c r="BV745" s="132" t="e">
        <f>IF(#REF!="COMPLETO","OK","PENDIENTES")</f>
        <v>#REF!</v>
      </c>
      <c r="BW745" s="132"/>
      <c r="BX745" s="132"/>
      <c r="BY745" s="132"/>
      <c r="BZ745" s="132"/>
      <c r="CA745" s="132"/>
      <c r="CB745" s="132"/>
      <c r="CC745" s="22"/>
      <c r="CG745" s="24" t="s">
        <v>105</v>
      </c>
      <c r="CH745" s="24"/>
      <c r="CI745" s="24"/>
      <c r="CJ745" s="24"/>
    </row>
    <row r="746" spans="1:88" ht="15" customHeight="1">
      <c r="A746" s="18">
        <v>2019</v>
      </c>
      <c r="B746" s="18" t="str">
        <f>+INDEX(BDD!F:F,MATCH(P746,BDD!D:D,0))&amp;"-"&amp;INDEX(BDD!E:E,MATCH(P746,BDD!D:D,0))</f>
        <v>G-S</v>
      </c>
      <c r="C746" s="125" t="s">
        <v>484</v>
      </c>
      <c r="D746" s="150" t="s">
        <v>77</v>
      </c>
      <c r="E746" s="132"/>
      <c r="F746" s="24"/>
      <c r="G746" s="346">
        <v>8000000642</v>
      </c>
      <c r="H746" s="125" t="s">
        <v>3054</v>
      </c>
      <c r="I746" s="329"/>
      <c r="J746" s="346">
        <v>8000000642</v>
      </c>
      <c r="K746" s="24"/>
      <c r="L746" s="24"/>
      <c r="M746" s="24"/>
      <c r="N746" s="340" t="s">
        <v>486</v>
      </c>
      <c r="O746" s="334">
        <v>207951</v>
      </c>
      <c r="P746" s="25" t="s">
        <v>354</v>
      </c>
      <c r="Q746" s="127" t="s">
        <v>291</v>
      </c>
      <c r="R746" s="232" t="s">
        <v>3043</v>
      </c>
      <c r="S746" s="89">
        <v>43718</v>
      </c>
      <c r="T746" s="36">
        <v>120</v>
      </c>
      <c r="U746" s="125" t="s">
        <v>118</v>
      </c>
      <c r="V746" s="147" t="s">
        <v>3055</v>
      </c>
      <c r="W746" s="129"/>
      <c r="X746" s="88">
        <v>43889</v>
      </c>
      <c r="Y746" s="130" t="s">
        <v>20</v>
      </c>
      <c r="Z746" s="133" t="s">
        <v>60</v>
      </c>
      <c r="AA746" s="133"/>
      <c r="AB746" s="241">
        <v>1540</v>
      </c>
      <c r="AC746" s="134">
        <v>287.8</v>
      </c>
      <c r="AD746" s="134"/>
      <c r="AE746" s="403">
        <f t="shared" si="36"/>
        <v>443212</v>
      </c>
      <c r="AF746" s="145" t="s">
        <v>2822</v>
      </c>
      <c r="AG746" s="130" t="s">
        <v>46</v>
      </c>
      <c r="AH746" s="130"/>
      <c r="AI746" s="130" t="s">
        <v>100</v>
      </c>
      <c r="AJ746" s="130"/>
      <c r="AK746" s="130"/>
      <c r="AL746" s="135" t="s">
        <v>2944</v>
      </c>
      <c r="AM746" s="314"/>
      <c r="AN746" s="26"/>
      <c r="AO746" s="26"/>
      <c r="AP746" s="26"/>
      <c r="AQ746" s="26">
        <v>43810</v>
      </c>
      <c r="AR746" s="24"/>
      <c r="AS746" s="24"/>
      <c r="AT746" s="24">
        <v>43812</v>
      </c>
      <c r="AU746" s="418">
        <f t="shared" si="37"/>
        <v>12</v>
      </c>
      <c r="AV746" s="418">
        <f t="shared" si="38"/>
        <v>2019</v>
      </c>
      <c r="AW746" s="24"/>
      <c r="AX746" s="28"/>
      <c r="AY746" s="28" t="s">
        <v>269</v>
      </c>
      <c r="AZ746" s="132" t="s">
        <v>62</v>
      </c>
      <c r="BA746" s="132"/>
      <c r="BB746" s="24"/>
      <c r="BC746" s="135">
        <v>12</v>
      </c>
      <c r="BD746" s="24">
        <v>43768</v>
      </c>
      <c r="BE746" s="135" t="s">
        <v>3045</v>
      </c>
      <c r="BF746" s="135" t="s">
        <v>3045</v>
      </c>
      <c r="BG746" s="135" t="s">
        <v>52</v>
      </c>
      <c r="BH746" s="135"/>
      <c r="BI746" s="314"/>
      <c r="BJ746" s="314"/>
      <c r="BK746" s="24"/>
      <c r="BL746" s="24"/>
      <c r="BM746" s="24"/>
      <c r="BN746" s="24"/>
      <c r="BO746" s="24"/>
      <c r="BP746" s="24"/>
      <c r="BQ746" s="24"/>
      <c r="BR746" s="43"/>
      <c r="BS746" s="24"/>
      <c r="BT746" s="24"/>
      <c r="BU746" s="24"/>
      <c r="BV746" s="132" t="e">
        <f>IF(#REF!="COMPLETO","OK","PENDIENTES")</f>
        <v>#REF!</v>
      </c>
      <c r="BW746" s="132"/>
      <c r="BX746" s="132"/>
      <c r="BY746" s="132"/>
      <c r="BZ746" s="132"/>
      <c r="CA746" s="132"/>
      <c r="CB746" s="132"/>
      <c r="CC746" s="22"/>
      <c r="CG746" s="24" t="s">
        <v>105</v>
      </c>
      <c r="CH746" s="24"/>
      <c r="CI746" s="24"/>
      <c r="CJ746" s="24"/>
    </row>
    <row r="747" spans="1:88" ht="15" customHeight="1">
      <c r="A747" s="18">
        <v>2019</v>
      </c>
      <c r="B747" s="18" t="str">
        <f>+INDEX(BDD!F:F,MATCH(P747,BDD!D:D,0))&amp;"-"&amp;INDEX(BDD!E:E,MATCH(P747,BDD!D:D,0))</f>
        <v>G-C</v>
      </c>
      <c r="C747" s="125" t="s">
        <v>484</v>
      </c>
      <c r="D747" s="150" t="s">
        <v>77</v>
      </c>
      <c r="E747" s="132"/>
      <c r="F747" s="24"/>
      <c r="G747" s="346">
        <v>8000000643</v>
      </c>
      <c r="H747" s="125" t="s">
        <v>3056</v>
      </c>
      <c r="I747" s="329"/>
      <c r="J747" s="346">
        <v>8000000643</v>
      </c>
      <c r="K747" s="24"/>
      <c r="L747" s="24"/>
      <c r="M747" s="24"/>
      <c r="N747" s="340" t="s">
        <v>486</v>
      </c>
      <c r="O747" s="334">
        <v>206573</v>
      </c>
      <c r="P747" s="25" t="s">
        <v>226</v>
      </c>
      <c r="Q747" s="127" t="s">
        <v>291</v>
      </c>
      <c r="R747" s="232" t="s">
        <v>3043</v>
      </c>
      <c r="S747" s="89">
        <v>43718</v>
      </c>
      <c r="T747" s="36">
        <v>120</v>
      </c>
      <c r="U747" s="125" t="s">
        <v>118</v>
      </c>
      <c r="V747" s="147" t="s">
        <v>3057</v>
      </c>
      <c r="W747" s="129"/>
      <c r="X747" s="88">
        <v>43889</v>
      </c>
      <c r="Y747" s="130" t="s">
        <v>20</v>
      </c>
      <c r="Z747" s="133" t="s">
        <v>60</v>
      </c>
      <c r="AA747" s="133"/>
      <c r="AB747" s="241">
        <v>1270</v>
      </c>
      <c r="AC747" s="134">
        <v>257.5</v>
      </c>
      <c r="AD747" s="134"/>
      <c r="AE747" s="403">
        <f t="shared" si="36"/>
        <v>327025</v>
      </c>
      <c r="AF747" s="145" t="s">
        <v>2822</v>
      </c>
      <c r="AG747" s="130" t="s">
        <v>46</v>
      </c>
      <c r="AH747" s="130"/>
      <c r="AI747" s="130" t="s">
        <v>100</v>
      </c>
      <c r="AJ747" s="130"/>
      <c r="AK747" s="130"/>
      <c r="AL747" s="135" t="s">
        <v>2944</v>
      </c>
      <c r="AM747" s="314"/>
      <c r="AN747" s="26"/>
      <c r="AO747" s="26"/>
      <c r="AP747" s="26"/>
      <c r="AQ747" s="26">
        <v>43801</v>
      </c>
      <c r="AR747" s="24"/>
      <c r="AS747" s="24"/>
      <c r="AT747" s="24">
        <v>43802</v>
      </c>
      <c r="AU747" s="418">
        <f t="shared" si="37"/>
        <v>12</v>
      </c>
      <c r="AV747" s="418">
        <f t="shared" si="38"/>
        <v>2019</v>
      </c>
      <c r="AW747" s="24"/>
      <c r="AX747" s="28"/>
      <c r="AY747" s="28" t="s">
        <v>269</v>
      </c>
      <c r="AZ747" s="132" t="s">
        <v>9</v>
      </c>
      <c r="BA747" s="132"/>
      <c r="BB747" s="24"/>
      <c r="BC747" s="135">
        <v>5</v>
      </c>
      <c r="BD747" s="24">
        <v>43768</v>
      </c>
      <c r="BE747" s="135" t="s">
        <v>3045</v>
      </c>
      <c r="BF747" s="135" t="s">
        <v>3045</v>
      </c>
      <c r="BG747" s="135" t="s">
        <v>52</v>
      </c>
      <c r="BH747" s="135"/>
      <c r="BI747" s="314"/>
      <c r="BJ747" s="314"/>
      <c r="BK747" s="24"/>
      <c r="BL747" s="24"/>
      <c r="BM747" s="24"/>
      <c r="BN747" s="24"/>
      <c r="BO747" s="24"/>
      <c r="BP747" s="24"/>
      <c r="BQ747" s="24"/>
      <c r="BR747" s="43"/>
      <c r="BS747" s="24"/>
      <c r="BT747" s="24"/>
      <c r="BU747" s="24"/>
      <c r="BV747" s="132" t="e">
        <f>IF(#REF!="COMPLETO","OK","PENDIENTES")</f>
        <v>#REF!</v>
      </c>
      <c r="BW747" s="132"/>
      <c r="BX747" s="132"/>
      <c r="BY747" s="132"/>
      <c r="BZ747" s="132"/>
      <c r="CA747" s="132"/>
      <c r="CB747" s="132"/>
      <c r="CC747" s="22"/>
      <c r="CG747" s="24" t="s">
        <v>105</v>
      </c>
      <c r="CH747" s="24"/>
      <c r="CI747" s="24"/>
      <c r="CJ747" s="24"/>
    </row>
    <row r="748" spans="1:88" ht="15" customHeight="1">
      <c r="A748" s="18">
        <v>2019</v>
      </c>
      <c r="B748" s="18" t="str">
        <f>+INDEX(BDD!F:F,MATCH(P748,BDD!D:D,0))&amp;"-"&amp;INDEX(BDD!E:E,MATCH(P748,BDD!D:D,0))</f>
        <v>G-C</v>
      </c>
      <c r="C748" s="125" t="s">
        <v>484</v>
      </c>
      <c r="D748" s="150" t="s">
        <v>77</v>
      </c>
      <c r="E748" s="132"/>
      <c r="F748" s="24"/>
      <c r="G748" s="346">
        <v>8000000644</v>
      </c>
      <c r="H748" s="125" t="s">
        <v>3058</v>
      </c>
      <c r="I748" s="329"/>
      <c r="J748" s="346">
        <v>8000000644</v>
      </c>
      <c r="K748" s="24"/>
      <c r="L748" s="24"/>
      <c r="M748" s="24"/>
      <c r="N748" s="340" t="s">
        <v>486</v>
      </c>
      <c r="O748" s="334">
        <v>206573</v>
      </c>
      <c r="P748" s="25" t="s">
        <v>226</v>
      </c>
      <c r="Q748" s="127" t="s">
        <v>291</v>
      </c>
      <c r="R748" s="232" t="s">
        <v>3043</v>
      </c>
      <c r="S748" s="89">
        <v>43718</v>
      </c>
      <c r="T748" s="36">
        <v>120</v>
      </c>
      <c r="U748" s="125" t="s">
        <v>118</v>
      </c>
      <c r="V748" s="147" t="s">
        <v>3059</v>
      </c>
      <c r="W748" s="129"/>
      <c r="X748" s="88">
        <v>43889</v>
      </c>
      <c r="Y748" s="130" t="s">
        <v>20</v>
      </c>
      <c r="Z748" s="133" t="s">
        <v>60</v>
      </c>
      <c r="AA748" s="133"/>
      <c r="AB748" s="241">
        <v>1540</v>
      </c>
      <c r="AC748" s="134">
        <v>257.5</v>
      </c>
      <c r="AD748" s="134"/>
      <c r="AE748" s="403">
        <f t="shared" si="36"/>
        <v>396550</v>
      </c>
      <c r="AF748" s="145" t="s">
        <v>2822</v>
      </c>
      <c r="AG748" s="130" t="s">
        <v>46</v>
      </c>
      <c r="AH748" s="130"/>
      <c r="AI748" s="130" t="s">
        <v>100</v>
      </c>
      <c r="AJ748" s="130"/>
      <c r="AK748" s="130"/>
      <c r="AL748" s="135" t="s">
        <v>2944</v>
      </c>
      <c r="AM748" s="314"/>
      <c r="AN748" s="26"/>
      <c r="AO748" s="26"/>
      <c r="AP748" s="26"/>
      <c r="AQ748" s="26">
        <f>+AQ747+2</f>
        <v>43803</v>
      </c>
      <c r="AR748" s="24"/>
      <c r="AS748" s="24"/>
      <c r="AT748" s="24">
        <v>43805</v>
      </c>
      <c r="AU748" s="418">
        <f t="shared" si="37"/>
        <v>12</v>
      </c>
      <c r="AV748" s="418">
        <f t="shared" si="38"/>
        <v>2019</v>
      </c>
      <c r="AW748" s="24"/>
      <c r="AX748" s="28"/>
      <c r="AY748" s="28" t="s">
        <v>269</v>
      </c>
      <c r="AZ748" s="132" t="s">
        <v>25</v>
      </c>
      <c r="BA748" s="132"/>
      <c r="BB748" s="24"/>
      <c r="BC748" s="135">
        <v>6</v>
      </c>
      <c r="BD748" s="24">
        <v>43768</v>
      </c>
      <c r="BE748" s="135" t="s">
        <v>3045</v>
      </c>
      <c r="BF748" s="135" t="s">
        <v>3045</v>
      </c>
      <c r="BG748" s="135" t="s">
        <v>52</v>
      </c>
      <c r="BH748" s="135"/>
      <c r="BI748" s="314"/>
      <c r="BJ748" s="314"/>
      <c r="BK748" s="24"/>
      <c r="BL748" s="24"/>
      <c r="BM748" s="24"/>
      <c r="BN748" s="24"/>
      <c r="BO748" s="24"/>
      <c r="BP748" s="24"/>
      <c r="BQ748" s="24"/>
      <c r="BR748" s="43"/>
      <c r="BS748" s="24"/>
      <c r="BT748" s="24"/>
      <c r="BU748" s="24"/>
      <c r="BV748" s="132" t="e">
        <f>IF(#REF!="COMPLETO","OK","PENDIENTES")</f>
        <v>#REF!</v>
      </c>
      <c r="BW748" s="132"/>
      <c r="BX748" s="132"/>
      <c r="BY748" s="132"/>
      <c r="BZ748" s="132"/>
      <c r="CA748" s="132"/>
      <c r="CB748" s="132"/>
      <c r="CC748" s="22"/>
      <c r="CG748" s="24" t="s">
        <v>105</v>
      </c>
      <c r="CH748" s="24"/>
      <c r="CI748" s="24"/>
      <c r="CJ748" s="24"/>
    </row>
    <row r="749" spans="1:88" ht="15" customHeight="1">
      <c r="A749" s="18">
        <v>2019</v>
      </c>
      <c r="B749" s="18" t="str">
        <f>+INDEX(BDD!F:F,MATCH(P749,BDD!D:D,0))&amp;"-"&amp;INDEX(BDD!E:E,MATCH(P749,BDD!D:D,0))</f>
        <v>G-C</v>
      </c>
      <c r="C749" s="125" t="s">
        <v>484</v>
      </c>
      <c r="D749" s="150" t="s">
        <v>77</v>
      </c>
      <c r="E749" s="132"/>
      <c r="F749" s="24"/>
      <c r="G749" s="346">
        <v>8000000645</v>
      </c>
      <c r="H749" s="125" t="s">
        <v>3060</v>
      </c>
      <c r="I749" s="329"/>
      <c r="J749" s="346">
        <v>8000000645</v>
      </c>
      <c r="K749" s="24"/>
      <c r="L749" s="24"/>
      <c r="M749" s="24"/>
      <c r="N749" s="340" t="s">
        <v>486</v>
      </c>
      <c r="O749" s="334">
        <v>206573</v>
      </c>
      <c r="P749" s="25" t="s">
        <v>226</v>
      </c>
      <c r="Q749" s="127" t="s">
        <v>291</v>
      </c>
      <c r="R749" s="232" t="s">
        <v>3043</v>
      </c>
      <c r="S749" s="89">
        <v>43718</v>
      </c>
      <c r="T749" s="36">
        <v>120</v>
      </c>
      <c r="U749" s="125" t="s">
        <v>118</v>
      </c>
      <c r="V749" s="147" t="s">
        <v>3061</v>
      </c>
      <c r="W749" s="129"/>
      <c r="X749" s="88">
        <v>43889</v>
      </c>
      <c r="Y749" s="130" t="s">
        <v>20</v>
      </c>
      <c r="Z749" s="133" t="s">
        <v>60</v>
      </c>
      <c r="AA749" s="133"/>
      <c r="AB749" s="241">
        <v>1540</v>
      </c>
      <c r="AC749" s="134">
        <v>257.5</v>
      </c>
      <c r="AD749" s="134"/>
      <c r="AE749" s="403">
        <f t="shared" si="36"/>
        <v>396550</v>
      </c>
      <c r="AF749" s="145" t="s">
        <v>2822</v>
      </c>
      <c r="AG749" s="130" t="s">
        <v>46</v>
      </c>
      <c r="AH749" s="130"/>
      <c r="AI749" s="130" t="s">
        <v>100</v>
      </c>
      <c r="AJ749" s="130"/>
      <c r="AK749" s="130"/>
      <c r="AL749" s="135" t="s">
        <v>2944</v>
      </c>
      <c r="AM749" s="314"/>
      <c r="AN749" s="26"/>
      <c r="AO749" s="26"/>
      <c r="AP749" s="26"/>
      <c r="AQ749" s="26">
        <f>+AQ748+3</f>
        <v>43806</v>
      </c>
      <c r="AR749" s="24"/>
      <c r="AS749" s="24"/>
      <c r="AT749" s="24">
        <v>43807</v>
      </c>
      <c r="AU749" s="418">
        <f t="shared" si="37"/>
        <v>12</v>
      </c>
      <c r="AV749" s="418">
        <f t="shared" si="38"/>
        <v>2019</v>
      </c>
      <c r="AW749" s="24"/>
      <c r="AX749" s="28"/>
      <c r="AY749" s="28" t="s">
        <v>269</v>
      </c>
      <c r="AZ749" s="132" t="s">
        <v>37</v>
      </c>
      <c r="BA749" s="132"/>
      <c r="BB749" s="24"/>
      <c r="BC749" s="135">
        <v>7</v>
      </c>
      <c r="BD749" s="24">
        <v>43768</v>
      </c>
      <c r="BE749" s="135" t="s">
        <v>3045</v>
      </c>
      <c r="BF749" s="135" t="s">
        <v>3045</v>
      </c>
      <c r="BG749" s="135" t="s">
        <v>52</v>
      </c>
      <c r="BH749" s="135"/>
      <c r="BI749" s="314"/>
      <c r="BJ749" s="314"/>
      <c r="BK749" s="24"/>
      <c r="BL749" s="24"/>
      <c r="BM749" s="24"/>
      <c r="BN749" s="24"/>
      <c r="BO749" s="24"/>
      <c r="BP749" s="24"/>
      <c r="BQ749" s="24"/>
      <c r="BR749" s="43"/>
      <c r="BS749" s="24"/>
      <c r="BT749" s="24"/>
      <c r="BU749" s="24"/>
      <c r="BV749" s="132" t="e">
        <f>IF(#REF!="COMPLETO","OK","PENDIENTES")</f>
        <v>#REF!</v>
      </c>
      <c r="BW749" s="132"/>
      <c r="BX749" s="132"/>
      <c r="BY749" s="132"/>
      <c r="BZ749" s="132"/>
      <c r="CA749" s="132"/>
      <c r="CB749" s="132"/>
      <c r="CC749" s="22"/>
      <c r="CG749" s="24" t="s">
        <v>105</v>
      </c>
      <c r="CH749" s="24"/>
      <c r="CI749" s="24"/>
      <c r="CJ749" s="24"/>
    </row>
    <row r="750" spans="1:88" ht="15" customHeight="1">
      <c r="A750" s="18">
        <v>2019</v>
      </c>
      <c r="B750" s="18" t="str">
        <f>+INDEX(BDD!F:F,MATCH(P750,BDD!D:D,0))&amp;"-"&amp;INDEX(BDD!E:E,MATCH(P750,BDD!D:D,0))</f>
        <v>G-C</v>
      </c>
      <c r="C750" s="125" t="s">
        <v>484</v>
      </c>
      <c r="D750" s="150" t="s">
        <v>77</v>
      </c>
      <c r="E750" s="132"/>
      <c r="F750" s="24"/>
      <c r="G750" s="346">
        <v>8000000646</v>
      </c>
      <c r="H750" s="125" t="s">
        <v>3062</v>
      </c>
      <c r="I750" s="329"/>
      <c r="J750" s="346">
        <v>8000000646</v>
      </c>
      <c r="K750" s="24"/>
      <c r="L750" s="24"/>
      <c r="M750" s="24"/>
      <c r="N750" s="340" t="s">
        <v>486</v>
      </c>
      <c r="O750" s="334">
        <v>206573</v>
      </c>
      <c r="P750" s="25" t="s">
        <v>226</v>
      </c>
      <c r="Q750" s="127" t="s">
        <v>291</v>
      </c>
      <c r="R750" s="232" t="s">
        <v>3043</v>
      </c>
      <c r="S750" s="89">
        <v>43718</v>
      </c>
      <c r="T750" s="36">
        <v>120</v>
      </c>
      <c r="U750" s="125" t="s">
        <v>118</v>
      </c>
      <c r="V750" s="147" t="s">
        <v>3063</v>
      </c>
      <c r="W750" s="129"/>
      <c r="X750" s="88">
        <v>43889</v>
      </c>
      <c r="Y750" s="130" t="s">
        <v>20</v>
      </c>
      <c r="Z750" s="133" t="s">
        <v>60</v>
      </c>
      <c r="AA750" s="133"/>
      <c r="AB750" s="241">
        <v>770</v>
      </c>
      <c r="AC750" s="134">
        <v>257.5</v>
      </c>
      <c r="AD750" s="134"/>
      <c r="AE750" s="403">
        <f t="shared" si="36"/>
        <v>198275</v>
      </c>
      <c r="AF750" s="145" t="s">
        <v>2822</v>
      </c>
      <c r="AG750" s="130" t="s">
        <v>46</v>
      </c>
      <c r="AH750" s="130"/>
      <c r="AI750" s="130" t="s">
        <v>100</v>
      </c>
      <c r="AJ750" s="130"/>
      <c r="AK750" s="130"/>
      <c r="AL750" s="135" t="s">
        <v>2944</v>
      </c>
      <c r="AM750" s="314"/>
      <c r="AN750" s="26"/>
      <c r="AO750" s="26"/>
      <c r="AP750" s="26"/>
      <c r="AQ750" s="26">
        <f>+AQ749+2</f>
        <v>43808</v>
      </c>
      <c r="AR750" s="24"/>
      <c r="AS750" s="24"/>
      <c r="AT750" s="24">
        <v>43809</v>
      </c>
      <c r="AU750" s="418">
        <f t="shared" si="37"/>
        <v>12</v>
      </c>
      <c r="AV750" s="418">
        <f t="shared" si="38"/>
        <v>2019</v>
      </c>
      <c r="AW750" s="24"/>
      <c r="AX750" s="28"/>
      <c r="AY750" s="28" t="s">
        <v>269</v>
      </c>
      <c r="AZ750" s="132" t="s">
        <v>50</v>
      </c>
      <c r="BA750" s="132"/>
      <c r="BB750" s="24"/>
      <c r="BC750" s="135">
        <v>8</v>
      </c>
      <c r="BD750" s="24">
        <v>43768</v>
      </c>
      <c r="BE750" s="135" t="s">
        <v>3045</v>
      </c>
      <c r="BF750" s="135" t="s">
        <v>3045</v>
      </c>
      <c r="BG750" s="135" t="s">
        <v>52</v>
      </c>
      <c r="BH750" s="135"/>
      <c r="BI750" s="314"/>
      <c r="BJ750" s="314"/>
      <c r="BK750" s="24"/>
      <c r="BL750" s="24"/>
      <c r="BM750" s="24"/>
      <c r="BN750" s="24"/>
      <c r="BO750" s="24"/>
      <c r="BP750" s="24"/>
      <c r="BQ750" s="24"/>
      <c r="BR750" s="43"/>
      <c r="BS750" s="24"/>
      <c r="BT750" s="24"/>
      <c r="BU750" s="24"/>
      <c r="BV750" s="132" t="e">
        <f>IF(#REF!="COMPLETO","OK","PENDIENTES")</f>
        <v>#REF!</v>
      </c>
      <c r="BW750" s="132"/>
      <c r="BX750" s="132"/>
      <c r="BY750" s="132"/>
      <c r="BZ750" s="132"/>
      <c r="CA750" s="132"/>
      <c r="CB750" s="132"/>
      <c r="CC750" s="22"/>
      <c r="CG750" s="24" t="s">
        <v>105</v>
      </c>
      <c r="CH750" s="24"/>
      <c r="CI750" s="24"/>
      <c r="CJ750" s="24"/>
    </row>
    <row r="751" spans="1:88" ht="15" customHeight="1">
      <c r="A751" s="18">
        <v>2019</v>
      </c>
      <c r="B751" s="18" t="str">
        <f>+INDEX(BDD!F:F,MATCH(P751,BDD!D:D,0))&amp;"-"&amp;INDEX(BDD!E:E,MATCH(P751,BDD!D:D,0))</f>
        <v>G-C</v>
      </c>
      <c r="C751" s="125" t="s">
        <v>484</v>
      </c>
      <c r="D751" s="150" t="s">
        <v>77</v>
      </c>
      <c r="E751" s="132"/>
      <c r="F751" s="24"/>
      <c r="G751" s="346">
        <v>8000000647</v>
      </c>
      <c r="H751" s="125" t="s">
        <v>3064</v>
      </c>
      <c r="I751" s="329"/>
      <c r="J751" s="346">
        <v>8000000647</v>
      </c>
      <c r="K751" s="24"/>
      <c r="L751" s="24"/>
      <c r="M751" s="24"/>
      <c r="N751" s="340" t="s">
        <v>486</v>
      </c>
      <c r="O751" s="334">
        <v>206573</v>
      </c>
      <c r="P751" s="25" t="s">
        <v>226</v>
      </c>
      <c r="Q751" s="127" t="s">
        <v>291</v>
      </c>
      <c r="R751" s="232" t="s">
        <v>3043</v>
      </c>
      <c r="S751" s="89">
        <v>43718</v>
      </c>
      <c r="T751" s="36">
        <v>120</v>
      </c>
      <c r="U751" s="125" t="s">
        <v>118</v>
      </c>
      <c r="V751" s="147" t="s">
        <v>3065</v>
      </c>
      <c r="W751" s="129"/>
      <c r="X751" s="88">
        <v>43889</v>
      </c>
      <c r="Y751" s="130" t="s">
        <v>20</v>
      </c>
      <c r="Z751" s="133" t="s">
        <v>60</v>
      </c>
      <c r="AA751" s="133"/>
      <c r="AB751" s="241">
        <v>1480</v>
      </c>
      <c r="AC751" s="134">
        <v>257.5</v>
      </c>
      <c r="AD751" s="134"/>
      <c r="AE751" s="403">
        <f t="shared" si="36"/>
        <v>381100</v>
      </c>
      <c r="AF751" s="145" t="s">
        <v>2822</v>
      </c>
      <c r="AG751" s="130" t="s">
        <v>46</v>
      </c>
      <c r="AH751" s="130"/>
      <c r="AI751" s="130" t="s">
        <v>100</v>
      </c>
      <c r="AJ751" s="130"/>
      <c r="AK751" s="130"/>
      <c r="AL751" s="135" t="s">
        <v>2944</v>
      </c>
      <c r="AM751" s="314"/>
      <c r="AN751" s="26"/>
      <c r="AO751" s="26"/>
      <c r="AP751" s="26"/>
      <c r="AQ751" s="26">
        <v>43810</v>
      </c>
      <c r="AR751" s="24"/>
      <c r="AS751" s="24"/>
      <c r="AT751" s="24">
        <v>43812</v>
      </c>
      <c r="AU751" s="418">
        <f t="shared" si="37"/>
        <v>12</v>
      </c>
      <c r="AV751" s="418">
        <f t="shared" si="38"/>
        <v>2019</v>
      </c>
      <c r="AW751" s="24"/>
      <c r="AX751" s="28"/>
      <c r="AY751" s="28" t="s">
        <v>269</v>
      </c>
      <c r="AZ751" s="132" t="s">
        <v>62</v>
      </c>
      <c r="BA751" s="132"/>
      <c r="BB751" s="24"/>
      <c r="BC751" s="135">
        <v>9</v>
      </c>
      <c r="BD751" s="24">
        <v>43768</v>
      </c>
      <c r="BE751" s="135" t="s">
        <v>3045</v>
      </c>
      <c r="BF751" s="135" t="s">
        <v>3045</v>
      </c>
      <c r="BG751" s="135" t="s">
        <v>52</v>
      </c>
      <c r="BH751" s="135"/>
      <c r="BI751" s="314"/>
      <c r="BJ751" s="314"/>
      <c r="BK751" s="24"/>
      <c r="BL751" s="24"/>
      <c r="BM751" s="24"/>
      <c r="BN751" s="24"/>
      <c r="BO751" s="24"/>
      <c r="BP751" s="24"/>
      <c r="BQ751" s="24"/>
      <c r="BR751" s="43"/>
      <c r="BS751" s="24"/>
      <c r="BT751" s="24"/>
      <c r="BU751" s="24"/>
      <c r="BV751" s="132" t="e">
        <f>IF(#REF!="COMPLETO","OK","PENDIENTES")</f>
        <v>#REF!</v>
      </c>
      <c r="BW751" s="132"/>
      <c r="BX751" s="132"/>
      <c r="BY751" s="132"/>
      <c r="BZ751" s="132"/>
      <c r="CA751" s="132"/>
      <c r="CB751" s="132"/>
      <c r="CC751" s="22"/>
      <c r="CG751" s="24" t="s">
        <v>105</v>
      </c>
      <c r="CH751" s="24"/>
      <c r="CI751" s="24"/>
      <c r="CJ751" s="24"/>
    </row>
    <row r="752" spans="1:88" ht="15" customHeight="1">
      <c r="A752" s="18">
        <v>2019</v>
      </c>
      <c r="B752" s="18" t="str">
        <f>+INDEX(BDD!F:F,MATCH(P752,BDD!D:D,0))&amp;"-"&amp;INDEX(BDD!E:E,MATCH(P752,BDD!D:D,0))</f>
        <v>S-S</v>
      </c>
      <c r="C752" s="125" t="s">
        <v>484</v>
      </c>
      <c r="D752" s="150" t="s">
        <v>77</v>
      </c>
      <c r="E752" s="132" t="s">
        <v>51</v>
      </c>
      <c r="F752" s="24"/>
      <c r="G752" s="346">
        <v>8000000555</v>
      </c>
      <c r="H752" s="125" t="s">
        <v>3066</v>
      </c>
      <c r="I752" s="329"/>
      <c r="J752" s="346">
        <v>8000000555</v>
      </c>
      <c r="K752" s="24"/>
      <c r="L752" s="24"/>
      <c r="M752" s="24"/>
      <c r="N752" s="340" t="s">
        <v>486</v>
      </c>
      <c r="O752" s="334">
        <v>207579</v>
      </c>
      <c r="P752" s="25" t="s">
        <v>238</v>
      </c>
      <c r="Q752" s="127" t="s">
        <v>234</v>
      </c>
      <c r="R752" s="232" t="s">
        <v>3067</v>
      </c>
      <c r="S752" s="89">
        <v>43731</v>
      </c>
      <c r="T752" s="36">
        <v>90</v>
      </c>
      <c r="U752" s="125" t="s">
        <v>2805</v>
      </c>
      <c r="V752" s="232" t="s">
        <v>3067</v>
      </c>
      <c r="W752" s="151"/>
      <c r="X752" s="88">
        <v>43873</v>
      </c>
      <c r="Y752" s="130" t="s">
        <v>20</v>
      </c>
      <c r="Z752" s="133" t="s">
        <v>81</v>
      </c>
      <c r="AA752" s="133"/>
      <c r="AB752" s="148">
        <v>200</v>
      </c>
      <c r="AC752" s="134">
        <v>252</v>
      </c>
      <c r="AD752" s="134"/>
      <c r="AE752" s="403">
        <f t="shared" si="36"/>
        <v>50400</v>
      </c>
      <c r="AF752" s="145" t="s">
        <v>2822</v>
      </c>
      <c r="AG752" s="130" t="s">
        <v>58</v>
      </c>
      <c r="AH752" s="130"/>
      <c r="AI752" s="130" t="s">
        <v>34</v>
      </c>
      <c r="AJ752" s="130"/>
      <c r="AK752" s="130"/>
      <c r="AL752" s="135" t="s">
        <v>2944</v>
      </c>
      <c r="AM752" s="314"/>
      <c r="AN752" s="26"/>
      <c r="AO752" s="26"/>
      <c r="AP752" s="26"/>
      <c r="AQ752" s="26">
        <v>43831</v>
      </c>
      <c r="AR752" s="24"/>
      <c r="AS752" s="24"/>
      <c r="AT752" s="24">
        <v>43839</v>
      </c>
      <c r="AU752" s="418">
        <f t="shared" si="37"/>
        <v>1</v>
      </c>
      <c r="AV752" s="418">
        <f t="shared" si="38"/>
        <v>2020</v>
      </c>
      <c r="AW752" s="24"/>
      <c r="AX752" s="28"/>
      <c r="AY752" s="28" t="s">
        <v>607</v>
      </c>
      <c r="AZ752" s="132" t="s">
        <v>37</v>
      </c>
      <c r="BA752" s="132"/>
      <c r="BB752" s="24" t="s">
        <v>2956</v>
      </c>
      <c r="BC752" s="135" t="s">
        <v>3068</v>
      </c>
      <c r="BD752" s="24">
        <v>43782</v>
      </c>
      <c r="BE752" s="135" t="s">
        <v>3069</v>
      </c>
      <c r="BF752" s="135" t="s">
        <v>3069</v>
      </c>
      <c r="BG752" s="135" t="s">
        <v>52</v>
      </c>
      <c r="BH752" s="135"/>
      <c r="BI752" s="314"/>
      <c r="BJ752" s="314"/>
      <c r="BK752" s="24"/>
      <c r="BL752" s="24"/>
      <c r="BM752" s="24"/>
      <c r="BN752" s="24"/>
      <c r="BO752" s="24"/>
      <c r="BP752" s="24"/>
      <c r="BQ752" s="24"/>
      <c r="BR752" s="43"/>
      <c r="BS752" s="24"/>
      <c r="BT752" s="24"/>
      <c r="BU752" s="24"/>
      <c r="BV752" s="132" t="e">
        <f>IF(#REF!="COMPLETO","OK","PENDIENTES")</f>
        <v>#REF!</v>
      </c>
      <c r="BW752" s="132"/>
      <c r="BX752" s="132"/>
      <c r="BY752" s="132"/>
      <c r="BZ752" s="132"/>
      <c r="CA752" s="132"/>
      <c r="CB752" s="132"/>
      <c r="CC752" s="22"/>
      <c r="CG752" s="24" t="s">
        <v>105</v>
      </c>
      <c r="CH752" s="24"/>
      <c r="CI752" s="24"/>
      <c r="CJ752" s="24"/>
    </row>
    <row r="753" spans="1:88" ht="15" customHeight="1">
      <c r="A753" s="18">
        <v>2019</v>
      </c>
      <c r="B753" s="18" t="str">
        <f>+INDEX(BDD!F:F,MATCH(P753,BDD!D:D,0))&amp;"-"&amp;INDEX(BDD!E:E,MATCH(P753,BDD!D:D,0))</f>
        <v>S-S</v>
      </c>
      <c r="C753" s="125" t="s">
        <v>484</v>
      </c>
      <c r="D753" s="150" t="s">
        <v>77</v>
      </c>
      <c r="E753" s="132" t="s">
        <v>51</v>
      </c>
      <c r="F753" s="24"/>
      <c r="G753" s="346">
        <v>8000000556</v>
      </c>
      <c r="H753" s="125" t="s">
        <v>3070</v>
      </c>
      <c r="I753" s="329"/>
      <c r="J753" s="346">
        <v>8000000556</v>
      </c>
      <c r="K753" s="24"/>
      <c r="L753" s="24"/>
      <c r="M753" s="24"/>
      <c r="N753" s="340" t="s">
        <v>486</v>
      </c>
      <c r="O753" s="334">
        <v>207579</v>
      </c>
      <c r="P753" s="25" t="s">
        <v>238</v>
      </c>
      <c r="Q753" s="127" t="s">
        <v>234</v>
      </c>
      <c r="R753" s="232" t="s">
        <v>3071</v>
      </c>
      <c r="S753" s="89">
        <v>43731</v>
      </c>
      <c r="T753" s="36">
        <v>90</v>
      </c>
      <c r="U753" s="125" t="s">
        <v>2805</v>
      </c>
      <c r="V753" s="232" t="s">
        <v>3071</v>
      </c>
      <c r="W753" s="151"/>
      <c r="X753" s="88">
        <f>+BD753+T753</f>
        <v>43857</v>
      </c>
      <c r="Y753" s="130" t="s">
        <v>20</v>
      </c>
      <c r="Z753" s="133" t="s">
        <v>81</v>
      </c>
      <c r="AA753" s="133"/>
      <c r="AB753" s="148">
        <v>216</v>
      </c>
      <c r="AC753" s="134">
        <v>260</v>
      </c>
      <c r="AD753" s="134"/>
      <c r="AE753" s="403">
        <f t="shared" si="36"/>
        <v>56160</v>
      </c>
      <c r="AF753" s="145">
        <v>8</v>
      </c>
      <c r="AG753" s="130" t="s">
        <v>21</v>
      </c>
      <c r="AH753" s="130"/>
      <c r="AI753" s="130" t="s">
        <v>34</v>
      </c>
      <c r="AJ753" s="130"/>
      <c r="AK753" s="130"/>
      <c r="AL753" s="135" t="s">
        <v>2944</v>
      </c>
      <c r="AM753" s="314"/>
      <c r="AN753" s="26"/>
      <c r="AO753" s="26"/>
      <c r="AP753" s="26"/>
      <c r="AQ753" s="26">
        <v>43830</v>
      </c>
      <c r="AR753" s="24"/>
      <c r="AS753" s="24"/>
      <c r="AT753" s="24">
        <v>43833</v>
      </c>
      <c r="AU753" s="418">
        <f t="shared" si="37"/>
        <v>1</v>
      </c>
      <c r="AV753" s="418">
        <f t="shared" si="38"/>
        <v>2020</v>
      </c>
      <c r="AW753" s="24"/>
      <c r="AX753" s="28"/>
      <c r="AY753" s="28" t="s">
        <v>311</v>
      </c>
      <c r="AZ753" s="132" t="s">
        <v>9</v>
      </c>
      <c r="BA753" s="132"/>
      <c r="BB753" s="24" t="s">
        <v>2956</v>
      </c>
      <c r="BC753" s="135" t="s">
        <v>3072</v>
      </c>
      <c r="BD753" s="24">
        <v>43767</v>
      </c>
      <c r="BE753" s="135" t="s">
        <v>2921</v>
      </c>
      <c r="BF753" s="135" t="s">
        <v>2214</v>
      </c>
      <c r="BG753" s="135" t="s">
        <v>174</v>
      </c>
      <c r="BH753" s="135"/>
      <c r="BI753" s="314"/>
      <c r="BJ753" s="314"/>
      <c r="BK753" s="24"/>
      <c r="BL753" s="24"/>
      <c r="BM753" s="24"/>
      <c r="BN753" s="24"/>
      <c r="BO753" s="24">
        <f>+AQ753+14</f>
        <v>43844</v>
      </c>
      <c r="BP753" s="24"/>
      <c r="BQ753" s="24"/>
      <c r="BR753" s="43"/>
      <c r="BS753" s="24"/>
      <c r="BT753" s="24"/>
      <c r="BU753" s="24"/>
      <c r="BV753" s="132" t="e">
        <f>IF(#REF!="COMPLETO","OK","PENDIENTES")</f>
        <v>#REF!</v>
      </c>
      <c r="BW753" s="132"/>
      <c r="BX753" s="132"/>
      <c r="BY753" s="132"/>
      <c r="BZ753" s="132"/>
      <c r="CA753" s="132"/>
      <c r="CB753" s="132"/>
      <c r="CC753" s="22"/>
      <c r="CG753" s="24" t="s">
        <v>105</v>
      </c>
      <c r="CH753" s="24"/>
      <c r="CI753" s="24"/>
      <c r="CJ753" s="24"/>
    </row>
    <row r="754" spans="1:88" ht="15" customHeight="1">
      <c r="A754" s="18">
        <v>2019</v>
      </c>
      <c r="B754" s="18" t="str">
        <f>+INDEX(BDD!F:F,MATCH(P754,BDD!D:D,0))&amp;"-"&amp;INDEX(BDD!E:E,MATCH(P754,BDD!D:D,0))</f>
        <v>S-S</v>
      </c>
      <c r="C754" s="125" t="s">
        <v>484</v>
      </c>
      <c r="D754" s="150" t="s">
        <v>77</v>
      </c>
      <c r="E754" s="132"/>
      <c r="F754" s="24"/>
      <c r="G754" s="346">
        <v>8000000652</v>
      </c>
      <c r="H754" s="125" t="s">
        <v>3073</v>
      </c>
      <c r="I754" s="329"/>
      <c r="J754" s="346">
        <v>8000000652</v>
      </c>
      <c r="K754" s="24"/>
      <c r="L754" s="24"/>
      <c r="M754" s="24"/>
      <c r="N754" s="340" t="s">
        <v>486</v>
      </c>
      <c r="O754" s="334">
        <v>206971</v>
      </c>
      <c r="P754" s="25" t="s">
        <v>340</v>
      </c>
      <c r="Q754" s="127" t="s">
        <v>213</v>
      </c>
      <c r="R754" s="232" t="s">
        <v>3074</v>
      </c>
      <c r="S754" s="89">
        <v>43731</v>
      </c>
      <c r="T754" s="36">
        <v>90</v>
      </c>
      <c r="U754" s="125" t="s">
        <v>2805</v>
      </c>
      <c r="V754" s="147" t="s">
        <v>3075</v>
      </c>
      <c r="W754" s="129"/>
      <c r="X754" s="88">
        <f>+BD754+T754</f>
        <v>43858</v>
      </c>
      <c r="Y754" s="130" t="s">
        <v>20</v>
      </c>
      <c r="Z754" s="133" t="s">
        <v>72</v>
      </c>
      <c r="AA754" s="133"/>
      <c r="AB754" s="148">
        <v>300</v>
      </c>
      <c r="AC754" s="134">
        <v>505</v>
      </c>
      <c r="AD754" s="134"/>
      <c r="AE754" s="403">
        <f t="shared" si="36"/>
        <v>151500</v>
      </c>
      <c r="AF754" s="132">
        <v>12</v>
      </c>
      <c r="AG754" s="130" t="s">
        <v>21</v>
      </c>
      <c r="AH754" s="130"/>
      <c r="AI754" s="130" t="s">
        <v>34</v>
      </c>
      <c r="AJ754" s="130"/>
      <c r="AK754" s="130"/>
      <c r="AL754" s="135" t="s">
        <v>2944</v>
      </c>
      <c r="AM754" s="314"/>
      <c r="AN754" s="26"/>
      <c r="AO754" s="26"/>
      <c r="AP754" s="26"/>
      <c r="AQ754" s="26">
        <v>43816</v>
      </c>
      <c r="AR754" s="24"/>
      <c r="AS754" s="24"/>
      <c r="AT754" s="26">
        <v>43820</v>
      </c>
      <c r="AU754" s="418">
        <f t="shared" si="37"/>
        <v>12</v>
      </c>
      <c r="AV754" s="418">
        <f t="shared" si="38"/>
        <v>2019</v>
      </c>
      <c r="AW754" s="26"/>
      <c r="AX754" s="28"/>
      <c r="AY754" s="28" t="s">
        <v>193</v>
      </c>
      <c r="AZ754" s="132" t="s">
        <v>9</v>
      </c>
      <c r="BA754" s="132"/>
      <c r="BB754" s="26"/>
      <c r="BC754" s="135" t="s">
        <v>3076</v>
      </c>
      <c r="BD754" s="24">
        <v>43768</v>
      </c>
      <c r="BE754" s="135" t="s">
        <v>2386</v>
      </c>
      <c r="BF754" s="135" t="s">
        <v>2214</v>
      </c>
      <c r="BG754" s="135" t="s">
        <v>174</v>
      </c>
      <c r="BH754" s="135"/>
      <c r="BI754" s="314"/>
      <c r="BJ754" s="314"/>
      <c r="BK754" s="24"/>
      <c r="BL754" s="24"/>
      <c r="BM754" s="24"/>
      <c r="BN754" s="24"/>
      <c r="BO754" s="24">
        <f>+AQ754+14</f>
        <v>43830</v>
      </c>
      <c r="BP754" s="24"/>
      <c r="BQ754" s="24"/>
      <c r="BR754" s="43"/>
      <c r="BS754" s="24"/>
      <c r="BT754" s="24"/>
      <c r="BU754" s="24"/>
      <c r="BV754" s="132" t="e">
        <f>IF(#REF!="COMPLETO","OK","PENDIENTES")</f>
        <v>#REF!</v>
      </c>
      <c r="BW754" s="132"/>
      <c r="BX754" s="132"/>
      <c r="BY754" s="132"/>
      <c r="BZ754" s="132"/>
      <c r="CA754" s="132"/>
      <c r="CB754" s="132"/>
      <c r="CC754" s="22"/>
      <c r="CG754" s="24" t="s">
        <v>105</v>
      </c>
      <c r="CH754" s="24"/>
      <c r="CI754" s="26"/>
      <c r="CJ754" s="26"/>
    </row>
    <row r="755" spans="1:88" ht="15" customHeight="1">
      <c r="A755" s="18">
        <v>2019</v>
      </c>
      <c r="B755" s="18" t="str">
        <f>+INDEX(BDD!F:F,MATCH(P755,BDD!D:D,0))&amp;"-"&amp;INDEX(BDD!E:E,MATCH(P755,BDD!D:D,0))</f>
        <v>S-S</v>
      </c>
      <c r="C755" s="125" t="s">
        <v>484</v>
      </c>
      <c r="D755" s="150" t="s">
        <v>77</v>
      </c>
      <c r="E755" s="132"/>
      <c r="F755" s="24"/>
      <c r="G755" s="346">
        <v>8000000637</v>
      </c>
      <c r="H755" s="125" t="s">
        <v>3077</v>
      </c>
      <c r="I755" s="329"/>
      <c r="J755" s="346">
        <v>8000000637</v>
      </c>
      <c r="K755" s="24"/>
      <c r="L755" s="24"/>
      <c r="M755" s="24"/>
      <c r="N755" s="340" t="s">
        <v>486</v>
      </c>
      <c r="O755" s="334">
        <v>206971</v>
      </c>
      <c r="P755" s="25" t="s">
        <v>340</v>
      </c>
      <c r="Q755" s="127" t="s">
        <v>213</v>
      </c>
      <c r="R755" s="232" t="s">
        <v>3078</v>
      </c>
      <c r="S755" s="89">
        <v>43731</v>
      </c>
      <c r="T755" s="36">
        <v>90</v>
      </c>
      <c r="U755" s="125" t="s">
        <v>2805</v>
      </c>
      <c r="V755" s="147" t="s">
        <v>3079</v>
      </c>
      <c r="W755" s="129"/>
      <c r="X755" s="88">
        <f>+BD755+T755</f>
        <v>43851</v>
      </c>
      <c r="Y755" s="130" t="s">
        <v>20</v>
      </c>
      <c r="Z755" s="133" t="s">
        <v>72</v>
      </c>
      <c r="AA755" s="133"/>
      <c r="AB755" s="148">
        <v>600</v>
      </c>
      <c r="AC755" s="134">
        <v>505</v>
      </c>
      <c r="AD755" s="134"/>
      <c r="AE755" s="403">
        <f t="shared" si="36"/>
        <v>303000</v>
      </c>
      <c r="AF755" s="132">
        <v>25</v>
      </c>
      <c r="AG755" s="130" t="s">
        <v>21</v>
      </c>
      <c r="AH755" s="130"/>
      <c r="AI755" s="130" t="s">
        <v>34</v>
      </c>
      <c r="AJ755" s="130"/>
      <c r="AK755" s="130"/>
      <c r="AL755" s="135" t="s">
        <v>2944</v>
      </c>
      <c r="AM755" s="314"/>
      <c r="AN755" s="26"/>
      <c r="AO755" s="26"/>
      <c r="AP755" s="26"/>
      <c r="AQ755" s="26">
        <v>43810</v>
      </c>
      <c r="AR755" s="24"/>
      <c r="AS755" s="24"/>
      <c r="AT755" s="24">
        <v>43812</v>
      </c>
      <c r="AU755" s="418">
        <f t="shared" si="37"/>
        <v>12</v>
      </c>
      <c r="AV755" s="418">
        <f t="shared" si="38"/>
        <v>2019</v>
      </c>
      <c r="AW755" s="24"/>
      <c r="AX755" s="28"/>
      <c r="AY755" s="28" t="s">
        <v>197</v>
      </c>
      <c r="AZ755" s="132" t="s">
        <v>9</v>
      </c>
      <c r="BA755" s="132"/>
      <c r="BB755" s="24"/>
      <c r="BC755" s="135" t="s">
        <v>3080</v>
      </c>
      <c r="BD755" s="24">
        <v>43761</v>
      </c>
      <c r="BE755" s="135" t="s">
        <v>3081</v>
      </c>
      <c r="BF755" s="135" t="s">
        <v>2545</v>
      </c>
      <c r="BG755" s="135" t="s">
        <v>29</v>
      </c>
      <c r="BH755" s="135"/>
      <c r="BI755" s="314"/>
      <c r="BJ755" s="314"/>
      <c r="BK755" s="24"/>
      <c r="BL755" s="24"/>
      <c r="BM755" s="24"/>
      <c r="BN755" s="24"/>
      <c r="BO755" s="24">
        <f>+AQ755+14</f>
        <v>43824</v>
      </c>
      <c r="BP755" s="24"/>
      <c r="BQ755" s="24"/>
      <c r="BR755" s="43"/>
      <c r="BS755" s="24"/>
      <c r="BT755" s="24"/>
      <c r="BU755" s="24"/>
      <c r="BV755" s="132" t="e">
        <f>IF(#REF!="COMPLETO","OK","PENDIENTES")</f>
        <v>#REF!</v>
      </c>
      <c r="BW755" s="132"/>
      <c r="BX755" s="132"/>
      <c r="BY755" s="132"/>
      <c r="BZ755" s="132"/>
      <c r="CA755" s="132"/>
      <c r="CB755" s="132"/>
      <c r="CC755" s="22"/>
      <c r="CG755" s="24" t="s">
        <v>105</v>
      </c>
      <c r="CH755" s="24"/>
      <c r="CI755" s="24"/>
      <c r="CJ755" s="24"/>
    </row>
    <row r="756" spans="1:88" ht="15" customHeight="1">
      <c r="A756" s="18">
        <v>2019</v>
      </c>
      <c r="B756" s="18" t="str">
        <f>+INDEX(BDD!F:F,MATCH(P756,BDD!D:D,0))&amp;"-"&amp;INDEX(BDD!E:E,MATCH(P756,BDD!D:D,0))</f>
        <v>S-S</v>
      </c>
      <c r="C756" s="125" t="s">
        <v>484</v>
      </c>
      <c r="D756" s="150" t="s">
        <v>77</v>
      </c>
      <c r="E756" s="132"/>
      <c r="F756" s="24"/>
      <c r="G756" s="346">
        <v>8000000656</v>
      </c>
      <c r="H756" s="125" t="s">
        <v>3082</v>
      </c>
      <c r="I756" s="329"/>
      <c r="J756" s="346">
        <v>8000000656</v>
      </c>
      <c r="K756" s="24"/>
      <c r="L756" s="24"/>
      <c r="M756" s="24"/>
      <c r="N756" s="340" t="s">
        <v>486</v>
      </c>
      <c r="O756" s="334">
        <v>206971</v>
      </c>
      <c r="P756" s="25" t="s">
        <v>340</v>
      </c>
      <c r="Q756" s="127" t="s">
        <v>213</v>
      </c>
      <c r="R756" s="232" t="s">
        <v>3078</v>
      </c>
      <c r="S756" s="89">
        <v>43731</v>
      </c>
      <c r="T756" s="36">
        <v>90</v>
      </c>
      <c r="U756" s="125" t="s">
        <v>2805</v>
      </c>
      <c r="V756" s="147" t="s">
        <v>3083</v>
      </c>
      <c r="W756" s="129"/>
      <c r="X756" s="88">
        <f>+BD756+T756</f>
        <v>43858</v>
      </c>
      <c r="Y756" s="130" t="s">
        <v>20</v>
      </c>
      <c r="Z756" s="133" t="s">
        <v>72</v>
      </c>
      <c r="AA756" s="133"/>
      <c r="AB756" s="148">
        <v>650</v>
      </c>
      <c r="AC756" s="134">
        <v>505</v>
      </c>
      <c r="AD756" s="134"/>
      <c r="AE756" s="403">
        <f t="shared" si="36"/>
        <v>328250</v>
      </c>
      <c r="AF756" s="132">
        <v>25</v>
      </c>
      <c r="AG756" s="130" t="s">
        <v>21</v>
      </c>
      <c r="AH756" s="130"/>
      <c r="AI756" s="130" t="s">
        <v>34</v>
      </c>
      <c r="AJ756" s="130"/>
      <c r="AK756" s="130"/>
      <c r="AL756" s="135" t="s">
        <v>2944</v>
      </c>
      <c r="AM756" s="314"/>
      <c r="AN756" s="26"/>
      <c r="AO756" s="26"/>
      <c r="AP756" s="26"/>
      <c r="AQ756" s="26">
        <v>43817</v>
      </c>
      <c r="AR756" s="24"/>
      <c r="AS756" s="24"/>
      <c r="AT756" s="24">
        <v>43823</v>
      </c>
      <c r="AU756" s="418">
        <f t="shared" si="37"/>
        <v>12</v>
      </c>
      <c r="AV756" s="418">
        <f t="shared" si="38"/>
        <v>2019</v>
      </c>
      <c r="AW756" s="24"/>
      <c r="AX756" s="28"/>
      <c r="AY756" s="28" t="s">
        <v>193</v>
      </c>
      <c r="AZ756" s="132" t="s">
        <v>9</v>
      </c>
      <c r="BA756" s="132"/>
      <c r="BB756" s="24"/>
      <c r="BC756" s="135" t="s">
        <v>3084</v>
      </c>
      <c r="BD756" s="24">
        <v>43768</v>
      </c>
      <c r="BE756" s="135" t="s">
        <v>2386</v>
      </c>
      <c r="BF756" s="135" t="s">
        <v>1938</v>
      </c>
      <c r="BG756" s="135" t="s">
        <v>29</v>
      </c>
      <c r="BH756" s="135"/>
      <c r="BI756" s="314"/>
      <c r="BJ756" s="314"/>
      <c r="BK756" s="24"/>
      <c r="BL756" s="24"/>
      <c r="BM756" s="24"/>
      <c r="BN756" s="24"/>
      <c r="BO756" s="24">
        <f>+AQ756+14</f>
        <v>43831</v>
      </c>
      <c r="BP756" s="24"/>
      <c r="BQ756" s="24"/>
      <c r="BR756" s="43"/>
      <c r="BS756" s="24"/>
      <c r="BT756" s="24"/>
      <c r="BU756" s="24"/>
      <c r="BV756" s="132" t="e">
        <f>IF(#REF!="COMPLETO","OK","PENDIENTES")</f>
        <v>#REF!</v>
      </c>
      <c r="BW756" s="132"/>
      <c r="BX756" s="132"/>
      <c r="BY756" s="132"/>
      <c r="BZ756" s="132"/>
      <c r="CA756" s="132"/>
      <c r="CB756" s="132"/>
      <c r="CC756" s="22"/>
      <c r="CG756" s="24" t="s">
        <v>105</v>
      </c>
      <c r="CH756" s="24"/>
      <c r="CI756" s="24"/>
      <c r="CJ756" s="24"/>
    </row>
    <row r="757" spans="1:88" ht="15" customHeight="1">
      <c r="A757" s="18">
        <v>2019</v>
      </c>
      <c r="B757" s="18" t="str">
        <f>+INDEX(BDD!F:F,MATCH(P757,BDD!D:D,0))&amp;"-"&amp;INDEX(BDD!E:E,MATCH(P757,BDD!D:D,0))</f>
        <v>S-S</v>
      </c>
      <c r="C757" s="125" t="s">
        <v>484</v>
      </c>
      <c r="D757" s="150" t="s">
        <v>77</v>
      </c>
      <c r="E757" s="132"/>
      <c r="F757" s="24"/>
      <c r="G757" s="346">
        <v>8000000688</v>
      </c>
      <c r="H757" s="125" t="s">
        <v>3085</v>
      </c>
      <c r="I757" s="329"/>
      <c r="J757" s="346">
        <v>8000000688</v>
      </c>
      <c r="K757" s="24"/>
      <c r="L757" s="24"/>
      <c r="M757" s="24"/>
      <c r="N757" s="340" t="s">
        <v>486</v>
      </c>
      <c r="O757" s="334">
        <v>206914</v>
      </c>
      <c r="P757" s="25" t="s">
        <v>335</v>
      </c>
      <c r="Q757" s="127" t="s">
        <v>264</v>
      </c>
      <c r="R757" s="232" t="s">
        <v>3086</v>
      </c>
      <c r="S757" s="89">
        <v>43727</v>
      </c>
      <c r="T757" s="36">
        <v>90</v>
      </c>
      <c r="U757" s="125" t="s">
        <v>118</v>
      </c>
      <c r="V757" s="147" t="s">
        <v>3087</v>
      </c>
      <c r="W757" s="129"/>
      <c r="X757" s="88">
        <v>43899</v>
      </c>
      <c r="Y757" s="130" t="s">
        <v>20</v>
      </c>
      <c r="Z757" s="133" t="s">
        <v>60</v>
      </c>
      <c r="AA757" s="133"/>
      <c r="AB757" s="187">
        <v>543.4</v>
      </c>
      <c r="AC757" s="134">
        <v>118</v>
      </c>
      <c r="AD757" s="134"/>
      <c r="AE757" s="403">
        <f t="shared" si="36"/>
        <v>64121.2</v>
      </c>
      <c r="AF757" s="132">
        <v>19</v>
      </c>
      <c r="AG757" s="130" t="s">
        <v>21</v>
      </c>
      <c r="AH757" s="130"/>
      <c r="AI757" s="130" t="s">
        <v>34</v>
      </c>
      <c r="AJ757" s="130"/>
      <c r="AK757" s="130"/>
      <c r="AL757" s="135" t="s">
        <v>2944</v>
      </c>
      <c r="AM757" s="314"/>
      <c r="AN757" s="26"/>
      <c r="AO757" s="26"/>
      <c r="AP757" s="26"/>
      <c r="AQ757" s="26">
        <v>43865</v>
      </c>
      <c r="AR757" s="24"/>
      <c r="AS757" s="24"/>
      <c r="AT757" s="24">
        <v>43869</v>
      </c>
      <c r="AU757" s="418">
        <f t="shared" si="37"/>
        <v>2</v>
      </c>
      <c r="AV757" s="418">
        <f t="shared" si="38"/>
        <v>2020</v>
      </c>
      <c r="AW757" s="24"/>
      <c r="AX757" s="28"/>
      <c r="AY757" s="28" t="s">
        <v>139</v>
      </c>
      <c r="AZ757" s="132" t="s">
        <v>9</v>
      </c>
      <c r="BA757" s="132"/>
      <c r="BB757" s="24" t="s">
        <v>2956</v>
      </c>
      <c r="BC757" s="135" t="s">
        <v>3088</v>
      </c>
      <c r="BD757" s="24">
        <v>43807</v>
      </c>
      <c r="BE757" s="135" t="s">
        <v>2872</v>
      </c>
      <c r="BF757" s="135" t="s">
        <v>1251</v>
      </c>
      <c r="BG757" s="135" t="s">
        <v>2873</v>
      </c>
      <c r="BH757" s="135"/>
      <c r="BI757" s="314"/>
      <c r="BJ757" s="314"/>
      <c r="BK757" s="24"/>
      <c r="BL757" s="24"/>
      <c r="BM757" s="24"/>
      <c r="BN757" s="24"/>
      <c r="BO757" s="24">
        <f>+AQ757+15</f>
        <v>43880</v>
      </c>
      <c r="BP757" s="24"/>
      <c r="BQ757" s="24"/>
      <c r="BR757" s="43"/>
      <c r="BS757" s="24"/>
      <c r="BT757" s="24"/>
      <c r="BU757" s="24"/>
      <c r="BV757" s="132" t="e">
        <f>IF(#REF!="COMPLETO","OK","PENDIENTES")</f>
        <v>#REF!</v>
      </c>
      <c r="BW757" s="132"/>
      <c r="BX757" s="132"/>
      <c r="BY757" s="132"/>
      <c r="BZ757" s="132"/>
      <c r="CA757" s="132"/>
      <c r="CB757" s="132"/>
      <c r="CC757" s="22"/>
      <c r="CG757" s="24" t="s">
        <v>105</v>
      </c>
      <c r="CH757" s="24"/>
      <c r="CI757" s="24"/>
      <c r="CJ757" s="24"/>
    </row>
    <row r="758" spans="1:88" ht="15" customHeight="1">
      <c r="A758" s="18">
        <v>2019</v>
      </c>
      <c r="B758" s="18" t="str">
        <f>+INDEX(BDD!F:F,MATCH(P758,BDD!D:D,0))&amp;"-"&amp;INDEX(BDD!E:E,MATCH(P758,BDD!D:D,0))</f>
        <v>S-S</v>
      </c>
      <c r="C758" s="125" t="s">
        <v>484</v>
      </c>
      <c r="D758" s="150" t="s">
        <v>77</v>
      </c>
      <c r="E758" s="132"/>
      <c r="F758" s="24"/>
      <c r="G758" s="346">
        <v>8000000694</v>
      </c>
      <c r="H758" s="125" t="s">
        <v>3089</v>
      </c>
      <c r="I758" s="329"/>
      <c r="J758" s="346">
        <v>8000000694</v>
      </c>
      <c r="K758" s="24"/>
      <c r="L758" s="24"/>
      <c r="M758" s="24"/>
      <c r="N758" s="340" t="s">
        <v>486</v>
      </c>
      <c r="O758" s="334">
        <v>206914</v>
      </c>
      <c r="P758" s="25" t="s">
        <v>335</v>
      </c>
      <c r="Q758" s="127" t="s">
        <v>264</v>
      </c>
      <c r="R758" s="232" t="s">
        <v>3086</v>
      </c>
      <c r="S758" s="89">
        <v>43727</v>
      </c>
      <c r="T758" s="36">
        <v>90</v>
      </c>
      <c r="U758" s="125" t="s">
        <v>118</v>
      </c>
      <c r="V758" s="147" t="s">
        <v>3090</v>
      </c>
      <c r="W758" s="129"/>
      <c r="X758" s="88">
        <f>+BD758+T758</f>
        <v>43923</v>
      </c>
      <c r="Y758" s="130" t="s">
        <v>20</v>
      </c>
      <c r="Z758" s="133" t="s">
        <v>60</v>
      </c>
      <c r="AA758" s="133"/>
      <c r="AB758" s="187">
        <f>+AF758*28.6</f>
        <v>171.60000000000002</v>
      </c>
      <c r="AC758" s="134">
        <v>118</v>
      </c>
      <c r="AD758" s="134"/>
      <c r="AE758" s="403">
        <f t="shared" si="36"/>
        <v>20248.800000000003</v>
      </c>
      <c r="AF758" s="132">
        <v>6</v>
      </c>
      <c r="AG758" s="130" t="s">
        <v>21</v>
      </c>
      <c r="AH758" s="130"/>
      <c r="AI758" s="130" t="s">
        <v>34</v>
      </c>
      <c r="AJ758" s="130"/>
      <c r="AK758" s="130"/>
      <c r="AL758" s="135" t="s">
        <v>2944</v>
      </c>
      <c r="AM758" s="314"/>
      <c r="AN758" s="26"/>
      <c r="AO758" s="26"/>
      <c r="AP758" s="26"/>
      <c r="AQ758" s="26">
        <v>43886</v>
      </c>
      <c r="AR758" s="24"/>
      <c r="AS758" s="24"/>
      <c r="AT758" s="24">
        <v>43893</v>
      </c>
      <c r="AU758" s="418">
        <f t="shared" si="37"/>
        <v>3</v>
      </c>
      <c r="AV758" s="418">
        <f t="shared" si="38"/>
        <v>2020</v>
      </c>
      <c r="AW758" s="24"/>
      <c r="AX758" s="28"/>
      <c r="AY758" s="28" t="s">
        <v>139</v>
      </c>
      <c r="AZ758" s="132" t="s">
        <v>9</v>
      </c>
      <c r="BA758" s="132"/>
      <c r="BB758" s="24" t="s">
        <v>2956</v>
      </c>
      <c r="BC758" s="135" t="s">
        <v>3091</v>
      </c>
      <c r="BD758" s="24">
        <v>43833</v>
      </c>
      <c r="BE758" s="135" t="s">
        <v>2872</v>
      </c>
      <c r="BF758" s="135" t="s">
        <v>2214</v>
      </c>
      <c r="BG758" s="135" t="s">
        <v>2873</v>
      </c>
      <c r="BH758" s="135"/>
      <c r="BI758" s="314"/>
      <c r="BJ758" s="314"/>
      <c r="BK758" s="24"/>
      <c r="BL758" s="24"/>
      <c r="BM758" s="24"/>
      <c r="BN758" s="24"/>
      <c r="BO758" s="24">
        <f>+AQ758+14</f>
        <v>43900</v>
      </c>
      <c r="BP758" s="24"/>
      <c r="BQ758" s="24"/>
      <c r="BR758" s="43"/>
      <c r="BS758" s="24"/>
      <c r="BT758" s="24"/>
      <c r="BU758" s="24"/>
      <c r="BV758" s="132" t="e">
        <f>IF(#REF!="COMPLETO","OK","PENDIENTES")</f>
        <v>#REF!</v>
      </c>
      <c r="BW758" s="132"/>
      <c r="BX758" s="132"/>
      <c r="BY758" s="132"/>
      <c r="BZ758" s="132"/>
      <c r="CA758" s="132"/>
      <c r="CB758" s="132"/>
      <c r="CC758" s="22"/>
      <c r="CG758" s="24" t="s">
        <v>105</v>
      </c>
      <c r="CH758" s="24"/>
      <c r="CI758" s="24"/>
      <c r="CJ758" s="24"/>
    </row>
    <row r="759" spans="1:88" ht="15.75" customHeight="1">
      <c r="A759" s="18">
        <v>2019</v>
      </c>
      <c r="B759" s="18" t="str">
        <f>+INDEX(BDD!F:F,MATCH(P759,BDD!D:D,0))&amp;"-"&amp;INDEX(BDD!E:E,MATCH(P759,BDD!D:D,0))</f>
        <v>E-S</v>
      </c>
      <c r="C759" s="125" t="s">
        <v>484</v>
      </c>
      <c r="D759" s="150" t="s">
        <v>77</v>
      </c>
      <c r="E759" s="132"/>
      <c r="F759" s="24"/>
      <c r="G759" s="346">
        <v>8000000658</v>
      </c>
      <c r="H759" s="125" t="s">
        <v>3092</v>
      </c>
      <c r="I759" s="329"/>
      <c r="J759" s="346">
        <v>8000000658</v>
      </c>
      <c r="K759" s="24"/>
      <c r="L759" s="24"/>
      <c r="M759" s="24"/>
      <c r="N759" s="340" t="s">
        <v>486</v>
      </c>
      <c r="O759" s="334">
        <v>204826</v>
      </c>
      <c r="P759" s="25" t="s">
        <v>351</v>
      </c>
      <c r="Q759" s="127" t="s">
        <v>252</v>
      </c>
      <c r="R759" s="232" t="s">
        <v>3093</v>
      </c>
      <c r="S759" s="89">
        <v>43739</v>
      </c>
      <c r="T759" s="36" t="s">
        <v>19</v>
      </c>
      <c r="U759" s="125"/>
      <c r="V759" s="147" t="s">
        <v>3094</v>
      </c>
      <c r="W759" s="129"/>
      <c r="X759" s="88">
        <v>43790</v>
      </c>
      <c r="Y759" s="130" t="s">
        <v>20</v>
      </c>
      <c r="Z759" s="133" t="s">
        <v>60</v>
      </c>
      <c r="AA759" s="133"/>
      <c r="AB759" s="148">
        <v>316.8</v>
      </c>
      <c r="AC759" s="134">
        <v>312</v>
      </c>
      <c r="AD759" s="134"/>
      <c r="AE759" s="403">
        <f t="shared" si="36"/>
        <v>98841.600000000006</v>
      </c>
      <c r="AF759" s="132">
        <v>11</v>
      </c>
      <c r="AG759" s="130" t="s">
        <v>21</v>
      </c>
      <c r="AH759" s="130"/>
      <c r="AI759" s="130" t="s">
        <v>71</v>
      </c>
      <c r="AJ759" s="130"/>
      <c r="AK759" s="130"/>
      <c r="AL759" s="135" t="s">
        <v>3095</v>
      </c>
      <c r="AM759" s="314"/>
      <c r="AN759" s="26"/>
      <c r="AO759" s="26"/>
      <c r="AP759" s="26"/>
      <c r="AQ759" s="26">
        <v>43826</v>
      </c>
      <c r="AR759" s="24"/>
      <c r="AS759" s="24"/>
      <c r="AT759" s="24">
        <v>43829</v>
      </c>
      <c r="AU759" s="418">
        <f t="shared" si="37"/>
        <v>12</v>
      </c>
      <c r="AV759" s="418">
        <f t="shared" si="38"/>
        <v>2019</v>
      </c>
      <c r="AW759" s="24"/>
      <c r="AX759" s="28"/>
      <c r="AY759" s="28" t="s">
        <v>281</v>
      </c>
      <c r="AZ759" s="132" t="s">
        <v>37</v>
      </c>
      <c r="BA759" s="132"/>
      <c r="BB759" s="24"/>
      <c r="BC759" s="135" t="s">
        <v>3096</v>
      </c>
      <c r="BD759" s="24">
        <v>43780</v>
      </c>
      <c r="BE759" s="135" t="s">
        <v>3097</v>
      </c>
      <c r="BF759" s="135" t="s">
        <v>3098</v>
      </c>
      <c r="BG759" s="135" t="s">
        <v>64</v>
      </c>
      <c r="BH759" s="135"/>
      <c r="BI759" s="314"/>
      <c r="BJ759" s="314"/>
      <c r="BK759" s="24"/>
      <c r="BL759" s="24"/>
      <c r="BM759" s="24"/>
      <c r="BN759" s="24"/>
      <c r="BO759" s="24">
        <f>+AQ759+14</f>
        <v>43840</v>
      </c>
      <c r="BP759" s="24"/>
      <c r="BQ759" s="24"/>
      <c r="BR759" s="43"/>
      <c r="BS759" s="24"/>
      <c r="BT759" s="24"/>
      <c r="BU759" s="24"/>
      <c r="BV759" s="132" t="e">
        <f>IF(#REF!="COMPLETO","OK","PENDIENTES")</f>
        <v>#REF!</v>
      </c>
      <c r="BW759" s="132"/>
      <c r="BX759" s="132"/>
      <c r="BY759" s="132"/>
      <c r="BZ759" s="132"/>
      <c r="CA759" s="132"/>
      <c r="CB759" s="132"/>
      <c r="CC759" s="22"/>
      <c r="CG759" s="24" t="s">
        <v>105</v>
      </c>
      <c r="CH759" s="24"/>
      <c r="CI759" s="24"/>
      <c r="CJ759" s="24"/>
    </row>
    <row r="760" spans="1:88" ht="15" customHeight="1">
      <c r="A760" s="18">
        <v>2019</v>
      </c>
      <c r="B760" s="18" t="str">
        <f>+INDEX(BDD!F:F,MATCH(P760,BDD!D:D,0))&amp;"-"&amp;INDEX(BDD!E:E,MATCH(P760,BDD!D:D,0))</f>
        <v>E-S</v>
      </c>
      <c r="C760" s="125" t="s">
        <v>484</v>
      </c>
      <c r="D760" s="150" t="s">
        <v>77</v>
      </c>
      <c r="E760" s="132"/>
      <c r="F760" s="24"/>
      <c r="G760" s="346">
        <v>8000000654</v>
      </c>
      <c r="H760" s="125" t="s">
        <v>3099</v>
      </c>
      <c r="I760" s="329"/>
      <c r="J760" s="346">
        <v>8000000654</v>
      </c>
      <c r="K760" s="24"/>
      <c r="L760" s="24"/>
      <c r="M760" s="24"/>
      <c r="N760" s="340" t="s">
        <v>486</v>
      </c>
      <c r="O760" s="334">
        <v>204826</v>
      </c>
      <c r="P760" s="25" t="s">
        <v>351</v>
      </c>
      <c r="Q760" s="127" t="s">
        <v>252</v>
      </c>
      <c r="R760" s="232" t="s">
        <v>3093</v>
      </c>
      <c r="S760" s="89">
        <v>43739</v>
      </c>
      <c r="T760" s="36" t="s">
        <v>19</v>
      </c>
      <c r="U760" s="125"/>
      <c r="V760" s="147" t="s">
        <v>3100</v>
      </c>
      <c r="W760" s="129"/>
      <c r="X760" s="88">
        <v>43795</v>
      </c>
      <c r="Y760" s="130" t="s">
        <v>20</v>
      </c>
      <c r="Z760" s="133" t="s">
        <v>60</v>
      </c>
      <c r="AA760" s="133"/>
      <c r="AB760" s="148">
        <v>316.8</v>
      </c>
      <c r="AC760" s="134">
        <v>312</v>
      </c>
      <c r="AD760" s="134"/>
      <c r="AE760" s="403">
        <f t="shared" si="36"/>
        <v>98841.600000000006</v>
      </c>
      <c r="AF760" s="132">
        <v>11</v>
      </c>
      <c r="AG760" s="130" t="s">
        <v>21</v>
      </c>
      <c r="AH760" s="130"/>
      <c r="AI760" s="130" t="s">
        <v>71</v>
      </c>
      <c r="AJ760" s="130"/>
      <c r="AK760" s="130"/>
      <c r="AL760" s="135" t="s">
        <v>3101</v>
      </c>
      <c r="AM760" s="314"/>
      <c r="AN760" s="26"/>
      <c r="AO760" s="26"/>
      <c r="AP760" s="26"/>
      <c r="AQ760" s="26">
        <v>43819</v>
      </c>
      <c r="AR760" s="24"/>
      <c r="AS760" s="24"/>
      <c r="AT760" s="24">
        <v>43823</v>
      </c>
      <c r="AU760" s="418">
        <f t="shared" si="37"/>
        <v>12</v>
      </c>
      <c r="AV760" s="418">
        <f t="shared" si="38"/>
        <v>2019</v>
      </c>
      <c r="AW760" s="24"/>
      <c r="AX760" s="28"/>
      <c r="AY760" s="28" t="s">
        <v>281</v>
      </c>
      <c r="AZ760" s="132" t="s">
        <v>37</v>
      </c>
      <c r="BA760" s="132"/>
      <c r="BB760" s="24"/>
      <c r="BC760" s="135" t="s">
        <v>3102</v>
      </c>
      <c r="BD760" s="24">
        <v>43785</v>
      </c>
      <c r="BE760" s="135" t="s">
        <v>3103</v>
      </c>
      <c r="BF760" s="135" t="s">
        <v>797</v>
      </c>
      <c r="BG760" s="135" t="s">
        <v>64</v>
      </c>
      <c r="BH760" s="135"/>
      <c r="BI760" s="314"/>
      <c r="BJ760" s="314"/>
      <c r="BK760" s="24"/>
      <c r="BL760" s="24"/>
      <c r="BM760" s="24"/>
      <c r="BN760" s="24"/>
      <c r="BO760" s="24">
        <f>+AQ760+21</f>
        <v>43840</v>
      </c>
      <c r="BP760" s="24"/>
      <c r="BQ760" s="24"/>
      <c r="BR760" s="43"/>
      <c r="BS760" s="24"/>
      <c r="BT760" s="24"/>
      <c r="BU760" s="24"/>
      <c r="BV760" s="132" t="e">
        <f>IF(#REF!="COMPLETO","OK","PENDIENTES")</f>
        <v>#REF!</v>
      </c>
      <c r="BW760" s="132"/>
      <c r="BX760" s="132"/>
      <c r="BY760" s="132"/>
      <c r="BZ760" s="132"/>
      <c r="CA760" s="132"/>
      <c r="CB760" s="132"/>
      <c r="CC760" s="22"/>
      <c r="CG760" s="24" t="s">
        <v>105</v>
      </c>
      <c r="CH760" s="24"/>
      <c r="CI760" s="24"/>
      <c r="CJ760" s="24"/>
    </row>
    <row r="761" spans="1:88" ht="15" customHeight="1">
      <c r="A761" s="18">
        <v>2019</v>
      </c>
      <c r="B761" s="18" t="str">
        <f>+INDEX(BDD!F:F,MATCH(P761,BDD!D:D,0))&amp;"-"&amp;INDEX(BDD!E:E,MATCH(P761,BDD!D:D,0))</f>
        <v>S-S</v>
      </c>
      <c r="C761" s="360" t="s">
        <v>484</v>
      </c>
      <c r="D761" s="150" t="s">
        <v>77</v>
      </c>
      <c r="E761" s="132" t="s">
        <v>51</v>
      </c>
      <c r="F761" s="24"/>
      <c r="G761" s="346">
        <v>8000000661</v>
      </c>
      <c r="H761" s="220" t="s">
        <v>3104</v>
      </c>
      <c r="I761" s="329"/>
      <c r="J761" s="346">
        <v>8000000661</v>
      </c>
      <c r="K761" s="24"/>
      <c r="L761" s="24"/>
      <c r="M761" s="24"/>
      <c r="N761" s="340" t="s">
        <v>486</v>
      </c>
      <c r="O761" s="334">
        <v>207579</v>
      </c>
      <c r="P761" s="25" t="s">
        <v>238</v>
      </c>
      <c r="Q761" s="127" t="s">
        <v>231</v>
      </c>
      <c r="R761" s="232" t="s">
        <v>3105</v>
      </c>
      <c r="S761" s="89">
        <v>43734</v>
      </c>
      <c r="T761" s="36">
        <v>90</v>
      </c>
      <c r="U761" s="125" t="s">
        <v>2805</v>
      </c>
      <c r="V761" s="232" t="s">
        <v>3105</v>
      </c>
      <c r="W761" s="151"/>
      <c r="X761" s="88">
        <f>+BD761+T761</f>
        <v>43887</v>
      </c>
      <c r="Y761" s="130" t="s">
        <v>20</v>
      </c>
      <c r="Z761" s="133" t="s">
        <v>60</v>
      </c>
      <c r="AA761" s="133"/>
      <c r="AB761" s="148">
        <v>162</v>
      </c>
      <c r="AC761" s="134">
        <v>277</v>
      </c>
      <c r="AD761" s="134"/>
      <c r="AE761" s="403">
        <f t="shared" si="36"/>
        <v>44874</v>
      </c>
      <c r="AF761" s="132" t="s">
        <v>944</v>
      </c>
      <c r="AG761" s="130" t="s">
        <v>58</v>
      </c>
      <c r="AH761" s="130"/>
      <c r="AI761" s="130" t="s">
        <v>34</v>
      </c>
      <c r="AJ761" s="130"/>
      <c r="AK761" s="130"/>
      <c r="AL761" s="135" t="s">
        <v>2944</v>
      </c>
      <c r="AM761" s="314"/>
      <c r="AN761" s="26"/>
      <c r="AO761" s="26"/>
      <c r="AP761" s="26"/>
      <c r="AQ761" s="26">
        <v>43837</v>
      </c>
      <c r="AR761" s="24"/>
      <c r="AS761" s="24"/>
      <c r="AT761" s="24">
        <v>43840</v>
      </c>
      <c r="AU761" s="418">
        <f t="shared" si="37"/>
        <v>1</v>
      </c>
      <c r="AV761" s="418">
        <f t="shared" si="38"/>
        <v>2020</v>
      </c>
      <c r="AW761" s="24"/>
      <c r="AX761" s="28"/>
      <c r="AY761" s="28" t="s">
        <v>607</v>
      </c>
      <c r="AZ761" s="132" t="s">
        <v>62</v>
      </c>
      <c r="BA761" s="132"/>
      <c r="BB761" s="24" t="s">
        <v>2956</v>
      </c>
      <c r="BC761" s="135" t="s">
        <v>3106</v>
      </c>
      <c r="BD761" s="26">
        <v>43797</v>
      </c>
      <c r="BE761" s="135" t="s">
        <v>3107</v>
      </c>
      <c r="BF761" s="135" t="s">
        <v>3107</v>
      </c>
      <c r="BG761" s="135" t="s">
        <v>52</v>
      </c>
      <c r="BH761" s="135"/>
      <c r="BI761" s="314"/>
      <c r="BJ761" s="314"/>
      <c r="BK761" s="24"/>
      <c r="BL761" s="24"/>
      <c r="BM761" s="24"/>
      <c r="BN761" s="24"/>
      <c r="BO761" s="24"/>
      <c r="BP761" s="24"/>
      <c r="BQ761" s="24"/>
      <c r="BR761" s="43"/>
      <c r="BS761" s="24"/>
      <c r="BT761" s="24"/>
      <c r="BU761" s="24"/>
      <c r="BV761" s="132" t="e">
        <f>IF(#REF!="COMPLETO","OK","PENDIENTES")</f>
        <v>#REF!</v>
      </c>
      <c r="BW761" s="132"/>
      <c r="BX761" s="132"/>
      <c r="BY761" s="132"/>
      <c r="BZ761" s="132"/>
      <c r="CA761" s="132"/>
      <c r="CB761" s="132"/>
      <c r="CC761" s="22"/>
      <c r="CG761" s="24" t="s">
        <v>105</v>
      </c>
      <c r="CH761" s="24"/>
      <c r="CI761" s="24"/>
      <c r="CJ761" s="24"/>
    </row>
    <row r="762" spans="1:88" ht="15" customHeight="1">
      <c r="A762" s="18">
        <v>2019</v>
      </c>
      <c r="B762" s="18" t="str">
        <f>+INDEX(BDD!F:F,MATCH(P762,BDD!D:D,0))&amp;"-"&amp;INDEX(BDD!E:E,MATCH(P762,BDD!D:D,0))</f>
        <v>E-S</v>
      </c>
      <c r="C762" s="125" t="s">
        <v>484</v>
      </c>
      <c r="D762" s="150" t="s">
        <v>77</v>
      </c>
      <c r="E762" s="132"/>
      <c r="F762" s="24"/>
      <c r="G762" s="346">
        <v>8000000575</v>
      </c>
      <c r="H762" s="125" t="s">
        <v>3108</v>
      </c>
      <c r="I762" s="329"/>
      <c r="J762" s="346">
        <v>8000000575</v>
      </c>
      <c r="K762" s="24"/>
      <c r="L762" s="24"/>
      <c r="M762" s="24"/>
      <c r="N762" s="340" t="s">
        <v>486</v>
      </c>
      <c r="O762" s="334">
        <v>205972</v>
      </c>
      <c r="P762" s="25" t="s">
        <v>91</v>
      </c>
      <c r="Q762" s="127" t="s">
        <v>219</v>
      </c>
      <c r="R762" s="232"/>
      <c r="S762" s="89">
        <v>43738</v>
      </c>
      <c r="T762" s="188" t="s">
        <v>4</v>
      </c>
      <c r="U762" s="125"/>
      <c r="V762" s="147" t="s">
        <v>3109</v>
      </c>
      <c r="W762" s="129"/>
      <c r="X762" s="88">
        <v>43755</v>
      </c>
      <c r="Y762" s="130" t="s">
        <v>20</v>
      </c>
      <c r="Z762" s="133" t="s">
        <v>81</v>
      </c>
      <c r="AA762" s="133"/>
      <c r="AB762" s="148">
        <v>0.5</v>
      </c>
      <c r="AC762" s="134">
        <v>3933.5</v>
      </c>
      <c r="AD762" s="134"/>
      <c r="AE762" s="403">
        <f t="shared" si="36"/>
        <v>1966.75</v>
      </c>
      <c r="AF762" s="132">
        <v>1</v>
      </c>
      <c r="AG762" s="130" t="s">
        <v>21</v>
      </c>
      <c r="AH762" s="130"/>
      <c r="AI762" s="130" t="s">
        <v>22</v>
      </c>
      <c r="AJ762" s="130"/>
      <c r="AK762" s="130"/>
      <c r="AL762" s="135" t="s">
        <v>2963</v>
      </c>
      <c r="AM762" s="314"/>
      <c r="AN762" s="26"/>
      <c r="AO762" s="26"/>
      <c r="AP762" s="26"/>
      <c r="AQ762" s="26">
        <v>43805</v>
      </c>
      <c r="AR762" s="24"/>
      <c r="AS762" s="24"/>
      <c r="AT762" s="24">
        <v>43811</v>
      </c>
      <c r="AU762" s="418">
        <f t="shared" si="37"/>
        <v>12</v>
      </c>
      <c r="AV762" s="418">
        <f t="shared" si="38"/>
        <v>2019</v>
      </c>
      <c r="AW762" s="24"/>
      <c r="AX762" s="28"/>
      <c r="AY762" s="28" t="s">
        <v>102</v>
      </c>
      <c r="AZ762" s="132" t="s">
        <v>37</v>
      </c>
      <c r="BA762" s="132"/>
      <c r="BB762" s="24"/>
      <c r="BC762" s="135" t="s">
        <v>3110</v>
      </c>
      <c r="BD762" s="24">
        <v>43779</v>
      </c>
      <c r="BE762" s="135" t="s">
        <v>3111</v>
      </c>
      <c r="BF762" s="135" t="s">
        <v>865</v>
      </c>
      <c r="BG762" s="135" t="s">
        <v>3112</v>
      </c>
      <c r="BH762" s="135"/>
      <c r="BI762" s="314"/>
      <c r="BJ762" s="314"/>
      <c r="BK762" s="24"/>
      <c r="BL762" s="24"/>
      <c r="BM762" s="24"/>
      <c r="BN762" s="24"/>
      <c r="BO762" s="24"/>
      <c r="BP762" s="24"/>
      <c r="BQ762" s="24"/>
      <c r="BR762" s="43"/>
      <c r="BS762" s="24"/>
      <c r="BT762" s="24"/>
      <c r="BU762" s="24"/>
      <c r="BV762" s="132" t="e">
        <f>IF(#REF!="COMPLETO","OK","PENDIENTES")</f>
        <v>#REF!</v>
      </c>
      <c r="BW762" s="132"/>
      <c r="BX762" s="132"/>
      <c r="BY762" s="132"/>
      <c r="BZ762" s="132"/>
      <c r="CA762" s="132"/>
      <c r="CB762" s="132"/>
      <c r="CC762" s="22"/>
      <c r="CG762" s="24" t="s">
        <v>105</v>
      </c>
      <c r="CH762" s="24"/>
      <c r="CI762" s="24"/>
      <c r="CJ762" s="24"/>
    </row>
    <row r="763" spans="1:88" ht="13.5" customHeight="1">
      <c r="A763" s="18">
        <v>2019</v>
      </c>
      <c r="B763" s="18" t="str">
        <f>+INDEX(BDD!F:F,MATCH(P763,BDD!D:D,0))&amp;"-"&amp;INDEX(BDD!E:E,MATCH(P763,BDD!D:D,0))</f>
        <v>G-S</v>
      </c>
      <c r="C763" s="125" t="s">
        <v>484</v>
      </c>
      <c r="D763" s="150" t="s">
        <v>77</v>
      </c>
      <c r="E763" s="132"/>
      <c r="F763" s="24"/>
      <c r="G763" s="346">
        <v>8000000619</v>
      </c>
      <c r="H763" s="125" t="s">
        <v>3113</v>
      </c>
      <c r="I763" s="329"/>
      <c r="J763" s="346">
        <v>8000000619</v>
      </c>
      <c r="K763" s="24"/>
      <c r="L763" s="24"/>
      <c r="M763" s="24"/>
      <c r="N763" s="340" t="s">
        <v>486</v>
      </c>
      <c r="O763" s="334">
        <v>207951</v>
      </c>
      <c r="P763" s="25" t="s">
        <v>354</v>
      </c>
      <c r="Q763" s="127" t="s">
        <v>167</v>
      </c>
      <c r="R763" s="232" t="s">
        <v>3114</v>
      </c>
      <c r="S763" s="89">
        <v>43739</v>
      </c>
      <c r="T763" s="36">
        <v>120</v>
      </c>
      <c r="U763" s="125" t="s">
        <v>118</v>
      </c>
      <c r="V763" s="147" t="s">
        <v>3115</v>
      </c>
      <c r="W763" s="129"/>
      <c r="X763" s="88">
        <f t="shared" ref="X763:X777" si="39">+T763+BD763</f>
        <v>43894</v>
      </c>
      <c r="Y763" s="130" t="s">
        <v>20</v>
      </c>
      <c r="Z763" s="133" t="s">
        <v>60</v>
      </c>
      <c r="AA763" s="133"/>
      <c r="AB763" s="241">
        <v>650</v>
      </c>
      <c r="AC763" s="134">
        <v>294.35000000000002</v>
      </c>
      <c r="AD763" s="134"/>
      <c r="AE763" s="403">
        <f t="shared" si="36"/>
        <v>191327.50000000003</v>
      </c>
      <c r="AF763" s="132"/>
      <c r="AG763" s="130" t="s">
        <v>46</v>
      </c>
      <c r="AH763" s="130"/>
      <c r="AI763" s="130" t="s">
        <v>100</v>
      </c>
      <c r="AJ763" s="130"/>
      <c r="AK763" s="130"/>
      <c r="AL763" s="135" t="s">
        <v>2963</v>
      </c>
      <c r="AM763" s="314"/>
      <c r="AN763" s="26"/>
      <c r="AO763" s="26"/>
      <c r="AP763" s="26"/>
      <c r="AQ763" s="26">
        <v>43807</v>
      </c>
      <c r="AR763" s="24"/>
      <c r="AS763" s="24"/>
      <c r="AT763" s="24">
        <v>43808</v>
      </c>
      <c r="AU763" s="418">
        <f t="shared" si="37"/>
        <v>12</v>
      </c>
      <c r="AV763" s="418">
        <f t="shared" si="38"/>
        <v>2019</v>
      </c>
      <c r="AW763" s="24"/>
      <c r="AX763" s="28"/>
      <c r="AY763" s="28" t="s">
        <v>205</v>
      </c>
      <c r="AZ763" s="132" t="s">
        <v>9</v>
      </c>
      <c r="BA763" s="132"/>
      <c r="BB763" s="24"/>
      <c r="BC763" s="135">
        <v>20</v>
      </c>
      <c r="BD763" s="24">
        <v>43774</v>
      </c>
      <c r="BE763" s="135" t="s">
        <v>1053</v>
      </c>
      <c r="BF763" s="135" t="s">
        <v>1053</v>
      </c>
      <c r="BG763" s="135" t="s">
        <v>52</v>
      </c>
      <c r="BH763" s="135"/>
      <c r="BI763" s="314"/>
      <c r="BJ763" s="314"/>
      <c r="BK763" s="24"/>
      <c r="BL763" s="24"/>
      <c r="BM763" s="24"/>
      <c r="BN763" s="24"/>
      <c r="BO763" s="24"/>
      <c r="BP763" s="24"/>
      <c r="BQ763" s="24"/>
      <c r="BR763" s="43"/>
      <c r="BS763" s="24"/>
      <c r="BT763" s="24"/>
      <c r="BU763" s="24"/>
      <c r="BV763" s="132" t="e">
        <f>IF(#REF!="COMPLETO","OK","PENDIENTES")</f>
        <v>#REF!</v>
      </c>
      <c r="BW763" s="132"/>
      <c r="BX763" s="132"/>
      <c r="BY763" s="132"/>
      <c r="BZ763" s="132"/>
      <c r="CA763" s="132"/>
      <c r="CB763" s="132"/>
      <c r="CC763" s="22"/>
      <c r="CG763" s="24" t="s">
        <v>105</v>
      </c>
      <c r="CH763" s="24"/>
      <c r="CI763" s="24"/>
      <c r="CJ763" s="24"/>
    </row>
    <row r="764" spans="1:88" ht="15" customHeight="1">
      <c r="A764" s="18">
        <v>2019</v>
      </c>
      <c r="B764" s="18" t="str">
        <f>+INDEX(BDD!F:F,MATCH(P764,BDD!D:D,0))&amp;"-"&amp;INDEX(BDD!E:E,MATCH(P764,BDD!D:D,0))</f>
        <v>G-S</v>
      </c>
      <c r="C764" s="125" t="s">
        <v>484</v>
      </c>
      <c r="D764" s="150" t="s">
        <v>77</v>
      </c>
      <c r="E764" s="132"/>
      <c r="F764" s="24"/>
      <c r="G764" s="346">
        <v>8000000622</v>
      </c>
      <c r="H764" s="125" t="s">
        <v>3116</v>
      </c>
      <c r="I764" s="329"/>
      <c r="J764" s="346">
        <v>8000000622</v>
      </c>
      <c r="K764" s="24"/>
      <c r="L764" s="24"/>
      <c r="M764" s="24"/>
      <c r="N764" s="340" t="s">
        <v>486</v>
      </c>
      <c r="O764" s="334">
        <v>207951</v>
      </c>
      <c r="P764" s="25" t="s">
        <v>354</v>
      </c>
      <c r="Q764" s="127" t="s">
        <v>167</v>
      </c>
      <c r="R764" s="232" t="s">
        <v>3114</v>
      </c>
      <c r="S764" s="89">
        <v>43739</v>
      </c>
      <c r="T764" s="36">
        <v>120</v>
      </c>
      <c r="U764" s="125" t="s">
        <v>118</v>
      </c>
      <c r="V764" s="147" t="s">
        <v>3117</v>
      </c>
      <c r="W764" s="129"/>
      <c r="X764" s="88">
        <f t="shared" si="39"/>
        <v>43894</v>
      </c>
      <c r="Y764" s="130" t="s">
        <v>20</v>
      </c>
      <c r="Z764" s="133" t="s">
        <v>60</v>
      </c>
      <c r="AA764" s="133"/>
      <c r="AB764" s="241">
        <v>350</v>
      </c>
      <c r="AC764" s="134">
        <v>294.35000000000002</v>
      </c>
      <c r="AD764" s="134"/>
      <c r="AE764" s="403">
        <f t="shared" si="36"/>
        <v>103022.50000000001</v>
      </c>
      <c r="AF764" s="132"/>
      <c r="AG764" s="130" t="s">
        <v>46</v>
      </c>
      <c r="AH764" s="130"/>
      <c r="AI764" s="130" t="s">
        <v>100</v>
      </c>
      <c r="AJ764" s="130"/>
      <c r="AK764" s="130"/>
      <c r="AL764" s="135" t="s">
        <v>2963</v>
      </c>
      <c r="AM764" s="314"/>
      <c r="AN764" s="26"/>
      <c r="AO764" s="26"/>
      <c r="AP764" s="26"/>
      <c r="AQ764" s="26">
        <f>+AQ763+2</f>
        <v>43809</v>
      </c>
      <c r="AR764" s="24"/>
      <c r="AS764" s="24"/>
      <c r="AT764" s="24">
        <v>43811</v>
      </c>
      <c r="AU764" s="418">
        <f t="shared" si="37"/>
        <v>12</v>
      </c>
      <c r="AV764" s="418">
        <f t="shared" si="38"/>
        <v>2019</v>
      </c>
      <c r="AW764" s="24"/>
      <c r="AX764" s="28"/>
      <c r="AY764" s="28" t="s">
        <v>205</v>
      </c>
      <c r="AZ764" s="132" t="s">
        <v>25</v>
      </c>
      <c r="BA764" s="132"/>
      <c r="BB764" s="24"/>
      <c r="BC764" s="135">
        <v>21</v>
      </c>
      <c r="BD764" s="24">
        <v>43774</v>
      </c>
      <c r="BE764" s="135" t="s">
        <v>1053</v>
      </c>
      <c r="BF764" s="135" t="s">
        <v>1053</v>
      </c>
      <c r="BG764" s="135" t="s">
        <v>52</v>
      </c>
      <c r="BH764" s="135"/>
      <c r="BI764" s="314"/>
      <c r="BJ764" s="314"/>
      <c r="BK764" s="24"/>
      <c r="BL764" s="24"/>
      <c r="BM764" s="24"/>
      <c r="BN764" s="24"/>
      <c r="BO764" s="24"/>
      <c r="BP764" s="24"/>
      <c r="BQ764" s="24"/>
      <c r="BR764" s="43"/>
      <c r="BS764" s="24"/>
      <c r="BT764" s="24"/>
      <c r="BU764" s="24"/>
      <c r="BV764" s="132" t="e">
        <f>IF(#REF!="COMPLETO","OK","PENDIENTES")</f>
        <v>#REF!</v>
      </c>
      <c r="BW764" s="132"/>
      <c r="BX764" s="132"/>
      <c r="BY764" s="132"/>
      <c r="BZ764" s="132"/>
      <c r="CA764" s="132"/>
      <c r="CB764" s="132"/>
      <c r="CC764" s="22"/>
      <c r="CG764" s="24" t="s">
        <v>105</v>
      </c>
      <c r="CH764" s="24"/>
      <c r="CI764" s="24"/>
      <c r="CJ764" s="24"/>
    </row>
    <row r="765" spans="1:88" ht="15" customHeight="1">
      <c r="A765" s="18">
        <v>2019</v>
      </c>
      <c r="B765" s="18" t="str">
        <f>+INDEX(BDD!F:F,MATCH(P765,BDD!D:D,0))&amp;"-"&amp;INDEX(BDD!E:E,MATCH(P765,BDD!D:D,0))</f>
        <v>G-S</v>
      </c>
      <c r="C765" s="125" t="s">
        <v>484</v>
      </c>
      <c r="D765" s="150" t="s">
        <v>77</v>
      </c>
      <c r="E765" s="132"/>
      <c r="F765" s="24"/>
      <c r="G765" s="346">
        <v>8000000626</v>
      </c>
      <c r="H765" s="125" t="s">
        <v>3118</v>
      </c>
      <c r="I765" s="329"/>
      <c r="J765" s="346">
        <v>8000000626</v>
      </c>
      <c r="K765" s="24"/>
      <c r="L765" s="24"/>
      <c r="M765" s="24"/>
      <c r="N765" s="340" t="s">
        <v>486</v>
      </c>
      <c r="O765" s="334">
        <v>207951</v>
      </c>
      <c r="P765" s="25" t="s">
        <v>354</v>
      </c>
      <c r="Q765" s="127" t="s">
        <v>167</v>
      </c>
      <c r="R765" s="232" t="s">
        <v>3114</v>
      </c>
      <c r="S765" s="89">
        <v>43739</v>
      </c>
      <c r="T765" s="36">
        <v>120</v>
      </c>
      <c r="U765" s="125" t="s">
        <v>118</v>
      </c>
      <c r="V765" s="147" t="s">
        <v>3119</v>
      </c>
      <c r="W765" s="129"/>
      <c r="X765" s="88">
        <f t="shared" si="39"/>
        <v>43894</v>
      </c>
      <c r="Y765" s="130" t="s">
        <v>20</v>
      </c>
      <c r="Z765" s="133" t="s">
        <v>60</v>
      </c>
      <c r="AA765" s="133"/>
      <c r="AB765" s="241">
        <v>400</v>
      </c>
      <c r="AC765" s="134">
        <v>294.35000000000002</v>
      </c>
      <c r="AD765" s="134"/>
      <c r="AE765" s="403">
        <f t="shared" si="36"/>
        <v>117740.00000000001</v>
      </c>
      <c r="AF765" s="132"/>
      <c r="AG765" s="130" t="s">
        <v>46</v>
      </c>
      <c r="AH765" s="130"/>
      <c r="AI765" s="130" t="s">
        <v>100</v>
      </c>
      <c r="AJ765" s="130"/>
      <c r="AK765" s="130"/>
      <c r="AL765" s="135" t="s">
        <v>2963</v>
      </c>
      <c r="AM765" s="314"/>
      <c r="AN765" s="26"/>
      <c r="AO765" s="26"/>
      <c r="AP765" s="26"/>
      <c r="AQ765" s="26">
        <f>+AQ764+3</f>
        <v>43812</v>
      </c>
      <c r="AR765" s="24"/>
      <c r="AS765" s="24"/>
      <c r="AT765" s="24">
        <v>43814</v>
      </c>
      <c r="AU765" s="418">
        <f t="shared" si="37"/>
        <v>12</v>
      </c>
      <c r="AV765" s="418">
        <f t="shared" si="38"/>
        <v>2019</v>
      </c>
      <c r="AW765" s="24"/>
      <c r="AX765" s="28"/>
      <c r="AY765" s="28" t="s">
        <v>205</v>
      </c>
      <c r="AZ765" s="132" t="s">
        <v>37</v>
      </c>
      <c r="BA765" s="132"/>
      <c r="BB765" s="24"/>
      <c r="BC765" s="135">
        <v>22</v>
      </c>
      <c r="BD765" s="24">
        <v>43774</v>
      </c>
      <c r="BE765" s="135" t="s">
        <v>1053</v>
      </c>
      <c r="BF765" s="135" t="s">
        <v>1053</v>
      </c>
      <c r="BG765" s="135" t="s">
        <v>52</v>
      </c>
      <c r="BH765" s="135"/>
      <c r="BI765" s="314"/>
      <c r="BJ765" s="314"/>
      <c r="BK765" s="24"/>
      <c r="BL765" s="24"/>
      <c r="BM765" s="24"/>
      <c r="BN765" s="24"/>
      <c r="BO765" s="24"/>
      <c r="BP765" s="24"/>
      <c r="BQ765" s="24"/>
      <c r="BR765" s="43"/>
      <c r="BS765" s="24"/>
      <c r="BT765" s="24"/>
      <c r="BU765" s="24"/>
      <c r="BV765" s="132" t="e">
        <f>IF(#REF!="COMPLETO","OK","PENDIENTES")</f>
        <v>#REF!</v>
      </c>
      <c r="BW765" s="132"/>
      <c r="BX765" s="132"/>
      <c r="BY765" s="132"/>
      <c r="BZ765" s="132"/>
      <c r="CA765" s="132"/>
      <c r="CB765" s="132"/>
      <c r="CC765" s="22"/>
      <c r="CG765" s="24" t="s">
        <v>105</v>
      </c>
      <c r="CH765" s="24"/>
      <c r="CI765" s="24"/>
      <c r="CJ765" s="24"/>
    </row>
    <row r="766" spans="1:88" ht="15" customHeight="1">
      <c r="A766" s="18">
        <v>2019</v>
      </c>
      <c r="B766" s="18" t="str">
        <f>+INDEX(BDD!F:F,MATCH(P766,BDD!D:D,0))&amp;"-"&amp;INDEX(BDD!E:E,MATCH(P766,BDD!D:D,0))</f>
        <v>G-S</v>
      </c>
      <c r="C766" s="125" t="s">
        <v>484</v>
      </c>
      <c r="D766" s="150" t="s">
        <v>77</v>
      </c>
      <c r="E766" s="132"/>
      <c r="F766" s="24"/>
      <c r="G766" s="346">
        <v>8000000630</v>
      </c>
      <c r="H766" s="125" t="s">
        <v>3120</v>
      </c>
      <c r="I766" s="329"/>
      <c r="J766" s="346">
        <v>8000000630</v>
      </c>
      <c r="K766" s="24"/>
      <c r="L766" s="24"/>
      <c r="M766" s="24"/>
      <c r="N766" s="340" t="s">
        <v>486</v>
      </c>
      <c r="O766" s="334">
        <v>207951</v>
      </c>
      <c r="P766" s="25" t="s">
        <v>354</v>
      </c>
      <c r="Q766" s="127" t="s">
        <v>167</v>
      </c>
      <c r="R766" s="232" t="s">
        <v>3114</v>
      </c>
      <c r="S766" s="89">
        <v>43739</v>
      </c>
      <c r="T766" s="36">
        <v>120</v>
      </c>
      <c r="U766" s="125" t="s">
        <v>118</v>
      </c>
      <c r="V766" s="147" t="s">
        <v>3121</v>
      </c>
      <c r="W766" s="129"/>
      <c r="X766" s="88">
        <f t="shared" si="39"/>
        <v>43894</v>
      </c>
      <c r="Y766" s="130" t="s">
        <v>20</v>
      </c>
      <c r="Z766" s="133" t="s">
        <v>60</v>
      </c>
      <c r="AA766" s="133"/>
      <c r="AB766" s="241">
        <v>250</v>
      </c>
      <c r="AC766" s="134">
        <v>294.35000000000002</v>
      </c>
      <c r="AD766" s="134"/>
      <c r="AE766" s="403">
        <f t="shared" si="36"/>
        <v>73587.5</v>
      </c>
      <c r="AF766" s="132"/>
      <c r="AG766" s="130" t="s">
        <v>46</v>
      </c>
      <c r="AH766" s="130"/>
      <c r="AI766" s="130" t="s">
        <v>100</v>
      </c>
      <c r="AJ766" s="130"/>
      <c r="AK766" s="130"/>
      <c r="AL766" s="135" t="s">
        <v>2963</v>
      </c>
      <c r="AM766" s="314"/>
      <c r="AN766" s="26"/>
      <c r="AO766" s="26"/>
      <c r="AP766" s="26"/>
      <c r="AQ766" s="26">
        <f>+AQ765+3</f>
        <v>43815</v>
      </c>
      <c r="AR766" s="24"/>
      <c r="AS766" s="24"/>
      <c r="AT766" s="26">
        <v>43816</v>
      </c>
      <c r="AU766" s="418">
        <f t="shared" si="37"/>
        <v>12</v>
      </c>
      <c r="AV766" s="418">
        <f t="shared" si="38"/>
        <v>2019</v>
      </c>
      <c r="AW766" s="26"/>
      <c r="AX766" s="28"/>
      <c r="AY766" s="28" t="s">
        <v>205</v>
      </c>
      <c r="AZ766" s="132" t="s">
        <v>62</v>
      </c>
      <c r="BA766" s="132"/>
      <c r="BB766" s="26"/>
      <c r="BC766" s="135">
        <v>23</v>
      </c>
      <c r="BD766" s="24">
        <v>43774</v>
      </c>
      <c r="BE766" s="135" t="s">
        <v>1053</v>
      </c>
      <c r="BF766" s="135" t="s">
        <v>1053</v>
      </c>
      <c r="BG766" s="135" t="s">
        <v>52</v>
      </c>
      <c r="BH766" s="135"/>
      <c r="BI766" s="314"/>
      <c r="BJ766" s="314"/>
      <c r="BK766" s="24"/>
      <c r="BL766" s="24"/>
      <c r="BM766" s="24"/>
      <c r="BN766" s="24"/>
      <c r="BO766" s="24"/>
      <c r="BP766" s="24"/>
      <c r="BQ766" s="24"/>
      <c r="BR766" s="43"/>
      <c r="BS766" s="24"/>
      <c r="BT766" s="24"/>
      <c r="BU766" s="24"/>
      <c r="BV766" s="132" t="e">
        <f>IF(#REF!="COMPLETO","OK","PENDIENTES")</f>
        <v>#REF!</v>
      </c>
      <c r="BW766" s="132"/>
      <c r="BX766" s="132"/>
      <c r="BY766" s="132"/>
      <c r="BZ766" s="132"/>
      <c r="CA766" s="132"/>
      <c r="CB766" s="132"/>
      <c r="CC766" s="22"/>
      <c r="CG766" s="24" t="s">
        <v>105</v>
      </c>
      <c r="CH766" s="24"/>
      <c r="CI766" s="26"/>
      <c r="CJ766" s="26"/>
    </row>
    <row r="767" spans="1:88" ht="15" customHeight="1">
      <c r="A767" s="18">
        <v>2019</v>
      </c>
      <c r="B767" s="18" t="str">
        <f>+INDEX(BDD!F:F,MATCH(P767,BDD!D:D,0))&amp;"-"&amp;INDEX(BDD!E:E,MATCH(P767,BDD!D:D,0))</f>
        <v>G-S</v>
      </c>
      <c r="C767" s="125" t="s">
        <v>484</v>
      </c>
      <c r="D767" s="150" t="s">
        <v>77</v>
      </c>
      <c r="E767" s="132"/>
      <c r="F767" s="24"/>
      <c r="G767" s="346">
        <v>8000000620</v>
      </c>
      <c r="H767" s="125" t="s">
        <v>3122</v>
      </c>
      <c r="I767" s="329"/>
      <c r="J767" s="346">
        <v>8000000620</v>
      </c>
      <c r="K767" s="24"/>
      <c r="L767" s="24"/>
      <c r="M767" s="24"/>
      <c r="N767" s="340" t="s">
        <v>486</v>
      </c>
      <c r="O767" s="334">
        <v>207485</v>
      </c>
      <c r="P767" s="25" t="s">
        <v>353</v>
      </c>
      <c r="Q767" s="127" t="s">
        <v>167</v>
      </c>
      <c r="R767" s="232" t="s">
        <v>3123</v>
      </c>
      <c r="S767" s="89">
        <v>43739</v>
      </c>
      <c r="T767" s="36">
        <v>120</v>
      </c>
      <c r="U767" s="125" t="s">
        <v>118</v>
      </c>
      <c r="V767" s="147" t="s">
        <v>3124</v>
      </c>
      <c r="W767" s="129"/>
      <c r="X767" s="88">
        <f t="shared" si="39"/>
        <v>43894</v>
      </c>
      <c r="Y767" s="130" t="s">
        <v>20</v>
      </c>
      <c r="Z767" s="133" t="s">
        <v>60</v>
      </c>
      <c r="AA767" s="133"/>
      <c r="AB767" s="241">
        <v>1400</v>
      </c>
      <c r="AC767" s="134">
        <v>307.54000000000002</v>
      </c>
      <c r="AD767" s="134"/>
      <c r="AE767" s="403">
        <f t="shared" si="36"/>
        <v>430556</v>
      </c>
      <c r="AF767" s="132"/>
      <c r="AG767" s="130" t="s">
        <v>46</v>
      </c>
      <c r="AH767" s="130"/>
      <c r="AI767" s="130" t="s">
        <v>100</v>
      </c>
      <c r="AJ767" s="130"/>
      <c r="AK767" s="130"/>
      <c r="AL767" s="135" t="s">
        <v>2963</v>
      </c>
      <c r="AM767" s="314"/>
      <c r="AN767" s="26"/>
      <c r="AO767" s="26"/>
      <c r="AP767" s="26"/>
      <c r="AQ767" s="26">
        <v>43807</v>
      </c>
      <c r="AR767" s="24"/>
      <c r="AS767" s="24"/>
      <c r="AT767" s="24">
        <v>43808</v>
      </c>
      <c r="AU767" s="418">
        <f t="shared" si="37"/>
        <v>12</v>
      </c>
      <c r="AV767" s="418">
        <f t="shared" si="38"/>
        <v>2019</v>
      </c>
      <c r="AW767" s="24"/>
      <c r="AX767" s="28"/>
      <c r="AY767" s="28" t="s">
        <v>205</v>
      </c>
      <c r="AZ767" s="132" t="s">
        <v>9</v>
      </c>
      <c r="BA767" s="132"/>
      <c r="BB767" s="24"/>
      <c r="BC767" s="135">
        <v>12</v>
      </c>
      <c r="BD767" s="24">
        <v>43774</v>
      </c>
      <c r="BE767" s="135" t="s">
        <v>1053</v>
      </c>
      <c r="BF767" s="135" t="s">
        <v>1053</v>
      </c>
      <c r="BG767" s="135" t="s">
        <v>52</v>
      </c>
      <c r="BH767" s="135"/>
      <c r="BI767" s="314"/>
      <c r="BJ767" s="314"/>
      <c r="BK767" s="24"/>
      <c r="BL767" s="24"/>
      <c r="BM767" s="24"/>
      <c r="BN767" s="24"/>
      <c r="BO767" s="24"/>
      <c r="BP767" s="24"/>
      <c r="BQ767" s="24"/>
      <c r="BR767" s="43"/>
      <c r="BS767" s="24"/>
      <c r="BT767" s="24"/>
      <c r="BU767" s="24"/>
      <c r="BV767" s="132" t="e">
        <f>IF(#REF!="COMPLETO","OK","PENDIENTES")</f>
        <v>#REF!</v>
      </c>
      <c r="BW767" s="132"/>
      <c r="BX767" s="132"/>
      <c r="BY767" s="132"/>
      <c r="BZ767" s="132"/>
      <c r="CA767" s="132"/>
      <c r="CB767" s="132"/>
      <c r="CC767" s="22"/>
      <c r="CG767" s="24" t="s">
        <v>105</v>
      </c>
      <c r="CH767" s="24"/>
      <c r="CI767" s="24"/>
      <c r="CJ767" s="24"/>
    </row>
    <row r="768" spans="1:88" ht="15" customHeight="1">
      <c r="A768" s="18">
        <v>2019</v>
      </c>
      <c r="B768" s="18" t="str">
        <f>+INDEX(BDD!F:F,MATCH(P768,BDD!D:D,0))&amp;"-"&amp;INDEX(BDD!E:E,MATCH(P768,BDD!D:D,0))</f>
        <v>G-S</v>
      </c>
      <c r="C768" s="125" t="s">
        <v>484</v>
      </c>
      <c r="D768" s="150" t="s">
        <v>77</v>
      </c>
      <c r="E768" s="132"/>
      <c r="F768" s="24"/>
      <c r="G768" s="346">
        <v>8000000623</v>
      </c>
      <c r="H768" s="125" t="s">
        <v>3125</v>
      </c>
      <c r="I768" s="329"/>
      <c r="J768" s="346">
        <v>8000000623</v>
      </c>
      <c r="K768" s="24"/>
      <c r="L768" s="24"/>
      <c r="M768" s="24"/>
      <c r="N768" s="340" t="s">
        <v>486</v>
      </c>
      <c r="O768" s="334">
        <v>207485</v>
      </c>
      <c r="P768" s="25" t="s">
        <v>353</v>
      </c>
      <c r="Q768" s="127" t="s">
        <v>167</v>
      </c>
      <c r="R768" s="232" t="s">
        <v>3123</v>
      </c>
      <c r="S768" s="89">
        <v>43739</v>
      </c>
      <c r="T768" s="36">
        <v>120</v>
      </c>
      <c r="U768" s="125" t="s">
        <v>118</v>
      </c>
      <c r="V768" s="147" t="s">
        <v>3126</v>
      </c>
      <c r="W768" s="129"/>
      <c r="X768" s="88">
        <f t="shared" si="39"/>
        <v>43894</v>
      </c>
      <c r="Y768" s="130" t="s">
        <v>20</v>
      </c>
      <c r="Z768" s="133" t="s">
        <v>60</v>
      </c>
      <c r="AA768" s="133"/>
      <c r="AB768" s="241">
        <v>1100</v>
      </c>
      <c r="AC768" s="134">
        <v>307.54000000000002</v>
      </c>
      <c r="AD768" s="134"/>
      <c r="AE768" s="403">
        <f t="shared" si="36"/>
        <v>338294</v>
      </c>
      <c r="AF768" s="132"/>
      <c r="AG768" s="130" t="s">
        <v>46</v>
      </c>
      <c r="AH768" s="130"/>
      <c r="AI768" s="130" t="s">
        <v>100</v>
      </c>
      <c r="AJ768" s="130"/>
      <c r="AK768" s="130"/>
      <c r="AL768" s="135" t="s">
        <v>2963</v>
      </c>
      <c r="AM768" s="314"/>
      <c r="AN768" s="26"/>
      <c r="AO768" s="26"/>
      <c r="AP768" s="26"/>
      <c r="AQ768" s="26">
        <v>43809</v>
      </c>
      <c r="AR768" s="24"/>
      <c r="AS768" s="24"/>
      <c r="AT768" s="24">
        <v>43811</v>
      </c>
      <c r="AU768" s="418">
        <f t="shared" si="37"/>
        <v>12</v>
      </c>
      <c r="AV768" s="418">
        <f t="shared" si="38"/>
        <v>2019</v>
      </c>
      <c r="AW768" s="24"/>
      <c r="AX768" s="28"/>
      <c r="AY768" s="28" t="s">
        <v>205</v>
      </c>
      <c r="AZ768" s="132" t="s">
        <v>25</v>
      </c>
      <c r="BA768" s="132"/>
      <c r="BB768" s="24"/>
      <c r="BC768" s="135">
        <v>13</v>
      </c>
      <c r="BD768" s="24">
        <v>43774</v>
      </c>
      <c r="BE768" s="135" t="s">
        <v>1053</v>
      </c>
      <c r="BF768" s="135" t="s">
        <v>1053</v>
      </c>
      <c r="BG768" s="135" t="s">
        <v>52</v>
      </c>
      <c r="BH768" s="135"/>
      <c r="BI768" s="314"/>
      <c r="BJ768" s="314"/>
      <c r="BK768" s="24"/>
      <c r="BL768" s="24"/>
      <c r="BM768" s="24"/>
      <c r="BN768" s="24"/>
      <c r="BO768" s="24"/>
      <c r="BP768" s="24"/>
      <c r="BQ768" s="24"/>
      <c r="BR768" s="43"/>
      <c r="BS768" s="24"/>
      <c r="BT768" s="24"/>
      <c r="BU768" s="24"/>
      <c r="BV768" s="132" t="e">
        <f>IF(#REF!="COMPLETO","OK","PENDIENTES")</f>
        <v>#REF!</v>
      </c>
      <c r="BW768" s="132"/>
      <c r="BX768" s="132"/>
      <c r="BY768" s="132"/>
      <c r="BZ768" s="132"/>
      <c r="CA768" s="132"/>
      <c r="CB768" s="132"/>
      <c r="CC768" s="22"/>
      <c r="CG768" s="24" t="s">
        <v>105</v>
      </c>
      <c r="CH768" s="24"/>
      <c r="CI768" s="24"/>
      <c r="CJ768" s="24"/>
    </row>
    <row r="769" spans="1:88" ht="15" customHeight="1">
      <c r="A769" s="18">
        <v>2019</v>
      </c>
      <c r="B769" s="18" t="str">
        <f>+INDEX(BDD!F:F,MATCH(P769,BDD!D:D,0))&amp;"-"&amp;INDEX(BDD!E:E,MATCH(P769,BDD!D:D,0))</f>
        <v>G-S</v>
      </c>
      <c r="C769" s="125" t="s">
        <v>484</v>
      </c>
      <c r="D769" s="150" t="s">
        <v>77</v>
      </c>
      <c r="E769" s="132"/>
      <c r="F769" s="24"/>
      <c r="G769" s="346">
        <v>8000000627</v>
      </c>
      <c r="H769" s="125" t="s">
        <v>3127</v>
      </c>
      <c r="I769" s="329"/>
      <c r="J769" s="346">
        <v>8000000627</v>
      </c>
      <c r="K769" s="24"/>
      <c r="L769" s="24"/>
      <c r="M769" s="24"/>
      <c r="N769" s="340" t="s">
        <v>486</v>
      </c>
      <c r="O769" s="334">
        <v>207485</v>
      </c>
      <c r="P769" s="25" t="s">
        <v>353</v>
      </c>
      <c r="Q769" s="127" t="s">
        <v>167</v>
      </c>
      <c r="R769" s="232" t="s">
        <v>3123</v>
      </c>
      <c r="S769" s="89">
        <v>43739</v>
      </c>
      <c r="T769" s="36">
        <v>120</v>
      </c>
      <c r="U769" s="125" t="s">
        <v>118</v>
      </c>
      <c r="V769" s="147" t="s">
        <v>3128</v>
      </c>
      <c r="W769" s="129"/>
      <c r="X769" s="88">
        <f t="shared" si="39"/>
        <v>43894</v>
      </c>
      <c r="Y769" s="130" t="s">
        <v>20</v>
      </c>
      <c r="Z769" s="133" t="s">
        <v>60</v>
      </c>
      <c r="AA769" s="133"/>
      <c r="AB769" s="241">
        <v>400</v>
      </c>
      <c r="AC769" s="134">
        <v>307.54000000000002</v>
      </c>
      <c r="AD769" s="134"/>
      <c r="AE769" s="403">
        <f t="shared" si="36"/>
        <v>123016.00000000001</v>
      </c>
      <c r="AF769" s="132"/>
      <c r="AG769" s="130" t="s">
        <v>46</v>
      </c>
      <c r="AH769" s="130"/>
      <c r="AI769" s="130" t="s">
        <v>100</v>
      </c>
      <c r="AJ769" s="130"/>
      <c r="AK769" s="130"/>
      <c r="AL769" s="135" t="s">
        <v>2963</v>
      </c>
      <c r="AM769" s="314"/>
      <c r="AN769" s="26"/>
      <c r="AO769" s="26"/>
      <c r="AP769" s="26"/>
      <c r="AQ769" s="26">
        <f>+AQ768+3</f>
        <v>43812</v>
      </c>
      <c r="AR769" s="24"/>
      <c r="AS769" s="24"/>
      <c r="AT769" s="24">
        <v>43814</v>
      </c>
      <c r="AU769" s="418">
        <f t="shared" si="37"/>
        <v>12</v>
      </c>
      <c r="AV769" s="418">
        <f t="shared" si="38"/>
        <v>2019</v>
      </c>
      <c r="AW769" s="24"/>
      <c r="AX769" s="28"/>
      <c r="AY769" s="28" t="s">
        <v>205</v>
      </c>
      <c r="AZ769" s="132" t="s">
        <v>37</v>
      </c>
      <c r="BA769" s="132"/>
      <c r="BB769" s="24"/>
      <c r="BC769" s="135">
        <v>14</v>
      </c>
      <c r="BD769" s="24">
        <v>43774</v>
      </c>
      <c r="BE769" s="135" t="s">
        <v>1053</v>
      </c>
      <c r="BF769" s="135" t="s">
        <v>1053</v>
      </c>
      <c r="BG769" s="135" t="s">
        <v>52</v>
      </c>
      <c r="BH769" s="135"/>
      <c r="BI769" s="314"/>
      <c r="BJ769" s="314"/>
      <c r="BK769" s="24"/>
      <c r="BL769" s="24"/>
      <c r="BM769" s="24"/>
      <c r="BN769" s="24"/>
      <c r="BO769" s="24"/>
      <c r="BP769" s="24"/>
      <c r="BQ769" s="24"/>
      <c r="BR769" s="43"/>
      <c r="BS769" s="24"/>
      <c r="BT769" s="24"/>
      <c r="BU769" s="24"/>
      <c r="BV769" s="132" t="e">
        <f>IF(#REF!="COMPLETO","OK","PENDIENTES")</f>
        <v>#REF!</v>
      </c>
      <c r="BW769" s="132"/>
      <c r="BX769" s="132"/>
      <c r="BY769" s="132"/>
      <c r="BZ769" s="132"/>
      <c r="CA769" s="132"/>
      <c r="CB769" s="132"/>
      <c r="CC769" s="22"/>
      <c r="CG769" s="24" t="s">
        <v>105</v>
      </c>
      <c r="CH769" s="24"/>
      <c r="CI769" s="24"/>
      <c r="CJ769" s="24"/>
    </row>
    <row r="770" spans="1:88" ht="15" customHeight="1">
      <c r="A770" s="18">
        <v>2019</v>
      </c>
      <c r="B770" s="18" t="str">
        <f>+INDEX(BDD!F:F,MATCH(P770,BDD!D:D,0))&amp;"-"&amp;INDEX(BDD!E:E,MATCH(P770,BDD!D:D,0))</f>
        <v>G-S</v>
      </c>
      <c r="C770" s="125" t="s">
        <v>484</v>
      </c>
      <c r="D770" s="150" t="s">
        <v>77</v>
      </c>
      <c r="E770" s="132"/>
      <c r="F770" s="24"/>
      <c r="G770" s="346">
        <v>8000000631</v>
      </c>
      <c r="H770" s="125" t="s">
        <v>3129</v>
      </c>
      <c r="I770" s="329"/>
      <c r="J770" s="346">
        <v>8000000631</v>
      </c>
      <c r="K770" s="24"/>
      <c r="L770" s="24"/>
      <c r="M770" s="24"/>
      <c r="N770" s="340" t="s">
        <v>486</v>
      </c>
      <c r="O770" s="334">
        <v>207485</v>
      </c>
      <c r="P770" s="25" t="s">
        <v>353</v>
      </c>
      <c r="Q770" s="127" t="s">
        <v>167</v>
      </c>
      <c r="R770" s="232" t="s">
        <v>3123</v>
      </c>
      <c r="S770" s="89">
        <v>43739</v>
      </c>
      <c r="T770" s="36">
        <v>120</v>
      </c>
      <c r="U770" s="125" t="s">
        <v>118</v>
      </c>
      <c r="V770" s="147" t="s">
        <v>3130</v>
      </c>
      <c r="W770" s="129"/>
      <c r="X770" s="88">
        <f t="shared" si="39"/>
        <v>43894</v>
      </c>
      <c r="Y770" s="130" t="s">
        <v>20</v>
      </c>
      <c r="Z770" s="133" t="s">
        <v>60</v>
      </c>
      <c r="AA770" s="133"/>
      <c r="AB770" s="241">
        <v>400</v>
      </c>
      <c r="AC770" s="134">
        <v>307.54000000000002</v>
      </c>
      <c r="AD770" s="134"/>
      <c r="AE770" s="403">
        <f t="shared" ref="AE770:AE833" si="40">AB770*AC770</f>
        <v>123016.00000000001</v>
      </c>
      <c r="AF770" s="132"/>
      <c r="AG770" s="130" t="s">
        <v>46</v>
      </c>
      <c r="AH770" s="130"/>
      <c r="AI770" s="130" t="s">
        <v>100</v>
      </c>
      <c r="AJ770" s="130"/>
      <c r="AK770" s="130"/>
      <c r="AL770" s="135" t="s">
        <v>2963</v>
      </c>
      <c r="AM770" s="314"/>
      <c r="AN770" s="26"/>
      <c r="AO770" s="26"/>
      <c r="AP770" s="26"/>
      <c r="AQ770" s="26">
        <f>+AQ769+3</f>
        <v>43815</v>
      </c>
      <c r="AR770" s="24"/>
      <c r="AS770" s="24"/>
      <c r="AT770" s="26">
        <v>43816</v>
      </c>
      <c r="AU770" s="418">
        <f t="shared" si="37"/>
        <v>12</v>
      </c>
      <c r="AV770" s="418">
        <f t="shared" si="38"/>
        <v>2019</v>
      </c>
      <c r="AW770" s="26"/>
      <c r="AX770" s="28"/>
      <c r="AY770" s="28" t="s">
        <v>205</v>
      </c>
      <c r="AZ770" s="132" t="s">
        <v>62</v>
      </c>
      <c r="BA770" s="132"/>
      <c r="BB770" s="26"/>
      <c r="BC770" s="135">
        <v>15</v>
      </c>
      <c r="BD770" s="24">
        <v>43774</v>
      </c>
      <c r="BE770" s="135" t="s">
        <v>1053</v>
      </c>
      <c r="BF770" s="135" t="s">
        <v>1053</v>
      </c>
      <c r="BG770" s="135" t="s">
        <v>52</v>
      </c>
      <c r="BH770" s="135"/>
      <c r="BI770" s="314"/>
      <c r="BJ770" s="314"/>
      <c r="BK770" s="24"/>
      <c r="BL770" s="24"/>
      <c r="BM770" s="24"/>
      <c r="BN770" s="24"/>
      <c r="BO770" s="24"/>
      <c r="BP770" s="24"/>
      <c r="BQ770" s="24"/>
      <c r="BR770" s="43"/>
      <c r="BS770" s="24"/>
      <c r="BT770" s="24"/>
      <c r="BU770" s="24"/>
      <c r="BV770" s="132" t="e">
        <f>IF(#REF!="COMPLETO","OK","PENDIENTES")</f>
        <v>#REF!</v>
      </c>
      <c r="BW770" s="132"/>
      <c r="BX770" s="132"/>
      <c r="BY770" s="132"/>
      <c r="BZ770" s="132"/>
      <c r="CA770" s="132"/>
      <c r="CB770" s="132"/>
      <c r="CC770" s="22"/>
      <c r="CG770" s="24" t="s">
        <v>105</v>
      </c>
      <c r="CH770" s="24"/>
      <c r="CI770" s="26"/>
      <c r="CJ770" s="26"/>
    </row>
    <row r="771" spans="1:88" ht="15" customHeight="1">
      <c r="A771" s="18">
        <v>2019</v>
      </c>
      <c r="B771" s="18" t="str">
        <f>+INDEX(BDD!F:F,MATCH(P771,BDD!D:D,0))&amp;"-"&amp;INDEX(BDD!E:E,MATCH(P771,BDD!D:D,0))</f>
        <v>G-S</v>
      </c>
      <c r="C771" s="125" t="s">
        <v>484</v>
      </c>
      <c r="D771" s="150" t="s">
        <v>77</v>
      </c>
      <c r="E771" s="132"/>
      <c r="F771" s="24"/>
      <c r="G771" s="346">
        <v>8000000624</v>
      </c>
      <c r="H771" s="125" t="s">
        <v>3131</v>
      </c>
      <c r="I771" s="329"/>
      <c r="J771" s="346">
        <v>8000000624</v>
      </c>
      <c r="K771" s="24"/>
      <c r="L771" s="24"/>
      <c r="M771" s="24"/>
      <c r="N771" s="340" t="s">
        <v>486</v>
      </c>
      <c r="O771" s="334">
        <v>206569</v>
      </c>
      <c r="P771" s="25" t="s">
        <v>142</v>
      </c>
      <c r="Q771" s="127" t="s">
        <v>167</v>
      </c>
      <c r="R771" s="232" t="s">
        <v>3132</v>
      </c>
      <c r="S771" s="89">
        <v>43739</v>
      </c>
      <c r="T771" s="36">
        <v>120</v>
      </c>
      <c r="U771" s="125" t="s">
        <v>118</v>
      </c>
      <c r="V771" s="147" t="s">
        <v>3133</v>
      </c>
      <c r="W771" s="129"/>
      <c r="X771" s="88">
        <f t="shared" si="39"/>
        <v>43894</v>
      </c>
      <c r="Y771" s="130" t="s">
        <v>20</v>
      </c>
      <c r="Z771" s="133" t="s">
        <v>60</v>
      </c>
      <c r="AA771" s="133"/>
      <c r="AB771" s="254">
        <v>200</v>
      </c>
      <c r="AC771" s="134">
        <v>346.11</v>
      </c>
      <c r="AD771" s="134"/>
      <c r="AE771" s="403">
        <f t="shared" si="40"/>
        <v>69222</v>
      </c>
      <c r="AF771" s="132"/>
      <c r="AG771" s="130" t="s">
        <v>46</v>
      </c>
      <c r="AH771" s="130"/>
      <c r="AI771" s="130" t="s">
        <v>100</v>
      </c>
      <c r="AJ771" s="130"/>
      <c r="AK771" s="130"/>
      <c r="AL771" s="135" t="s">
        <v>2963</v>
      </c>
      <c r="AM771" s="314"/>
      <c r="AN771" s="26"/>
      <c r="AO771" s="26"/>
      <c r="AP771" s="26"/>
      <c r="AQ771" s="26">
        <v>43809</v>
      </c>
      <c r="AR771" s="24"/>
      <c r="AS771" s="24"/>
      <c r="AT771" s="24">
        <v>43811</v>
      </c>
      <c r="AU771" s="418">
        <f t="shared" ref="AU771:AU834" si="41">MONTH(AT771)</f>
        <v>12</v>
      </c>
      <c r="AV771" s="418">
        <f t="shared" ref="AV771:AV834" si="42">YEAR(AT771)</f>
        <v>2019</v>
      </c>
      <c r="AW771" s="24"/>
      <c r="AX771" s="28"/>
      <c r="AY771" s="28" t="s">
        <v>205</v>
      </c>
      <c r="AZ771" s="132" t="s">
        <v>25</v>
      </c>
      <c r="BA771" s="132"/>
      <c r="BB771" s="24"/>
      <c r="BC771" s="135">
        <v>5</v>
      </c>
      <c r="BD771" s="24">
        <v>43774</v>
      </c>
      <c r="BE771" s="135" t="s">
        <v>1053</v>
      </c>
      <c r="BF771" s="135" t="s">
        <v>1053</v>
      </c>
      <c r="BG771" s="135" t="s">
        <v>52</v>
      </c>
      <c r="BH771" s="135"/>
      <c r="BI771" s="314"/>
      <c r="BJ771" s="314"/>
      <c r="BK771" s="24"/>
      <c r="BL771" s="24"/>
      <c r="BM771" s="24"/>
      <c r="BN771" s="24"/>
      <c r="BO771" s="24"/>
      <c r="BP771" s="24"/>
      <c r="BQ771" s="24"/>
      <c r="BR771" s="43"/>
      <c r="BS771" s="24"/>
      <c r="BT771" s="24"/>
      <c r="BU771" s="24"/>
      <c r="BV771" s="132" t="e">
        <f>IF(#REF!="COMPLETO","OK","PENDIENTES")</f>
        <v>#REF!</v>
      </c>
      <c r="BW771" s="132"/>
      <c r="BX771" s="132"/>
      <c r="BY771" s="132"/>
      <c r="BZ771" s="132"/>
      <c r="CA771" s="132"/>
      <c r="CB771" s="132"/>
      <c r="CC771" s="22"/>
      <c r="CG771" s="24" t="s">
        <v>105</v>
      </c>
      <c r="CH771" s="24"/>
      <c r="CI771" s="24"/>
      <c r="CJ771" s="24"/>
    </row>
    <row r="772" spans="1:88" ht="15" customHeight="1">
      <c r="A772" s="18">
        <v>2019</v>
      </c>
      <c r="B772" s="18" t="str">
        <f>+INDEX(BDD!F:F,MATCH(P772,BDD!D:D,0))&amp;"-"&amp;INDEX(BDD!E:E,MATCH(P772,BDD!D:D,0))</f>
        <v>G-S</v>
      </c>
      <c r="C772" s="125" t="s">
        <v>484</v>
      </c>
      <c r="D772" s="150" t="s">
        <v>77</v>
      </c>
      <c r="E772" s="132"/>
      <c r="F772" s="24"/>
      <c r="G772" s="346">
        <v>8000000628</v>
      </c>
      <c r="H772" s="125" t="s">
        <v>3134</v>
      </c>
      <c r="I772" s="329"/>
      <c r="J772" s="346">
        <v>8000000628</v>
      </c>
      <c r="K772" s="24"/>
      <c r="L772" s="24"/>
      <c r="M772" s="24"/>
      <c r="N772" s="340" t="s">
        <v>486</v>
      </c>
      <c r="O772" s="334">
        <v>206569</v>
      </c>
      <c r="P772" s="25" t="s">
        <v>142</v>
      </c>
      <c r="Q772" s="127" t="s">
        <v>167</v>
      </c>
      <c r="R772" s="232" t="s">
        <v>3132</v>
      </c>
      <c r="S772" s="89">
        <v>43739</v>
      </c>
      <c r="T772" s="36">
        <v>120</v>
      </c>
      <c r="U772" s="125" t="s">
        <v>118</v>
      </c>
      <c r="V772" s="147" t="s">
        <v>3135</v>
      </c>
      <c r="W772" s="129"/>
      <c r="X772" s="88">
        <f t="shared" si="39"/>
        <v>43894</v>
      </c>
      <c r="Y772" s="130" t="s">
        <v>20</v>
      </c>
      <c r="Z772" s="133" t="s">
        <v>60</v>
      </c>
      <c r="AA772" s="133"/>
      <c r="AB772" s="254">
        <v>2050</v>
      </c>
      <c r="AC772" s="134">
        <v>346.11</v>
      </c>
      <c r="AD772" s="134"/>
      <c r="AE772" s="403">
        <f t="shared" si="40"/>
        <v>709525.5</v>
      </c>
      <c r="AF772" s="132"/>
      <c r="AG772" s="130" t="s">
        <v>46</v>
      </c>
      <c r="AH772" s="130"/>
      <c r="AI772" s="130" t="s">
        <v>100</v>
      </c>
      <c r="AJ772" s="130"/>
      <c r="AK772" s="130"/>
      <c r="AL772" s="135" t="s">
        <v>2963</v>
      </c>
      <c r="AM772" s="314"/>
      <c r="AN772" s="26"/>
      <c r="AO772" s="26"/>
      <c r="AP772" s="26"/>
      <c r="AQ772" s="26">
        <f>+AQ771+3</f>
        <v>43812</v>
      </c>
      <c r="AR772" s="24"/>
      <c r="AS772" s="24"/>
      <c r="AT772" s="24">
        <v>43814</v>
      </c>
      <c r="AU772" s="418">
        <f t="shared" si="41"/>
        <v>12</v>
      </c>
      <c r="AV772" s="418">
        <f t="shared" si="42"/>
        <v>2019</v>
      </c>
      <c r="AW772" s="24"/>
      <c r="AX772" s="28"/>
      <c r="AY772" s="28" t="s">
        <v>205</v>
      </c>
      <c r="AZ772" s="132" t="s">
        <v>37</v>
      </c>
      <c r="BA772" s="132"/>
      <c r="BB772" s="24"/>
      <c r="BC772" s="135">
        <v>6</v>
      </c>
      <c r="BD772" s="24">
        <v>43774</v>
      </c>
      <c r="BE772" s="135" t="s">
        <v>1053</v>
      </c>
      <c r="BF772" s="135" t="s">
        <v>1053</v>
      </c>
      <c r="BG772" s="135" t="s">
        <v>52</v>
      </c>
      <c r="BH772" s="135"/>
      <c r="BI772" s="314"/>
      <c r="BJ772" s="314"/>
      <c r="BK772" s="24"/>
      <c r="BL772" s="24"/>
      <c r="BM772" s="24"/>
      <c r="BN772" s="24"/>
      <c r="BO772" s="24"/>
      <c r="BP772" s="24"/>
      <c r="BQ772" s="24"/>
      <c r="BR772" s="43"/>
      <c r="BS772" s="24"/>
      <c r="BT772" s="24"/>
      <c r="BU772" s="24"/>
      <c r="BV772" s="132" t="e">
        <f>IF(#REF!="COMPLETO","OK","PENDIENTES")</f>
        <v>#REF!</v>
      </c>
      <c r="BW772" s="132"/>
      <c r="BX772" s="132"/>
      <c r="BY772" s="132"/>
      <c r="BZ772" s="132"/>
      <c r="CA772" s="132"/>
      <c r="CB772" s="132"/>
      <c r="CC772" s="22"/>
      <c r="CG772" s="24" t="s">
        <v>105</v>
      </c>
      <c r="CH772" s="24"/>
      <c r="CI772" s="24"/>
      <c r="CJ772" s="24"/>
    </row>
    <row r="773" spans="1:88" ht="16.5" customHeight="1">
      <c r="A773" s="18">
        <v>2019</v>
      </c>
      <c r="B773" s="18" t="str">
        <f>+INDEX(BDD!F:F,MATCH(P773,BDD!D:D,0))&amp;"-"&amp;INDEX(BDD!E:E,MATCH(P773,BDD!D:D,0))</f>
        <v>G-S</v>
      </c>
      <c r="C773" s="125" t="s">
        <v>484</v>
      </c>
      <c r="D773" s="150" t="s">
        <v>77</v>
      </c>
      <c r="E773" s="132"/>
      <c r="F773" s="24"/>
      <c r="G773" s="346">
        <v>8000000632</v>
      </c>
      <c r="H773" s="125" t="s">
        <v>3136</v>
      </c>
      <c r="I773" s="329"/>
      <c r="J773" s="346">
        <v>8000000632</v>
      </c>
      <c r="K773" s="24"/>
      <c r="L773" s="24"/>
      <c r="M773" s="24"/>
      <c r="N773" s="340" t="s">
        <v>486</v>
      </c>
      <c r="O773" s="334">
        <v>206569</v>
      </c>
      <c r="P773" s="25" t="s">
        <v>142</v>
      </c>
      <c r="Q773" s="127" t="s">
        <v>167</v>
      </c>
      <c r="R773" s="232" t="s">
        <v>3132</v>
      </c>
      <c r="S773" s="89">
        <v>43739</v>
      </c>
      <c r="T773" s="36">
        <v>120</v>
      </c>
      <c r="U773" s="125" t="s">
        <v>118</v>
      </c>
      <c r="V773" s="147" t="s">
        <v>3137</v>
      </c>
      <c r="W773" s="129"/>
      <c r="X773" s="88">
        <f t="shared" si="39"/>
        <v>43894</v>
      </c>
      <c r="Y773" s="130" t="s">
        <v>20</v>
      </c>
      <c r="Z773" s="133" t="s">
        <v>60</v>
      </c>
      <c r="AA773" s="133"/>
      <c r="AB773" s="254">
        <v>1600</v>
      </c>
      <c r="AC773" s="134">
        <v>346.11</v>
      </c>
      <c r="AD773" s="134"/>
      <c r="AE773" s="403">
        <f t="shared" si="40"/>
        <v>553776</v>
      </c>
      <c r="AF773" s="132"/>
      <c r="AG773" s="130" t="s">
        <v>46</v>
      </c>
      <c r="AH773" s="130"/>
      <c r="AI773" s="130" t="s">
        <v>100</v>
      </c>
      <c r="AJ773" s="130"/>
      <c r="AK773" s="130"/>
      <c r="AL773" s="135" t="s">
        <v>2963</v>
      </c>
      <c r="AM773" s="314"/>
      <c r="AN773" s="26"/>
      <c r="AO773" s="26"/>
      <c r="AP773" s="26"/>
      <c r="AQ773" s="26">
        <f>+AQ772+3</f>
        <v>43815</v>
      </c>
      <c r="AR773" s="24"/>
      <c r="AS773" s="24"/>
      <c r="AT773" s="26">
        <v>43816</v>
      </c>
      <c r="AU773" s="418">
        <f t="shared" si="41"/>
        <v>12</v>
      </c>
      <c r="AV773" s="418">
        <f t="shared" si="42"/>
        <v>2019</v>
      </c>
      <c r="AW773" s="26"/>
      <c r="AX773" s="28"/>
      <c r="AY773" s="28" t="s">
        <v>205</v>
      </c>
      <c r="AZ773" s="132" t="s">
        <v>62</v>
      </c>
      <c r="BA773" s="132"/>
      <c r="BB773" s="26"/>
      <c r="BC773" s="135">
        <v>7</v>
      </c>
      <c r="BD773" s="24">
        <v>43774</v>
      </c>
      <c r="BE773" s="135" t="s">
        <v>1053</v>
      </c>
      <c r="BF773" s="135" t="s">
        <v>1053</v>
      </c>
      <c r="BG773" s="135" t="s">
        <v>52</v>
      </c>
      <c r="BH773" s="135"/>
      <c r="BI773" s="314"/>
      <c r="BJ773" s="314"/>
      <c r="BK773" s="24"/>
      <c r="BL773" s="24"/>
      <c r="BM773" s="24"/>
      <c r="BN773" s="24"/>
      <c r="BO773" s="24"/>
      <c r="BP773" s="24"/>
      <c r="BQ773" s="24"/>
      <c r="BR773" s="43"/>
      <c r="BS773" s="24"/>
      <c r="BT773" s="24"/>
      <c r="BU773" s="24"/>
      <c r="BV773" s="132" t="e">
        <f>IF(#REF!="COMPLETO","OK","PENDIENTES")</f>
        <v>#REF!</v>
      </c>
      <c r="BW773" s="132"/>
      <c r="BX773" s="132"/>
      <c r="BY773" s="132"/>
      <c r="BZ773" s="132"/>
      <c r="CA773" s="132"/>
      <c r="CB773" s="132"/>
      <c r="CC773" s="22"/>
      <c r="CG773" s="24" t="s">
        <v>105</v>
      </c>
      <c r="CH773" s="24"/>
      <c r="CI773" s="26"/>
      <c r="CJ773" s="26"/>
    </row>
    <row r="774" spans="1:88" ht="15" customHeight="1">
      <c r="A774" s="18">
        <v>2019</v>
      </c>
      <c r="B774" s="18" t="str">
        <f>+INDEX(BDD!F:F,MATCH(P774,BDD!D:D,0))&amp;"-"&amp;INDEX(BDD!E:E,MATCH(P774,BDD!D:D,0))</f>
        <v>G-S</v>
      </c>
      <c r="C774" s="125" t="s">
        <v>484</v>
      </c>
      <c r="D774" s="150" t="s">
        <v>77</v>
      </c>
      <c r="E774" s="132"/>
      <c r="F774" s="24"/>
      <c r="G774" s="346">
        <v>8000000621</v>
      </c>
      <c r="H774" s="125" t="s">
        <v>3138</v>
      </c>
      <c r="I774" s="329"/>
      <c r="J774" s="346">
        <v>8000000621</v>
      </c>
      <c r="K774" s="24"/>
      <c r="L774" s="24"/>
      <c r="M774" s="24"/>
      <c r="N774" s="340" t="s">
        <v>486</v>
      </c>
      <c r="O774" s="334">
        <v>206597</v>
      </c>
      <c r="P774" s="25" t="s">
        <v>104</v>
      </c>
      <c r="Q774" s="127" t="s">
        <v>167</v>
      </c>
      <c r="R774" s="232" t="s">
        <v>3139</v>
      </c>
      <c r="S774" s="89">
        <v>43739</v>
      </c>
      <c r="T774" s="36">
        <v>120</v>
      </c>
      <c r="U774" s="125" t="s">
        <v>118</v>
      </c>
      <c r="V774" s="147" t="s">
        <v>3140</v>
      </c>
      <c r="W774" s="129"/>
      <c r="X774" s="88">
        <f t="shared" si="39"/>
        <v>43889</v>
      </c>
      <c r="Y774" s="130" t="s">
        <v>20</v>
      </c>
      <c r="Z774" s="133" t="s">
        <v>60</v>
      </c>
      <c r="AA774" s="133"/>
      <c r="AB774" s="254">
        <v>300</v>
      </c>
      <c r="AC774" s="134">
        <v>322.93</v>
      </c>
      <c r="AD774" s="134"/>
      <c r="AE774" s="403">
        <f t="shared" si="40"/>
        <v>96879</v>
      </c>
      <c r="AF774" s="132"/>
      <c r="AG774" s="130" t="s">
        <v>46</v>
      </c>
      <c r="AH774" s="130"/>
      <c r="AI774" s="130" t="s">
        <v>100</v>
      </c>
      <c r="AJ774" s="130"/>
      <c r="AK774" s="130"/>
      <c r="AL774" s="135" t="s">
        <v>2963</v>
      </c>
      <c r="AM774" s="314"/>
      <c r="AN774" s="26"/>
      <c r="AO774" s="26"/>
      <c r="AP774" s="26"/>
      <c r="AQ774" s="26">
        <v>43807</v>
      </c>
      <c r="AR774" s="24"/>
      <c r="AS774" s="24"/>
      <c r="AT774" s="24">
        <v>43808</v>
      </c>
      <c r="AU774" s="418">
        <f t="shared" si="41"/>
        <v>12</v>
      </c>
      <c r="AV774" s="418">
        <f t="shared" si="42"/>
        <v>2019</v>
      </c>
      <c r="AW774" s="24"/>
      <c r="AX774" s="28"/>
      <c r="AY774" s="28" t="s">
        <v>201</v>
      </c>
      <c r="AZ774" s="132" t="s">
        <v>9</v>
      </c>
      <c r="BA774" s="132"/>
      <c r="BB774" s="24"/>
      <c r="BC774" s="135">
        <v>5</v>
      </c>
      <c r="BD774" s="24">
        <v>43769</v>
      </c>
      <c r="BE774" s="135" t="s">
        <v>1053</v>
      </c>
      <c r="BF774" s="135" t="s">
        <v>1053</v>
      </c>
      <c r="BG774" s="135" t="s">
        <v>52</v>
      </c>
      <c r="BH774" s="135"/>
      <c r="BI774" s="314"/>
      <c r="BJ774" s="314"/>
      <c r="BK774" s="24"/>
      <c r="BL774" s="24"/>
      <c r="BM774" s="24"/>
      <c r="BN774" s="24"/>
      <c r="BO774" s="24"/>
      <c r="BP774" s="24"/>
      <c r="BQ774" s="24"/>
      <c r="BR774" s="43"/>
      <c r="BS774" s="24"/>
      <c r="BT774" s="24"/>
      <c r="BU774" s="24"/>
      <c r="BV774" s="132" t="e">
        <f>IF(#REF!="COMPLETO","OK","PENDIENTES")</f>
        <v>#REF!</v>
      </c>
      <c r="BW774" s="132"/>
      <c r="BX774" s="132"/>
      <c r="BY774" s="132"/>
      <c r="BZ774" s="132"/>
      <c r="CA774" s="132"/>
      <c r="CB774" s="132"/>
      <c r="CC774" s="22"/>
      <c r="CG774" s="24" t="s">
        <v>105</v>
      </c>
      <c r="CH774" s="24"/>
      <c r="CI774" s="24"/>
      <c r="CJ774" s="24"/>
    </row>
    <row r="775" spans="1:88" ht="15" customHeight="1">
      <c r="A775" s="18">
        <v>2019</v>
      </c>
      <c r="B775" s="18" t="str">
        <f>+INDEX(BDD!F:F,MATCH(P775,BDD!D:D,0))&amp;"-"&amp;INDEX(BDD!E:E,MATCH(P775,BDD!D:D,0))</f>
        <v>G-S</v>
      </c>
      <c r="C775" s="125" t="s">
        <v>484</v>
      </c>
      <c r="D775" s="150" t="s">
        <v>77</v>
      </c>
      <c r="E775" s="132"/>
      <c r="F775" s="24"/>
      <c r="G775" s="346">
        <v>8000000625</v>
      </c>
      <c r="H775" s="125" t="s">
        <v>3141</v>
      </c>
      <c r="I775" s="329"/>
      <c r="J775" s="346">
        <v>8000000625</v>
      </c>
      <c r="K775" s="24"/>
      <c r="L775" s="24"/>
      <c r="M775" s="24"/>
      <c r="N775" s="340" t="s">
        <v>486</v>
      </c>
      <c r="O775" s="334">
        <v>206597</v>
      </c>
      <c r="P775" s="25" t="s">
        <v>104</v>
      </c>
      <c r="Q775" s="127" t="s">
        <v>167</v>
      </c>
      <c r="R775" s="232" t="s">
        <v>3139</v>
      </c>
      <c r="S775" s="89">
        <v>43739</v>
      </c>
      <c r="T775" s="36">
        <v>120</v>
      </c>
      <c r="U775" s="125" t="s">
        <v>118</v>
      </c>
      <c r="V775" s="147" t="s">
        <v>3142</v>
      </c>
      <c r="W775" s="129"/>
      <c r="X775" s="88">
        <f t="shared" si="39"/>
        <v>43889</v>
      </c>
      <c r="Y775" s="130" t="s">
        <v>20</v>
      </c>
      <c r="Z775" s="133" t="s">
        <v>60</v>
      </c>
      <c r="AA775" s="133"/>
      <c r="AB775" s="255">
        <v>650</v>
      </c>
      <c r="AC775" s="134">
        <v>322.93</v>
      </c>
      <c r="AD775" s="134"/>
      <c r="AE775" s="403">
        <f t="shared" si="40"/>
        <v>209904.5</v>
      </c>
      <c r="AF775" s="132"/>
      <c r="AG775" s="130" t="s">
        <v>46</v>
      </c>
      <c r="AH775" s="130"/>
      <c r="AI775" s="130" t="s">
        <v>100</v>
      </c>
      <c r="AJ775" s="130"/>
      <c r="AK775" s="130"/>
      <c r="AL775" s="135" t="s">
        <v>2963</v>
      </c>
      <c r="AM775" s="314"/>
      <c r="AN775" s="26"/>
      <c r="AO775" s="26"/>
      <c r="AP775" s="26"/>
      <c r="AQ775" s="26">
        <v>43809</v>
      </c>
      <c r="AR775" s="24"/>
      <c r="AS775" s="24"/>
      <c r="AT775" s="24">
        <v>43811</v>
      </c>
      <c r="AU775" s="418">
        <f t="shared" si="41"/>
        <v>12</v>
      </c>
      <c r="AV775" s="418">
        <f t="shared" si="42"/>
        <v>2019</v>
      </c>
      <c r="AW775" s="24"/>
      <c r="AX775" s="28"/>
      <c r="AY775" s="28" t="s">
        <v>201</v>
      </c>
      <c r="AZ775" s="132" t="s">
        <v>25</v>
      </c>
      <c r="BA775" s="132"/>
      <c r="BB775" s="24"/>
      <c r="BC775" s="135">
        <v>6</v>
      </c>
      <c r="BD775" s="24">
        <v>43769</v>
      </c>
      <c r="BE775" s="135" t="s">
        <v>1053</v>
      </c>
      <c r="BF775" s="135" t="s">
        <v>1053</v>
      </c>
      <c r="BG775" s="135" t="s">
        <v>52</v>
      </c>
      <c r="BH775" s="135"/>
      <c r="BI775" s="314"/>
      <c r="BJ775" s="314"/>
      <c r="BK775" s="24"/>
      <c r="BL775" s="24"/>
      <c r="BM775" s="24"/>
      <c r="BN775" s="24"/>
      <c r="BO775" s="24"/>
      <c r="BP775" s="24"/>
      <c r="BQ775" s="24"/>
      <c r="BR775" s="43"/>
      <c r="BS775" s="24"/>
      <c r="BT775" s="24"/>
      <c r="BU775" s="24"/>
      <c r="BV775" s="132" t="e">
        <f>IF(#REF!="COMPLETO","OK","PENDIENTES")</f>
        <v>#REF!</v>
      </c>
      <c r="BW775" s="132"/>
      <c r="BX775" s="132"/>
      <c r="BY775" s="132"/>
      <c r="BZ775" s="132"/>
      <c r="CA775" s="132"/>
      <c r="CB775" s="132"/>
      <c r="CC775" s="22"/>
      <c r="CG775" s="24" t="s">
        <v>105</v>
      </c>
      <c r="CH775" s="24"/>
      <c r="CI775" s="24"/>
      <c r="CJ775" s="24"/>
    </row>
    <row r="776" spans="1:88" ht="15" customHeight="1">
      <c r="A776" s="18">
        <v>2019</v>
      </c>
      <c r="B776" s="18" t="str">
        <f>+INDEX(BDD!F:F,MATCH(P776,BDD!D:D,0))&amp;"-"&amp;INDEX(BDD!E:E,MATCH(P776,BDD!D:D,0))</f>
        <v>G-S</v>
      </c>
      <c r="C776" s="125" t="s">
        <v>484</v>
      </c>
      <c r="D776" s="150" t="s">
        <v>77</v>
      </c>
      <c r="E776" s="132"/>
      <c r="F776" s="24"/>
      <c r="G776" s="346">
        <v>8000000629</v>
      </c>
      <c r="H776" s="125" t="s">
        <v>3143</v>
      </c>
      <c r="I776" s="329"/>
      <c r="J776" s="346">
        <v>8000000629</v>
      </c>
      <c r="K776" s="24"/>
      <c r="L776" s="24"/>
      <c r="M776" s="24"/>
      <c r="N776" s="340" t="s">
        <v>486</v>
      </c>
      <c r="O776" s="334">
        <v>206597</v>
      </c>
      <c r="P776" s="25" t="s">
        <v>104</v>
      </c>
      <c r="Q776" s="127" t="s">
        <v>167</v>
      </c>
      <c r="R776" s="232" t="s">
        <v>3139</v>
      </c>
      <c r="S776" s="89">
        <v>43739</v>
      </c>
      <c r="T776" s="36">
        <v>120</v>
      </c>
      <c r="U776" s="125" t="s">
        <v>118</v>
      </c>
      <c r="V776" s="147" t="s">
        <v>3144</v>
      </c>
      <c r="W776" s="129"/>
      <c r="X776" s="88">
        <f t="shared" si="39"/>
        <v>43889</v>
      </c>
      <c r="Y776" s="130" t="s">
        <v>20</v>
      </c>
      <c r="Z776" s="133" t="s">
        <v>60</v>
      </c>
      <c r="AA776" s="133"/>
      <c r="AB776" s="255">
        <v>1350</v>
      </c>
      <c r="AC776" s="134">
        <v>322.93</v>
      </c>
      <c r="AD776" s="134"/>
      <c r="AE776" s="403">
        <f t="shared" si="40"/>
        <v>435955.5</v>
      </c>
      <c r="AF776" s="132"/>
      <c r="AG776" s="130" t="s">
        <v>46</v>
      </c>
      <c r="AH776" s="130"/>
      <c r="AI776" s="130" t="s">
        <v>100</v>
      </c>
      <c r="AJ776" s="130"/>
      <c r="AK776" s="130"/>
      <c r="AL776" s="135" t="s">
        <v>2963</v>
      </c>
      <c r="AM776" s="314"/>
      <c r="AN776" s="26"/>
      <c r="AO776" s="26"/>
      <c r="AP776" s="26"/>
      <c r="AQ776" s="26">
        <f>+AQ775+3</f>
        <v>43812</v>
      </c>
      <c r="AR776" s="24"/>
      <c r="AS776" s="24"/>
      <c r="AT776" s="24">
        <v>43814</v>
      </c>
      <c r="AU776" s="418">
        <f t="shared" si="41"/>
        <v>12</v>
      </c>
      <c r="AV776" s="418">
        <f t="shared" si="42"/>
        <v>2019</v>
      </c>
      <c r="AW776" s="24"/>
      <c r="AX776" s="28"/>
      <c r="AY776" s="28" t="s">
        <v>201</v>
      </c>
      <c r="AZ776" s="132" t="s">
        <v>37</v>
      </c>
      <c r="BA776" s="132"/>
      <c r="BB776" s="24"/>
      <c r="BC776" s="135">
        <v>7</v>
      </c>
      <c r="BD776" s="24">
        <v>43769</v>
      </c>
      <c r="BE776" s="135" t="s">
        <v>1053</v>
      </c>
      <c r="BF776" s="135" t="s">
        <v>1053</v>
      </c>
      <c r="BG776" s="135" t="s">
        <v>52</v>
      </c>
      <c r="BH776" s="135"/>
      <c r="BI776" s="314"/>
      <c r="BJ776" s="314"/>
      <c r="BK776" s="24"/>
      <c r="BL776" s="24"/>
      <c r="BM776" s="24"/>
      <c r="BN776" s="24"/>
      <c r="BO776" s="24"/>
      <c r="BP776" s="24"/>
      <c r="BQ776" s="24"/>
      <c r="BR776" s="43"/>
      <c r="BS776" s="24"/>
      <c r="BT776" s="24"/>
      <c r="BU776" s="24"/>
      <c r="BV776" s="132" t="e">
        <f>IF(#REF!="COMPLETO","OK","PENDIENTES")</f>
        <v>#REF!</v>
      </c>
      <c r="BW776" s="132"/>
      <c r="BX776" s="132"/>
      <c r="BY776" s="132"/>
      <c r="BZ776" s="132"/>
      <c r="CA776" s="132"/>
      <c r="CB776" s="132"/>
      <c r="CC776" s="22"/>
      <c r="CG776" s="24" t="s">
        <v>105</v>
      </c>
      <c r="CH776" s="24"/>
      <c r="CI776" s="24"/>
      <c r="CJ776" s="24"/>
    </row>
    <row r="777" spans="1:88" ht="15" customHeight="1">
      <c r="A777" s="18">
        <v>2019</v>
      </c>
      <c r="B777" s="18" t="str">
        <f>+INDEX(BDD!F:F,MATCH(P777,BDD!D:D,0))&amp;"-"&amp;INDEX(BDD!E:E,MATCH(P777,BDD!D:D,0))</f>
        <v>G-S</v>
      </c>
      <c r="C777" s="125" t="s">
        <v>484</v>
      </c>
      <c r="D777" s="150" t="s">
        <v>77</v>
      </c>
      <c r="E777" s="132"/>
      <c r="F777" s="24"/>
      <c r="G777" s="346">
        <v>8000000633</v>
      </c>
      <c r="H777" s="125" t="s">
        <v>3145</v>
      </c>
      <c r="I777" s="329"/>
      <c r="J777" s="346">
        <v>8000000633</v>
      </c>
      <c r="K777" s="24"/>
      <c r="L777" s="24"/>
      <c r="M777" s="24"/>
      <c r="N777" s="340" t="s">
        <v>486</v>
      </c>
      <c r="O777" s="334">
        <v>206597</v>
      </c>
      <c r="P777" s="25" t="s">
        <v>104</v>
      </c>
      <c r="Q777" s="127" t="s">
        <v>167</v>
      </c>
      <c r="R777" s="232" t="s">
        <v>3139</v>
      </c>
      <c r="S777" s="89">
        <v>43739</v>
      </c>
      <c r="T777" s="36">
        <v>120</v>
      </c>
      <c r="U777" s="125" t="s">
        <v>118</v>
      </c>
      <c r="V777" s="147" t="s">
        <v>3146</v>
      </c>
      <c r="W777" s="129"/>
      <c r="X777" s="88">
        <f t="shared" si="39"/>
        <v>43889</v>
      </c>
      <c r="Y777" s="130" t="s">
        <v>20</v>
      </c>
      <c r="Z777" s="133" t="s">
        <v>60</v>
      </c>
      <c r="AA777" s="133"/>
      <c r="AB777" s="187">
        <v>450</v>
      </c>
      <c r="AC777" s="134">
        <v>322.93</v>
      </c>
      <c r="AD777" s="134"/>
      <c r="AE777" s="403">
        <f t="shared" si="40"/>
        <v>145318.5</v>
      </c>
      <c r="AF777" s="132"/>
      <c r="AG777" s="130" t="s">
        <v>46</v>
      </c>
      <c r="AH777" s="130"/>
      <c r="AI777" s="130" t="s">
        <v>100</v>
      </c>
      <c r="AJ777" s="130"/>
      <c r="AK777" s="130"/>
      <c r="AL777" s="135" t="s">
        <v>2963</v>
      </c>
      <c r="AM777" s="314"/>
      <c r="AN777" s="26"/>
      <c r="AO777" s="26"/>
      <c r="AP777" s="26"/>
      <c r="AQ777" s="26">
        <f>+AQ776+3</f>
        <v>43815</v>
      </c>
      <c r="AR777" s="24"/>
      <c r="AS777" s="24"/>
      <c r="AT777" s="26">
        <v>43816</v>
      </c>
      <c r="AU777" s="418">
        <f t="shared" si="41"/>
        <v>12</v>
      </c>
      <c r="AV777" s="418">
        <f t="shared" si="42"/>
        <v>2019</v>
      </c>
      <c r="AW777" s="26"/>
      <c r="AX777" s="28"/>
      <c r="AY777" s="28" t="s">
        <v>201</v>
      </c>
      <c r="AZ777" s="132" t="s">
        <v>62</v>
      </c>
      <c r="BA777" s="132"/>
      <c r="BB777" s="26"/>
      <c r="BC777" s="135">
        <v>8</v>
      </c>
      <c r="BD777" s="24">
        <v>43769</v>
      </c>
      <c r="BE777" s="135" t="s">
        <v>1053</v>
      </c>
      <c r="BF777" s="135" t="s">
        <v>1053</v>
      </c>
      <c r="BG777" s="135" t="s">
        <v>52</v>
      </c>
      <c r="BH777" s="135"/>
      <c r="BI777" s="314"/>
      <c r="BJ777" s="314"/>
      <c r="BK777" s="24"/>
      <c r="BL777" s="24"/>
      <c r="BM777" s="24"/>
      <c r="BN777" s="24"/>
      <c r="BO777" s="24"/>
      <c r="BP777" s="24"/>
      <c r="BQ777" s="24"/>
      <c r="BR777" s="43"/>
      <c r="BS777" s="24"/>
      <c r="BT777" s="24"/>
      <c r="BU777" s="24"/>
      <c r="BV777" s="132" t="e">
        <f>IF(#REF!="COMPLETO","OK","PENDIENTES")</f>
        <v>#REF!</v>
      </c>
      <c r="BW777" s="132"/>
      <c r="BX777" s="132"/>
      <c r="BY777" s="132"/>
      <c r="BZ777" s="132"/>
      <c r="CA777" s="132"/>
      <c r="CB777" s="132"/>
      <c r="CC777" s="22"/>
      <c r="CG777" s="24" t="s">
        <v>105</v>
      </c>
      <c r="CH777" s="24"/>
      <c r="CI777" s="26"/>
      <c r="CJ777" s="26"/>
    </row>
    <row r="778" spans="1:88" ht="15" customHeight="1">
      <c r="A778" s="18">
        <v>2019</v>
      </c>
      <c r="B778" s="18" t="str">
        <f>+INDEX(BDD!F:F,MATCH(P778,BDD!D:D,0))&amp;"-"&amp;INDEX(BDD!E:E,MATCH(P778,BDD!D:D,0))</f>
        <v>S-P</v>
      </c>
      <c r="C778" s="360" t="s">
        <v>484</v>
      </c>
      <c r="D778" s="150" t="s">
        <v>77</v>
      </c>
      <c r="E778" s="132"/>
      <c r="F778" s="24"/>
      <c r="G778" s="346">
        <v>8000000577</v>
      </c>
      <c r="H778" s="220" t="s">
        <v>3147</v>
      </c>
      <c r="I778" s="329"/>
      <c r="J778" s="346">
        <v>8000000577</v>
      </c>
      <c r="K778" s="24"/>
      <c r="L778" s="24"/>
      <c r="M778" s="24"/>
      <c r="N778" s="340" t="s">
        <v>486</v>
      </c>
      <c r="O778" s="334">
        <v>207374</v>
      </c>
      <c r="P778" s="25" t="s">
        <v>232</v>
      </c>
      <c r="Q778" s="127" t="s">
        <v>288</v>
      </c>
      <c r="R778" s="232" t="s">
        <v>3148</v>
      </c>
      <c r="S778" s="89">
        <v>43754</v>
      </c>
      <c r="T778" s="36" t="s">
        <v>4</v>
      </c>
      <c r="U778" s="125"/>
      <c r="V778" s="147" t="s">
        <v>3149</v>
      </c>
      <c r="W778" s="129"/>
      <c r="X778" s="88">
        <v>43724</v>
      </c>
      <c r="Y778" s="130" t="s">
        <v>20</v>
      </c>
      <c r="Z778" s="133" t="s">
        <v>60</v>
      </c>
      <c r="AA778" s="133"/>
      <c r="AB778" s="241">
        <v>264</v>
      </c>
      <c r="AC778" s="134">
        <v>327</v>
      </c>
      <c r="AD778" s="134"/>
      <c r="AE778" s="403">
        <f t="shared" si="40"/>
        <v>86328</v>
      </c>
      <c r="AF778" s="132">
        <v>11</v>
      </c>
      <c r="AG778" s="130" t="s">
        <v>5</v>
      </c>
      <c r="AH778" s="130"/>
      <c r="AI778" s="130" t="s">
        <v>34</v>
      </c>
      <c r="AJ778" s="130"/>
      <c r="AK778" s="130"/>
      <c r="AL778" s="135" t="s">
        <v>2963</v>
      </c>
      <c r="AM778" s="314"/>
      <c r="AN778" s="26"/>
      <c r="AO778" s="26"/>
      <c r="AP778" s="26"/>
      <c r="AQ778" s="26">
        <v>43833</v>
      </c>
      <c r="AR778" s="24"/>
      <c r="AS778" s="24"/>
      <c r="AT778" s="24">
        <v>43838</v>
      </c>
      <c r="AU778" s="418">
        <f t="shared" si="41"/>
        <v>1</v>
      </c>
      <c r="AV778" s="418">
        <f t="shared" si="42"/>
        <v>2020</v>
      </c>
      <c r="AW778" s="24"/>
      <c r="AX778" s="28"/>
      <c r="AY778" s="28" t="s">
        <v>281</v>
      </c>
      <c r="AZ778" s="132" t="s">
        <v>37</v>
      </c>
      <c r="BA778" s="132"/>
      <c r="BB778" s="24" t="s">
        <v>2956</v>
      </c>
      <c r="BC778" s="135" t="s">
        <v>3150</v>
      </c>
      <c r="BD778" s="24">
        <v>43799</v>
      </c>
      <c r="BE778" s="135" t="s">
        <v>1743</v>
      </c>
      <c r="BF778" s="135" t="s">
        <v>814</v>
      </c>
      <c r="BG778" s="135" t="s">
        <v>64</v>
      </c>
      <c r="BH778" s="135"/>
      <c r="BI778" s="314"/>
      <c r="BJ778" s="314"/>
      <c r="BK778" s="24"/>
      <c r="BL778" s="24"/>
      <c r="BM778" s="24"/>
      <c r="BN778" s="24"/>
      <c r="BO778" s="24">
        <f>+AQ778+14</f>
        <v>43847</v>
      </c>
      <c r="BP778" s="24"/>
      <c r="BQ778" s="24"/>
      <c r="BR778" s="43"/>
      <c r="BS778" s="24"/>
      <c r="BT778" s="24"/>
      <c r="BU778" s="24"/>
      <c r="BV778" s="132" t="e">
        <f>IF(#REF!="COMPLETO","OK","PENDIENTES")</f>
        <v>#REF!</v>
      </c>
      <c r="BW778" s="132"/>
      <c r="BX778" s="132"/>
      <c r="BY778" s="132"/>
      <c r="BZ778" s="132"/>
      <c r="CA778" s="132"/>
      <c r="CB778" s="132"/>
      <c r="CC778" s="22"/>
      <c r="CG778" s="24" t="s">
        <v>105</v>
      </c>
      <c r="CH778" s="24"/>
      <c r="CI778" s="24"/>
      <c r="CJ778" s="24"/>
    </row>
    <row r="779" spans="1:88" ht="15" customHeight="1">
      <c r="A779" s="18">
        <v>2019</v>
      </c>
      <c r="B779" s="18" t="str">
        <f>+INDEX(BDD!F:F,MATCH(P779,BDD!D:D,0))&amp;"-"&amp;INDEX(BDD!E:E,MATCH(P779,BDD!D:D,0))</f>
        <v>S-P</v>
      </c>
      <c r="C779" s="360" t="s">
        <v>484</v>
      </c>
      <c r="D779" s="150" t="s">
        <v>77</v>
      </c>
      <c r="E779" s="132"/>
      <c r="F779" s="24"/>
      <c r="G779" s="346">
        <v>8000000578</v>
      </c>
      <c r="H779" s="220" t="s">
        <v>3151</v>
      </c>
      <c r="I779" s="329"/>
      <c r="J779" s="346">
        <v>8000000578</v>
      </c>
      <c r="K779" s="24"/>
      <c r="L779" s="24"/>
      <c r="M779" s="24"/>
      <c r="N779" s="340" t="s">
        <v>486</v>
      </c>
      <c r="O779" s="334">
        <v>207374</v>
      </c>
      <c r="P779" s="25" t="s">
        <v>232</v>
      </c>
      <c r="Q779" s="127" t="s">
        <v>288</v>
      </c>
      <c r="R779" s="232" t="s">
        <v>3152</v>
      </c>
      <c r="S779" s="89">
        <v>43754</v>
      </c>
      <c r="T779" s="36" t="s">
        <v>4</v>
      </c>
      <c r="U779" s="125"/>
      <c r="V779" s="147" t="s">
        <v>3153</v>
      </c>
      <c r="W779" s="129"/>
      <c r="X779" s="88">
        <v>43724</v>
      </c>
      <c r="Y779" s="130" t="s">
        <v>20</v>
      </c>
      <c r="Z779" s="133" t="s">
        <v>60</v>
      </c>
      <c r="AA779" s="133"/>
      <c r="AB779" s="148">
        <v>264</v>
      </c>
      <c r="AC779" s="134">
        <v>327</v>
      </c>
      <c r="AD779" s="134"/>
      <c r="AE779" s="403">
        <f t="shared" si="40"/>
        <v>86328</v>
      </c>
      <c r="AF779" s="132">
        <v>11</v>
      </c>
      <c r="AG779" s="130" t="s">
        <v>5</v>
      </c>
      <c r="AH779" s="130"/>
      <c r="AI779" s="130" t="s">
        <v>34</v>
      </c>
      <c r="AJ779" s="130"/>
      <c r="AK779" s="130"/>
      <c r="AL779" s="135" t="s">
        <v>2963</v>
      </c>
      <c r="AM779" s="314"/>
      <c r="AN779" s="26"/>
      <c r="AO779" s="26"/>
      <c r="AP779" s="26"/>
      <c r="AQ779" s="26">
        <v>43838</v>
      </c>
      <c r="AR779" s="24"/>
      <c r="AS779" s="24"/>
      <c r="AT779" s="24">
        <v>43843</v>
      </c>
      <c r="AU779" s="418">
        <f t="shared" si="41"/>
        <v>1</v>
      </c>
      <c r="AV779" s="418">
        <f t="shared" si="42"/>
        <v>2020</v>
      </c>
      <c r="AW779" s="24"/>
      <c r="AX779" s="28"/>
      <c r="AY779" s="28" t="s">
        <v>281</v>
      </c>
      <c r="AZ779" s="132" t="s">
        <v>9</v>
      </c>
      <c r="BA779" s="132"/>
      <c r="BB779" s="24" t="s">
        <v>2956</v>
      </c>
      <c r="BC779" s="135" t="s">
        <v>3154</v>
      </c>
      <c r="BD779" s="24">
        <v>43799</v>
      </c>
      <c r="BE779" s="135" t="s">
        <v>1743</v>
      </c>
      <c r="BF779" s="135" t="s">
        <v>2560</v>
      </c>
      <c r="BG779" s="135" t="s">
        <v>64</v>
      </c>
      <c r="BH779" s="135"/>
      <c r="BI779" s="314"/>
      <c r="BJ779" s="314"/>
      <c r="BK779" s="24"/>
      <c r="BL779" s="24"/>
      <c r="BM779" s="24"/>
      <c r="BN779" s="24"/>
      <c r="BO779" s="24">
        <f>+AQ779+14</f>
        <v>43852</v>
      </c>
      <c r="BP779" s="24"/>
      <c r="BQ779" s="24"/>
      <c r="BR779" s="43"/>
      <c r="BS779" s="24"/>
      <c r="BT779" s="24"/>
      <c r="BU779" s="24"/>
      <c r="BV779" s="132" t="e">
        <f>IF(#REF!="COMPLETO","OK","PENDIENTES")</f>
        <v>#REF!</v>
      </c>
      <c r="BW779" s="132"/>
      <c r="BX779" s="132"/>
      <c r="BY779" s="132"/>
      <c r="BZ779" s="132"/>
      <c r="CA779" s="132"/>
      <c r="CB779" s="132"/>
      <c r="CC779" s="22"/>
      <c r="CG779" s="24" t="s">
        <v>105</v>
      </c>
      <c r="CH779" s="24"/>
      <c r="CI779" s="24"/>
      <c r="CJ779" s="24"/>
    </row>
    <row r="780" spans="1:88" ht="15" customHeight="1">
      <c r="A780" s="18">
        <v>2019</v>
      </c>
      <c r="B780" s="18" t="str">
        <f>+INDEX(BDD!F:F,MATCH(P780,BDD!D:D,0))&amp;"-"&amp;INDEX(BDD!E:E,MATCH(P780,BDD!D:D,0))</f>
        <v>S-P</v>
      </c>
      <c r="C780" s="125" t="s">
        <v>484</v>
      </c>
      <c r="D780" s="150" t="s">
        <v>77</v>
      </c>
      <c r="E780" s="132"/>
      <c r="F780" s="24"/>
      <c r="G780" s="346">
        <v>8000000650</v>
      </c>
      <c r="H780" s="125" t="s">
        <v>3155</v>
      </c>
      <c r="I780" s="329"/>
      <c r="J780" s="346">
        <v>8000000650</v>
      </c>
      <c r="K780" s="24"/>
      <c r="L780" s="24"/>
      <c r="M780" s="24"/>
      <c r="N780" s="340" t="s">
        <v>486</v>
      </c>
      <c r="O780" s="334">
        <v>206766</v>
      </c>
      <c r="P780" s="25" t="s">
        <v>2</v>
      </c>
      <c r="Q780" s="127" t="s">
        <v>237</v>
      </c>
      <c r="R780" s="232" t="s">
        <v>3156</v>
      </c>
      <c r="S780" s="89">
        <v>43770</v>
      </c>
      <c r="T780" s="36">
        <v>90</v>
      </c>
      <c r="U780" s="125" t="s">
        <v>2805</v>
      </c>
      <c r="V780" s="147" t="s">
        <v>3157</v>
      </c>
      <c r="W780" s="129"/>
      <c r="X780" s="88">
        <v>43881</v>
      </c>
      <c r="Y780" s="130" t="s">
        <v>20</v>
      </c>
      <c r="Z780" s="133" t="s">
        <v>60</v>
      </c>
      <c r="AA780" s="133"/>
      <c r="AB780" s="241">
        <v>408</v>
      </c>
      <c r="AC780" s="134">
        <v>870</v>
      </c>
      <c r="AD780" s="134"/>
      <c r="AE780" s="403">
        <f t="shared" si="40"/>
        <v>354960</v>
      </c>
      <c r="AF780" s="132">
        <v>17</v>
      </c>
      <c r="AG780" s="130" t="s">
        <v>5</v>
      </c>
      <c r="AH780" s="130"/>
      <c r="AI780" s="130" t="s">
        <v>86</v>
      </c>
      <c r="AJ780" s="130"/>
      <c r="AK780" s="130"/>
      <c r="AL780" s="135" t="s">
        <v>2963</v>
      </c>
      <c r="AM780" s="314"/>
      <c r="AN780" s="26"/>
      <c r="AO780" s="26"/>
      <c r="AP780" s="26"/>
      <c r="AQ780" s="26">
        <v>43812</v>
      </c>
      <c r="AR780" s="24"/>
      <c r="AS780" s="24"/>
      <c r="AT780" s="26">
        <v>43817</v>
      </c>
      <c r="AU780" s="418">
        <f t="shared" si="41"/>
        <v>12</v>
      </c>
      <c r="AV780" s="418">
        <f t="shared" si="42"/>
        <v>2019</v>
      </c>
      <c r="AW780" s="26"/>
      <c r="AX780" s="28"/>
      <c r="AY780" s="28" t="s">
        <v>302</v>
      </c>
      <c r="AZ780" s="132" t="s">
        <v>37</v>
      </c>
      <c r="BA780" s="132"/>
      <c r="BB780" s="26"/>
      <c r="BC780" s="135" t="s">
        <v>3158</v>
      </c>
      <c r="BD780" s="24">
        <v>43790</v>
      </c>
      <c r="BE780" s="135" t="s">
        <v>3159</v>
      </c>
      <c r="BF780" s="135" t="s">
        <v>870</v>
      </c>
      <c r="BG780" s="135" t="s">
        <v>29</v>
      </c>
      <c r="BH780" s="135"/>
      <c r="BI780" s="314"/>
      <c r="BJ780" s="314"/>
      <c r="BK780" s="24"/>
      <c r="BL780" s="24"/>
      <c r="BM780" s="24"/>
      <c r="BN780" s="24"/>
      <c r="BO780" s="24"/>
      <c r="BP780" s="24"/>
      <c r="BQ780" s="24"/>
      <c r="BR780" s="43"/>
      <c r="BS780" s="24"/>
      <c r="BT780" s="24"/>
      <c r="BU780" s="24"/>
      <c r="BV780" s="132" t="e">
        <f>IF(#REF!="COMPLETO","OK","PENDIENTES")</f>
        <v>#REF!</v>
      </c>
      <c r="BW780" s="132"/>
      <c r="BX780" s="132"/>
      <c r="BY780" s="132"/>
      <c r="BZ780" s="132"/>
      <c r="CA780" s="132"/>
      <c r="CB780" s="132"/>
      <c r="CC780" s="22"/>
      <c r="CG780" s="24" t="s">
        <v>105</v>
      </c>
      <c r="CH780" s="24"/>
      <c r="CI780" s="26"/>
      <c r="CJ780" s="26"/>
    </row>
    <row r="781" spans="1:88" ht="15" customHeight="1">
      <c r="A781" s="18">
        <v>2019</v>
      </c>
      <c r="B781" s="18" t="str">
        <f>+INDEX(BDD!F:F,MATCH(P781,BDD!D:D,0))&amp;"-"&amp;INDEX(BDD!E:E,MATCH(P781,BDD!D:D,0))</f>
        <v>S-P</v>
      </c>
      <c r="C781" s="125" t="s">
        <v>484</v>
      </c>
      <c r="D781" s="150" t="s">
        <v>77</v>
      </c>
      <c r="E781" s="132"/>
      <c r="F781" s="24"/>
      <c r="G781" s="346">
        <v>8000000659</v>
      </c>
      <c r="H781" s="125" t="s">
        <v>3160</v>
      </c>
      <c r="I781" s="329"/>
      <c r="J781" s="346">
        <v>8000000659</v>
      </c>
      <c r="K781" s="24"/>
      <c r="L781" s="24"/>
      <c r="M781" s="24"/>
      <c r="N781" s="340" t="s">
        <v>486</v>
      </c>
      <c r="O781" s="334">
        <v>206766</v>
      </c>
      <c r="P781" s="25" t="s">
        <v>2</v>
      </c>
      <c r="Q781" s="127" t="s">
        <v>237</v>
      </c>
      <c r="R781" s="232" t="s">
        <v>3161</v>
      </c>
      <c r="S781" s="89">
        <v>43770</v>
      </c>
      <c r="T781" s="36">
        <v>90</v>
      </c>
      <c r="U781" s="125" t="s">
        <v>2805</v>
      </c>
      <c r="V781" s="147" t="s">
        <v>3162</v>
      </c>
      <c r="W781" s="129"/>
      <c r="X781" s="88">
        <f>+BD781+T781</f>
        <v>43882</v>
      </c>
      <c r="Y781" s="130" t="s">
        <v>20</v>
      </c>
      <c r="Z781" s="133" t="s">
        <v>60</v>
      </c>
      <c r="AA781" s="133"/>
      <c r="AB781" s="241">
        <v>408</v>
      </c>
      <c r="AC781" s="134">
        <v>880</v>
      </c>
      <c r="AD781" s="134"/>
      <c r="AE781" s="403">
        <f t="shared" si="40"/>
        <v>359040</v>
      </c>
      <c r="AF781" s="132">
        <v>17</v>
      </c>
      <c r="AG781" s="130" t="s">
        <v>5</v>
      </c>
      <c r="AH781" s="130"/>
      <c r="AI781" s="130" t="s">
        <v>86</v>
      </c>
      <c r="AJ781" s="130"/>
      <c r="AK781" s="130"/>
      <c r="AL781" s="135" t="s">
        <v>2963</v>
      </c>
      <c r="AM781" s="314"/>
      <c r="AN781" s="26"/>
      <c r="AO781" s="26"/>
      <c r="AP781" s="26"/>
      <c r="AQ781" s="26">
        <v>43826</v>
      </c>
      <c r="AR781" s="24"/>
      <c r="AS781" s="24"/>
      <c r="AT781" s="24">
        <v>43830</v>
      </c>
      <c r="AU781" s="418">
        <f t="shared" si="41"/>
        <v>12</v>
      </c>
      <c r="AV781" s="418">
        <f t="shared" si="42"/>
        <v>2019</v>
      </c>
      <c r="AW781" s="24"/>
      <c r="AX781" s="28"/>
      <c r="AY781" s="28" t="s">
        <v>302</v>
      </c>
      <c r="AZ781" s="132" t="s">
        <v>9</v>
      </c>
      <c r="BA781" s="132"/>
      <c r="BB781" s="24"/>
      <c r="BC781" s="135" t="s">
        <v>3163</v>
      </c>
      <c r="BD781" s="24">
        <v>43792</v>
      </c>
      <c r="BE781" s="135" t="s">
        <v>3164</v>
      </c>
      <c r="BF781" s="135" t="s">
        <v>994</v>
      </c>
      <c r="BG781" s="135" t="s">
        <v>41</v>
      </c>
      <c r="BH781" s="135"/>
      <c r="BI781" s="314"/>
      <c r="BJ781" s="314"/>
      <c r="BK781" s="24"/>
      <c r="BL781" s="24"/>
      <c r="BM781" s="24"/>
      <c r="BN781" s="24"/>
      <c r="BO781" s="24">
        <v>43846</v>
      </c>
      <c r="BP781" s="24"/>
      <c r="BQ781" s="24"/>
      <c r="BR781" s="43"/>
      <c r="BS781" s="24"/>
      <c r="BT781" s="24"/>
      <c r="BU781" s="24"/>
      <c r="BV781" s="132" t="e">
        <f>IF(#REF!="COMPLETO","OK","PENDIENTES")</f>
        <v>#REF!</v>
      </c>
      <c r="BW781" s="132"/>
      <c r="BX781" s="132"/>
      <c r="BY781" s="132"/>
      <c r="BZ781" s="132"/>
      <c r="CA781" s="132"/>
      <c r="CB781" s="132"/>
      <c r="CC781" s="22"/>
      <c r="CG781" s="24" t="s">
        <v>105</v>
      </c>
      <c r="CH781" s="24"/>
      <c r="CI781" s="24"/>
      <c r="CJ781" s="24"/>
    </row>
    <row r="782" spans="1:88" ht="15" customHeight="1">
      <c r="A782" s="18">
        <v>2019</v>
      </c>
      <c r="B782" s="18" t="str">
        <f>+INDEX(BDD!F:F,MATCH(P782,BDD!D:D,0))&amp;"-"&amp;INDEX(BDD!E:E,MATCH(P782,BDD!D:D,0))</f>
        <v>S-S</v>
      </c>
      <c r="C782" s="125" t="s">
        <v>484</v>
      </c>
      <c r="D782" s="150" t="s">
        <v>77</v>
      </c>
      <c r="E782" s="132"/>
      <c r="F782" s="24"/>
      <c r="G782" s="346">
        <v>8000000691</v>
      </c>
      <c r="H782" s="125" t="s">
        <v>3165</v>
      </c>
      <c r="I782" s="329"/>
      <c r="J782" s="346">
        <v>8000000691</v>
      </c>
      <c r="K782" s="24"/>
      <c r="L782" s="24"/>
      <c r="M782" s="24"/>
      <c r="N782" s="340" t="s">
        <v>486</v>
      </c>
      <c r="O782" s="334">
        <v>206914</v>
      </c>
      <c r="P782" s="25" t="s">
        <v>335</v>
      </c>
      <c r="Q782" s="127" t="s">
        <v>264</v>
      </c>
      <c r="R782" s="232" t="s">
        <v>3166</v>
      </c>
      <c r="S782" s="89">
        <v>43770</v>
      </c>
      <c r="T782" s="36">
        <v>90</v>
      </c>
      <c r="U782" s="125" t="s">
        <v>2805</v>
      </c>
      <c r="V782" s="232" t="s">
        <v>3166</v>
      </c>
      <c r="W782" s="151"/>
      <c r="X782" s="88">
        <v>43893</v>
      </c>
      <c r="Y782" s="130" t="s">
        <v>20</v>
      </c>
      <c r="Z782" s="133" t="s">
        <v>60</v>
      </c>
      <c r="AA782" s="133"/>
      <c r="AB782" s="256">
        <v>800.4</v>
      </c>
      <c r="AC782" s="134">
        <v>119.5</v>
      </c>
      <c r="AD782" s="134"/>
      <c r="AE782" s="403">
        <f t="shared" si="40"/>
        <v>95647.8</v>
      </c>
      <c r="AF782" s="132" t="s">
        <v>944</v>
      </c>
      <c r="AG782" s="130" t="s">
        <v>58</v>
      </c>
      <c r="AH782" s="130"/>
      <c r="AI782" s="130" t="s">
        <v>34</v>
      </c>
      <c r="AJ782" s="130"/>
      <c r="AK782" s="130"/>
      <c r="AL782" s="135" t="s">
        <v>2963</v>
      </c>
      <c r="AM782" s="314"/>
      <c r="AN782" s="26"/>
      <c r="AO782" s="26"/>
      <c r="AP782" s="26"/>
      <c r="AQ782" s="26">
        <v>43872</v>
      </c>
      <c r="AR782" s="24"/>
      <c r="AS782" s="24"/>
      <c r="AT782" s="26">
        <v>43881</v>
      </c>
      <c r="AU782" s="418">
        <f t="shared" si="41"/>
        <v>2</v>
      </c>
      <c r="AV782" s="418">
        <f t="shared" si="42"/>
        <v>2020</v>
      </c>
      <c r="AW782" s="26"/>
      <c r="AX782" s="28"/>
      <c r="AY782" s="28" t="s">
        <v>95</v>
      </c>
      <c r="AZ782" s="132" t="s">
        <v>37</v>
      </c>
      <c r="BA782" s="132"/>
      <c r="BB782" s="24" t="s">
        <v>2956</v>
      </c>
      <c r="BC782" s="135" t="s">
        <v>3167</v>
      </c>
      <c r="BD782" s="24">
        <v>43799</v>
      </c>
      <c r="BE782" s="135" t="s">
        <v>3168</v>
      </c>
      <c r="BF782" s="135" t="s">
        <v>3168</v>
      </c>
      <c r="BG782" s="135" t="s">
        <v>52</v>
      </c>
      <c r="BH782" s="135"/>
      <c r="BI782" s="314"/>
      <c r="BJ782" s="314"/>
      <c r="BK782" s="26"/>
      <c r="BL782" s="26"/>
      <c r="BM782" s="26"/>
      <c r="BN782" s="26"/>
      <c r="BO782" s="24"/>
      <c r="BP782" s="24"/>
      <c r="BQ782" s="24"/>
      <c r="BR782" s="43"/>
      <c r="BS782" s="24"/>
      <c r="BT782" s="24"/>
      <c r="BU782" s="24"/>
      <c r="BV782" s="132" t="e">
        <f>IF(#REF!="COMPLETO","OK","PENDIENTES")</f>
        <v>#REF!</v>
      </c>
      <c r="BW782" s="132"/>
      <c r="BX782" s="132"/>
      <c r="BY782" s="132"/>
      <c r="BZ782" s="132"/>
      <c r="CA782" s="132"/>
      <c r="CB782" s="132"/>
      <c r="CC782" s="22"/>
      <c r="CG782" s="24" t="s">
        <v>105</v>
      </c>
      <c r="CH782" s="24"/>
      <c r="CI782" s="26"/>
      <c r="CJ782" s="26"/>
    </row>
    <row r="783" spans="1:88" ht="15" customHeight="1">
      <c r="A783" s="18">
        <v>2019</v>
      </c>
      <c r="B783" s="18" t="str">
        <f>+INDEX(BDD!F:F,MATCH(P783,BDD!D:D,0))&amp;"-"&amp;INDEX(BDD!E:E,MATCH(P783,BDD!D:D,0))</f>
        <v>S-S</v>
      </c>
      <c r="C783" s="125" t="s">
        <v>484</v>
      </c>
      <c r="D783" s="150" t="s">
        <v>77</v>
      </c>
      <c r="E783" s="132"/>
      <c r="F783" s="24"/>
      <c r="G783" s="346">
        <v>8000000689</v>
      </c>
      <c r="H783" s="125" t="s">
        <v>3169</v>
      </c>
      <c r="I783" s="329"/>
      <c r="J783" s="346">
        <v>8000000689</v>
      </c>
      <c r="K783" s="24"/>
      <c r="L783" s="24"/>
      <c r="M783" s="24"/>
      <c r="N783" s="340" t="s">
        <v>486</v>
      </c>
      <c r="O783" s="334">
        <v>206914</v>
      </c>
      <c r="P783" s="25" t="s">
        <v>335</v>
      </c>
      <c r="Q783" s="127" t="s">
        <v>264</v>
      </c>
      <c r="R783" s="232" t="s">
        <v>3170</v>
      </c>
      <c r="S783" s="89">
        <v>43770</v>
      </c>
      <c r="T783" s="36">
        <v>90</v>
      </c>
      <c r="U783" s="125" t="s">
        <v>2805</v>
      </c>
      <c r="V783" s="147" t="s">
        <v>3171</v>
      </c>
      <c r="W783" s="129"/>
      <c r="X783" s="88">
        <v>43903</v>
      </c>
      <c r="Y783" s="130" t="s">
        <v>20</v>
      </c>
      <c r="Z783" s="133" t="s">
        <v>60</v>
      </c>
      <c r="AA783" s="133"/>
      <c r="AB783" s="256">
        <v>286</v>
      </c>
      <c r="AC783" s="134">
        <v>122</v>
      </c>
      <c r="AD783" s="134"/>
      <c r="AE783" s="403">
        <f t="shared" si="40"/>
        <v>34892</v>
      </c>
      <c r="AF783" s="132">
        <v>10</v>
      </c>
      <c r="AG783" s="130" t="s">
        <v>21</v>
      </c>
      <c r="AH783" s="130"/>
      <c r="AI783" s="130" t="s">
        <v>34</v>
      </c>
      <c r="AJ783" s="130"/>
      <c r="AK783" s="130"/>
      <c r="AL783" s="135" t="s">
        <v>2963</v>
      </c>
      <c r="AM783" s="314"/>
      <c r="AN783" s="26"/>
      <c r="AO783" s="26"/>
      <c r="AP783" s="26"/>
      <c r="AQ783" s="26">
        <v>43865</v>
      </c>
      <c r="AR783" s="24"/>
      <c r="AS783" s="24"/>
      <c r="AT783" s="26">
        <v>43869</v>
      </c>
      <c r="AU783" s="418">
        <f t="shared" si="41"/>
        <v>2</v>
      </c>
      <c r="AV783" s="418">
        <f t="shared" si="42"/>
        <v>2020</v>
      </c>
      <c r="AW783" s="26"/>
      <c r="AX783" s="28"/>
      <c r="AY783" s="28" t="s">
        <v>139</v>
      </c>
      <c r="AZ783" s="132" t="s">
        <v>9</v>
      </c>
      <c r="BA783" s="132"/>
      <c r="BB783" s="24" t="s">
        <v>2956</v>
      </c>
      <c r="BC783" s="135" t="s">
        <v>3172</v>
      </c>
      <c r="BD783" s="26">
        <v>43812</v>
      </c>
      <c r="BE783" s="135" t="s">
        <v>2647</v>
      </c>
      <c r="BF783" s="135" t="s">
        <v>1251</v>
      </c>
      <c r="BG783" s="135" t="s">
        <v>2873</v>
      </c>
      <c r="BH783" s="135"/>
      <c r="BI783" s="314"/>
      <c r="BJ783" s="314"/>
      <c r="BK783" s="24"/>
      <c r="BL783" s="24"/>
      <c r="BM783" s="24"/>
      <c r="BN783" s="24"/>
      <c r="BO783" s="24">
        <f>+AQ783+15</f>
        <v>43880</v>
      </c>
      <c r="BP783" s="24"/>
      <c r="BQ783" s="24"/>
      <c r="BR783" s="43"/>
      <c r="BS783" s="24"/>
      <c r="BT783" s="24"/>
      <c r="BU783" s="24"/>
      <c r="BV783" s="132" t="e">
        <f>IF(#REF!="COMPLETO","OK","PENDIENTES")</f>
        <v>#REF!</v>
      </c>
      <c r="BW783" s="132"/>
      <c r="BX783" s="132"/>
      <c r="BY783" s="132"/>
      <c r="BZ783" s="132"/>
      <c r="CA783" s="132"/>
      <c r="CB783" s="132"/>
      <c r="CC783" s="22"/>
      <c r="CG783" s="24" t="s">
        <v>105</v>
      </c>
      <c r="CH783" s="24"/>
      <c r="CI783" s="26"/>
      <c r="CJ783" s="26"/>
    </row>
    <row r="784" spans="1:88" ht="15" customHeight="1">
      <c r="A784" s="18">
        <v>2019</v>
      </c>
      <c r="B784" s="18" t="str">
        <f>+INDEX(BDD!F:F,MATCH(P784,BDD!D:D,0))&amp;"-"&amp;INDEX(BDD!E:E,MATCH(P784,BDD!D:D,0))</f>
        <v>S-S</v>
      </c>
      <c r="C784" s="125" t="s">
        <v>484</v>
      </c>
      <c r="D784" s="150" t="s">
        <v>77</v>
      </c>
      <c r="E784" s="132"/>
      <c r="F784" s="24"/>
      <c r="G784" s="346">
        <v>8000000690</v>
      </c>
      <c r="H784" s="125" t="s">
        <v>3173</v>
      </c>
      <c r="I784" s="329"/>
      <c r="J784" s="346">
        <v>8000000690</v>
      </c>
      <c r="K784" s="24"/>
      <c r="L784" s="24"/>
      <c r="M784" s="24"/>
      <c r="N784" s="340" t="s">
        <v>486</v>
      </c>
      <c r="O784" s="334">
        <v>206914</v>
      </c>
      <c r="P784" s="25" t="s">
        <v>335</v>
      </c>
      <c r="Q784" s="127" t="s">
        <v>264</v>
      </c>
      <c r="R784" s="232" t="s">
        <v>3170</v>
      </c>
      <c r="S784" s="89">
        <v>43770</v>
      </c>
      <c r="T784" s="36">
        <v>90</v>
      </c>
      <c r="U784" s="125" t="s">
        <v>2805</v>
      </c>
      <c r="V784" s="147" t="s">
        <v>3174</v>
      </c>
      <c r="W784" s="129"/>
      <c r="X784" s="88">
        <f>+BD784+T784</f>
        <v>43903</v>
      </c>
      <c r="Y784" s="130" t="s">
        <v>20</v>
      </c>
      <c r="Z784" s="133" t="s">
        <v>60</v>
      </c>
      <c r="AA784" s="133"/>
      <c r="AB784" s="256">
        <v>514.79999999999995</v>
      </c>
      <c r="AC784" s="134">
        <v>122</v>
      </c>
      <c r="AD784" s="134"/>
      <c r="AE784" s="403">
        <f t="shared" si="40"/>
        <v>62805.599999999991</v>
      </c>
      <c r="AF784" s="132">
        <v>18</v>
      </c>
      <c r="AG784" s="130" t="s">
        <v>21</v>
      </c>
      <c r="AH784" s="130"/>
      <c r="AI784" s="130" t="s">
        <v>34</v>
      </c>
      <c r="AJ784" s="130"/>
      <c r="AK784" s="130"/>
      <c r="AL784" s="135" t="s">
        <v>2963</v>
      </c>
      <c r="AM784" s="314"/>
      <c r="AN784" s="26"/>
      <c r="AO784" s="26"/>
      <c r="AP784" s="26"/>
      <c r="AQ784" s="26">
        <v>43865</v>
      </c>
      <c r="AR784" s="24"/>
      <c r="AS784" s="24"/>
      <c r="AT784" s="26">
        <v>43868</v>
      </c>
      <c r="AU784" s="418">
        <f t="shared" si="41"/>
        <v>2</v>
      </c>
      <c r="AV784" s="418">
        <f t="shared" si="42"/>
        <v>2020</v>
      </c>
      <c r="AW784" s="26"/>
      <c r="AX784" s="28"/>
      <c r="AY784" s="28" t="s">
        <v>139</v>
      </c>
      <c r="AZ784" s="132" t="s">
        <v>9</v>
      </c>
      <c r="BA784" s="132"/>
      <c r="BB784" s="24" t="s">
        <v>2956</v>
      </c>
      <c r="BC784" s="135" t="s">
        <v>3175</v>
      </c>
      <c r="BD784" s="164">
        <v>43813</v>
      </c>
      <c r="BE784" s="135" t="s">
        <v>2872</v>
      </c>
      <c r="BF784" s="135" t="s">
        <v>1251</v>
      </c>
      <c r="BG784" s="135" t="s">
        <v>2873</v>
      </c>
      <c r="BH784" s="135"/>
      <c r="BI784" s="314"/>
      <c r="BJ784" s="314"/>
      <c r="BK784" s="24"/>
      <c r="BL784" s="24"/>
      <c r="BM784" s="24"/>
      <c r="BN784" s="24"/>
      <c r="BO784" s="24">
        <f>+AQ784+15</f>
        <v>43880</v>
      </c>
      <c r="BP784" s="24"/>
      <c r="BQ784" s="24"/>
      <c r="BR784" s="43"/>
      <c r="BS784" s="24"/>
      <c r="BT784" s="24"/>
      <c r="BU784" s="24"/>
      <c r="BV784" s="132" t="e">
        <f>IF(#REF!="COMPLETO","OK","PENDIENTES")</f>
        <v>#REF!</v>
      </c>
      <c r="BW784" s="132"/>
      <c r="BX784" s="132"/>
      <c r="BY784" s="132"/>
      <c r="BZ784" s="132"/>
      <c r="CA784" s="132"/>
      <c r="CB784" s="132"/>
      <c r="CC784" s="22"/>
      <c r="CG784" s="24" t="s">
        <v>105</v>
      </c>
      <c r="CH784" s="24"/>
      <c r="CI784" s="26"/>
      <c r="CJ784" s="26"/>
    </row>
    <row r="785" spans="1:88" ht="15" customHeight="1">
      <c r="A785" s="18">
        <v>2019</v>
      </c>
      <c r="B785" s="18" t="str">
        <f>+INDEX(BDD!F:F,MATCH(P785,BDD!D:D,0))&amp;"-"&amp;INDEX(BDD!E:E,MATCH(P785,BDD!D:D,0))</f>
        <v>S-S</v>
      </c>
      <c r="C785" s="360" t="s">
        <v>484</v>
      </c>
      <c r="D785" s="150" t="s">
        <v>77</v>
      </c>
      <c r="E785" s="132"/>
      <c r="F785" s="24"/>
      <c r="G785" s="346">
        <v>8000000664</v>
      </c>
      <c r="H785" s="220" t="s">
        <v>3176</v>
      </c>
      <c r="I785" s="329"/>
      <c r="J785" s="346">
        <v>8000000664</v>
      </c>
      <c r="K785" s="24"/>
      <c r="L785" s="24"/>
      <c r="M785" s="24"/>
      <c r="N785" s="340" t="s">
        <v>486</v>
      </c>
      <c r="O785" s="334">
        <v>206914</v>
      </c>
      <c r="P785" s="25" t="s">
        <v>335</v>
      </c>
      <c r="Q785" s="127" t="s">
        <v>264</v>
      </c>
      <c r="R785" s="232" t="s">
        <v>3177</v>
      </c>
      <c r="S785" s="89">
        <v>43770</v>
      </c>
      <c r="T785" s="36">
        <v>90</v>
      </c>
      <c r="U785" s="125" t="s">
        <v>2805</v>
      </c>
      <c r="V785" s="147" t="s">
        <v>3177</v>
      </c>
      <c r="W785" s="129"/>
      <c r="X785" s="88">
        <f>+BD785+T785</f>
        <v>43880</v>
      </c>
      <c r="Y785" s="130" t="s">
        <v>20</v>
      </c>
      <c r="Z785" s="133" t="s">
        <v>60</v>
      </c>
      <c r="AA785" s="133"/>
      <c r="AB785" s="241">
        <v>108</v>
      </c>
      <c r="AC785" s="134">
        <v>145</v>
      </c>
      <c r="AD785" s="134"/>
      <c r="AE785" s="403">
        <f t="shared" si="40"/>
        <v>15660</v>
      </c>
      <c r="AF785" s="132" t="s">
        <v>944</v>
      </c>
      <c r="AG785" s="130" t="s">
        <v>58</v>
      </c>
      <c r="AH785" s="130"/>
      <c r="AI785" s="130" t="s">
        <v>34</v>
      </c>
      <c r="AJ785" s="130"/>
      <c r="AK785" s="130"/>
      <c r="AL785" s="135" t="s">
        <v>2963</v>
      </c>
      <c r="AM785" s="314"/>
      <c r="AN785" s="26"/>
      <c r="AO785" s="26"/>
      <c r="AP785" s="26"/>
      <c r="AQ785" s="26">
        <v>43837</v>
      </c>
      <c r="AR785" s="24"/>
      <c r="AS785" s="24"/>
      <c r="AT785" s="26">
        <v>43840</v>
      </c>
      <c r="AU785" s="418">
        <f t="shared" si="41"/>
        <v>1</v>
      </c>
      <c r="AV785" s="418">
        <f t="shared" si="42"/>
        <v>2020</v>
      </c>
      <c r="AW785" s="26"/>
      <c r="AX785" s="28"/>
      <c r="AY785" s="28" t="s">
        <v>95</v>
      </c>
      <c r="AZ785" s="132" t="s">
        <v>62</v>
      </c>
      <c r="BA785" s="132"/>
      <c r="BB785" s="24" t="s">
        <v>2956</v>
      </c>
      <c r="BC785" s="135" t="s">
        <v>3178</v>
      </c>
      <c r="BD785" s="26">
        <v>43790</v>
      </c>
      <c r="BE785" s="135" t="s">
        <v>3107</v>
      </c>
      <c r="BF785" s="135" t="s">
        <v>3107</v>
      </c>
      <c r="BG785" s="135" t="s">
        <v>52</v>
      </c>
      <c r="BH785" s="135"/>
      <c r="BI785" s="314"/>
      <c r="BJ785" s="314"/>
      <c r="BK785" s="24"/>
      <c r="BL785" s="24"/>
      <c r="BM785" s="24"/>
      <c r="BN785" s="24"/>
      <c r="BO785" s="24"/>
      <c r="BP785" s="24"/>
      <c r="BQ785" s="24"/>
      <c r="BR785" s="43"/>
      <c r="BS785" s="24"/>
      <c r="BT785" s="24"/>
      <c r="BU785" s="24"/>
      <c r="BV785" s="132" t="e">
        <f>IF(#REF!="COMPLETO","OK","PENDIENTES")</f>
        <v>#REF!</v>
      </c>
      <c r="BW785" s="132"/>
      <c r="BX785" s="132"/>
      <c r="BY785" s="132"/>
      <c r="BZ785" s="132"/>
      <c r="CA785" s="132"/>
      <c r="CB785" s="132"/>
      <c r="CC785" s="22"/>
      <c r="CG785" s="24" t="s">
        <v>105</v>
      </c>
      <c r="CH785" s="24"/>
      <c r="CI785" s="26"/>
      <c r="CJ785" s="26"/>
    </row>
    <row r="786" spans="1:88" ht="15" customHeight="1">
      <c r="A786" s="18">
        <v>2019</v>
      </c>
      <c r="B786" s="18" t="str">
        <f>+INDEX(BDD!F:F,MATCH(P786,BDD!D:D,0))&amp;"-"&amp;INDEX(BDD!E:E,MATCH(P786,BDD!D:D,0))</f>
        <v>S-S</v>
      </c>
      <c r="C786" s="125" t="s">
        <v>484</v>
      </c>
      <c r="D786" s="150" t="s">
        <v>77</v>
      </c>
      <c r="E786" s="132"/>
      <c r="F786" s="24"/>
      <c r="G786" s="346">
        <v>8000000655</v>
      </c>
      <c r="H786" s="125" t="s">
        <v>3179</v>
      </c>
      <c r="I786" s="329"/>
      <c r="J786" s="346">
        <v>8000000655</v>
      </c>
      <c r="K786" s="24"/>
      <c r="L786" s="24"/>
      <c r="M786" s="24"/>
      <c r="N786" s="340" t="s">
        <v>486</v>
      </c>
      <c r="O786" s="334">
        <v>206971</v>
      </c>
      <c r="P786" s="25" t="s">
        <v>340</v>
      </c>
      <c r="Q786" s="127" t="s">
        <v>66</v>
      </c>
      <c r="R786" s="232" t="s">
        <v>3180</v>
      </c>
      <c r="S786" s="89">
        <v>43770</v>
      </c>
      <c r="T786" s="36">
        <v>90</v>
      </c>
      <c r="U786" s="125" t="s">
        <v>2805</v>
      </c>
      <c r="V786" s="147" t="s">
        <v>3181</v>
      </c>
      <c r="W786" s="129"/>
      <c r="X786" s="88">
        <v>43878</v>
      </c>
      <c r="Y786" s="130" t="s">
        <v>20</v>
      </c>
      <c r="Z786" s="133" t="s">
        <v>60</v>
      </c>
      <c r="AA786" s="133"/>
      <c r="AB786" s="241">
        <v>300</v>
      </c>
      <c r="AC786" s="134">
        <v>466.9</v>
      </c>
      <c r="AD786" s="134"/>
      <c r="AE786" s="403">
        <f t="shared" si="40"/>
        <v>140070</v>
      </c>
      <c r="AF786" s="132">
        <v>12</v>
      </c>
      <c r="AG786" s="130" t="s">
        <v>5</v>
      </c>
      <c r="AH786" s="130"/>
      <c r="AI786" s="130" t="s">
        <v>34</v>
      </c>
      <c r="AJ786" s="130"/>
      <c r="AK786" s="130"/>
      <c r="AL786" s="135" t="s">
        <v>3095</v>
      </c>
      <c r="AM786" s="314"/>
      <c r="AN786" s="26"/>
      <c r="AO786" s="26"/>
      <c r="AP786" s="26"/>
      <c r="AQ786" s="26">
        <v>43820</v>
      </c>
      <c r="AR786" s="24"/>
      <c r="AS786" s="24"/>
      <c r="AT786" s="26">
        <v>43823</v>
      </c>
      <c r="AU786" s="418">
        <f t="shared" si="41"/>
        <v>12</v>
      </c>
      <c r="AV786" s="418">
        <f t="shared" si="42"/>
        <v>2019</v>
      </c>
      <c r="AW786" s="26"/>
      <c r="AX786" s="28"/>
      <c r="AY786" s="28" t="s">
        <v>193</v>
      </c>
      <c r="AZ786" s="132" t="s">
        <v>37</v>
      </c>
      <c r="BA786" s="132"/>
      <c r="BB786" s="26"/>
      <c r="BC786" s="135" t="s">
        <v>3182</v>
      </c>
      <c r="BD786" s="24">
        <v>43787</v>
      </c>
      <c r="BE786" s="135" t="s">
        <v>3183</v>
      </c>
      <c r="BF786" s="135" t="s">
        <v>3183</v>
      </c>
      <c r="BG786" s="135" t="s">
        <v>206</v>
      </c>
      <c r="BH786" s="135"/>
      <c r="BI786" s="314"/>
      <c r="BJ786" s="314"/>
      <c r="BK786" s="24"/>
      <c r="BL786" s="24"/>
      <c r="BM786" s="24"/>
      <c r="BN786" s="24"/>
      <c r="BO786" s="24">
        <f>+AQ786+21</f>
        <v>43841</v>
      </c>
      <c r="BP786" s="24"/>
      <c r="BQ786" s="24"/>
      <c r="BR786" s="43"/>
      <c r="BS786" s="24"/>
      <c r="BT786" s="24"/>
      <c r="BU786" s="24"/>
      <c r="BV786" s="132" t="e">
        <f>IF(#REF!="COMPLETO","OK","PENDIENTES")</f>
        <v>#REF!</v>
      </c>
      <c r="BW786" s="132"/>
      <c r="BX786" s="132"/>
      <c r="BY786" s="132"/>
      <c r="BZ786" s="132"/>
      <c r="CA786" s="132"/>
      <c r="CB786" s="132"/>
      <c r="CC786" s="22"/>
      <c r="CG786" s="24" t="s">
        <v>105</v>
      </c>
      <c r="CH786" s="24"/>
      <c r="CI786" s="26"/>
      <c r="CJ786" s="26"/>
    </row>
    <row r="787" spans="1:88" ht="15" customHeight="1">
      <c r="A787" s="18">
        <v>2019</v>
      </c>
      <c r="B787" s="18" t="str">
        <f>+INDEX(BDD!F:F,MATCH(P787,BDD!D:D,0))&amp;"-"&amp;INDEX(BDD!E:E,MATCH(P787,BDD!D:D,0))</f>
        <v>S-S</v>
      </c>
      <c r="C787" s="360" t="s">
        <v>484</v>
      </c>
      <c r="D787" s="150" t="s">
        <v>77</v>
      </c>
      <c r="E787" s="132"/>
      <c r="F787" s="24"/>
      <c r="G787" s="346">
        <v>8000000665</v>
      </c>
      <c r="H787" s="220" t="s">
        <v>3184</v>
      </c>
      <c r="I787" s="329"/>
      <c r="J787" s="346">
        <v>8000000665</v>
      </c>
      <c r="K787" s="24"/>
      <c r="L787" s="24"/>
      <c r="M787" s="24"/>
      <c r="N787" s="340" t="s">
        <v>486</v>
      </c>
      <c r="O787" s="334">
        <v>206971</v>
      </c>
      <c r="P787" s="25" t="s">
        <v>340</v>
      </c>
      <c r="Q787" s="127" t="s">
        <v>66</v>
      </c>
      <c r="R787" s="232" t="s">
        <v>3180</v>
      </c>
      <c r="S787" s="89">
        <v>43770</v>
      </c>
      <c r="T787" s="36">
        <v>90</v>
      </c>
      <c r="U787" s="125" t="s">
        <v>2805</v>
      </c>
      <c r="V787" s="147" t="s">
        <v>3185</v>
      </c>
      <c r="W787" s="129"/>
      <c r="X787" s="88">
        <v>43873</v>
      </c>
      <c r="Y787" s="130" t="s">
        <v>20</v>
      </c>
      <c r="Z787" s="133" t="s">
        <v>60</v>
      </c>
      <c r="AA787" s="133"/>
      <c r="AB787" s="241">
        <v>300</v>
      </c>
      <c r="AC787" s="134">
        <v>481</v>
      </c>
      <c r="AD787" s="134"/>
      <c r="AE787" s="403">
        <f t="shared" si="40"/>
        <v>144300</v>
      </c>
      <c r="AF787" s="132">
        <v>12</v>
      </c>
      <c r="AG787" s="130" t="s">
        <v>5</v>
      </c>
      <c r="AH787" s="130"/>
      <c r="AI787" s="130" t="s">
        <v>34</v>
      </c>
      <c r="AJ787" s="130"/>
      <c r="AK787" s="130"/>
      <c r="AL787" s="135" t="s">
        <v>3095</v>
      </c>
      <c r="AM787" s="314"/>
      <c r="AN787" s="26"/>
      <c r="AO787" s="26"/>
      <c r="AP787" s="26"/>
      <c r="AQ787" s="26">
        <v>43838</v>
      </c>
      <c r="AR787" s="24"/>
      <c r="AS787" s="24"/>
      <c r="AT787" s="26">
        <v>43843</v>
      </c>
      <c r="AU787" s="418">
        <f t="shared" si="41"/>
        <v>1</v>
      </c>
      <c r="AV787" s="418">
        <f t="shared" si="42"/>
        <v>2020</v>
      </c>
      <c r="AW787" s="26"/>
      <c r="AX787" s="28"/>
      <c r="AY787" s="28" t="s">
        <v>193</v>
      </c>
      <c r="AZ787" s="132" t="s">
        <v>9</v>
      </c>
      <c r="BA787" s="132"/>
      <c r="BB787" s="24" t="s">
        <v>2956</v>
      </c>
      <c r="BC787" s="135" t="s">
        <v>3186</v>
      </c>
      <c r="BD787" s="24">
        <v>43782</v>
      </c>
      <c r="BE787" s="135" t="s">
        <v>2097</v>
      </c>
      <c r="BF787" s="135" t="s">
        <v>3187</v>
      </c>
      <c r="BG787" s="135" t="s">
        <v>29</v>
      </c>
      <c r="BH787" s="135"/>
      <c r="BI787" s="314"/>
      <c r="BJ787" s="314"/>
      <c r="BK787" s="24"/>
      <c r="BL787" s="24"/>
      <c r="BM787" s="24"/>
      <c r="BN787" s="24"/>
      <c r="BO787" s="24">
        <f>+AQ787+21</f>
        <v>43859</v>
      </c>
      <c r="BP787" s="24"/>
      <c r="BQ787" s="24"/>
      <c r="BR787" s="43"/>
      <c r="BS787" s="24"/>
      <c r="BT787" s="24"/>
      <c r="BU787" s="24"/>
      <c r="BV787" s="132" t="e">
        <f>IF(#REF!="COMPLETO","OK","PENDIENTES")</f>
        <v>#REF!</v>
      </c>
      <c r="BW787" s="132"/>
      <c r="BX787" s="132"/>
      <c r="BY787" s="132"/>
      <c r="BZ787" s="132"/>
      <c r="CA787" s="132"/>
      <c r="CB787" s="132"/>
      <c r="CC787" s="22"/>
      <c r="CG787" s="24" t="s">
        <v>105</v>
      </c>
      <c r="CH787" s="24"/>
      <c r="CI787" s="26"/>
      <c r="CJ787" s="26"/>
    </row>
    <row r="788" spans="1:88" ht="15" customHeight="1">
      <c r="A788" s="18">
        <v>2019</v>
      </c>
      <c r="B788" s="18" t="str">
        <f>+INDEX(BDD!F:F,MATCH(P788,BDD!D:D,0))&amp;"-"&amp;INDEX(BDD!E:E,MATCH(P788,BDD!D:D,0))</f>
        <v>S-S</v>
      </c>
      <c r="C788" s="125" t="s">
        <v>484</v>
      </c>
      <c r="D788" s="150" t="s">
        <v>77</v>
      </c>
      <c r="E788" s="132"/>
      <c r="F788" s="24"/>
      <c r="G788" s="346">
        <v>8000000660</v>
      </c>
      <c r="H788" s="125" t="s">
        <v>3188</v>
      </c>
      <c r="I788" s="329"/>
      <c r="J788" s="346">
        <v>8000000660</v>
      </c>
      <c r="K788" s="24"/>
      <c r="L788" s="24"/>
      <c r="M788" s="24"/>
      <c r="N788" s="340" t="s">
        <v>486</v>
      </c>
      <c r="O788" s="334">
        <v>206971</v>
      </c>
      <c r="P788" s="25" t="s">
        <v>340</v>
      </c>
      <c r="Q788" s="127" t="s">
        <v>66</v>
      </c>
      <c r="R788" s="232" t="s">
        <v>3180</v>
      </c>
      <c r="S788" s="89">
        <v>43770</v>
      </c>
      <c r="T788" s="36">
        <v>90</v>
      </c>
      <c r="U788" s="125" t="s">
        <v>2805</v>
      </c>
      <c r="V788" s="147" t="s">
        <v>3189</v>
      </c>
      <c r="W788" s="129"/>
      <c r="X788" s="88">
        <f>+BD788+T788</f>
        <v>43889</v>
      </c>
      <c r="Y788" s="130" t="s">
        <v>20</v>
      </c>
      <c r="Z788" s="133" t="s">
        <v>60</v>
      </c>
      <c r="AA788" s="133"/>
      <c r="AB788" s="241">
        <v>300</v>
      </c>
      <c r="AC788" s="134">
        <v>466.9</v>
      </c>
      <c r="AD788" s="134"/>
      <c r="AE788" s="403">
        <f t="shared" si="40"/>
        <v>140070</v>
      </c>
      <c r="AF788" s="132">
        <v>12</v>
      </c>
      <c r="AG788" s="130" t="s">
        <v>5</v>
      </c>
      <c r="AH788" s="130"/>
      <c r="AI788" s="130" t="s">
        <v>34</v>
      </c>
      <c r="AJ788" s="130"/>
      <c r="AK788" s="130"/>
      <c r="AL788" s="135" t="s">
        <v>3190</v>
      </c>
      <c r="AM788" s="314"/>
      <c r="AN788" s="26"/>
      <c r="AO788" s="26"/>
      <c r="AP788" s="26"/>
      <c r="AQ788" s="26">
        <v>43834</v>
      </c>
      <c r="AR788" s="24"/>
      <c r="AS788" s="24"/>
      <c r="AT788" s="26">
        <v>43837</v>
      </c>
      <c r="AU788" s="418">
        <f t="shared" si="41"/>
        <v>1</v>
      </c>
      <c r="AV788" s="418">
        <f t="shared" si="42"/>
        <v>2020</v>
      </c>
      <c r="AW788" s="26"/>
      <c r="AX788" s="28"/>
      <c r="AY788" s="28" t="s">
        <v>197</v>
      </c>
      <c r="AZ788" s="132" t="s">
        <v>37</v>
      </c>
      <c r="BA788" s="132"/>
      <c r="BB788" s="24" t="s">
        <v>2956</v>
      </c>
      <c r="BC788" s="135" t="s">
        <v>3191</v>
      </c>
      <c r="BD788" s="24">
        <v>43799</v>
      </c>
      <c r="BE788" s="135" t="s">
        <v>2500</v>
      </c>
      <c r="BF788" s="135" t="s">
        <v>3192</v>
      </c>
      <c r="BG788" s="135" t="s">
        <v>206</v>
      </c>
      <c r="BH788" s="135"/>
      <c r="BI788" s="314"/>
      <c r="BJ788" s="314"/>
      <c r="BK788" s="24"/>
      <c r="BL788" s="24"/>
      <c r="BM788" s="24"/>
      <c r="BN788" s="24"/>
      <c r="BO788" s="24">
        <f>+AQ788+21</f>
        <v>43855</v>
      </c>
      <c r="BP788" s="24"/>
      <c r="BQ788" s="24"/>
      <c r="BR788" s="43"/>
      <c r="BS788" s="24"/>
      <c r="BT788" s="24"/>
      <c r="BU788" s="24"/>
      <c r="BV788" s="132" t="e">
        <f>IF(#REF!="COMPLETO","OK","PENDIENTES")</f>
        <v>#REF!</v>
      </c>
      <c r="BW788" s="132"/>
      <c r="BX788" s="132"/>
      <c r="BY788" s="132"/>
      <c r="BZ788" s="132"/>
      <c r="CA788" s="132"/>
      <c r="CB788" s="132"/>
      <c r="CC788" s="22"/>
      <c r="CG788" s="24" t="s">
        <v>105</v>
      </c>
      <c r="CH788" s="24"/>
      <c r="CI788" s="26"/>
      <c r="CJ788" s="26"/>
    </row>
    <row r="789" spans="1:88" ht="15" customHeight="1">
      <c r="A789" s="18">
        <v>2019</v>
      </c>
      <c r="B789" s="18" t="str">
        <f>+INDEX(BDD!F:F,MATCH(P789,BDD!D:D,0))&amp;"-"&amp;INDEX(BDD!E:E,MATCH(P789,BDD!D:D,0))</f>
        <v>S-S</v>
      </c>
      <c r="C789" s="125" t="s">
        <v>484</v>
      </c>
      <c r="D789" s="150" t="s">
        <v>77</v>
      </c>
      <c r="E789" s="132"/>
      <c r="F789" s="24"/>
      <c r="G789" s="346">
        <v>8000000662</v>
      </c>
      <c r="H789" s="125" t="s">
        <v>3193</v>
      </c>
      <c r="I789" s="329"/>
      <c r="J789" s="346">
        <v>8000000662</v>
      </c>
      <c r="K789" s="24"/>
      <c r="L789" s="24"/>
      <c r="M789" s="24"/>
      <c r="N789" s="340" t="s">
        <v>486</v>
      </c>
      <c r="O789" s="334">
        <v>206971</v>
      </c>
      <c r="P789" s="25" t="s">
        <v>340</v>
      </c>
      <c r="Q789" s="127" t="s">
        <v>66</v>
      </c>
      <c r="R789" s="232" t="s">
        <v>3180</v>
      </c>
      <c r="S789" s="89">
        <v>43770</v>
      </c>
      <c r="T789" s="36">
        <v>90</v>
      </c>
      <c r="U789" s="125" t="s">
        <v>2805</v>
      </c>
      <c r="V789" s="147" t="s">
        <v>3194</v>
      </c>
      <c r="W789" s="129"/>
      <c r="X789" s="88">
        <f>+BD789+T789</f>
        <v>43885</v>
      </c>
      <c r="Y789" s="130" t="s">
        <v>20</v>
      </c>
      <c r="Z789" s="133" t="s">
        <v>60</v>
      </c>
      <c r="AA789" s="133"/>
      <c r="AB789" s="256">
        <v>600</v>
      </c>
      <c r="AC789" s="134">
        <v>481</v>
      </c>
      <c r="AD789" s="134"/>
      <c r="AE789" s="403">
        <f t="shared" si="40"/>
        <v>288600</v>
      </c>
      <c r="AF789" s="132">
        <v>24</v>
      </c>
      <c r="AG789" s="130" t="s">
        <v>21</v>
      </c>
      <c r="AH789" s="130"/>
      <c r="AI789" s="130" t="s">
        <v>34</v>
      </c>
      <c r="AJ789" s="130"/>
      <c r="AK789" s="130"/>
      <c r="AL789" s="135" t="s">
        <v>3190</v>
      </c>
      <c r="AM789" s="314"/>
      <c r="AN789" s="26"/>
      <c r="AO789" s="26"/>
      <c r="AP789" s="26"/>
      <c r="AQ789" s="26">
        <v>43844</v>
      </c>
      <c r="AR789" s="24"/>
      <c r="AS789" s="24"/>
      <c r="AT789" s="26">
        <v>43848</v>
      </c>
      <c r="AU789" s="418">
        <f t="shared" si="41"/>
        <v>1</v>
      </c>
      <c r="AV789" s="418">
        <f t="shared" si="42"/>
        <v>2020</v>
      </c>
      <c r="AW789" s="26"/>
      <c r="AX789" s="28"/>
      <c r="AY789" s="28" t="s">
        <v>197</v>
      </c>
      <c r="AZ789" s="132" t="s">
        <v>9</v>
      </c>
      <c r="BA789" s="132"/>
      <c r="BB789" s="24" t="s">
        <v>2956</v>
      </c>
      <c r="BC789" s="135" t="s">
        <v>3195</v>
      </c>
      <c r="BD789" s="24">
        <v>43795</v>
      </c>
      <c r="BE789" s="135" t="s">
        <v>2041</v>
      </c>
      <c r="BF789" s="135" t="s">
        <v>2214</v>
      </c>
      <c r="BG789" s="135" t="s">
        <v>174</v>
      </c>
      <c r="BH789" s="135"/>
      <c r="BI789" s="314"/>
      <c r="BJ789" s="314"/>
      <c r="BK789" s="24"/>
      <c r="BL789" s="24"/>
      <c r="BM789" s="24"/>
      <c r="BN789" s="24"/>
      <c r="BO789" s="24">
        <f>+AQ789+21</f>
        <v>43865</v>
      </c>
      <c r="BP789" s="24"/>
      <c r="BQ789" s="24"/>
      <c r="BR789" s="43"/>
      <c r="BS789" s="24"/>
      <c r="BT789" s="24"/>
      <c r="BU789" s="24"/>
      <c r="BV789" s="132" t="e">
        <f>IF(#REF!="COMPLETO","OK","PENDIENTES")</f>
        <v>#REF!</v>
      </c>
      <c r="BW789" s="132"/>
      <c r="BX789" s="132"/>
      <c r="BY789" s="132"/>
      <c r="BZ789" s="132"/>
      <c r="CA789" s="132"/>
      <c r="CB789" s="132"/>
      <c r="CC789" s="22"/>
      <c r="CG789" s="24" t="s">
        <v>105</v>
      </c>
      <c r="CH789" s="24"/>
      <c r="CI789" s="26"/>
      <c r="CJ789" s="26"/>
    </row>
    <row r="790" spans="1:88" ht="15" customHeight="1">
      <c r="A790" s="18">
        <v>2019</v>
      </c>
      <c r="B790" s="18" t="str">
        <f>+INDEX(BDD!F:F,MATCH(P790,BDD!D:D,0))&amp;"-"&amp;INDEX(BDD!E:E,MATCH(P790,BDD!D:D,0))</f>
        <v>S-P</v>
      </c>
      <c r="C790" s="125" t="s">
        <v>484</v>
      </c>
      <c r="D790" s="150" t="s">
        <v>77</v>
      </c>
      <c r="E790" s="132"/>
      <c r="F790" s="24"/>
      <c r="G790" s="346">
        <v>8000000692</v>
      </c>
      <c r="H790" s="125" t="s">
        <v>3196</v>
      </c>
      <c r="I790" s="329"/>
      <c r="J790" s="346">
        <v>8000000692</v>
      </c>
      <c r="K790" s="24"/>
      <c r="L790" s="24"/>
      <c r="M790" s="24"/>
      <c r="N790" s="340" t="s">
        <v>486</v>
      </c>
      <c r="O790" s="334">
        <v>207499</v>
      </c>
      <c r="P790" s="25" t="s">
        <v>343</v>
      </c>
      <c r="Q790" s="127" t="s">
        <v>264</v>
      </c>
      <c r="R790" s="232" t="s">
        <v>3197</v>
      </c>
      <c r="S790" s="89">
        <v>43770</v>
      </c>
      <c r="T790" s="36">
        <v>90</v>
      </c>
      <c r="U790" s="125" t="s">
        <v>2805</v>
      </c>
      <c r="V790" s="232" t="s">
        <v>3197</v>
      </c>
      <c r="W790" s="151"/>
      <c r="X790" s="88">
        <v>43893</v>
      </c>
      <c r="Y790" s="130" t="s">
        <v>20</v>
      </c>
      <c r="Z790" s="133" t="s">
        <v>60</v>
      </c>
      <c r="AA790" s="133"/>
      <c r="AB790" s="256">
        <v>300</v>
      </c>
      <c r="AC790" s="134">
        <v>515</v>
      </c>
      <c r="AD790" s="134"/>
      <c r="AE790" s="403">
        <f t="shared" si="40"/>
        <v>154500</v>
      </c>
      <c r="AF790" s="132" t="s">
        <v>944</v>
      </c>
      <c r="AG790" s="130" t="s">
        <v>58</v>
      </c>
      <c r="AH790" s="130"/>
      <c r="AI790" s="130" t="s">
        <v>34</v>
      </c>
      <c r="AJ790" s="130"/>
      <c r="AK790" s="130"/>
      <c r="AL790" s="135" t="s">
        <v>2963</v>
      </c>
      <c r="AM790" s="314"/>
      <c r="AN790" s="26"/>
      <c r="AO790" s="26"/>
      <c r="AP790" s="26"/>
      <c r="AQ790" s="26">
        <v>43872</v>
      </c>
      <c r="AR790" s="24"/>
      <c r="AS790" s="24"/>
      <c r="AT790" s="26">
        <v>43881</v>
      </c>
      <c r="AU790" s="418">
        <f t="shared" si="41"/>
        <v>2</v>
      </c>
      <c r="AV790" s="418">
        <f t="shared" si="42"/>
        <v>2020</v>
      </c>
      <c r="AW790" s="26"/>
      <c r="AX790" s="28"/>
      <c r="AY790" s="28" t="s">
        <v>3199</v>
      </c>
      <c r="AZ790" s="132" t="s">
        <v>37</v>
      </c>
      <c r="BA790" s="132"/>
      <c r="BB790" s="24" t="s">
        <v>2956</v>
      </c>
      <c r="BC790" s="135" t="s">
        <v>3198</v>
      </c>
      <c r="BD790" s="24">
        <v>43799</v>
      </c>
      <c r="BE790" s="135" t="s">
        <v>3168</v>
      </c>
      <c r="BF790" s="135" t="s">
        <v>3168</v>
      </c>
      <c r="BG790" s="135" t="s">
        <v>52</v>
      </c>
      <c r="BH790" s="135"/>
      <c r="BI790" s="314"/>
      <c r="BJ790" s="314"/>
      <c r="BK790" s="26"/>
      <c r="BL790" s="26"/>
      <c r="BM790" s="26"/>
      <c r="BN790" s="26"/>
      <c r="BO790" s="24"/>
      <c r="BP790" s="24"/>
      <c r="BQ790" s="24"/>
      <c r="BR790" s="43"/>
      <c r="BS790" s="24"/>
      <c r="BT790" s="24"/>
      <c r="BU790" s="24"/>
      <c r="BV790" s="132" t="e">
        <f>IF(#REF!="COMPLETO","OK","PENDIENTES")</f>
        <v>#REF!</v>
      </c>
      <c r="BW790" s="132"/>
      <c r="BX790" s="132"/>
      <c r="BY790" s="132"/>
      <c r="BZ790" s="132"/>
      <c r="CA790" s="132"/>
      <c r="CB790" s="132"/>
      <c r="CC790" s="22"/>
      <c r="CG790" s="24" t="s">
        <v>105</v>
      </c>
      <c r="CH790" s="24"/>
      <c r="CI790" s="26"/>
      <c r="CJ790" s="26"/>
    </row>
    <row r="791" spans="1:88" ht="15" customHeight="1">
      <c r="A791" s="18">
        <v>2019</v>
      </c>
      <c r="B791" s="18" t="str">
        <f>+INDEX(BDD!F:F,MATCH(P791,BDD!D:D,0))&amp;"-"&amp;INDEX(BDD!E:E,MATCH(P791,BDD!D:D,0))</f>
        <v>S-P</v>
      </c>
      <c r="C791" s="125" t="s">
        <v>484</v>
      </c>
      <c r="D791" s="150" t="s">
        <v>77</v>
      </c>
      <c r="E791" s="132"/>
      <c r="F791" s="24"/>
      <c r="G791" s="346">
        <v>8000000672</v>
      </c>
      <c r="H791" s="125" t="s">
        <v>3200</v>
      </c>
      <c r="I791" s="329"/>
      <c r="J791" s="346">
        <v>8000000672</v>
      </c>
      <c r="K791" s="24"/>
      <c r="L791" s="24"/>
      <c r="M791" s="24"/>
      <c r="N791" s="340" t="s">
        <v>486</v>
      </c>
      <c r="O791" s="334">
        <v>207499</v>
      </c>
      <c r="P791" s="25" t="s">
        <v>343</v>
      </c>
      <c r="Q791" s="127" t="s">
        <v>264</v>
      </c>
      <c r="R791" s="232" t="s">
        <v>3201</v>
      </c>
      <c r="S791" s="89">
        <v>43770</v>
      </c>
      <c r="T791" s="36">
        <v>90</v>
      </c>
      <c r="U791" s="125" t="s">
        <v>2805</v>
      </c>
      <c r="V791" s="147" t="s">
        <v>3201</v>
      </c>
      <c r="W791" s="129"/>
      <c r="X791" s="88">
        <v>43899</v>
      </c>
      <c r="Y791" s="130" t="s">
        <v>20</v>
      </c>
      <c r="Z791" s="133" t="s">
        <v>60</v>
      </c>
      <c r="AA791" s="133"/>
      <c r="AB791" s="241">
        <v>171.6</v>
      </c>
      <c r="AC791" s="134">
        <v>512</v>
      </c>
      <c r="AD791" s="134"/>
      <c r="AE791" s="403">
        <f t="shared" si="40"/>
        <v>87859.199999999997</v>
      </c>
      <c r="AF791" s="132">
        <v>6</v>
      </c>
      <c r="AG791" s="130" t="s">
        <v>21</v>
      </c>
      <c r="AH791" s="130"/>
      <c r="AI791" s="130" t="s">
        <v>34</v>
      </c>
      <c r="AJ791" s="130"/>
      <c r="AK791" s="130"/>
      <c r="AL791" s="135" t="s">
        <v>2963</v>
      </c>
      <c r="AM791" s="314"/>
      <c r="AN791" s="26"/>
      <c r="AO791" s="26"/>
      <c r="AP791" s="26"/>
      <c r="AQ791" s="26">
        <v>43873</v>
      </c>
      <c r="AR791" s="24"/>
      <c r="AS791" s="24"/>
      <c r="AT791" s="24">
        <v>43874</v>
      </c>
      <c r="AU791" s="418">
        <f t="shared" si="41"/>
        <v>2</v>
      </c>
      <c r="AV791" s="418">
        <f t="shared" si="42"/>
        <v>2020</v>
      </c>
      <c r="AW791" s="24"/>
      <c r="AX791" s="28"/>
      <c r="AY791" s="28" t="s">
        <v>3199</v>
      </c>
      <c r="AZ791" s="132" t="s">
        <v>9</v>
      </c>
      <c r="BA791" s="132"/>
      <c r="BB791" s="24" t="s">
        <v>2956</v>
      </c>
      <c r="BC791" s="135" t="s">
        <v>3202</v>
      </c>
      <c r="BD791" s="24">
        <v>43806</v>
      </c>
      <c r="BE791" s="135" t="s">
        <v>3203</v>
      </c>
      <c r="BF791" s="135" t="s">
        <v>1806</v>
      </c>
      <c r="BG791" s="135" t="s">
        <v>3204</v>
      </c>
      <c r="BH791" s="135"/>
      <c r="BI791" s="314"/>
      <c r="BJ791" s="314"/>
      <c r="BK791" s="24"/>
      <c r="BL791" s="24"/>
      <c r="BM791" s="24"/>
      <c r="BN791" s="24"/>
      <c r="BO791" s="24"/>
      <c r="BP791" s="24"/>
      <c r="BQ791" s="24"/>
      <c r="BR791" s="43"/>
      <c r="BS791" s="24"/>
      <c r="BT791" s="24"/>
      <c r="BU791" s="24"/>
      <c r="BV791" s="132" t="e">
        <f>IF(#REF!="COMPLETO","OK","PENDIENTES")</f>
        <v>#REF!</v>
      </c>
      <c r="BW791" s="132"/>
      <c r="BX791" s="132"/>
      <c r="BY791" s="132"/>
      <c r="BZ791" s="132"/>
      <c r="CA791" s="132"/>
      <c r="CB791" s="132"/>
      <c r="CC791" s="22"/>
      <c r="CG791" s="24" t="s">
        <v>105</v>
      </c>
      <c r="CH791" s="24"/>
      <c r="CI791" s="24"/>
      <c r="CJ791" s="24"/>
    </row>
    <row r="792" spans="1:88" ht="15" customHeight="1">
      <c r="A792" s="18">
        <v>2019</v>
      </c>
      <c r="B792" s="18" t="str">
        <f>+INDEX(BDD!F:F,MATCH(P792,BDD!D:D,0))&amp;"-"&amp;INDEX(BDD!E:E,MATCH(P792,BDD!D:D,0))</f>
        <v>S-S</v>
      </c>
      <c r="C792" s="125" t="s">
        <v>484</v>
      </c>
      <c r="D792" s="150" t="s">
        <v>77</v>
      </c>
      <c r="E792" s="132"/>
      <c r="F792" s="24"/>
      <c r="G792" s="346">
        <v>8000000667</v>
      </c>
      <c r="H792" s="125" t="s">
        <v>3205</v>
      </c>
      <c r="I792" s="329"/>
      <c r="J792" s="346">
        <v>8000000667</v>
      </c>
      <c r="K792" s="24"/>
      <c r="L792" s="24"/>
      <c r="M792" s="24"/>
      <c r="N792" s="340" t="s">
        <v>486</v>
      </c>
      <c r="O792" s="334">
        <v>206971</v>
      </c>
      <c r="P792" s="25" t="s">
        <v>340</v>
      </c>
      <c r="Q792" s="127" t="s">
        <v>66</v>
      </c>
      <c r="R792" s="232" t="s">
        <v>3180</v>
      </c>
      <c r="S792" s="89">
        <v>43770</v>
      </c>
      <c r="T792" s="36">
        <v>90</v>
      </c>
      <c r="U792" s="125" t="s">
        <v>2805</v>
      </c>
      <c r="V792" s="147" t="s">
        <v>3206</v>
      </c>
      <c r="W792" s="129"/>
      <c r="X792" s="88">
        <f t="shared" ref="X792:X798" si="43">+BD792+T792</f>
        <v>43903</v>
      </c>
      <c r="Y792" s="130" t="s">
        <v>20</v>
      </c>
      <c r="Z792" s="133" t="s">
        <v>60</v>
      </c>
      <c r="AA792" s="133"/>
      <c r="AB792" s="241">
        <v>300</v>
      </c>
      <c r="AC792" s="134">
        <v>466.9</v>
      </c>
      <c r="AD792" s="134"/>
      <c r="AE792" s="403">
        <f t="shared" si="40"/>
        <v>140070</v>
      </c>
      <c r="AF792" s="132">
        <v>12</v>
      </c>
      <c r="AG792" s="130" t="s">
        <v>5</v>
      </c>
      <c r="AH792" s="130"/>
      <c r="AI792" s="130" t="s">
        <v>34</v>
      </c>
      <c r="AJ792" s="130"/>
      <c r="AK792" s="130"/>
      <c r="AL792" s="135" t="s">
        <v>3207</v>
      </c>
      <c r="AM792" s="314"/>
      <c r="AN792" s="26"/>
      <c r="AO792" s="26"/>
      <c r="AP792" s="26"/>
      <c r="AQ792" s="26">
        <v>43848</v>
      </c>
      <c r="AR792" s="24"/>
      <c r="AS792" s="24"/>
      <c r="AT792" s="24">
        <v>43851</v>
      </c>
      <c r="AU792" s="418">
        <f t="shared" si="41"/>
        <v>1</v>
      </c>
      <c r="AV792" s="418">
        <f t="shared" si="42"/>
        <v>2020</v>
      </c>
      <c r="AW792" s="24"/>
      <c r="AX792" s="28"/>
      <c r="AY792" s="28" t="s">
        <v>197</v>
      </c>
      <c r="AZ792" s="132" t="s">
        <v>37</v>
      </c>
      <c r="BA792" s="132"/>
      <c r="BB792" s="24" t="s">
        <v>2956</v>
      </c>
      <c r="BC792" s="135" t="s">
        <v>3208</v>
      </c>
      <c r="BD792" s="24">
        <v>43813</v>
      </c>
      <c r="BE792" s="135" t="s">
        <v>2417</v>
      </c>
      <c r="BF792" s="135" t="s">
        <v>1251</v>
      </c>
      <c r="BG792" s="135" t="s">
        <v>206</v>
      </c>
      <c r="BH792" s="135"/>
      <c r="BI792" s="314"/>
      <c r="BJ792" s="314"/>
      <c r="BK792" s="24"/>
      <c r="BL792" s="24"/>
      <c r="BM792" s="24"/>
      <c r="BN792" s="24"/>
      <c r="BO792" s="24"/>
      <c r="BP792" s="24"/>
      <c r="BQ792" s="24"/>
      <c r="BR792" s="43"/>
      <c r="BS792" s="24"/>
      <c r="BT792" s="24"/>
      <c r="BU792" s="24"/>
      <c r="BV792" s="132" t="e">
        <f>IF(#REF!="COMPLETO","OK","PENDIENTES")</f>
        <v>#REF!</v>
      </c>
      <c r="BW792" s="132"/>
      <c r="BX792" s="132"/>
      <c r="BY792" s="132"/>
      <c r="BZ792" s="132"/>
      <c r="CA792" s="132"/>
      <c r="CB792" s="132"/>
      <c r="CC792" s="22"/>
      <c r="CG792" s="24" t="s">
        <v>105</v>
      </c>
      <c r="CH792" s="24"/>
      <c r="CI792" s="24"/>
      <c r="CJ792" s="24"/>
    </row>
    <row r="793" spans="1:88" ht="15" customHeight="1">
      <c r="A793" s="18">
        <v>2019</v>
      </c>
      <c r="B793" s="18" t="str">
        <f>+INDEX(BDD!F:F,MATCH(P793,BDD!D:D,0))&amp;"-"&amp;INDEX(BDD!E:E,MATCH(P793,BDD!D:D,0))</f>
        <v>S-S</v>
      </c>
      <c r="C793" s="125" t="s">
        <v>484</v>
      </c>
      <c r="D793" s="150" t="s">
        <v>77</v>
      </c>
      <c r="E793" s="132"/>
      <c r="F793" s="24"/>
      <c r="G793" s="346">
        <v>8000000668</v>
      </c>
      <c r="H793" s="125" t="s">
        <v>3209</v>
      </c>
      <c r="I793" s="329"/>
      <c r="J793" s="346">
        <v>8000000668</v>
      </c>
      <c r="K793" s="24"/>
      <c r="L793" s="24"/>
      <c r="M793" s="24"/>
      <c r="N793" s="340" t="s">
        <v>486</v>
      </c>
      <c r="O793" s="334">
        <v>206971</v>
      </c>
      <c r="P793" s="25" t="s">
        <v>340</v>
      </c>
      <c r="Q793" s="127" t="s">
        <v>66</v>
      </c>
      <c r="R793" s="232" t="s">
        <v>3180</v>
      </c>
      <c r="S793" s="89">
        <v>43770</v>
      </c>
      <c r="T793" s="36">
        <v>90</v>
      </c>
      <c r="U793" s="125" t="s">
        <v>2805</v>
      </c>
      <c r="V793" s="147" t="s">
        <v>3210</v>
      </c>
      <c r="W793" s="129"/>
      <c r="X793" s="88">
        <f t="shared" si="43"/>
        <v>43899</v>
      </c>
      <c r="Y793" s="130" t="s">
        <v>20</v>
      </c>
      <c r="Z793" s="133" t="s">
        <v>60</v>
      </c>
      <c r="AA793" s="133"/>
      <c r="AB793" s="241">
        <v>600</v>
      </c>
      <c r="AC793" s="134">
        <v>481</v>
      </c>
      <c r="AD793" s="134"/>
      <c r="AE793" s="403">
        <f t="shared" si="40"/>
        <v>288600</v>
      </c>
      <c r="AF793" s="132">
        <v>24</v>
      </c>
      <c r="AG793" s="130" t="s">
        <v>21</v>
      </c>
      <c r="AH793" s="130"/>
      <c r="AI793" s="130" t="s">
        <v>34</v>
      </c>
      <c r="AJ793" s="130"/>
      <c r="AK793" s="130"/>
      <c r="AL793" s="135" t="s">
        <v>3207</v>
      </c>
      <c r="AM793" s="314"/>
      <c r="AN793" s="26"/>
      <c r="AO793" s="26"/>
      <c r="AP793" s="26"/>
      <c r="AQ793" s="26">
        <v>43872</v>
      </c>
      <c r="AR793" s="24"/>
      <c r="AS793" s="24"/>
      <c r="AT793" s="24">
        <v>43874</v>
      </c>
      <c r="AU793" s="418">
        <f t="shared" si="41"/>
        <v>2</v>
      </c>
      <c r="AV793" s="418">
        <f t="shared" si="42"/>
        <v>2020</v>
      </c>
      <c r="AW793" s="24"/>
      <c r="AX793" s="28"/>
      <c r="AY793" s="28" t="s">
        <v>197</v>
      </c>
      <c r="AZ793" s="132" t="s">
        <v>9</v>
      </c>
      <c r="BA793" s="132"/>
      <c r="BB793" s="24" t="s">
        <v>2956</v>
      </c>
      <c r="BC793" s="135" t="s">
        <v>3211</v>
      </c>
      <c r="BD793" s="24">
        <v>43809</v>
      </c>
      <c r="BE793" s="135" t="s">
        <v>3212</v>
      </c>
      <c r="BF793" s="135" t="s">
        <v>2214</v>
      </c>
      <c r="BG793" s="135" t="s">
        <v>174</v>
      </c>
      <c r="BH793" s="135"/>
      <c r="BI793" s="314"/>
      <c r="BJ793" s="314"/>
      <c r="BK793" s="24"/>
      <c r="BL793" s="24"/>
      <c r="BM793" s="24"/>
      <c r="BN793" s="24"/>
      <c r="BO793" s="24"/>
      <c r="BP793" s="24"/>
      <c r="BQ793" s="24"/>
      <c r="BR793" s="43"/>
      <c r="BS793" s="24"/>
      <c r="BT793" s="24"/>
      <c r="BU793" s="24"/>
      <c r="BV793" s="132" t="e">
        <f>IF(#REF!="COMPLETO","OK","PENDIENTES")</f>
        <v>#REF!</v>
      </c>
      <c r="BW793" s="132"/>
      <c r="BX793" s="132"/>
      <c r="BY793" s="132"/>
      <c r="BZ793" s="132"/>
      <c r="CA793" s="132"/>
      <c r="CB793" s="132"/>
      <c r="CC793" s="22"/>
      <c r="CG793" s="24" t="s">
        <v>105</v>
      </c>
      <c r="CH793" s="24"/>
      <c r="CI793" s="24"/>
      <c r="CJ793" s="24"/>
    </row>
    <row r="794" spans="1:88" ht="15" customHeight="1">
      <c r="A794" s="18">
        <v>2019</v>
      </c>
      <c r="B794" s="18" t="str">
        <f>+INDEX(BDD!F:F,MATCH(P794,BDD!D:D,0))&amp;"-"&amp;INDEX(BDD!E:E,MATCH(P794,BDD!D:D,0))</f>
        <v>S-S</v>
      </c>
      <c r="C794" s="125" t="s">
        <v>484</v>
      </c>
      <c r="D794" s="150" t="s">
        <v>77</v>
      </c>
      <c r="E794" s="132"/>
      <c r="F794" s="24"/>
      <c r="G794" s="346">
        <v>8000000669</v>
      </c>
      <c r="H794" s="125" t="s">
        <v>3213</v>
      </c>
      <c r="I794" s="329"/>
      <c r="J794" s="346">
        <v>8000000669</v>
      </c>
      <c r="K794" s="24"/>
      <c r="L794" s="24"/>
      <c r="M794" s="24"/>
      <c r="N794" s="340" t="s">
        <v>486</v>
      </c>
      <c r="O794" s="334">
        <v>206971</v>
      </c>
      <c r="P794" s="25" t="s">
        <v>340</v>
      </c>
      <c r="Q794" s="127" t="s">
        <v>66</v>
      </c>
      <c r="R794" s="232" t="s">
        <v>3180</v>
      </c>
      <c r="S794" s="89">
        <v>43770</v>
      </c>
      <c r="T794" s="36">
        <v>90</v>
      </c>
      <c r="U794" s="125" t="s">
        <v>2805</v>
      </c>
      <c r="V794" s="147" t="s">
        <v>3214</v>
      </c>
      <c r="W794" s="129"/>
      <c r="X794" s="88">
        <f t="shared" si="43"/>
        <v>43899</v>
      </c>
      <c r="Y794" s="130" t="s">
        <v>20</v>
      </c>
      <c r="Z794" s="133" t="s">
        <v>60</v>
      </c>
      <c r="AA794" s="133"/>
      <c r="AB794" s="241">
        <v>600</v>
      </c>
      <c r="AC794" s="134">
        <v>481</v>
      </c>
      <c r="AD794" s="134"/>
      <c r="AE794" s="403">
        <f t="shared" si="40"/>
        <v>288600</v>
      </c>
      <c r="AF794" s="132">
        <v>24</v>
      </c>
      <c r="AG794" s="130" t="s">
        <v>21</v>
      </c>
      <c r="AH794" s="130"/>
      <c r="AI794" s="130" t="s">
        <v>34</v>
      </c>
      <c r="AJ794" s="130"/>
      <c r="AK794" s="130"/>
      <c r="AL794" s="135" t="s">
        <v>3207</v>
      </c>
      <c r="AM794" s="314"/>
      <c r="AN794" s="26"/>
      <c r="AO794" s="26"/>
      <c r="AP794" s="26"/>
      <c r="AQ794" s="26">
        <v>43872</v>
      </c>
      <c r="AR794" s="24"/>
      <c r="AS794" s="24"/>
      <c r="AT794" s="24">
        <v>43874</v>
      </c>
      <c r="AU794" s="418">
        <f t="shared" si="41"/>
        <v>2</v>
      </c>
      <c r="AV794" s="418">
        <f t="shared" si="42"/>
        <v>2020</v>
      </c>
      <c r="AW794" s="24"/>
      <c r="AX794" s="28"/>
      <c r="AY794" s="28" t="s">
        <v>197</v>
      </c>
      <c r="AZ794" s="132" t="s">
        <v>9</v>
      </c>
      <c r="BA794" s="132"/>
      <c r="BB794" s="24" t="s">
        <v>2956</v>
      </c>
      <c r="BC794" s="135" t="s">
        <v>3215</v>
      </c>
      <c r="BD794" s="24">
        <v>43809</v>
      </c>
      <c r="BE794" s="135" t="s">
        <v>3212</v>
      </c>
      <c r="BF794" s="135" t="s">
        <v>2214</v>
      </c>
      <c r="BG794" s="135" t="s">
        <v>174</v>
      </c>
      <c r="BH794" s="135"/>
      <c r="BI794" s="314"/>
      <c r="BJ794" s="314"/>
      <c r="BK794" s="24"/>
      <c r="BL794" s="24"/>
      <c r="BM794" s="24"/>
      <c r="BN794" s="24"/>
      <c r="BO794" s="24"/>
      <c r="BP794" s="24"/>
      <c r="BQ794" s="24"/>
      <c r="BR794" s="43"/>
      <c r="BS794" s="24"/>
      <c r="BT794" s="24"/>
      <c r="BU794" s="24"/>
      <c r="BV794" s="132" t="e">
        <f>IF(#REF!="COMPLETO","OK","PENDIENTES")</f>
        <v>#REF!</v>
      </c>
      <c r="BW794" s="132"/>
      <c r="BX794" s="132"/>
      <c r="BY794" s="132"/>
      <c r="BZ794" s="132"/>
      <c r="CA794" s="132"/>
      <c r="CB794" s="132"/>
      <c r="CC794" s="22"/>
      <c r="CG794" s="24" t="s">
        <v>105</v>
      </c>
      <c r="CH794" s="24"/>
      <c r="CI794" s="24"/>
      <c r="CJ794" s="24"/>
    </row>
    <row r="795" spans="1:88" ht="14.25" customHeight="1">
      <c r="A795" s="18">
        <v>2019</v>
      </c>
      <c r="B795" s="18" t="str">
        <f>+INDEX(BDD!F:F,MATCH(P795,BDD!D:D,0))&amp;"-"&amp;INDEX(BDD!E:E,MATCH(P795,BDD!D:D,0))</f>
        <v>G-S</v>
      </c>
      <c r="C795" s="125" t="s">
        <v>484</v>
      </c>
      <c r="D795" s="150" t="s">
        <v>77</v>
      </c>
      <c r="E795" s="132"/>
      <c r="F795" s="24"/>
      <c r="G795" s="346">
        <v>8000000673</v>
      </c>
      <c r="H795" s="125" t="s">
        <v>3216</v>
      </c>
      <c r="I795" s="329"/>
      <c r="J795" s="346">
        <v>8000000673</v>
      </c>
      <c r="K795" s="24"/>
      <c r="L795" s="24"/>
      <c r="M795" s="24"/>
      <c r="N795" s="340" t="s">
        <v>486</v>
      </c>
      <c r="O795" s="334">
        <v>203616</v>
      </c>
      <c r="P795" s="25" t="s">
        <v>331</v>
      </c>
      <c r="Q795" s="127" t="s">
        <v>167</v>
      </c>
      <c r="R795" s="232" t="s">
        <v>3217</v>
      </c>
      <c r="S795" s="89">
        <v>43780</v>
      </c>
      <c r="T795" s="36">
        <v>120</v>
      </c>
      <c r="U795" s="125" t="s">
        <v>2805</v>
      </c>
      <c r="V795" s="147" t="s">
        <v>3218</v>
      </c>
      <c r="W795" s="129"/>
      <c r="X795" s="88">
        <f t="shared" si="43"/>
        <v>43927</v>
      </c>
      <c r="Y795" s="130" t="s">
        <v>20</v>
      </c>
      <c r="Z795" s="133" t="s">
        <v>60</v>
      </c>
      <c r="AA795" s="133"/>
      <c r="AB795" s="241">
        <v>4800</v>
      </c>
      <c r="AC795" s="134">
        <v>151.04</v>
      </c>
      <c r="AD795" s="134"/>
      <c r="AE795" s="403">
        <f t="shared" si="40"/>
        <v>724992</v>
      </c>
      <c r="AF795" s="145" t="s">
        <v>2822</v>
      </c>
      <c r="AG795" s="130" t="s">
        <v>46</v>
      </c>
      <c r="AH795" s="130"/>
      <c r="AI795" s="130" t="s">
        <v>100</v>
      </c>
      <c r="AJ795" s="130"/>
      <c r="AK795" s="130"/>
      <c r="AL795" s="135" t="s">
        <v>3219</v>
      </c>
      <c r="AM795" s="314"/>
      <c r="AN795" s="26"/>
      <c r="AO795" s="26"/>
      <c r="AP795" s="26"/>
      <c r="AQ795" s="26">
        <v>43861</v>
      </c>
      <c r="AR795" s="24"/>
      <c r="AS795" s="24"/>
      <c r="AT795" s="24">
        <v>43863</v>
      </c>
      <c r="AU795" s="418">
        <f t="shared" si="41"/>
        <v>2</v>
      </c>
      <c r="AV795" s="418">
        <f t="shared" si="42"/>
        <v>2020</v>
      </c>
      <c r="AW795" s="24"/>
      <c r="AX795" s="28"/>
      <c r="AY795" s="28" t="s">
        <v>3221</v>
      </c>
      <c r="AZ795" s="132" t="s">
        <v>9</v>
      </c>
      <c r="BA795" s="132"/>
      <c r="BB795" s="24" t="s">
        <v>2956</v>
      </c>
      <c r="BC795" s="135" t="s">
        <v>3220</v>
      </c>
      <c r="BD795" s="24">
        <v>43807</v>
      </c>
      <c r="BE795" s="135" t="s">
        <v>3222</v>
      </c>
      <c r="BF795" s="135" t="s">
        <v>3222</v>
      </c>
      <c r="BG795" s="135" t="s">
        <v>52</v>
      </c>
      <c r="BH795" s="135"/>
      <c r="BI795" s="314"/>
      <c r="BJ795" s="314"/>
      <c r="BK795" s="24"/>
      <c r="BL795" s="24"/>
      <c r="BM795" s="24"/>
      <c r="BN795" s="24"/>
      <c r="BO795" s="24"/>
      <c r="BP795" s="24"/>
      <c r="BQ795" s="24"/>
      <c r="BR795" s="43"/>
      <c r="BS795" s="24"/>
      <c r="BT795" s="24"/>
      <c r="BU795" s="24"/>
      <c r="BV795" s="132" t="e">
        <f>IF(#REF!="COMPLETO","OK","PENDIENTES")</f>
        <v>#REF!</v>
      </c>
      <c r="BW795" s="132"/>
      <c r="BX795" s="132"/>
      <c r="BY795" s="132"/>
      <c r="BZ795" s="132"/>
      <c r="CA795" s="132"/>
      <c r="CB795" s="132"/>
      <c r="CC795" s="22"/>
      <c r="CG795" s="24" t="s">
        <v>105</v>
      </c>
      <c r="CH795" s="24"/>
      <c r="CI795" s="24"/>
      <c r="CJ795" s="24"/>
    </row>
    <row r="796" spans="1:88" ht="15" customHeight="1">
      <c r="A796" s="18">
        <v>2019</v>
      </c>
      <c r="B796" s="18" t="str">
        <f>+INDEX(BDD!F:F,MATCH(P796,BDD!D:D,0))&amp;"-"&amp;INDEX(BDD!E:E,MATCH(P796,BDD!D:D,0))</f>
        <v>G-S</v>
      </c>
      <c r="C796" s="125" t="s">
        <v>484</v>
      </c>
      <c r="D796" s="150" t="s">
        <v>77</v>
      </c>
      <c r="E796" s="132"/>
      <c r="F796" s="24"/>
      <c r="G796" s="346">
        <v>8000000674</v>
      </c>
      <c r="H796" s="125" t="s">
        <v>3223</v>
      </c>
      <c r="I796" s="329"/>
      <c r="J796" s="346">
        <v>8000000674</v>
      </c>
      <c r="K796" s="24"/>
      <c r="L796" s="24"/>
      <c r="M796" s="24"/>
      <c r="N796" s="340" t="s">
        <v>486</v>
      </c>
      <c r="O796" s="334">
        <v>203616</v>
      </c>
      <c r="P796" s="25" t="s">
        <v>331</v>
      </c>
      <c r="Q796" s="127" t="s">
        <v>167</v>
      </c>
      <c r="R796" s="232" t="s">
        <v>3217</v>
      </c>
      <c r="S796" s="89">
        <v>43780</v>
      </c>
      <c r="T796" s="36">
        <v>120</v>
      </c>
      <c r="U796" s="125" t="s">
        <v>2805</v>
      </c>
      <c r="V796" s="147" t="s">
        <v>3224</v>
      </c>
      <c r="W796" s="129"/>
      <c r="X796" s="88">
        <f t="shared" si="43"/>
        <v>43927</v>
      </c>
      <c r="Y796" s="130" t="s">
        <v>20</v>
      </c>
      <c r="Z796" s="133" t="s">
        <v>60</v>
      </c>
      <c r="AA796" s="133"/>
      <c r="AB796" s="241">
        <v>1400</v>
      </c>
      <c r="AC796" s="134">
        <v>151.04</v>
      </c>
      <c r="AD796" s="134"/>
      <c r="AE796" s="403">
        <f t="shared" si="40"/>
        <v>211456</v>
      </c>
      <c r="AF796" s="145" t="s">
        <v>2822</v>
      </c>
      <c r="AG796" s="130" t="s">
        <v>46</v>
      </c>
      <c r="AH796" s="130"/>
      <c r="AI796" s="130" t="s">
        <v>100</v>
      </c>
      <c r="AJ796" s="130"/>
      <c r="AK796" s="130"/>
      <c r="AL796" s="135" t="s">
        <v>3219</v>
      </c>
      <c r="AM796" s="314"/>
      <c r="AN796" s="26"/>
      <c r="AO796" s="26"/>
      <c r="AP796" s="26"/>
      <c r="AQ796" s="26">
        <v>43866</v>
      </c>
      <c r="AR796" s="24"/>
      <c r="AS796" s="24"/>
      <c r="AT796" s="24">
        <v>43867</v>
      </c>
      <c r="AU796" s="418">
        <f t="shared" si="41"/>
        <v>2</v>
      </c>
      <c r="AV796" s="418">
        <f t="shared" si="42"/>
        <v>2020</v>
      </c>
      <c r="AW796" s="24"/>
      <c r="AX796" s="28"/>
      <c r="AY796" s="28" t="s">
        <v>3221</v>
      </c>
      <c r="AZ796" s="132" t="s">
        <v>25</v>
      </c>
      <c r="BA796" s="132"/>
      <c r="BB796" s="24" t="s">
        <v>2956</v>
      </c>
      <c r="BC796" s="135" t="s">
        <v>3225</v>
      </c>
      <c r="BD796" s="24">
        <v>43807</v>
      </c>
      <c r="BE796" s="135" t="s">
        <v>3222</v>
      </c>
      <c r="BF796" s="135" t="s">
        <v>3222</v>
      </c>
      <c r="BG796" s="135" t="s">
        <v>52</v>
      </c>
      <c r="BH796" s="135"/>
      <c r="BI796" s="314"/>
      <c r="BJ796" s="314"/>
      <c r="BK796" s="24"/>
      <c r="BL796" s="24"/>
      <c r="BM796" s="24"/>
      <c r="BN796" s="24"/>
      <c r="BO796" s="24"/>
      <c r="BP796" s="24"/>
      <c r="BQ796" s="24"/>
      <c r="BR796" s="43"/>
      <c r="BS796" s="24"/>
      <c r="BT796" s="24"/>
      <c r="BU796" s="24"/>
      <c r="BV796" s="132" t="e">
        <f>IF(#REF!="COMPLETO","OK","PENDIENTES")</f>
        <v>#REF!</v>
      </c>
      <c r="BW796" s="132"/>
      <c r="BX796" s="132"/>
      <c r="BY796" s="132"/>
      <c r="BZ796" s="132"/>
      <c r="CA796" s="132"/>
      <c r="CB796" s="132"/>
      <c r="CC796" s="22"/>
      <c r="CG796" s="24" t="s">
        <v>105</v>
      </c>
      <c r="CH796" s="24"/>
      <c r="CI796" s="24"/>
      <c r="CJ796" s="24"/>
    </row>
    <row r="797" spans="1:88" ht="15" customHeight="1">
      <c r="A797" s="18">
        <v>2019</v>
      </c>
      <c r="B797" s="18" t="str">
        <f>+INDEX(BDD!F:F,MATCH(P797,BDD!D:D,0))&amp;"-"&amp;INDEX(BDD!E:E,MATCH(P797,BDD!D:D,0))</f>
        <v>G-S</v>
      </c>
      <c r="C797" s="125" t="s">
        <v>484</v>
      </c>
      <c r="D797" s="150" t="s">
        <v>77</v>
      </c>
      <c r="E797" s="132"/>
      <c r="F797" s="24"/>
      <c r="G797" s="346">
        <v>8000000675</v>
      </c>
      <c r="H797" s="125" t="s">
        <v>3226</v>
      </c>
      <c r="I797" s="329"/>
      <c r="J797" s="346">
        <v>8000000675</v>
      </c>
      <c r="K797" s="24"/>
      <c r="L797" s="24"/>
      <c r="M797" s="24"/>
      <c r="N797" s="340" t="s">
        <v>486</v>
      </c>
      <c r="O797" s="334">
        <v>203616</v>
      </c>
      <c r="P797" s="25" t="s">
        <v>331</v>
      </c>
      <c r="Q797" s="127" t="s">
        <v>167</v>
      </c>
      <c r="R797" s="232" t="s">
        <v>3217</v>
      </c>
      <c r="S797" s="89">
        <v>43780</v>
      </c>
      <c r="T797" s="36">
        <v>120</v>
      </c>
      <c r="U797" s="125" t="s">
        <v>2805</v>
      </c>
      <c r="V797" s="147" t="s">
        <v>3227</v>
      </c>
      <c r="W797" s="129"/>
      <c r="X797" s="88">
        <f t="shared" si="43"/>
        <v>43927</v>
      </c>
      <c r="Y797" s="130" t="s">
        <v>20</v>
      </c>
      <c r="Z797" s="133" t="s">
        <v>60</v>
      </c>
      <c r="AA797" s="133"/>
      <c r="AB797" s="241">
        <v>300</v>
      </c>
      <c r="AC797" s="134">
        <v>151.04</v>
      </c>
      <c r="AD797" s="134"/>
      <c r="AE797" s="403">
        <f t="shared" si="40"/>
        <v>45312</v>
      </c>
      <c r="AF797" s="145" t="s">
        <v>2822</v>
      </c>
      <c r="AG797" s="130" t="s">
        <v>46</v>
      </c>
      <c r="AH797" s="130"/>
      <c r="AI797" s="130" t="s">
        <v>100</v>
      </c>
      <c r="AJ797" s="130"/>
      <c r="AK797" s="130"/>
      <c r="AL797" s="135" t="s">
        <v>3219</v>
      </c>
      <c r="AM797" s="314"/>
      <c r="AN797" s="26"/>
      <c r="AO797" s="26"/>
      <c r="AP797" s="26"/>
      <c r="AQ797" s="26">
        <v>43869</v>
      </c>
      <c r="AR797" s="24"/>
      <c r="AS797" s="24"/>
      <c r="AT797" s="24">
        <v>43871</v>
      </c>
      <c r="AU797" s="418">
        <f t="shared" si="41"/>
        <v>2</v>
      </c>
      <c r="AV797" s="418">
        <f t="shared" si="42"/>
        <v>2020</v>
      </c>
      <c r="AW797" s="24"/>
      <c r="AX797" s="28"/>
      <c r="AY797" s="28" t="s">
        <v>3221</v>
      </c>
      <c r="AZ797" s="132" t="s">
        <v>37</v>
      </c>
      <c r="BA797" s="132"/>
      <c r="BB797" s="24" t="s">
        <v>2956</v>
      </c>
      <c r="BC797" s="135" t="s">
        <v>3228</v>
      </c>
      <c r="BD797" s="24">
        <v>43807</v>
      </c>
      <c r="BE797" s="135" t="s">
        <v>3222</v>
      </c>
      <c r="BF797" s="135" t="s">
        <v>3222</v>
      </c>
      <c r="BG797" s="135" t="s">
        <v>52</v>
      </c>
      <c r="BH797" s="135"/>
      <c r="BI797" s="314"/>
      <c r="BJ797" s="314"/>
      <c r="BK797" s="24"/>
      <c r="BL797" s="24"/>
      <c r="BM797" s="24"/>
      <c r="BN797" s="24"/>
      <c r="BO797" s="24"/>
      <c r="BP797" s="24"/>
      <c r="BQ797" s="24"/>
      <c r="BR797" s="43"/>
      <c r="BS797" s="24"/>
      <c r="BT797" s="24"/>
      <c r="BU797" s="24"/>
      <c r="BV797" s="132" t="e">
        <f>IF(#REF!="COMPLETO","OK","PENDIENTES")</f>
        <v>#REF!</v>
      </c>
      <c r="BW797" s="132"/>
      <c r="BX797" s="132"/>
      <c r="BY797" s="132"/>
      <c r="BZ797" s="132"/>
      <c r="CA797" s="132"/>
      <c r="CB797" s="132"/>
      <c r="CC797" s="22"/>
      <c r="CG797" s="24" t="s">
        <v>105</v>
      </c>
      <c r="CH797" s="24"/>
      <c r="CI797" s="24"/>
      <c r="CJ797" s="24"/>
    </row>
    <row r="798" spans="1:88" ht="15" customHeight="1">
      <c r="A798" s="18">
        <v>2019</v>
      </c>
      <c r="B798" s="18" t="str">
        <f>+INDEX(BDD!F:F,MATCH(P798,BDD!D:D,0))&amp;"-"&amp;INDEX(BDD!E:E,MATCH(P798,BDD!D:D,0))</f>
        <v>G-S</v>
      </c>
      <c r="C798" s="125" t="s">
        <v>484</v>
      </c>
      <c r="D798" s="150" t="s">
        <v>77</v>
      </c>
      <c r="E798" s="132"/>
      <c r="F798" s="24"/>
      <c r="G798" s="346">
        <v>8000000676</v>
      </c>
      <c r="H798" s="125" t="s">
        <v>3229</v>
      </c>
      <c r="I798" s="329"/>
      <c r="J798" s="346">
        <v>8000000676</v>
      </c>
      <c r="K798" s="24"/>
      <c r="L798" s="24"/>
      <c r="M798" s="24"/>
      <c r="N798" s="340" t="s">
        <v>486</v>
      </c>
      <c r="O798" s="334">
        <v>203616</v>
      </c>
      <c r="P798" s="25" t="s">
        <v>331</v>
      </c>
      <c r="Q798" s="127" t="s">
        <v>167</v>
      </c>
      <c r="R798" s="232" t="s">
        <v>3217</v>
      </c>
      <c r="S798" s="89">
        <v>43780</v>
      </c>
      <c r="T798" s="36">
        <v>120</v>
      </c>
      <c r="U798" s="125" t="s">
        <v>2805</v>
      </c>
      <c r="V798" s="147" t="s">
        <v>3230</v>
      </c>
      <c r="W798" s="129"/>
      <c r="X798" s="88">
        <f t="shared" si="43"/>
        <v>43927</v>
      </c>
      <c r="Y798" s="130" t="s">
        <v>20</v>
      </c>
      <c r="Z798" s="133" t="s">
        <v>60</v>
      </c>
      <c r="AA798" s="133"/>
      <c r="AB798" s="241">
        <v>300</v>
      </c>
      <c r="AC798" s="134">
        <v>151.04</v>
      </c>
      <c r="AD798" s="134"/>
      <c r="AE798" s="403">
        <f t="shared" si="40"/>
        <v>45312</v>
      </c>
      <c r="AF798" s="145" t="s">
        <v>2822</v>
      </c>
      <c r="AG798" s="130" t="s">
        <v>46</v>
      </c>
      <c r="AH798" s="130"/>
      <c r="AI798" s="130" t="s">
        <v>100</v>
      </c>
      <c r="AJ798" s="130"/>
      <c r="AK798" s="130"/>
      <c r="AL798" s="135" t="s">
        <v>3219</v>
      </c>
      <c r="AM798" s="314"/>
      <c r="AN798" s="26"/>
      <c r="AO798" s="26"/>
      <c r="AP798" s="26"/>
      <c r="AQ798" s="26">
        <v>43872</v>
      </c>
      <c r="AR798" s="24"/>
      <c r="AS798" s="24"/>
      <c r="AT798" s="24">
        <v>43877</v>
      </c>
      <c r="AU798" s="418">
        <f t="shared" si="41"/>
        <v>2</v>
      </c>
      <c r="AV798" s="418">
        <f t="shared" si="42"/>
        <v>2020</v>
      </c>
      <c r="AW798" s="24"/>
      <c r="AX798" s="28"/>
      <c r="AY798" s="28" t="s">
        <v>3221</v>
      </c>
      <c r="AZ798" s="132" t="s">
        <v>62</v>
      </c>
      <c r="BA798" s="132"/>
      <c r="BB798" s="24" t="s">
        <v>2956</v>
      </c>
      <c r="BC798" s="135" t="s">
        <v>3231</v>
      </c>
      <c r="BD798" s="24">
        <v>43807</v>
      </c>
      <c r="BE798" s="135" t="s">
        <v>3222</v>
      </c>
      <c r="BF798" s="135" t="s">
        <v>3222</v>
      </c>
      <c r="BG798" s="135" t="s">
        <v>52</v>
      </c>
      <c r="BH798" s="135"/>
      <c r="BI798" s="314"/>
      <c r="BJ798" s="314"/>
      <c r="BK798" s="24"/>
      <c r="BL798" s="24"/>
      <c r="BM798" s="24"/>
      <c r="BN798" s="24"/>
      <c r="BO798" s="24"/>
      <c r="BP798" s="24"/>
      <c r="BQ798" s="24"/>
      <c r="BR798" s="43"/>
      <c r="BS798" s="24"/>
      <c r="BT798" s="24"/>
      <c r="BU798" s="24"/>
      <c r="BV798" s="132" t="e">
        <f>IF(#REF!="COMPLETO","OK","PENDIENTES")</f>
        <v>#REF!</v>
      </c>
      <c r="BW798" s="132"/>
      <c r="BX798" s="132"/>
      <c r="BY798" s="132"/>
      <c r="BZ798" s="132"/>
      <c r="CA798" s="132"/>
      <c r="CB798" s="132"/>
      <c r="CC798" s="22"/>
      <c r="CG798" s="24" t="s">
        <v>105</v>
      </c>
      <c r="CH798" s="24"/>
      <c r="CI798" s="24"/>
      <c r="CJ798" s="24"/>
    </row>
    <row r="799" spans="1:88" ht="12.75" customHeight="1">
      <c r="A799" s="18">
        <v>2019</v>
      </c>
      <c r="B799" s="18" t="str">
        <f>+INDEX(BDD!F:F,MATCH(P799,BDD!D:D,0))&amp;"-"&amp;INDEX(BDD!E:E,MATCH(P799,BDD!D:D,0))</f>
        <v>E-S</v>
      </c>
      <c r="C799" s="125" t="s">
        <v>484</v>
      </c>
      <c r="D799" s="150" t="s">
        <v>77</v>
      </c>
      <c r="E799" s="132"/>
      <c r="F799" s="24"/>
      <c r="G799" s="346">
        <v>8000000600</v>
      </c>
      <c r="H799" s="125" t="s">
        <v>3232</v>
      </c>
      <c r="I799" s="329"/>
      <c r="J799" s="346">
        <v>8000000600</v>
      </c>
      <c r="K799" s="24"/>
      <c r="L799" s="24"/>
      <c r="M799" s="24"/>
      <c r="N799" s="340" t="s">
        <v>486</v>
      </c>
      <c r="O799" s="334">
        <v>203622</v>
      </c>
      <c r="P799" s="25" t="s">
        <v>341</v>
      </c>
      <c r="Q799" s="127" t="s">
        <v>207</v>
      </c>
      <c r="R799" s="232" t="s">
        <v>944</v>
      </c>
      <c r="S799" s="89">
        <v>43787</v>
      </c>
      <c r="T799" s="36">
        <v>90</v>
      </c>
      <c r="U799" s="125" t="s">
        <v>118</v>
      </c>
      <c r="V799" s="147" t="s">
        <v>3233</v>
      </c>
      <c r="W799" s="129"/>
      <c r="X799" s="88">
        <v>43903</v>
      </c>
      <c r="Y799" s="130" t="s">
        <v>20</v>
      </c>
      <c r="Z799" s="133" t="s">
        <v>60</v>
      </c>
      <c r="AA799" s="133"/>
      <c r="AB799" s="241">
        <v>48</v>
      </c>
      <c r="AC799" s="134">
        <v>700</v>
      </c>
      <c r="AD799" s="134"/>
      <c r="AE799" s="403">
        <f t="shared" si="40"/>
        <v>33600</v>
      </c>
      <c r="AF799" s="145">
        <v>2</v>
      </c>
      <c r="AG799" s="130" t="s">
        <v>5</v>
      </c>
      <c r="AH799" s="130"/>
      <c r="AI799" s="130" t="s">
        <v>34</v>
      </c>
      <c r="AJ799" s="130"/>
      <c r="AK799" s="130"/>
      <c r="AL799" s="135" t="s">
        <v>3234</v>
      </c>
      <c r="AM799" s="314"/>
      <c r="AN799" s="26"/>
      <c r="AO799" s="26"/>
      <c r="AP799" s="26"/>
      <c r="AQ799" s="26">
        <v>43846</v>
      </c>
      <c r="AR799" s="24"/>
      <c r="AS799" s="24"/>
      <c r="AT799" s="24">
        <v>43848</v>
      </c>
      <c r="AU799" s="418">
        <f t="shared" si="41"/>
        <v>1</v>
      </c>
      <c r="AV799" s="418">
        <f t="shared" si="42"/>
        <v>2020</v>
      </c>
      <c r="AW799" s="24"/>
      <c r="AX799" s="28"/>
      <c r="AY799" s="28" t="s">
        <v>162</v>
      </c>
      <c r="AZ799" s="132" t="s">
        <v>37</v>
      </c>
      <c r="BA799" s="132"/>
      <c r="BB799" s="24" t="s">
        <v>2956</v>
      </c>
      <c r="BC799" s="135" t="s">
        <v>3235</v>
      </c>
      <c r="BD799" s="24">
        <v>43812</v>
      </c>
      <c r="BE799" s="135" t="s">
        <v>3236</v>
      </c>
      <c r="BF799" s="135" t="s">
        <v>3237</v>
      </c>
      <c r="BG799" s="135" t="s">
        <v>14</v>
      </c>
      <c r="BH799" s="135"/>
      <c r="BI799" s="314"/>
      <c r="BJ799" s="314"/>
      <c r="BK799" s="24"/>
      <c r="BL799" s="24"/>
      <c r="BM799" s="24"/>
      <c r="BN799" s="24"/>
      <c r="BO799" s="24"/>
      <c r="BP799" s="24"/>
      <c r="BQ799" s="24"/>
      <c r="BR799" s="43"/>
      <c r="BS799" s="24"/>
      <c r="BT799" s="24"/>
      <c r="BU799" s="24"/>
      <c r="BV799" s="132" t="e">
        <f>IF(#REF!="COMPLETO","OK","PENDIENTES")</f>
        <v>#REF!</v>
      </c>
      <c r="BW799" s="132"/>
      <c r="BX799" s="132"/>
      <c r="BY799" s="132"/>
      <c r="BZ799" s="132"/>
      <c r="CA799" s="132"/>
      <c r="CB799" s="132"/>
      <c r="CC799" s="22"/>
      <c r="CG799" s="24" t="s">
        <v>105</v>
      </c>
      <c r="CH799" s="24"/>
      <c r="CI799" s="24"/>
      <c r="CJ799" s="24"/>
    </row>
    <row r="800" spans="1:88" ht="13.9" customHeight="1">
      <c r="A800" s="18">
        <v>2019</v>
      </c>
      <c r="B800" s="18" t="str">
        <f>+INDEX(BDD!F:F,MATCH(P800,BDD!D:D,0))&amp;"-"&amp;INDEX(BDD!E:E,MATCH(P800,BDD!D:D,0))</f>
        <v>E-S</v>
      </c>
      <c r="C800" s="125" t="s">
        <v>484</v>
      </c>
      <c r="D800" s="150" t="s">
        <v>77</v>
      </c>
      <c r="E800" s="132"/>
      <c r="F800" s="24"/>
      <c r="G800" s="346">
        <v>8000000601</v>
      </c>
      <c r="H800" s="125" t="s">
        <v>3238</v>
      </c>
      <c r="I800" s="329"/>
      <c r="J800" s="346">
        <v>8000000601</v>
      </c>
      <c r="K800" s="24"/>
      <c r="L800" s="24"/>
      <c r="M800" s="24"/>
      <c r="N800" s="340" t="s">
        <v>486</v>
      </c>
      <c r="O800" s="334">
        <v>203622</v>
      </c>
      <c r="P800" s="25" t="s">
        <v>341</v>
      </c>
      <c r="Q800" s="127" t="s">
        <v>207</v>
      </c>
      <c r="R800" s="232"/>
      <c r="S800" s="89">
        <v>43787</v>
      </c>
      <c r="T800" s="36">
        <v>90</v>
      </c>
      <c r="U800" s="125" t="s">
        <v>118</v>
      </c>
      <c r="V800" s="147" t="s">
        <v>3239</v>
      </c>
      <c r="W800" s="129"/>
      <c r="X800" s="88">
        <f>+BD800+T800</f>
        <v>43912</v>
      </c>
      <c r="Y800" s="130" t="s">
        <v>20</v>
      </c>
      <c r="Z800" s="133" t="s">
        <v>60</v>
      </c>
      <c r="AA800" s="133"/>
      <c r="AB800" s="241">
        <v>120</v>
      </c>
      <c r="AC800" s="134">
        <v>705</v>
      </c>
      <c r="AD800" s="134"/>
      <c r="AE800" s="403">
        <f t="shared" si="40"/>
        <v>84600</v>
      </c>
      <c r="AF800" s="145">
        <v>5</v>
      </c>
      <c r="AG800" s="130" t="s">
        <v>5</v>
      </c>
      <c r="AH800" s="130"/>
      <c r="AI800" s="130" t="s">
        <v>34</v>
      </c>
      <c r="AJ800" s="130"/>
      <c r="AK800" s="130"/>
      <c r="AL800" s="135" t="s">
        <v>3234</v>
      </c>
      <c r="AM800" s="314"/>
      <c r="AN800" s="26"/>
      <c r="AO800" s="26"/>
      <c r="AP800" s="26"/>
      <c r="AQ800" s="26">
        <v>43845</v>
      </c>
      <c r="AR800" s="24"/>
      <c r="AS800" s="24"/>
      <c r="AT800" s="24">
        <v>43848</v>
      </c>
      <c r="AU800" s="418">
        <f t="shared" si="41"/>
        <v>1</v>
      </c>
      <c r="AV800" s="418">
        <f t="shared" si="42"/>
        <v>2020</v>
      </c>
      <c r="AW800" s="24"/>
      <c r="AX800" s="28"/>
      <c r="AY800" s="28" t="s">
        <v>162</v>
      </c>
      <c r="AZ800" s="132" t="s">
        <v>9</v>
      </c>
      <c r="BA800" s="132"/>
      <c r="BB800" s="24" t="s">
        <v>2956</v>
      </c>
      <c r="BC800" s="135" t="s">
        <v>3240</v>
      </c>
      <c r="BD800" s="24">
        <v>43822</v>
      </c>
      <c r="BE800" s="135" t="s">
        <v>2329</v>
      </c>
      <c r="BF800" s="135" t="s">
        <v>1806</v>
      </c>
      <c r="BG800" s="135" t="s">
        <v>64</v>
      </c>
      <c r="BH800" s="135"/>
      <c r="BI800" s="314"/>
      <c r="BJ800" s="314"/>
      <c r="BK800" s="24"/>
      <c r="BL800" s="24"/>
      <c r="BM800" s="24"/>
      <c r="BN800" s="24"/>
      <c r="BO800" s="24"/>
      <c r="BP800" s="24"/>
      <c r="BQ800" s="24"/>
      <c r="BR800" s="43"/>
      <c r="BS800" s="24"/>
      <c r="BT800" s="24"/>
      <c r="BU800" s="24"/>
      <c r="BV800" s="132" t="e">
        <f>IF(#REF!="COMPLETO","OK","PENDIENTES")</f>
        <v>#REF!</v>
      </c>
      <c r="BW800" s="132"/>
      <c r="BX800" s="132"/>
      <c r="BY800" s="132"/>
      <c r="BZ800" s="132"/>
      <c r="CA800" s="132"/>
      <c r="CB800" s="132"/>
      <c r="CC800" s="22"/>
      <c r="CG800" s="24" t="s">
        <v>105</v>
      </c>
      <c r="CH800" s="24"/>
      <c r="CI800" s="24"/>
      <c r="CJ800" s="24"/>
    </row>
    <row r="801" spans="1:88" ht="15" customHeight="1">
      <c r="A801" s="18">
        <v>2019</v>
      </c>
      <c r="B801" s="18" t="str">
        <f>+INDEX(BDD!F:F,MATCH(P801,BDD!D:D,0))&amp;"-"&amp;INDEX(BDD!E:E,MATCH(P801,BDD!D:D,0))</f>
        <v>-</v>
      </c>
      <c r="C801" s="125" t="s">
        <v>484</v>
      </c>
      <c r="D801" s="150" t="s">
        <v>77</v>
      </c>
      <c r="E801" s="132"/>
      <c r="F801" s="24"/>
      <c r="G801" s="346">
        <v>8000000608</v>
      </c>
      <c r="H801" s="125" t="s">
        <v>3241</v>
      </c>
      <c r="I801" s="329"/>
      <c r="J801" s="346">
        <v>8000000608</v>
      </c>
      <c r="K801" s="24"/>
      <c r="L801" s="24"/>
      <c r="M801" s="24"/>
      <c r="N801" s="340" t="s">
        <v>486</v>
      </c>
      <c r="O801" s="334">
        <v>207581</v>
      </c>
      <c r="P801" s="25" t="s">
        <v>378</v>
      </c>
      <c r="Q801" s="127" t="s">
        <v>42</v>
      </c>
      <c r="R801" s="232"/>
      <c r="S801" s="89"/>
      <c r="T801" s="36" t="s">
        <v>19</v>
      </c>
      <c r="U801" s="125"/>
      <c r="V801" s="147" t="s">
        <v>3242</v>
      </c>
      <c r="W801" s="129"/>
      <c r="X801" s="88"/>
      <c r="Y801" s="130" t="s">
        <v>20</v>
      </c>
      <c r="Z801" s="133" t="s">
        <v>60</v>
      </c>
      <c r="AA801" s="133"/>
      <c r="AB801" s="241">
        <v>9.0699999999999999E-3</v>
      </c>
      <c r="AC801" s="134" t="e">
        <f>474/#REF!</f>
        <v>#REF!</v>
      </c>
      <c r="AD801" s="134"/>
      <c r="AE801" s="403" t="e">
        <f t="shared" si="40"/>
        <v>#REF!</v>
      </c>
      <c r="AF801" s="145" t="s">
        <v>944</v>
      </c>
      <c r="AG801" s="130" t="s">
        <v>944</v>
      </c>
      <c r="AH801" s="130"/>
      <c r="AI801" s="130" t="s">
        <v>944</v>
      </c>
      <c r="AJ801" s="130"/>
      <c r="AK801" s="130"/>
      <c r="AL801" s="135" t="s">
        <v>2944</v>
      </c>
      <c r="AM801" s="314"/>
      <c r="AN801" s="26"/>
      <c r="AO801" s="26"/>
      <c r="AP801" s="26"/>
      <c r="AQ801" s="26">
        <v>43741</v>
      </c>
      <c r="AR801" s="24"/>
      <c r="AS801" s="24"/>
      <c r="AT801" s="24">
        <v>43796</v>
      </c>
      <c r="AU801" s="418">
        <f t="shared" si="41"/>
        <v>11</v>
      </c>
      <c r="AV801" s="418">
        <f t="shared" si="42"/>
        <v>2019</v>
      </c>
      <c r="AW801" s="24"/>
      <c r="AX801" s="28"/>
      <c r="AY801" s="28" t="s">
        <v>3244</v>
      </c>
      <c r="AZ801" s="132" t="s">
        <v>37</v>
      </c>
      <c r="BA801" s="132"/>
      <c r="BB801" s="24"/>
      <c r="BC801" s="232" t="s">
        <v>3243</v>
      </c>
      <c r="BD801" s="24">
        <v>43741</v>
      </c>
      <c r="BE801" s="135" t="s">
        <v>944</v>
      </c>
      <c r="BF801" s="135" t="s">
        <v>944</v>
      </c>
      <c r="BG801" s="135" t="s">
        <v>3245</v>
      </c>
      <c r="BH801" s="135"/>
      <c r="BI801" s="314"/>
      <c r="BJ801" s="314"/>
      <c r="BK801" s="24"/>
      <c r="BL801" s="24"/>
      <c r="BM801" s="24"/>
      <c r="BN801" s="24"/>
      <c r="BO801" s="24"/>
      <c r="BP801" s="24"/>
      <c r="BQ801" s="24"/>
      <c r="BR801" s="43"/>
      <c r="BS801" s="24"/>
      <c r="BT801" s="24"/>
      <c r="BU801" s="24"/>
      <c r="BV801" s="132" t="e">
        <f>IF(#REF!="COMPLETO","OK","PENDIENTES")</f>
        <v>#REF!</v>
      </c>
      <c r="BW801" s="132"/>
      <c r="BX801" s="132"/>
      <c r="BY801" s="132"/>
      <c r="BZ801" s="132"/>
      <c r="CA801" s="132"/>
      <c r="CB801" s="132"/>
      <c r="CC801" s="22"/>
      <c r="CG801" s="24" t="s">
        <v>105</v>
      </c>
      <c r="CH801" s="24"/>
      <c r="CI801" s="24"/>
      <c r="CJ801" s="24"/>
    </row>
    <row r="802" spans="1:88" ht="15" customHeight="1">
      <c r="A802" s="18">
        <v>2019</v>
      </c>
      <c r="B802" s="18" t="str">
        <f>+INDEX(BDD!F:F,MATCH(P802,BDD!D:D,0))&amp;"-"&amp;INDEX(BDD!E:E,MATCH(P802,BDD!D:D,0))</f>
        <v>B-S</v>
      </c>
      <c r="C802" s="125" t="s">
        <v>484</v>
      </c>
      <c r="D802" s="150" t="s">
        <v>77</v>
      </c>
      <c r="E802" s="132"/>
      <c r="F802" s="24"/>
      <c r="G802" s="346">
        <v>8000000653</v>
      </c>
      <c r="H802" s="125" t="s">
        <v>3246</v>
      </c>
      <c r="I802" s="329"/>
      <c r="J802" s="346">
        <v>8000000653</v>
      </c>
      <c r="K802" s="24"/>
      <c r="L802" s="24"/>
      <c r="M802" s="24"/>
      <c r="N802" s="340" t="s">
        <v>486</v>
      </c>
      <c r="O802" s="334">
        <v>206612</v>
      </c>
      <c r="P802" s="25" t="s">
        <v>361</v>
      </c>
      <c r="Q802" s="127" t="s">
        <v>191</v>
      </c>
      <c r="R802" s="232" t="s">
        <v>3247</v>
      </c>
      <c r="S802" s="89">
        <v>43818</v>
      </c>
      <c r="T802" s="36">
        <v>150</v>
      </c>
      <c r="U802" s="125" t="s">
        <v>131</v>
      </c>
      <c r="V802" s="147" t="s">
        <v>3248</v>
      </c>
      <c r="W802" s="129"/>
      <c r="X802" s="88">
        <f>+BD802+T802</f>
        <v>43984</v>
      </c>
      <c r="Y802" s="130" t="s">
        <v>20</v>
      </c>
      <c r="Z802" s="133" t="s">
        <v>81</v>
      </c>
      <c r="AA802" s="133"/>
      <c r="AB802" s="241">
        <v>2.4</v>
      </c>
      <c r="AC802" s="134">
        <v>4067.081377</v>
      </c>
      <c r="AD802" s="134"/>
      <c r="AE802" s="403">
        <f t="shared" si="40"/>
        <v>9760.9953047999988</v>
      </c>
      <c r="AF802" s="132"/>
      <c r="AG802" s="130" t="s">
        <v>5</v>
      </c>
      <c r="AH802" s="130"/>
      <c r="AI802" s="130" t="s">
        <v>34</v>
      </c>
      <c r="AJ802" s="130"/>
      <c r="AK802" s="130"/>
      <c r="AL802" s="135" t="s">
        <v>3249</v>
      </c>
      <c r="AM802" s="314"/>
      <c r="AN802" s="26"/>
      <c r="AO802" s="26"/>
      <c r="AP802" s="26"/>
      <c r="AQ802" s="26">
        <v>43868</v>
      </c>
      <c r="AR802" s="24"/>
      <c r="AS802" s="24"/>
      <c r="AT802" s="24">
        <v>43873</v>
      </c>
      <c r="AU802" s="418">
        <f t="shared" si="41"/>
        <v>2</v>
      </c>
      <c r="AV802" s="418">
        <f t="shared" si="42"/>
        <v>2020</v>
      </c>
      <c r="AW802" s="24"/>
      <c r="AX802" s="28"/>
      <c r="AY802" s="28" t="s">
        <v>299</v>
      </c>
      <c r="AZ802" s="132" t="s">
        <v>37</v>
      </c>
      <c r="BA802" s="132"/>
      <c r="BB802" s="24" t="s">
        <v>2956</v>
      </c>
      <c r="BC802" s="232" t="s">
        <v>3250</v>
      </c>
      <c r="BD802" s="24">
        <v>43834</v>
      </c>
      <c r="BE802" s="135" t="s">
        <v>3111</v>
      </c>
      <c r="BF802" s="135" t="s">
        <v>865</v>
      </c>
      <c r="BG802" s="135" t="s">
        <v>2987</v>
      </c>
      <c r="BH802" s="135"/>
      <c r="BI802" s="314"/>
      <c r="BJ802" s="314"/>
      <c r="BK802" s="24"/>
      <c r="BL802" s="24"/>
      <c r="BM802" s="24"/>
      <c r="BN802" s="24"/>
      <c r="BO802" s="24"/>
      <c r="BP802" s="24"/>
      <c r="BQ802" s="24"/>
      <c r="BR802" s="43"/>
      <c r="BS802" s="24"/>
      <c r="BT802" s="24"/>
      <c r="BU802" s="24"/>
      <c r="BV802" s="132" t="e">
        <f>IF(#REF!="COMPLETO","OK","PENDIENTES")</f>
        <v>#REF!</v>
      </c>
      <c r="BW802" s="132"/>
      <c r="BX802" s="132"/>
      <c r="BY802" s="132"/>
      <c r="BZ802" s="132"/>
      <c r="CA802" s="132"/>
      <c r="CB802" s="132"/>
      <c r="CC802" s="22"/>
      <c r="CG802" s="24" t="s">
        <v>105</v>
      </c>
      <c r="CH802" s="24"/>
      <c r="CI802" s="24"/>
      <c r="CJ802" s="24"/>
    </row>
    <row r="803" spans="1:88" ht="15" customHeight="1">
      <c r="A803" s="18">
        <v>2019</v>
      </c>
      <c r="B803" s="18" t="str">
        <f>+INDEX(BDD!F:F,MATCH(P803,BDD!D:D,0))&amp;"-"&amp;INDEX(BDD!E:E,MATCH(P803,BDD!D:D,0))</f>
        <v>B-S</v>
      </c>
      <c r="C803" s="125" t="s">
        <v>484</v>
      </c>
      <c r="D803" s="150" t="s">
        <v>77</v>
      </c>
      <c r="E803" s="132"/>
      <c r="F803" s="24"/>
      <c r="G803" s="346">
        <v>8000000653</v>
      </c>
      <c r="H803" s="125" t="s">
        <v>3251</v>
      </c>
      <c r="I803" s="329"/>
      <c r="J803" s="346">
        <v>8000000653</v>
      </c>
      <c r="K803" s="24"/>
      <c r="L803" s="24"/>
      <c r="M803" s="24"/>
      <c r="N803" s="340" t="s">
        <v>486</v>
      </c>
      <c r="O803" s="334">
        <v>206608</v>
      </c>
      <c r="P803" s="25" t="s">
        <v>370</v>
      </c>
      <c r="Q803" s="127" t="s">
        <v>191</v>
      </c>
      <c r="R803" s="232" t="s">
        <v>3247</v>
      </c>
      <c r="S803" s="89">
        <v>43818</v>
      </c>
      <c r="T803" s="36">
        <v>150</v>
      </c>
      <c r="U803" s="125" t="s">
        <v>131</v>
      </c>
      <c r="V803" s="147" t="s">
        <v>3248</v>
      </c>
      <c r="W803" s="129"/>
      <c r="X803" s="88">
        <f>+BD803+T803</f>
        <v>43984</v>
      </c>
      <c r="Y803" s="130" t="s">
        <v>20</v>
      </c>
      <c r="Z803" s="133" t="s">
        <v>81</v>
      </c>
      <c r="AA803" s="133"/>
      <c r="AB803" s="241">
        <v>1.92</v>
      </c>
      <c r="AC803" s="134">
        <v>39639.581380000003</v>
      </c>
      <c r="AD803" s="134"/>
      <c r="AE803" s="403">
        <f t="shared" si="40"/>
        <v>76107.996249600008</v>
      </c>
      <c r="AF803" s="132"/>
      <c r="AG803" s="130" t="s">
        <v>5</v>
      </c>
      <c r="AH803" s="130"/>
      <c r="AI803" s="130" t="s">
        <v>126</v>
      </c>
      <c r="AJ803" s="130"/>
      <c r="AK803" s="130"/>
      <c r="AL803" s="135" t="s">
        <v>3249</v>
      </c>
      <c r="AM803" s="314"/>
      <c r="AN803" s="26"/>
      <c r="AO803" s="26"/>
      <c r="AP803" s="26"/>
      <c r="AQ803" s="26">
        <v>43868</v>
      </c>
      <c r="AR803" s="24"/>
      <c r="AS803" s="24"/>
      <c r="AT803" s="24">
        <v>43873</v>
      </c>
      <c r="AU803" s="418">
        <f t="shared" si="41"/>
        <v>2</v>
      </c>
      <c r="AV803" s="418">
        <f t="shared" si="42"/>
        <v>2020</v>
      </c>
      <c r="AW803" s="24"/>
      <c r="AX803" s="28"/>
      <c r="AY803" s="28" t="s">
        <v>299</v>
      </c>
      <c r="AZ803" s="132" t="s">
        <v>37</v>
      </c>
      <c r="BA803" s="132"/>
      <c r="BB803" s="24" t="s">
        <v>2956</v>
      </c>
      <c r="BC803" s="232" t="s">
        <v>3250</v>
      </c>
      <c r="BD803" s="24">
        <v>43834</v>
      </c>
      <c r="BE803" s="135" t="s">
        <v>3111</v>
      </c>
      <c r="BF803" s="135" t="s">
        <v>865</v>
      </c>
      <c r="BG803" s="135" t="s">
        <v>2987</v>
      </c>
      <c r="BH803" s="135"/>
      <c r="BI803" s="314"/>
      <c r="BJ803" s="314"/>
      <c r="BK803" s="24"/>
      <c r="BL803" s="24"/>
      <c r="BM803" s="24"/>
      <c r="BN803" s="24"/>
      <c r="BO803" s="24"/>
      <c r="BP803" s="24"/>
      <c r="BQ803" s="24"/>
      <c r="BR803" s="43"/>
      <c r="BS803" s="24"/>
      <c r="BT803" s="24"/>
      <c r="BU803" s="24"/>
      <c r="BV803" s="132" t="e">
        <f>IF(#REF!="COMPLETO","OK","PENDIENTES")</f>
        <v>#REF!</v>
      </c>
      <c r="BW803" s="132"/>
      <c r="BX803" s="132"/>
      <c r="BY803" s="132"/>
      <c r="BZ803" s="132"/>
      <c r="CA803" s="132"/>
      <c r="CB803" s="132"/>
      <c r="CC803" s="22"/>
      <c r="CG803" s="24" t="s">
        <v>105</v>
      </c>
      <c r="CH803" s="24"/>
      <c r="CI803" s="24"/>
      <c r="CJ803" s="24"/>
    </row>
    <row r="804" spans="1:88" ht="15" customHeight="1">
      <c r="A804" s="18">
        <v>2019</v>
      </c>
      <c r="B804" s="18" t="str">
        <f>+INDEX(BDD!F:F,MATCH(P804,BDD!D:D,0))&amp;"-"&amp;INDEX(BDD!E:E,MATCH(P804,BDD!D:D,0))</f>
        <v>B-S</v>
      </c>
      <c r="C804" s="125" t="s">
        <v>484</v>
      </c>
      <c r="D804" s="150" t="s">
        <v>77</v>
      </c>
      <c r="E804" s="132"/>
      <c r="F804" s="24"/>
      <c r="G804" s="346">
        <v>8000000653</v>
      </c>
      <c r="H804" s="125" t="s">
        <v>3252</v>
      </c>
      <c r="I804" s="329"/>
      <c r="J804" s="346">
        <v>8000000653</v>
      </c>
      <c r="K804" s="24"/>
      <c r="L804" s="24"/>
      <c r="M804" s="24"/>
      <c r="N804" s="340" t="s">
        <v>486</v>
      </c>
      <c r="O804" s="334">
        <v>203621</v>
      </c>
      <c r="P804" s="25" t="s">
        <v>369</v>
      </c>
      <c r="Q804" s="127" t="s">
        <v>191</v>
      </c>
      <c r="R804" s="232" t="s">
        <v>3247</v>
      </c>
      <c r="S804" s="89">
        <v>43818</v>
      </c>
      <c r="T804" s="36">
        <v>150</v>
      </c>
      <c r="U804" s="125" t="s">
        <v>131</v>
      </c>
      <c r="V804" s="147" t="s">
        <v>3248</v>
      </c>
      <c r="W804" s="129"/>
      <c r="X804" s="88">
        <f>+BD804+T804</f>
        <v>43984</v>
      </c>
      <c r="Y804" s="130" t="s">
        <v>20</v>
      </c>
      <c r="Z804" s="133" t="s">
        <v>81</v>
      </c>
      <c r="AA804" s="133"/>
      <c r="AB804" s="241">
        <v>0.79200000000000004</v>
      </c>
      <c r="AC804" s="134">
        <v>41084.581380000003</v>
      </c>
      <c r="AD804" s="134"/>
      <c r="AE804" s="403">
        <f t="shared" si="40"/>
        <v>32538.988452960006</v>
      </c>
      <c r="AF804" s="132"/>
      <c r="AG804" s="130" t="s">
        <v>5</v>
      </c>
      <c r="AH804" s="130"/>
      <c r="AI804" s="130" t="s">
        <v>119</v>
      </c>
      <c r="AJ804" s="130"/>
      <c r="AK804" s="130"/>
      <c r="AL804" s="135" t="s">
        <v>3249</v>
      </c>
      <c r="AM804" s="314"/>
      <c r="AN804" s="26"/>
      <c r="AO804" s="26"/>
      <c r="AP804" s="26"/>
      <c r="AQ804" s="26">
        <v>43868</v>
      </c>
      <c r="AR804" s="24"/>
      <c r="AS804" s="24"/>
      <c r="AT804" s="24">
        <v>43873</v>
      </c>
      <c r="AU804" s="418">
        <f t="shared" si="41"/>
        <v>2</v>
      </c>
      <c r="AV804" s="418">
        <f t="shared" si="42"/>
        <v>2020</v>
      </c>
      <c r="AW804" s="24"/>
      <c r="AX804" s="28"/>
      <c r="AY804" s="28" t="s">
        <v>299</v>
      </c>
      <c r="AZ804" s="132" t="s">
        <v>37</v>
      </c>
      <c r="BA804" s="132"/>
      <c r="BB804" s="24" t="s">
        <v>2956</v>
      </c>
      <c r="BC804" s="232" t="s">
        <v>3250</v>
      </c>
      <c r="BD804" s="24">
        <v>43834</v>
      </c>
      <c r="BE804" s="135" t="s">
        <v>3111</v>
      </c>
      <c r="BF804" s="135" t="s">
        <v>865</v>
      </c>
      <c r="BG804" s="135" t="s">
        <v>2987</v>
      </c>
      <c r="BH804" s="135"/>
      <c r="BI804" s="314"/>
      <c r="BJ804" s="314"/>
      <c r="BK804" s="24"/>
      <c r="BL804" s="24"/>
      <c r="BM804" s="24"/>
      <c r="BN804" s="24"/>
      <c r="BO804" s="24"/>
      <c r="BP804" s="24"/>
      <c r="BQ804" s="24"/>
      <c r="BR804" s="43"/>
      <c r="BS804" s="24"/>
      <c r="BT804" s="24"/>
      <c r="BU804" s="24"/>
      <c r="BV804" s="132" t="e">
        <f>IF(#REF!="COMPLETO","OK","PENDIENTES")</f>
        <v>#REF!</v>
      </c>
      <c r="BW804" s="132"/>
      <c r="BX804" s="132"/>
      <c r="BY804" s="132"/>
      <c r="BZ804" s="132"/>
      <c r="CA804" s="132"/>
      <c r="CB804" s="132"/>
      <c r="CC804" s="22"/>
      <c r="CG804" s="24" t="s">
        <v>105</v>
      </c>
      <c r="CH804" s="24"/>
      <c r="CI804" s="24"/>
      <c r="CJ804" s="24"/>
    </row>
    <row r="805" spans="1:88" ht="15" customHeight="1">
      <c r="A805" s="18">
        <v>2019</v>
      </c>
      <c r="B805" s="18" t="str">
        <f>+INDEX(BDD!F:F,MATCH(P805,BDD!D:D,0))&amp;"-"&amp;INDEX(BDD!E:E,MATCH(P805,BDD!D:D,0))</f>
        <v>E-S</v>
      </c>
      <c r="C805" s="125" t="s">
        <v>484</v>
      </c>
      <c r="D805" s="150" t="s">
        <v>77</v>
      </c>
      <c r="E805" s="132"/>
      <c r="F805" s="24"/>
      <c r="G805" s="346">
        <v>8000000657</v>
      </c>
      <c r="H805" s="125" t="s">
        <v>3253</v>
      </c>
      <c r="I805" s="329"/>
      <c r="J805" s="346">
        <v>8000000657</v>
      </c>
      <c r="K805" s="24"/>
      <c r="L805" s="24"/>
      <c r="M805" s="24"/>
      <c r="N805" s="340" t="s">
        <v>486</v>
      </c>
      <c r="O805" s="334">
        <v>204825</v>
      </c>
      <c r="P805" s="25" t="s">
        <v>31</v>
      </c>
      <c r="Q805" s="127" t="s">
        <v>146</v>
      </c>
      <c r="R805" s="232"/>
      <c r="S805" s="89">
        <v>43814</v>
      </c>
      <c r="T805" s="36">
        <v>90</v>
      </c>
      <c r="U805" s="125" t="s">
        <v>118</v>
      </c>
      <c r="V805" s="147" t="s">
        <v>3254</v>
      </c>
      <c r="W805" s="129"/>
      <c r="X805" s="88">
        <v>43948</v>
      </c>
      <c r="Y805" s="130" t="s">
        <v>20</v>
      </c>
      <c r="Z805" s="133" t="s">
        <v>81</v>
      </c>
      <c r="AA805" s="133"/>
      <c r="AB805" s="257">
        <v>18.14</v>
      </c>
      <c r="AC805" s="134">
        <v>1130.0999999999999</v>
      </c>
      <c r="AD805" s="134"/>
      <c r="AE805" s="403">
        <f t="shared" si="40"/>
        <v>20500.013999999999</v>
      </c>
      <c r="AF805" s="132">
        <v>1</v>
      </c>
      <c r="AG805" s="130" t="s">
        <v>21</v>
      </c>
      <c r="AH805" s="130"/>
      <c r="AI805" s="130" t="s">
        <v>71</v>
      </c>
      <c r="AJ805" s="130"/>
      <c r="AK805" s="130"/>
      <c r="AL805" s="135" t="s">
        <v>3249</v>
      </c>
      <c r="AM805" s="314"/>
      <c r="AN805" s="26"/>
      <c r="AO805" s="26"/>
      <c r="AP805" s="26"/>
      <c r="AQ805" s="26">
        <v>43874</v>
      </c>
      <c r="AR805" s="24"/>
      <c r="AS805" s="24"/>
      <c r="AT805" s="24">
        <v>43881</v>
      </c>
      <c r="AU805" s="418">
        <f t="shared" si="41"/>
        <v>2</v>
      </c>
      <c r="AV805" s="418">
        <f t="shared" si="42"/>
        <v>2020</v>
      </c>
      <c r="AW805" s="24"/>
      <c r="AX805" s="28"/>
      <c r="AY805" s="28" t="s">
        <v>3256</v>
      </c>
      <c r="AZ805" s="132" t="s">
        <v>37</v>
      </c>
      <c r="BA805" s="132"/>
      <c r="BB805" s="24" t="s">
        <v>2956</v>
      </c>
      <c r="BC805" s="135" t="s">
        <v>3255</v>
      </c>
      <c r="BD805" s="24">
        <v>43857</v>
      </c>
      <c r="BE805" s="135" t="s">
        <v>3257</v>
      </c>
      <c r="BF805" s="135" t="s">
        <v>870</v>
      </c>
      <c r="BG805" s="135" t="s">
        <v>29</v>
      </c>
      <c r="BH805" s="135"/>
      <c r="BI805" s="314"/>
      <c r="BJ805" s="314"/>
      <c r="BK805" s="24"/>
      <c r="BL805" s="24"/>
      <c r="BM805" s="24"/>
      <c r="BN805" s="24"/>
      <c r="BO805" s="24"/>
      <c r="BP805" s="24"/>
      <c r="BQ805" s="24"/>
      <c r="BR805" s="43"/>
      <c r="BS805" s="24"/>
      <c r="BT805" s="24"/>
      <c r="BU805" s="24"/>
      <c r="BV805" s="132" t="e">
        <f>IF(#REF!="COMPLETO","OK","PENDIENTES")</f>
        <v>#REF!</v>
      </c>
      <c r="BW805" s="132"/>
      <c r="BX805" s="132"/>
      <c r="BY805" s="132"/>
      <c r="BZ805" s="132"/>
      <c r="CA805" s="132"/>
      <c r="CB805" s="132"/>
      <c r="CC805" s="22"/>
      <c r="CG805" s="24" t="s">
        <v>105</v>
      </c>
      <c r="CH805" s="24"/>
      <c r="CI805" s="24"/>
      <c r="CJ805" s="24"/>
    </row>
    <row r="806" spans="1:88" ht="15" customHeight="1">
      <c r="A806" s="18">
        <v>2020</v>
      </c>
      <c r="B806" s="18" t="str">
        <f>+INDEX(BDD!F:F,MATCH(P806,BDD!D:D,0))&amp;"-"&amp;INDEX(BDD!E:E,MATCH(P806,BDD!D:D,0))</f>
        <v>S-S</v>
      </c>
      <c r="C806" s="125" t="s">
        <v>484</v>
      </c>
      <c r="D806" s="150" t="s">
        <v>77</v>
      </c>
      <c r="E806" s="132"/>
      <c r="F806" s="24"/>
      <c r="G806" s="346">
        <v>8000000789</v>
      </c>
      <c r="H806" s="125" t="s">
        <v>3258</v>
      </c>
      <c r="I806" s="329"/>
      <c r="J806" s="346">
        <v>8000000789</v>
      </c>
      <c r="K806" s="24"/>
      <c r="L806" s="24"/>
      <c r="M806" s="24"/>
      <c r="N806" s="340" t="s">
        <v>486</v>
      </c>
      <c r="O806" s="334">
        <v>206966</v>
      </c>
      <c r="P806" s="25" t="s">
        <v>152</v>
      </c>
      <c r="Q806" s="127" t="s">
        <v>136</v>
      </c>
      <c r="R806" s="232" t="s">
        <v>3259</v>
      </c>
      <c r="S806" s="89">
        <v>43845</v>
      </c>
      <c r="T806" s="36">
        <v>90</v>
      </c>
      <c r="U806" s="125" t="s">
        <v>118</v>
      </c>
      <c r="V806" s="147" t="s">
        <v>3260</v>
      </c>
      <c r="W806" s="129"/>
      <c r="X806" s="88">
        <f>+BD806+T806</f>
        <v>44017</v>
      </c>
      <c r="Y806" s="130" t="s">
        <v>20</v>
      </c>
      <c r="Z806" s="133" t="s">
        <v>60</v>
      </c>
      <c r="AA806" s="133"/>
      <c r="AB806" s="241">
        <v>426</v>
      </c>
      <c r="AC806" s="134">
        <v>614</v>
      </c>
      <c r="AD806" s="134"/>
      <c r="AE806" s="403">
        <f t="shared" si="40"/>
        <v>261564</v>
      </c>
      <c r="AF806" s="132">
        <v>15</v>
      </c>
      <c r="AG806" s="130" t="s">
        <v>21</v>
      </c>
      <c r="AH806" s="130"/>
      <c r="AI806" s="130" t="s">
        <v>34</v>
      </c>
      <c r="AJ806" s="130"/>
      <c r="AK806" s="130"/>
      <c r="AL806" s="135" t="s">
        <v>3261</v>
      </c>
      <c r="AM806" s="314"/>
      <c r="AN806" s="26"/>
      <c r="AO806" s="26"/>
      <c r="AP806" s="26"/>
      <c r="AQ806" s="26">
        <v>43970</v>
      </c>
      <c r="AR806" s="24"/>
      <c r="AS806" s="24"/>
      <c r="AT806" s="24">
        <v>43978</v>
      </c>
      <c r="AU806" s="418">
        <f t="shared" si="41"/>
        <v>5</v>
      </c>
      <c r="AV806" s="418">
        <f t="shared" si="42"/>
        <v>2020</v>
      </c>
      <c r="AW806" s="24"/>
      <c r="AX806" s="28"/>
      <c r="AY806" s="28" t="s">
        <v>311</v>
      </c>
      <c r="AZ806" s="132" t="s">
        <v>9</v>
      </c>
      <c r="BA806" s="132"/>
      <c r="BB806" s="24" t="s">
        <v>3264</v>
      </c>
      <c r="BC806" s="135" t="s">
        <v>3262</v>
      </c>
      <c r="BD806" s="24">
        <v>43927</v>
      </c>
      <c r="BE806" s="135" t="s">
        <v>3263</v>
      </c>
      <c r="BF806" s="135" t="s">
        <v>2214</v>
      </c>
      <c r="BG806" s="135" t="s">
        <v>174</v>
      </c>
      <c r="BH806" s="135"/>
      <c r="BI806" s="314" t="s">
        <v>124</v>
      </c>
      <c r="BJ806" s="314"/>
      <c r="BK806" s="24"/>
      <c r="BL806" s="24"/>
      <c r="BM806" s="24"/>
      <c r="BN806" s="24"/>
      <c r="BO806" s="24"/>
      <c r="BP806" s="24"/>
      <c r="BQ806" s="24"/>
      <c r="BR806" s="43"/>
      <c r="BS806" s="24"/>
      <c r="BT806" s="24"/>
      <c r="BU806" s="24"/>
      <c r="BV806" s="132" t="e">
        <f>IF(#REF!="COMPLETO","OK","PENDIENTES")</f>
        <v>#REF!</v>
      </c>
      <c r="BW806" s="325"/>
      <c r="BX806" s="325"/>
      <c r="BY806" s="325"/>
      <c r="BZ806" s="325"/>
      <c r="CA806" s="325"/>
      <c r="CB806" s="325"/>
      <c r="CC806" s="258"/>
      <c r="CD806" s="259"/>
      <c r="CE806" s="259"/>
      <c r="CG806" s="24" t="s">
        <v>105</v>
      </c>
      <c r="CH806" s="24"/>
      <c r="CI806" s="24"/>
      <c r="CJ806" s="24"/>
    </row>
    <row r="807" spans="1:88" ht="15" customHeight="1">
      <c r="A807" s="18">
        <v>2020</v>
      </c>
      <c r="B807" s="18" t="str">
        <f>+INDEX(BDD!F:F,MATCH(P807,BDD!D:D,0))&amp;"-"&amp;INDEX(BDD!E:E,MATCH(P807,BDD!D:D,0))</f>
        <v>S-S</v>
      </c>
      <c r="C807" s="125" t="s">
        <v>484</v>
      </c>
      <c r="D807" s="152" t="s">
        <v>20</v>
      </c>
      <c r="E807" s="132"/>
      <c r="F807" s="24"/>
      <c r="G807" s="346"/>
      <c r="H807" s="125" t="s">
        <v>3265</v>
      </c>
      <c r="I807" s="329"/>
      <c r="J807" s="346"/>
      <c r="K807" s="24"/>
      <c r="L807" s="24"/>
      <c r="M807" s="24"/>
      <c r="N807" s="340"/>
      <c r="O807" s="334"/>
      <c r="P807" s="25" t="s">
        <v>152</v>
      </c>
      <c r="Q807" s="127" t="s">
        <v>3266</v>
      </c>
      <c r="R807" s="232"/>
      <c r="S807" s="89"/>
      <c r="T807" s="36"/>
      <c r="U807" s="125"/>
      <c r="V807" s="147"/>
      <c r="W807" s="129"/>
      <c r="X807" s="88"/>
      <c r="Y807" s="130"/>
      <c r="Z807" s="133"/>
      <c r="AA807" s="133"/>
      <c r="AB807" s="260"/>
      <c r="AC807" s="134"/>
      <c r="AD807" s="134"/>
      <c r="AE807" s="403">
        <f t="shared" si="40"/>
        <v>0</v>
      </c>
      <c r="AF807" s="132"/>
      <c r="AG807" s="130"/>
      <c r="AH807" s="130"/>
      <c r="AI807" s="130"/>
      <c r="AJ807" s="130"/>
      <c r="AK807" s="130"/>
      <c r="AL807" s="135"/>
      <c r="AM807" s="314"/>
      <c r="AN807" s="26"/>
      <c r="AO807" s="26"/>
      <c r="AP807" s="26"/>
      <c r="AQ807" s="26"/>
      <c r="AR807" s="24"/>
      <c r="AS807" s="24"/>
      <c r="AT807" s="24"/>
      <c r="AU807" s="418">
        <f t="shared" si="41"/>
        <v>1</v>
      </c>
      <c r="AV807" s="418">
        <f t="shared" si="42"/>
        <v>1900</v>
      </c>
      <c r="AW807" s="24"/>
      <c r="AX807" s="28"/>
      <c r="AY807" s="28"/>
      <c r="AZ807" s="132"/>
      <c r="BA807" s="132"/>
      <c r="BB807" s="24"/>
      <c r="BC807" s="135"/>
      <c r="BD807" s="24"/>
      <c r="BE807" s="135"/>
      <c r="BF807" s="135"/>
      <c r="BG807" s="135"/>
      <c r="BH807" s="135"/>
      <c r="BI807" s="314"/>
      <c r="BJ807" s="314"/>
      <c r="BK807" s="24"/>
      <c r="BL807" s="24"/>
      <c r="BM807" s="24"/>
      <c r="BN807" s="24"/>
      <c r="BO807" s="24"/>
      <c r="BP807" s="24"/>
      <c r="BQ807" s="24"/>
      <c r="BR807" s="43"/>
      <c r="BS807" s="24"/>
      <c r="BT807" s="24"/>
      <c r="BU807" s="24"/>
      <c r="BV807" s="132"/>
      <c r="BW807" s="325"/>
      <c r="BX807" s="325"/>
      <c r="BY807" s="325"/>
      <c r="BZ807" s="325"/>
      <c r="CA807" s="325"/>
      <c r="CB807" s="325"/>
      <c r="CC807" s="258"/>
      <c r="CD807" s="22"/>
      <c r="CE807" s="22"/>
      <c r="CF807" s="22"/>
      <c r="CG807" s="24"/>
      <c r="CH807" s="24"/>
      <c r="CI807" s="24"/>
      <c r="CJ807" s="24"/>
    </row>
    <row r="808" spans="1:88" ht="15" customHeight="1">
      <c r="A808" s="18">
        <v>2020</v>
      </c>
      <c r="B808" s="18" t="str">
        <f>+INDEX(BDD!F:F,MATCH(P808,BDD!D:D,0))&amp;"-"&amp;INDEX(BDD!E:E,MATCH(P808,BDD!D:D,0))</f>
        <v>S-S</v>
      </c>
      <c r="C808" s="125" t="s">
        <v>484</v>
      </c>
      <c r="D808" s="150" t="s">
        <v>77</v>
      </c>
      <c r="E808" s="132"/>
      <c r="F808" s="24"/>
      <c r="G808" s="346">
        <v>8000000760</v>
      </c>
      <c r="H808" s="125" t="s">
        <v>3267</v>
      </c>
      <c r="I808" s="329"/>
      <c r="J808" s="346">
        <v>8000000760</v>
      </c>
      <c r="K808" s="24"/>
      <c r="L808" s="24"/>
      <c r="M808" s="24"/>
      <c r="N808" s="340" t="s">
        <v>486</v>
      </c>
      <c r="O808" s="334">
        <v>206914</v>
      </c>
      <c r="P808" s="25" t="s">
        <v>335</v>
      </c>
      <c r="Q808" s="127" t="s">
        <v>264</v>
      </c>
      <c r="R808" s="232" t="s">
        <v>3268</v>
      </c>
      <c r="S808" s="89">
        <v>43851</v>
      </c>
      <c r="T808" s="36">
        <v>90</v>
      </c>
      <c r="U808" s="125" t="s">
        <v>118</v>
      </c>
      <c r="V808" s="232" t="s">
        <v>3268</v>
      </c>
      <c r="W808" s="151"/>
      <c r="X808" s="88">
        <f t="shared" ref="X808:X815" si="44">+BD808+T808</f>
        <v>43993</v>
      </c>
      <c r="Y808" s="130" t="s">
        <v>20</v>
      </c>
      <c r="Z808" s="133" t="s">
        <v>60</v>
      </c>
      <c r="AA808" s="133"/>
      <c r="AB808" s="241">
        <v>400.8</v>
      </c>
      <c r="AC808" s="134">
        <v>114</v>
      </c>
      <c r="AD808" s="134"/>
      <c r="AE808" s="403">
        <f t="shared" si="40"/>
        <v>45691.200000000004</v>
      </c>
      <c r="AF808" s="132" t="s">
        <v>866</v>
      </c>
      <c r="AG808" s="130" t="s">
        <v>58</v>
      </c>
      <c r="AH808" s="130"/>
      <c r="AI808" s="130" t="s">
        <v>34</v>
      </c>
      <c r="AJ808" s="130"/>
      <c r="AK808" s="130"/>
      <c r="AL808" s="135" t="s">
        <v>3261</v>
      </c>
      <c r="AM808" s="314"/>
      <c r="AN808" s="26"/>
      <c r="AO808" s="26"/>
      <c r="AP808" s="26"/>
      <c r="AQ808" s="26">
        <v>43957</v>
      </c>
      <c r="AR808" s="41"/>
      <c r="AS808" s="41"/>
      <c r="AT808" s="24">
        <v>43972</v>
      </c>
      <c r="AU808" s="418">
        <f t="shared" si="41"/>
        <v>5</v>
      </c>
      <c r="AV808" s="418">
        <f t="shared" si="42"/>
        <v>2020</v>
      </c>
      <c r="AW808" s="24"/>
      <c r="AX808" s="28"/>
      <c r="AY808" s="28" t="s">
        <v>95</v>
      </c>
      <c r="AZ808" s="132" t="s">
        <v>37</v>
      </c>
      <c r="BA808" s="132"/>
      <c r="BB808" s="24" t="s">
        <v>2956</v>
      </c>
      <c r="BC808" s="135" t="s">
        <v>3269</v>
      </c>
      <c r="BD808" s="24">
        <v>43903</v>
      </c>
      <c r="BE808" s="135" t="s">
        <v>3270</v>
      </c>
      <c r="BF808" s="135" t="s">
        <v>3270</v>
      </c>
      <c r="BG808" s="135" t="s">
        <v>52</v>
      </c>
      <c r="BH808" s="135"/>
      <c r="BI808" s="314" t="s">
        <v>117</v>
      </c>
      <c r="BJ808" s="314"/>
      <c r="BK808" s="24"/>
      <c r="BL808" s="24"/>
      <c r="BM808" s="24"/>
      <c r="BN808" s="24"/>
      <c r="BO808" s="41"/>
      <c r="BP808" s="41"/>
      <c r="BQ808" s="41"/>
      <c r="BR808" s="43"/>
      <c r="BS808" s="41"/>
      <c r="BT808" s="41"/>
      <c r="BU808" s="41"/>
      <c r="BV808" s="132" t="e">
        <f>IF(#REF!="COMPLETO","OK","PENDIENTES")</f>
        <v>#REF!</v>
      </c>
      <c r="BW808" s="325"/>
      <c r="BX808" s="325"/>
      <c r="BY808" s="325"/>
      <c r="BZ808" s="325"/>
      <c r="CA808" s="325"/>
      <c r="CB808" s="325"/>
      <c r="CC808" s="258"/>
      <c r="CG808" s="24" t="s">
        <v>105</v>
      </c>
      <c r="CH808" s="24"/>
      <c r="CI808" s="24"/>
      <c r="CJ808" s="24"/>
    </row>
    <row r="809" spans="1:88" ht="15" customHeight="1">
      <c r="A809" s="18">
        <v>2020</v>
      </c>
      <c r="B809" s="18" t="str">
        <f>+INDEX(BDD!F:F,MATCH(P809,BDD!D:D,0))&amp;"-"&amp;INDEX(BDD!E:E,MATCH(P809,BDD!D:D,0))</f>
        <v>S-S</v>
      </c>
      <c r="C809" s="125" t="s">
        <v>484</v>
      </c>
      <c r="D809" s="150" t="s">
        <v>77</v>
      </c>
      <c r="E809" s="132"/>
      <c r="F809" s="24"/>
      <c r="G809" s="346">
        <v>8000000761</v>
      </c>
      <c r="H809" s="125" t="s">
        <v>3271</v>
      </c>
      <c r="I809" s="329"/>
      <c r="J809" s="346">
        <v>8000000761</v>
      </c>
      <c r="K809" s="24"/>
      <c r="L809" s="24"/>
      <c r="M809" s="24"/>
      <c r="N809" s="340" t="s">
        <v>486</v>
      </c>
      <c r="O809" s="334">
        <v>206914</v>
      </c>
      <c r="P809" s="25" t="s">
        <v>335</v>
      </c>
      <c r="Q809" s="127" t="s">
        <v>264</v>
      </c>
      <c r="R809" s="232" t="s">
        <v>3272</v>
      </c>
      <c r="S809" s="89">
        <v>43851</v>
      </c>
      <c r="T809" s="36">
        <v>90</v>
      </c>
      <c r="U809" s="125" t="s">
        <v>118</v>
      </c>
      <c r="V809" s="232" t="s">
        <v>3273</v>
      </c>
      <c r="W809" s="151"/>
      <c r="X809" s="88">
        <f t="shared" si="44"/>
        <v>43994</v>
      </c>
      <c r="Y809" s="130" t="s">
        <v>20</v>
      </c>
      <c r="Z809" s="133" t="s">
        <v>60</v>
      </c>
      <c r="AA809" s="133"/>
      <c r="AB809" s="241">
        <v>400.4</v>
      </c>
      <c r="AC809" s="134">
        <v>129</v>
      </c>
      <c r="AD809" s="134"/>
      <c r="AE809" s="403">
        <f t="shared" si="40"/>
        <v>51651.6</v>
      </c>
      <c r="AF809" s="132">
        <v>14</v>
      </c>
      <c r="AG809" s="130" t="s">
        <v>21</v>
      </c>
      <c r="AH809" s="130"/>
      <c r="AI809" s="130" t="s">
        <v>34</v>
      </c>
      <c r="AJ809" s="130"/>
      <c r="AK809" s="130"/>
      <c r="AL809" s="135" t="s">
        <v>3261</v>
      </c>
      <c r="AM809" s="314"/>
      <c r="AN809" s="26"/>
      <c r="AO809" s="26"/>
      <c r="AP809" s="26"/>
      <c r="AQ809" s="26">
        <v>43945</v>
      </c>
      <c r="AR809" s="41"/>
      <c r="AS809" s="41"/>
      <c r="AT809" s="24">
        <v>43948</v>
      </c>
      <c r="AU809" s="418">
        <f t="shared" si="41"/>
        <v>4</v>
      </c>
      <c r="AV809" s="418">
        <f t="shared" si="42"/>
        <v>2020</v>
      </c>
      <c r="AW809" s="24"/>
      <c r="AX809" s="28"/>
      <c r="AY809" s="28" t="s">
        <v>139</v>
      </c>
      <c r="AZ809" s="132" t="s">
        <v>9</v>
      </c>
      <c r="BA809" s="132"/>
      <c r="BB809" s="24" t="s">
        <v>2956</v>
      </c>
      <c r="BC809" s="135" t="s">
        <v>3274</v>
      </c>
      <c r="BD809" s="24">
        <v>43904</v>
      </c>
      <c r="BE809" s="135" t="s">
        <v>3275</v>
      </c>
      <c r="BF809" s="135" t="s">
        <v>3276</v>
      </c>
      <c r="BG809" s="135" t="s">
        <v>41</v>
      </c>
      <c r="BH809" s="135"/>
      <c r="BI809" s="314" t="s">
        <v>124</v>
      </c>
      <c r="BJ809" s="314"/>
      <c r="BK809" s="24"/>
      <c r="BL809" s="24"/>
      <c r="BM809" s="24"/>
      <c r="BN809" s="24"/>
      <c r="BO809" s="41"/>
      <c r="BP809" s="41"/>
      <c r="BQ809" s="41"/>
      <c r="BR809" s="43"/>
      <c r="BS809" s="41"/>
      <c r="BT809" s="41"/>
      <c r="BU809" s="41"/>
      <c r="BV809" s="132" t="e">
        <f>IF(#REF!="COMPLETO","OK","PENDIENTES")</f>
        <v>#REF!</v>
      </c>
      <c r="BW809" s="325"/>
      <c r="BX809" s="325"/>
      <c r="BY809" s="325"/>
      <c r="BZ809" s="325"/>
      <c r="CA809" s="325"/>
      <c r="CB809" s="325"/>
      <c r="CC809" s="258"/>
      <c r="CG809" s="24" t="s">
        <v>105</v>
      </c>
      <c r="CH809" s="24"/>
      <c r="CI809" s="24"/>
      <c r="CJ809" s="24"/>
    </row>
    <row r="810" spans="1:88" ht="15" customHeight="1">
      <c r="A810" s="18">
        <v>2020</v>
      </c>
      <c r="B810" s="18" t="str">
        <f>+INDEX(BDD!F:F,MATCH(P810,BDD!D:D,0))&amp;"-"&amp;INDEX(BDD!E:E,MATCH(P810,BDD!D:D,0))</f>
        <v>S-S</v>
      </c>
      <c r="C810" s="125" t="s">
        <v>484</v>
      </c>
      <c r="D810" s="150" t="s">
        <v>77</v>
      </c>
      <c r="E810" s="132"/>
      <c r="F810" s="24"/>
      <c r="G810" s="346">
        <v>8000000762</v>
      </c>
      <c r="H810" s="125" t="s">
        <v>3277</v>
      </c>
      <c r="I810" s="329"/>
      <c r="J810" s="346">
        <v>8000000762</v>
      </c>
      <c r="K810" s="24"/>
      <c r="L810" s="24"/>
      <c r="M810" s="24"/>
      <c r="N810" s="340" t="s">
        <v>486</v>
      </c>
      <c r="O810" s="334">
        <v>206914</v>
      </c>
      <c r="P810" s="25" t="s">
        <v>335</v>
      </c>
      <c r="Q810" s="127" t="s">
        <v>264</v>
      </c>
      <c r="R810" s="232" t="s">
        <v>3272</v>
      </c>
      <c r="S810" s="89">
        <v>43851</v>
      </c>
      <c r="T810" s="36">
        <v>90</v>
      </c>
      <c r="U810" s="125" t="s">
        <v>118</v>
      </c>
      <c r="V810" s="232" t="s">
        <v>3278</v>
      </c>
      <c r="W810" s="151"/>
      <c r="X810" s="88">
        <f t="shared" si="44"/>
        <v>44002</v>
      </c>
      <c r="Y810" s="130" t="s">
        <v>20</v>
      </c>
      <c r="Z810" s="133" t="s">
        <v>60</v>
      </c>
      <c r="AA810" s="133"/>
      <c r="AB810" s="241">
        <v>400.4</v>
      </c>
      <c r="AC810" s="134">
        <v>129</v>
      </c>
      <c r="AD810" s="134"/>
      <c r="AE810" s="403">
        <f t="shared" si="40"/>
        <v>51651.6</v>
      </c>
      <c r="AF810" s="132">
        <v>14</v>
      </c>
      <c r="AG810" s="130" t="s">
        <v>21</v>
      </c>
      <c r="AH810" s="130"/>
      <c r="AI810" s="130" t="s">
        <v>34</v>
      </c>
      <c r="AJ810" s="130"/>
      <c r="AK810" s="130"/>
      <c r="AL810" s="135" t="s">
        <v>3261</v>
      </c>
      <c r="AM810" s="314"/>
      <c r="AN810" s="26"/>
      <c r="AO810" s="26"/>
      <c r="AP810" s="26"/>
      <c r="AQ810" s="26">
        <v>43945</v>
      </c>
      <c r="AR810" s="41"/>
      <c r="AS810" s="41"/>
      <c r="AT810" s="24">
        <v>43948</v>
      </c>
      <c r="AU810" s="418">
        <f t="shared" si="41"/>
        <v>4</v>
      </c>
      <c r="AV810" s="418">
        <f t="shared" si="42"/>
        <v>2020</v>
      </c>
      <c r="AW810" s="24"/>
      <c r="AX810" s="28"/>
      <c r="AY810" s="28" t="s">
        <v>257</v>
      </c>
      <c r="AZ810" s="132" t="s">
        <v>9</v>
      </c>
      <c r="BA810" s="132"/>
      <c r="BB810" s="24" t="s">
        <v>3264</v>
      </c>
      <c r="BC810" s="135" t="s">
        <v>3279</v>
      </c>
      <c r="BD810" s="24">
        <v>43912</v>
      </c>
      <c r="BE810" s="135" t="s">
        <v>593</v>
      </c>
      <c r="BF810" s="135" t="s">
        <v>3276</v>
      </c>
      <c r="BG810" s="135" t="s">
        <v>41</v>
      </c>
      <c r="BH810" s="135"/>
      <c r="BI810" s="314" t="s">
        <v>124</v>
      </c>
      <c r="BJ810" s="314"/>
      <c r="BK810" s="24"/>
      <c r="BL810" s="24"/>
      <c r="BM810" s="24"/>
      <c r="BN810" s="24"/>
      <c r="BO810" s="41"/>
      <c r="BP810" s="41"/>
      <c r="BQ810" s="41"/>
      <c r="BR810" s="43"/>
      <c r="BS810" s="41"/>
      <c r="BT810" s="41"/>
      <c r="BU810" s="41"/>
      <c r="BV810" s="132" t="e">
        <f>IF(#REF!="COMPLETO","OK","PENDIENTES")</f>
        <v>#REF!</v>
      </c>
      <c r="BW810" s="325"/>
      <c r="BX810" s="325"/>
      <c r="BY810" s="325"/>
      <c r="BZ810" s="325"/>
      <c r="CA810" s="325"/>
      <c r="CB810" s="325"/>
      <c r="CC810" s="258"/>
      <c r="CG810" s="24" t="s">
        <v>105</v>
      </c>
      <c r="CH810" s="24"/>
      <c r="CI810" s="24"/>
      <c r="CJ810" s="24"/>
    </row>
    <row r="811" spans="1:88" ht="16.149999999999999" customHeight="1">
      <c r="A811" s="18">
        <v>2020</v>
      </c>
      <c r="B811" s="18" t="str">
        <f>+INDEX(BDD!F:F,MATCH(P811,BDD!D:D,0))&amp;"-"&amp;INDEX(BDD!E:E,MATCH(P811,BDD!D:D,0))</f>
        <v>E-S</v>
      </c>
      <c r="C811" s="125" t="s">
        <v>484</v>
      </c>
      <c r="D811" s="150" t="s">
        <v>77</v>
      </c>
      <c r="E811" s="132"/>
      <c r="F811" s="24"/>
      <c r="G811" s="346">
        <v>8000000776</v>
      </c>
      <c r="H811" s="125" t="s">
        <v>3280</v>
      </c>
      <c r="I811" s="329"/>
      <c r="J811" s="346">
        <v>8000000776</v>
      </c>
      <c r="K811" s="24"/>
      <c r="L811" s="24"/>
      <c r="M811" s="24"/>
      <c r="N811" s="340" t="s">
        <v>486</v>
      </c>
      <c r="O811" s="334">
        <v>209981</v>
      </c>
      <c r="P811" s="25" t="s">
        <v>312</v>
      </c>
      <c r="Q811" s="127" t="s">
        <v>309</v>
      </c>
      <c r="R811" s="232" t="s">
        <v>944</v>
      </c>
      <c r="S811" s="89">
        <v>43850</v>
      </c>
      <c r="T811" s="36">
        <v>90</v>
      </c>
      <c r="U811" s="125" t="s">
        <v>118</v>
      </c>
      <c r="V811" s="147" t="s">
        <v>3281</v>
      </c>
      <c r="W811" s="129"/>
      <c r="X811" s="88">
        <f t="shared" si="44"/>
        <v>44000</v>
      </c>
      <c r="Y811" s="130" t="s">
        <v>20</v>
      </c>
      <c r="Z811" s="133" t="s">
        <v>81</v>
      </c>
      <c r="AA811" s="133"/>
      <c r="AB811" s="241">
        <v>8.4</v>
      </c>
      <c r="AC811" s="134">
        <v>4530</v>
      </c>
      <c r="AD811" s="134"/>
      <c r="AE811" s="403">
        <f t="shared" si="40"/>
        <v>38052</v>
      </c>
      <c r="AF811" s="132">
        <v>1</v>
      </c>
      <c r="AG811" s="130" t="s">
        <v>5</v>
      </c>
      <c r="AH811" s="130"/>
      <c r="AI811" s="130" t="s">
        <v>6</v>
      </c>
      <c r="AJ811" s="130"/>
      <c r="AK811" s="130"/>
      <c r="AL811" s="135" t="s">
        <v>3261</v>
      </c>
      <c r="AM811" s="314"/>
      <c r="AN811" s="26"/>
      <c r="AO811" s="26"/>
      <c r="AP811" s="26"/>
      <c r="AQ811" s="26">
        <v>43952</v>
      </c>
      <c r="AR811" s="24"/>
      <c r="AS811" s="24"/>
      <c r="AT811" s="24">
        <v>43958</v>
      </c>
      <c r="AU811" s="418">
        <f t="shared" si="41"/>
        <v>5</v>
      </c>
      <c r="AV811" s="418">
        <f t="shared" si="42"/>
        <v>2020</v>
      </c>
      <c r="AW811" s="24"/>
      <c r="AX811" s="28"/>
      <c r="AY811" s="28" t="s">
        <v>153</v>
      </c>
      <c r="AZ811" s="132" t="s">
        <v>37</v>
      </c>
      <c r="BA811" s="132"/>
      <c r="BB811" s="24" t="s">
        <v>2956</v>
      </c>
      <c r="BC811" s="135" t="s">
        <v>3282</v>
      </c>
      <c r="BD811" s="24">
        <v>43910</v>
      </c>
      <c r="BE811" s="135" t="s">
        <v>3283</v>
      </c>
      <c r="BF811" s="135" t="s">
        <v>3284</v>
      </c>
      <c r="BG811" s="135" t="s">
        <v>3285</v>
      </c>
      <c r="BH811" s="135"/>
      <c r="BI811" s="314" t="s">
        <v>117</v>
      </c>
      <c r="BJ811" s="314"/>
      <c r="BK811" s="24"/>
      <c r="BL811" s="24"/>
      <c r="BM811" s="24"/>
      <c r="BN811" s="24"/>
      <c r="BO811" s="24"/>
      <c r="BP811" s="24"/>
      <c r="BQ811" s="24"/>
      <c r="BR811" s="43"/>
      <c r="BS811" s="24"/>
      <c r="BT811" s="24"/>
      <c r="BU811" s="24"/>
      <c r="BV811" s="132" t="e">
        <f>IF(#REF!="COMPLETO","OK","PENDIENTES")</f>
        <v>#REF!</v>
      </c>
      <c r="BW811" s="325"/>
      <c r="BX811" s="325"/>
      <c r="BY811" s="325"/>
      <c r="BZ811" s="325"/>
      <c r="CA811" s="325"/>
      <c r="CB811" s="325"/>
      <c r="CC811" s="258"/>
      <c r="CG811" s="24" t="s">
        <v>105</v>
      </c>
      <c r="CH811" s="24"/>
      <c r="CI811" s="24"/>
      <c r="CJ811" s="24"/>
    </row>
    <row r="812" spans="1:88" ht="15" customHeight="1">
      <c r="A812" s="18">
        <v>2020</v>
      </c>
      <c r="B812" s="18" t="str">
        <f>+INDEX(BDD!F:F,MATCH(P812,BDD!D:D,0))&amp;"-"&amp;INDEX(BDD!E:E,MATCH(P812,BDD!D:D,0))</f>
        <v>S-P</v>
      </c>
      <c r="C812" s="125" t="s">
        <v>484</v>
      </c>
      <c r="D812" s="150" t="s">
        <v>77</v>
      </c>
      <c r="E812" s="132"/>
      <c r="F812" s="24"/>
      <c r="G812" s="346">
        <v>8000000679</v>
      </c>
      <c r="H812" s="125" t="s">
        <v>3286</v>
      </c>
      <c r="I812" s="329"/>
      <c r="J812" s="346">
        <v>8000000679</v>
      </c>
      <c r="K812" s="24"/>
      <c r="L812" s="24"/>
      <c r="M812" s="24"/>
      <c r="N812" s="340" t="s">
        <v>486</v>
      </c>
      <c r="O812" s="334">
        <v>206766</v>
      </c>
      <c r="P812" s="25" t="s">
        <v>2</v>
      </c>
      <c r="Q812" s="127" t="s">
        <v>237</v>
      </c>
      <c r="R812" s="232" t="s">
        <v>3287</v>
      </c>
      <c r="S812" s="89">
        <v>43851</v>
      </c>
      <c r="T812" s="36">
        <v>90</v>
      </c>
      <c r="U812" s="125" t="s">
        <v>118</v>
      </c>
      <c r="V812" s="147" t="s">
        <v>3288</v>
      </c>
      <c r="W812" s="129"/>
      <c r="X812" s="88">
        <f t="shared" si="44"/>
        <v>43971</v>
      </c>
      <c r="Y812" s="130" t="s">
        <v>20</v>
      </c>
      <c r="Z812" s="133" t="s">
        <v>60</v>
      </c>
      <c r="AA812" s="133"/>
      <c r="AB812" s="241">
        <v>576</v>
      </c>
      <c r="AC812" s="134">
        <v>890</v>
      </c>
      <c r="AD812" s="134"/>
      <c r="AE812" s="403">
        <f t="shared" si="40"/>
        <v>512640</v>
      </c>
      <c r="AF812" s="132">
        <f>+AB812/24</f>
        <v>24</v>
      </c>
      <c r="AG812" s="130" t="s">
        <v>5</v>
      </c>
      <c r="AH812" s="130"/>
      <c r="AI812" s="130" t="s">
        <v>86</v>
      </c>
      <c r="AJ812" s="130"/>
      <c r="AK812" s="130"/>
      <c r="AL812" s="135" t="s">
        <v>3261</v>
      </c>
      <c r="AM812" s="314"/>
      <c r="AN812" s="26"/>
      <c r="AO812" s="26"/>
      <c r="AP812" s="26"/>
      <c r="AQ812" s="26">
        <v>43910</v>
      </c>
      <c r="AR812" s="24"/>
      <c r="AS812" s="24"/>
      <c r="AT812" s="26">
        <v>43915</v>
      </c>
      <c r="AU812" s="418">
        <f t="shared" si="41"/>
        <v>3</v>
      </c>
      <c r="AV812" s="418">
        <f t="shared" si="42"/>
        <v>2020</v>
      </c>
      <c r="AW812" s="26"/>
      <c r="AX812" s="28"/>
      <c r="AY812" s="28" t="s">
        <v>302</v>
      </c>
      <c r="AZ812" s="132" t="s">
        <v>37</v>
      </c>
      <c r="BA812" s="132"/>
      <c r="BB812" s="24" t="s">
        <v>3291</v>
      </c>
      <c r="BC812" s="135" t="s">
        <v>3289</v>
      </c>
      <c r="BD812" s="24">
        <v>43881</v>
      </c>
      <c r="BE812" s="135" t="s">
        <v>3290</v>
      </c>
      <c r="BF812" s="135" t="s">
        <v>2329</v>
      </c>
      <c r="BG812" s="135" t="s">
        <v>29</v>
      </c>
      <c r="BH812" s="135"/>
      <c r="BI812" s="314" t="s">
        <v>124</v>
      </c>
      <c r="BJ812" s="314" t="s">
        <v>143</v>
      </c>
      <c r="BK812" s="24"/>
      <c r="BL812" s="24"/>
      <c r="BM812" s="24"/>
      <c r="BN812" s="24"/>
      <c r="BO812" s="24"/>
      <c r="BP812" s="24"/>
      <c r="BQ812" s="24"/>
      <c r="BR812" s="43"/>
      <c r="BS812" s="24"/>
      <c r="BT812" s="24"/>
      <c r="BU812" s="24"/>
      <c r="BV812" s="132" t="e">
        <f>IF(#REF!="COMPLETO","OK","PENDIENTES")</f>
        <v>#REF!</v>
      </c>
      <c r="BW812" s="325"/>
      <c r="BX812" s="325"/>
      <c r="BY812" s="325"/>
      <c r="BZ812" s="325"/>
      <c r="CA812" s="325"/>
      <c r="CB812" s="325"/>
      <c r="CC812" s="258"/>
      <c r="CG812" s="24" t="s">
        <v>105</v>
      </c>
      <c r="CH812" s="24"/>
      <c r="CI812" s="26"/>
      <c r="CJ812" s="26"/>
    </row>
    <row r="813" spans="1:88" ht="15" customHeight="1">
      <c r="A813" s="18">
        <v>2020</v>
      </c>
      <c r="B813" s="18" t="str">
        <f>+INDEX(BDD!F:F,MATCH(P813,BDD!D:D,0))&amp;"-"&amp;INDEX(BDD!E:E,MATCH(P813,BDD!D:D,0))</f>
        <v>S-P</v>
      </c>
      <c r="C813" s="125" t="s">
        <v>484</v>
      </c>
      <c r="D813" s="150" t="s">
        <v>77</v>
      </c>
      <c r="E813" s="132"/>
      <c r="F813" s="24"/>
      <c r="G813" s="346">
        <v>8000000725</v>
      </c>
      <c r="H813" s="125" t="s">
        <v>3292</v>
      </c>
      <c r="I813" s="329"/>
      <c r="J813" s="346">
        <v>8000000725</v>
      </c>
      <c r="K813" s="24"/>
      <c r="L813" s="24"/>
      <c r="M813" s="24"/>
      <c r="N813" s="340" t="s">
        <v>486</v>
      </c>
      <c r="O813" s="334">
        <v>206766</v>
      </c>
      <c r="P813" s="25" t="s">
        <v>2</v>
      </c>
      <c r="Q813" s="127" t="s">
        <v>237</v>
      </c>
      <c r="R813" s="232" t="s">
        <v>3287</v>
      </c>
      <c r="S813" s="89">
        <v>43851</v>
      </c>
      <c r="T813" s="36">
        <v>90</v>
      </c>
      <c r="U813" s="125" t="s">
        <v>118</v>
      </c>
      <c r="V813" s="147" t="s">
        <v>3288</v>
      </c>
      <c r="W813" s="129"/>
      <c r="X813" s="88">
        <f t="shared" si="44"/>
        <v>43971</v>
      </c>
      <c r="Y813" s="130" t="s">
        <v>20</v>
      </c>
      <c r="Z813" s="133" t="s">
        <v>60</v>
      </c>
      <c r="AA813" s="133"/>
      <c r="AB813" s="241">
        <v>24</v>
      </c>
      <c r="AC813" s="134">
        <v>890</v>
      </c>
      <c r="AD813" s="134"/>
      <c r="AE813" s="403">
        <f t="shared" si="40"/>
        <v>21360</v>
      </c>
      <c r="AF813" s="132">
        <f>+AB813/24</f>
        <v>1</v>
      </c>
      <c r="AG813" s="130" t="s">
        <v>5</v>
      </c>
      <c r="AH813" s="130"/>
      <c r="AI813" s="130" t="s">
        <v>86</v>
      </c>
      <c r="AJ813" s="130"/>
      <c r="AK813" s="130"/>
      <c r="AL813" s="135" t="s">
        <v>3261</v>
      </c>
      <c r="AM813" s="314"/>
      <c r="AN813" s="26"/>
      <c r="AO813" s="26"/>
      <c r="AP813" s="26"/>
      <c r="AQ813" s="26">
        <v>43916</v>
      </c>
      <c r="AR813" s="24"/>
      <c r="AS813" s="24"/>
      <c r="AT813" s="24">
        <v>43920</v>
      </c>
      <c r="AU813" s="418">
        <f t="shared" si="41"/>
        <v>3</v>
      </c>
      <c r="AV813" s="418">
        <f t="shared" si="42"/>
        <v>2020</v>
      </c>
      <c r="AW813" s="24"/>
      <c r="AX813" s="28"/>
      <c r="AY813" s="28" t="s">
        <v>302</v>
      </c>
      <c r="AZ813" s="132" t="s">
        <v>37</v>
      </c>
      <c r="BA813" s="132"/>
      <c r="BB813" s="24" t="s">
        <v>3264</v>
      </c>
      <c r="BC813" s="135" t="s">
        <v>3293</v>
      </c>
      <c r="BD813" s="24">
        <v>43881</v>
      </c>
      <c r="BE813" s="135" t="s">
        <v>3290</v>
      </c>
      <c r="BF813" s="135" t="s">
        <v>579</v>
      </c>
      <c r="BG813" s="135" t="s">
        <v>29</v>
      </c>
      <c r="BH813" s="135"/>
      <c r="BI813" s="314" t="s">
        <v>124</v>
      </c>
      <c r="BJ813" s="314" t="s">
        <v>143</v>
      </c>
      <c r="BK813" s="24"/>
      <c r="BL813" s="24"/>
      <c r="BM813" s="24"/>
      <c r="BN813" s="24"/>
      <c r="BO813" s="24"/>
      <c r="BP813" s="24"/>
      <c r="BQ813" s="24"/>
      <c r="BR813" s="43"/>
      <c r="BS813" s="24"/>
      <c r="BT813" s="24"/>
      <c r="BU813" s="24"/>
      <c r="BV813" s="132" t="e">
        <f>IF(#REF!="COMPLETO","OK","PENDIENTES")</f>
        <v>#REF!</v>
      </c>
      <c r="BW813" s="325"/>
      <c r="BX813" s="325"/>
      <c r="BY813" s="325"/>
      <c r="BZ813" s="325"/>
      <c r="CA813" s="325"/>
      <c r="CB813" s="325"/>
      <c r="CC813" s="258"/>
      <c r="CG813" s="24" t="s">
        <v>105</v>
      </c>
      <c r="CH813" s="24"/>
      <c r="CI813" s="24"/>
      <c r="CJ813" s="24"/>
    </row>
    <row r="814" spans="1:88" ht="15" customHeight="1">
      <c r="A814" s="18">
        <v>2020</v>
      </c>
      <c r="B814" s="18" t="str">
        <f>+INDEX(BDD!F:F,MATCH(P814,BDD!D:D,0))&amp;"-"&amp;INDEX(BDD!E:E,MATCH(P814,BDD!D:D,0))</f>
        <v>S-P</v>
      </c>
      <c r="C814" s="125" t="s">
        <v>484</v>
      </c>
      <c r="D814" s="150" t="s">
        <v>77</v>
      </c>
      <c r="E814" s="132"/>
      <c r="F814" s="24"/>
      <c r="G814" s="346">
        <v>8000000680</v>
      </c>
      <c r="H814" s="125" t="s">
        <v>3294</v>
      </c>
      <c r="I814" s="329"/>
      <c r="J814" s="346">
        <v>8000000680</v>
      </c>
      <c r="K814" s="24"/>
      <c r="L814" s="24"/>
      <c r="M814" s="24"/>
      <c r="N814" s="340" t="s">
        <v>486</v>
      </c>
      <c r="O814" s="334">
        <v>206766</v>
      </c>
      <c r="P814" s="25" t="s">
        <v>2</v>
      </c>
      <c r="Q814" s="127" t="s">
        <v>237</v>
      </c>
      <c r="R814" s="232" t="s">
        <v>3295</v>
      </c>
      <c r="S814" s="89">
        <v>43851</v>
      </c>
      <c r="T814" s="36">
        <v>90</v>
      </c>
      <c r="U814" s="125" t="s">
        <v>118</v>
      </c>
      <c r="V814" s="147" t="s">
        <v>3296</v>
      </c>
      <c r="W814" s="129"/>
      <c r="X814" s="88">
        <f t="shared" si="44"/>
        <v>43985</v>
      </c>
      <c r="Y814" s="130" t="s">
        <v>20</v>
      </c>
      <c r="Z814" s="133" t="s">
        <v>60</v>
      </c>
      <c r="AA814" s="133"/>
      <c r="AB814" s="241">
        <v>600</v>
      </c>
      <c r="AC814" s="134">
        <v>900</v>
      </c>
      <c r="AD814" s="134"/>
      <c r="AE814" s="403">
        <f t="shared" si="40"/>
        <v>540000</v>
      </c>
      <c r="AF814" s="132">
        <f>+AB814/24</f>
        <v>25</v>
      </c>
      <c r="AG814" s="130" t="s">
        <v>5</v>
      </c>
      <c r="AH814" s="130"/>
      <c r="AI814" s="130" t="s">
        <v>86</v>
      </c>
      <c r="AJ814" s="130"/>
      <c r="AK814" s="130"/>
      <c r="AL814" s="135" t="s">
        <v>3261</v>
      </c>
      <c r="AM814" s="314"/>
      <c r="AN814" s="26"/>
      <c r="AO814" s="26"/>
      <c r="AP814" s="26"/>
      <c r="AQ814" s="26">
        <v>43917</v>
      </c>
      <c r="AR814" s="24"/>
      <c r="AS814" s="24"/>
      <c r="AT814" s="24">
        <v>43922</v>
      </c>
      <c r="AU814" s="418">
        <f t="shared" si="41"/>
        <v>4</v>
      </c>
      <c r="AV814" s="418">
        <f t="shared" si="42"/>
        <v>2020</v>
      </c>
      <c r="AW814" s="24"/>
      <c r="AX814" s="28"/>
      <c r="AY814" s="28" t="s">
        <v>302</v>
      </c>
      <c r="AZ814" s="132" t="s">
        <v>9</v>
      </c>
      <c r="BA814" s="132"/>
      <c r="BB814" s="24" t="s">
        <v>3291</v>
      </c>
      <c r="BC814" s="135" t="s">
        <v>3297</v>
      </c>
      <c r="BD814" s="24">
        <v>43895</v>
      </c>
      <c r="BE814" s="135" t="s">
        <v>3298</v>
      </c>
      <c r="BF814" s="135" t="s">
        <v>3276</v>
      </c>
      <c r="BG814" s="135" t="s">
        <v>41</v>
      </c>
      <c r="BH814" s="135"/>
      <c r="BI814" s="314" t="s">
        <v>124</v>
      </c>
      <c r="BJ814" s="314"/>
      <c r="BK814" s="24"/>
      <c r="BL814" s="24"/>
      <c r="BM814" s="24"/>
      <c r="BN814" s="24"/>
      <c r="BO814" s="24"/>
      <c r="BP814" s="24"/>
      <c r="BQ814" s="24"/>
      <c r="BR814" s="43"/>
      <c r="BS814" s="24"/>
      <c r="BT814" s="24"/>
      <c r="BU814" s="24"/>
      <c r="BV814" s="132" t="e">
        <f>IF(#REF!="COMPLETO","OK","PENDIENTES")</f>
        <v>#REF!</v>
      </c>
      <c r="BW814" s="325"/>
      <c r="BX814" s="325"/>
      <c r="BY814" s="325"/>
      <c r="BZ814" s="325"/>
      <c r="CA814" s="325"/>
      <c r="CB814" s="325"/>
      <c r="CC814" s="258"/>
      <c r="CG814" s="24" t="s">
        <v>105</v>
      </c>
      <c r="CH814" s="24"/>
      <c r="CI814" s="24"/>
      <c r="CJ814" s="24"/>
    </row>
    <row r="815" spans="1:88" ht="15" customHeight="1">
      <c r="A815" s="18">
        <v>2020</v>
      </c>
      <c r="B815" s="18" t="str">
        <f>+INDEX(BDD!F:F,MATCH(P815,BDD!D:D,0))&amp;"-"&amp;INDEX(BDD!E:E,MATCH(P815,BDD!D:D,0))</f>
        <v>S-P</v>
      </c>
      <c r="C815" s="125" t="s">
        <v>484</v>
      </c>
      <c r="D815" s="150" t="s">
        <v>77</v>
      </c>
      <c r="E815" s="132"/>
      <c r="F815" s="24"/>
      <c r="G815" s="346">
        <v>8000000681</v>
      </c>
      <c r="H815" s="125" t="s">
        <v>3299</v>
      </c>
      <c r="I815" s="329"/>
      <c r="J815" s="346">
        <v>8000000681</v>
      </c>
      <c r="K815" s="24"/>
      <c r="L815" s="24"/>
      <c r="M815" s="24"/>
      <c r="N815" s="340" t="s">
        <v>486</v>
      </c>
      <c r="O815" s="334">
        <v>206766</v>
      </c>
      <c r="P815" s="25" t="s">
        <v>2</v>
      </c>
      <c r="Q815" s="127" t="s">
        <v>237</v>
      </c>
      <c r="R815" s="232" t="s">
        <v>3300</v>
      </c>
      <c r="S815" s="89">
        <v>43851</v>
      </c>
      <c r="T815" s="36">
        <v>90</v>
      </c>
      <c r="U815" s="125" t="s">
        <v>118</v>
      </c>
      <c r="V815" s="147" t="s">
        <v>3301</v>
      </c>
      <c r="W815" s="129"/>
      <c r="X815" s="88">
        <f t="shared" si="44"/>
        <v>43958</v>
      </c>
      <c r="Y815" s="130" t="s">
        <v>20</v>
      </c>
      <c r="Z815" s="133" t="s">
        <v>60</v>
      </c>
      <c r="AA815" s="133"/>
      <c r="AB815" s="241">
        <v>144</v>
      </c>
      <c r="AC815" s="134">
        <v>914</v>
      </c>
      <c r="AD815" s="134"/>
      <c r="AE815" s="403">
        <f t="shared" si="40"/>
        <v>131616</v>
      </c>
      <c r="AF815" s="132">
        <v>6</v>
      </c>
      <c r="AG815" s="130" t="s">
        <v>5</v>
      </c>
      <c r="AH815" s="130"/>
      <c r="AI815" s="130" t="s">
        <v>86</v>
      </c>
      <c r="AJ815" s="130"/>
      <c r="AK815" s="130"/>
      <c r="AL815" s="135" t="s">
        <v>3261</v>
      </c>
      <c r="AM815" s="314"/>
      <c r="AN815" s="26"/>
      <c r="AO815" s="26"/>
      <c r="AP815" s="26"/>
      <c r="AQ815" s="26">
        <v>43908</v>
      </c>
      <c r="AR815" s="24"/>
      <c r="AS815" s="24"/>
      <c r="AT815" s="26">
        <v>43910</v>
      </c>
      <c r="AU815" s="418">
        <f t="shared" si="41"/>
        <v>3</v>
      </c>
      <c r="AV815" s="418">
        <f t="shared" si="42"/>
        <v>2020</v>
      </c>
      <c r="AW815" s="26"/>
      <c r="AX815" s="28"/>
      <c r="AY815" s="28" t="s">
        <v>302</v>
      </c>
      <c r="AZ815" s="132" t="s">
        <v>62</v>
      </c>
      <c r="BA815" s="132"/>
      <c r="BB815" s="24" t="s">
        <v>3264</v>
      </c>
      <c r="BC815" s="135" t="s">
        <v>3302</v>
      </c>
      <c r="BD815" s="24">
        <v>43868</v>
      </c>
      <c r="BE815" s="135" t="s">
        <v>1030</v>
      </c>
      <c r="BF815" s="135" t="s">
        <v>1938</v>
      </c>
      <c r="BG815" s="135" t="s">
        <v>29</v>
      </c>
      <c r="BH815" s="135"/>
      <c r="BI815" s="314" t="s">
        <v>124</v>
      </c>
      <c r="BJ815" s="314"/>
      <c r="BK815" s="24"/>
      <c r="BL815" s="24"/>
      <c r="BM815" s="24"/>
      <c r="BN815" s="24"/>
      <c r="BO815" s="24"/>
      <c r="BP815" s="24"/>
      <c r="BQ815" s="24"/>
      <c r="BR815" s="43"/>
      <c r="BS815" s="24"/>
      <c r="BT815" s="24"/>
      <c r="BU815" s="24"/>
      <c r="BV815" s="132" t="e">
        <f>IF(#REF!="COMPLETO","OK","PENDIENTES")</f>
        <v>#REF!</v>
      </c>
      <c r="BW815" s="325"/>
      <c r="BX815" s="325"/>
      <c r="BY815" s="325"/>
      <c r="BZ815" s="325"/>
      <c r="CA815" s="325"/>
      <c r="CB815" s="325"/>
      <c r="CC815" s="258"/>
      <c r="CG815" s="24" t="s">
        <v>105</v>
      </c>
      <c r="CH815" s="24"/>
      <c r="CI815" s="26"/>
      <c r="CJ815" s="26"/>
    </row>
    <row r="816" spans="1:88" ht="15" customHeight="1">
      <c r="A816" s="18">
        <v>2020</v>
      </c>
      <c r="B816" s="18" t="str">
        <f>+INDEX(BDD!F:F,MATCH(P816,BDD!D:D,0))&amp;"-"&amp;INDEX(BDD!E:E,MATCH(P816,BDD!D:D,0))</f>
        <v>S-S</v>
      </c>
      <c r="C816" s="125" t="s">
        <v>484</v>
      </c>
      <c r="D816" s="152" t="s">
        <v>20</v>
      </c>
      <c r="E816" s="132"/>
      <c r="F816" s="24"/>
      <c r="G816" s="346"/>
      <c r="H816" s="125" t="s">
        <v>3303</v>
      </c>
      <c r="I816" s="329"/>
      <c r="J816" s="346"/>
      <c r="K816" s="24"/>
      <c r="L816" s="24"/>
      <c r="M816" s="24"/>
      <c r="N816" s="340"/>
      <c r="O816" s="334"/>
      <c r="P816" s="25" t="s">
        <v>152</v>
      </c>
      <c r="Q816" s="127" t="s">
        <v>231</v>
      </c>
      <c r="R816" s="232"/>
      <c r="S816" s="89"/>
      <c r="T816" s="36"/>
      <c r="U816" s="125"/>
      <c r="V816" s="147"/>
      <c r="W816" s="129"/>
      <c r="X816" s="88"/>
      <c r="Y816" s="130"/>
      <c r="Z816" s="133"/>
      <c r="AA816" s="133"/>
      <c r="AB816" s="241"/>
      <c r="AC816" s="134"/>
      <c r="AD816" s="134"/>
      <c r="AE816" s="403">
        <f t="shared" si="40"/>
        <v>0</v>
      </c>
      <c r="AF816" s="132"/>
      <c r="AG816" s="130"/>
      <c r="AH816" s="130"/>
      <c r="AI816" s="130"/>
      <c r="AJ816" s="130"/>
      <c r="AK816" s="130"/>
      <c r="AL816" s="135"/>
      <c r="AM816" s="314"/>
      <c r="AN816" s="26"/>
      <c r="AO816" s="26"/>
      <c r="AP816" s="26"/>
      <c r="AQ816" s="26"/>
      <c r="AR816" s="24"/>
      <c r="AS816" s="24"/>
      <c r="AT816" s="24"/>
      <c r="AU816" s="418">
        <f t="shared" si="41"/>
        <v>1</v>
      </c>
      <c r="AV816" s="418">
        <f t="shared" si="42"/>
        <v>1900</v>
      </c>
      <c r="AW816" s="24"/>
      <c r="AX816" s="28"/>
      <c r="AY816" s="28"/>
      <c r="AZ816" s="132"/>
      <c r="BA816" s="132"/>
      <c r="BB816" s="24"/>
      <c r="BC816" s="135"/>
      <c r="BD816" s="24"/>
      <c r="BE816" s="135"/>
      <c r="BF816" s="135"/>
      <c r="BG816" s="135"/>
      <c r="BH816" s="135"/>
      <c r="BI816" s="314"/>
      <c r="BJ816" s="314"/>
      <c r="BK816" s="24"/>
      <c r="BL816" s="24"/>
      <c r="BM816" s="24"/>
      <c r="BN816" s="24"/>
      <c r="BO816" s="24"/>
      <c r="BP816" s="24"/>
      <c r="BQ816" s="24"/>
      <c r="BR816" s="43"/>
      <c r="BS816" s="24"/>
      <c r="BT816" s="24"/>
      <c r="BU816" s="24"/>
      <c r="BV816" s="132"/>
      <c r="BW816" s="325"/>
      <c r="BX816" s="325"/>
      <c r="BY816" s="325"/>
      <c r="BZ816" s="325"/>
      <c r="CA816" s="325"/>
      <c r="CB816" s="325"/>
      <c r="CC816" s="258"/>
      <c r="CD816" s="22"/>
      <c r="CE816" s="22"/>
      <c r="CF816" s="22"/>
      <c r="CG816" s="24"/>
      <c r="CH816" s="24"/>
      <c r="CI816" s="24"/>
      <c r="CJ816" s="24"/>
    </row>
    <row r="817" spans="1:88" ht="15" customHeight="1">
      <c r="A817" s="18">
        <v>2020</v>
      </c>
      <c r="B817" s="18" t="str">
        <f>+INDEX(BDD!F:F,MATCH(P817,BDD!D:D,0))&amp;"-"&amp;INDEX(BDD!E:E,MATCH(P817,BDD!D:D,0))</f>
        <v>S-C</v>
      </c>
      <c r="C817" s="125" t="s">
        <v>484</v>
      </c>
      <c r="D817" s="150" t="s">
        <v>77</v>
      </c>
      <c r="E817" s="132"/>
      <c r="F817" s="24"/>
      <c r="G817" s="346">
        <v>8000000683</v>
      </c>
      <c r="H817" s="125" t="s">
        <v>3304</v>
      </c>
      <c r="I817" s="329"/>
      <c r="J817" s="346">
        <v>8000000683</v>
      </c>
      <c r="K817" s="24"/>
      <c r="L817" s="24"/>
      <c r="M817" s="24"/>
      <c r="N817" s="340" t="s">
        <v>486</v>
      </c>
      <c r="O817" s="334">
        <v>207580</v>
      </c>
      <c r="P817" s="25" t="s">
        <v>241</v>
      </c>
      <c r="Q817" s="127" t="s">
        <v>30</v>
      </c>
      <c r="R817" s="232" t="s">
        <v>544</v>
      </c>
      <c r="S817" s="89">
        <v>43855</v>
      </c>
      <c r="T817" s="36">
        <v>90</v>
      </c>
      <c r="U817" s="125" t="s">
        <v>118</v>
      </c>
      <c r="V817" s="147" t="s">
        <v>3305</v>
      </c>
      <c r="W817" s="129"/>
      <c r="X817" s="88">
        <f>+BD817+T817</f>
        <v>43979</v>
      </c>
      <c r="Y817" s="130" t="s">
        <v>20</v>
      </c>
      <c r="Z817" s="133" t="s">
        <v>60</v>
      </c>
      <c r="AA817" s="133"/>
      <c r="AB817" s="241">
        <v>408</v>
      </c>
      <c r="AC817" s="134">
        <v>707</v>
      </c>
      <c r="AD817" s="134"/>
      <c r="AE817" s="403">
        <f t="shared" si="40"/>
        <v>288456</v>
      </c>
      <c r="AF817" s="132">
        <v>17</v>
      </c>
      <c r="AG817" s="130" t="s">
        <v>5</v>
      </c>
      <c r="AH817" s="130"/>
      <c r="AI817" s="130" t="s">
        <v>34</v>
      </c>
      <c r="AJ817" s="130"/>
      <c r="AK817" s="130"/>
      <c r="AL817" s="135" t="s">
        <v>3261</v>
      </c>
      <c r="AM817" s="314"/>
      <c r="AN817" s="26"/>
      <c r="AO817" s="26"/>
      <c r="AP817" s="26"/>
      <c r="AQ817" s="26">
        <v>43891</v>
      </c>
      <c r="AR817" s="24"/>
      <c r="AS817" s="24"/>
      <c r="AT817" s="24">
        <v>43895</v>
      </c>
      <c r="AU817" s="418">
        <f t="shared" si="41"/>
        <v>3</v>
      </c>
      <c r="AV817" s="418">
        <f t="shared" si="42"/>
        <v>2020</v>
      </c>
      <c r="AW817" s="24"/>
      <c r="AX817" s="28"/>
      <c r="AY817" s="28" t="s">
        <v>181</v>
      </c>
      <c r="AZ817" s="132" t="s">
        <v>37</v>
      </c>
      <c r="BA817" s="132"/>
      <c r="BB817" s="24" t="s">
        <v>3264</v>
      </c>
      <c r="BC817" s="135" t="s">
        <v>3306</v>
      </c>
      <c r="BD817" s="24">
        <v>43889</v>
      </c>
      <c r="BE817" s="135" t="s">
        <v>3307</v>
      </c>
      <c r="BF817" s="135" t="s">
        <v>3307</v>
      </c>
      <c r="BG817" s="135" t="s">
        <v>14</v>
      </c>
      <c r="BH817" s="135"/>
      <c r="BI817" s="314" t="s">
        <v>124</v>
      </c>
      <c r="BJ817" s="314"/>
      <c r="BK817" s="24"/>
      <c r="BL817" s="24"/>
      <c r="BM817" s="24"/>
      <c r="BN817" s="24"/>
      <c r="BO817" s="24">
        <f>+AQ817+15</f>
        <v>43906</v>
      </c>
      <c r="BP817" s="24"/>
      <c r="BQ817" s="24"/>
      <c r="BR817" s="43"/>
      <c r="BS817" s="24"/>
      <c r="BT817" s="24"/>
      <c r="BU817" s="24"/>
      <c r="BV817" s="132" t="e">
        <f>IF(#REF!="COMPLETO","OK","PENDIENTES")</f>
        <v>#REF!</v>
      </c>
      <c r="BW817" s="325"/>
      <c r="BX817" s="325"/>
      <c r="BY817" s="325"/>
      <c r="BZ817" s="325"/>
      <c r="CA817" s="325"/>
      <c r="CB817" s="325"/>
      <c r="CC817" s="258"/>
      <c r="CG817" s="24" t="s">
        <v>105</v>
      </c>
      <c r="CH817" s="24"/>
      <c r="CI817" s="24"/>
      <c r="CJ817" s="24"/>
    </row>
    <row r="818" spans="1:88" ht="15" customHeight="1">
      <c r="A818" s="18">
        <v>2020</v>
      </c>
      <c r="B818" s="18" t="str">
        <f>+INDEX(BDD!F:F,MATCH(P818,BDD!D:D,0))&amp;"-"&amp;INDEX(BDD!E:E,MATCH(P818,BDD!D:D,0))</f>
        <v>S-C</v>
      </c>
      <c r="C818" s="125" t="s">
        <v>484</v>
      </c>
      <c r="D818" s="150" t="s">
        <v>77</v>
      </c>
      <c r="E818" s="132"/>
      <c r="F818" s="24"/>
      <c r="G818" s="346">
        <v>8000000684</v>
      </c>
      <c r="H818" s="125" t="s">
        <v>3308</v>
      </c>
      <c r="I818" s="329"/>
      <c r="J818" s="346">
        <v>8000000684</v>
      </c>
      <c r="K818" s="24"/>
      <c r="L818" s="24"/>
      <c r="M818" s="24"/>
      <c r="N818" s="340" t="s">
        <v>486</v>
      </c>
      <c r="O818" s="334">
        <v>207580</v>
      </c>
      <c r="P818" s="25" t="s">
        <v>241</v>
      </c>
      <c r="Q818" s="127" t="s">
        <v>30</v>
      </c>
      <c r="R818" s="232" t="s">
        <v>544</v>
      </c>
      <c r="S818" s="89">
        <v>43855</v>
      </c>
      <c r="T818" s="36">
        <v>90</v>
      </c>
      <c r="U818" s="125" t="s">
        <v>118</v>
      </c>
      <c r="V818" s="147" t="s">
        <v>3309</v>
      </c>
      <c r="W818" s="129"/>
      <c r="X818" s="88">
        <f>+BD818+T818</f>
        <v>43979</v>
      </c>
      <c r="Y818" s="130" t="s">
        <v>20</v>
      </c>
      <c r="Z818" s="133" t="s">
        <v>60</v>
      </c>
      <c r="AA818" s="133"/>
      <c r="AB818" s="241">
        <v>264</v>
      </c>
      <c r="AC818" s="134">
        <v>715</v>
      </c>
      <c r="AD818" s="134"/>
      <c r="AE818" s="403">
        <f t="shared" si="40"/>
        <v>188760</v>
      </c>
      <c r="AF818" s="132">
        <v>11</v>
      </c>
      <c r="AG818" s="130" t="s">
        <v>5</v>
      </c>
      <c r="AH818" s="130"/>
      <c r="AI818" s="130" t="s">
        <v>34</v>
      </c>
      <c r="AJ818" s="130"/>
      <c r="AK818" s="130"/>
      <c r="AL818" s="135" t="s">
        <v>3261</v>
      </c>
      <c r="AM818" s="314"/>
      <c r="AN818" s="26"/>
      <c r="AO818" s="26"/>
      <c r="AP818" s="26"/>
      <c r="AQ818" s="26">
        <v>43908</v>
      </c>
      <c r="AR818" s="24"/>
      <c r="AS818" s="24"/>
      <c r="AT818" s="24">
        <v>43909</v>
      </c>
      <c r="AU818" s="418">
        <f t="shared" si="41"/>
        <v>3</v>
      </c>
      <c r="AV818" s="418">
        <f t="shared" si="42"/>
        <v>2020</v>
      </c>
      <c r="AW818" s="24"/>
      <c r="AX818" s="28"/>
      <c r="AY818" s="28" t="s">
        <v>181</v>
      </c>
      <c r="AZ818" s="132" t="s">
        <v>9</v>
      </c>
      <c r="BA818" s="132"/>
      <c r="BB818" s="24" t="s">
        <v>2956</v>
      </c>
      <c r="BC818" s="135" t="s">
        <v>3310</v>
      </c>
      <c r="BD818" s="24">
        <v>43889</v>
      </c>
      <c r="BE818" s="135" t="s">
        <v>1714</v>
      </c>
      <c r="BF818" s="135" t="s">
        <v>2560</v>
      </c>
      <c r="BG818" s="135" t="s">
        <v>29</v>
      </c>
      <c r="BH818" s="135"/>
      <c r="BI818" s="314" t="s">
        <v>124</v>
      </c>
      <c r="BJ818" s="314"/>
      <c r="BK818" s="24"/>
      <c r="BL818" s="24"/>
      <c r="BM818" s="24"/>
      <c r="BN818" s="24"/>
      <c r="BO818" s="24">
        <f>+AQ818+15</f>
        <v>43923</v>
      </c>
      <c r="BP818" s="24"/>
      <c r="BQ818" s="24"/>
      <c r="BR818" s="43"/>
      <c r="BS818" s="24"/>
      <c r="BT818" s="24"/>
      <c r="BU818" s="24"/>
      <c r="BV818" s="132" t="e">
        <f>IF(#REF!="COMPLETO","OK","PENDIENTES")</f>
        <v>#REF!</v>
      </c>
      <c r="BW818" s="325"/>
      <c r="BX818" s="325"/>
      <c r="BY818" s="325"/>
      <c r="BZ818" s="325"/>
      <c r="CA818" s="325"/>
      <c r="CB818" s="325"/>
      <c r="CC818" s="258"/>
      <c r="CG818" s="24" t="s">
        <v>105</v>
      </c>
      <c r="CH818" s="24"/>
      <c r="CI818" s="24"/>
      <c r="CJ818" s="24"/>
    </row>
    <row r="819" spans="1:88" ht="15" customHeight="1">
      <c r="A819" s="18">
        <v>2020</v>
      </c>
      <c r="B819" s="18" t="str">
        <f>+INDEX(BDD!F:F,MATCH(P819,BDD!D:D,0))&amp;"-"&amp;INDEX(BDD!E:E,MATCH(P819,BDD!D:D,0))</f>
        <v>S-C</v>
      </c>
      <c r="C819" s="125" t="s">
        <v>484</v>
      </c>
      <c r="D819" s="150" t="s">
        <v>77</v>
      </c>
      <c r="E819" s="132"/>
      <c r="F819" s="24"/>
      <c r="G819" s="346">
        <v>8000000685</v>
      </c>
      <c r="H819" s="125" t="s">
        <v>3311</v>
      </c>
      <c r="I819" s="329"/>
      <c r="J819" s="346">
        <v>8000000685</v>
      </c>
      <c r="K819" s="24"/>
      <c r="L819" s="24"/>
      <c r="M819" s="24"/>
      <c r="N819" s="340" t="s">
        <v>486</v>
      </c>
      <c r="O819" s="334">
        <v>207580</v>
      </c>
      <c r="P819" s="25" t="s">
        <v>241</v>
      </c>
      <c r="Q819" s="127" t="s">
        <v>30</v>
      </c>
      <c r="R819" s="232" t="s">
        <v>544</v>
      </c>
      <c r="S819" s="89">
        <v>43855</v>
      </c>
      <c r="T819" s="36">
        <v>90</v>
      </c>
      <c r="U819" s="125" t="s">
        <v>118</v>
      </c>
      <c r="V819" s="147" t="s">
        <v>3312</v>
      </c>
      <c r="W819" s="129"/>
      <c r="X819" s="88">
        <v>44007</v>
      </c>
      <c r="Y819" s="130" t="s">
        <v>20</v>
      </c>
      <c r="Z819" s="133" t="s">
        <v>60</v>
      </c>
      <c r="AA819" s="133"/>
      <c r="AB819" s="241">
        <v>408</v>
      </c>
      <c r="AC819" s="134">
        <v>707</v>
      </c>
      <c r="AD819" s="134"/>
      <c r="AE819" s="403">
        <f t="shared" si="40"/>
        <v>288456</v>
      </c>
      <c r="AF819" s="132">
        <v>17</v>
      </c>
      <c r="AG819" s="130" t="s">
        <v>5</v>
      </c>
      <c r="AH819" s="130"/>
      <c r="AI819" s="130" t="s">
        <v>34</v>
      </c>
      <c r="AJ819" s="130"/>
      <c r="AK819" s="130"/>
      <c r="AL819" s="135" t="s">
        <v>3313</v>
      </c>
      <c r="AM819" s="314"/>
      <c r="AN819" s="26"/>
      <c r="AO819" s="26"/>
      <c r="AP819" s="26"/>
      <c r="AQ819" s="26">
        <v>43920</v>
      </c>
      <c r="AR819" s="24"/>
      <c r="AS819" s="24"/>
      <c r="AT819" s="26">
        <v>43924</v>
      </c>
      <c r="AU819" s="418">
        <f t="shared" si="41"/>
        <v>4</v>
      </c>
      <c r="AV819" s="418">
        <f t="shared" si="42"/>
        <v>2020</v>
      </c>
      <c r="AW819" s="26"/>
      <c r="AX819" s="28"/>
      <c r="AY819" s="28" t="s">
        <v>1347</v>
      </c>
      <c r="AZ819" s="132" t="s">
        <v>37</v>
      </c>
      <c r="BA819" s="132"/>
      <c r="BB819" s="24" t="s">
        <v>2956</v>
      </c>
      <c r="BC819" s="135" t="s">
        <v>3314</v>
      </c>
      <c r="BD819" s="24">
        <v>43914</v>
      </c>
      <c r="BE819" s="135" t="s">
        <v>2329</v>
      </c>
      <c r="BF819" s="135" t="s">
        <v>2329</v>
      </c>
      <c r="BG819" s="135" t="s">
        <v>29</v>
      </c>
      <c r="BH819" s="135"/>
      <c r="BI819" s="314" t="s">
        <v>124</v>
      </c>
      <c r="BJ819" s="314"/>
      <c r="BK819" s="24"/>
      <c r="BL819" s="24"/>
      <c r="BM819" s="24"/>
      <c r="BN819" s="24"/>
      <c r="BO819" s="24">
        <f>+AQ819+15</f>
        <v>43935</v>
      </c>
      <c r="BP819" s="24"/>
      <c r="BQ819" s="24"/>
      <c r="BR819" s="43"/>
      <c r="BS819" s="24"/>
      <c r="BT819" s="24"/>
      <c r="BU819" s="24"/>
      <c r="BV819" s="132" t="e">
        <f>IF(#REF!="COMPLETO","OK","PENDIENTES")</f>
        <v>#REF!</v>
      </c>
      <c r="BW819" s="325"/>
      <c r="BX819" s="325"/>
      <c r="BY819" s="325"/>
      <c r="BZ819" s="325"/>
      <c r="CA819" s="325"/>
      <c r="CB819" s="325"/>
      <c r="CC819" s="258"/>
      <c r="CG819" s="24" t="s">
        <v>105</v>
      </c>
      <c r="CH819" s="24"/>
      <c r="CI819" s="26"/>
      <c r="CJ819" s="26"/>
    </row>
    <row r="820" spans="1:88" ht="15" customHeight="1">
      <c r="A820" s="18">
        <v>2020</v>
      </c>
      <c r="B820" s="18" t="str">
        <f>+INDEX(BDD!F:F,MATCH(P820,BDD!D:D,0))&amp;"-"&amp;INDEX(BDD!E:E,MATCH(P820,BDD!D:D,0))</f>
        <v>S-C</v>
      </c>
      <c r="C820" s="125" t="s">
        <v>484</v>
      </c>
      <c r="D820" s="150" t="s">
        <v>77</v>
      </c>
      <c r="E820" s="132"/>
      <c r="F820" s="24"/>
      <c r="G820" s="346">
        <v>8000000686</v>
      </c>
      <c r="H820" s="125" t="s">
        <v>3315</v>
      </c>
      <c r="I820" s="329"/>
      <c r="J820" s="346">
        <v>8000000686</v>
      </c>
      <c r="K820" s="24"/>
      <c r="L820" s="24"/>
      <c r="M820" s="24"/>
      <c r="N820" s="340" t="s">
        <v>486</v>
      </c>
      <c r="O820" s="334">
        <v>207580</v>
      </c>
      <c r="P820" s="25" t="s">
        <v>241</v>
      </c>
      <c r="Q820" s="127" t="s">
        <v>30</v>
      </c>
      <c r="R820" s="232" t="s">
        <v>544</v>
      </c>
      <c r="S820" s="89">
        <v>43855</v>
      </c>
      <c r="T820" s="36">
        <v>90</v>
      </c>
      <c r="U820" s="125" t="s">
        <v>118</v>
      </c>
      <c r="V820" s="147" t="s">
        <v>3316</v>
      </c>
      <c r="W820" s="129"/>
      <c r="X820" s="88">
        <v>44015</v>
      </c>
      <c r="Y820" s="130" t="s">
        <v>20</v>
      </c>
      <c r="Z820" s="133" t="s">
        <v>60</v>
      </c>
      <c r="AA820" s="133"/>
      <c r="AB820" s="241">
        <v>264</v>
      </c>
      <c r="AC820" s="134">
        <v>715</v>
      </c>
      <c r="AD820" s="134"/>
      <c r="AE820" s="403">
        <f t="shared" si="40"/>
        <v>188760</v>
      </c>
      <c r="AF820" s="132">
        <v>11</v>
      </c>
      <c r="AG820" s="130" t="s">
        <v>5</v>
      </c>
      <c r="AH820" s="130"/>
      <c r="AI820" s="130" t="s">
        <v>34</v>
      </c>
      <c r="AJ820" s="130"/>
      <c r="AK820" s="130"/>
      <c r="AL820" s="135" t="s">
        <v>3313</v>
      </c>
      <c r="AM820" s="314"/>
      <c r="AN820" s="26"/>
      <c r="AO820" s="26"/>
      <c r="AP820" s="26"/>
      <c r="AQ820" s="26">
        <v>43943</v>
      </c>
      <c r="AR820" s="24"/>
      <c r="AS820" s="24"/>
      <c r="AT820" s="24">
        <v>43945</v>
      </c>
      <c r="AU820" s="418">
        <f t="shared" si="41"/>
        <v>4</v>
      </c>
      <c r="AV820" s="418">
        <f t="shared" si="42"/>
        <v>2020</v>
      </c>
      <c r="AW820" s="24"/>
      <c r="AX820" s="28"/>
      <c r="AY820" s="28" t="s">
        <v>181</v>
      </c>
      <c r="AZ820" s="132" t="s">
        <v>9</v>
      </c>
      <c r="BA820" s="132"/>
      <c r="BB820" s="24" t="s">
        <v>2956</v>
      </c>
      <c r="BC820" s="135" t="s">
        <v>3317</v>
      </c>
      <c r="BD820" s="24">
        <v>43924</v>
      </c>
      <c r="BE820" s="135" t="s">
        <v>1714</v>
      </c>
      <c r="BF820" s="135" t="s">
        <v>1806</v>
      </c>
      <c r="BG820" s="135" t="s">
        <v>29</v>
      </c>
      <c r="BH820" s="135"/>
      <c r="BI820" s="314" t="s">
        <v>124</v>
      </c>
      <c r="BJ820" s="314"/>
      <c r="BK820" s="24"/>
      <c r="BL820" s="24"/>
      <c r="BM820" s="24"/>
      <c r="BN820" s="24"/>
      <c r="BO820" s="24"/>
      <c r="BP820" s="24"/>
      <c r="BQ820" s="24"/>
      <c r="BR820" s="43"/>
      <c r="BS820" s="24"/>
      <c r="BT820" s="24"/>
      <c r="BU820" s="24"/>
      <c r="BV820" s="132" t="e">
        <f>IF(#REF!="COMPLETO","OK","PENDIENTES")</f>
        <v>#REF!</v>
      </c>
      <c r="BW820" s="325"/>
      <c r="BX820" s="325"/>
      <c r="BY820" s="325"/>
      <c r="BZ820" s="325"/>
      <c r="CA820" s="325"/>
      <c r="CB820" s="325"/>
      <c r="CC820" s="258"/>
      <c r="CG820" s="24" t="s">
        <v>105</v>
      </c>
      <c r="CH820" s="24"/>
      <c r="CI820" s="24"/>
      <c r="CJ820" s="24"/>
    </row>
    <row r="821" spans="1:88" ht="15" customHeight="1">
      <c r="A821" s="18">
        <v>2020</v>
      </c>
      <c r="B821" s="18" t="str">
        <f>+INDEX(BDD!F:F,MATCH(P821,BDD!D:D,0))&amp;"-"&amp;INDEX(BDD!E:E,MATCH(P821,BDD!D:D,0))</f>
        <v>S-C</v>
      </c>
      <c r="C821" s="125" t="s">
        <v>484</v>
      </c>
      <c r="D821" s="150" t="s">
        <v>77</v>
      </c>
      <c r="E821" s="132"/>
      <c r="F821" s="24"/>
      <c r="G821" s="346">
        <v>8000000687</v>
      </c>
      <c r="H821" s="125" t="s">
        <v>3318</v>
      </c>
      <c r="I821" s="329"/>
      <c r="J821" s="346">
        <v>8000000687</v>
      </c>
      <c r="K821" s="24"/>
      <c r="L821" s="24"/>
      <c r="M821" s="24"/>
      <c r="N821" s="340" t="s">
        <v>486</v>
      </c>
      <c r="O821" s="334">
        <v>207580</v>
      </c>
      <c r="P821" s="25" t="s">
        <v>241</v>
      </c>
      <c r="Q821" s="127" t="s">
        <v>297</v>
      </c>
      <c r="R821" s="232" t="s">
        <v>3319</v>
      </c>
      <c r="S821" s="89">
        <v>43860</v>
      </c>
      <c r="T821" s="36">
        <v>90</v>
      </c>
      <c r="U821" s="125" t="s">
        <v>118</v>
      </c>
      <c r="V821" s="147" t="s">
        <v>3320</v>
      </c>
      <c r="W821" s="129"/>
      <c r="X821" s="88">
        <f t="shared" ref="X821:X830" si="45">+BD821+T821</f>
        <v>43993</v>
      </c>
      <c r="Y821" s="130" t="s">
        <v>20</v>
      </c>
      <c r="Z821" s="262" t="s">
        <v>72</v>
      </c>
      <c r="AA821" s="262"/>
      <c r="AB821" s="261">
        <v>440</v>
      </c>
      <c r="AC821" s="134">
        <v>719</v>
      </c>
      <c r="AD821" s="134"/>
      <c r="AE821" s="403">
        <f t="shared" si="40"/>
        <v>316360</v>
      </c>
      <c r="AF821" s="132">
        <v>16</v>
      </c>
      <c r="AG821" s="130" t="s">
        <v>5</v>
      </c>
      <c r="AH821" s="130"/>
      <c r="AI821" s="130" t="s">
        <v>34</v>
      </c>
      <c r="AJ821" s="130"/>
      <c r="AK821" s="130"/>
      <c r="AL821" s="135" t="s">
        <v>3313</v>
      </c>
      <c r="AM821" s="314"/>
      <c r="AN821" s="26"/>
      <c r="AO821" s="26"/>
      <c r="AP821" s="26"/>
      <c r="AQ821" s="26">
        <v>43937</v>
      </c>
      <c r="AR821" s="24"/>
      <c r="AS821" s="24"/>
      <c r="AT821" s="24">
        <v>43942</v>
      </c>
      <c r="AU821" s="418">
        <f t="shared" si="41"/>
        <v>4</v>
      </c>
      <c r="AV821" s="418">
        <f t="shared" si="42"/>
        <v>2020</v>
      </c>
      <c r="AW821" s="24"/>
      <c r="AX821" s="28"/>
      <c r="AY821" s="28" t="s">
        <v>257</v>
      </c>
      <c r="AZ821" s="132" t="s">
        <v>37</v>
      </c>
      <c r="BA821" s="132"/>
      <c r="BB821" s="24" t="s">
        <v>2956</v>
      </c>
      <c r="BC821" s="135" t="s">
        <v>3321</v>
      </c>
      <c r="BD821" s="24">
        <v>43903</v>
      </c>
      <c r="BE821" s="135" t="s">
        <v>2731</v>
      </c>
      <c r="BF821" s="135" t="s">
        <v>2731</v>
      </c>
      <c r="BG821" s="135" t="s">
        <v>29</v>
      </c>
      <c r="BH821" s="135"/>
      <c r="BI821" s="314" t="s">
        <v>124</v>
      </c>
      <c r="BJ821" s="314"/>
      <c r="BK821" s="24"/>
      <c r="BL821" s="24"/>
      <c r="BM821" s="24"/>
      <c r="BN821" s="24"/>
      <c r="BO821" s="24"/>
      <c r="BP821" s="24"/>
      <c r="BQ821" s="24"/>
      <c r="BR821" s="43"/>
      <c r="BS821" s="24"/>
      <c r="BT821" s="24"/>
      <c r="BU821" s="24"/>
      <c r="BV821" s="132" t="e">
        <f>IF(#REF!="COMPLETO","OK","PENDIENTES")</f>
        <v>#REF!</v>
      </c>
      <c r="BW821" s="325"/>
      <c r="BX821" s="325"/>
      <c r="BY821" s="325"/>
      <c r="BZ821" s="325"/>
      <c r="CA821" s="325"/>
      <c r="CB821" s="325"/>
      <c r="CC821" s="258"/>
      <c r="CG821" s="24" t="s">
        <v>105</v>
      </c>
      <c r="CH821" s="24"/>
      <c r="CI821" s="24"/>
      <c r="CJ821" s="24"/>
    </row>
    <row r="822" spans="1:88" ht="15" customHeight="1">
      <c r="A822" s="18">
        <v>2020</v>
      </c>
      <c r="B822" s="18" t="str">
        <f>+INDEX(BDD!F:F,MATCH(P822,BDD!D:D,0))&amp;"-"&amp;INDEX(BDD!E:E,MATCH(P822,BDD!D:D,0))</f>
        <v>G-C</v>
      </c>
      <c r="C822" s="125" t="s">
        <v>484</v>
      </c>
      <c r="D822" s="150" t="s">
        <v>77</v>
      </c>
      <c r="E822" s="132"/>
      <c r="F822" s="24"/>
      <c r="G822" s="346">
        <v>8000000726</v>
      </c>
      <c r="H822" s="125" t="s">
        <v>3322</v>
      </c>
      <c r="I822" s="329"/>
      <c r="J822" s="346">
        <v>8000000726</v>
      </c>
      <c r="K822" s="24"/>
      <c r="L822" s="24"/>
      <c r="M822" s="24"/>
      <c r="N822" s="340" t="s">
        <v>486</v>
      </c>
      <c r="O822" s="334">
        <v>206573</v>
      </c>
      <c r="P822" s="25" t="s">
        <v>226</v>
      </c>
      <c r="Q822" s="127" t="s">
        <v>291</v>
      </c>
      <c r="R822" s="232" t="s">
        <v>3043</v>
      </c>
      <c r="S822" s="89">
        <v>43873</v>
      </c>
      <c r="T822" s="36">
        <v>150</v>
      </c>
      <c r="U822" s="125" t="s">
        <v>118</v>
      </c>
      <c r="V822" s="147" t="s">
        <v>3323</v>
      </c>
      <c r="W822" s="129"/>
      <c r="X822" s="88">
        <f t="shared" si="45"/>
        <v>44043</v>
      </c>
      <c r="Y822" s="130" t="s">
        <v>20</v>
      </c>
      <c r="Z822" s="133" t="s">
        <v>60</v>
      </c>
      <c r="AA822" s="133"/>
      <c r="AB822" s="241">
        <v>1250</v>
      </c>
      <c r="AC822" s="134">
        <v>262.8</v>
      </c>
      <c r="AD822" s="134"/>
      <c r="AE822" s="403">
        <f t="shared" si="40"/>
        <v>328500</v>
      </c>
      <c r="AF822" s="132" t="s">
        <v>944</v>
      </c>
      <c r="AG822" s="130" t="s">
        <v>46</v>
      </c>
      <c r="AH822" s="130"/>
      <c r="AI822" s="130" t="s">
        <v>100</v>
      </c>
      <c r="AJ822" s="130"/>
      <c r="AK822" s="130"/>
      <c r="AL822" s="135" t="s">
        <v>3324</v>
      </c>
      <c r="AM822" s="314"/>
      <c r="AN822" s="26"/>
      <c r="AO822" s="26"/>
      <c r="AP822" s="26"/>
      <c r="AQ822" s="26">
        <v>43924</v>
      </c>
      <c r="AR822" s="41"/>
      <c r="AS822" s="41"/>
      <c r="AT822" s="24">
        <v>43925</v>
      </c>
      <c r="AU822" s="418">
        <f t="shared" si="41"/>
        <v>4</v>
      </c>
      <c r="AV822" s="418">
        <f t="shared" si="42"/>
        <v>2020</v>
      </c>
      <c r="AW822" s="24"/>
      <c r="AX822" s="28"/>
      <c r="AY822" s="28" t="s">
        <v>269</v>
      </c>
      <c r="AZ822" s="132" t="s">
        <v>9</v>
      </c>
      <c r="BA822" s="132"/>
      <c r="BB822" s="24" t="s">
        <v>2956</v>
      </c>
      <c r="BC822" s="135">
        <v>9</v>
      </c>
      <c r="BD822" s="24">
        <v>43893</v>
      </c>
      <c r="BE822" s="135" t="s">
        <v>3325</v>
      </c>
      <c r="BF822" s="135" t="s">
        <v>3325</v>
      </c>
      <c r="BG822" s="135" t="s">
        <v>52</v>
      </c>
      <c r="BH822" s="135"/>
      <c r="BI822" s="314" t="s">
        <v>117</v>
      </c>
      <c r="BJ822" s="314"/>
      <c r="BK822" s="24"/>
      <c r="BL822" s="24"/>
      <c r="BM822" s="24"/>
      <c r="BN822" s="24"/>
      <c r="BO822" s="41">
        <f>AQ822-BD822</f>
        <v>31</v>
      </c>
      <c r="BP822" s="41"/>
      <c r="BQ822" s="41"/>
      <c r="BR822" s="43"/>
      <c r="BS822" s="41"/>
      <c r="BT822" s="41"/>
      <c r="BU822" s="41"/>
      <c r="BV822" s="132" t="e">
        <f>IF(#REF!="COMPLETO","OK","PENDIENTES")</f>
        <v>#REF!</v>
      </c>
      <c r="BW822" s="325"/>
      <c r="BX822" s="325"/>
      <c r="BY822" s="325"/>
      <c r="BZ822" s="325"/>
      <c r="CA822" s="325"/>
      <c r="CB822" s="325"/>
      <c r="CC822" s="258"/>
      <c r="CG822" s="24" t="s">
        <v>105</v>
      </c>
      <c r="CH822" s="24"/>
      <c r="CI822" s="24"/>
      <c r="CJ822" s="24"/>
    </row>
    <row r="823" spans="1:88" ht="15" customHeight="1">
      <c r="A823" s="18">
        <v>2020</v>
      </c>
      <c r="B823" s="18" t="str">
        <f>+INDEX(BDD!F:F,MATCH(P823,BDD!D:D,0))&amp;"-"&amp;INDEX(BDD!E:E,MATCH(P823,BDD!D:D,0))</f>
        <v>G-C</v>
      </c>
      <c r="C823" s="125" t="s">
        <v>484</v>
      </c>
      <c r="D823" s="150" t="s">
        <v>77</v>
      </c>
      <c r="E823" s="132"/>
      <c r="F823" s="24"/>
      <c r="G823" s="346">
        <v>8000000729</v>
      </c>
      <c r="H823" s="125" t="s">
        <v>3326</v>
      </c>
      <c r="I823" s="329"/>
      <c r="J823" s="346">
        <v>8000000729</v>
      </c>
      <c r="K823" s="24"/>
      <c r="L823" s="24"/>
      <c r="M823" s="24"/>
      <c r="N823" s="340" t="s">
        <v>486</v>
      </c>
      <c r="O823" s="334">
        <v>206573</v>
      </c>
      <c r="P823" s="25" t="s">
        <v>226</v>
      </c>
      <c r="Q823" s="127" t="s">
        <v>291</v>
      </c>
      <c r="R823" s="232" t="s">
        <v>3043</v>
      </c>
      <c r="S823" s="89">
        <v>43873</v>
      </c>
      <c r="T823" s="36">
        <v>150</v>
      </c>
      <c r="U823" s="125" t="s">
        <v>118</v>
      </c>
      <c r="V823" s="147" t="s">
        <v>3327</v>
      </c>
      <c r="W823" s="129"/>
      <c r="X823" s="88">
        <f t="shared" si="45"/>
        <v>44043</v>
      </c>
      <c r="Y823" s="130" t="s">
        <v>20</v>
      </c>
      <c r="Z823" s="133" t="s">
        <v>60</v>
      </c>
      <c r="AA823" s="133"/>
      <c r="AB823" s="241">
        <v>1600</v>
      </c>
      <c r="AC823" s="134">
        <v>262.8</v>
      </c>
      <c r="AD823" s="134"/>
      <c r="AE823" s="403">
        <f t="shared" si="40"/>
        <v>420480</v>
      </c>
      <c r="AF823" s="132" t="s">
        <v>944</v>
      </c>
      <c r="AG823" s="130" t="s">
        <v>46</v>
      </c>
      <c r="AH823" s="130"/>
      <c r="AI823" s="130" t="s">
        <v>100</v>
      </c>
      <c r="AJ823" s="130"/>
      <c r="AK823" s="130"/>
      <c r="AL823" s="135" t="s">
        <v>3324</v>
      </c>
      <c r="AM823" s="314"/>
      <c r="AN823" s="26"/>
      <c r="AO823" s="26"/>
      <c r="AP823" s="26"/>
      <c r="AQ823" s="26">
        <f>+AQ822+2</f>
        <v>43926</v>
      </c>
      <c r="AR823" s="41"/>
      <c r="AS823" s="41"/>
      <c r="AT823" s="26">
        <v>43930</v>
      </c>
      <c r="AU823" s="418">
        <f t="shared" si="41"/>
        <v>4</v>
      </c>
      <c r="AV823" s="418">
        <f t="shared" si="42"/>
        <v>2020</v>
      </c>
      <c r="AW823" s="26"/>
      <c r="AX823" s="28"/>
      <c r="AY823" s="28" t="s">
        <v>269</v>
      </c>
      <c r="AZ823" s="132" t="s">
        <v>25</v>
      </c>
      <c r="BA823" s="132"/>
      <c r="BB823" s="24" t="s">
        <v>2956</v>
      </c>
      <c r="BC823" s="135">
        <v>10</v>
      </c>
      <c r="BD823" s="24">
        <v>43893</v>
      </c>
      <c r="BE823" s="135" t="s">
        <v>3325</v>
      </c>
      <c r="BF823" s="135" t="s">
        <v>3325</v>
      </c>
      <c r="BG823" s="135" t="s">
        <v>52</v>
      </c>
      <c r="BH823" s="135"/>
      <c r="BI823" s="314" t="s">
        <v>117</v>
      </c>
      <c r="BJ823" s="314"/>
      <c r="BK823" s="24"/>
      <c r="BL823" s="24"/>
      <c r="BM823" s="24"/>
      <c r="BN823" s="24"/>
      <c r="BO823" s="41">
        <f>AQ823-BD823</f>
        <v>33</v>
      </c>
      <c r="BP823" s="41"/>
      <c r="BQ823" s="41"/>
      <c r="BR823" s="43"/>
      <c r="BS823" s="41"/>
      <c r="BT823" s="41"/>
      <c r="BU823" s="41"/>
      <c r="BV823" s="132" t="e">
        <f>IF(#REF!="COMPLETO","OK","PENDIENTES")</f>
        <v>#REF!</v>
      </c>
      <c r="BW823" s="325"/>
      <c r="BX823" s="325"/>
      <c r="BY823" s="325"/>
      <c r="BZ823" s="325"/>
      <c r="CA823" s="325"/>
      <c r="CB823" s="325"/>
      <c r="CC823" s="258"/>
      <c r="CG823" s="24" t="s">
        <v>105</v>
      </c>
      <c r="CH823" s="24"/>
      <c r="CI823" s="26"/>
      <c r="CJ823" s="26"/>
    </row>
    <row r="824" spans="1:88" ht="15" customHeight="1">
      <c r="A824" s="18">
        <v>2020</v>
      </c>
      <c r="B824" s="18" t="str">
        <f>+INDEX(BDD!F:F,MATCH(P824,BDD!D:D,0))&amp;"-"&amp;INDEX(BDD!E:E,MATCH(P824,BDD!D:D,0))</f>
        <v>G-C</v>
      </c>
      <c r="C824" s="125" t="s">
        <v>484</v>
      </c>
      <c r="D824" s="150" t="s">
        <v>77</v>
      </c>
      <c r="E824" s="132"/>
      <c r="F824" s="24"/>
      <c r="G824" s="346">
        <v>8000000736</v>
      </c>
      <c r="H824" s="125" t="s">
        <v>3328</v>
      </c>
      <c r="I824" s="329"/>
      <c r="J824" s="346">
        <v>8000000736</v>
      </c>
      <c r="K824" s="24"/>
      <c r="L824" s="24"/>
      <c r="M824" s="24"/>
      <c r="N824" s="340" t="s">
        <v>486</v>
      </c>
      <c r="O824" s="334">
        <v>206573</v>
      </c>
      <c r="P824" s="25" t="s">
        <v>226</v>
      </c>
      <c r="Q824" s="127" t="s">
        <v>291</v>
      </c>
      <c r="R824" s="232" t="s">
        <v>3043</v>
      </c>
      <c r="S824" s="89">
        <v>43873</v>
      </c>
      <c r="T824" s="36">
        <v>150</v>
      </c>
      <c r="U824" s="125" t="s">
        <v>118</v>
      </c>
      <c r="V824" s="147" t="s">
        <v>3329</v>
      </c>
      <c r="W824" s="129"/>
      <c r="X824" s="88">
        <f t="shared" si="45"/>
        <v>44043</v>
      </c>
      <c r="Y824" s="130" t="s">
        <v>20</v>
      </c>
      <c r="Z824" s="133" t="s">
        <v>60</v>
      </c>
      <c r="AA824" s="133"/>
      <c r="AB824" s="241">
        <v>1760</v>
      </c>
      <c r="AC824" s="134">
        <v>262.8</v>
      </c>
      <c r="AD824" s="134"/>
      <c r="AE824" s="403">
        <f t="shared" si="40"/>
        <v>462528</v>
      </c>
      <c r="AF824" s="132" t="s">
        <v>944</v>
      </c>
      <c r="AG824" s="130" t="s">
        <v>46</v>
      </c>
      <c r="AH824" s="130"/>
      <c r="AI824" s="130" t="s">
        <v>100</v>
      </c>
      <c r="AJ824" s="130"/>
      <c r="AK824" s="130"/>
      <c r="AL824" s="135" t="s">
        <v>3324</v>
      </c>
      <c r="AM824" s="314"/>
      <c r="AN824" s="26"/>
      <c r="AO824" s="26"/>
      <c r="AP824" s="26"/>
      <c r="AQ824" s="26">
        <v>43931</v>
      </c>
      <c r="AR824" s="41"/>
      <c r="AS824" s="41"/>
      <c r="AT824" s="24">
        <v>43935</v>
      </c>
      <c r="AU824" s="418">
        <f t="shared" si="41"/>
        <v>4</v>
      </c>
      <c r="AV824" s="418">
        <f t="shared" si="42"/>
        <v>2020</v>
      </c>
      <c r="AW824" s="24"/>
      <c r="AX824" s="28"/>
      <c r="AY824" s="28" t="s">
        <v>269</v>
      </c>
      <c r="AZ824" s="132" t="s">
        <v>37</v>
      </c>
      <c r="BA824" s="132"/>
      <c r="BB824" s="24" t="s">
        <v>2956</v>
      </c>
      <c r="BC824" s="135">
        <v>11</v>
      </c>
      <c r="BD824" s="24">
        <v>43893</v>
      </c>
      <c r="BE824" s="135" t="s">
        <v>3325</v>
      </c>
      <c r="BF824" s="135" t="s">
        <v>3325</v>
      </c>
      <c r="BG824" s="135" t="s">
        <v>52</v>
      </c>
      <c r="BH824" s="135"/>
      <c r="BI824" s="314" t="s">
        <v>117</v>
      </c>
      <c r="BJ824" s="314"/>
      <c r="BK824" s="24"/>
      <c r="BL824" s="24"/>
      <c r="BM824" s="24"/>
      <c r="BN824" s="24"/>
      <c r="BO824" s="41">
        <f>AQ824-BD824</f>
        <v>38</v>
      </c>
      <c r="BP824" s="41"/>
      <c r="BQ824" s="41"/>
      <c r="BR824" s="43"/>
      <c r="BS824" s="41"/>
      <c r="BT824" s="41"/>
      <c r="BU824" s="41"/>
      <c r="BV824" s="132" t="e">
        <f>IF(#REF!="COMPLETO","OK","PENDIENTES")</f>
        <v>#REF!</v>
      </c>
      <c r="BW824" s="325"/>
      <c r="BX824" s="325"/>
      <c r="BY824" s="325"/>
      <c r="BZ824" s="325"/>
      <c r="CA824" s="325"/>
      <c r="CB824" s="325"/>
      <c r="CC824" s="258"/>
      <c r="CG824" s="24" t="s">
        <v>105</v>
      </c>
      <c r="CH824" s="24"/>
      <c r="CI824" s="24"/>
      <c r="CJ824" s="24"/>
    </row>
    <row r="825" spans="1:88" ht="15" customHeight="1">
      <c r="A825" s="18">
        <v>2020</v>
      </c>
      <c r="B825" s="18" t="str">
        <f>+INDEX(BDD!F:F,MATCH(P825,BDD!D:D,0))&amp;"-"&amp;INDEX(BDD!E:E,MATCH(P825,BDD!D:D,0))</f>
        <v>G-C</v>
      </c>
      <c r="C825" s="125" t="s">
        <v>484</v>
      </c>
      <c r="D825" s="150" t="s">
        <v>77</v>
      </c>
      <c r="E825" s="132"/>
      <c r="F825" s="24"/>
      <c r="G825" s="346">
        <v>8000000737</v>
      </c>
      <c r="H825" s="125" t="s">
        <v>3330</v>
      </c>
      <c r="I825" s="329"/>
      <c r="J825" s="346">
        <v>8000000737</v>
      </c>
      <c r="K825" s="24"/>
      <c r="L825" s="24"/>
      <c r="M825" s="24"/>
      <c r="N825" s="340" t="s">
        <v>486</v>
      </c>
      <c r="O825" s="334">
        <v>206573</v>
      </c>
      <c r="P825" s="25" t="s">
        <v>226</v>
      </c>
      <c r="Q825" s="127" t="s">
        <v>291</v>
      </c>
      <c r="R825" s="232" t="s">
        <v>3043</v>
      </c>
      <c r="S825" s="89">
        <v>43873</v>
      </c>
      <c r="T825" s="36">
        <v>150</v>
      </c>
      <c r="U825" s="125" t="s">
        <v>118</v>
      </c>
      <c r="V825" s="147" t="s">
        <v>3331</v>
      </c>
      <c r="W825" s="129"/>
      <c r="X825" s="88">
        <f t="shared" si="45"/>
        <v>44043</v>
      </c>
      <c r="Y825" s="130" t="s">
        <v>20</v>
      </c>
      <c r="Z825" s="133" t="s">
        <v>60</v>
      </c>
      <c r="AA825" s="133"/>
      <c r="AB825" s="241">
        <v>500</v>
      </c>
      <c r="AC825" s="134">
        <v>262.8</v>
      </c>
      <c r="AD825" s="134"/>
      <c r="AE825" s="403">
        <f t="shared" si="40"/>
        <v>131400</v>
      </c>
      <c r="AF825" s="132" t="s">
        <v>944</v>
      </c>
      <c r="AG825" s="130" t="s">
        <v>46</v>
      </c>
      <c r="AH825" s="130"/>
      <c r="AI825" s="130" t="s">
        <v>100</v>
      </c>
      <c r="AJ825" s="130"/>
      <c r="AK825" s="130"/>
      <c r="AL825" s="135" t="s">
        <v>3324</v>
      </c>
      <c r="AM825" s="314"/>
      <c r="AN825" s="26"/>
      <c r="AO825" s="26"/>
      <c r="AP825" s="26"/>
      <c r="AQ825" s="26">
        <v>43931</v>
      </c>
      <c r="AR825" s="41"/>
      <c r="AS825" s="41"/>
      <c r="AT825" s="24">
        <v>43935</v>
      </c>
      <c r="AU825" s="418">
        <f t="shared" si="41"/>
        <v>4</v>
      </c>
      <c r="AV825" s="418">
        <f t="shared" si="42"/>
        <v>2020</v>
      </c>
      <c r="AW825" s="24"/>
      <c r="AX825" s="28"/>
      <c r="AY825" s="28" t="s">
        <v>269</v>
      </c>
      <c r="AZ825" s="132" t="s">
        <v>37</v>
      </c>
      <c r="BA825" s="132"/>
      <c r="BB825" s="24" t="s">
        <v>2956</v>
      </c>
      <c r="BC825" s="135">
        <v>12</v>
      </c>
      <c r="BD825" s="24">
        <v>43893</v>
      </c>
      <c r="BE825" s="135" t="s">
        <v>3325</v>
      </c>
      <c r="BF825" s="135" t="s">
        <v>3325</v>
      </c>
      <c r="BG825" s="135" t="s">
        <v>52</v>
      </c>
      <c r="BH825" s="135"/>
      <c r="BI825" s="314" t="s">
        <v>117</v>
      </c>
      <c r="BJ825" s="314"/>
      <c r="BK825" s="24"/>
      <c r="BL825" s="24"/>
      <c r="BM825" s="24"/>
      <c r="BN825" s="24"/>
      <c r="BO825" s="41">
        <f>AQ825-BD825</f>
        <v>38</v>
      </c>
      <c r="BP825" s="41"/>
      <c r="BQ825" s="41"/>
      <c r="BR825" s="43"/>
      <c r="BS825" s="41"/>
      <c r="BT825" s="41"/>
      <c r="BU825" s="41"/>
      <c r="BV825" s="132" t="e">
        <f>IF(#REF!="COMPLETO","OK","PENDIENTES")</f>
        <v>#REF!</v>
      </c>
      <c r="BW825" s="325"/>
      <c r="BX825" s="325"/>
      <c r="BY825" s="325"/>
      <c r="BZ825" s="325"/>
      <c r="CA825" s="325"/>
      <c r="CB825" s="325"/>
      <c r="CC825" s="258"/>
      <c r="CG825" s="24" t="s">
        <v>105</v>
      </c>
      <c r="CH825" s="24"/>
      <c r="CI825" s="24"/>
      <c r="CJ825" s="24"/>
    </row>
    <row r="826" spans="1:88" ht="15" customHeight="1">
      <c r="A826" s="18">
        <v>2020</v>
      </c>
      <c r="B826" s="18" t="str">
        <f>+INDEX(BDD!F:F,MATCH(P826,BDD!D:D,0))&amp;"-"&amp;INDEX(BDD!E:E,MATCH(P826,BDD!D:D,0))</f>
        <v>G-C</v>
      </c>
      <c r="C826" s="125" t="s">
        <v>484</v>
      </c>
      <c r="D826" s="150" t="s">
        <v>77</v>
      </c>
      <c r="E826" s="132"/>
      <c r="F826" s="24"/>
      <c r="G826" s="346">
        <v>8000000741</v>
      </c>
      <c r="H826" s="125" t="s">
        <v>3332</v>
      </c>
      <c r="I826" s="329"/>
      <c r="J826" s="346">
        <v>8000000741</v>
      </c>
      <c r="K826" s="24"/>
      <c r="L826" s="24"/>
      <c r="M826" s="24"/>
      <c r="N826" s="340" t="s">
        <v>486</v>
      </c>
      <c r="O826" s="334">
        <v>206573</v>
      </c>
      <c r="P826" s="25" t="s">
        <v>226</v>
      </c>
      <c r="Q826" s="127" t="s">
        <v>291</v>
      </c>
      <c r="R826" s="232" t="s">
        <v>3043</v>
      </c>
      <c r="S826" s="89">
        <v>43873</v>
      </c>
      <c r="T826" s="36">
        <v>150</v>
      </c>
      <c r="U826" s="125" t="s">
        <v>118</v>
      </c>
      <c r="V826" s="147" t="s">
        <v>3333</v>
      </c>
      <c r="W826" s="129"/>
      <c r="X826" s="88">
        <f t="shared" si="45"/>
        <v>44043</v>
      </c>
      <c r="Y826" s="130" t="s">
        <v>20</v>
      </c>
      <c r="Z826" s="133" t="s">
        <v>60</v>
      </c>
      <c r="AA826" s="133"/>
      <c r="AB826" s="241">
        <v>1067.28</v>
      </c>
      <c r="AC826" s="134">
        <v>262.8</v>
      </c>
      <c r="AD826" s="134"/>
      <c r="AE826" s="403">
        <f t="shared" si="40"/>
        <v>280481.18400000001</v>
      </c>
      <c r="AF826" s="132" t="s">
        <v>944</v>
      </c>
      <c r="AG826" s="130" t="s">
        <v>46</v>
      </c>
      <c r="AH826" s="130"/>
      <c r="AI826" s="130" t="s">
        <v>100</v>
      </c>
      <c r="AJ826" s="130"/>
      <c r="AK826" s="130"/>
      <c r="AL826" s="135" t="s">
        <v>3324</v>
      </c>
      <c r="AM826" s="314"/>
      <c r="AN826" s="26"/>
      <c r="AO826" s="26"/>
      <c r="AP826" s="26"/>
      <c r="AQ826" s="26">
        <v>43937</v>
      </c>
      <c r="AR826" s="41"/>
      <c r="AS826" s="41"/>
      <c r="AT826" s="24">
        <v>43940</v>
      </c>
      <c r="AU826" s="418">
        <f t="shared" si="41"/>
        <v>4</v>
      </c>
      <c r="AV826" s="418">
        <f t="shared" si="42"/>
        <v>2020</v>
      </c>
      <c r="AW826" s="24"/>
      <c r="AX826" s="28"/>
      <c r="AY826" s="28" t="s">
        <v>269</v>
      </c>
      <c r="AZ826" s="132" t="s">
        <v>62</v>
      </c>
      <c r="BA826" s="132"/>
      <c r="BB826" s="24" t="s">
        <v>3334</v>
      </c>
      <c r="BC826" s="135">
        <v>13</v>
      </c>
      <c r="BD826" s="24">
        <v>43893</v>
      </c>
      <c r="BE826" s="135" t="s">
        <v>3325</v>
      </c>
      <c r="BF826" s="135" t="s">
        <v>3325</v>
      </c>
      <c r="BG826" s="135" t="s">
        <v>52</v>
      </c>
      <c r="BH826" s="135"/>
      <c r="BI826" s="314" t="s">
        <v>117</v>
      </c>
      <c r="BJ826" s="314"/>
      <c r="BK826" s="24"/>
      <c r="BL826" s="24"/>
      <c r="BM826" s="24"/>
      <c r="BN826" s="24"/>
      <c r="BO826" s="41">
        <f>AQ826-BD826</f>
        <v>44</v>
      </c>
      <c r="BP826" s="41"/>
      <c r="BQ826" s="41"/>
      <c r="BR826" s="43"/>
      <c r="BS826" s="41"/>
      <c r="BT826" s="41"/>
      <c r="BU826" s="41"/>
      <c r="BV826" s="132" t="e">
        <f>IF(#REF!="COMPLETO","OK","PENDIENTES")</f>
        <v>#REF!</v>
      </c>
      <c r="BW826" s="325"/>
      <c r="BX826" s="325"/>
      <c r="BY826" s="325"/>
      <c r="BZ826" s="325"/>
      <c r="CA826" s="325"/>
      <c r="CB826" s="325"/>
      <c r="CC826" s="258"/>
      <c r="CG826" s="24" t="s">
        <v>105</v>
      </c>
      <c r="CH826" s="24"/>
      <c r="CI826" s="24"/>
      <c r="CJ826" s="24"/>
    </row>
    <row r="827" spans="1:88" ht="15" customHeight="1">
      <c r="A827" s="18">
        <v>2020</v>
      </c>
      <c r="B827" s="18" t="str">
        <f>+INDEX(BDD!F:F,MATCH(P827,BDD!D:D,0))&amp;"-"&amp;INDEX(BDD!E:E,MATCH(P827,BDD!D:D,0))</f>
        <v>G-S</v>
      </c>
      <c r="C827" s="125" t="s">
        <v>484</v>
      </c>
      <c r="D827" s="150" t="s">
        <v>77</v>
      </c>
      <c r="E827" s="132"/>
      <c r="F827" s="24"/>
      <c r="G827" s="346">
        <v>8000000727</v>
      </c>
      <c r="H827" s="125" t="s">
        <v>3335</v>
      </c>
      <c r="I827" s="329"/>
      <c r="J827" s="346">
        <v>8000000727</v>
      </c>
      <c r="K827" s="24"/>
      <c r="L827" s="24"/>
      <c r="M827" s="24"/>
      <c r="N827" s="340" t="s">
        <v>486</v>
      </c>
      <c r="O827" s="334">
        <v>207951</v>
      </c>
      <c r="P827" s="25" t="s">
        <v>354</v>
      </c>
      <c r="Q827" s="127" t="s">
        <v>291</v>
      </c>
      <c r="R827" s="232" t="s">
        <v>3043</v>
      </c>
      <c r="S827" s="89">
        <v>43873</v>
      </c>
      <c r="T827" s="36">
        <v>150</v>
      </c>
      <c r="U827" s="125" t="s">
        <v>118</v>
      </c>
      <c r="V827" s="147" t="s">
        <v>3336</v>
      </c>
      <c r="W827" s="129"/>
      <c r="X827" s="88">
        <f t="shared" si="45"/>
        <v>44043</v>
      </c>
      <c r="Y827" s="130" t="s">
        <v>20</v>
      </c>
      <c r="Z827" s="133" t="s">
        <v>60</v>
      </c>
      <c r="AA827" s="133"/>
      <c r="AB827" s="241">
        <v>400</v>
      </c>
      <c r="AC827" s="134">
        <v>259.2</v>
      </c>
      <c r="AD827" s="134"/>
      <c r="AE827" s="403">
        <f t="shared" si="40"/>
        <v>103680</v>
      </c>
      <c r="AF827" s="132" t="s">
        <v>944</v>
      </c>
      <c r="AG827" s="130" t="s">
        <v>46</v>
      </c>
      <c r="AH827" s="130"/>
      <c r="AI827" s="130" t="s">
        <v>100</v>
      </c>
      <c r="AJ827" s="130"/>
      <c r="AK827" s="130"/>
      <c r="AL827" s="135" t="s">
        <v>3324</v>
      </c>
      <c r="AM827" s="314"/>
      <c r="AN827" s="26"/>
      <c r="AO827" s="26"/>
      <c r="AP827" s="26"/>
      <c r="AQ827" s="26">
        <v>43924</v>
      </c>
      <c r="AR827" s="24"/>
      <c r="AS827" s="24"/>
      <c r="AT827" s="24">
        <v>43925</v>
      </c>
      <c r="AU827" s="418">
        <f t="shared" si="41"/>
        <v>4</v>
      </c>
      <c r="AV827" s="418">
        <f t="shared" si="42"/>
        <v>2020</v>
      </c>
      <c r="AW827" s="24"/>
      <c r="AX827" s="28"/>
      <c r="AY827" s="28" t="s">
        <v>269</v>
      </c>
      <c r="AZ827" s="132" t="s">
        <v>9</v>
      </c>
      <c r="BA827" s="132"/>
      <c r="BB827" s="24" t="s">
        <v>2956</v>
      </c>
      <c r="BC827" s="135">
        <v>14</v>
      </c>
      <c r="BD827" s="24">
        <v>43893</v>
      </c>
      <c r="BE827" s="135" t="s">
        <v>3325</v>
      </c>
      <c r="BF827" s="135" t="s">
        <v>3325</v>
      </c>
      <c r="BG827" s="135" t="s">
        <v>52</v>
      </c>
      <c r="BH827" s="135"/>
      <c r="BI827" s="314" t="s">
        <v>117</v>
      </c>
      <c r="BJ827" s="314"/>
      <c r="BK827" s="24"/>
      <c r="BL827" s="24"/>
      <c r="BM827" s="24"/>
      <c r="BN827" s="24"/>
      <c r="BO827" s="24"/>
      <c r="BP827" s="24"/>
      <c r="BQ827" s="24"/>
      <c r="BR827" s="43"/>
      <c r="BS827" s="24"/>
      <c r="BT827" s="24"/>
      <c r="BU827" s="24"/>
      <c r="BV827" s="132" t="e">
        <f>IF(#REF!="COMPLETO","OK","PENDIENTES")</f>
        <v>#REF!</v>
      </c>
      <c r="BW827" s="325"/>
      <c r="BX827" s="325"/>
      <c r="BY827" s="325"/>
      <c r="BZ827" s="325"/>
      <c r="CA827" s="325"/>
      <c r="CB827" s="325"/>
      <c r="CC827" s="258"/>
      <c r="CG827" s="24" t="s">
        <v>105</v>
      </c>
      <c r="CH827" s="24"/>
      <c r="CI827" s="24"/>
      <c r="CJ827" s="24"/>
    </row>
    <row r="828" spans="1:88" ht="15" customHeight="1">
      <c r="A828" s="18">
        <v>2020</v>
      </c>
      <c r="B828" s="18" t="str">
        <f>+INDEX(BDD!F:F,MATCH(P828,BDD!D:D,0))&amp;"-"&amp;INDEX(BDD!E:E,MATCH(P828,BDD!D:D,0))</f>
        <v>G-S</v>
      </c>
      <c r="C828" s="125" t="s">
        <v>484</v>
      </c>
      <c r="D828" s="150" t="s">
        <v>77</v>
      </c>
      <c r="E828" s="132"/>
      <c r="F828" s="24"/>
      <c r="G828" s="346">
        <v>8000000728</v>
      </c>
      <c r="H828" s="125" t="s">
        <v>3337</v>
      </c>
      <c r="I828" s="329"/>
      <c r="J828" s="346">
        <v>8000000728</v>
      </c>
      <c r="K828" s="24"/>
      <c r="L828" s="24"/>
      <c r="M828" s="24"/>
      <c r="N828" s="340" t="s">
        <v>486</v>
      </c>
      <c r="O828" s="334">
        <v>207951</v>
      </c>
      <c r="P828" s="25" t="s">
        <v>354</v>
      </c>
      <c r="Q828" s="127" t="s">
        <v>291</v>
      </c>
      <c r="R828" s="232" t="s">
        <v>3043</v>
      </c>
      <c r="S828" s="89">
        <v>43873</v>
      </c>
      <c r="T828" s="36">
        <v>150</v>
      </c>
      <c r="U828" s="125" t="s">
        <v>118</v>
      </c>
      <c r="V828" s="147" t="s">
        <v>3338</v>
      </c>
      <c r="W828" s="129"/>
      <c r="X828" s="88">
        <f t="shared" si="45"/>
        <v>44043</v>
      </c>
      <c r="Y828" s="130" t="s">
        <v>20</v>
      </c>
      <c r="Z828" s="133" t="s">
        <v>60</v>
      </c>
      <c r="AA828" s="133"/>
      <c r="AB828" s="241">
        <v>400</v>
      </c>
      <c r="AC828" s="134">
        <v>259.2</v>
      </c>
      <c r="AD828" s="134"/>
      <c r="AE828" s="403">
        <f t="shared" si="40"/>
        <v>103680</v>
      </c>
      <c r="AF828" s="132" t="s">
        <v>944</v>
      </c>
      <c r="AG828" s="130" t="s">
        <v>46</v>
      </c>
      <c r="AH828" s="130"/>
      <c r="AI828" s="130" t="s">
        <v>100</v>
      </c>
      <c r="AJ828" s="130"/>
      <c r="AK828" s="130"/>
      <c r="AL828" s="135" t="s">
        <v>3324</v>
      </c>
      <c r="AM828" s="314"/>
      <c r="AN828" s="26"/>
      <c r="AO828" s="26"/>
      <c r="AP828" s="26"/>
      <c r="AQ828" s="26">
        <f>+AQ827+2</f>
        <v>43926</v>
      </c>
      <c r="AR828" s="24"/>
      <c r="AS828" s="24"/>
      <c r="AT828" s="24">
        <v>43930</v>
      </c>
      <c r="AU828" s="418">
        <f t="shared" si="41"/>
        <v>4</v>
      </c>
      <c r="AV828" s="418">
        <f t="shared" si="42"/>
        <v>2020</v>
      </c>
      <c r="AW828" s="24"/>
      <c r="AX828" s="28"/>
      <c r="AY828" s="28" t="s">
        <v>269</v>
      </c>
      <c r="AZ828" s="132" t="s">
        <v>25</v>
      </c>
      <c r="BA828" s="132"/>
      <c r="BB828" s="24" t="s">
        <v>2956</v>
      </c>
      <c r="BC828" s="135">
        <v>15</v>
      </c>
      <c r="BD828" s="24">
        <v>43893</v>
      </c>
      <c r="BE828" s="135" t="s">
        <v>3325</v>
      </c>
      <c r="BF828" s="135" t="s">
        <v>3325</v>
      </c>
      <c r="BG828" s="135" t="s">
        <v>52</v>
      </c>
      <c r="BH828" s="135"/>
      <c r="BI828" s="314" t="s">
        <v>117</v>
      </c>
      <c r="BJ828" s="314"/>
      <c r="BK828" s="24"/>
      <c r="BL828" s="24"/>
      <c r="BM828" s="24"/>
      <c r="BN828" s="24"/>
      <c r="BO828" s="24"/>
      <c r="BP828" s="24"/>
      <c r="BQ828" s="24"/>
      <c r="BR828" s="43"/>
      <c r="BS828" s="24"/>
      <c r="BT828" s="24"/>
      <c r="BU828" s="24"/>
      <c r="BV828" s="132" t="e">
        <f>IF(#REF!="COMPLETO","OK","PENDIENTES")</f>
        <v>#REF!</v>
      </c>
      <c r="BW828" s="325"/>
      <c r="BX828" s="325"/>
      <c r="BY828" s="325"/>
      <c r="BZ828" s="325"/>
      <c r="CA828" s="325"/>
      <c r="CB828" s="325"/>
      <c r="CC828" s="258"/>
      <c r="CG828" s="24" t="s">
        <v>105</v>
      </c>
      <c r="CH828" s="24"/>
      <c r="CI828" s="24"/>
      <c r="CJ828" s="24"/>
    </row>
    <row r="829" spans="1:88" ht="15" customHeight="1">
      <c r="A829" s="18">
        <v>2020</v>
      </c>
      <c r="B829" s="18" t="str">
        <f>+INDEX(BDD!F:F,MATCH(P829,BDD!D:D,0))&amp;"-"&amp;INDEX(BDD!E:E,MATCH(P829,BDD!D:D,0))</f>
        <v>G-S</v>
      </c>
      <c r="C829" s="125" t="s">
        <v>484</v>
      </c>
      <c r="D829" s="150" t="s">
        <v>77</v>
      </c>
      <c r="E829" s="132"/>
      <c r="F829" s="24"/>
      <c r="G829" s="346">
        <v>8000000740</v>
      </c>
      <c r="H829" s="125" t="s">
        <v>3339</v>
      </c>
      <c r="I829" s="329"/>
      <c r="J829" s="346">
        <v>8000000740</v>
      </c>
      <c r="K829" s="24"/>
      <c r="L829" s="24"/>
      <c r="M829" s="24"/>
      <c r="N829" s="340" t="s">
        <v>486</v>
      </c>
      <c r="O829" s="334">
        <v>207951</v>
      </c>
      <c r="P829" s="25" t="s">
        <v>354</v>
      </c>
      <c r="Q829" s="127" t="s">
        <v>291</v>
      </c>
      <c r="R829" s="232" t="s">
        <v>3043</v>
      </c>
      <c r="S829" s="89">
        <v>43873</v>
      </c>
      <c r="T829" s="36">
        <v>150</v>
      </c>
      <c r="U829" s="125" t="s">
        <v>118</v>
      </c>
      <c r="V829" s="147" t="s">
        <v>3340</v>
      </c>
      <c r="W829" s="129"/>
      <c r="X829" s="88">
        <f t="shared" si="45"/>
        <v>44043</v>
      </c>
      <c r="Y829" s="130" t="s">
        <v>20</v>
      </c>
      <c r="Z829" s="133" t="s">
        <v>60</v>
      </c>
      <c r="AA829" s="133"/>
      <c r="AB829" s="241">
        <v>600</v>
      </c>
      <c r="AC829" s="134">
        <v>259.2</v>
      </c>
      <c r="AD829" s="134"/>
      <c r="AE829" s="403">
        <f t="shared" si="40"/>
        <v>155520</v>
      </c>
      <c r="AF829" s="132" t="s">
        <v>944</v>
      </c>
      <c r="AG829" s="130" t="s">
        <v>46</v>
      </c>
      <c r="AH829" s="130"/>
      <c r="AI829" s="130" t="s">
        <v>100</v>
      </c>
      <c r="AJ829" s="130"/>
      <c r="AK829" s="130"/>
      <c r="AL829" s="135" t="s">
        <v>3324</v>
      </c>
      <c r="AM829" s="314"/>
      <c r="AN829" s="26"/>
      <c r="AO829" s="26"/>
      <c r="AP829" s="26"/>
      <c r="AQ829" s="26">
        <f>+AQ828+2</f>
        <v>43928</v>
      </c>
      <c r="AR829" s="24"/>
      <c r="AS829" s="24"/>
      <c r="AT829" s="24">
        <v>43935</v>
      </c>
      <c r="AU829" s="418">
        <f t="shared" si="41"/>
        <v>4</v>
      </c>
      <c r="AV829" s="418">
        <f t="shared" si="42"/>
        <v>2020</v>
      </c>
      <c r="AW829" s="24"/>
      <c r="AX829" s="28"/>
      <c r="AY829" s="28" t="s">
        <v>269</v>
      </c>
      <c r="AZ829" s="132" t="s">
        <v>37</v>
      </c>
      <c r="BA829" s="132"/>
      <c r="BB829" s="24" t="s">
        <v>2956</v>
      </c>
      <c r="BC829" s="135">
        <v>16</v>
      </c>
      <c r="BD829" s="24">
        <v>43893</v>
      </c>
      <c r="BE829" s="135" t="s">
        <v>3325</v>
      </c>
      <c r="BF829" s="135" t="s">
        <v>3325</v>
      </c>
      <c r="BG829" s="135" t="s">
        <v>52</v>
      </c>
      <c r="BH829" s="135"/>
      <c r="BI829" s="314" t="s">
        <v>117</v>
      </c>
      <c r="BJ829" s="314"/>
      <c r="BK829" s="24"/>
      <c r="BL829" s="24"/>
      <c r="BM829" s="24"/>
      <c r="BN829" s="24"/>
      <c r="BO829" s="24"/>
      <c r="BP829" s="24"/>
      <c r="BQ829" s="24"/>
      <c r="BR829" s="43"/>
      <c r="BS829" s="24"/>
      <c r="BT829" s="24"/>
      <c r="BU829" s="24"/>
      <c r="BV829" s="132" t="e">
        <f>IF(#REF!="COMPLETO","OK","PENDIENTES")</f>
        <v>#REF!</v>
      </c>
      <c r="BW829" s="325"/>
      <c r="BX829" s="325"/>
      <c r="BY829" s="325"/>
      <c r="BZ829" s="325"/>
      <c r="CA829" s="325"/>
      <c r="CB829" s="325"/>
      <c r="CC829" s="258"/>
      <c r="CG829" s="24" t="s">
        <v>105</v>
      </c>
      <c r="CH829" s="24"/>
      <c r="CI829" s="24"/>
      <c r="CJ829" s="24"/>
    </row>
    <row r="830" spans="1:88" ht="15" customHeight="1">
      <c r="A830" s="18">
        <v>2020</v>
      </c>
      <c r="B830" s="18" t="str">
        <f>+INDEX(BDD!F:F,MATCH(P830,BDD!D:D,0))&amp;"-"&amp;INDEX(BDD!E:E,MATCH(P830,BDD!D:D,0))</f>
        <v>G-S</v>
      </c>
      <c r="C830" s="125" t="s">
        <v>484</v>
      </c>
      <c r="D830" s="150" t="s">
        <v>77</v>
      </c>
      <c r="E830" s="132"/>
      <c r="F830" s="24"/>
      <c r="G830" s="346">
        <v>8000000742</v>
      </c>
      <c r="H830" s="125" t="s">
        <v>3341</v>
      </c>
      <c r="I830" s="329"/>
      <c r="J830" s="346">
        <v>8000000742</v>
      </c>
      <c r="K830" s="24"/>
      <c r="L830" s="24"/>
      <c r="M830" s="24"/>
      <c r="N830" s="340" t="s">
        <v>486</v>
      </c>
      <c r="O830" s="334">
        <v>207951</v>
      </c>
      <c r="P830" s="25" t="s">
        <v>354</v>
      </c>
      <c r="Q830" s="127" t="s">
        <v>291</v>
      </c>
      <c r="R830" s="232" t="s">
        <v>3043</v>
      </c>
      <c r="S830" s="89">
        <v>43873</v>
      </c>
      <c r="T830" s="36">
        <v>150</v>
      </c>
      <c r="U830" s="125" t="s">
        <v>118</v>
      </c>
      <c r="V830" s="147" t="s">
        <v>3342</v>
      </c>
      <c r="W830" s="129"/>
      <c r="X830" s="88">
        <f t="shared" si="45"/>
        <v>44043</v>
      </c>
      <c r="Y830" s="130" t="s">
        <v>20</v>
      </c>
      <c r="Z830" s="133" t="s">
        <v>60</v>
      </c>
      <c r="AA830" s="133"/>
      <c r="AB830" s="241">
        <v>885.03</v>
      </c>
      <c r="AC830" s="134">
        <v>259.2</v>
      </c>
      <c r="AD830" s="134"/>
      <c r="AE830" s="403">
        <f t="shared" si="40"/>
        <v>229399.77599999998</v>
      </c>
      <c r="AF830" s="132" t="s">
        <v>944</v>
      </c>
      <c r="AG830" s="130" t="s">
        <v>46</v>
      </c>
      <c r="AH830" s="130"/>
      <c r="AI830" s="130" t="s">
        <v>100</v>
      </c>
      <c r="AJ830" s="130"/>
      <c r="AK830" s="130"/>
      <c r="AL830" s="135" t="s">
        <v>3324</v>
      </c>
      <c r="AM830" s="314"/>
      <c r="AN830" s="26"/>
      <c r="AO830" s="26"/>
      <c r="AP830" s="26"/>
      <c r="AQ830" s="26">
        <v>43937</v>
      </c>
      <c r="AR830" s="24"/>
      <c r="AS830" s="24"/>
      <c r="AT830" s="24">
        <v>43940</v>
      </c>
      <c r="AU830" s="418">
        <f t="shared" si="41"/>
        <v>4</v>
      </c>
      <c r="AV830" s="418">
        <f t="shared" si="42"/>
        <v>2020</v>
      </c>
      <c r="AW830" s="24"/>
      <c r="AX830" s="28"/>
      <c r="AY830" s="28" t="s">
        <v>269</v>
      </c>
      <c r="AZ830" s="132" t="s">
        <v>62</v>
      </c>
      <c r="BA830" s="132"/>
      <c r="BB830" s="24" t="s">
        <v>3334</v>
      </c>
      <c r="BC830" s="135">
        <v>17</v>
      </c>
      <c r="BD830" s="24">
        <v>43893</v>
      </c>
      <c r="BE830" s="135" t="s">
        <v>3325</v>
      </c>
      <c r="BF830" s="135" t="s">
        <v>3325</v>
      </c>
      <c r="BG830" s="135" t="s">
        <v>52</v>
      </c>
      <c r="BH830" s="135"/>
      <c r="BI830" s="314" t="s">
        <v>117</v>
      </c>
      <c r="BJ830" s="314"/>
      <c r="BK830" s="24"/>
      <c r="BL830" s="24"/>
      <c r="BM830" s="24"/>
      <c r="BN830" s="24"/>
      <c r="BO830" s="24"/>
      <c r="BP830" s="24"/>
      <c r="BQ830" s="24"/>
      <c r="BR830" s="43"/>
      <c r="BS830" s="24"/>
      <c r="BT830" s="24"/>
      <c r="BU830" s="24"/>
      <c r="BV830" s="132" t="e">
        <f>IF(#REF!="COMPLETO","OK","PENDIENTES")</f>
        <v>#REF!</v>
      </c>
      <c r="BW830" s="325"/>
      <c r="BX830" s="325"/>
      <c r="BY830" s="325"/>
      <c r="BZ830" s="325"/>
      <c r="CA830" s="325"/>
      <c r="CB830" s="325"/>
      <c r="CC830" s="258"/>
      <c r="CG830" s="24" t="s">
        <v>105</v>
      </c>
      <c r="CH830" s="24"/>
      <c r="CI830" s="24"/>
      <c r="CJ830" s="24"/>
    </row>
    <row r="831" spans="1:88" ht="15" customHeight="1">
      <c r="A831" s="18">
        <v>2020</v>
      </c>
      <c r="B831" s="18" t="str">
        <f>+INDEX(BDD!F:F,MATCH(P831,BDD!D:D,0))&amp;"-"&amp;INDEX(BDD!E:E,MATCH(P831,BDD!D:D,0))</f>
        <v>G-C</v>
      </c>
      <c r="C831" s="125" t="s">
        <v>484</v>
      </c>
      <c r="D831" s="152" t="s">
        <v>20</v>
      </c>
      <c r="E831" s="132"/>
      <c r="F831" s="24"/>
      <c r="G831" s="346"/>
      <c r="H831" s="125" t="s">
        <v>3343</v>
      </c>
      <c r="I831" s="329"/>
      <c r="J831" s="346"/>
      <c r="K831" s="24"/>
      <c r="L831" s="24"/>
      <c r="M831" s="24"/>
      <c r="N831" s="340"/>
      <c r="O831" s="334"/>
      <c r="P831" s="25" t="s">
        <v>226</v>
      </c>
      <c r="Q831" s="127" t="s">
        <v>3344</v>
      </c>
      <c r="R831" s="232"/>
      <c r="S831" s="89"/>
      <c r="T831" s="36"/>
      <c r="U831" s="125"/>
      <c r="V831" s="147"/>
      <c r="W831" s="129"/>
      <c r="X831" s="88"/>
      <c r="Y831" s="130"/>
      <c r="Z831" s="133"/>
      <c r="AA831" s="133"/>
      <c r="AB831" s="260"/>
      <c r="AC831" s="134"/>
      <c r="AD831" s="134"/>
      <c r="AE831" s="403">
        <f t="shared" si="40"/>
        <v>0</v>
      </c>
      <c r="AF831" s="132"/>
      <c r="AG831" s="130"/>
      <c r="AH831" s="130"/>
      <c r="AI831" s="130"/>
      <c r="AJ831" s="130"/>
      <c r="AK831" s="130"/>
      <c r="AL831" s="135"/>
      <c r="AM831" s="314"/>
      <c r="AN831" s="26"/>
      <c r="AO831" s="26"/>
      <c r="AP831" s="26"/>
      <c r="AQ831" s="26"/>
      <c r="AR831" s="24"/>
      <c r="AS831" s="24"/>
      <c r="AT831" s="24"/>
      <c r="AU831" s="418">
        <f t="shared" si="41"/>
        <v>1</v>
      </c>
      <c r="AV831" s="418">
        <f t="shared" si="42"/>
        <v>1900</v>
      </c>
      <c r="AW831" s="24"/>
      <c r="AX831" s="28"/>
      <c r="AY831" s="28"/>
      <c r="AZ831" s="132"/>
      <c r="BA831" s="132"/>
      <c r="BB831" s="24"/>
      <c r="BC831" s="135"/>
      <c r="BD831" s="24"/>
      <c r="BE831" s="135"/>
      <c r="BF831" s="135"/>
      <c r="BG831" s="135"/>
      <c r="BH831" s="135"/>
      <c r="BI831" s="314"/>
      <c r="BJ831" s="314"/>
      <c r="BK831" s="24"/>
      <c r="BL831" s="24"/>
      <c r="BM831" s="24"/>
      <c r="BN831" s="24"/>
      <c r="BO831" s="24"/>
      <c r="BP831" s="24"/>
      <c r="BQ831" s="24"/>
      <c r="BR831" s="43"/>
      <c r="BS831" s="24"/>
      <c r="BT831" s="24"/>
      <c r="BU831" s="24"/>
      <c r="BV831" s="132"/>
      <c r="BW831" s="325"/>
      <c r="BX831" s="325"/>
      <c r="BY831" s="325"/>
      <c r="BZ831" s="325"/>
      <c r="CA831" s="325"/>
      <c r="CB831" s="325"/>
      <c r="CC831" s="258"/>
      <c r="CD831" s="22"/>
      <c r="CE831" s="22"/>
      <c r="CF831" s="22"/>
      <c r="CG831" s="24"/>
      <c r="CH831" s="24"/>
      <c r="CI831" s="24"/>
      <c r="CJ831" s="24"/>
    </row>
    <row r="832" spans="1:88" ht="15" customHeight="1">
      <c r="A832" s="18">
        <v>2020</v>
      </c>
      <c r="B832" s="18" t="str">
        <f>+INDEX(BDD!F:F,MATCH(P832,BDD!D:D,0))&amp;"-"&amp;INDEX(BDD!E:E,MATCH(P832,BDD!D:D,0))</f>
        <v>G-C</v>
      </c>
      <c r="C832" s="125" t="s">
        <v>484</v>
      </c>
      <c r="D832" s="152" t="s">
        <v>20</v>
      </c>
      <c r="E832" s="132"/>
      <c r="F832" s="24"/>
      <c r="G832" s="346"/>
      <c r="H832" s="125" t="s">
        <v>3345</v>
      </c>
      <c r="I832" s="329"/>
      <c r="J832" s="346"/>
      <c r="K832" s="24"/>
      <c r="L832" s="24"/>
      <c r="M832" s="24"/>
      <c r="N832" s="340"/>
      <c r="O832" s="334"/>
      <c r="P832" s="25" t="s">
        <v>226</v>
      </c>
      <c r="Q832" s="127" t="s">
        <v>3344</v>
      </c>
      <c r="R832" s="232"/>
      <c r="S832" s="89"/>
      <c r="T832" s="36"/>
      <c r="U832" s="125"/>
      <c r="V832" s="147"/>
      <c r="W832" s="129"/>
      <c r="X832" s="88"/>
      <c r="Y832" s="130"/>
      <c r="Z832" s="133"/>
      <c r="AA832" s="133"/>
      <c r="AB832" s="260"/>
      <c r="AC832" s="134"/>
      <c r="AD832" s="134"/>
      <c r="AE832" s="403">
        <f t="shared" si="40"/>
        <v>0</v>
      </c>
      <c r="AF832" s="132"/>
      <c r="AG832" s="130"/>
      <c r="AH832" s="130"/>
      <c r="AI832" s="130"/>
      <c r="AJ832" s="130"/>
      <c r="AK832" s="130"/>
      <c r="AL832" s="135"/>
      <c r="AM832" s="314"/>
      <c r="AN832" s="26"/>
      <c r="AO832" s="26"/>
      <c r="AP832" s="26"/>
      <c r="AQ832" s="26"/>
      <c r="AR832" s="24"/>
      <c r="AS832" s="24"/>
      <c r="AT832" s="24"/>
      <c r="AU832" s="418">
        <f t="shared" si="41"/>
        <v>1</v>
      </c>
      <c r="AV832" s="418">
        <f t="shared" si="42"/>
        <v>1900</v>
      </c>
      <c r="AW832" s="24"/>
      <c r="AX832" s="28"/>
      <c r="AY832" s="28"/>
      <c r="AZ832" s="132"/>
      <c r="BA832" s="132"/>
      <c r="BB832" s="24"/>
      <c r="BC832" s="135"/>
      <c r="BD832" s="24"/>
      <c r="BE832" s="135"/>
      <c r="BF832" s="135"/>
      <c r="BG832" s="135"/>
      <c r="BH832" s="135"/>
      <c r="BI832" s="314"/>
      <c r="BJ832" s="314"/>
      <c r="BK832" s="24"/>
      <c r="BL832" s="24"/>
      <c r="BM832" s="24"/>
      <c r="BN832" s="24"/>
      <c r="BO832" s="24"/>
      <c r="BP832" s="24"/>
      <c r="BQ832" s="24"/>
      <c r="BR832" s="43"/>
      <c r="BS832" s="24"/>
      <c r="BT832" s="24"/>
      <c r="BU832" s="24"/>
      <c r="BV832" s="132"/>
      <c r="BW832" s="325"/>
      <c r="BX832" s="325"/>
      <c r="BY832" s="325"/>
      <c r="BZ832" s="325"/>
      <c r="CA832" s="325"/>
      <c r="CB832" s="325"/>
      <c r="CC832" s="258"/>
      <c r="CD832" s="22"/>
      <c r="CE832" s="22"/>
      <c r="CF832" s="22"/>
      <c r="CG832" s="24"/>
      <c r="CH832" s="24"/>
      <c r="CI832" s="24"/>
      <c r="CJ832" s="24"/>
    </row>
    <row r="833" spans="1:88" ht="15" customHeight="1">
      <c r="A833" s="18">
        <v>2020</v>
      </c>
      <c r="B833" s="18" t="str">
        <f>+INDEX(BDD!F:F,MATCH(P833,BDD!D:D,0))&amp;"-"&amp;INDEX(BDD!E:E,MATCH(P833,BDD!D:D,0))</f>
        <v>G-C</v>
      </c>
      <c r="C833" s="125" t="s">
        <v>484</v>
      </c>
      <c r="D833" s="152" t="s">
        <v>20</v>
      </c>
      <c r="E833" s="132"/>
      <c r="F833" s="24"/>
      <c r="G833" s="346"/>
      <c r="H833" s="125" t="s">
        <v>3346</v>
      </c>
      <c r="I833" s="329"/>
      <c r="J833" s="346"/>
      <c r="K833" s="24"/>
      <c r="L833" s="24"/>
      <c r="M833" s="24"/>
      <c r="N833" s="340"/>
      <c r="O833" s="334"/>
      <c r="P833" s="25" t="s">
        <v>226</v>
      </c>
      <c r="Q833" s="127" t="s">
        <v>3344</v>
      </c>
      <c r="R833" s="232"/>
      <c r="S833" s="89"/>
      <c r="T833" s="36"/>
      <c r="U833" s="125"/>
      <c r="V833" s="147"/>
      <c r="W833" s="129"/>
      <c r="X833" s="88"/>
      <c r="Y833" s="130"/>
      <c r="Z833" s="133"/>
      <c r="AA833" s="133"/>
      <c r="AB833" s="260"/>
      <c r="AC833" s="134"/>
      <c r="AD833" s="134"/>
      <c r="AE833" s="403">
        <f t="shared" si="40"/>
        <v>0</v>
      </c>
      <c r="AF833" s="132"/>
      <c r="AG833" s="130"/>
      <c r="AH833" s="130"/>
      <c r="AI833" s="130"/>
      <c r="AJ833" s="130"/>
      <c r="AK833" s="130"/>
      <c r="AL833" s="135"/>
      <c r="AM833" s="314"/>
      <c r="AN833" s="26"/>
      <c r="AO833" s="26"/>
      <c r="AP833" s="26"/>
      <c r="AQ833" s="26"/>
      <c r="AR833" s="24"/>
      <c r="AS833" s="24"/>
      <c r="AT833" s="24"/>
      <c r="AU833" s="418">
        <f t="shared" si="41"/>
        <v>1</v>
      </c>
      <c r="AV833" s="418">
        <f t="shared" si="42"/>
        <v>1900</v>
      </c>
      <c r="AW833" s="24"/>
      <c r="AX833" s="28"/>
      <c r="AY833" s="28"/>
      <c r="AZ833" s="132"/>
      <c r="BA833" s="132"/>
      <c r="BB833" s="24"/>
      <c r="BC833" s="135"/>
      <c r="BD833" s="24"/>
      <c r="BE833" s="135"/>
      <c r="BF833" s="135"/>
      <c r="BG833" s="135"/>
      <c r="BH833" s="135"/>
      <c r="BI833" s="314"/>
      <c r="BJ833" s="314"/>
      <c r="BK833" s="24"/>
      <c r="BL833" s="24"/>
      <c r="BM833" s="24"/>
      <c r="BN833" s="24"/>
      <c r="BO833" s="24"/>
      <c r="BP833" s="24"/>
      <c r="BQ833" s="24"/>
      <c r="BR833" s="43"/>
      <c r="BS833" s="24"/>
      <c r="BT833" s="24"/>
      <c r="BU833" s="24"/>
      <c r="BV833" s="132"/>
      <c r="BW833" s="325"/>
      <c r="BX833" s="325"/>
      <c r="BY833" s="325"/>
      <c r="BZ833" s="325"/>
      <c r="CA833" s="325"/>
      <c r="CB833" s="325"/>
      <c r="CC833" s="258"/>
      <c r="CD833" s="22"/>
      <c r="CE833" s="22"/>
      <c r="CF833" s="22"/>
      <c r="CG833" s="24"/>
      <c r="CH833" s="24"/>
      <c r="CI833" s="24"/>
      <c r="CJ833" s="24"/>
    </row>
    <row r="834" spans="1:88" ht="15" customHeight="1">
      <c r="A834" s="18">
        <v>2020</v>
      </c>
      <c r="B834" s="18" t="str">
        <f>+INDEX(BDD!F:F,MATCH(P834,BDD!D:D,0))&amp;"-"&amp;INDEX(BDD!E:E,MATCH(P834,BDD!D:D,0))</f>
        <v>G-C</v>
      </c>
      <c r="C834" s="125" t="s">
        <v>484</v>
      </c>
      <c r="D834" s="152" t="s">
        <v>20</v>
      </c>
      <c r="E834" s="132"/>
      <c r="F834" s="24"/>
      <c r="G834" s="346"/>
      <c r="H834" s="125" t="s">
        <v>3347</v>
      </c>
      <c r="I834" s="329"/>
      <c r="J834" s="346"/>
      <c r="K834" s="24"/>
      <c r="L834" s="24"/>
      <c r="M834" s="24"/>
      <c r="N834" s="340"/>
      <c r="O834" s="334"/>
      <c r="P834" s="25" t="s">
        <v>226</v>
      </c>
      <c r="Q834" s="127" t="s">
        <v>3344</v>
      </c>
      <c r="R834" s="232"/>
      <c r="S834" s="89"/>
      <c r="T834" s="36"/>
      <c r="U834" s="125"/>
      <c r="V834" s="147"/>
      <c r="W834" s="129"/>
      <c r="X834" s="88"/>
      <c r="Y834" s="130"/>
      <c r="Z834" s="133"/>
      <c r="AA834" s="133"/>
      <c r="AB834" s="260"/>
      <c r="AC834" s="134"/>
      <c r="AD834" s="134"/>
      <c r="AE834" s="403">
        <f t="shared" ref="AE834:AE897" si="46">AB834*AC834</f>
        <v>0</v>
      </c>
      <c r="AF834" s="132"/>
      <c r="AG834" s="130"/>
      <c r="AH834" s="130"/>
      <c r="AI834" s="130"/>
      <c r="AJ834" s="130"/>
      <c r="AK834" s="130"/>
      <c r="AL834" s="135"/>
      <c r="AM834" s="314"/>
      <c r="AN834" s="26"/>
      <c r="AO834" s="26"/>
      <c r="AP834" s="26"/>
      <c r="AQ834" s="26"/>
      <c r="AR834" s="24"/>
      <c r="AS834" s="24"/>
      <c r="AT834" s="24"/>
      <c r="AU834" s="418">
        <f t="shared" si="41"/>
        <v>1</v>
      </c>
      <c r="AV834" s="418">
        <f t="shared" si="42"/>
        <v>1900</v>
      </c>
      <c r="AW834" s="24"/>
      <c r="AX834" s="28"/>
      <c r="AY834" s="28"/>
      <c r="AZ834" s="132"/>
      <c r="BA834" s="132"/>
      <c r="BB834" s="24"/>
      <c r="BC834" s="135"/>
      <c r="BD834" s="24"/>
      <c r="BE834" s="135"/>
      <c r="BF834" s="135"/>
      <c r="BG834" s="135"/>
      <c r="BH834" s="135"/>
      <c r="BI834" s="314"/>
      <c r="BJ834" s="314"/>
      <c r="BK834" s="24"/>
      <c r="BL834" s="24"/>
      <c r="BM834" s="24"/>
      <c r="BN834" s="24"/>
      <c r="BO834" s="24"/>
      <c r="BP834" s="24"/>
      <c r="BQ834" s="24"/>
      <c r="BR834" s="43"/>
      <c r="BS834" s="24"/>
      <c r="BT834" s="24"/>
      <c r="BU834" s="24"/>
      <c r="BV834" s="132"/>
      <c r="BW834" s="325"/>
      <c r="BX834" s="325"/>
      <c r="BY834" s="325"/>
      <c r="BZ834" s="325"/>
      <c r="CA834" s="325"/>
      <c r="CB834" s="325"/>
      <c r="CC834" s="258"/>
      <c r="CD834" s="22"/>
      <c r="CE834" s="22"/>
      <c r="CF834" s="22"/>
      <c r="CG834" s="24"/>
      <c r="CH834" s="24"/>
      <c r="CI834" s="24"/>
      <c r="CJ834" s="24"/>
    </row>
    <row r="835" spans="1:88" ht="15" customHeight="1">
      <c r="A835" s="18">
        <v>2020</v>
      </c>
      <c r="B835" s="18" t="str">
        <f>+INDEX(BDD!F:F,MATCH(P835,BDD!D:D,0))&amp;"-"&amp;INDEX(BDD!E:E,MATCH(P835,BDD!D:D,0))</f>
        <v>G-S</v>
      </c>
      <c r="C835" s="125" t="s">
        <v>484</v>
      </c>
      <c r="D835" s="150" t="s">
        <v>77</v>
      </c>
      <c r="E835" s="132"/>
      <c r="F835" s="24"/>
      <c r="G835" s="346">
        <v>8000000759</v>
      </c>
      <c r="H835" s="125" t="s">
        <v>3348</v>
      </c>
      <c r="I835" s="329"/>
      <c r="J835" s="346">
        <v>8000000759</v>
      </c>
      <c r="K835" s="24"/>
      <c r="L835" s="24"/>
      <c r="M835" s="24"/>
      <c r="N835" s="340" t="s">
        <v>486</v>
      </c>
      <c r="O835" s="334">
        <v>207951</v>
      </c>
      <c r="P835" s="25" t="s">
        <v>354</v>
      </c>
      <c r="Q835" s="127" t="s">
        <v>237</v>
      </c>
      <c r="R835" s="232" t="s">
        <v>3349</v>
      </c>
      <c r="S835" s="89">
        <v>43854</v>
      </c>
      <c r="T835" s="36" t="s">
        <v>19</v>
      </c>
      <c r="U835" s="125"/>
      <c r="V835" s="147" t="s">
        <v>3350</v>
      </c>
      <c r="W835" s="129"/>
      <c r="X835" s="88" t="s">
        <v>944</v>
      </c>
      <c r="Y835" s="130" t="s">
        <v>20</v>
      </c>
      <c r="Z835" s="133" t="s">
        <v>60</v>
      </c>
      <c r="AA835" s="133"/>
      <c r="AB835" s="241">
        <v>1500</v>
      </c>
      <c r="AC835" s="134">
        <v>260</v>
      </c>
      <c r="AD835" s="134">
        <v>52.5</v>
      </c>
      <c r="AE835" s="403">
        <f t="shared" si="46"/>
        <v>390000</v>
      </c>
      <c r="AF835" s="132" t="s">
        <v>944</v>
      </c>
      <c r="AG835" s="130" t="s">
        <v>46</v>
      </c>
      <c r="AH835" s="130"/>
      <c r="AI835" s="130" t="s">
        <v>100</v>
      </c>
      <c r="AJ835" s="130"/>
      <c r="AK835" s="130"/>
      <c r="AL835" s="135" t="s">
        <v>3261</v>
      </c>
      <c r="AM835" s="314"/>
      <c r="AN835" s="26"/>
      <c r="AO835" s="26"/>
      <c r="AP835" s="26"/>
      <c r="AQ835" s="26">
        <v>43943</v>
      </c>
      <c r="AR835" s="41"/>
      <c r="AS835" s="41"/>
      <c r="AT835" s="24">
        <v>43945</v>
      </c>
      <c r="AU835" s="418">
        <f t="shared" ref="AU835:AU898" si="47">MONTH(AT835)</f>
        <v>4</v>
      </c>
      <c r="AV835" s="418">
        <f t="shared" ref="AV835:AV898" si="48">YEAR(AT835)</f>
        <v>2020</v>
      </c>
      <c r="AW835" s="24"/>
      <c r="AX835" s="28"/>
      <c r="AY835" s="28" t="s">
        <v>205</v>
      </c>
      <c r="AZ835" s="132" t="s">
        <v>9</v>
      </c>
      <c r="BA835" s="132"/>
      <c r="BB835" s="24" t="s">
        <v>2956</v>
      </c>
      <c r="BC835" s="135">
        <v>1</v>
      </c>
      <c r="BD835" s="24">
        <v>43903</v>
      </c>
      <c r="BE835" s="135" t="s">
        <v>3351</v>
      </c>
      <c r="BF835" s="135" t="s">
        <v>3351</v>
      </c>
      <c r="BG835" s="135" t="s">
        <v>52</v>
      </c>
      <c r="BH835" s="135"/>
      <c r="BI835" s="314" t="s">
        <v>117</v>
      </c>
      <c r="BJ835" s="314"/>
      <c r="BK835" s="24"/>
      <c r="BL835" s="24"/>
      <c r="BM835" s="24"/>
      <c r="BN835" s="24"/>
      <c r="BO835" s="41"/>
      <c r="BP835" s="41"/>
      <c r="BQ835" s="41"/>
      <c r="BR835" s="43"/>
      <c r="BS835" s="41"/>
      <c r="BT835" s="41"/>
      <c r="BU835" s="41"/>
      <c r="BV835" s="132" t="e">
        <f>IF(#REF!="COMPLETO","OK","PENDIENTES")</f>
        <v>#REF!</v>
      </c>
      <c r="BW835" s="325"/>
      <c r="BX835" s="325"/>
      <c r="BY835" s="325"/>
      <c r="BZ835" s="325"/>
      <c r="CA835" s="325"/>
      <c r="CB835" s="325"/>
      <c r="CC835" s="258"/>
      <c r="CG835" s="24" t="s">
        <v>105</v>
      </c>
      <c r="CH835" s="24"/>
      <c r="CI835" s="24"/>
      <c r="CJ835" s="24"/>
    </row>
    <row r="836" spans="1:88" ht="15" customHeight="1">
      <c r="A836" s="18">
        <v>2020</v>
      </c>
      <c r="B836" s="18" t="str">
        <f>+INDEX(BDD!F:F,MATCH(P836,BDD!D:D,0))&amp;"-"&amp;INDEX(BDD!E:E,MATCH(P836,BDD!D:D,0))</f>
        <v>G-S</v>
      </c>
      <c r="C836" s="125" t="s">
        <v>484</v>
      </c>
      <c r="D836" s="150" t="s">
        <v>77</v>
      </c>
      <c r="E836" s="132"/>
      <c r="F836" s="24"/>
      <c r="G836" s="346">
        <v>8000000764</v>
      </c>
      <c r="H836" s="125" t="s">
        <v>3352</v>
      </c>
      <c r="I836" s="329"/>
      <c r="J836" s="346">
        <v>8000000764</v>
      </c>
      <c r="K836" s="24"/>
      <c r="L836" s="24"/>
      <c r="M836" s="24"/>
      <c r="N836" s="340" t="s">
        <v>486</v>
      </c>
      <c r="O836" s="334">
        <v>207951</v>
      </c>
      <c r="P836" s="25" t="s">
        <v>354</v>
      </c>
      <c r="Q836" s="127" t="s">
        <v>237</v>
      </c>
      <c r="R836" s="232" t="s">
        <v>3349</v>
      </c>
      <c r="S836" s="89">
        <v>43854</v>
      </c>
      <c r="T836" s="36" t="s">
        <v>19</v>
      </c>
      <c r="U836" s="125"/>
      <c r="V836" s="147" t="s">
        <v>3353</v>
      </c>
      <c r="W836" s="129"/>
      <c r="X836" s="88" t="s">
        <v>944</v>
      </c>
      <c r="Y836" s="130" t="s">
        <v>20</v>
      </c>
      <c r="Z836" s="133" t="s">
        <v>60</v>
      </c>
      <c r="AA836" s="133"/>
      <c r="AB836" s="241">
        <v>1250</v>
      </c>
      <c r="AC836" s="134">
        <v>260</v>
      </c>
      <c r="AD836" s="134">
        <v>52.5</v>
      </c>
      <c r="AE836" s="403">
        <f t="shared" si="46"/>
        <v>325000</v>
      </c>
      <c r="AF836" s="132" t="s">
        <v>944</v>
      </c>
      <c r="AG836" s="130" t="s">
        <v>46</v>
      </c>
      <c r="AH836" s="130"/>
      <c r="AI836" s="130" t="s">
        <v>100</v>
      </c>
      <c r="AJ836" s="130"/>
      <c r="AK836" s="130"/>
      <c r="AL836" s="135" t="s">
        <v>3261</v>
      </c>
      <c r="AM836" s="314"/>
      <c r="AN836" s="26"/>
      <c r="AO836" s="26"/>
      <c r="AP836" s="26"/>
      <c r="AQ836" s="26">
        <v>43946</v>
      </c>
      <c r="AR836" s="41"/>
      <c r="AS836" s="41"/>
      <c r="AT836" s="24">
        <v>43949</v>
      </c>
      <c r="AU836" s="418">
        <f t="shared" si="47"/>
        <v>4</v>
      </c>
      <c r="AV836" s="418">
        <f t="shared" si="48"/>
        <v>2020</v>
      </c>
      <c r="AW836" s="24"/>
      <c r="AX836" s="28"/>
      <c r="AY836" s="28" t="s">
        <v>205</v>
      </c>
      <c r="AZ836" s="132" t="s">
        <v>25</v>
      </c>
      <c r="BA836" s="132"/>
      <c r="BB836" s="24" t="s">
        <v>2956</v>
      </c>
      <c r="BC836" s="135">
        <v>2</v>
      </c>
      <c r="BD836" s="24">
        <v>43903</v>
      </c>
      <c r="BE836" s="135" t="s">
        <v>3351</v>
      </c>
      <c r="BF836" s="135" t="s">
        <v>3351</v>
      </c>
      <c r="BG836" s="135" t="s">
        <v>52</v>
      </c>
      <c r="BH836" s="135"/>
      <c r="BI836" s="314" t="s">
        <v>117</v>
      </c>
      <c r="BJ836" s="314"/>
      <c r="BK836" s="24"/>
      <c r="BL836" s="24"/>
      <c r="BM836" s="24"/>
      <c r="BN836" s="24"/>
      <c r="BO836" s="41"/>
      <c r="BP836" s="41"/>
      <c r="BQ836" s="41"/>
      <c r="BR836" s="43"/>
      <c r="BS836" s="41"/>
      <c r="BT836" s="41"/>
      <c r="BU836" s="41"/>
      <c r="BV836" s="132" t="e">
        <f>IF(#REF!="COMPLETO","OK","PENDIENTES")</f>
        <v>#REF!</v>
      </c>
      <c r="BW836" s="325"/>
      <c r="BX836" s="325"/>
      <c r="BY836" s="325"/>
      <c r="BZ836" s="325"/>
      <c r="CA836" s="325"/>
      <c r="CB836" s="325"/>
      <c r="CC836" s="258"/>
      <c r="CG836" s="24" t="s">
        <v>105</v>
      </c>
      <c r="CH836" s="24"/>
      <c r="CI836" s="24"/>
      <c r="CJ836" s="24"/>
    </row>
    <row r="837" spans="1:88" ht="15" customHeight="1">
      <c r="A837" s="18">
        <v>2020</v>
      </c>
      <c r="B837" s="18" t="str">
        <f>+INDEX(BDD!F:F,MATCH(P837,BDD!D:D,0))&amp;"-"&amp;INDEX(BDD!E:E,MATCH(P837,BDD!D:D,0))</f>
        <v>G-S</v>
      </c>
      <c r="C837" s="125" t="s">
        <v>484</v>
      </c>
      <c r="D837" s="150" t="s">
        <v>77</v>
      </c>
      <c r="E837" s="132"/>
      <c r="F837" s="24"/>
      <c r="G837" s="346">
        <v>8000000767</v>
      </c>
      <c r="H837" s="125" t="s">
        <v>3354</v>
      </c>
      <c r="I837" s="329"/>
      <c r="J837" s="346">
        <v>8000000767</v>
      </c>
      <c r="K837" s="24"/>
      <c r="L837" s="24"/>
      <c r="M837" s="24"/>
      <c r="N837" s="340" t="s">
        <v>486</v>
      </c>
      <c r="O837" s="334">
        <v>207951</v>
      </c>
      <c r="P837" s="25" t="s">
        <v>354</v>
      </c>
      <c r="Q837" s="127" t="s">
        <v>237</v>
      </c>
      <c r="R837" s="232" t="s">
        <v>3349</v>
      </c>
      <c r="S837" s="89">
        <v>43854</v>
      </c>
      <c r="T837" s="36" t="s">
        <v>19</v>
      </c>
      <c r="U837" s="125"/>
      <c r="V837" s="147" t="s">
        <v>3355</v>
      </c>
      <c r="W837" s="129"/>
      <c r="X837" s="88" t="s">
        <v>944</v>
      </c>
      <c r="Y837" s="130" t="s">
        <v>20</v>
      </c>
      <c r="Z837" s="133" t="s">
        <v>60</v>
      </c>
      <c r="AA837" s="133"/>
      <c r="AB837" s="241">
        <v>1550</v>
      </c>
      <c r="AC837" s="134">
        <v>260</v>
      </c>
      <c r="AD837" s="134">
        <v>52.5</v>
      </c>
      <c r="AE837" s="403">
        <f t="shared" si="46"/>
        <v>403000</v>
      </c>
      <c r="AF837" s="132" t="s">
        <v>944</v>
      </c>
      <c r="AG837" s="130" t="s">
        <v>46</v>
      </c>
      <c r="AH837" s="130"/>
      <c r="AI837" s="130" t="s">
        <v>100</v>
      </c>
      <c r="AJ837" s="130"/>
      <c r="AK837" s="130"/>
      <c r="AL837" s="135" t="s">
        <v>3261</v>
      </c>
      <c r="AM837" s="314"/>
      <c r="AN837" s="26"/>
      <c r="AO837" s="26"/>
      <c r="AP837" s="26"/>
      <c r="AQ837" s="26">
        <v>43951</v>
      </c>
      <c r="AR837" s="41"/>
      <c r="AS837" s="41"/>
      <c r="AT837" s="24">
        <v>43954</v>
      </c>
      <c r="AU837" s="418">
        <f t="shared" si="47"/>
        <v>5</v>
      </c>
      <c r="AV837" s="418">
        <f t="shared" si="48"/>
        <v>2020</v>
      </c>
      <c r="AW837" s="24"/>
      <c r="AX837" s="28"/>
      <c r="AY837" s="28" t="s">
        <v>205</v>
      </c>
      <c r="AZ837" s="132" t="s">
        <v>37</v>
      </c>
      <c r="BA837" s="132"/>
      <c r="BB837" s="24" t="s">
        <v>3291</v>
      </c>
      <c r="BC837" s="135">
        <v>3</v>
      </c>
      <c r="BD837" s="24">
        <v>43903</v>
      </c>
      <c r="BE837" s="135" t="s">
        <v>3351</v>
      </c>
      <c r="BF837" s="135" t="s">
        <v>3351</v>
      </c>
      <c r="BG837" s="135" t="s">
        <v>52</v>
      </c>
      <c r="BH837" s="135"/>
      <c r="BI837" s="314" t="s">
        <v>117</v>
      </c>
      <c r="BJ837" s="314"/>
      <c r="BK837" s="24"/>
      <c r="BL837" s="24"/>
      <c r="BM837" s="24"/>
      <c r="BN837" s="24"/>
      <c r="BO837" s="41"/>
      <c r="BP837" s="41"/>
      <c r="BQ837" s="41"/>
      <c r="BR837" s="43"/>
      <c r="BS837" s="41"/>
      <c r="BT837" s="41"/>
      <c r="BU837" s="41"/>
      <c r="BV837" s="132" t="e">
        <f>IF(#REF!="COMPLETO","OK","PENDIENTES")</f>
        <v>#REF!</v>
      </c>
      <c r="BW837" s="325"/>
      <c r="BX837" s="325"/>
      <c r="BY837" s="325"/>
      <c r="BZ837" s="325"/>
      <c r="CA837" s="325"/>
      <c r="CB837" s="325"/>
      <c r="CC837" s="258"/>
      <c r="CG837" s="24" t="s">
        <v>105</v>
      </c>
      <c r="CH837" s="24"/>
      <c r="CI837" s="24"/>
      <c r="CJ837" s="24"/>
    </row>
    <row r="838" spans="1:88" ht="15" customHeight="1">
      <c r="A838" s="18">
        <v>2020</v>
      </c>
      <c r="B838" s="18" t="str">
        <f>+INDEX(BDD!F:F,MATCH(P838,BDD!D:D,0))&amp;"-"&amp;INDEX(BDD!E:E,MATCH(P838,BDD!D:D,0))</f>
        <v>G-S</v>
      </c>
      <c r="C838" s="125" t="s">
        <v>484</v>
      </c>
      <c r="D838" s="150" t="s">
        <v>77</v>
      </c>
      <c r="E838" s="132"/>
      <c r="F838" s="24"/>
      <c r="G838" s="346">
        <v>8000000769</v>
      </c>
      <c r="H838" s="125" t="s">
        <v>3356</v>
      </c>
      <c r="I838" s="329"/>
      <c r="J838" s="346">
        <v>8000000769</v>
      </c>
      <c r="K838" s="24"/>
      <c r="L838" s="24"/>
      <c r="M838" s="24"/>
      <c r="N838" s="340" t="s">
        <v>486</v>
      </c>
      <c r="O838" s="334">
        <v>207951</v>
      </c>
      <c r="P838" s="25" t="s">
        <v>354</v>
      </c>
      <c r="Q838" s="127" t="s">
        <v>237</v>
      </c>
      <c r="R838" s="232" t="s">
        <v>3349</v>
      </c>
      <c r="S838" s="89">
        <v>43854</v>
      </c>
      <c r="T838" s="36" t="s">
        <v>19</v>
      </c>
      <c r="U838" s="125"/>
      <c r="V838" s="147" t="s">
        <v>3357</v>
      </c>
      <c r="W838" s="129"/>
      <c r="X838" s="88" t="s">
        <v>944</v>
      </c>
      <c r="Y838" s="130" t="s">
        <v>20</v>
      </c>
      <c r="Z838" s="133" t="s">
        <v>60</v>
      </c>
      <c r="AA838" s="133"/>
      <c r="AB838" s="241">
        <v>250</v>
      </c>
      <c r="AC838" s="134">
        <v>260</v>
      </c>
      <c r="AD838" s="134">
        <v>52.5</v>
      </c>
      <c r="AE838" s="403">
        <f t="shared" si="46"/>
        <v>65000</v>
      </c>
      <c r="AF838" s="132" t="s">
        <v>944</v>
      </c>
      <c r="AG838" s="130" t="s">
        <v>46</v>
      </c>
      <c r="AH838" s="130"/>
      <c r="AI838" s="130" t="s">
        <v>100</v>
      </c>
      <c r="AJ838" s="130"/>
      <c r="AK838" s="130"/>
      <c r="AL838" s="135" t="s">
        <v>3261</v>
      </c>
      <c r="AM838" s="314"/>
      <c r="AN838" s="26"/>
      <c r="AO838" s="26"/>
      <c r="AP838" s="26"/>
      <c r="AQ838" s="26">
        <v>43956</v>
      </c>
      <c r="AR838" s="41"/>
      <c r="AS838" s="41"/>
      <c r="AT838" s="24">
        <v>43961</v>
      </c>
      <c r="AU838" s="418">
        <f t="shared" si="47"/>
        <v>5</v>
      </c>
      <c r="AV838" s="418">
        <f t="shared" si="48"/>
        <v>2020</v>
      </c>
      <c r="AW838" s="24"/>
      <c r="AX838" s="28"/>
      <c r="AY838" s="28" t="s">
        <v>205</v>
      </c>
      <c r="AZ838" s="132" t="s">
        <v>62</v>
      </c>
      <c r="BA838" s="132"/>
      <c r="BB838" s="24" t="s">
        <v>3264</v>
      </c>
      <c r="BC838" s="232" t="s">
        <v>2468</v>
      </c>
      <c r="BD838" s="24">
        <v>43903</v>
      </c>
      <c r="BE838" s="135" t="s">
        <v>3351</v>
      </c>
      <c r="BF838" s="135" t="s">
        <v>3351</v>
      </c>
      <c r="BG838" s="135" t="s">
        <v>52</v>
      </c>
      <c r="BH838" s="135"/>
      <c r="BI838" s="314" t="s">
        <v>117</v>
      </c>
      <c r="BJ838" s="314"/>
      <c r="BK838" s="24"/>
      <c r="BL838" s="24"/>
      <c r="BM838" s="24"/>
      <c r="BN838" s="24"/>
      <c r="BO838" s="41"/>
      <c r="BP838" s="41"/>
      <c r="BQ838" s="41"/>
      <c r="BR838" s="43"/>
      <c r="BS838" s="41"/>
      <c r="BT838" s="41"/>
      <c r="BU838" s="41"/>
      <c r="BV838" s="132" t="e">
        <f>IF(#REF!="COMPLETO","OK","PENDIENTES")</f>
        <v>#REF!</v>
      </c>
      <c r="BW838" s="325"/>
      <c r="BX838" s="325"/>
      <c r="BY838" s="325"/>
      <c r="BZ838" s="325"/>
      <c r="CA838" s="325"/>
      <c r="CB838" s="325"/>
      <c r="CC838" s="258"/>
      <c r="CG838" s="24" t="s">
        <v>105</v>
      </c>
      <c r="CH838" s="24"/>
      <c r="CI838" s="24"/>
      <c r="CJ838" s="24"/>
    </row>
    <row r="839" spans="1:88" ht="15" customHeight="1">
      <c r="A839" s="18">
        <v>2020</v>
      </c>
      <c r="B839" s="18" t="str">
        <f>+INDEX(BDD!F:F,MATCH(P839,BDD!D:D,0))&amp;"-"&amp;INDEX(BDD!E:E,MATCH(P839,BDD!D:D,0))</f>
        <v>G-S</v>
      </c>
      <c r="C839" s="125" t="s">
        <v>484</v>
      </c>
      <c r="D839" s="150" t="s">
        <v>77</v>
      </c>
      <c r="E839" s="132"/>
      <c r="F839" s="24"/>
      <c r="G839" s="346">
        <v>8000000770</v>
      </c>
      <c r="H839" s="125" t="s">
        <v>3358</v>
      </c>
      <c r="I839" s="329"/>
      <c r="J839" s="346">
        <v>8000000770</v>
      </c>
      <c r="K839" s="24"/>
      <c r="L839" s="24"/>
      <c r="M839" s="24"/>
      <c r="N839" s="340" t="s">
        <v>486</v>
      </c>
      <c r="O839" s="334">
        <v>207951</v>
      </c>
      <c r="P839" s="25" t="s">
        <v>354</v>
      </c>
      <c r="Q839" s="127" t="s">
        <v>237</v>
      </c>
      <c r="R839" s="232" t="s">
        <v>3349</v>
      </c>
      <c r="S839" s="89">
        <v>43854</v>
      </c>
      <c r="T839" s="36" t="s">
        <v>19</v>
      </c>
      <c r="U839" s="125"/>
      <c r="V839" s="147" t="s">
        <v>3359</v>
      </c>
      <c r="W839" s="129"/>
      <c r="X839" s="88" t="s">
        <v>944</v>
      </c>
      <c r="Y839" s="130" t="s">
        <v>20</v>
      </c>
      <c r="Z839" s="133" t="s">
        <v>60</v>
      </c>
      <c r="AA839" s="133"/>
      <c r="AB839" s="241">
        <v>850</v>
      </c>
      <c r="AC839" s="134">
        <v>260</v>
      </c>
      <c r="AD839" s="134">
        <v>52.5</v>
      </c>
      <c r="AE839" s="403">
        <f t="shared" si="46"/>
        <v>221000</v>
      </c>
      <c r="AF839" s="132" t="s">
        <v>944</v>
      </c>
      <c r="AG839" s="130" t="s">
        <v>46</v>
      </c>
      <c r="AH839" s="130"/>
      <c r="AI839" s="130" t="s">
        <v>100</v>
      </c>
      <c r="AJ839" s="130"/>
      <c r="AK839" s="130"/>
      <c r="AL839" s="135" t="s">
        <v>3261</v>
      </c>
      <c r="AM839" s="314"/>
      <c r="AN839" s="26"/>
      <c r="AO839" s="26"/>
      <c r="AP839" s="26"/>
      <c r="AQ839" s="26">
        <v>43956</v>
      </c>
      <c r="AR839" s="41"/>
      <c r="AS839" s="41"/>
      <c r="AT839" s="24">
        <v>43961</v>
      </c>
      <c r="AU839" s="418">
        <f t="shared" si="47"/>
        <v>5</v>
      </c>
      <c r="AV839" s="418">
        <f t="shared" si="48"/>
        <v>2020</v>
      </c>
      <c r="AW839" s="24"/>
      <c r="AX839" s="28"/>
      <c r="AY839" s="28" t="s">
        <v>205</v>
      </c>
      <c r="AZ839" s="132" t="s">
        <v>62</v>
      </c>
      <c r="BA839" s="132"/>
      <c r="BB839" s="24" t="s">
        <v>3264</v>
      </c>
      <c r="BC839" s="232" t="s">
        <v>1632</v>
      </c>
      <c r="BD839" s="24">
        <v>43903</v>
      </c>
      <c r="BE839" s="135" t="s">
        <v>3351</v>
      </c>
      <c r="BF839" s="135" t="s">
        <v>3351</v>
      </c>
      <c r="BG839" s="135" t="s">
        <v>52</v>
      </c>
      <c r="BH839" s="135"/>
      <c r="BI839" s="314" t="s">
        <v>117</v>
      </c>
      <c r="BJ839" s="314"/>
      <c r="BK839" s="24"/>
      <c r="BL839" s="24"/>
      <c r="BM839" s="24"/>
      <c r="BN839" s="24"/>
      <c r="BO839" s="41"/>
      <c r="BP839" s="41"/>
      <c r="BQ839" s="41"/>
      <c r="BR839" s="43"/>
      <c r="BS839" s="41"/>
      <c r="BT839" s="41"/>
      <c r="BU839" s="41"/>
      <c r="BV839" s="132" t="e">
        <f>IF(#REF!="COMPLETO","OK","PENDIENTES")</f>
        <v>#REF!</v>
      </c>
      <c r="BW839" s="325"/>
      <c r="BX839" s="325"/>
      <c r="BY839" s="325"/>
      <c r="BZ839" s="325"/>
      <c r="CA839" s="325"/>
      <c r="CB839" s="325"/>
      <c r="CC839" s="258"/>
      <c r="CG839" s="24" t="s">
        <v>105</v>
      </c>
      <c r="CH839" s="24"/>
      <c r="CI839" s="24"/>
      <c r="CJ839" s="24"/>
    </row>
    <row r="840" spans="1:88" ht="15" customHeight="1">
      <c r="A840" s="18">
        <v>2020</v>
      </c>
      <c r="B840" s="18" t="str">
        <f>+INDEX(BDD!F:F,MATCH(P840,BDD!D:D,0))&amp;"-"&amp;INDEX(BDD!E:E,MATCH(P840,BDD!D:D,0))</f>
        <v>O-S</v>
      </c>
      <c r="C840" s="125" t="s">
        <v>484</v>
      </c>
      <c r="D840" s="150" t="s">
        <v>77</v>
      </c>
      <c r="E840" s="132"/>
      <c r="F840" s="24"/>
      <c r="G840" s="346">
        <v>8000000702</v>
      </c>
      <c r="H840" s="125" t="s">
        <v>3360</v>
      </c>
      <c r="I840" s="329"/>
      <c r="J840" s="346">
        <v>8000000702</v>
      </c>
      <c r="K840" s="24"/>
      <c r="L840" s="24"/>
      <c r="M840" s="24"/>
      <c r="N840" s="340" t="s">
        <v>486</v>
      </c>
      <c r="O840" s="334">
        <v>208061</v>
      </c>
      <c r="P840" s="25" t="s">
        <v>379</v>
      </c>
      <c r="Q840" s="127" t="s">
        <v>303</v>
      </c>
      <c r="R840" s="232" t="s">
        <v>544</v>
      </c>
      <c r="S840" s="89">
        <v>43854</v>
      </c>
      <c r="T840" s="36">
        <v>60</v>
      </c>
      <c r="U840" s="125" t="s">
        <v>118</v>
      </c>
      <c r="V840" s="147" t="s">
        <v>3361</v>
      </c>
      <c r="W840" s="129"/>
      <c r="X840" s="88">
        <f t="shared" ref="X840:X851" si="49">+BD840+T840</f>
        <v>43969</v>
      </c>
      <c r="Y840" s="130" t="s">
        <v>20</v>
      </c>
      <c r="Z840" s="133" t="s">
        <v>60</v>
      </c>
      <c r="AA840" s="133"/>
      <c r="AB840" s="241">
        <v>2701</v>
      </c>
      <c r="AC840" s="263">
        <f>366.9*1.01</f>
        <v>370.56899999999996</v>
      </c>
      <c r="AD840" s="134">
        <v>52.5</v>
      </c>
      <c r="AE840" s="403">
        <f t="shared" si="46"/>
        <v>1000906.8689999999</v>
      </c>
      <c r="AF840" s="132" t="s">
        <v>944</v>
      </c>
      <c r="AG840" s="130" t="s">
        <v>46</v>
      </c>
      <c r="AH840" s="130"/>
      <c r="AI840" s="130" t="s">
        <v>100</v>
      </c>
      <c r="AJ840" s="130"/>
      <c r="AK840" s="130"/>
      <c r="AL840" s="135" t="s">
        <v>3261</v>
      </c>
      <c r="AM840" s="314"/>
      <c r="AN840" s="26"/>
      <c r="AO840" s="26"/>
      <c r="AP840" s="26"/>
      <c r="AQ840" s="26">
        <v>43943</v>
      </c>
      <c r="AR840" s="24"/>
      <c r="AS840" s="24"/>
      <c r="AT840" s="24">
        <v>43945</v>
      </c>
      <c r="AU840" s="418">
        <f t="shared" si="47"/>
        <v>4</v>
      </c>
      <c r="AV840" s="418">
        <f t="shared" si="48"/>
        <v>2020</v>
      </c>
      <c r="AW840" s="24"/>
      <c r="AX840" s="28"/>
      <c r="AY840" s="28" t="s">
        <v>3363</v>
      </c>
      <c r="AZ840" s="132" t="s">
        <v>9</v>
      </c>
      <c r="BA840" s="132"/>
      <c r="BB840" s="24" t="s">
        <v>2956</v>
      </c>
      <c r="BC840" s="135" t="s">
        <v>3362</v>
      </c>
      <c r="BD840" s="24">
        <v>43909</v>
      </c>
      <c r="BE840" s="135" t="s">
        <v>3351</v>
      </c>
      <c r="BF840" s="135" t="s">
        <v>3351</v>
      </c>
      <c r="BG840" s="135" t="s">
        <v>52</v>
      </c>
      <c r="BH840" s="135"/>
      <c r="BI840" s="314" t="s">
        <v>117</v>
      </c>
      <c r="BJ840" s="314"/>
      <c r="BK840" s="24"/>
      <c r="BL840" s="24"/>
      <c r="BM840" s="24"/>
      <c r="BN840" s="24"/>
      <c r="BO840" s="24"/>
      <c r="BP840" s="24"/>
      <c r="BQ840" s="24"/>
      <c r="BR840" s="43"/>
      <c r="BS840" s="24"/>
      <c r="BT840" s="24"/>
      <c r="BU840" s="24"/>
      <c r="BV840" s="132" t="e">
        <f>IF(#REF!="COMPLETO","OK","PENDIENTES")</f>
        <v>#REF!</v>
      </c>
      <c r="BW840" s="325"/>
      <c r="BX840" s="325"/>
      <c r="BY840" s="325"/>
      <c r="BZ840" s="325"/>
      <c r="CA840" s="325"/>
      <c r="CB840" s="325"/>
      <c r="CC840" s="258"/>
      <c r="CG840" s="24" t="s">
        <v>105</v>
      </c>
      <c r="CH840" s="24"/>
      <c r="CI840" s="24"/>
      <c r="CJ840" s="24"/>
    </row>
    <row r="841" spans="1:88" ht="15" customHeight="1">
      <c r="A841" s="18">
        <v>2020</v>
      </c>
      <c r="B841" s="18" t="str">
        <f>+INDEX(BDD!F:F,MATCH(P841,BDD!D:D,0))&amp;"-"&amp;INDEX(BDD!E:E,MATCH(P841,BDD!D:D,0))</f>
        <v>O-S</v>
      </c>
      <c r="C841" s="125" t="s">
        <v>484</v>
      </c>
      <c r="D841" s="150" t="s">
        <v>77</v>
      </c>
      <c r="E841" s="132"/>
      <c r="F841" s="24"/>
      <c r="G841" s="346">
        <v>8000000703</v>
      </c>
      <c r="H841" s="125" t="s">
        <v>3364</v>
      </c>
      <c r="I841" s="329"/>
      <c r="J841" s="346">
        <v>8000000703</v>
      </c>
      <c r="K841" s="24"/>
      <c r="L841" s="24"/>
      <c r="M841" s="24"/>
      <c r="N841" s="340" t="s">
        <v>486</v>
      </c>
      <c r="O841" s="334">
        <v>208061</v>
      </c>
      <c r="P841" s="25" t="s">
        <v>379</v>
      </c>
      <c r="Q841" s="127" t="s">
        <v>303</v>
      </c>
      <c r="R841" s="232" t="s">
        <v>544</v>
      </c>
      <c r="S841" s="89">
        <v>43854</v>
      </c>
      <c r="T841" s="36">
        <v>60</v>
      </c>
      <c r="U841" s="125" t="s">
        <v>118</v>
      </c>
      <c r="V841" s="147" t="s">
        <v>3365</v>
      </c>
      <c r="W841" s="129"/>
      <c r="X841" s="88">
        <f t="shared" si="49"/>
        <v>43969</v>
      </c>
      <c r="Y841" s="130" t="s">
        <v>20</v>
      </c>
      <c r="Z841" s="133" t="s">
        <v>60</v>
      </c>
      <c r="AA841" s="133"/>
      <c r="AB841" s="241">
        <v>700</v>
      </c>
      <c r="AC841" s="263">
        <f>366.9*1.01</f>
        <v>370.56899999999996</v>
      </c>
      <c r="AD841" s="134">
        <v>52.5</v>
      </c>
      <c r="AE841" s="403">
        <f t="shared" si="46"/>
        <v>259398.29999999996</v>
      </c>
      <c r="AF841" s="132" t="s">
        <v>944</v>
      </c>
      <c r="AG841" s="130" t="s">
        <v>46</v>
      </c>
      <c r="AH841" s="130"/>
      <c r="AI841" s="130" t="s">
        <v>100</v>
      </c>
      <c r="AJ841" s="130"/>
      <c r="AK841" s="130"/>
      <c r="AL841" s="135" t="s">
        <v>3261</v>
      </c>
      <c r="AM841" s="314"/>
      <c r="AN841" s="26"/>
      <c r="AO841" s="26"/>
      <c r="AP841" s="26"/>
      <c r="AQ841" s="26">
        <v>43946</v>
      </c>
      <c r="AR841" s="24"/>
      <c r="AS841" s="24"/>
      <c r="AT841" s="24">
        <v>43949</v>
      </c>
      <c r="AU841" s="418">
        <f t="shared" si="47"/>
        <v>4</v>
      </c>
      <c r="AV841" s="418">
        <f t="shared" si="48"/>
        <v>2020</v>
      </c>
      <c r="AW841" s="24"/>
      <c r="AX841" s="28"/>
      <c r="AY841" s="28" t="s">
        <v>3363</v>
      </c>
      <c r="AZ841" s="132" t="s">
        <v>25</v>
      </c>
      <c r="BA841" s="132"/>
      <c r="BB841" s="24" t="s">
        <v>2956</v>
      </c>
      <c r="BC841" s="135" t="s">
        <v>3366</v>
      </c>
      <c r="BD841" s="24">
        <v>43909</v>
      </c>
      <c r="BE841" s="135" t="s">
        <v>3351</v>
      </c>
      <c r="BF841" s="135" t="s">
        <v>3351</v>
      </c>
      <c r="BG841" s="135" t="s">
        <v>52</v>
      </c>
      <c r="BH841" s="135"/>
      <c r="BI841" s="314" t="s">
        <v>117</v>
      </c>
      <c r="BJ841" s="314"/>
      <c r="BK841" s="24"/>
      <c r="BL841" s="24"/>
      <c r="BM841" s="24"/>
      <c r="BN841" s="24"/>
      <c r="BO841" s="24"/>
      <c r="BP841" s="24"/>
      <c r="BQ841" s="24"/>
      <c r="BR841" s="43"/>
      <c r="BS841" s="24"/>
      <c r="BT841" s="24"/>
      <c r="BU841" s="24"/>
      <c r="BV841" s="132" t="e">
        <f>IF(#REF!="COMPLETO","OK","PENDIENTES")</f>
        <v>#REF!</v>
      </c>
      <c r="BW841" s="325"/>
      <c r="BX841" s="325"/>
      <c r="BY841" s="325"/>
      <c r="BZ841" s="325"/>
      <c r="CA841" s="325"/>
      <c r="CB841" s="325"/>
      <c r="CC841" s="258"/>
      <c r="CG841" s="24" t="s">
        <v>105</v>
      </c>
      <c r="CH841" s="24"/>
      <c r="CI841" s="24"/>
      <c r="CJ841" s="24"/>
    </row>
    <row r="842" spans="1:88" ht="15" customHeight="1">
      <c r="A842" s="18">
        <v>2020</v>
      </c>
      <c r="B842" s="18" t="str">
        <f>+INDEX(BDD!F:F,MATCH(P842,BDD!D:D,0))&amp;"-"&amp;INDEX(BDD!E:E,MATCH(P842,BDD!D:D,0))</f>
        <v>O-S</v>
      </c>
      <c r="C842" s="125" t="s">
        <v>484</v>
      </c>
      <c r="D842" s="150" t="s">
        <v>77</v>
      </c>
      <c r="E842" s="132"/>
      <c r="F842" s="24"/>
      <c r="G842" s="346">
        <v>8000000704</v>
      </c>
      <c r="H842" s="125" t="s">
        <v>3367</v>
      </c>
      <c r="I842" s="329"/>
      <c r="J842" s="346">
        <v>8000000704</v>
      </c>
      <c r="K842" s="24"/>
      <c r="L842" s="24"/>
      <c r="M842" s="24"/>
      <c r="N842" s="340" t="s">
        <v>486</v>
      </c>
      <c r="O842" s="334">
        <v>208061</v>
      </c>
      <c r="P842" s="25" t="s">
        <v>379</v>
      </c>
      <c r="Q842" s="127" t="s">
        <v>303</v>
      </c>
      <c r="R842" s="232" t="s">
        <v>544</v>
      </c>
      <c r="S842" s="89">
        <v>43854</v>
      </c>
      <c r="T842" s="36">
        <v>60</v>
      </c>
      <c r="U842" s="125" t="s">
        <v>118</v>
      </c>
      <c r="V842" s="147" t="s">
        <v>3368</v>
      </c>
      <c r="W842" s="129"/>
      <c r="X842" s="88">
        <f t="shared" si="49"/>
        <v>43969</v>
      </c>
      <c r="Y842" s="130" t="s">
        <v>20</v>
      </c>
      <c r="Z842" s="133" t="s">
        <v>60</v>
      </c>
      <c r="AA842" s="133"/>
      <c r="AB842" s="241">
        <v>1800</v>
      </c>
      <c r="AC842" s="263">
        <f>366.9*1.01</f>
        <v>370.56899999999996</v>
      </c>
      <c r="AD842" s="134">
        <v>52.5</v>
      </c>
      <c r="AE842" s="403">
        <f t="shared" si="46"/>
        <v>667024.19999999995</v>
      </c>
      <c r="AF842" s="132" t="s">
        <v>944</v>
      </c>
      <c r="AG842" s="130" t="s">
        <v>46</v>
      </c>
      <c r="AH842" s="130"/>
      <c r="AI842" s="130" t="s">
        <v>100</v>
      </c>
      <c r="AJ842" s="130"/>
      <c r="AK842" s="130"/>
      <c r="AL842" s="135" t="s">
        <v>3261</v>
      </c>
      <c r="AM842" s="314"/>
      <c r="AN842" s="26"/>
      <c r="AO842" s="26"/>
      <c r="AP842" s="26"/>
      <c r="AQ842" s="26">
        <v>43951</v>
      </c>
      <c r="AR842" s="24"/>
      <c r="AS842" s="24"/>
      <c r="AT842" s="24">
        <v>43954</v>
      </c>
      <c r="AU842" s="418">
        <f t="shared" si="47"/>
        <v>5</v>
      </c>
      <c r="AV842" s="418">
        <f t="shared" si="48"/>
        <v>2020</v>
      </c>
      <c r="AW842" s="24"/>
      <c r="AX842" s="28"/>
      <c r="AY842" s="28" t="s">
        <v>3363</v>
      </c>
      <c r="AZ842" s="132" t="s">
        <v>37</v>
      </c>
      <c r="BA842" s="132"/>
      <c r="BB842" s="24" t="s">
        <v>3291</v>
      </c>
      <c r="BC842" s="135" t="s">
        <v>3369</v>
      </c>
      <c r="BD842" s="24">
        <v>43909</v>
      </c>
      <c r="BE842" s="135" t="s">
        <v>3351</v>
      </c>
      <c r="BF842" s="135" t="s">
        <v>3351</v>
      </c>
      <c r="BG842" s="135" t="s">
        <v>52</v>
      </c>
      <c r="BH842" s="135"/>
      <c r="BI842" s="314" t="s">
        <v>117</v>
      </c>
      <c r="BJ842" s="314"/>
      <c r="BK842" s="24"/>
      <c r="BL842" s="24"/>
      <c r="BM842" s="24"/>
      <c r="BN842" s="24"/>
      <c r="BO842" s="24"/>
      <c r="BP842" s="24"/>
      <c r="BQ842" s="24"/>
      <c r="BR842" s="43"/>
      <c r="BS842" s="24"/>
      <c r="BT842" s="24"/>
      <c r="BU842" s="24"/>
      <c r="BV842" s="132" t="e">
        <f>IF(#REF!="COMPLETO","OK","PENDIENTES")</f>
        <v>#REF!</v>
      </c>
      <c r="BW842" s="325"/>
      <c r="BX842" s="325"/>
      <c r="BY842" s="325"/>
      <c r="BZ842" s="325"/>
      <c r="CA842" s="325"/>
      <c r="CB842" s="325"/>
      <c r="CC842" s="258"/>
      <c r="CG842" s="24" t="s">
        <v>105</v>
      </c>
      <c r="CH842" s="24"/>
      <c r="CI842" s="24"/>
      <c r="CJ842" s="24"/>
    </row>
    <row r="843" spans="1:88" ht="15" customHeight="1">
      <c r="A843" s="18">
        <v>2020</v>
      </c>
      <c r="B843" s="18" t="str">
        <f>+INDEX(BDD!F:F,MATCH(P843,BDD!D:D,0))&amp;"-"&amp;INDEX(BDD!E:E,MATCH(P843,BDD!D:D,0))</f>
        <v>O-S</v>
      </c>
      <c r="C843" s="125" t="s">
        <v>484</v>
      </c>
      <c r="D843" s="150" t="s">
        <v>77</v>
      </c>
      <c r="E843" s="132"/>
      <c r="F843" s="24"/>
      <c r="G843" s="346">
        <v>8000000705</v>
      </c>
      <c r="H843" s="125" t="s">
        <v>3370</v>
      </c>
      <c r="I843" s="329"/>
      <c r="J843" s="346">
        <v>8000000705</v>
      </c>
      <c r="K843" s="24"/>
      <c r="L843" s="24"/>
      <c r="M843" s="24"/>
      <c r="N843" s="340" t="s">
        <v>486</v>
      </c>
      <c r="O843" s="334">
        <v>208061</v>
      </c>
      <c r="P843" s="25" t="s">
        <v>379</v>
      </c>
      <c r="Q843" s="127" t="s">
        <v>303</v>
      </c>
      <c r="R843" s="232" t="s">
        <v>544</v>
      </c>
      <c r="S843" s="89">
        <v>43854</v>
      </c>
      <c r="T843" s="36">
        <v>60</v>
      </c>
      <c r="U843" s="125" t="s">
        <v>118</v>
      </c>
      <c r="V843" s="147" t="s">
        <v>3371</v>
      </c>
      <c r="W843" s="129"/>
      <c r="X843" s="88">
        <f t="shared" si="49"/>
        <v>43969</v>
      </c>
      <c r="Y843" s="130" t="s">
        <v>20</v>
      </c>
      <c r="Z843" s="133" t="s">
        <v>60</v>
      </c>
      <c r="AA843" s="133"/>
      <c r="AB843" s="241">
        <v>800</v>
      </c>
      <c r="AC843" s="134">
        <f>366.9*1.01</f>
        <v>370.56899999999996</v>
      </c>
      <c r="AD843" s="134">
        <v>52.5</v>
      </c>
      <c r="AE843" s="403">
        <f t="shared" si="46"/>
        <v>296455.19999999995</v>
      </c>
      <c r="AF843" s="132" t="s">
        <v>944</v>
      </c>
      <c r="AG843" s="130" t="s">
        <v>46</v>
      </c>
      <c r="AH843" s="130"/>
      <c r="AI843" s="130" t="s">
        <v>100</v>
      </c>
      <c r="AJ843" s="130"/>
      <c r="AK843" s="130"/>
      <c r="AL843" s="135" t="s">
        <v>3261</v>
      </c>
      <c r="AM843" s="314"/>
      <c r="AN843" s="26"/>
      <c r="AO843" s="26"/>
      <c r="AP843" s="26"/>
      <c r="AQ843" s="26">
        <v>43956</v>
      </c>
      <c r="AR843" s="24"/>
      <c r="AS843" s="24"/>
      <c r="AT843" s="24">
        <v>43961</v>
      </c>
      <c r="AU843" s="418">
        <f t="shared" si="47"/>
        <v>5</v>
      </c>
      <c r="AV843" s="418">
        <f t="shared" si="48"/>
        <v>2020</v>
      </c>
      <c r="AW843" s="24"/>
      <c r="AX843" s="28"/>
      <c r="AY843" s="28" t="s">
        <v>3363</v>
      </c>
      <c r="AZ843" s="132" t="s">
        <v>62</v>
      </c>
      <c r="BA843" s="132"/>
      <c r="BB843" s="24" t="s">
        <v>3264</v>
      </c>
      <c r="BC843" s="135" t="s">
        <v>3372</v>
      </c>
      <c r="BD843" s="24">
        <v>43909</v>
      </c>
      <c r="BE843" s="135" t="s">
        <v>3351</v>
      </c>
      <c r="BF843" s="135" t="s">
        <v>3351</v>
      </c>
      <c r="BG843" s="135" t="s">
        <v>52</v>
      </c>
      <c r="BH843" s="135"/>
      <c r="BI843" s="314" t="s">
        <v>117</v>
      </c>
      <c r="BJ843" s="314"/>
      <c r="BK843" s="24"/>
      <c r="BL843" s="24"/>
      <c r="BM843" s="24"/>
      <c r="BN843" s="24"/>
      <c r="BO843" s="24"/>
      <c r="BP843" s="24"/>
      <c r="BQ843" s="24"/>
      <c r="BR843" s="43"/>
      <c r="BS843" s="24"/>
      <c r="BT843" s="24"/>
      <c r="BU843" s="24"/>
      <c r="BV843" s="132" t="e">
        <f>IF(#REF!="COMPLETO","OK","PENDIENTES")</f>
        <v>#REF!</v>
      </c>
      <c r="BW843" s="325"/>
      <c r="BX843" s="325"/>
      <c r="BY843" s="325"/>
      <c r="BZ843" s="325"/>
      <c r="CA843" s="325"/>
      <c r="CB843" s="325"/>
      <c r="CC843" s="258"/>
      <c r="CG843" s="24" t="s">
        <v>105</v>
      </c>
      <c r="CH843" s="24"/>
      <c r="CI843" s="24"/>
      <c r="CJ843" s="24"/>
    </row>
    <row r="844" spans="1:88" ht="15" customHeight="1">
      <c r="A844" s="18">
        <v>2020</v>
      </c>
      <c r="B844" s="18" t="str">
        <f>+INDEX(BDD!F:F,MATCH(P844,BDD!D:D,0))&amp;"-"&amp;INDEX(BDD!E:E,MATCH(P844,BDD!D:D,0))</f>
        <v>O-S</v>
      </c>
      <c r="C844" s="125" t="s">
        <v>484</v>
      </c>
      <c r="D844" s="150" t="s">
        <v>77</v>
      </c>
      <c r="E844" s="132"/>
      <c r="F844" s="24"/>
      <c r="G844" s="346">
        <v>8000000717</v>
      </c>
      <c r="H844" s="125" t="s">
        <v>3373</v>
      </c>
      <c r="I844" s="329"/>
      <c r="J844" s="346">
        <v>8000000717</v>
      </c>
      <c r="K844" s="24"/>
      <c r="L844" s="24"/>
      <c r="M844" s="24"/>
      <c r="N844" s="340" t="s">
        <v>486</v>
      </c>
      <c r="O844" s="334">
        <v>206714</v>
      </c>
      <c r="P844" s="25" t="s">
        <v>380</v>
      </c>
      <c r="Q844" s="127" t="s">
        <v>303</v>
      </c>
      <c r="R844" s="232" t="s">
        <v>544</v>
      </c>
      <c r="S844" s="89">
        <v>43854</v>
      </c>
      <c r="T844" s="36">
        <v>60</v>
      </c>
      <c r="U844" s="125" t="s">
        <v>118</v>
      </c>
      <c r="V844" s="147" t="s">
        <v>3374</v>
      </c>
      <c r="W844" s="129"/>
      <c r="X844" s="88">
        <f t="shared" si="49"/>
        <v>43969</v>
      </c>
      <c r="Y844" s="130" t="s">
        <v>20</v>
      </c>
      <c r="Z844" s="133" t="s">
        <v>60</v>
      </c>
      <c r="AA844" s="133"/>
      <c r="AB844" s="241">
        <v>200.4</v>
      </c>
      <c r="AC844" s="263">
        <f>442.3*1.01</f>
        <v>446.72300000000001</v>
      </c>
      <c r="AD844" s="134">
        <v>52.5</v>
      </c>
      <c r="AE844" s="403">
        <f t="shared" si="46"/>
        <v>89523.289199999999</v>
      </c>
      <c r="AF844" s="132" t="s">
        <v>944</v>
      </c>
      <c r="AG844" s="130" t="s">
        <v>58</v>
      </c>
      <c r="AH844" s="130"/>
      <c r="AI844" s="130" t="s">
        <v>71</v>
      </c>
      <c r="AJ844" s="130"/>
      <c r="AK844" s="130"/>
      <c r="AL844" s="135" t="s">
        <v>3261</v>
      </c>
      <c r="AM844" s="314"/>
      <c r="AN844" s="26"/>
      <c r="AO844" s="26"/>
      <c r="AP844" s="26"/>
      <c r="AQ844" s="26">
        <v>43943</v>
      </c>
      <c r="AR844" s="41"/>
      <c r="AS844" s="41"/>
      <c r="AT844" s="24">
        <v>43945</v>
      </c>
      <c r="AU844" s="418">
        <f t="shared" si="47"/>
        <v>4</v>
      </c>
      <c r="AV844" s="418">
        <f t="shared" si="48"/>
        <v>2020</v>
      </c>
      <c r="AW844" s="24"/>
      <c r="AX844" s="28"/>
      <c r="AY844" s="28" t="s">
        <v>3363</v>
      </c>
      <c r="AZ844" s="132" t="s">
        <v>9</v>
      </c>
      <c r="BA844" s="132"/>
      <c r="BB844" s="24" t="s">
        <v>3264</v>
      </c>
      <c r="BC844" s="135" t="s">
        <v>3375</v>
      </c>
      <c r="BD844" s="24">
        <v>43909</v>
      </c>
      <c r="BE844" s="135" t="s">
        <v>3351</v>
      </c>
      <c r="BF844" s="135" t="s">
        <v>3351</v>
      </c>
      <c r="BG844" s="135" t="s">
        <v>52</v>
      </c>
      <c r="BH844" s="135"/>
      <c r="BI844" s="314" t="s">
        <v>124</v>
      </c>
      <c r="BJ844" s="314"/>
      <c r="BK844" s="24"/>
      <c r="BL844" s="24"/>
      <c r="BM844" s="24"/>
      <c r="BN844" s="24"/>
      <c r="BO844" s="41"/>
      <c r="BP844" s="41"/>
      <c r="BQ844" s="41"/>
      <c r="BR844" s="43"/>
      <c r="BS844" s="41"/>
      <c r="BT844" s="41"/>
      <c r="BU844" s="41"/>
      <c r="BV844" s="132" t="e">
        <f>IF(#REF!="COMPLETO","OK","PENDIENTES")</f>
        <v>#REF!</v>
      </c>
      <c r="BW844" s="325"/>
      <c r="BX844" s="325"/>
      <c r="BY844" s="325"/>
      <c r="BZ844" s="325"/>
      <c r="CA844" s="325"/>
      <c r="CB844" s="325"/>
      <c r="CC844" s="258"/>
      <c r="CG844" s="24" t="s">
        <v>105</v>
      </c>
      <c r="CH844" s="24"/>
      <c r="CI844" s="24"/>
      <c r="CJ844" s="24"/>
    </row>
    <row r="845" spans="1:88" ht="15" customHeight="1">
      <c r="A845" s="18">
        <v>2020</v>
      </c>
      <c r="B845" s="18" t="str">
        <f>+INDEX(BDD!F:F,MATCH(P845,BDD!D:D,0))&amp;"-"&amp;INDEX(BDD!E:E,MATCH(P845,BDD!D:D,0))</f>
        <v>O-S</v>
      </c>
      <c r="C845" s="125" t="s">
        <v>484</v>
      </c>
      <c r="D845" s="150" t="s">
        <v>77</v>
      </c>
      <c r="E845" s="132"/>
      <c r="F845" s="24"/>
      <c r="G845" s="346">
        <v>8000000714</v>
      </c>
      <c r="H845" s="125" t="s">
        <v>3376</v>
      </c>
      <c r="I845" s="329"/>
      <c r="J845" s="346">
        <v>8000000714</v>
      </c>
      <c r="K845" s="24"/>
      <c r="L845" s="24"/>
      <c r="M845" s="24"/>
      <c r="N845" s="340" t="s">
        <v>486</v>
      </c>
      <c r="O845" s="334">
        <v>206714</v>
      </c>
      <c r="P845" s="25" t="s">
        <v>380</v>
      </c>
      <c r="Q845" s="127" t="s">
        <v>303</v>
      </c>
      <c r="R845" s="232" t="s">
        <v>544</v>
      </c>
      <c r="S845" s="89">
        <v>43854</v>
      </c>
      <c r="T845" s="36">
        <v>60</v>
      </c>
      <c r="U845" s="125" t="s">
        <v>118</v>
      </c>
      <c r="V845" s="147" t="s">
        <v>3377</v>
      </c>
      <c r="W845" s="129"/>
      <c r="X845" s="88">
        <f t="shared" si="49"/>
        <v>43969</v>
      </c>
      <c r="Y845" s="130" t="s">
        <v>20</v>
      </c>
      <c r="Z845" s="133" t="s">
        <v>60</v>
      </c>
      <c r="AA845" s="133"/>
      <c r="AB845" s="241">
        <v>350.4</v>
      </c>
      <c r="AC845" s="263">
        <f>442.3*1.01</f>
        <v>446.72300000000001</v>
      </c>
      <c r="AD845" s="134">
        <v>52.5</v>
      </c>
      <c r="AE845" s="403">
        <f t="shared" si="46"/>
        <v>156531.73919999998</v>
      </c>
      <c r="AF845" s="132" t="s">
        <v>944</v>
      </c>
      <c r="AG845" s="130" t="s">
        <v>58</v>
      </c>
      <c r="AH845" s="130"/>
      <c r="AI845" s="130" t="s">
        <v>71</v>
      </c>
      <c r="AJ845" s="130"/>
      <c r="AK845" s="130"/>
      <c r="AL845" s="135" t="s">
        <v>3261</v>
      </c>
      <c r="AM845" s="314"/>
      <c r="AN845" s="26"/>
      <c r="AO845" s="26"/>
      <c r="AP845" s="26"/>
      <c r="AQ845" s="26">
        <v>43946</v>
      </c>
      <c r="AR845" s="41"/>
      <c r="AS845" s="41"/>
      <c r="AT845" s="24">
        <v>43949</v>
      </c>
      <c r="AU845" s="418">
        <f t="shared" si="47"/>
        <v>4</v>
      </c>
      <c r="AV845" s="418">
        <f t="shared" si="48"/>
        <v>2020</v>
      </c>
      <c r="AW845" s="24"/>
      <c r="AX845" s="28"/>
      <c r="AY845" s="28" t="s">
        <v>3363</v>
      </c>
      <c r="AZ845" s="132" t="s">
        <v>25</v>
      </c>
      <c r="BA845" s="132"/>
      <c r="BB845" s="24" t="s">
        <v>3264</v>
      </c>
      <c r="BC845" s="135" t="s">
        <v>3378</v>
      </c>
      <c r="BD845" s="24">
        <v>43909</v>
      </c>
      <c r="BE845" s="135" t="s">
        <v>3351</v>
      </c>
      <c r="BF845" s="135" t="s">
        <v>3351</v>
      </c>
      <c r="BG845" s="135" t="s">
        <v>52</v>
      </c>
      <c r="BH845" s="135"/>
      <c r="BI845" s="314" t="s">
        <v>124</v>
      </c>
      <c r="BJ845" s="314"/>
      <c r="BK845" s="24"/>
      <c r="BL845" s="24"/>
      <c r="BM845" s="24"/>
      <c r="BN845" s="24"/>
      <c r="BO845" s="41"/>
      <c r="BP845" s="41"/>
      <c r="BQ845" s="41"/>
      <c r="BR845" s="43"/>
      <c r="BS845" s="41"/>
      <c r="BT845" s="41"/>
      <c r="BU845" s="41"/>
      <c r="BV845" s="132" t="e">
        <f>IF(#REF!="COMPLETO","OK","PENDIENTES")</f>
        <v>#REF!</v>
      </c>
      <c r="BW845" s="325"/>
      <c r="BX845" s="325"/>
      <c r="BY845" s="325"/>
      <c r="BZ845" s="325"/>
      <c r="CA845" s="325"/>
      <c r="CB845" s="325"/>
      <c r="CC845" s="258"/>
      <c r="CG845" s="24" t="s">
        <v>105</v>
      </c>
      <c r="CH845" s="24"/>
      <c r="CI845" s="24"/>
      <c r="CJ845" s="24"/>
    </row>
    <row r="846" spans="1:88" ht="15" customHeight="1">
      <c r="A846" s="18">
        <v>2020</v>
      </c>
      <c r="B846" s="18" t="str">
        <f>+INDEX(BDD!F:F,MATCH(P846,BDD!D:D,0))&amp;"-"&amp;INDEX(BDD!E:E,MATCH(P846,BDD!D:D,0))</f>
        <v>O-S</v>
      </c>
      <c r="C846" s="125" t="s">
        <v>484</v>
      </c>
      <c r="D846" s="150" t="s">
        <v>77</v>
      </c>
      <c r="E846" s="132"/>
      <c r="F846" s="24"/>
      <c r="G846" s="346">
        <v>8000000715</v>
      </c>
      <c r="H846" s="125" t="s">
        <v>3379</v>
      </c>
      <c r="I846" s="329"/>
      <c r="J846" s="346">
        <v>8000000715</v>
      </c>
      <c r="K846" s="24"/>
      <c r="L846" s="24"/>
      <c r="M846" s="24"/>
      <c r="N846" s="340" t="s">
        <v>486</v>
      </c>
      <c r="O846" s="334">
        <v>206714</v>
      </c>
      <c r="P846" s="25" t="s">
        <v>380</v>
      </c>
      <c r="Q846" s="127" t="s">
        <v>303</v>
      </c>
      <c r="R846" s="232" t="s">
        <v>544</v>
      </c>
      <c r="S846" s="89">
        <v>43854</v>
      </c>
      <c r="T846" s="36">
        <v>60</v>
      </c>
      <c r="U846" s="125" t="s">
        <v>118</v>
      </c>
      <c r="V846" s="147" t="s">
        <v>3380</v>
      </c>
      <c r="W846" s="129"/>
      <c r="X846" s="88">
        <f t="shared" si="49"/>
        <v>43969</v>
      </c>
      <c r="Y846" s="130" t="s">
        <v>20</v>
      </c>
      <c r="Z846" s="133" t="s">
        <v>60</v>
      </c>
      <c r="AA846" s="133"/>
      <c r="AB846" s="241">
        <v>624</v>
      </c>
      <c r="AC846" s="263">
        <f>442.3*1.01</f>
        <v>446.72300000000001</v>
      </c>
      <c r="AD846" s="134">
        <v>52.5</v>
      </c>
      <c r="AE846" s="403">
        <f t="shared" si="46"/>
        <v>278755.152</v>
      </c>
      <c r="AF846" s="132" t="s">
        <v>944</v>
      </c>
      <c r="AG846" s="130" t="s">
        <v>58</v>
      </c>
      <c r="AH846" s="130"/>
      <c r="AI846" s="130" t="s">
        <v>71</v>
      </c>
      <c r="AJ846" s="130"/>
      <c r="AK846" s="130"/>
      <c r="AL846" s="135" t="s">
        <v>3261</v>
      </c>
      <c r="AM846" s="314"/>
      <c r="AN846" s="26"/>
      <c r="AO846" s="26"/>
      <c r="AP846" s="26"/>
      <c r="AQ846" s="26">
        <v>43951</v>
      </c>
      <c r="AR846" s="41"/>
      <c r="AS846" s="41"/>
      <c r="AT846" s="24">
        <v>43954</v>
      </c>
      <c r="AU846" s="418">
        <f t="shared" si="47"/>
        <v>5</v>
      </c>
      <c r="AV846" s="418">
        <f t="shared" si="48"/>
        <v>2020</v>
      </c>
      <c r="AW846" s="24"/>
      <c r="AX846" s="28"/>
      <c r="AY846" s="28" t="s">
        <v>3363</v>
      </c>
      <c r="AZ846" s="132" t="s">
        <v>37</v>
      </c>
      <c r="BA846" s="132"/>
      <c r="BB846" s="24" t="s">
        <v>3291</v>
      </c>
      <c r="BC846" s="135" t="s">
        <v>3381</v>
      </c>
      <c r="BD846" s="24">
        <v>43909</v>
      </c>
      <c r="BE846" s="135" t="s">
        <v>3351</v>
      </c>
      <c r="BF846" s="135" t="s">
        <v>3351</v>
      </c>
      <c r="BG846" s="135" t="s">
        <v>52</v>
      </c>
      <c r="BH846" s="135"/>
      <c r="BI846" s="314" t="s">
        <v>124</v>
      </c>
      <c r="BJ846" s="314"/>
      <c r="BK846" s="24"/>
      <c r="BL846" s="24"/>
      <c r="BM846" s="24"/>
      <c r="BN846" s="24"/>
      <c r="BO846" s="41"/>
      <c r="BP846" s="41"/>
      <c r="BQ846" s="41"/>
      <c r="BR846" s="43"/>
      <c r="BS846" s="41"/>
      <c r="BT846" s="41"/>
      <c r="BU846" s="41"/>
      <c r="BV846" s="132" t="e">
        <f>IF(#REF!="COMPLETO","OK","PENDIENTES")</f>
        <v>#REF!</v>
      </c>
      <c r="BW846" s="325"/>
      <c r="BX846" s="325"/>
      <c r="BY846" s="325"/>
      <c r="BZ846" s="325"/>
      <c r="CA846" s="325"/>
      <c r="CB846" s="325"/>
      <c r="CC846" s="258"/>
      <c r="CG846" s="24" t="s">
        <v>105</v>
      </c>
      <c r="CH846" s="24"/>
      <c r="CI846" s="24"/>
      <c r="CJ846" s="24"/>
    </row>
    <row r="847" spans="1:88" ht="15" customHeight="1">
      <c r="A847" s="18">
        <v>2020</v>
      </c>
      <c r="B847" s="18" t="str">
        <f>+INDEX(BDD!F:F,MATCH(P847,BDD!D:D,0))&amp;"-"&amp;INDEX(BDD!E:E,MATCH(P847,BDD!D:D,0))</f>
        <v>O-S</v>
      </c>
      <c r="C847" s="125" t="s">
        <v>484</v>
      </c>
      <c r="D847" s="150" t="s">
        <v>77</v>
      </c>
      <c r="E847" s="132"/>
      <c r="F847" s="24"/>
      <c r="G847" s="346">
        <v>8000000716</v>
      </c>
      <c r="H847" s="125" t="s">
        <v>3382</v>
      </c>
      <c r="I847" s="329"/>
      <c r="J847" s="346">
        <v>8000000716</v>
      </c>
      <c r="K847" s="24"/>
      <c r="L847" s="24"/>
      <c r="M847" s="24"/>
      <c r="N847" s="340" t="s">
        <v>486</v>
      </c>
      <c r="O847" s="334">
        <v>206714</v>
      </c>
      <c r="P847" s="25" t="s">
        <v>380</v>
      </c>
      <c r="Q847" s="127" t="s">
        <v>303</v>
      </c>
      <c r="R847" s="232" t="s">
        <v>544</v>
      </c>
      <c r="S847" s="89">
        <v>43854</v>
      </c>
      <c r="T847" s="36">
        <v>60</v>
      </c>
      <c r="U847" s="125" t="s">
        <v>118</v>
      </c>
      <c r="V847" s="147" t="s">
        <v>3383</v>
      </c>
      <c r="W847" s="129"/>
      <c r="X847" s="88">
        <f t="shared" si="49"/>
        <v>43969</v>
      </c>
      <c r="Y847" s="130" t="s">
        <v>20</v>
      </c>
      <c r="Z847" s="133" t="s">
        <v>60</v>
      </c>
      <c r="AA847" s="133"/>
      <c r="AB847" s="241">
        <v>399.6</v>
      </c>
      <c r="AC847" s="134">
        <f>442.3*1.01</f>
        <v>446.72300000000001</v>
      </c>
      <c r="AD847" s="134">
        <v>52.5</v>
      </c>
      <c r="AE847" s="403">
        <f t="shared" si="46"/>
        <v>178510.51080000002</v>
      </c>
      <c r="AF847" s="132" t="s">
        <v>944</v>
      </c>
      <c r="AG847" s="130" t="s">
        <v>58</v>
      </c>
      <c r="AH847" s="130"/>
      <c r="AI847" s="130" t="s">
        <v>71</v>
      </c>
      <c r="AJ847" s="130"/>
      <c r="AK847" s="130"/>
      <c r="AL847" s="135" t="s">
        <v>3261</v>
      </c>
      <c r="AM847" s="314"/>
      <c r="AN847" s="26"/>
      <c r="AO847" s="26"/>
      <c r="AP847" s="26"/>
      <c r="AQ847" s="26">
        <v>43956</v>
      </c>
      <c r="AR847" s="41"/>
      <c r="AS847" s="41"/>
      <c r="AT847" s="24">
        <v>43961</v>
      </c>
      <c r="AU847" s="418">
        <f t="shared" si="47"/>
        <v>5</v>
      </c>
      <c r="AV847" s="418">
        <f t="shared" si="48"/>
        <v>2020</v>
      </c>
      <c r="AW847" s="24"/>
      <c r="AX847" s="28"/>
      <c r="AY847" s="28" t="s">
        <v>3363</v>
      </c>
      <c r="AZ847" s="132" t="s">
        <v>62</v>
      </c>
      <c r="BA847" s="132"/>
      <c r="BB847" s="24" t="s">
        <v>3264</v>
      </c>
      <c r="BC847" s="135" t="s">
        <v>3384</v>
      </c>
      <c r="BD847" s="24">
        <v>43909</v>
      </c>
      <c r="BE847" s="135" t="s">
        <v>3351</v>
      </c>
      <c r="BF847" s="135" t="s">
        <v>3351</v>
      </c>
      <c r="BG847" s="135" t="s">
        <v>52</v>
      </c>
      <c r="BH847" s="135"/>
      <c r="BI847" s="314" t="s">
        <v>124</v>
      </c>
      <c r="BJ847" s="314"/>
      <c r="BK847" s="24"/>
      <c r="BL847" s="24"/>
      <c r="BM847" s="24"/>
      <c r="BN847" s="24"/>
      <c r="BO847" s="41"/>
      <c r="BP847" s="41"/>
      <c r="BQ847" s="41"/>
      <c r="BR847" s="43"/>
      <c r="BS847" s="41"/>
      <c r="BT847" s="41"/>
      <c r="BU847" s="41"/>
      <c r="BV847" s="132" t="e">
        <f>IF(#REF!="COMPLETO","OK","PENDIENTES")</f>
        <v>#REF!</v>
      </c>
      <c r="BW847" s="325"/>
      <c r="BX847" s="325"/>
      <c r="BY847" s="325"/>
      <c r="BZ847" s="325"/>
      <c r="CA847" s="325"/>
      <c r="CB847" s="325"/>
      <c r="CC847" s="258"/>
      <c r="CG847" s="24" t="s">
        <v>105</v>
      </c>
      <c r="CH847" s="24"/>
      <c r="CI847" s="24"/>
      <c r="CJ847" s="24"/>
    </row>
    <row r="848" spans="1:88" ht="15" customHeight="1">
      <c r="A848" s="18">
        <v>2020</v>
      </c>
      <c r="B848" s="18" t="str">
        <f>+INDEX(BDD!F:F,MATCH(P848,BDD!D:D,0))&amp;"-"&amp;INDEX(BDD!E:E,MATCH(P848,BDD!D:D,0))</f>
        <v>O-S</v>
      </c>
      <c r="C848" s="125" t="s">
        <v>484</v>
      </c>
      <c r="D848" s="150" t="s">
        <v>77</v>
      </c>
      <c r="E848" s="132"/>
      <c r="F848" s="24"/>
      <c r="G848" s="346">
        <v>8000000706</v>
      </c>
      <c r="H848" s="125" t="s">
        <v>3385</v>
      </c>
      <c r="I848" s="329"/>
      <c r="J848" s="346">
        <v>8000000706</v>
      </c>
      <c r="K848" s="24"/>
      <c r="L848" s="24"/>
      <c r="M848" s="24"/>
      <c r="N848" s="340" t="s">
        <v>486</v>
      </c>
      <c r="O848" s="334">
        <v>208063</v>
      </c>
      <c r="P848" s="25" t="s">
        <v>381</v>
      </c>
      <c r="Q848" s="127" t="s">
        <v>303</v>
      </c>
      <c r="R848" s="232" t="s">
        <v>544</v>
      </c>
      <c r="S848" s="89">
        <v>43854</v>
      </c>
      <c r="T848" s="36">
        <v>60</v>
      </c>
      <c r="U848" s="125" t="s">
        <v>118</v>
      </c>
      <c r="V848" s="147" t="s">
        <v>3386</v>
      </c>
      <c r="W848" s="129"/>
      <c r="X848" s="88">
        <f t="shared" si="49"/>
        <v>43969</v>
      </c>
      <c r="Y848" s="130" t="s">
        <v>20</v>
      </c>
      <c r="Z848" s="133" t="s">
        <v>60</v>
      </c>
      <c r="AA848" s="133"/>
      <c r="AB848" s="241">
        <v>900</v>
      </c>
      <c r="AC848" s="263">
        <f>501.1*1.01</f>
        <v>506.11100000000005</v>
      </c>
      <c r="AD848" s="134">
        <v>52.5</v>
      </c>
      <c r="AE848" s="403">
        <f t="shared" si="46"/>
        <v>455499.9</v>
      </c>
      <c r="AF848" s="132" t="s">
        <v>944</v>
      </c>
      <c r="AG848" s="130" t="s">
        <v>46</v>
      </c>
      <c r="AH848" s="130"/>
      <c r="AI848" s="130" t="s">
        <v>100</v>
      </c>
      <c r="AJ848" s="130"/>
      <c r="AK848" s="130"/>
      <c r="AL848" s="135" t="s">
        <v>3261</v>
      </c>
      <c r="AM848" s="314"/>
      <c r="AN848" s="26"/>
      <c r="AO848" s="26"/>
      <c r="AP848" s="26"/>
      <c r="AQ848" s="26">
        <v>43943</v>
      </c>
      <c r="AR848" s="24"/>
      <c r="AS848" s="24"/>
      <c r="AT848" s="24">
        <v>43945</v>
      </c>
      <c r="AU848" s="418">
        <f t="shared" si="47"/>
        <v>4</v>
      </c>
      <c r="AV848" s="418">
        <f t="shared" si="48"/>
        <v>2020</v>
      </c>
      <c r="AW848" s="24"/>
      <c r="AX848" s="28"/>
      <c r="AY848" s="28" t="s">
        <v>3363</v>
      </c>
      <c r="AZ848" s="132" t="s">
        <v>9</v>
      </c>
      <c r="BA848" s="132"/>
      <c r="BB848" s="24" t="s">
        <v>2956</v>
      </c>
      <c r="BC848" s="135" t="s">
        <v>3387</v>
      </c>
      <c r="BD848" s="24">
        <v>43909</v>
      </c>
      <c r="BE848" s="135" t="s">
        <v>3351</v>
      </c>
      <c r="BF848" s="135" t="s">
        <v>3351</v>
      </c>
      <c r="BG848" s="135" t="s">
        <v>52</v>
      </c>
      <c r="BH848" s="135"/>
      <c r="BI848" s="314" t="s">
        <v>117</v>
      </c>
      <c r="BJ848" s="314"/>
      <c r="BK848" s="24"/>
      <c r="BL848" s="24"/>
      <c r="BM848" s="24"/>
      <c r="BN848" s="24"/>
      <c r="BO848" s="24"/>
      <c r="BP848" s="24"/>
      <c r="BQ848" s="24"/>
      <c r="BR848" s="43"/>
      <c r="BS848" s="24"/>
      <c r="BT848" s="24"/>
      <c r="BU848" s="24"/>
      <c r="BV848" s="132" t="e">
        <f>IF(#REF!="COMPLETO","OK","PENDIENTES")</f>
        <v>#REF!</v>
      </c>
      <c r="BW848" s="325"/>
      <c r="BX848" s="325"/>
      <c r="BY848" s="325"/>
      <c r="BZ848" s="325"/>
      <c r="CA848" s="325"/>
      <c r="CB848" s="325"/>
      <c r="CC848" s="258"/>
      <c r="CG848" s="24" t="s">
        <v>105</v>
      </c>
      <c r="CH848" s="24"/>
      <c r="CI848" s="24"/>
      <c r="CJ848" s="24"/>
    </row>
    <row r="849" spans="1:88" ht="15" customHeight="1">
      <c r="A849" s="18">
        <v>2020</v>
      </c>
      <c r="B849" s="18" t="str">
        <f>+INDEX(BDD!F:F,MATCH(P849,BDD!D:D,0))&amp;"-"&amp;INDEX(BDD!E:E,MATCH(P849,BDD!D:D,0))</f>
        <v>O-S</v>
      </c>
      <c r="C849" s="125" t="s">
        <v>484</v>
      </c>
      <c r="D849" s="150" t="s">
        <v>77</v>
      </c>
      <c r="E849" s="132"/>
      <c r="F849" s="24"/>
      <c r="G849" s="346">
        <v>8000000707</v>
      </c>
      <c r="H849" s="125" t="s">
        <v>3388</v>
      </c>
      <c r="I849" s="329"/>
      <c r="J849" s="346">
        <v>8000000707</v>
      </c>
      <c r="K849" s="24"/>
      <c r="L849" s="24"/>
      <c r="M849" s="24"/>
      <c r="N849" s="340" t="s">
        <v>486</v>
      </c>
      <c r="O849" s="334">
        <v>208063</v>
      </c>
      <c r="P849" s="25" t="s">
        <v>381</v>
      </c>
      <c r="Q849" s="127" t="s">
        <v>303</v>
      </c>
      <c r="R849" s="232" t="s">
        <v>544</v>
      </c>
      <c r="S849" s="89">
        <v>43854</v>
      </c>
      <c r="T849" s="36">
        <v>60</v>
      </c>
      <c r="U849" s="125" t="s">
        <v>118</v>
      </c>
      <c r="V849" s="147" t="s">
        <v>3389</v>
      </c>
      <c r="W849" s="129"/>
      <c r="X849" s="88">
        <f t="shared" si="49"/>
        <v>43969</v>
      </c>
      <c r="Y849" s="130" t="s">
        <v>20</v>
      </c>
      <c r="Z849" s="133" t="s">
        <v>60</v>
      </c>
      <c r="AA849" s="133"/>
      <c r="AB849" s="241">
        <v>700</v>
      </c>
      <c r="AC849" s="263">
        <f>501.1*1.01</f>
        <v>506.11100000000005</v>
      </c>
      <c r="AD849" s="134">
        <v>52.5</v>
      </c>
      <c r="AE849" s="403">
        <f t="shared" si="46"/>
        <v>354277.7</v>
      </c>
      <c r="AF849" s="132" t="s">
        <v>944</v>
      </c>
      <c r="AG849" s="130" t="s">
        <v>46</v>
      </c>
      <c r="AH849" s="130"/>
      <c r="AI849" s="130" t="s">
        <v>100</v>
      </c>
      <c r="AJ849" s="130"/>
      <c r="AK849" s="130"/>
      <c r="AL849" s="135" t="s">
        <v>3261</v>
      </c>
      <c r="AM849" s="314"/>
      <c r="AN849" s="26"/>
      <c r="AO849" s="26"/>
      <c r="AP849" s="26"/>
      <c r="AQ849" s="26">
        <v>43946</v>
      </c>
      <c r="AR849" s="24"/>
      <c r="AS849" s="24"/>
      <c r="AT849" s="24">
        <v>43949</v>
      </c>
      <c r="AU849" s="418">
        <f t="shared" si="47"/>
        <v>4</v>
      </c>
      <c r="AV849" s="418">
        <f t="shared" si="48"/>
        <v>2020</v>
      </c>
      <c r="AW849" s="24"/>
      <c r="AX849" s="28"/>
      <c r="AY849" s="28" t="s">
        <v>3363</v>
      </c>
      <c r="AZ849" s="132" t="s">
        <v>25</v>
      </c>
      <c r="BA849" s="132"/>
      <c r="BB849" s="24" t="s">
        <v>2956</v>
      </c>
      <c r="BC849" s="135" t="s">
        <v>3390</v>
      </c>
      <c r="BD849" s="24">
        <v>43909</v>
      </c>
      <c r="BE849" s="135" t="s">
        <v>3351</v>
      </c>
      <c r="BF849" s="135" t="s">
        <v>3351</v>
      </c>
      <c r="BG849" s="135" t="s">
        <v>52</v>
      </c>
      <c r="BH849" s="135"/>
      <c r="BI849" s="314" t="s">
        <v>117</v>
      </c>
      <c r="BJ849" s="314"/>
      <c r="BK849" s="24"/>
      <c r="BL849" s="24"/>
      <c r="BM849" s="24"/>
      <c r="BN849" s="24"/>
      <c r="BO849" s="24"/>
      <c r="BP849" s="24"/>
      <c r="BQ849" s="24"/>
      <c r="BR849" s="43"/>
      <c r="BS849" s="24"/>
      <c r="BT849" s="24"/>
      <c r="BU849" s="24"/>
      <c r="BV849" s="132" t="e">
        <f>IF(#REF!="COMPLETO","OK","PENDIENTES")</f>
        <v>#REF!</v>
      </c>
      <c r="BW849" s="325"/>
      <c r="BX849" s="325"/>
      <c r="BY849" s="325"/>
      <c r="BZ849" s="325"/>
      <c r="CA849" s="325"/>
      <c r="CB849" s="325"/>
      <c r="CC849" s="258"/>
      <c r="CG849" s="24" t="s">
        <v>105</v>
      </c>
      <c r="CH849" s="24"/>
      <c r="CI849" s="24"/>
      <c r="CJ849" s="24"/>
    </row>
    <row r="850" spans="1:88" ht="15" customHeight="1">
      <c r="A850" s="18">
        <v>2020</v>
      </c>
      <c r="B850" s="18" t="str">
        <f>+INDEX(BDD!F:F,MATCH(P850,BDD!D:D,0))&amp;"-"&amp;INDEX(BDD!E:E,MATCH(P850,BDD!D:D,0))</f>
        <v>O-S</v>
      </c>
      <c r="C850" s="125" t="s">
        <v>484</v>
      </c>
      <c r="D850" s="150" t="s">
        <v>77</v>
      </c>
      <c r="E850" s="132"/>
      <c r="F850" s="24"/>
      <c r="G850" s="346">
        <v>8000000784</v>
      </c>
      <c r="H850" s="125" t="s">
        <v>3391</v>
      </c>
      <c r="I850" s="329"/>
      <c r="J850" s="346">
        <v>8000000784</v>
      </c>
      <c r="K850" s="24"/>
      <c r="L850" s="24"/>
      <c r="M850" s="24"/>
      <c r="N850" s="340" t="s">
        <v>486</v>
      </c>
      <c r="O850" s="334">
        <v>208063</v>
      </c>
      <c r="P850" s="25" t="s">
        <v>381</v>
      </c>
      <c r="Q850" s="127" t="s">
        <v>303</v>
      </c>
      <c r="R850" s="232" t="s">
        <v>544</v>
      </c>
      <c r="S850" s="89">
        <v>43854</v>
      </c>
      <c r="T850" s="36">
        <v>60</v>
      </c>
      <c r="U850" s="125" t="s">
        <v>118</v>
      </c>
      <c r="V850" s="147" t="s">
        <v>3392</v>
      </c>
      <c r="W850" s="129"/>
      <c r="X850" s="88">
        <f t="shared" si="49"/>
        <v>43969</v>
      </c>
      <c r="Y850" s="130" t="s">
        <v>20</v>
      </c>
      <c r="Z850" s="133" t="s">
        <v>60</v>
      </c>
      <c r="AA850" s="133"/>
      <c r="AB850" s="241">
        <v>1718</v>
      </c>
      <c r="AC850" s="263">
        <f>501.1*1.01</f>
        <v>506.11100000000005</v>
      </c>
      <c r="AD850" s="134">
        <v>52.5</v>
      </c>
      <c r="AE850" s="403">
        <f t="shared" si="46"/>
        <v>869498.69800000009</v>
      </c>
      <c r="AF850" s="132" t="s">
        <v>944</v>
      </c>
      <c r="AG850" s="130" t="s">
        <v>46</v>
      </c>
      <c r="AH850" s="130"/>
      <c r="AI850" s="130" t="s">
        <v>100</v>
      </c>
      <c r="AJ850" s="130"/>
      <c r="AK850" s="130"/>
      <c r="AL850" s="135" t="s">
        <v>3261</v>
      </c>
      <c r="AM850" s="314"/>
      <c r="AN850" s="26"/>
      <c r="AO850" s="26"/>
      <c r="AP850" s="26"/>
      <c r="AQ850" s="26">
        <v>43951</v>
      </c>
      <c r="AR850" s="24"/>
      <c r="AS850" s="24"/>
      <c r="AT850" s="24">
        <v>43954</v>
      </c>
      <c r="AU850" s="418">
        <f t="shared" si="47"/>
        <v>5</v>
      </c>
      <c r="AV850" s="418">
        <f t="shared" si="48"/>
        <v>2020</v>
      </c>
      <c r="AW850" s="24"/>
      <c r="AX850" s="28"/>
      <c r="AY850" s="28" t="s">
        <v>3363</v>
      </c>
      <c r="AZ850" s="132" t="s">
        <v>37</v>
      </c>
      <c r="BA850" s="132"/>
      <c r="BB850" s="24" t="s">
        <v>3291</v>
      </c>
      <c r="BC850" s="135" t="s">
        <v>3393</v>
      </c>
      <c r="BD850" s="24">
        <v>43909</v>
      </c>
      <c r="BE850" s="135" t="s">
        <v>3351</v>
      </c>
      <c r="BF850" s="135" t="s">
        <v>3351</v>
      </c>
      <c r="BG850" s="135" t="s">
        <v>52</v>
      </c>
      <c r="BH850" s="135"/>
      <c r="BI850" s="314" t="s">
        <v>117</v>
      </c>
      <c r="BJ850" s="314"/>
      <c r="BK850" s="24"/>
      <c r="BL850" s="24"/>
      <c r="BM850" s="24"/>
      <c r="BN850" s="24"/>
      <c r="BO850" s="24"/>
      <c r="BP850" s="24"/>
      <c r="BQ850" s="24"/>
      <c r="BR850" s="43"/>
      <c r="BS850" s="24"/>
      <c r="BT850" s="24"/>
      <c r="BU850" s="24"/>
      <c r="BV850" s="132" t="e">
        <f>IF(#REF!="COMPLETO","OK","PENDIENTES")</f>
        <v>#REF!</v>
      </c>
      <c r="BW850" s="325"/>
      <c r="BX850" s="325"/>
      <c r="BY850" s="325"/>
      <c r="BZ850" s="325"/>
      <c r="CA850" s="325"/>
      <c r="CB850" s="325"/>
      <c r="CC850" s="258"/>
      <c r="CG850" s="24" t="s">
        <v>105</v>
      </c>
      <c r="CH850" s="24"/>
      <c r="CI850" s="24"/>
      <c r="CJ850" s="24"/>
    </row>
    <row r="851" spans="1:88" ht="15" customHeight="1">
      <c r="A851" s="18">
        <v>2020</v>
      </c>
      <c r="B851" s="18" t="str">
        <f>+INDEX(BDD!F:F,MATCH(P851,BDD!D:D,0))&amp;"-"&amp;INDEX(BDD!E:E,MATCH(P851,BDD!D:D,0))</f>
        <v>O-S</v>
      </c>
      <c r="C851" s="125" t="s">
        <v>484</v>
      </c>
      <c r="D851" s="150" t="s">
        <v>77</v>
      </c>
      <c r="E851" s="132"/>
      <c r="F851" s="24"/>
      <c r="G851" s="346">
        <v>8000000709</v>
      </c>
      <c r="H851" s="125" t="s">
        <v>3394</v>
      </c>
      <c r="I851" s="329"/>
      <c r="J851" s="346">
        <v>8000000709</v>
      </c>
      <c r="K851" s="24"/>
      <c r="L851" s="24"/>
      <c r="M851" s="24"/>
      <c r="N851" s="340" t="s">
        <v>486</v>
      </c>
      <c r="O851" s="334">
        <v>208063</v>
      </c>
      <c r="P851" s="25" t="s">
        <v>381</v>
      </c>
      <c r="Q851" s="127" t="s">
        <v>303</v>
      </c>
      <c r="R851" s="232" t="s">
        <v>544</v>
      </c>
      <c r="S851" s="89">
        <v>43854</v>
      </c>
      <c r="T851" s="36">
        <v>60</v>
      </c>
      <c r="U851" s="125" t="s">
        <v>118</v>
      </c>
      <c r="V851" s="147" t="s">
        <v>3395</v>
      </c>
      <c r="W851" s="129"/>
      <c r="X851" s="88">
        <f t="shared" si="49"/>
        <v>43969</v>
      </c>
      <c r="Y851" s="130" t="s">
        <v>20</v>
      </c>
      <c r="Z851" s="133" t="s">
        <v>60</v>
      </c>
      <c r="AA851" s="133"/>
      <c r="AB851" s="241">
        <v>700</v>
      </c>
      <c r="AC851" s="134">
        <f>501.1*1.01</f>
        <v>506.11100000000005</v>
      </c>
      <c r="AD851" s="134">
        <v>52.5</v>
      </c>
      <c r="AE851" s="403">
        <f t="shared" si="46"/>
        <v>354277.7</v>
      </c>
      <c r="AF851" s="132" t="s">
        <v>944</v>
      </c>
      <c r="AG851" s="130" t="s">
        <v>46</v>
      </c>
      <c r="AH851" s="130"/>
      <c r="AI851" s="130" t="s">
        <v>100</v>
      </c>
      <c r="AJ851" s="130"/>
      <c r="AK851" s="130"/>
      <c r="AL851" s="135" t="s">
        <v>3261</v>
      </c>
      <c r="AM851" s="314"/>
      <c r="AN851" s="26"/>
      <c r="AO851" s="26"/>
      <c r="AP851" s="26"/>
      <c r="AQ851" s="26">
        <v>43956</v>
      </c>
      <c r="AR851" s="24"/>
      <c r="AS851" s="24"/>
      <c r="AT851" s="24">
        <v>43961</v>
      </c>
      <c r="AU851" s="418">
        <f t="shared" si="47"/>
        <v>5</v>
      </c>
      <c r="AV851" s="418">
        <f t="shared" si="48"/>
        <v>2020</v>
      </c>
      <c r="AW851" s="24"/>
      <c r="AX851" s="28"/>
      <c r="AY851" s="28" t="s">
        <v>3363</v>
      </c>
      <c r="AZ851" s="132" t="s">
        <v>62</v>
      </c>
      <c r="BA851" s="132"/>
      <c r="BB851" s="24" t="s">
        <v>3264</v>
      </c>
      <c r="BC851" s="135" t="s">
        <v>3396</v>
      </c>
      <c r="BD851" s="24">
        <v>43909</v>
      </c>
      <c r="BE851" s="135" t="s">
        <v>3351</v>
      </c>
      <c r="BF851" s="135" t="s">
        <v>3351</v>
      </c>
      <c r="BG851" s="135" t="s">
        <v>52</v>
      </c>
      <c r="BH851" s="135"/>
      <c r="BI851" s="314" t="s">
        <v>117</v>
      </c>
      <c r="BJ851" s="314"/>
      <c r="BK851" s="24"/>
      <c r="BL851" s="24"/>
      <c r="BM851" s="24"/>
      <c r="BN851" s="24"/>
      <c r="BO851" s="24"/>
      <c r="BP851" s="24"/>
      <c r="BQ851" s="24"/>
      <c r="BR851" s="43"/>
      <c r="BS851" s="24"/>
      <c r="BT851" s="24"/>
      <c r="BU851" s="24"/>
      <c r="BV851" s="132" t="e">
        <f>IF(#REF!="COMPLETO","OK","PENDIENTES")</f>
        <v>#REF!</v>
      </c>
      <c r="BW851" s="325"/>
      <c r="BX851" s="325"/>
      <c r="BY851" s="325"/>
      <c r="BZ851" s="325"/>
      <c r="CA851" s="325"/>
      <c r="CB851" s="325"/>
      <c r="CC851" s="258"/>
      <c r="CG851" s="24" t="s">
        <v>105</v>
      </c>
      <c r="CH851" s="24"/>
      <c r="CI851" s="24"/>
      <c r="CJ851" s="24"/>
    </row>
    <row r="852" spans="1:88" ht="15" customHeight="1">
      <c r="A852" s="18">
        <v>2020</v>
      </c>
      <c r="B852" s="18" t="str">
        <f>+INDEX(BDD!F:F,MATCH(P852,BDD!D:D,0))&amp;"-"&amp;INDEX(BDD!E:E,MATCH(P852,BDD!D:D,0))</f>
        <v>O-S</v>
      </c>
      <c r="C852" s="125" t="s">
        <v>484</v>
      </c>
      <c r="D852" s="152" t="s">
        <v>20</v>
      </c>
      <c r="E852" s="132"/>
      <c r="F852" s="24"/>
      <c r="G852" s="346"/>
      <c r="H852" s="125" t="s">
        <v>3397</v>
      </c>
      <c r="I852" s="329"/>
      <c r="J852" s="346"/>
      <c r="K852" s="24"/>
      <c r="L852" s="24"/>
      <c r="M852" s="24"/>
      <c r="N852" s="340"/>
      <c r="O852" s="334"/>
      <c r="P852" s="25" t="s">
        <v>380</v>
      </c>
      <c r="Q852" s="127" t="s">
        <v>303</v>
      </c>
      <c r="R852" s="232"/>
      <c r="S852" s="89"/>
      <c r="T852" s="36"/>
      <c r="U852" s="125"/>
      <c r="V852" s="147"/>
      <c r="W852" s="129"/>
      <c r="X852" s="88"/>
      <c r="Y852" s="130"/>
      <c r="Z852" s="133"/>
      <c r="AA852" s="133"/>
      <c r="AB852" s="241"/>
      <c r="AC852" s="134"/>
      <c r="AD852" s="134"/>
      <c r="AE852" s="403">
        <f t="shared" si="46"/>
        <v>0</v>
      </c>
      <c r="AF852" s="132"/>
      <c r="AG852" s="130"/>
      <c r="AH852" s="130"/>
      <c r="AI852" s="130"/>
      <c r="AJ852" s="130"/>
      <c r="AK852" s="130"/>
      <c r="AL852" s="135"/>
      <c r="AM852" s="314"/>
      <c r="AN852" s="26"/>
      <c r="AO852" s="26"/>
      <c r="AP852" s="26"/>
      <c r="AQ852" s="26"/>
      <c r="AR852" s="24"/>
      <c r="AS852" s="24"/>
      <c r="AT852" s="24"/>
      <c r="AU852" s="418">
        <f t="shared" si="47"/>
        <v>1</v>
      </c>
      <c r="AV852" s="418">
        <f t="shared" si="48"/>
        <v>1900</v>
      </c>
      <c r="AW852" s="24"/>
      <c r="AX852" s="28"/>
      <c r="AY852" s="28"/>
      <c r="AZ852" s="132"/>
      <c r="BA852" s="132"/>
      <c r="BB852" s="24"/>
      <c r="BC852" s="135"/>
      <c r="BD852" s="24"/>
      <c r="BE852" s="135"/>
      <c r="BF852" s="135"/>
      <c r="BG852" s="135"/>
      <c r="BH852" s="135"/>
      <c r="BI852" s="314"/>
      <c r="BJ852" s="314"/>
      <c r="BK852" s="24"/>
      <c r="BL852" s="24"/>
      <c r="BM852" s="24"/>
      <c r="BN852" s="24"/>
      <c r="BO852" s="24"/>
      <c r="BP852" s="24"/>
      <c r="BQ852" s="24"/>
      <c r="BR852" s="43"/>
      <c r="BS852" s="24"/>
      <c r="BT852" s="24"/>
      <c r="BU852" s="24"/>
      <c r="BV852" s="132"/>
      <c r="BW852" s="325"/>
      <c r="BX852" s="325"/>
      <c r="BY852" s="325"/>
      <c r="BZ852" s="325"/>
      <c r="CA852" s="325"/>
      <c r="CB852" s="325"/>
      <c r="CC852" s="258"/>
      <c r="CD852" s="22"/>
      <c r="CE852" s="22"/>
      <c r="CF852" s="22"/>
      <c r="CG852" s="24"/>
      <c r="CH852" s="24"/>
      <c r="CI852" s="24"/>
      <c r="CJ852" s="24"/>
    </row>
    <row r="853" spans="1:88" ht="15" customHeight="1">
      <c r="A853" s="18">
        <v>2020</v>
      </c>
      <c r="B853" s="18" t="str">
        <f>+INDEX(BDD!F:F,MATCH(P853,BDD!D:D,0))&amp;"-"&amp;INDEX(BDD!E:E,MATCH(P853,BDD!D:D,0))</f>
        <v>O-S</v>
      </c>
      <c r="C853" s="125" t="s">
        <v>484</v>
      </c>
      <c r="D853" s="152" t="s">
        <v>20</v>
      </c>
      <c r="E853" s="132"/>
      <c r="F853" s="24"/>
      <c r="G853" s="346"/>
      <c r="H853" s="125" t="s">
        <v>3398</v>
      </c>
      <c r="I853" s="329"/>
      <c r="J853" s="346"/>
      <c r="K853" s="24"/>
      <c r="L853" s="24"/>
      <c r="M853" s="24"/>
      <c r="N853" s="340"/>
      <c r="O853" s="334"/>
      <c r="P853" s="25" t="s">
        <v>380</v>
      </c>
      <c r="Q853" s="127" t="s">
        <v>303</v>
      </c>
      <c r="R853" s="232"/>
      <c r="S853" s="89"/>
      <c r="T853" s="36"/>
      <c r="U853" s="125"/>
      <c r="V853" s="147"/>
      <c r="W853" s="129"/>
      <c r="X853" s="88"/>
      <c r="Y853" s="130"/>
      <c r="Z853" s="133"/>
      <c r="AA853" s="133"/>
      <c r="AB853" s="241"/>
      <c r="AC853" s="134"/>
      <c r="AD853" s="134"/>
      <c r="AE853" s="403">
        <f t="shared" si="46"/>
        <v>0</v>
      </c>
      <c r="AF853" s="132"/>
      <c r="AG853" s="130"/>
      <c r="AH853" s="130"/>
      <c r="AI853" s="130"/>
      <c r="AJ853" s="130"/>
      <c r="AK853" s="130"/>
      <c r="AL853" s="135"/>
      <c r="AM853" s="314"/>
      <c r="AN853" s="26"/>
      <c r="AO853" s="26"/>
      <c r="AP853" s="26"/>
      <c r="AQ853" s="26"/>
      <c r="AR853" s="24"/>
      <c r="AS853" s="24"/>
      <c r="AT853" s="24"/>
      <c r="AU853" s="418">
        <f t="shared" si="47"/>
        <v>1</v>
      </c>
      <c r="AV853" s="418">
        <f t="shared" si="48"/>
        <v>1900</v>
      </c>
      <c r="AW853" s="24"/>
      <c r="AX853" s="28"/>
      <c r="AY853" s="28"/>
      <c r="AZ853" s="132"/>
      <c r="BA853" s="132"/>
      <c r="BB853" s="24"/>
      <c r="BC853" s="135"/>
      <c r="BD853" s="24"/>
      <c r="BE853" s="135"/>
      <c r="BF853" s="135"/>
      <c r="BG853" s="135"/>
      <c r="BH853" s="135"/>
      <c r="BI853" s="314"/>
      <c r="BJ853" s="314"/>
      <c r="BK853" s="24"/>
      <c r="BL853" s="24"/>
      <c r="BM853" s="24"/>
      <c r="BN853" s="24"/>
      <c r="BO853" s="24"/>
      <c r="BP853" s="24"/>
      <c r="BQ853" s="24"/>
      <c r="BR853" s="43"/>
      <c r="BS853" s="24"/>
      <c r="BT853" s="24"/>
      <c r="BU853" s="24"/>
      <c r="BV853" s="132"/>
      <c r="BW853" s="325"/>
      <c r="BX853" s="325"/>
      <c r="BY853" s="325"/>
      <c r="BZ853" s="325"/>
      <c r="CA853" s="325"/>
      <c r="CB853" s="325"/>
      <c r="CC853" s="258"/>
      <c r="CD853" s="22"/>
      <c r="CE853" s="22"/>
      <c r="CF853" s="22"/>
      <c r="CG853" s="24"/>
      <c r="CH853" s="24"/>
      <c r="CI853" s="24"/>
      <c r="CJ853" s="24"/>
    </row>
    <row r="854" spans="1:88" ht="15" customHeight="1">
      <c r="A854" s="18">
        <v>2020</v>
      </c>
      <c r="B854" s="18" t="str">
        <f>+INDEX(BDD!F:F,MATCH(P854,BDD!D:D,0))&amp;"-"&amp;INDEX(BDD!E:E,MATCH(P854,BDD!D:D,0))</f>
        <v>O-S</v>
      </c>
      <c r="C854" s="125" t="s">
        <v>484</v>
      </c>
      <c r="D854" s="152" t="s">
        <v>20</v>
      </c>
      <c r="E854" s="132"/>
      <c r="F854" s="24"/>
      <c r="G854" s="346"/>
      <c r="H854" s="125" t="s">
        <v>3399</v>
      </c>
      <c r="I854" s="329"/>
      <c r="J854" s="346"/>
      <c r="K854" s="24"/>
      <c r="L854" s="24"/>
      <c r="M854" s="24"/>
      <c r="N854" s="340"/>
      <c r="O854" s="334"/>
      <c r="P854" s="25" t="s">
        <v>380</v>
      </c>
      <c r="Q854" s="127" t="s">
        <v>303</v>
      </c>
      <c r="R854" s="232"/>
      <c r="S854" s="89"/>
      <c r="T854" s="36"/>
      <c r="U854" s="125"/>
      <c r="V854" s="147"/>
      <c r="W854" s="129"/>
      <c r="X854" s="88"/>
      <c r="Y854" s="130"/>
      <c r="Z854" s="133"/>
      <c r="AA854" s="133"/>
      <c r="AB854" s="241"/>
      <c r="AC854" s="134"/>
      <c r="AD854" s="134"/>
      <c r="AE854" s="403">
        <f t="shared" si="46"/>
        <v>0</v>
      </c>
      <c r="AF854" s="132"/>
      <c r="AG854" s="130"/>
      <c r="AH854" s="130"/>
      <c r="AI854" s="130"/>
      <c r="AJ854" s="130"/>
      <c r="AK854" s="130"/>
      <c r="AL854" s="135"/>
      <c r="AM854" s="314"/>
      <c r="AN854" s="26"/>
      <c r="AO854" s="26"/>
      <c r="AP854" s="26"/>
      <c r="AQ854" s="26"/>
      <c r="AR854" s="24"/>
      <c r="AS854" s="24"/>
      <c r="AT854" s="24"/>
      <c r="AU854" s="418">
        <f t="shared" si="47"/>
        <v>1</v>
      </c>
      <c r="AV854" s="418">
        <f t="shared" si="48"/>
        <v>1900</v>
      </c>
      <c r="AW854" s="24"/>
      <c r="AX854" s="28"/>
      <c r="AY854" s="28"/>
      <c r="AZ854" s="132"/>
      <c r="BA854" s="132"/>
      <c r="BB854" s="24"/>
      <c r="BC854" s="135"/>
      <c r="BD854" s="24"/>
      <c r="BE854" s="135"/>
      <c r="BF854" s="135"/>
      <c r="BG854" s="135"/>
      <c r="BH854" s="135"/>
      <c r="BI854" s="314"/>
      <c r="BJ854" s="314"/>
      <c r="BK854" s="24"/>
      <c r="BL854" s="24"/>
      <c r="BM854" s="24"/>
      <c r="BN854" s="24"/>
      <c r="BO854" s="24"/>
      <c r="BP854" s="24"/>
      <c r="BQ854" s="24"/>
      <c r="BR854" s="43"/>
      <c r="BS854" s="24"/>
      <c r="BT854" s="24"/>
      <c r="BU854" s="24"/>
      <c r="BV854" s="132"/>
      <c r="BW854" s="325"/>
      <c r="BX854" s="325"/>
      <c r="BY854" s="325"/>
      <c r="BZ854" s="325"/>
      <c r="CA854" s="325"/>
      <c r="CB854" s="325"/>
      <c r="CC854" s="258"/>
      <c r="CD854" s="22"/>
      <c r="CE854" s="22"/>
      <c r="CF854" s="22"/>
      <c r="CG854" s="24"/>
      <c r="CH854" s="24"/>
      <c r="CI854" s="24"/>
      <c r="CJ854" s="24"/>
    </row>
    <row r="855" spans="1:88" ht="15" customHeight="1">
      <c r="A855" s="18">
        <v>2020</v>
      </c>
      <c r="B855" s="18" t="str">
        <f>+INDEX(BDD!F:F,MATCH(P855,BDD!D:D,0))&amp;"-"&amp;INDEX(BDD!E:E,MATCH(P855,BDD!D:D,0))</f>
        <v>G-S</v>
      </c>
      <c r="C855" s="125" t="s">
        <v>484</v>
      </c>
      <c r="D855" s="150" t="s">
        <v>77</v>
      </c>
      <c r="E855" s="132"/>
      <c r="F855" s="24"/>
      <c r="G855" s="346">
        <v>8000000730</v>
      </c>
      <c r="H855" s="125" t="s">
        <v>3400</v>
      </c>
      <c r="I855" s="329"/>
      <c r="J855" s="346">
        <v>8000000730</v>
      </c>
      <c r="K855" s="24"/>
      <c r="L855" s="24"/>
      <c r="M855" s="24"/>
      <c r="N855" s="340" t="s">
        <v>486</v>
      </c>
      <c r="O855" s="334">
        <v>206597</v>
      </c>
      <c r="P855" s="25" t="s">
        <v>104</v>
      </c>
      <c r="Q855" s="127" t="s">
        <v>90</v>
      </c>
      <c r="R855" s="232" t="s">
        <v>544</v>
      </c>
      <c r="S855" s="89">
        <v>43865</v>
      </c>
      <c r="T855" s="36">
        <v>180</v>
      </c>
      <c r="U855" s="125" t="s">
        <v>118</v>
      </c>
      <c r="V855" s="147" t="s">
        <v>3401</v>
      </c>
      <c r="W855" s="129"/>
      <c r="X855" s="88">
        <v>44085</v>
      </c>
      <c r="Y855" s="130" t="s">
        <v>20</v>
      </c>
      <c r="Z855" s="133" t="s">
        <v>60</v>
      </c>
      <c r="AA855" s="133"/>
      <c r="AB855" s="241">
        <f>4800+500</f>
        <v>5300</v>
      </c>
      <c r="AC855" s="134">
        <v>260</v>
      </c>
      <c r="AD855" s="134"/>
      <c r="AE855" s="403">
        <f t="shared" si="46"/>
        <v>1378000</v>
      </c>
      <c r="AF855" s="132"/>
      <c r="AG855" s="130" t="s">
        <v>46</v>
      </c>
      <c r="AH855" s="130"/>
      <c r="AI855" s="130" t="s">
        <v>100</v>
      </c>
      <c r="AJ855" s="130"/>
      <c r="AK855" s="130"/>
      <c r="AL855" s="135" t="s">
        <v>3313</v>
      </c>
      <c r="AM855" s="314"/>
      <c r="AN855" s="26"/>
      <c r="AO855" s="26"/>
      <c r="AP855" s="26"/>
      <c r="AQ855" s="26">
        <v>43931</v>
      </c>
      <c r="AR855" s="24"/>
      <c r="AS855" s="24"/>
      <c r="AT855" s="24">
        <v>43932</v>
      </c>
      <c r="AU855" s="418">
        <f t="shared" si="47"/>
        <v>4</v>
      </c>
      <c r="AV855" s="418">
        <f t="shared" si="48"/>
        <v>2020</v>
      </c>
      <c r="AW855" s="24"/>
      <c r="AX855" s="28"/>
      <c r="AY855" s="28" t="s">
        <v>3403</v>
      </c>
      <c r="AZ855" s="132" t="s">
        <v>25</v>
      </c>
      <c r="BA855" s="132"/>
      <c r="BB855" s="24" t="s">
        <v>2956</v>
      </c>
      <c r="BC855" s="135" t="s">
        <v>3402</v>
      </c>
      <c r="BD855" s="24">
        <v>43904</v>
      </c>
      <c r="BE855" s="135" t="s">
        <v>3404</v>
      </c>
      <c r="BF855" s="135" t="s">
        <v>3404</v>
      </c>
      <c r="BG855" s="135" t="s">
        <v>52</v>
      </c>
      <c r="BH855" s="135"/>
      <c r="BI855" s="314" t="s">
        <v>117</v>
      </c>
      <c r="BJ855" s="314"/>
      <c r="BK855" s="24"/>
      <c r="BL855" s="24"/>
      <c r="BM855" s="24"/>
      <c r="BN855" s="24"/>
      <c r="BO855" s="24"/>
      <c r="BP855" s="24"/>
      <c r="BQ855" s="24"/>
      <c r="BR855" s="43"/>
      <c r="BS855" s="24"/>
      <c r="BT855" s="24"/>
      <c r="BU855" s="24"/>
      <c r="BV855" s="132" t="e">
        <f>IF(#REF!="COMPLETO","OK","PENDIENTES")</f>
        <v>#REF!</v>
      </c>
      <c r="BW855" s="325"/>
      <c r="BX855" s="325"/>
      <c r="BY855" s="325"/>
      <c r="BZ855" s="325"/>
      <c r="CA855" s="325"/>
      <c r="CB855" s="325"/>
      <c r="CC855" s="258"/>
      <c r="CG855" s="24" t="s">
        <v>105</v>
      </c>
      <c r="CH855" s="24"/>
      <c r="CI855" s="24"/>
      <c r="CJ855" s="24"/>
    </row>
    <row r="856" spans="1:88" ht="15" customHeight="1">
      <c r="A856" s="18">
        <v>2020</v>
      </c>
      <c r="B856" s="18" t="str">
        <f>+INDEX(BDD!F:F,MATCH(P856,BDD!D:D,0))&amp;"-"&amp;INDEX(BDD!E:E,MATCH(P856,BDD!D:D,0))</f>
        <v>G-S</v>
      </c>
      <c r="C856" s="125" t="s">
        <v>484</v>
      </c>
      <c r="D856" s="150" t="s">
        <v>77</v>
      </c>
      <c r="E856" s="132"/>
      <c r="F856" s="24"/>
      <c r="G856" s="346">
        <v>8000000731</v>
      </c>
      <c r="H856" s="125" t="s">
        <v>3405</v>
      </c>
      <c r="I856" s="329"/>
      <c r="J856" s="346">
        <v>8000000731</v>
      </c>
      <c r="K856" s="24"/>
      <c r="L856" s="24"/>
      <c r="M856" s="24"/>
      <c r="N856" s="340" t="s">
        <v>486</v>
      </c>
      <c r="O856" s="334">
        <v>206597</v>
      </c>
      <c r="P856" s="25" t="s">
        <v>104</v>
      </c>
      <c r="Q856" s="127" t="s">
        <v>90</v>
      </c>
      <c r="R856" s="232" t="s">
        <v>544</v>
      </c>
      <c r="S856" s="89">
        <v>43865</v>
      </c>
      <c r="T856" s="36">
        <v>180</v>
      </c>
      <c r="U856" s="125" t="s">
        <v>118</v>
      </c>
      <c r="V856" s="147" t="s">
        <v>3406</v>
      </c>
      <c r="W856" s="129"/>
      <c r="X856" s="88">
        <v>44085</v>
      </c>
      <c r="Y856" s="130" t="s">
        <v>20</v>
      </c>
      <c r="Z856" s="133" t="s">
        <v>60</v>
      </c>
      <c r="AA856" s="133"/>
      <c r="AB856" s="241">
        <f>3900+500</f>
        <v>4400</v>
      </c>
      <c r="AC856" s="134">
        <v>260</v>
      </c>
      <c r="AD856" s="134"/>
      <c r="AE856" s="403">
        <f t="shared" si="46"/>
        <v>1144000</v>
      </c>
      <c r="AF856" s="132"/>
      <c r="AG856" s="130" t="s">
        <v>46</v>
      </c>
      <c r="AH856" s="130"/>
      <c r="AI856" s="130" t="s">
        <v>100</v>
      </c>
      <c r="AJ856" s="130"/>
      <c r="AK856" s="130"/>
      <c r="AL856" s="135" t="s">
        <v>3313</v>
      </c>
      <c r="AM856" s="314"/>
      <c r="AN856" s="26"/>
      <c r="AO856" s="26"/>
      <c r="AP856" s="26"/>
      <c r="AQ856" s="26">
        <v>43935</v>
      </c>
      <c r="AR856" s="24"/>
      <c r="AS856" s="24"/>
      <c r="AT856" s="24">
        <v>43937</v>
      </c>
      <c r="AU856" s="418">
        <f t="shared" si="47"/>
        <v>4</v>
      </c>
      <c r="AV856" s="418">
        <f t="shared" si="48"/>
        <v>2020</v>
      </c>
      <c r="AW856" s="24"/>
      <c r="AX856" s="28"/>
      <c r="AY856" s="28" t="s">
        <v>3403</v>
      </c>
      <c r="AZ856" s="132" t="s">
        <v>37</v>
      </c>
      <c r="BA856" s="132"/>
      <c r="BB856" s="24" t="s">
        <v>2956</v>
      </c>
      <c r="BC856" s="135" t="s">
        <v>3407</v>
      </c>
      <c r="BD856" s="24">
        <v>43904</v>
      </c>
      <c r="BE856" s="135" t="s">
        <v>3404</v>
      </c>
      <c r="BF856" s="135" t="s">
        <v>3404</v>
      </c>
      <c r="BG856" s="135" t="s">
        <v>52</v>
      </c>
      <c r="BH856" s="135"/>
      <c r="BI856" s="314" t="s">
        <v>117</v>
      </c>
      <c r="BJ856" s="314"/>
      <c r="BK856" s="24"/>
      <c r="BL856" s="24"/>
      <c r="BM856" s="24"/>
      <c r="BN856" s="24"/>
      <c r="BO856" s="24"/>
      <c r="BP856" s="24"/>
      <c r="BQ856" s="24"/>
      <c r="BR856" s="43"/>
      <c r="BS856" s="24"/>
      <c r="BT856" s="24"/>
      <c r="BU856" s="24"/>
      <c r="BV856" s="132" t="e">
        <f>IF(#REF!="COMPLETO","OK","PENDIENTES")</f>
        <v>#REF!</v>
      </c>
      <c r="BW856" s="325"/>
      <c r="BX856" s="325"/>
      <c r="BY856" s="325"/>
      <c r="BZ856" s="325"/>
      <c r="CA856" s="325"/>
      <c r="CB856" s="325"/>
      <c r="CC856" s="258"/>
      <c r="CG856" s="24" t="s">
        <v>105</v>
      </c>
      <c r="CH856" s="24"/>
      <c r="CI856" s="24"/>
      <c r="CJ856" s="24"/>
    </row>
    <row r="857" spans="1:88" ht="15" customHeight="1">
      <c r="A857" s="18">
        <v>2020</v>
      </c>
      <c r="B857" s="18" t="str">
        <f>+INDEX(BDD!F:F,MATCH(P857,BDD!D:D,0))&amp;"-"&amp;INDEX(BDD!E:E,MATCH(P857,BDD!D:D,0))</f>
        <v>G-S</v>
      </c>
      <c r="C857" s="125" t="s">
        <v>484</v>
      </c>
      <c r="D857" s="150" t="s">
        <v>77</v>
      </c>
      <c r="E857" s="132"/>
      <c r="F857" s="24"/>
      <c r="G857" s="346">
        <v>8000000732</v>
      </c>
      <c r="H857" s="125" t="s">
        <v>3408</v>
      </c>
      <c r="I857" s="329"/>
      <c r="J857" s="346">
        <v>8000000732</v>
      </c>
      <c r="K857" s="24"/>
      <c r="L857" s="24"/>
      <c r="M857" s="24"/>
      <c r="N857" s="340" t="s">
        <v>486</v>
      </c>
      <c r="O857" s="334">
        <v>206597</v>
      </c>
      <c r="P857" s="25" t="s">
        <v>104</v>
      </c>
      <c r="Q857" s="127" t="s">
        <v>90</v>
      </c>
      <c r="R857" s="232" t="s">
        <v>544</v>
      </c>
      <c r="S857" s="89">
        <v>43865</v>
      </c>
      <c r="T857" s="36">
        <v>180</v>
      </c>
      <c r="U857" s="125" t="s">
        <v>118</v>
      </c>
      <c r="V857" s="147" t="s">
        <v>3409</v>
      </c>
      <c r="W857" s="129"/>
      <c r="X857" s="88">
        <v>44085</v>
      </c>
      <c r="Y857" s="130" t="s">
        <v>20</v>
      </c>
      <c r="Z857" s="133" t="s">
        <v>60</v>
      </c>
      <c r="AA857" s="133"/>
      <c r="AB857" s="241">
        <v>1300</v>
      </c>
      <c r="AC857" s="134">
        <v>260</v>
      </c>
      <c r="AD857" s="134"/>
      <c r="AE857" s="403">
        <f t="shared" si="46"/>
        <v>338000</v>
      </c>
      <c r="AF857" s="132"/>
      <c r="AG857" s="130" t="s">
        <v>46</v>
      </c>
      <c r="AH857" s="130"/>
      <c r="AI857" s="130" t="s">
        <v>100</v>
      </c>
      <c r="AJ857" s="130"/>
      <c r="AK857" s="130"/>
      <c r="AL857" s="135" t="s">
        <v>3313</v>
      </c>
      <c r="AM857" s="314"/>
      <c r="AN857" s="26"/>
      <c r="AO857" s="26"/>
      <c r="AP857" s="26"/>
      <c r="AQ857" s="26">
        <v>43939</v>
      </c>
      <c r="AR857" s="24"/>
      <c r="AS857" s="24"/>
      <c r="AT857" s="24">
        <v>43941</v>
      </c>
      <c r="AU857" s="418">
        <f t="shared" si="47"/>
        <v>4</v>
      </c>
      <c r="AV857" s="418">
        <f t="shared" si="48"/>
        <v>2020</v>
      </c>
      <c r="AW857" s="24"/>
      <c r="AX857" s="28"/>
      <c r="AY857" s="28" t="s">
        <v>3403</v>
      </c>
      <c r="AZ857" s="132" t="s">
        <v>62</v>
      </c>
      <c r="BA857" s="132"/>
      <c r="BB857" s="24" t="s">
        <v>3334</v>
      </c>
      <c r="BC857" s="135" t="s">
        <v>3410</v>
      </c>
      <c r="BD857" s="24">
        <v>43904</v>
      </c>
      <c r="BE857" s="135" t="s">
        <v>3404</v>
      </c>
      <c r="BF857" s="135" t="s">
        <v>3404</v>
      </c>
      <c r="BG857" s="135" t="s">
        <v>52</v>
      </c>
      <c r="BH857" s="135"/>
      <c r="BI857" s="314" t="s">
        <v>117</v>
      </c>
      <c r="BJ857" s="314"/>
      <c r="BK857" s="24"/>
      <c r="BL857" s="24"/>
      <c r="BM857" s="24"/>
      <c r="BN857" s="24"/>
      <c r="BO857" s="24"/>
      <c r="BP857" s="24"/>
      <c r="BQ857" s="24"/>
      <c r="BR857" s="43"/>
      <c r="BS857" s="24"/>
      <c r="BT857" s="24"/>
      <c r="BU857" s="24"/>
      <c r="BV857" s="132" t="e">
        <f>IF(#REF!="COMPLETO","OK","PENDIENTES")</f>
        <v>#REF!</v>
      </c>
      <c r="BW857" s="325"/>
      <c r="BX857" s="325"/>
      <c r="BY857" s="325"/>
      <c r="BZ857" s="325"/>
      <c r="CA857" s="325"/>
      <c r="CB857" s="325"/>
      <c r="CC857" s="258"/>
      <c r="CG857" s="24" t="s">
        <v>105</v>
      </c>
      <c r="CH857" s="24"/>
      <c r="CI857" s="24"/>
      <c r="CJ857" s="24"/>
    </row>
    <row r="858" spans="1:88" ht="15" customHeight="1">
      <c r="A858" s="18">
        <v>2020</v>
      </c>
      <c r="B858" s="18" t="str">
        <f>+INDEX(BDD!F:F,MATCH(P858,BDD!D:D,0))&amp;"-"&amp;INDEX(BDD!E:E,MATCH(P858,BDD!D:D,0))</f>
        <v>A-S</v>
      </c>
      <c r="C858" s="125" t="s">
        <v>484</v>
      </c>
      <c r="D858" s="152" t="s">
        <v>20</v>
      </c>
      <c r="E858" s="132"/>
      <c r="F858" s="24"/>
      <c r="G858" s="346"/>
      <c r="H858" s="125" t="s">
        <v>3411</v>
      </c>
      <c r="I858" s="329"/>
      <c r="J858" s="346"/>
      <c r="K858" s="24"/>
      <c r="L858" s="24"/>
      <c r="M858" s="24"/>
      <c r="N858" s="340"/>
      <c r="O858" s="334"/>
      <c r="P858" s="25" t="s">
        <v>188</v>
      </c>
      <c r="Q858" s="127" t="s">
        <v>42</v>
      </c>
      <c r="R858" s="232"/>
      <c r="S858" s="89"/>
      <c r="T858" s="36"/>
      <c r="U858" s="125"/>
      <c r="V858" s="147"/>
      <c r="W858" s="129"/>
      <c r="X858" s="88"/>
      <c r="Y858" s="130"/>
      <c r="Z858" s="133"/>
      <c r="AA858" s="133"/>
      <c r="AB858" s="241"/>
      <c r="AC858" s="134"/>
      <c r="AD858" s="134"/>
      <c r="AE858" s="403">
        <f t="shared" si="46"/>
        <v>0</v>
      </c>
      <c r="AF858" s="132"/>
      <c r="AG858" s="130"/>
      <c r="AH858" s="130"/>
      <c r="AI858" s="130"/>
      <c r="AJ858" s="130"/>
      <c r="AK858" s="130"/>
      <c r="AL858" s="135"/>
      <c r="AM858" s="314"/>
      <c r="AN858" s="26"/>
      <c r="AO858" s="26"/>
      <c r="AP858" s="26"/>
      <c r="AQ858" s="26"/>
      <c r="AR858" s="24"/>
      <c r="AS858" s="24"/>
      <c r="AT858" s="24"/>
      <c r="AU858" s="418">
        <f t="shared" si="47"/>
        <v>1</v>
      </c>
      <c r="AV858" s="418">
        <f t="shared" si="48"/>
        <v>1900</v>
      </c>
      <c r="AW858" s="24"/>
      <c r="AX858" s="28"/>
      <c r="AY858" s="28"/>
      <c r="AZ858" s="132"/>
      <c r="BA858" s="132"/>
      <c r="BB858" s="24"/>
      <c r="BC858" s="135"/>
      <c r="BD858" s="24"/>
      <c r="BE858" s="135"/>
      <c r="BF858" s="135"/>
      <c r="BG858" s="135"/>
      <c r="BH858" s="135"/>
      <c r="BI858" s="314"/>
      <c r="BJ858" s="314"/>
      <c r="BK858" s="24"/>
      <c r="BL858" s="24"/>
      <c r="BM858" s="24"/>
      <c r="BN858" s="24"/>
      <c r="BO858" s="24"/>
      <c r="BP858" s="24"/>
      <c r="BQ858" s="24"/>
      <c r="BR858" s="43"/>
      <c r="BS858" s="24"/>
      <c r="BT858" s="24"/>
      <c r="BU858" s="24"/>
      <c r="BV858" s="132"/>
      <c r="BW858" s="325"/>
      <c r="BX858" s="325"/>
      <c r="BY858" s="325"/>
      <c r="BZ858" s="325"/>
      <c r="CA858" s="325"/>
      <c r="CB858" s="325"/>
      <c r="CC858" s="258"/>
      <c r="CD858" s="22"/>
      <c r="CE858" s="22"/>
      <c r="CF858" s="22"/>
      <c r="CG858" s="24"/>
      <c r="CH858" s="24"/>
      <c r="CI858" s="24"/>
      <c r="CJ858" s="24"/>
    </row>
    <row r="859" spans="1:88" ht="15" customHeight="1">
      <c r="A859" s="18">
        <v>2020</v>
      </c>
      <c r="B859" s="18" t="str">
        <f>+INDEX(BDD!F:F,MATCH(P859,BDD!D:D,0))&amp;"-"&amp;INDEX(BDD!E:E,MATCH(P859,BDD!D:D,0))</f>
        <v>T-S</v>
      </c>
      <c r="C859" s="125" t="s">
        <v>484</v>
      </c>
      <c r="D859" s="150" t="s">
        <v>77</v>
      </c>
      <c r="E859" s="132"/>
      <c r="F859" s="24"/>
      <c r="G859" s="346">
        <v>8000000695</v>
      </c>
      <c r="H859" s="125" t="s">
        <v>3412</v>
      </c>
      <c r="I859" s="329"/>
      <c r="J859" s="346">
        <v>8000000695</v>
      </c>
      <c r="K859" s="24"/>
      <c r="L859" s="24"/>
      <c r="M859" s="24"/>
      <c r="N859" s="340" t="s">
        <v>486</v>
      </c>
      <c r="O859" s="334">
        <v>208071</v>
      </c>
      <c r="P859" s="25" t="s">
        <v>384</v>
      </c>
      <c r="Q859" s="127" t="s">
        <v>303</v>
      </c>
      <c r="R859" s="232" t="s">
        <v>544</v>
      </c>
      <c r="S859" s="89">
        <v>43814</v>
      </c>
      <c r="T859" s="36">
        <v>30</v>
      </c>
      <c r="U859" s="125" t="s">
        <v>118</v>
      </c>
      <c r="V859" s="147" t="s">
        <v>3413</v>
      </c>
      <c r="W859" s="129"/>
      <c r="X859" s="88">
        <f t="shared" ref="X859:X865" si="50">+BD859+T859</f>
        <v>43896</v>
      </c>
      <c r="Y859" s="130" t="s">
        <v>20</v>
      </c>
      <c r="Z859" s="133" t="s">
        <v>60</v>
      </c>
      <c r="AA859" s="133"/>
      <c r="AB859" s="241">
        <v>200</v>
      </c>
      <c r="AC859" s="134">
        <v>235.21</v>
      </c>
      <c r="AD859" s="134"/>
      <c r="AE859" s="403">
        <f t="shared" si="46"/>
        <v>47042</v>
      </c>
      <c r="AF859" s="132">
        <v>8</v>
      </c>
      <c r="AG859" s="130" t="s">
        <v>5</v>
      </c>
      <c r="AH859" s="130"/>
      <c r="AI859" s="130" t="s">
        <v>34</v>
      </c>
      <c r="AJ859" s="130"/>
      <c r="AK859" s="130"/>
      <c r="AL859" s="135" t="s">
        <v>3249</v>
      </c>
      <c r="AM859" s="314"/>
      <c r="AN859" s="26"/>
      <c r="AO859" s="26"/>
      <c r="AP859" s="26"/>
      <c r="AQ859" s="26">
        <v>43875</v>
      </c>
      <c r="AR859" s="24"/>
      <c r="AS859" s="24"/>
      <c r="AT859" s="24">
        <v>43888</v>
      </c>
      <c r="AU859" s="418">
        <f t="shared" si="47"/>
        <v>2</v>
      </c>
      <c r="AV859" s="418">
        <f t="shared" si="48"/>
        <v>2020</v>
      </c>
      <c r="AW859" s="24"/>
      <c r="AX859" s="28"/>
      <c r="AY859" s="28" t="s">
        <v>3415</v>
      </c>
      <c r="AZ859" s="132" t="s">
        <v>37</v>
      </c>
      <c r="BA859" s="132"/>
      <c r="BB859" s="24" t="s">
        <v>3291</v>
      </c>
      <c r="BC859" s="135" t="s">
        <v>3414</v>
      </c>
      <c r="BD859" s="24">
        <v>43866</v>
      </c>
      <c r="BE859" s="135" t="s">
        <v>870</v>
      </c>
      <c r="BF859" s="135" t="s">
        <v>870</v>
      </c>
      <c r="BG859" s="135" t="s">
        <v>29</v>
      </c>
      <c r="BH859" s="135"/>
      <c r="BI859" s="314" t="s">
        <v>124</v>
      </c>
      <c r="BJ859" s="314"/>
      <c r="BK859" s="24"/>
      <c r="BL859" s="24"/>
      <c r="BM859" s="24"/>
      <c r="BN859" s="24"/>
      <c r="BO859" s="24">
        <v>43894</v>
      </c>
      <c r="BP859" s="24"/>
      <c r="BQ859" s="24"/>
      <c r="BR859" s="43"/>
      <c r="BS859" s="24"/>
      <c r="BT859" s="24"/>
      <c r="BU859" s="24"/>
      <c r="BV859" s="132" t="e">
        <f>IF(#REF!="COMPLETO","OK","PENDIENTES")</f>
        <v>#REF!</v>
      </c>
      <c r="BW859" s="325"/>
      <c r="BX859" s="325"/>
      <c r="BY859" s="325"/>
      <c r="BZ859" s="325"/>
      <c r="CA859" s="325"/>
      <c r="CB859" s="325"/>
      <c r="CC859" s="258"/>
      <c r="CG859" s="24" t="s">
        <v>105</v>
      </c>
      <c r="CH859" s="24"/>
      <c r="CI859" s="24"/>
      <c r="CJ859" s="24"/>
    </row>
    <row r="860" spans="1:88" ht="15" customHeight="1">
      <c r="A860" s="18">
        <v>2020</v>
      </c>
      <c r="B860" s="18" t="str">
        <f>+INDEX(BDD!F:F,MATCH(P860,BDD!D:D,0))&amp;"-"&amp;INDEX(BDD!E:E,MATCH(P860,BDD!D:D,0))</f>
        <v>T-S</v>
      </c>
      <c r="C860" s="125" t="s">
        <v>484</v>
      </c>
      <c r="D860" s="150" t="s">
        <v>77</v>
      </c>
      <c r="E860" s="132"/>
      <c r="F860" s="24"/>
      <c r="G860" s="346">
        <v>8000000699</v>
      </c>
      <c r="H860" s="125" t="s">
        <v>3416</v>
      </c>
      <c r="I860" s="329"/>
      <c r="J860" s="346">
        <v>8000000699</v>
      </c>
      <c r="K860" s="24"/>
      <c r="L860" s="24"/>
      <c r="M860" s="24"/>
      <c r="N860" s="340" t="s">
        <v>486</v>
      </c>
      <c r="O860" s="334">
        <v>208071</v>
      </c>
      <c r="P860" s="25" t="s">
        <v>384</v>
      </c>
      <c r="Q860" s="127" t="s">
        <v>303</v>
      </c>
      <c r="R860" s="232" t="s">
        <v>544</v>
      </c>
      <c r="S860" s="89">
        <v>43814</v>
      </c>
      <c r="T860" s="36">
        <v>30</v>
      </c>
      <c r="U860" s="125" t="s">
        <v>118</v>
      </c>
      <c r="V860" s="147" t="s">
        <v>3417</v>
      </c>
      <c r="W860" s="129"/>
      <c r="X860" s="88">
        <f t="shared" si="50"/>
        <v>43896</v>
      </c>
      <c r="Y860" s="130" t="s">
        <v>20</v>
      </c>
      <c r="Z860" s="133" t="s">
        <v>60</v>
      </c>
      <c r="AA860" s="133"/>
      <c r="AB860" s="241">
        <v>350</v>
      </c>
      <c r="AC860" s="134">
        <v>235.21</v>
      </c>
      <c r="AD860" s="134"/>
      <c r="AE860" s="403">
        <f t="shared" si="46"/>
        <v>82323.5</v>
      </c>
      <c r="AF860" s="132">
        <v>14</v>
      </c>
      <c r="AG860" s="130" t="s">
        <v>5</v>
      </c>
      <c r="AH860" s="130"/>
      <c r="AI860" s="130" t="s">
        <v>34</v>
      </c>
      <c r="AJ860" s="130"/>
      <c r="AK860" s="130"/>
      <c r="AL860" s="135" t="s">
        <v>3249</v>
      </c>
      <c r="AM860" s="314"/>
      <c r="AN860" s="26"/>
      <c r="AO860" s="26"/>
      <c r="AP860" s="26"/>
      <c r="AQ860" s="26">
        <v>43875</v>
      </c>
      <c r="AR860" s="24"/>
      <c r="AS860" s="24"/>
      <c r="AT860" s="24">
        <v>43892</v>
      </c>
      <c r="AU860" s="418">
        <f t="shared" si="47"/>
        <v>3</v>
      </c>
      <c r="AV860" s="418">
        <f t="shared" si="48"/>
        <v>2020</v>
      </c>
      <c r="AW860" s="24"/>
      <c r="AX860" s="28"/>
      <c r="AY860" s="28" t="s">
        <v>3415</v>
      </c>
      <c r="AZ860" s="132" t="s">
        <v>37</v>
      </c>
      <c r="BA860" s="132"/>
      <c r="BB860" s="24" t="s">
        <v>3291</v>
      </c>
      <c r="BC860" s="135" t="s">
        <v>3418</v>
      </c>
      <c r="BD860" s="24">
        <v>43866</v>
      </c>
      <c r="BE860" s="135" t="s">
        <v>870</v>
      </c>
      <c r="BF860" s="135" t="s">
        <v>870</v>
      </c>
      <c r="BG860" s="135" t="s">
        <v>29</v>
      </c>
      <c r="BH860" s="135"/>
      <c r="BI860" s="314" t="s">
        <v>124</v>
      </c>
      <c r="BJ860" s="314"/>
      <c r="BK860" s="24"/>
      <c r="BL860" s="24"/>
      <c r="BM860" s="24"/>
      <c r="BN860" s="24"/>
      <c r="BO860" s="24">
        <f>+AQ860+21</f>
        <v>43896</v>
      </c>
      <c r="BP860" s="24"/>
      <c r="BQ860" s="24"/>
      <c r="BR860" s="43"/>
      <c r="BS860" s="24"/>
      <c r="BT860" s="24"/>
      <c r="BU860" s="24"/>
      <c r="BV860" s="132" t="e">
        <f>IF(#REF!="COMPLETO","OK","PENDIENTES")</f>
        <v>#REF!</v>
      </c>
      <c r="BW860" s="325"/>
      <c r="BX860" s="325"/>
      <c r="BY860" s="325"/>
      <c r="BZ860" s="325"/>
      <c r="CA860" s="325"/>
      <c r="CB860" s="325"/>
      <c r="CC860" s="258"/>
      <c r="CG860" s="24" t="s">
        <v>105</v>
      </c>
      <c r="CH860" s="24"/>
      <c r="CI860" s="24"/>
      <c r="CJ860" s="24"/>
    </row>
    <row r="861" spans="1:88" ht="15" customHeight="1">
      <c r="A861" s="18">
        <v>2020</v>
      </c>
      <c r="B861" s="18" t="str">
        <f>+INDEX(BDD!F:F,MATCH(P861,BDD!D:D,0))&amp;"-"&amp;INDEX(BDD!E:E,MATCH(P861,BDD!D:D,0))</f>
        <v>T-S</v>
      </c>
      <c r="C861" s="125" t="s">
        <v>484</v>
      </c>
      <c r="D861" s="150" t="s">
        <v>77</v>
      </c>
      <c r="E861" s="132"/>
      <c r="F861" s="24"/>
      <c r="G861" s="346">
        <v>8000000700</v>
      </c>
      <c r="H861" s="125" t="s">
        <v>3419</v>
      </c>
      <c r="I861" s="329"/>
      <c r="J861" s="346">
        <v>8000000700</v>
      </c>
      <c r="K861" s="24"/>
      <c r="L861" s="24"/>
      <c r="M861" s="24"/>
      <c r="N861" s="340" t="s">
        <v>486</v>
      </c>
      <c r="O861" s="334">
        <v>208071</v>
      </c>
      <c r="P861" s="25" t="s">
        <v>384</v>
      </c>
      <c r="Q861" s="127" t="s">
        <v>303</v>
      </c>
      <c r="R861" s="232" t="s">
        <v>544</v>
      </c>
      <c r="S861" s="89">
        <v>43814</v>
      </c>
      <c r="T861" s="36">
        <v>30</v>
      </c>
      <c r="U861" s="125" t="s">
        <v>118</v>
      </c>
      <c r="V861" s="147" t="s">
        <v>3420</v>
      </c>
      <c r="W861" s="129"/>
      <c r="X861" s="88">
        <f t="shared" si="50"/>
        <v>43903</v>
      </c>
      <c r="Y861" s="130" t="s">
        <v>20</v>
      </c>
      <c r="Z861" s="133" t="s">
        <v>60</v>
      </c>
      <c r="AA861" s="133"/>
      <c r="AB861" s="241">
        <v>250</v>
      </c>
      <c r="AC861" s="134">
        <v>235.21</v>
      </c>
      <c r="AD861" s="134"/>
      <c r="AE861" s="403">
        <f t="shared" si="46"/>
        <v>58802.5</v>
      </c>
      <c r="AF861" s="132">
        <v>10</v>
      </c>
      <c r="AG861" s="130" t="s">
        <v>5</v>
      </c>
      <c r="AH861" s="130"/>
      <c r="AI861" s="130" t="s">
        <v>34</v>
      </c>
      <c r="AJ861" s="130"/>
      <c r="AK861" s="130"/>
      <c r="AL861" s="135" t="s">
        <v>3249</v>
      </c>
      <c r="AM861" s="314"/>
      <c r="AN861" s="26"/>
      <c r="AO861" s="26"/>
      <c r="AP861" s="26"/>
      <c r="AQ861" s="26">
        <v>43882</v>
      </c>
      <c r="AR861" s="24"/>
      <c r="AS861" s="24"/>
      <c r="AT861" s="24">
        <v>43893</v>
      </c>
      <c r="AU861" s="418">
        <f t="shared" si="47"/>
        <v>3</v>
      </c>
      <c r="AV861" s="418">
        <f t="shared" si="48"/>
        <v>2020</v>
      </c>
      <c r="AW861" s="24"/>
      <c r="AX861" s="28"/>
      <c r="AY861" s="28" t="s">
        <v>3415</v>
      </c>
      <c r="AZ861" s="132" t="s">
        <v>37</v>
      </c>
      <c r="BA861" s="132"/>
      <c r="BB861" s="24" t="s">
        <v>3291</v>
      </c>
      <c r="BC861" s="135" t="s">
        <v>3421</v>
      </c>
      <c r="BD861" s="24">
        <v>43873</v>
      </c>
      <c r="BE861" s="135" t="s">
        <v>797</v>
      </c>
      <c r="BF861" s="135" t="s">
        <v>797</v>
      </c>
      <c r="BG861" s="135" t="s">
        <v>29</v>
      </c>
      <c r="BH861" s="135"/>
      <c r="BI861" s="314" t="s">
        <v>124</v>
      </c>
      <c r="BJ861" s="314"/>
      <c r="BK861" s="24"/>
      <c r="BL861" s="24"/>
      <c r="BM861" s="24"/>
      <c r="BN861" s="24"/>
      <c r="BO861" s="24">
        <f>+AQ861+21</f>
        <v>43903</v>
      </c>
      <c r="BP861" s="24"/>
      <c r="BQ861" s="24"/>
      <c r="BR861" s="43"/>
      <c r="BS861" s="24"/>
      <c r="BT861" s="24"/>
      <c r="BU861" s="24"/>
      <c r="BV861" s="132" t="e">
        <f>IF(#REF!="COMPLETO","OK","PENDIENTES")</f>
        <v>#REF!</v>
      </c>
      <c r="BW861" s="325"/>
      <c r="BX861" s="325"/>
      <c r="BY861" s="325"/>
      <c r="BZ861" s="325"/>
      <c r="CA861" s="325"/>
      <c r="CB861" s="325"/>
      <c r="CC861" s="258"/>
      <c r="CG861" s="24" t="s">
        <v>105</v>
      </c>
      <c r="CH861" s="24"/>
      <c r="CI861" s="24"/>
      <c r="CJ861" s="24"/>
    </row>
    <row r="862" spans="1:88" ht="15" customHeight="1">
      <c r="A862" s="18">
        <v>2020</v>
      </c>
      <c r="B862" s="18" t="str">
        <f>+INDEX(BDD!F:F,MATCH(P862,BDD!D:D,0))&amp;"-"&amp;INDEX(BDD!E:E,MATCH(P862,BDD!D:D,0))</f>
        <v>T-S</v>
      </c>
      <c r="C862" s="125" t="s">
        <v>484</v>
      </c>
      <c r="D862" s="150" t="s">
        <v>77</v>
      </c>
      <c r="E862" s="132"/>
      <c r="F862" s="24"/>
      <c r="G862" s="346">
        <v>8000000696</v>
      </c>
      <c r="H862" s="125" t="s">
        <v>3422</v>
      </c>
      <c r="I862" s="329"/>
      <c r="J862" s="346">
        <v>8000000696</v>
      </c>
      <c r="K862" s="24"/>
      <c r="L862" s="24"/>
      <c r="M862" s="24"/>
      <c r="N862" s="340" t="s">
        <v>486</v>
      </c>
      <c r="O862" s="334">
        <v>208071</v>
      </c>
      <c r="P862" s="25" t="s">
        <v>384</v>
      </c>
      <c r="Q862" s="127" t="s">
        <v>303</v>
      </c>
      <c r="R862" s="232" t="s">
        <v>544</v>
      </c>
      <c r="S862" s="89">
        <v>43814</v>
      </c>
      <c r="T862" s="36">
        <v>30</v>
      </c>
      <c r="U862" s="125" t="s">
        <v>118</v>
      </c>
      <c r="V862" s="147" t="s">
        <v>3423</v>
      </c>
      <c r="W862" s="129"/>
      <c r="X862" s="88">
        <f t="shared" si="50"/>
        <v>43891</v>
      </c>
      <c r="Y862" s="130" t="s">
        <v>20</v>
      </c>
      <c r="Z862" s="133" t="s">
        <v>60</v>
      </c>
      <c r="AA862" s="133"/>
      <c r="AB862" s="241">
        <v>300</v>
      </c>
      <c r="AC862" s="134">
        <v>235.21</v>
      </c>
      <c r="AD862" s="134"/>
      <c r="AE862" s="403">
        <f t="shared" si="46"/>
        <v>70563</v>
      </c>
      <c r="AF862" s="132">
        <v>12</v>
      </c>
      <c r="AG862" s="130" t="s">
        <v>5</v>
      </c>
      <c r="AH862" s="130"/>
      <c r="AI862" s="130" t="s">
        <v>34</v>
      </c>
      <c r="AJ862" s="130"/>
      <c r="AK862" s="130"/>
      <c r="AL862" s="135" t="s">
        <v>3249</v>
      </c>
      <c r="AM862" s="314"/>
      <c r="AN862" s="26"/>
      <c r="AO862" s="26"/>
      <c r="AP862" s="26"/>
      <c r="AQ862" s="26">
        <v>43865</v>
      </c>
      <c r="AR862" s="24"/>
      <c r="AS862" s="24"/>
      <c r="AT862" s="24">
        <v>43885</v>
      </c>
      <c r="AU862" s="418">
        <f t="shared" si="47"/>
        <v>2</v>
      </c>
      <c r="AV862" s="418">
        <f t="shared" si="48"/>
        <v>2020</v>
      </c>
      <c r="AW862" s="24"/>
      <c r="AX862" s="28"/>
      <c r="AY862" s="28" t="s">
        <v>3415</v>
      </c>
      <c r="AZ862" s="132" t="s">
        <v>9</v>
      </c>
      <c r="BA862" s="132"/>
      <c r="BB862" s="24" t="s">
        <v>3264</v>
      </c>
      <c r="BC862" s="135" t="s">
        <v>3424</v>
      </c>
      <c r="BD862" s="24">
        <v>43861</v>
      </c>
      <c r="BE862" s="135" t="s">
        <v>2560</v>
      </c>
      <c r="BF862" s="135" t="s">
        <v>2560</v>
      </c>
      <c r="BG862" s="135" t="s">
        <v>29</v>
      </c>
      <c r="BH862" s="135"/>
      <c r="BI862" s="314" t="s">
        <v>124</v>
      </c>
      <c r="BJ862" s="314"/>
      <c r="BK862" s="24"/>
      <c r="BL862" s="24"/>
      <c r="BM862" s="24"/>
      <c r="BN862" s="24"/>
      <c r="BO862" s="24">
        <f>+AQ862+18</f>
        <v>43883</v>
      </c>
      <c r="BP862" s="24"/>
      <c r="BQ862" s="24"/>
      <c r="BR862" s="43"/>
      <c r="BS862" s="24"/>
      <c r="BT862" s="24"/>
      <c r="BU862" s="24"/>
      <c r="BV862" s="132" t="e">
        <f>IF(#REF!="COMPLETO","OK","PENDIENTES")</f>
        <v>#REF!</v>
      </c>
      <c r="BW862" s="325"/>
      <c r="BX862" s="325"/>
      <c r="BY862" s="325"/>
      <c r="BZ862" s="325"/>
      <c r="CA862" s="325"/>
      <c r="CB862" s="325"/>
      <c r="CC862" s="258"/>
      <c r="CG862" s="24" t="s">
        <v>105</v>
      </c>
      <c r="CH862" s="24"/>
      <c r="CI862" s="24"/>
      <c r="CJ862" s="24"/>
    </row>
    <row r="863" spans="1:88" ht="15" customHeight="1">
      <c r="A863" s="18">
        <v>2020</v>
      </c>
      <c r="B863" s="18" t="str">
        <f>+INDEX(BDD!F:F,MATCH(P863,BDD!D:D,0))&amp;"-"&amp;INDEX(BDD!E:E,MATCH(P863,BDD!D:D,0))</f>
        <v>A-S</v>
      </c>
      <c r="C863" s="125" t="s">
        <v>484</v>
      </c>
      <c r="D863" s="150" t="s">
        <v>77</v>
      </c>
      <c r="E863" s="132"/>
      <c r="F863" s="24"/>
      <c r="G863" s="346">
        <v>8000000698</v>
      </c>
      <c r="H863" s="125" t="s">
        <v>3425</v>
      </c>
      <c r="I863" s="329"/>
      <c r="J863" s="346">
        <v>8000000698</v>
      </c>
      <c r="K863" s="24"/>
      <c r="L863" s="24"/>
      <c r="M863" s="24"/>
      <c r="N863" s="340" t="s">
        <v>486</v>
      </c>
      <c r="O863" s="334">
        <v>209882</v>
      </c>
      <c r="P863" s="25" t="s">
        <v>123</v>
      </c>
      <c r="Q863" s="127" t="s">
        <v>0</v>
      </c>
      <c r="R863" s="232" t="s">
        <v>544</v>
      </c>
      <c r="S863" s="89">
        <v>43874</v>
      </c>
      <c r="T863" s="36">
        <v>60</v>
      </c>
      <c r="U863" s="125" t="s">
        <v>118</v>
      </c>
      <c r="V863" s="147" t="s">
        <v>3426</v>
      </c>
      <c r="W863" s="129"/>
      <c r="X863" s="88">
        <f t="shared" si="50"/>
        <v>43997</v>
      </c>
      <c r="Y863" s="130" t="s">
        <v>20</v>
      </c>
      <c r="Z863" s="133" t="s">
        <v>60</v>
      </c>
      <c r="AA863" s="133"/>
      <c r="AB863" s="241">
        <v>2.88</v>
      </c>
      <c r="AC863" s="134">
        <v>2200</v>
      </c>
      <c r="AD863" s="134"/>
      <c r="AE863" s="403">
        <f t="shared" si="46"/>
        <v>6336</v>
      </c>
      <c r="AF863" s="132"/>
      <c r="AG863" s="130" t="s">
        <v>21</v>
      </c>
      <c r="AH863" s="130"/>
      <c r="AI863" s="130" t="s">
        <v>3427</v>
      </c>
      <c r="AJ863" s="130"/>
      <c r="AK863" s="130"/>
      <c r="AL863" s="135" t="s">
        <v>3313</v>
      </c>
      <c r="AM863" s="314"/>
      <c r="AN863" s="26"/>
      <c r="AO863" s="26"/>
      <c r="AP863" s="26"/>
      <c r="AQ863" s="26">
        <v>43959</v>
      </c>
      <c r="AR863" s="41"/>
      <c r="AS863" s="41"/>
      <c r="AT863" s="24">
        <v>43963</v>
      </c>
      <c r="AU863" s="418">
        <f t="shared" si="47"/>
        <v>5</v>
      </c>
      <c r="AV863" s="418">
        <f t="shared" si="48"/>
        <v>2020</v>
      </c>
      <c r="AW863" s="24"/>
      <c r="AX863" s="28"/>
      <c r="AY863" s="28" t="s">
        <v>113</v>
      </c>
      <c r="AZ863" s="132" t="s">
        <v>37</v>
      </c>
      <c r="BA863" s="132"/>
      <c r="BB863" s="24" t="s">
        <v>2956</v>
      </c>
      <c r="BC863" s="135" t="s">
        <v>3428</v>
      </c>
      <c r="BD863" s="24">
        <v>43937</v>
      </c>
      <c r="BE863" s="135" t="s">
        <v>3429</v>
      </c>
      <c r="BF863" s="135" t="s">
        <v>3429</v>
      </c>
      <c r="BG863" s="135" t="s">
        <v>3430</v>
      </c>
      <c r="BH863" s="135"/>
      <c r="BI863" s="314" t="s">
        <v>117</v>
      </c>
      <c r="BJ863" s="314"/>
      <c r="BK863" s="24"/>
      <c r="BL863" s="24"/>
      <c r="BM863" s="24"/>
      <c r="BN863" s="24"/>
      <c r="BO863" s="41"/>
      <c r="BP863" s="41"/>
      <c r="BQ863" s="41"/>
      <c r="BR863" s="43"/>
      <c r="BS863" s="41"/>
      <c r="BT863" s="41"/>
      <c r="BU863" s="41"/>
      <c r="BV863" s="132" t="e">
        <f>IF(#REF!="COMPLETO","OK","PENDIENTES")</f>
        <v>#REF!</v>
      </c>
      <c r="BW863" s="325"/>
      <c r="BX863" s="325"/>
      <c r="BY863" s="325"/>
      <c r="BZ863" s="325"/>
      <c r="CA863" s="325"/>
      <c r="CB863" s="325"/>
      <c r="CC863" s="258"/>
      <c r="CG863" s="24" t="s">
        <v>105</v>
      </c>
      <c r="CH863" s="24"/>
      <c r="CI863" s="24"/>
      <c r="CJ863" s="24"/>
    </row>
    <row r="864" spans="1:88" ht="15" customHeight="1">
      <c r="A864" s="18">
        <v>2020</v>
      </c>
      <c r="B864" s="18" t="str">
        <f>+INDEX(BDD!F:F,MATCH(P864,BDD!D:D,0))&amp;"-"&amp;INDEX(BDD!E:E,MATCH(P864,BDD!D:D,0))</f>
        <v>A-S</v>
      </c>
      <c r="C864" s="125" t="s">
        <v>484</v>
      </c>
      <c r="D864" s="150" t="s">
        <v>77</v>
      </c>
      <c r="E864" s="132"/>
      <c r="F864" s="24"/>
      <c r="G864" s="346">
        <v>8000000698</v>
      </c>
      <c r="H864" s="125" t="s">
        <v>3431</v>
      </c>
      <c r="I864" s="329"/>
      <c r="J864" s="346">
        <v>8000000698</v>
      </c>
      <c r="K864" s="24"/>
      <c r="L864" s="24"/>
      <c r="M864" s="24"/>
      <c r="N864" s="340" t="s">
        <v>486</v>
      </c>
      <c r="O864" s="334">
        <v>209892</v>
      </c>
      <c r="P864" s="25" t="s">
        <v>130</v>
      </c>
      <c r="Q864" s="127" t="s">
        <v>0</v>
      </c>
      <c r="R864" s="232" t="s">
        <v>544</v>
      </c>
      <c r="S864" s="89">
        <v>43874</v>
      </c>
      <c r="T864" s="36">
        <v>60</v>
      </c>
      <c r="U864" s="125" t="s">
        <v>118</v>
      </c>
      <c r="V864" s="147" t="s">
        <v>3426</v>
      </c>
      <c r="W864" s="129"/>
      <c r="X864" s="88">
        <f t="shared" si="50"/>
        <v>43997</v>
      </c>
      <c r="Y864" s="130" t="s">
        <v>20</v>
      </c>
      <c r="Z864" s="133" t="s">
        <v>60</v>
      </c>
      <c r="AA864" s="133"/>
      <c r="AB864" s="241">
        <v>5</v>
      </c>
      <c r="AC864" s="134">
        <v>2200</v>
      </c>
      <c r="AD864" s="134"/>
      <c r="AE864" s="403">
        <f t="shared" si="46"/>
        <v>11000</v>
      </c>
      <c r="AF864" s="132"/>
      <c r="AG864" s="130" t="s">
        <v>21</v>
      </c>
      <c r="AH864" s="130"/>
      <c r="AI864" s="130" t="s">
        <v>3432</v>
      </c>
      <c r="AJ864" s="130"/>
      <c r="AK864" s="130"/>
      <c r="AL864" s="135" t="s">
        <v>3313</v>
      </c>
      <c r="AM864" s="314"/>
      <c r="AN864" s="26"/>
      <c r="AO864" s="26"/>
      <c r="AP864" s="26"/>
      <c r="AQ864" s="26">
        <v>43959</v>
      </c>
      <c r="AR864" s="24"/>
      <c r="AS864" s="24"/>
      <c r="AT864" s="24">
        <v>43963</v>
      </c>
      <c r="AU864" s="418">
        <f t="shared" si="47"/>
        <v>5</v>
      </c>
      <c r="AV864" s="418">
        <f t="shared" si="48"/>
        <v>2020</v>
      </c>
      <c r="AW864" s="24"/>
      <c r="AX864" s="28"/>
      <c r="AY864" s="28" t="s">
        <v>113</v>
      </c>
      <c r="AZ864" s="132" t="s">
        <v>37</v>
      </c>
      <c r="BA864" s="132"/>
      <c r="BB864" s="24" t="s">
        <v>2956</v>
      </c>
      <c r="BC864" s="135" t="s">
        <v>3428</v>
      </c>
      <c r="BD864" s="24">
        <v>43937</v>
      </c>
      <c r="BE864" s="135" t="s">
        <v>3429</v>
      </c>
      <c r="BF864" s="135" t="s">
        <v>3429</v>
      </c>
      <c r="BG864" s="135" t="s">
        <v>3430</v>
      </c>
      <c r="BH864" s="135"/>
      <c r="BI864" s="314" t="s">
        <v>117</v>
      </c>
      <c r="BJ864" s="314"/>
      <c r="BK864" s="24"/>
      <c r="BL864" s="24"/>
      <c r="BM864" s="24"/>
      <c r="BN864" s="24"/>
      <c r="BO864" s="24"/>
      <c r="BP864" s="24"/>
      <c r="BQ864" s="24"/>
      <c r="BR864" s="43"/>
      <c r="BS864" s="24"/>
      <c r="BT864" s="24"/>
      <c r="BU864" s="24"/>
      <c r="BV864" s="132" t="e">
        <f>IF(#REF!="COMPLETO","OK","PENDIENTES")</f>
        <v>#REF!</v>
      </c>
      <c r="BW864" s="325"/>
      <c r="BX864" s="325"/>
      <c r="BY864" s="325"/>
      <c r="BZ864" s="325"/>
      <c r="CA864" s="325"/>
      <c r="CB864" s="325"/>
      <c r="CC864" s="258"/>
      <c r="CG864" s="24" t="s">
        <v>105</v>
      </c>
      <c r="CH864" s="24"/>
      <c r="CI864" s="24"/>
      <c r="CJ864" s="24"/>
    </row>
    <row r="865" spans="1:88" ht="15" customHeight="1">
      <c r="A865" s="18">
        <v>2020</v>
      </c>
      <c r="B865" s="18" t="str">
        <f>+INDEX(BDD!F:F,MATCH(P865,BDD!D:D,0))&amp;"-"&amp;INDEX(BDD!E:E,MATCH(P865,BDD!D:D,0))</f>
        <v>A-S</v>
      </c>
      <c r="C865" s="125" t="s">
        <v>484</v>
      </c>
      <c r="D865" s="150" t="s">
        <v>77</v>
      </c>
      <c r="E865" s="132"/>
      <c r="F865" s="24"/>
      <c r="G865" s="346">
        <v>8000000698</v>
      </c>
      <c r="H865" s="125" t="s">
        <v>3433</v>
      </c>
      <c r="I865" s="329"/>
      <c r="J865" s="346">
        <v>8000000698</v>
      </c>
      <c r="K865" s="24"/>
      <c r="L865" s="24"/>
      <c r="M865" s="24"/>
      <c r="N865" s="340" t="s">
        <v>486</v>
      </c>
      <c r="O865" s="334">
        <v>209883</v>
      </c>
      <c r="P865" s="25" t="s">
        <v>188</v>
      </c>
      <c r="Q865" s="127" t="s">
        <v>0</v>
      </c>
      <c r="R865" s="232" t="s">
        <v>544</v>
      </c>
      <c r="S865" s="89">
        <v>43874</v>
      </c>
      <c r="T865" s="36">
        <v>60</v>
      </c>
      <c r="U865" s="125" t="s">
        <v>118</v>
      </c>
      <c r="V865" s="147" t="s">
        <v>3426</v>
      </c>
      <c r="W865" s="129"/>
      <c r="X865" s="88">
        <f t="shared" si="50"/>
        <v>43997</v>
      </c>
      <c r="Y865" s="130" t="s">
        <v>20</v>
      </c>
      <c r="Z865" s="133" t="s">
        <v>60</v>
      </c>
      <c r="AA865" s="133"/>
      <c r="AB865" s="241">
        <v>5.76</v>
      </c>
      <c r="AC865" s="134">
        <v>3020</v>
      </c>
      <c r="AD865" s="134"/>
      <c r="AE865" s="403">
        <f t="shared" si="46"/>
        <v>17395.2</v>
      </c>
      <c r="AF865" s="132"/>
      <c r="AG865" s="130" t="s">
        <v>21</v>
      </c>
      <c r="AH865" s="130"/>
      <c r="AI865" s="130" t="s">
        <v>3427</v>
      </c>
      <c r="AJ865" s="130"/>
      <c r="AK865" s="130"/>
      <c r="AL865" s="135" t="s">
        <v>3313</v>
      </c>
      <c r="AM865" s="314"/>
      <c r="AN865" s="26"/>
      <c r="AO865" s="26"/>
      <c r="AP865" s="26"/>
      <c r="AQ865" s="26">
        <v>43959</v>
      </c>
      <c r="AR865" s="24"/>
      <c r="AS865" s="24"/>
      <c r="AT865" s="24">
        <v>43963</v>
      </c>
      <c r="AU865" s="418">
        <f t="shared" si="47"/>
        <v>5</v>
      </c>
      <c r="AV865" s="418">
        <f t="shared" si="48"/>
        <v>2020</v>
      </c>
      <c r="AW865" s="24"/>
      <c r="AX865" s="28"/>
      <c r="AY865" s="28" t="s">
        <v>113</v>
      </c>
      <c r="AZ865" s="132" t="s">
        <v>37</v>
      </c>
      <c r="BA865" s="132"/>
      <c r="BB865" s="24" t="s">
        <v>2956</v>
      </c>
      <c r="BC865" s="135" t="s">
        <v>3428</v>
      </c>
      <c r="BD865" s="24">
        <v>43937</v>
      </c>
      <c r="BE865" s="135" t="s">
        <v>3429</v>
      </c>
      <c r="BF865" s="135" t="s">
        <v>3429</v>
      </c>
      <c r="BG865" s="135" t="s">
        <v>3430</v>
      </c>
      <c r="BH865" s="135"/>
      <c r="BI865" s="314" t="s">
        <v>117</v>
      </c>
      <c r="BJ865" s="314"/>
      <c r="BK865" s="24"/>
      <c r="BL865" s="24"/>
      <c r="BM865" s="24"/>
      <c r="BN865" s="24"/>
      <c r="BO865" s="24"/>
      <c r="BP865" s="24"/>
      <c r="BQ865" s="24"/>
      <c r="BR865" s="43"/>
      <c r="BS865" s="24"/>
      <c r="BT865" s="24"/>
      <c r="BU865" s="24"/>
      <c r="BV865" s="132" t="e">
        <f>IF(#REF!="COMPLETO","OK","PENDIENTES")</f>
        <v>#REF!</v>
      </c>
      <c r="BW865" s="325"/>
      <c r="BX865" s="325"/>
      <c r="BY865" s="325"/>
      <c r="BZ865" s="325"/>
      <c r="CA865" s="325"/>
      <c r="CB865" s="325"/>
      <c r="CC865" s="258"/>
      <c r="CG865" s="24" t="s">
        <v>105</v>
      </c>
      <c r="CH865" s="24"/>
      <c r="CI865" s="24"/>
      <c r="CJ865" s="24"/>
    </row>
    <row r="866" spans="1:88" ht="15" customHeight="1">
      <c r="A866" s="18">
        <v>2020</v>
      </c>
      <c r="B866" s="18" t="str">
        <f>+INDEX(BDD!F:F,MATCH(P866,BDD!D:D,0))&amp;"-"&amp;INDEX(BDD!E:E,MATCH(P866,BDD!D:D,0))</f>
        <v>G-S</v>
      </c>
      <c r="C866" s="125" t="s">
        <v>484</v>
      </c>
      <c r="D866" s="150" t="s">
        <v>77</v>
      </c>
      <c r="E866" s="132"/>
      <c r="F866" s="24"/>
      <c r="G866" s="346">
        <v>8000000747</v>
      </c>
      <c r="H866" s="125" t="s">
        <v>3434</v>
      </c>
      <c r="I866" s="329"/>
      <c r="J866" s="346">
        <v>8000000747</v>
      </c>
      <c r="K866" s="24"/>
      <c r="L866" s="24"/>
      <c r="M866" s="24"/>
      <c r="N866" s="340" t="s">
        <v>486</v>
      </c>
      <c r="O866" s="334">
        <v>203616</v>
      </c>
      <c r="P866" s="25" t="s">
        <v>357</v>
      </c>
      <c r="Q866" s="127" t="s">
        <v>66</v>
      </c>
      <c r="R866" s="232" t="s">
        <v>3435</v>
      </c>
      <c r="S866" s="89">
        <v>43873</v>
      </c>
      <c r="T866" s="36" t="s">
        <v>19</v>
      </c>
      <c r="U866" s="125"/>
      <c r="V866" s="147" t="s">
        <v>3436</v>
      </c>
      <c r="W866" s="129"/>
      <c r="X866" s="88">
        <v>43922</v>
      </c>
      <c r="Y866" s="130" t="s">
        <v>20</v>
      </c>
      <c r="Z866" s="133" t="s">
        <v>60</v>
      </c>
      <c r="AA866" s="133"/>
      <c r="AB866" s="241">
        <v>2600</v>
      </c>
      <c r="AC866" s="240">
        <f>125-3.94203</f>
        <v>121.05797</v>
      </c>
      <c r="AD866" s="240"/>
      <c r="AE866" s="403">
        <f t="shared" si="46"/>
        <v>314750.72200000001</v>
      </c>
      <c r="AF866" s="132" t="s">
        <v>944</v>
      </c>
      <c r="AG866" s="130" t="s">
        <v>46</v>
      </c>
      <c r="AH866" s="130"/>
      <c r="AI866" s="130" t="s">
        <v>100</v>
      </c>
      <c r="AJ866" s="130"/>
      <c r="AK866" s="130"/>
      <c r="AL866" s="135" t="s">
        <v>3313</v>
      </c>
      <c r="AM866" s="314"/>
      <c r="AN866" s="26"/>
      <c r="AO866" s="26"/>
      <c r="AP866" s="26"/>
      <c r="AQ866" s="26">
        <v>43942</v>
      </c>
      <c r="AR866" s="24"/>
      <c r="AS866" s="24"/>
      <c r="AT866" s="24">
        <v>43943</v>
      </c>
      <c r="AU866" s="418">
        <f t="shared" si="47"/>
        <v>4</v>
      </c>
      <c r="AV866" s="418">
        <f t="shared" si="48"/>
        <v>2020</v>
      </c>
      <c r="AW866" s="24"/>
      <c r="AX866" s="28"/>
      <c r="AY866" s="28" t="s">
        <v>3437</v>
      </c>
      <c r="AZ866" s="132" t="s">
        <v>9</v>
      </c>
      <c r="BA866" s="132"/>
      <c r="BB866" s="24" t="s">
        <v>2956</v>
      </c>
      <c r="BC866" s="135">
        <v>3</v>
      </c>
      <c r="BD866" s="24">
        <v>43909</v>
      </c>
      <c r="BE866" s="135" t="s">
        <v>3438</v>
      </c>
      <c r="BF866" s="135" t="s">
        <v>3438</v>
      </c>
      <c r="BG866" s="135" t="s">
        <v>52</v>
      </c>
      <c r="BH866" s="135"/>
      <c r="BI866" s="314" t="s">
        <v>117</v>
      </c>
      <c r="BJ866" s="314"/>
      <c r="BK866" s="24"/>
      <c r="BL866" s="24"/>
      <c r="BM866" s="24"/>
      <c r="BN866" s="24"/>
      <c r="BO866" s="24"/>
      <c r="BP866" s="24"/>
      <c r="BQ866" s="24"/>
      <c r="BR866" s="43"/>
      <c r="BS866" s="24"/>
      <c r="BT866" s="24"/>
      <c r="BU866" s="24"/>
      <c r="BV866" s="132" t="e">
        <f>IF(#REF!="COMPLETO","OK","PENDIENTES")</f>
        <v>#REF!</v>
      </c>
      <c r="BW866" s="325"/>
      <c r="BX866" s="325"/>
      <c r="BY866" s="325"/>
      <c r="BZ866" s="325"/>
      <c r="CA866" s="325"/>
      <c r="CB866" s="325"/>
      <c r="CC866" s="258"/>
      <c r="CG866" s="24" t="s">
        <v>105</v>
      </c>
      <c r="CH866" s="24"/>
      <c r="CI866" s="24"/>
      <c r="CJ866" s="24"/>
    </row>
    <row r="867" spans="1:88" ht="15" customHeight="1">
      <c r="A867" s="18">
        <v>2020</v>
      </c>
      <c r="B867" s="18" t="str">
        <f>+INDEX(BDD!F:F,MATCH(P867,BDD!D:D,0))&amp;"-"&amp;INDEX(BDD!E:E,MATCH(P867,BDD!D:D,0))</f>
        <v>G-S</v>
      </c>
      <c r="C867" s="125" t="s">
        <v>484</v>
      </c>
      <c r="D867" s="150" t="s">
        <v>77</v>
      </c>
      <c r="E867" s="132"/>
      <c r="F867" s="24"/>
      <c r="G867" s="346">
        <v>8000000752</v>
      </c>
      <c r="H867" s="125" t="s">
        <v>3439</v>
      </c>
      <c r="I867" s="329"/>
      <c r="J867" s="346">
        <v>8000000752</v>
      </c>
      <c r="K867" s="24"/>
      <c r="L867" s="24"/>
      <c r="M867" s="24"/>
      <c r="N867" s="340" t="s">
        <v>486</v>
      </c>
      <c r="O867" s="334">
        <v>203616</v>
      </c>
      <c r="P867" s="25" t="s">
        <v>357</v>
      </c>
      <c r="Q867" s="127" t="s">
        <v>66</v>
      </c>
      <c r="R867" s="232" t="s">
        <v>3435</v>
      </c>
      <c r="S867" s="89">
        <v>43873</v>
      </c>
      <c r="T867" s="36" t="s">
        <v>19</v>
      </c>
      <c r="U867" s="125"/>
      <c r="V867" s="147" t="s">
        <v>3440</v>
      </c>
      <c r="W867" s="129"/>
      <c r="X867" s="88">
        <v>43922</v>
      </c>
      <c r="Y867" s="130" t="s">
        <v>20</v>
      </c>
      <c r="Z867" s="133" t="s">
        <v>60</v>
      </c>
      <c r="AA867" s="133"/>
      <c r="AB867" s="241">
        <v>3500</v>
      </c>
      <c r="AC867" s="240">
        <f>125-3.94203</f>
        <v>121.05797</v>
      </c>
      <c r="AD867" s="240"/>
      <c r="AE867" s="403">
        <f t="shared" si="46"/>
        <v>423702.89500000002</v>
      </c>
      <c r="AF867" s="132" t="s">
        <v>944</v>
      </c>
      <c r="AG867" s="130" t="s">
        <v>46</v>
      </c>
      <c r="AH867" s="130"/>
      <c r="AI867" s="130" t="s">
        <v>100</v>
      </c>
      <c r="AJ867" s="130"/>
      <c r="AK867" s="130"/>
      <c r="AL867" s="135" t="s">
        <v>3313</v>
      </c>
      <c r="AM867" s="314"/>
      <c r="AN867" s="26"/>
      <c r="AO867" s="26"/>
      <c r="AP867" s="26"/>
      <c r="AQ867" s="26">
        <f>+AQ866+2</f>
        <v>43944</v>
      </c>
      <c r="AR867" s="24"/>
      <c r="AS867" s="24"/>
      <c r="AT867" s="24">
        <v>43947</v>
      </c>
      <c r="AU867" s="418">
        <f t="shared" si="47"/>
        <v>4</v>
      </c>
      <c r="AV867" s="418">
        <f t="shared" si="48"/>
        <v>2020</v>
      </c>
      <c r="AW867" s="24"/>
      <c r="AX867" s="28"/>
      <c r="AY867" s="28" t="s">
        <v>3437</v>
      </c>
      <c r="AZ867" s="132" t="s">
        <v>25</v>
      </c>
      <c r="BA867" s="132"/>
      <c r="BB867" s="24" t="s">
        <v>2956</v>
      </c>
      <c r="BC867" s="135">
        <v>4</v>
      </c>
      <c r="BD867" s="24">
        <v>43909</v>
      </c>
      <c r="BE867" s="135" t="s">
        <v>3438</v>
      </c>
      <c r="BF867" s="135" t="s">
        <v>3438</v>
      </c>
      <c r="BG867" s="135" t="s">
        <v>52</v>
      </c>
      <c r="BH867" s="135"/>
      <c r="BI867" s="314" t="s">
        <v>117</v>
      </c>
      <c r="BJ867" s="314"/>
      <c r="BK867" s="24"/>
      <c r="BL867" s="24"/>
      <c r="BM867" s="24"/>
      <c r="BN867" s="24"/>
      <c r="BO867" s="24"/>
      <c r="BP867" s="24"/>
      <c r="BQ867" s="24"/>
      <c r="BR867" s="43"/>
      <c r="BS867" s="24"/>
      <c r="BT867" s="24"/>
      <c r="BU867" s="24"/>
      <c r="BV867" s="132" t="e">
        <f>IF(#REF!="COMPLETO","OK","PENDIENTES")</f>
        <v>#REF!</v>
      </c>
      <c r="BW867" s="325"/>
      <c r="BX867" s="325"/>
      <c r="BY867" s="325"/>
      <c r="BZ867" s="325"/>
      <c r="CA867" s="325"/>
      <c r="CB867" s="325"/>
      <c r="CC867" s="258"/>
      <c r="CG867" s="24" t="s">
        <v>105</v>
      </c>
      <c r="CH867" s="24"/>
      <c r="CI867" s="24"/>
      <c r="CJ867" s="24"/>
    </row>
    <row r="868" spans="1:88" ht="15" customHeight="1">
      <c r="A868" s="18">
        <v>2020</v>
      </c>
      <c r="B868" s="18" t="str">
        <f>+INDEX(BDD!F:F,MATCH(P868,BDD!D:D,0))&amp;"-"&amp;INDEX(BDD!E:E,MATCH(P868,BDD!D:D,0))</f>
        <v>G-S</v>
      </c>
      <c r="C868" s="125" t="s">
        <v>484</v>
      </c>
      <c r="D868" s="150" t="s">
        <v>77</v>
      </c>
      <c r="E868" s="132"/>
      <c r="F868" s="24"/>
      <c r="G868" s="346">
        <v>8000000754</v>
      </c>
      <c r="H868" s="125" t="s">
        <v>3441</v>
      </c>
      <c r="I868" s="329"/>
      <c r="J868" s="346">
        <v>8000000754</v>
      </c>
      <c r="K868" s="24"/>
      <c r="L868" s="24"/>
      <c r="M868" s="24"/>
      <c r="N868" s="340" t="s">
        <v>486</v>
      </c>
      <c r="O868" s="334">
        <v>203616</v>
      </c>
      <c r="P868" s="25" t="s">
        <v>357</v>
      </c>
      <c r="Q868" s="127" t="s">
        <v>66</v>
      </c>
      <c r="R868" s="232" t="s">
        <v>3435</v>
      </c>
      <c r="S868" s="89">
        <v>43873</v>
      </c>
      <c r="T868" s="36" t="s">
        <v>19</v>
      </c>
      <c r="U868" s="125"/>
      <c r="V868" s="147" t="s">
        <v>3442</v>
      </c>
      <c r="W868" s="129"/>
      <c r="X868" s="88">
        <v>43922</v>
      </c>
      <c r="Y868" s="130" t="s">
        <v>20</v>
      </c>
      <c r="Z868" s="133" t="s">
        <v>60</v>
      </c>
      <c r="AA868" s="133"/>
      <c r="AB868" s="241">
        <v>800</v>
      </c>
      <c r="AC868" s="240">
        <f>125-3.94203</f>
        <v>121.05797</v>
      </c>
      <c r="AD868" s="240"/>
      <c r="AE868" s="403">
        <f t="shared" si="46"/>
        <v>96846.376000000004</v>
      </c>
      <c r="AF868" s="132" t="s">
        <v>944</v>
      </c>
      <c r="AG868" s="130" t="s">
        <v>46</v>
      </c>
      <c r="AH868" s="130"/>
      <c r="AI868" s="130" t="s">
        <v>100</v>
      </c>
      <c r="AJ868" s="130"/>
      <c r="AK868" s="130"/>
      <c r="AL868" s="135" t="s">
        <v>3313</v>
      </c>
      <c r="AM868" s="314"/>
      <c r="AN868" s="26"/>
      <c r="AO868" s="26"/>
      <c r="AP868" s="26"/>
      <c r="AQ868" s="26">
        <v>43948</v>
      </c>
      <c r="AR868" s="24"/>
      <c r="AS868" s="24"/>
      <c r="AT868" s="24">
        <v>43951</v>
      </c>
      <c r="AU868" s="418">
        <f t="shared" si="47"/>
        <v>4</v>
      </c>
      <c r="AV868" s="418">
        <f t="shared" si="48"/>
        <v>2020</v>
      </c>
      <c r="AW868" s="24"/>
      <c r="AX868" s="28"/>
      <c r="AY868" s="28" t="s">
        <v>3437</v>
      </c>
      <c r="AZ868" s="132" t="s">
        <v>37</v>
      </c>
      <c r="BA868" s="132"/>
      <c r="BB868" s="24" t="s">
        <v>2956</v>
      </c>
      <c r="BC868" s="135">
        <v>5</v>
      </c>
      <c r="BD868" s="24">
        <v>43909</v>
      </c>
      <c r="BE868" s="135" t="s">
        <v>3438</v>
      </c>
      <c r="BF868" s="135" t="s">
        <v>3438</v>
      </c>
      <c r="BG868" s="135" t="s">
        <v>52</v>
      </c>
      <c r="BH868" s="135"/>
      <c r="BI868" s="314" t="s">
        <v>117</v>
      </c>
      <c r="BJ868" s="314"/>
      <c r="BK868" s="24"/>
      <c r="BL868" s="24"/>
      <c r="BM868" s="24"/>
      <c r="BN868" s="24"/>
      <c r="BO868" s="24"/>
      <c r="BP868" s="24"/>
      <c r="BQ868" s="24"/>
      <c r="BR868" s="43"/>
      <c r="BS868" s="24"/>
      <c r="BT868" s="24"/>
      <c r="BU868" s="24"/>
      <c r="BV868" s="132" t="e">
        <f>IF(#REF!="COMPLETO","OK","PENDIENTES")</f>
        <v>#REF!</v>
      </c>
      <c r="BW868" s="325"/>
      <c r="BX868" s="325"/>
      <c r="BY868" s="325"/>
      <c r="BZ868" s="325"/>
      <c r="CA868" s="325"/>
      <c r="CB868" s="325"/>
      <c r="CC868" s="258"/>
      <c r="CG868" s="24" t="s">
        <v>105</v>
      </c>
      <c r="CH868" s="24"/>
      <c r="CI868" s="24"/>
      <c r="CJ868" s="24"/>
    </row>
    <row r="869" spans="1:88" ht="15" customHeight="1">
      <c r="A869" s="18">
        <v>2020</v>
      </c>
      <c r="B869" s="18" t="str">
        <f>+INDEX(BDD!F:F,MATCH(P869,BDD!D:D,0))&amp;"-"&amp;INDEX(BDD!E:E,MATCH(P869,BDD!D:D,0))</f>
        <v>G-S</v>
      </c>
      <c r="C869" s="125" t="s">
        <v>484</v>
      </c>
      <c r="D869" s="150" t="s">
        <v>77</v>
      </c>
      <c r="E869" s="132"/>
      <c r="F869" s="24"/>
      <c r="G869" s="346">
        <v>8000000748</v>
      </c>
      <c r="H869" s="125" t="s">
        <v>3443</v>
      </c>
      <c r="I869" s="329"/>
      <c r="J869" s="346">
        <v>8000000748</v>
      </c>
      <c r="K869" s="24"/>
      <c r="L869" s="24"/>
      <c r="M869" s="24"/>
      <c r="N869" s="340" t="s">
        <v>486</v>
      </c>
      <c r="O869" s="334">
        <v>206569</v>
      </c>
      <c r="P869" s="25" t="s">
        <v>142</v>
      </c>
      <c r="Q869" s="127" t="s">
        <v>66</v>
      </c>
      <c r="R869" s="232" t="s">
        <v>3444</v>
      </c>
      <c r="S869" s="89">
        <v>43873</v>
      </c>
      <c r="T869" s="36" t="s">
        <v>19</v>
      </c>
      <c r="U869" s="125"/>
      <c r="V869" s="147" t="s">
        <v>3445</v>
      </c>
      <c r="W869" s="129"/>
      <c r="X869" s="88">
        <v>43922</v>
      </c>
      <c r="Y869" s="130" t="s">
        <v>20</v>
      </c>
      <c r="Z869" s="133" t="s">
        <v>60</v>
      </c>
      <c r="AA869" s="133"/>
      <c r="AB869" s="241">
        <v>300</v>
      </c>
      <c r="AC869" s="134">
        <f>324-1</f>
        <v>323</v>
      </c>
      <c r="AD869" s="134"/>
      <c r="AE869" s="403">
        <f t="shared" si="46"/>
        <v>96900</v>
      </c>
      <c r="AF869" s="132" t="s">
        <v>944</v>
      </c>
      <c r="AG869" s="130" t="s">
        <v>46</v>
      </c>
      <c r="AH869" s="130"/>
      <c r="AI869" s="130" t="s">
        <v>100</v>
      </c>
      <c r="AJ869" s="130"/>
      <c r="AK869" s="130"/>
      <c r="AL869" s="135" t="s">
        <v>3313</v>
      </c>
      <c r="AM869" s="314"/>
      <c r="AN869" s="26"/>
      <c r="AO869" s="26"/>
      <c r="AP869" s="26"/>
      <c r="AQ869" s="26">
        <v>43942</v>
      </c>
      <c r="AR869" s="24"/>
      <c r="AS869" s="24"/>
      <c r="AT869" s="24">
        <v>43943</v>
      </c>
      <c r="AU869" s="418">
        <f t="shared" si="47"/>
        <v>4</v>
      </c>
      <c r="AV869" s="418">
        <f t="shared" si="48"/>
        <v>2020</v>
      </c>
      <c r="AW869" s="24"/>
      <c r="AX869" s="28"/>
      <c r="AY869" s="28" t="s">
        <v>230</v>
      </c>
      <c r="AZ869" s="132" t="s">
        <v>9</v>
      </c>
      <c r="BA869" s="132"/>
      <c r="BB869" s="24" t="s">
        <v>2956</v>
      </c>
      <c r="BC869" s="135" t="s">
        <v>3446</v>
      </c>
      <c r="BD869" s="24">
        <v>43910</v>
      </c>
      <c r="BE869" s="135" t="s">
        <v>3438</v>
      </c>
      <c r="BF869" s="135" t="s">
        <v>3438</v>
      </c>
      <c r="BG869" s="135" t="s">
        <v>52</v>
      </c>
      <c r="BH869" s="135"/>
      <c r="BI869" s="314" t="s">
        <v>117</v>
      </c>
      <c r="BJ869" s="314"/>
      <c r="BK869" s="24"/>
      <c r="BL869" s="24"/>
      <c r="BM869" s="24"/>
      <c r="BN869" s="24"/>
      <c r="BO869" s="24"/>
      <c r="BP869" s="24"/>
      <c r="BQ869" s="24"/>
      <c r="BR869" s="43"/>
      <c r="BS869" s="24"/>
      <c r="BT869" s="24"/>
      <c r="BU869" s="24"/>
      <c r="BV869" s="132" t="e">
        <f>IF(#REF!="COMPLETO","OK","PENDIENTES")</f>
        <v>#REF!</v>
      </c>
      <c r="BW869" s="325"/>
      <c r="BX869" s="325"/>
      <c r="BY869" s="325"/>
      <c r="BZ869" s="325"/>
      <c r="CA869" s="325"/>
      <c r="CB869" s="325"/>
      <c r="CC869" s="258"/>
      <c r="CG869" s="24" t="s">
        <v>105</v>
      </c>
      <c r="CH869" s="24"/>
      <c r="CI869" s="24"/>
      <c r="CJ869" s="24"/>
    </row>
    <row r="870" spans="1:88" ht="15" customHeight="1">
      <c r="A870" s="18">
        <v>2020</v>
      </c>
      <c r="B870" s="18" t="str">
        <f>+INDEX(BDD!F:F,MATCH(P870,BDD!D:D,0))&amp;"-"&amp;INDEX(BDD!E:E,MATCH(P870,BDD!D:D,0))</f>
        <v>G-S</v>
      </c>
      <c r="C870" s="125" t="s">
        <v>484</v>
      </c>
      <c r="D870" s="150" t="s">
        <v>77</v>
      </c>
      <c r="E870" s="132"/>
      <c r="F870" s="24"/>
      <c r="G870" s="346">
        <v>8000000753</v>
      </c>
      <c r="H870" s="125" t="s">
        <v>3447</v>
      </c>
      <c r="I870" s="329"/>
      <c r="J870" s="346">
        <v>8000000753</v>
      </c>
      <c r="K870" s="24"/>
      <c r="L870" s="24"/>
      <c r="M870" s="24"/>
      <c r="N870" s="340" t="s">
        <v>486</v>
      </c>
      <c r="O870" s="334">
        <v>206569</v>
      </c>
      <c r="P870" s="25" t="s">
        <v>142</v>
      </c>
      <c r="Q870" s="127" t="s">
        <v>66</v>
      </c>
      <c r="R870" s="232" t="s">
        <v>3444</v>
      </c>
      <c r="S870" s="89">
        <v>43873</v>
      </c>
      <c r="T870" s="36" t="s">
        <v>19</v>
      </c>
      <c r="U870" s="125"/>
      <c r="V870" s="147" t="s">
        <v>3448</v>
      </c>
      <c r="W870" s="129"/>
      <c r="X870" s="88">
        <v>43922</v>
      </c>
      <c r="Y870" s="130" t="s">
        <v>20</v>
      </c>
      <c r="Z870" s="133" t="s">
        <v>60</v>
      </c>
      <c r="AA870" s="133"/>
      <c r="AB870" s="241">
        <v>1300</v>
      </c>
      <c r="AC870" s="134">
        <f>324-1</f>
        <v>323</v>
      </c>
      <c r="AD870" s="134"/>
      <c r="AE870" s="403">
        <f t="shared" si="46"/>
        <v>419900</v>
      </c>
      <c r="AF870" s="132" t="s">
        <v>944</v>
      </c>
      <c r="AG870" s="130" t="s">
        <v>46</v>
      </c>
      <c r="AH870" s="130"/>
      <c r="AI870" s="130" t="s">
        <v>100</v>
      </c>
      <c r="AJ870" s="130"/>
      <c r="AK870" s="130"/>
      <c r="AL870" s="135" t="s">
        <v>3313</v>
      </c>
      <c r="AM870" s="314"/>
      <c r="AN870" s="26"/>
      <c r="AO870" s="26"/>
      <c r="AP870" s="26"/>
      <c r="AQ870" s="26">
        <f>+AQ869+2</f>
        <v>43944</v>
      </c>
      <c r="AR870" s="24"/>
      <c r="AS870" s="24"/>
      <c r="AT870" s="24">
        <v>43947</v>
      </c>
      <c r="AU870" s="418">
        <f t="shared" si="47"/>
        <v>4</v>
      </c>
      <c r="AV870" s="418">
        <f t="shared" si="48"/>
        <v>2020</v>
      </c>
      <c r="AW870" s="24"/>
      <c r="AX870" s="28"/>
      <c r="AY870" s="28" t="s">
        <v>230</v>
      </c>
      <c r="AZ870" s="132" t="s">
        <v>25</v>
      </c>
      <c r="BA870" s="132"/>
      <c r="BB870" s="24" t="s">
        <v>2956</v>
      </c>
      <c r="BC870" s="135" t="s">
        <v>3449</v>
      </c>
      <c r="BD870" s="24">
        <v>43910</v>
      </c>
      <c r="BE870" s="135" t="s">
        <v>3438</v>
      </c>
      <c r="BF870" s="135" t="s">
        <v>3438</v>
      </c>
      <c r="BG870" s="135" t="s">
        <v>52</v>
      </c>
      <c r="BH870" s="135"/>
      <c r="BI870" s="314" t="s">
        <v>117</v>
      </c>
      <c r="BJ870" s="314"/>
      <c r="BK870" s="24"/>
      <c r="BL870" s="24"/>
      <c r="BM870" s="24"/>
      <c r="BN870" s="24"/>
      <c r="BO870" s="24"/>
      <c r="BP870" s="24"/>
      <c r="BQ870" s="24"/>
      <c r="BR870" s="43"/>
      <c r="BS870" s="24"/>
      <c r="BT870" s="24"/>
      <c r="BU870" s="24"/>
      <c r="BV870" s="132" t="e">
        <f>IF(#REF!="COMPLETO","OK","PENDIENTES")</f>
        <v>#REF!</v>
      </c>
      <c r="BW870" s="325"/>
      <c r="BX870" s="325"/>
      <c r="BY870" s="325"/>
      <c r="BZ870" s="325"/>
      <c r="CA870" s="325"/>
      <c r="CB870" s="325"/>
      <c r="CC870" s="258"/>
      <c r="CG870" s="24" t="s">
        <v>105</v>
      </c>
      <c r="CH870" s="24"/>
      <c r="CI870" s="24"/>
      <c r="CJ870" s="24"/>
    </row>
    <row r="871" spans="1:88" ht="15" customHeight="1">
      <c r="A871" s="18">
        <v>2020</v>
      </c>
      <c r="B871" s="18" t="str">
        <f>+INDEX(BDD!F:F,MATCH(P871,BDD!D:D,0))&amp;"-"&amp;INDEX(BDD!E:E,MATCH(P871,BDD!D:D,0))</f>
        <v>G-S</v>
      </c>
      <c r="C871" s="125" t="s">
        <v>484</v>
      </c>
      <c r="D871" s="150" t="s">
        <v>77</v>
      </c>
      <c r="E871" s="132"/>
      <c r="F871" s="24"/>
      <c r="G871" s="346">
        <v>8000000765</v>
      </c>
      <c r="H871" s="125" t="s">
        <v>3450</v>
      </c>
      <c r="I871" s="329"/>
      <c r="J871" s="346">
        <v>8000000765</v>
      </c>
      <c r="K871" s="24"/>
      <c r="L871" s="24"/>
      <c r="M871" s="24"/>
      <c r="N871" s="340" t="s">
        <v>486</v>
      </c>
      <c r="O871" s="334">
        <v>206569</v>
      </c>
      <c r="P871" s="25" t="s">
        <v>142</v>
      </c>
      <c r="Q871" s="127" t="s">
        <v>66</v>
      </c>
      <c r="R871" s="232" t="s">
        <v>3451</v>
      </c>
      <c r="S871" s="89">
        <v>43873</v>
      </c>
      <c r="T871" s="36">
        <v>180</v>
      </c>
      <c r="U871" s="125" t="s">
        <v>118</v>
      </c>
      <c r="V871" s="147" t="s">
        <v>3452</v>
      </c>
      <c r="W871" s="129"/>
      <c r="X871" s="88">
        <v>44123</v>
      </c>
      <c r="Y871" s="130" t="s">
        <v>20</v>
      </c>
      <c r="Z871" s="133" t="s">
        <v>60</v>
      </c>
      <c r="AA871" s="133"/>
      <c r="AB871" s="241">
        <v>500</v>
      </c>
      <c r="AC871" s="134">
        <v>345.66</v>
      </c>
      <c r="AD871" s="134"/>
      <c r="AE871" s="403">
        <f t="shared" si="46"/>
        <v>172830</v>
      </c>
      <c r="AF871" s="132" t="s">
        <v>944</v>
      </c>
      <c r="AG871" s="130" t="s">
        <v>46</v>
      </c>
      <c r="AH871" s="130"/>
      <c r="AI871" s="130" t="s">
        <v>100</v>
      </c>
      <c r="AJ871" s="130"/>
      <c r="AK871" s="130"/>
      <c r="AL871" s="135" t="s">
        <v>3313</v>
      </c>
      <c r="AM871" s="314"/>
      <c r="AN871" s="26"/>
      <c r="AO871" s="26"/>
      <c r="AP871" s="26"/>
      <c r="AQ871" s="26">
        <v>43944</v>
      </c>
      <c r="AR871" s="24"/>
      <c r="AS871" s="24"/>
      <c r="AT871" s="24">
        <v>43947</v>
      </c>
      <c r="AU871" s="418">
        <f t="shared" si="47"/>
        <v>4</v>
      </c>
      <c r="AV871" s="418">
        <f t="shared" si="48"/>
        <v>2020</v>
      </c>
      <c r="AW871" s="24"/>
      <c r="AX871" s="28"/>
      <c r="AY871" s="28" t="s">
        <v>230</v>
      </c>
      <c r="AZ871" s="132" t="s">
        <v>25</v>
      </c>
      <c r="BA871" s="132"/>
      <c r="BB871" s="24" t="s">
        <v>2956</v>
      </c>
      <c r="BC871" s="135" t="s">
        <v>3453</v>
      </c>
      <c r="BD871" s="24">
        <v>43910</v>
      </c>
      <c r="BE871" s="135" t="s">
        <v>3438</v>
      </c>
      <c r="BF871" s="135" t="s">
        <v>3438</v>
      </c>
      <c r="BG871" s="135" t="s">
        <v>52</v>
      </c>
      <c r="BH871" s="135"/>
      <c r="BI871" s="314" t="s">
        <v>117</v>
      </c>
      <c r="BJ871" s="314"/>
      <c r="BK871" s="24"/>
      <c r="BL871" s="24"/>
      <c r="BM871" s="24"/>
      <c r="BN871" s="24"/>
      <c r="BO871" s="24"/>
      <c r="BP871" s="24"/>
      <c r="BQ871" s="24"/>
      <c r="BR871" s="43"/>
      <c r="BS871" s="24"/>
      <c r="BT871" s="24"/>
      <c r="BU871" s="24"/>
      <c r="BV871" s="132" t="e">
        <f>IF(#REF!="COMPLETO","OK","PENDIENTES")</f>
        <v>#REF!</v>
      </c>
      <c r="BW871" s="325"/>
      <c r="BX871" s="325"/>
      <c r="BY871" s="325"/>
      <c r="BZ871" s="325"/>
      <c r="CA871" s="325"/>
      <c r="CB871" s="325"/>
      <c r="CC871" s="258"/>
      <c r="CG871" s="24" t="s">
        <v>105</v>
      </c>
      <c r="CH871" s="24"/>
      <c r="CI871" s="24"/>
      <c r="CJ871" s="24"/>
    </row>
    <row r="872" spans="1:88" ht="15" customHeight="1">
      <c r="A872" s="18">
        <v>2020</v>
      </c>
      <c r="B872" s="18" t="str">
        <f>+INDEX(BDD!F:F,MATCH(P872,BDD!D:D,0))&amp;"-"&amp;INDEX(BDD!E:E,MATCH(P872,BDD!D:D,0))</f>
        <v>G-S</v>
      </c>
      <c r="C872" s="125" t="s">
        <v>484</v>
      </c>
      <c r="D872" s="150" t="s">
        <v>77</v>
      </c>
      <c r="E872" s="132"/>
      <c r="F872" s="24"/>
      <c r="G872" s="346">
        <v>8000000758</v>
      </c>
      <c r="H872" s="125" t="s">
        <v>3454</v>
      </c>
      <c r="I872" s="329"/>
      <c r="J872" s="346">
        <v>8000000758</v>
      </c>
      <c r="K872" s="24"/>
      <c r="L872" s="24"/>
      <c r="M872" s="24"/>
      <c r="N872" s="340" t="s">
        <v>486</v>
      </c>
      <c r="O872" s="334">
        <v>206569</v>
      </c>
      <c r="P872" s="25" t="s">
        <v>142</v>
      </c>
      <c r="Q872" s="127" t="s">
        <v>66</v>
      </c>
      <c r="R872" s="232" t="s">
        <v>3444</v>
      </c>
      <c r="S872" s="89">
        <v>43873</v>
      </c>
      <c r="T872" s="36" t="s">
        <v>19</v>
      </c>
      <c r="U872" s="125"/>
      <c r="V872" s="147" t="s">
        <v>3455</v>
      </c>
      <c r="W872" s="129"/>
      <c r="X872" s="88">
        <v>43922</v>
      </c>
      <c r="Y872" s="130" t="s">
        <v>20</v>
      </c>
      <c r="Z872" s="133" t="s">
        <v>60</v>
      </c>
      <c r="AA872" s="133"/>
      <c r="AB872" s="241">
        <v>2600</v>
      </c>
      <c r="AC872" s="134">
        <f>324-1</f>
        <v>323</v>
      </c>
      <c r="AD872" s="134"/>
      <c r="AE872" s="403">
        <f t="shared" si="46"/>
        <v>839800</v>
      </c>
      <c r="AF872" s="132" t="s">
        <v>944</v>
      </c>
      <c r="AG872" s="130" t="s">
        <v>46</v>
      </c>
      <c r="AH872" s="130"/>
      <c r="AI872" s="130" t="s">
        <v>100</v>
      </c>
      <c r="AJ872" s="130"/>
      <c r="AK872" s="130"/>
      <c r="AL872" s="135" t="s">
        <v>3313</v>
      </c>
      <c r="AM872" s="314"/>
      <c r="AN872" s="26"/>
      <c r="AO872" s="26"/>
      <c r="AP872" s="26"/>
      <c r="AQ872" s="26">
        <v>43948</v>
      </c>
      <c r="AR872" s="24"/>
      <c r="AS872" s="24"/>
      <c r="AT872" s="24">
        <v>43951</v>
      </c>
      <c r="AU872" s="418">
        <f t="shared" si="47"/>
        <v>4</v>
      </c>
      <c r="AV872" s="418">
        <f t="shared" si="48"/>
        <v>2020</v>
      </c>
      <c r="AW872" s="24"/>
      <c r="AX872" s="28"/>
      <c r="AY872" s="28" t="s">
        <v>230</v>
      </c>
      <c r="AZ872" s="132" t="s">
        <v>37</v>
      </c>
      <c r="BA872" s="132"/>
      <c r="BB872" s="24" t="s">
        <v>2956</v>
      </c>
      <c r="BC872" s="135" t="s">
        <v>3456</v>
      </c>
      <c r="BD872" s="24">
        <v>43910</v>
      </c>
      <c r="BE872" s="135" t="s">
        <v>3438</v>
      </c>
      <c r="BF872" s="135" t="s">
        <v>3438</v>
      </c>
      <c r="BG872" s="135" t="s">
        <v>52</v>
      </c>
      <c r="BH872" s="135"/>
      <c r="BI872" s="314" t="s">
        <v>117</v>
      </c>
      <c r="BJ872" s="314"/>
      <c r="BK872" s="24"/>
      <c r="BL872" s="24"/>
      <c r="BM872" s="24"/>
      <c r="BN872" s="24"/>
      <c r="BO872" s="24"/>
      <c r="BP872" s="24"/>
      <c r="BQ872" s="24"/>
      <c r="BR872" s="43"/>
      <c r="BS872" s="24"/>
      <c r="BT872" s="24"/>
      <c r="BU872" s="24"/>
      <c r="BV872" s="132" t="e">
        <f>IF(#REF!="COMPLETO","OK","PENDIENTES")</f>
        <v>#REF!</v>
      </c>
      <c r="BW872" s="325"/>
      <c r="BX872" s="325"/>
      <c r="BY872" s="325"/>
      <c r="BZ872" s="325"/>
      <c r="CA872" s="325"/>
      <c r="CB872" s="325"/>
      <c r="CC872" s="258"/>
      <c r="CG872" s="24" t="s">
        <v>105</v>
      </c>
      <c r="CH872" s="24"/>
      <c r="CI872" s="24"/>
      <c r="CJ872" s="24"/>
    </row>
    <row r="873" spans="1:88" ht="15" customHeight="1">
      <c r="A873" s="18">
        <v>2020</v>
      </c>
      <c r="B873" s="18" t="str">
        <f>+INDEX(BDD!F:F,MATCH(P873,BDD!D:D,0))&amp;"-"&amp;INDEX(BDD!E:E,MATCH(P873,BDD!D:D,0))</f>
        <v>G-S</v>
      </c>
      <c r="C873" s="125" t="s">
        <v>484</v>
      </c>
      <c r="D873" s="150" t="s">
        <v>77</v>
      </c>
      <c r="E873" s="132"/>
      <c r="F873" s="24"/>
      <c r="G873" s="346">
        <v>8000000766</v>
      </c>
      <c r="H873" s="125" t="s">
        <v>3457</v>
      </c>
      <c r="I873" s="329"/>
      <c r="J873" s="346">
        <v>8000000766</v>
      </c>
      <c r="K873" s="24"/>
      <c r="L873" s="24"/>
      <c r="M873" s="24"/>
      <c r="N873" s="340" t="s">
        <v>486</v>
      </c>
      <c r="O873" s="334">
        <v>206569</v>
      </c>
      <c r="P873" s="25" t="s">
        <v>142</v>
      </c>
      <c r="Q873" s="127" t="s">
        <v>66</v>
      </c>
      <c r="R873" s="232" t="s">
        <v>3451</v>
      </c>
      <c r="S873" s="89">
        <v>43873</v>
      </c>
      <c r="T873" s="36">
        <v>180</v>
      </c>
      <c r="U873" s="125" t="s">
        <v>118</v>
      </c>
      <c r="V873" s="147" t="s">
        <v>3458</v>
      </c>
      <c r="W873" s="129"/>
      <c r="X873" s="88">
        <v>44123</v>
      </c>
      <c r="Y873" s="130" t="s">
        <v>20</v>
      </c>
      <c r="Z873" s="133" t="s">
        <v>60</v>
      </c>
      <c r="AA873" s="133"/>
      <c r="AB873" s="241">
        <v>1000</v>
      </c>
      <c r="AC873" s="134">
        <v>345.66</v>
      </c>
      <c r="AD873" s="134"/>
      <c r="AE873" s="403">
        <f t="shared" si="46"/>
        <v>345660</v>
      </c>
      <c r="AF873" s="132" t="s">
        <v>944</v>
      </c>
      <c r="AG873" s="130" t="s">
        <v>46</v>
      </c>
      <c r="AH873" s="130"/>
      <c r="AI873" s="130" t="s">
        <v>100</v>
      </c>
      <c r="AJ873" s="130"/>
      <c r="AK873" s="130"/>
      <c r="AL873" s="135" t="s">
        <v>3313</v>
      </c>
      <c r="AM873" s="314"/>
      <c r="AN873" s="26"/>
      <c r="AO873" s="26"/>
      <c r="AP873" s="26"/>
      <c r="AQ873" s="26">
        <v>43948</v>
      </c>
      <c r="AR873" s="24"/>
      <c r="AS873" s="24"/>
      <c r="AT873" s="24">
        <v>43951</v>
      </c>
      <c r="AU873" s="418">
        <f t="shared" si="47"/>
        <v>4</v>
      </c>
      <c r="AV873" s="418">
        <f t="shared" si="48"/>
        <v>2020</v>
      </c>
      <c r="AW873" s="24"/>
      <c r="AX873" s="28"/>
      <c r="AY873" s="28" t="s">
        <v>230</v>
      </c>
      <c r="AZ873" s="132" t="s">
        <v>37</v>
      </c>
      <c r="BA873" s="132"/>
      <c r="BB873" s="24" t="s">
        <v>2956</v>
      </c>
      <c r="BC873" s="135" t="s">
        <v>3459</v>
      </c>
      <c r="BD873" s="24">
        <v>43910</v>
      </c>
      <c r="BE873" s="135" t="s">
        <v>3438</v>
      </c>
      <c r="BF873" s="135" t="s">
        <v>3438</v>
      </c>
      <c r="BG873" s="135" t="s">
        <v>52</v>
      </c>
      <c r="BH873" s="135"/>
      <c r="BI873" s="314" t="s">
        <v>117</v>
      </c>
      <c r="BJ873" s="314"/>
      <c r="BK873" s="24"/>
      <c r="BL873" s="24"/>
      <c r="BM873" s="24"/>
      <c r="BN873" s="24"/>
      <c r="BO873" s="24"/>
      <c r="BP873" s="24"/>
      <c r="BQ873" s="24"/>
      <c r="BR873" s="43"/>
      <c r="BS873" s="24"/>
      <c r="BT873" s="24"/>
      <c r="BU873" s="24"/>
      <c r="BV873" s="132" t="e">
        <f>IF(#REF!="COMPLETO","OK","PENDIENTES")</f>
        <v>#REF!</v>
      </c>
      <c r="BW873" s="325"/>
      <c r="BX873" s="325"/>
      <c r="BY873" s="325"/>
      <c r="BZ873" s="325"/>
      <c r="CA873" s="325"/>
      <c r="CB873" s="325"/>
      <c r="CC873" s="258"/>
      <c r="CG873" s="24" t="s">
        <v>105</v>
      </c>
      <c r="CH873" s="24"/>
      <c r="CI873" s="24"/>
      <c r="CJ873" s="24"/>
    </row>
    <row r="874" spans="1:88" ht="13.9" customHeight="1">
      <c r="A874" s="18">
        <v>2020</v>
      </c>
      <c r="B874" s="18" t="str">
        <f>+INDEX(BDD!F:F,MATCH(P874,BDD!D:D,0))&amp;"-"&amp;INDEX(BDD!E:E,MATCH(P874,BDD!D:D,0))</f>
        <v>G-S</v>
      </c>
      <c r="C874" s="125" t="s">
        <v>484</v>
      </c>
      <c r="D874" s="150" t="s">
        <v>77</v>
      </c>
      <c r="E874" s="132"/>
      <c r="F874" s="24"/>
      <c r="G874" s="346">
        <v>8000000768</v>
      </c>
      <c r="H874" s="125" t="s">
        <v>3460</v>
      </c>
      <c r="I874" s="329"/>
      <c r="J874" s="346">
        <v>8000000768</v>
      </c>
      <c r="K874" s="24"/>
      <c r="L874" s="24"/>
      <c r="M874" s="24"/>
      <c r="N874" s="340" t="s">
        <v>486</v>
      </c>
      <c r="O874" s="334">
        <v>206569</v>
      </c>
      <c r="P874" s="25" t="s">
        <v>142</v>
      </c>
      <c r="Q874" s="127" t="s">
        <v>66</v>
      </c>
      <c r="R874" s="232" t="s">
        <v>3444</v>
      </c>
      <c r="S874" s="89">
        <v>43873</v>
      </c>
      <c r="T874" s="36" t="s">
        <v>19</v>
      </c>
      <c r="U874" s="125"/>
      <c r="V874" s="147" t="s">
        <v>3461</v>
      </c>
      <c r="W874" s="129"/>
      <c r="X874" s="88">
        <v>43922</v>
      </c>
      <c r="Y874" s="130" t="s">
        <v>20</v>
      </c>
      <c r="Z874" s="133" t="s">
        <v>60</v>
      </c>
      <c r="AA874" s="133"/>
      <c r="AB874" s="241">
        <v>2800</v>
      </c>
      <c r="AC874" s="134">
        <f>324-1</f>
        <v>323</v>
      </c>
      <c r="AD874" s="134"/>
      <c r="AE874" s="403">
        <f t="shared" si="46"/>
        <v>904400</v>
      </c>
      <c r="AF874" s="132" t="s">
        <v>944</v>
      </c>
      <c r="AG874" s="130" t="s">
        <v>46</v>
      </c>
      <c r="AH874" s="130"/>
      <c r="AI874" s="130" t="s">
        <v>100</v>
      </c>
      <c r="AJ874" s="130"/>
      <c r="AK874" s="130"/>
      <c r="AL874" s="135" t="s">
        <v>3313</v>
      </c>
      <c r="AM874" s="314"/>
      <c r="AN874" s="26"/>
      <c r="AO874" s="26"/>
      <c r="AP874" s="26"/>
      <c r="AQ874" s="26">
        <v>43953</v>
      </c>
      <c r="AR874" s="24"/>
      <c r="AS874" s="24"/>
      <c r="AT874" s="24">
        <v>43955</v>
      </c>
      <c r="AU874" s="418">
        <f t="shared" si="47"/>
        <v>5</v>
      </c>
      <c r="AV874" s="418">
        <f t="shared" si="48"/>
        <v>2020</v>
      </c>
      <c r="AW874" s="24"/>
      <c r="AX874" s="28"/>
      <c r="AY874" s="28" t="s">
        <v>230</v>
      </c>
      <c r="AZ874" s="132" t="s">
        <v>62</v>
      </c>
      <c r="BA874" s="132"/>
      <c r="BB874" s="24" t="s">
        <v>3334</v>
      </c>
      <c r="BC874" s="135" t="s">
        <v>3462</v>
      </c>
      <c r="BD874" s="24">
        <v>43910</v>
      </c>
      <c r="BE874" s="135" t="s">
        <v>3438</v>
      </c>
      <c r="BF874" s="135" t="s">
        <v>3438</v>
      </c>
      <c r="BG874" s="135" t="s">
        <v>52</v>
      </c>
      <c r="BH874" s="135"/>
      <c r="BI874" s="314" t="s">
        <v>117</v>
      </c>
      <c r="BJ874" s="314"/>
      <c r="BK874" s="24"/>
      <c r="BL874" s="24"/>
      <c r="BM874" s="24"/>
      <c r="BN874" s="24"/>
      <c r="BO874" s="24"/>
      <c r="BP874" s="24"/>
      <c r="BQ874" s="24"/>
      <c r="BR874" s="43"/>
      <c r="BS874" s="24"/>
      <c r="BT874" s="24"/>
      <c r="BU874" s="24"/>
      <c r="BV874" s="132" t="e">
        <f>IF(#REF!="COMPLETO","OK","PENDIENTES")</f>
        <v>#REF!</v>
      </c>
      <c r="BW874" s="325"/>
      <c r="BX874" s="325"/>
      <c r="BY874" s="325"/>
      <c r="BZ874" s="325"/>
      <c r="CA874" s="325"/>
      <c r="CB874" s="325"/>
      <c r="CC874" s="258"/>
      <c r="CG874" s="24" t="s">
        <v>105</v>
      </c>
      <c r="CH874" s="24"/>
      <c r="CI874" s="24"/>
      <c r="CJ874" s="24"/>
    </row>
    <row r="875" spans="1:88" ht="13.9" customHeight="1">
      <c r="A875" s="18">
        <v>2020</v>
      </c>
      <c r="B875" s="18" t="str">
        <f>+INDEX(BDD!F:F,MATCH(P875,BDD!D:D,0))&amp;"-"&amp;INDEX(BDD!E:E,MATCH(P875,BDD!D:D,0))</f>
        <v>E-S</v>
      </c>
      <c r="C875" s="125" t="s">
        <v>484</v>
      </c>
      <c r="D875" s="150" t="s">
        <v>77</v>
      </c>
      <c r="E875" s="132"/>
      <c r="F875" s="24"/>
      <c r="G875" s="346">
        <v>8000000701</v>
      </c>
      <c r="H875" s="125" t="s">
        <v>3463</v>
      </c>
      <c r="I875" s="329"/>
      <c r="J875" s="346">
        <v>8000000701</v>
      </c>
      <c r="K875" s="24"/>
      <c r="L875" s="24"/>
      <c r="M875" s="24"/>
      <c r="N875" s="340" t="s">
        <v>486</v>
      </c>
      <c r="O875" s="334">
        <v>209986</v>
      </c>
      <c r="P875" s="25" t="s">
        <v>208</v>
      </c>
      <c r="Q875" s="127" t="s">
        <v>222</v>
      </c>
      <c r="R875" s="232" t="s">
        <v>944</v>
      </c>
      <c r="S875" s="89">
        <v>43886</v>
      </c>
      <c r="T875" s="36">
        <v>30</v>
      </c>
      <c r="U875" s="125" t="s">
        <v>118</v>
      </c>
      <c r="V875" s="147" t="s">
        <v>3464</v>
      </c>
      <c r="W875" s="129"/>
      <c r="X875" s="88">
        <f>+BD875+T875</f>
        <v>43949</v>
      </c>
      <c r="Y875" s="130" t="s">
        <v>20</v>
      </c>
      <c r="Z875" s="133" t="s">
        <v>60</v>
      </c>
      <c r="AA875" s="133"/>
      <c r="AB875" s="241">
        <v>52</v>
      </c>
      <c r="AC875" s="134">
        <v>280</v>
      </c>
      <c r="AD875" s="134"/>
      <c r="AE875" s="403">
        <f t="shared" si="46"/>
        <v>14560</v>
      </c>
      <c r="AF875" s="132">
        <v>2</v>
      </c>
      <c r="AG875" s="130" t="s">
        <v>5</v>
      </c>
      <c r="AH875" s="130"/>
      <c r="AI875" s="130" t="s">
        <v>47</v>
      </c>
      <c r="AJ875" s="130"/>
      <c r="AK875" s="130"/>
      <c r="AL875" s="135" t="s">
        <v>3313</v>
      </c>
      <c r="AM875" s="314"/>
      <c r="AN875" s="26"/>
      <c r="AO875" s="26"/>
      <c r="AP875" s="26"/>
      <c r="AQ875" s="26">
        <v>43925</v>
      </c>
      <c r="AR875" s="24"/>
      <c r="AS875" s="24"/>
      <c r="AT875" s="24">
        <v>43927</v>
      </c>
      <c r="AU875" s="418">
        <f t="shared" si="47"/>
        <v>4</v>
      </c>
      <c r="AV875" s="418">
        <f t="shared" si="48"/>
        <v>2020</v>
      </c>
      <c r="AW875" s="24"/>
      <c r="AX875" s="28"/>
      <c r="AY875" s="28" t="s">
        <v>263</v>
      </c>
      <c r="AZ875" s="132" t="s">
        <v>37</v>
      </c>
      <c r="BA875" s="132"/>
      <c r="BB875" s="24" t="s">
        <v>2956</v>
      </c>
      <c r="BC875" s="135" t="s">
        <v>3465</v>
      </c>
      <c r="BD875" s="24">
        <v>43919</v>
      </c>
      <c r="BE875" s="135" t="s">
        <v>3466</v>
      </c>
      <c r="BF875" s="135" t="s">
        <v>3466</v>
      </c>
      <c r="BG875" s="135" t="s">
        <v>74</v>
      </c>
      <c r="BH875" s="135"/>
      <c r="BI875" s="314" t="s">
        <v>124</v>
      </c>
      <c r="BJ875" s="314"/>
      <c r="BK875" s="24"/>
      <c r="BL875" s="24"/>
      <c r="BM875" s="24"/>
      <c r="BN875" s="24"/>
      <c r="BO875" s="24"/>
      <c r="BP875" s="24"/>
      <c r="BQ875" s="24"/>
      <c r="BR875" s="43"/>
      <c r="BS875" s="24"/>
      <c r="BT875" s="24"/>
      <c r="BU875" s="24"/>
      <c r="BV875" s="132" t="e">
        <f>IF(#REF!="COMPLETO","OK","PENDIENTES")</f>
        <v>#REF!</v>
      </c>
      <c r="BW875" s="325"/>
      <c r="BX875" s="325"/>
      <c r="BY875" s="325"/>
      <c r="BZ875" s="325"/>
      <c r="CA875" s="325"/>
      <c r="CB875" s="325"/>
      <c r="CC875" s="258"/>
      <c r="CG875" s="24" t="s">
        <v>105</v>
      </c>
      <c r="CH875" s="24"/>
      <c r="CI875" s="24"/>
      <c r="CJ875" s="24"/>
    </row>
    <row r="876" spans="1:88" ht="15.6" customHeight="1">
      <c r="A876" s="18">
        <v>2020</v>
      </c>
      <c r="B876" s="18" t="str">
        <f>+INDEX(BDD!F:F,MATCH(P876,BDD!D:D,0))&amp;"-"&amp;INDEX(BDD!E:E,MATCH(P876,BDD!D:D,0))</f>
        <v>T-S</v>
      </c>
      <c r="C876" s="125" t="s">
        <v>484</v>
      </c>
      <c r="D876" s="150" t="s">
        <v>77</v>
      </c>
      <c r="E876" s="132"/>
      <c r="F876" s="24"/>
      <c r="G876" s="346">
        <v>8000000713</v>
      </c>
      <c r="H876" s="125" t="s">
        <v>3467</v>
      </c>
      <c r="I876" s="329"/>
      <c r="J876" s="346">
        <v>8000000713</v>
      </c>
      <c r="K876" s="24"/>
      <c r="L876" s="24"/>
      <c r="M876" s="24"/>
      <c r="N876" s="340" t="s">
        <v>486</v>
      </c>
      <c r="O876" s="334">
        <v>208071</v>
      </c>
      <c r="P876" s="25" t="s">
        <v>384</v>
      </c>
      <c r="Q876" s="127" t="s">
        <v>303</v>
      </c>
      <c r="R876" s="232" t="s">
        <v>3468</v>
      </c>
      <c r="S876" s="89">
        <v>43876</v>
      </c>
      <c r="T876" s="36">
        <v>30</v>
      </c>
      <c r="U876" s="125" t="s">
        <v>118</v>
      </c>
      <c r="V876" s="147" t="s">
        <v>3469</v>
      </c>
      <c r="W876" s="129"/>
      <c r="X876" s="88">
        <f>+BD876+T876</f>
        <v>43922</v>
      </c>
      <c r="Y876" s="130" t="s">
        <v>20</v>
      </c>
      <c r="Z876" s="133" t="s">
        <v>60</v>
      </c>
      <c r="AA876" s="133"/>
      <c r="AB876" s="241">
        <v>525</v>
      </c>
      <c r="AC876" s="134">
        <v>246.35</v>
      </c>
      <c r="AD876" s="134"/>
      <c r="AE876" s="403">
        <f t="shared" si="46"/>
        <v>129333.75</v>
      </c>
      <c r="AF876" s="132">
        <v>21</v>
      </c>
      <c r="AG876" s="130" t="s">
        <v>5</v>
      </c>
      <c r="AH876" s="130"/>
      <c r="AI876" s="130" t="s">
        <v>34</v>
      </c>
      <c r="AJ876" s="130"/>
      <c r="AK876" s="130"/>
      <c r="AL876" s="135" t="s">
        <v>3313</v>
      </c>
      <c r="AM876" s="314"/>
      <c r="AN876" s="26"/>
      <c r="AO876" s="26"/>
      <c r="AP876" s="26"/>
      <c r="AQ876" s="26">
        <v>43902</v>
      </c>
      <c r="AR876" s="24"/>
      <c r="AS876" s="24"/>
      <c r="AT876" s="26">
        <v>43908</v>
      </c>
      <c r="AU876" s="418">
        <f t="shared" si="47"/>
        <v>3</v>
      </c>
      <c r="AV876" s="418">
        <f t="shared" si="48"/>
        <v>2020</v>
      </c>
      <c r="AW876" s="26"/>
      <c r="AX876" s="28"/>
      <c r="AY876" s="28" t="s">
        <v>3415</v>
      </c>
      <c r="AZ876" s="132" t="s">
        <v>37</v>
      </c>
      <c r="BA876" s="132"/>
      <c r="BB876" s="24" t="s">
        <v>3291</v>
      </c>
      <c r="BC876" s="135" t="s">
        <v>3470</v>
      </c>
      <c r="BD876" s="24">
        <v>43892</v>
      </c>
      <c r="BE876" s="135" t="s">
        <v>3471</v>
      </c>
      <c r="BF876" s="135" t="s">
        <v>3471</v>
      </c>
      <c r="BG876" s="135" t="s">
        <v>14</v>
      </c>
      <c r="BH876" s="135"/>
      <c r="BI876" s="314" t="s">
        <v>124</v>
      </c>
      <c r="BJ876" s="314"/>
      <c r="BK876" s="24"/>
      <c r="BL876" s="24"/>
      <c r="BM876" s="24"/>
      <c r="BN876" s="24"/>
      <c r="BO876" s="24"/>
      <c r="BP876" s="24"/>
      <c r="BQ876" s="24"/>
      <c r="BR876" s="43"/>
      <c r="BS876" s="24"/>
      <c r="BT876" s="24"/>
      <c r="BU876" s="24"/>
      <c r="BV876" s="132" t="e">
        <f>IF(#REF!="COMPLETO","OK","PENDIENTES")</f>
        <v>#REF!</v>
      </c>
      <c r="BW876" s="325"/>
      <c r="BX876" s="325"/>
      <c r="BY876" s="325"/>
      <c r="BZ876" s="325"/>
      <c r="CA876" s="325"/>
      <c r="CB876" s="325"/>
      <c r="CC876" s="258"/>
      <c r="CG876" s="24" t="s">
        <v>105</v>
      </c>
      <c r="CH876" s="24"/>
      <c r="CI876" s="26"/>
      <c r="CJ876" s="26"/>
    </row>
    <row r="877" spans="1:88" ht="15" customHeight="1">
      <c r="A877" s="18">
        <v>2020</v>
      </c>
      <c r="B877" s="18" t="str">
        <f>+INDEX(BDD!F:F,MATCH(P877,BDD!D:D,0))&amp;"-"&amp;INDEX(BDD!E:E,MATCH(P877,BDD!D:D,0))</f>
        <v>T-S</v>
      </c>
      <c r="C877" s="125" t="s">
        <v>484</v>
      </c>
      <c r="D877" s="150" t="s">
        <v>77</v>
      </c>
      <c r="E877" s="132"/>
      <c r="F877" s="24"/>
      <c r="G877" s="346">
        <v>8000000722</v>
      </c>
      <c r="H877" s="125" t="s">
        <v>3472</v>
      </c>
      <c r="I877" s="329"/>
      <c r="J877" s="346">
        <v>8000000722</v>
      </c>
      <c r="K877" s="24"/>
      <c r="L877" s="24"/>
      <c r="M877" s="24"/>
      <c r="N877" s="340" t="s">
        <v>486</v>
      </c>
      <c r="O877" s="334">
        <v>208071</v>
      </c>
      <c r="P877" s="25" t="s">
        <v>384</v>
      </c>
      <c r="Q877" s="127" t="s">
        <v>303</v>
      </c>
      <c r="R877" s="232" t="s">
        <v>544</v>
      </c>
      <c r="S877" s="89">
        <v>43876</v>
      </c>
      <c r="T877" s="36">
        <v>30</v>
      </c>
      <c r="U877" s="125" t="s">
        <v>118</v>
      </c>
      <c r="V877" s="147" t="s">
        <v>3473</v>
      </c>
      <c r="W877" s="129"/>
      <c r="X877" s="88">
        <f>+BD877+T877</f>
        <v>43930</v>
      </c>
      <c r="Y877" s="130" t="s">
        <v>20</v>
      </c>
      <c r="Z877" s="133" t="s">
        <v>60</v>
      </c>
      <c r="AA877" s="133"/>
      <c r="AB877" s="241">
        <v>325</v>
      </c>
      <c r="AC877" s="134">
        <v>246.35</v>
      </c>
      <c r="AD877" s="134"/>
      <c r="AE877" s="403">
        <f t="shared" si="46"/>
        <v>80063.75</v>
      </c>
      <c r="AF877" s="132">
        <v>13</v>
      </c>
      <c r="AG877" s="130" t="s">
        <v>5</v>
      </c>
      <c r="AH877" s="130"/>
      <c r="AI877" s="130" t="s">
        <v>34</v>
      </c>
      <c r="AJ877" s="130"/>
      <c r="AK877" s="130"/>
      <c r="AL877" s="135" t="s">
        <v>3313</v>
      </c>
      <c r="AM877" s="314"/>
      <c r="AN877" s="26"/>
      <c r="AO877" s="26"/>
      <c r="AP877" s="26"/>
      <c r="AQ877" s="26">
        <v>43911</v>
      </c>
      <c r="AR877" s="24"/>
      <c r="AS877" s="24"/>
      <c r="AT877" s="26">
        <v>43916</v>
      </c>
      <c r="AU877" s="418">
        <f t="shared" si="47"/>
        <v>3</v>
      </c>
      <c r="AV877" s="418">
        <f t="shared" si="48"/>
        <v>2020</v>
      </c>
      <c r="AW877" s="26"/>
      <c r="AX877" s="28"/>
      <c r="AY877" s="28" t="s">
        <v>3415</v>
      </c>
      <c r="AZ877" s="132" t="s">
        <v>37</v>
      </c>
      <c r="BA877" s="132"/>
      <c r="BB877" s="24" t="s">
        <v>3291</v>
      </c>
      <c r="BC877" s="135" t="s">
        <v>3474</v>
      </c>
      <c r="BD877" s="24">
        <v>43900</v>
      </c>
      <c r="BE877" s="135" t="s">
        <v>3237</v>
      </c>
      <c r="BF877" s="135" t="s">
        <v>3237</v>
      </c>
      <c r="BG877" s="135" t="s">
        <v>14</v>
      </c>
      <c r="BH877" s="135"/>
      <c r="BI877" s="314" t="s">
        <v>124</v>
      </c>
      <c r="BJ877" s="314"/>
      <c r="BK877" s="24"/>
      <c r="BL877" s="24"/>
      <c r="BM877" s="24"/>
      <c r="BN877" s="24"/>
      <c r="BO877" s="24"/>
      <c r="BP877" s="24"/>
      <c r="BQ877" s="24"/>
      <c r="BR877" s="43"/>
      <c r="BS877" s="24"/>
      <c r="BT877" s="24"/>
      <c r="BU877" s="24"/>
      <c r="BV877" s="132" t="e">
        <f>IF(#REF!="COMPLETO","OK","PENDIENTES")</f>
        <v>#REF!</v>
      </c>
      <c r="BW877" s="325"/>
      <c r="BX877" s="325"/>
      <c r="BY877" s="325"/>
      <c r="BZ877" s="325"/>
      <c r="CA877" s="325"/>
      <c r="CB877" s="325"/>
      <c r="CC877" s="258"/>
      <c r="CG877" s="24" t="s">
        <v>105</v>
      </c>
      <c r="CH877" s="24"/>
      <c r="CI877" s="26"/>
      <c r="CJ877" s="26"/>
    </row>
    <row r="878" spans="1:88" ht="15" customHeight="1">
      <c r="A878" s="18">
        <v>2020</v>
      </c>
      <c r="B878" s="18" t="str">
        <f>+INDEX(BDD!F:F,MATCH(P878,BDD!D:D,0))&amp;"-"&amp;INDEX(BDD!E:E,MATCH(P878,BDD!D:D,0))</f>
        <v>T-S</v>
      </c>
      <c r="C878" s="125" t="s">
        <v>484</v>
      </c>
      <c r="D878" s="150" t="s">
        <v>77</v>
      </c>
      <c r="E878" s="132"/>
      <c r="F878" s="24"/>
      <c r="G878" s="346">
        <v>8000000720</v>
      </c>
      <c r="H878" s="125" t="s">
        <v>3475</v>
      </c>
      <c r="I878" s="329"/>
      <c r="J878" s="346">
        <v>8000000720</v>
      </c>
      <c r="K878" s="24"/>
      <c r="L878" s="24"/>
      <c r="M878" s="24"/>
      <c r="N878" s="340" t="s">
        <v>486</v>
      </c>
      <c r="O878" s="334">
        <v>208071</v>
      </c>
      <c r="P878" s="25" t="s">
        <v>384</v>
      </c>
      <c r="Q878" s="127" t="s">
        <v>303</v>
      </c>
      <c r="R878" s="232" t="s">
        <v>544</v>
      </c>
      <c r="S878" s="89">
        <v>43876</v>
      </c>
      <c r="T878" s="36">
        <v>30</v>
      </c>
      <c r="U878" s="125" t="s">
        <v>118</v>
      </c>
      <c r="V878" s="147" t="s">
        <v>3476</v>
      </c>
      <c r="W878" s="129"/>
      <c r="X878" s="88">
        <f>+BD878+T878</f>
        <v>43926</v>
      </c>
      <c r="Y878" s="130" t="s">
        <v>20</v>
      </c>
      <c r="Z878" s="133" t="s">
        <v>60</v>
      </c>
      <c r="AA878" s="133"/>
      <c r="AB878" s="241">
        <v>450</v>
      </c>
      <c r="AC878" s="134">
        <v>246.35</v>
      </c>
      <c r="AD878" s="134"/>
      <c r="AE878" s="403">
        <f t="shared" si="46"/>
        <v>110857.5</v>
      </c>
      <c r="AF878" s="132">
        <v>18</v>
      </c>
      <c r="AG878" s="130" t="s">
        <v>5</v>
      </c>
      <c r="AH878" s="130"/>
      <c r="AI878" s="130" t="s">
        <v>34</v>
      </c>
      <c r="AJ878" s="130"/>
      <c r="AK878" s="130"/>
      <c r="AL878" s="135" t="s">
        <v>3313</v>
      </c>
      <c r="AM878" s="314"/>
      <c r="AN878" s="26"/>
      <c r="AO878" s="26"/>
      <c r="AP878" s="26"/>
      <c r="AQ878" s="26">
        <v>43901</v>
      </c>
      <c r="AR878" s="24"/>
      <c r="AS878" s="24"/>
      <c r="AT878" s="24">
        <v>43916</v>
      </c>
      <c r="AU878" s="418">
        <f t="shared" si="47"/>
        <v>3</v>
      </c>
      <c r="AV878" s="418">
        <f t="shared" si="48"/>
        <v>2020</v>
      </c>
      <c r="AW878" s="24"/>
      <c r="AX878" s="28"/>
      <c r="AY878" s="28" t="s">
        <v>3415</v>
      </c>
      <c r="AZ878" s="132" t="s">
        <v>9</v>
      </c>
      <c r="BA878" s="132"/>
      <c r="BB878" s="24" t="s">
        <v>2956</v>
      </c>
      <c r="BC878" s="135" t="s">
        <v>3477</v>
      </c>
      <c r="BD878" s="24">
        <v>43896</v>
      </c>
      <c r="BE878" s="135" t="s">
        <v>1806</v>
      </c>
      <c r="BF878" s="135" t="s">
        <v>1806</v>
      </c>
      <c r="BG878" s="135" t="s">
        <v>64</v>
      </c>
      <c r="BH878" s="135"/>
      <c r="BI878" s="314" t="s">
        <v>124</v>
      </c>
      <c r="BJ878" s="314"/>
      <c r="BK878" s="24"/>
      <c r="BL878" s="24"/>
      <c r="BM878" s="24"/>
      <c r="BN878" s="24"/>
      <c r="BO878" s="24">
        <v>43921</v>
      </c>
      <c r="BP878" s="24"/>
      <c r="BQ878" s="24"/>
      <c r="BR878" s="43"/>
      <c r="BS878" s="24"/>
      <c r="BT878" s="24"/>
      <c r="BU878" s="24"/>
      <c r="BV878" s="132" t="e">
        <f>IF(#REF!="COMPLETO","OK","PENDIENTES")</f>
        <v>#REF!</v>
      </c>
      <c r="BW878" s="325"/>
      <c r="BX878" s="325"/>
      <c r="BY878" s="325"/>
      <c r="BZ878" s="325"/>
      <c r="CA878" s="325"/>
      <c r="CB878" s="325"/>
      <c r="CC878" s="258"/>
      <c r="CG878" s="24" t="s">
        <v>105</v>
      </c>
      <c r="CH878" s="24"/>
      <c r="CI878" s="24"/>
      <c r="CJ878" s="24"/>
    </row>
    <row r="879" spans="1:88" ht="15" customHeight="1">
      <c r="A879" s="18">
        <v>2020</v>
      </c>
      <c r="B879" s="18" t="str">
        <f>+INDEX(BDD!F:F,MATCH(P879,BDD!D:D,0))&amp;"-"&amp;INDEX(BDD!E:E,MATCH(P879,BDD!D:D,0))</f>
        <v>G-S</v>
      </c>
      <c r="C879" s="125" t="s">
        <v>484</v>
      </c>
      <c r="D879" s="150" t="s">
        <v>77</v>
      </c>
      <c r="E879" s="132"/>
      <c r="F879" s="24"/>
      <c r="G879" s="346">
        <v>8000000743</v>
      </c>
      <c r="H879" s="125" t="s">
        <v>3478</v>
      </c>
      <c r="I879" s="329"/>
      <c r="J879" s="346">
        <v>8000000743</v>
      </c>
      <c r="K879" s="24"/>
      <c r="L879" s="24"/>
      <c r="M879" s="24"/>
      <c r="N879" s="340" t="s">
        <v>486</v>
      </c>
      <c r="O879" s="334">
        <v>207951</v>
      </c>
      <c r="P879" s="25" t="s">
        <v>354</v>
      </c>
      <c r="Q879" s="127" t="s">
        <v>66</v>
      </c>
      <c r="R879" s="232" t="s">
        <v>3479</v>
      </c>
      <c r="S879" s="89">
        <v>43894</v>
      </c>
      <c r="T879" s="36" t="s">
        <v>19</v>
      </c>
      <c r="U879" s="125"/>
      <c r="V879" s="147" t="s">
        <v>3480</v>
      </c>
      <c r="W879" s="129"/>
      <c r="X879" s="88">
        <v>43921</v>
      </c>
      <c r="Y879" s="130" t="s">
        <v>20</v>
      </c>
      <c r="Z879" s="133" t="s">
        <v>60</v>
      </c>
      <c r="AA879" s="133"/>
      <c r="AB879" s="241">
        <v>500</v>
      </c>
      <c r="AC879" s="134">
        <v>272</v>
      </c>
      <c r="AD879" s="134"/>
      <c r="AE879" s="403">
        <f t="shared" si="46"/>
        <v>136000</v>
      </c>
      <c r="AF879" s="132" t="s">
        <v>944</v>
      </c>
      <c r="AG879" s="130" t="s">
        <v>46</v>
      </c>
      <c r="AH879" s="130"/>
      <c r="AI879" s="130" t="s">
        <v>100</v>
      </c>
      <c r="AJ879" s="130"/>
      <c r="AK879" s="130"/>
      <c r="AL879" s="135" t="s">
        <v>3313</v>
      </c>
      <c r="AM879" s="314"/>
      <c r="AN879" s="26"/>
      <c r="AO879" s="26"/>
      <c r="AP879" s="26"/>
      <c r="AQ879" s="26">
        <v>43940</v>
      </c>
      <c r="AR879" s="41"/>
      <c r="AS879" s="41"/>
      <c r="AT879" s="24">
        <v>43941</v>
      </c>
      <c r="AU879" s="418">
        <f t="shared" si="47"/>
        <v>4</v>
      </c>
      <c r="AV879" s="418">
        <f t="shared" si="48"/>
        <v>2020</v>
      </c>
      <c r="AW879" s="24"/>
      <c r="AX879" s="28"/>
      <c r="AY879" s="28" t="s">
        <v>205</v>
      </c>
      <c r="AZ879" s="132" t="s">
        <v>9</v>
      </c>
      <c r="BA879" s="132"/>
      <c r="BB879" s="24" t="s">
        <v>2956</v>
      </c>
      <c r="BC879" s="135">
        <v>202</v>
      </c>
      <c r="BD879" s="24">
        <v>43909</v>
      </c>
      <c r="BE879" s="135" t="s">
        <v>3481</v>
      </c>
      <c r="BF879" s="135" t="s">
        <v>3481</v>
      </c>
      <c r="BG879" s="135" t="s">
        <v>52</v>
      </c>
      <c r="BH879" s="135"/>
      <c r="BI879" s="314" t="s">
        <v>117</v>
      </c>
      <c r="BJ879" s="314"/>
      <c r="BK879" s="24"/>
      <c r="BL879" s="24"/>
      <c r="BM879" s="24"/>
      <c r="BN879" s="24"/>
      <c r="BO879" s="41"/>
      <c r="BP879" s="41"/>
      <c r="BQ879" s="41"/>
      <c r="BR879" s="43"/>
      <c r="BS879" s="41"/>
      <c r="BT879" s="41"/>
      <c r="BU879" s="41"/>
      <c r="BV879" s="132" t="e">
        <f>IF(#REF!="COMPLETO","OK","PENDIENTES")</f>
        <v>#REF!</v>
      </c>
      <c r="BW879" s="325"/>
      <c r="BX879" s="325"/>
      <c r="BY879" s="325"/>
      <c r="BZ879" s="325"/>
      <c r="CA879" s="325"/>
      <c r="CB879" s="325"/>
      <c r="CC879" s="258"/>
      <c r="CG879" s="24" t="s">
        <v>105</v>
      </c>
      <c r="CH879" s="24"/>
      <c r="CI879" s="24"/>
      <c r="CJ879" s="24"/>
    </row>
    <row r="880" spans="1:88" ht="15" customHeight="1">
      <c r="A880" s="18">
        <v>2020</v>
      </c>
      <c r="B880" s="18" t="str">
        <f>+INDEX(BDD!F:F,MATCH(P880,BDD!D:D,0))&amp;"-"&amp;INDEX(BDD!E:E,MATCH(P880,BDD!D:D,0))</f>
        <v>G-S</v>
      </c>
      <c r="C880" s="125" t="s">
        <v>484</v>
      </c>
      <c r="D880" s="150" t="s">
        <v>77</v>
      </c>
      <c r="E880" s="132"/>
      <c r="F880" s="24"/>
      <c r="G880" s="346">
        <v>8000000744</v>
      </c>
      <c r="H880" s="125" t="s">
        <v>3482</v>
      </c>
      <c r="I880" s="329"/>
      <c r="J880" s="346">
        <v>8000000744</v>
      </c>
      <c r="K880" s="24"/>
      <c r="L880" s="24"/>
      <c r="M880" s="24"/>
      <c r="N880" s="340" t="s">
        <v>486</v>
      </c>
      <c r="O880" s="334">
        <v>207951</v>
      </c>
      <c r="P880" s="25" t="s">
        <v>354</v>
      </c>
      <c r="Q880" s="127" t="s">
        <v>66</v>
      </c>
      <c r="R880" s="232" t="s">
        <v>3479</v>
      </c>
      <c r="S880" s="89">
        <v>43894</v>
      </c>
      <c r="T880" s="36" t="s">
        <v>19</v>
      </c>
      <c r="U880" s="125"/>
      <c r="V880" s="147" t="s">
        <v>3483</v>
      </c>
      <c r="W880" s="129"/>
      <c r="X880" s="88">
        <v>43921</v>
      </c>
      <c r="Y880" s="130" t="s">
        <v>20</v>
      </c>
      <c r="Z880" s="133" t="s">
        <v>60</v>
      </c>
      <c r="AA880" s="133"/>
      <c r="AB880" s="241">
        <v>1500</v>
      </c>
      <c r="AC880" s="134">
        <v>272</v>
      </c>
      <c r="AD880" s="134"/>
      <c r="AE880" s="403">
        <f t="shared" si="46"/>
        <v>408000</v>
      </c>
      <c r="AF880" s="132" t="s">
        <v>944</v>
      </c>
      <c r="AG880" s="130" t="s">
        <v>46</v>
      </c>
      <c r="AH880" s="130"/>
      <c r="AI880" s="130" t="s">
        <v>100</v>
      </c>
      <c r="AJ880" s="130"/>
      <c r="AK880" s="130"/>
      <c r="AL880" s="135" t="s">
        <v>3313</v>
      </c>
      <c r="AM880" s="314"/>
      <c r="AN880" s="26"/>
      <c r="AO880" s="26"/>
      <c r="AP880" s="26"/>
      <c r="AQ880" s="26">
        <v>43943</v>
      </c>
      <c r="AR880" s="41"/>
      <c r="AS880" s="41"/>
      <c r="AT880" s="24">
        <v>43945</v>
      </c>
      <c r="AU880" s="418">
        <f t="shared" si="47"/>
        <v>4</v>
      </c>
      <c r="AV880" s="418">
        <f t="shared" si="48"/>
        <v>2020</v>
      </c>
      <c r="AW880" s="24"/>
      <c r="AX880" s="28"/>
      <c r="AY880" s="28" t="s">
        <v>205</v>
      </c>
      <c r="AZ880" s="132" t="s">
        <v>25</v>
      </c>
      <c r="BA880" s="132"/>
      <c r="BB880" s="24" t="s">
        <v>2956</v>
      </c>
      <c r="BC880" s="135">
        <v>203</v>
      </c>
      <c r="BD880" s="24">
        <v>43909</v>
      </c>
      <c r="BE880" s="135" t="s">
        <v>3481</v>
      </c>
      <c r="BF880" s="135" t="s">
        <v>3481</v>
      </c>
      <c r="BG880" s="135" t="s">
        <v>52</v>
      </c>
      <c r="BH880" s="135"/>
      <c r="BI880" s="314" t="s">
        <v>117</v>
      </c>
      <c r="BJ880" s="314"/>
      <c r="BK880" s="24"/>
      <c r="BL880" s="24"/>
      <c r="BM880" s="24"/>
      <c r="BN880" s="24"/>
      <c r="BO880" s="41"/>
      <c r="BP880" s="41"/>
      <c r="BQ880" s="41"/>
      <c r="BR880" s="43"/>
      <c r="BS880" s="41"/>
      <c r="BT880" s="41"/>
      <c r="BU880" s="41"/>
      <c r="BV880" s="132" t="e">
        <f>IF(#REF!="COMPLETO","OK","PENDIENTES")</f>
        <v>#REF!</v>
      </c>
      <c r="BW880" s="325"/>
      <c r="BX880" s="325"/>
      <c r="BY880" s="325"/>
      <c r="BZ880" s="325"/>
      <c r="CA880" s="325"/>
      <c r="CB880" s="325"/>
      <c r="CC880" s="258"/>
      <c r="CG880" s="24" t="s">
        <v>105</v>
      </c>
      <c r="CH880" s="24"/>
      <c r="CI880" s="24"/>
      <c r="CJ880" s="24"/>
    </row>
    <row r="881" spans="1:88" ht="15" customHeight="1">
      <c r="A881" s="18">
        <v>2020</v>
      </c>
      <c r="B881" s="18" t="str">
        <f>+INDEX(BDD!F:F,MATCH(P881,BDD!D:D,0))&amp;"-"&amp;INDEX(BDD!E:E,MATCH(P881,BDD!D:D,0))</f>
        <v>G-S</v>
      </c>
      <c r="C881" s="125" t="s">
        <v>484</v>
      </c>
      <c r="D881" s="150" t="s">
        <v>77</v>
      </c>
      <c r="E881" s="132"/>
      <c r="F881" s="24"/>
      <c r="G881" s="346">
        <v>8000000757</v>
      </c>
      <c r="H881" s="125" t="s">
        <v>3484</v>
      </c>
      <c r="I881" s="329"/>
      <c r="J881" s="346">
        <v>8000000757</v>
      </c>
      <c r="K881" s="24"/>
      <c r="L881" s="24"/>
      <c r="M881" s="24"/>
      <c r="N881" s="340" t="s">
        <v>486</v>
      </c>
      <c r="O881" s="334">
        <v>207951</v>
      </c>
      <c r="P881" s="25" t="s">
        <v>354</v>
      </c>
      <c r="Q881" s="127" t="s">
        <v>66</v>
      </c>
      <c r="R881" s="232" t="s">
        <v>3479</v>
      </c>
      <c r="S881" s="89">
        <v>43894</v>
      </c>
      <c r="T881" s="36" t="s">
        <v>19</v>
      </c>
      <c r="U881" s="125"/>
      <c r="V881" s="147" t="s">
        <v>3485</v>
      </c>
      <c r="W881" s="129"/>
      <c r="X881" s="88">
        <v>43921</v>
      </c>
      <c r="Y881" s="130" t="s">
        <v>20</v>
      </c>
      <c r="Z881" s="133" t="s">
        <v>60</v>
      </c>
      <c r="AA881" s="133"/>
      <c r="AB881" s="241">
        <v>2000</v>
      </c>
      <c r="AC881" s="134">
        <v>272</v>
      </c>
      <c r="AD881" s="134"/>
      <c r="AE881" s="403">
        <f t="shared" si="46"/>
        <v>544000</v>
      </c>
      <c r="AF881" s="132" t="s">
        <v>944</v>
      </c>
      <c r="AG881" s="130" t="s">
        <v>46</v>
      </c>
      <c r="AH881" s="130"/>
      <c r="AI881" s="130" t="s">
        <v>100</v>
      </c>
      <c r="AJ881" s="130"/>
      <c r="AK881" s="130"/>
      <c r="AL881" s="135" t="s">
        <v>3313</v>
      </c>
      <c r="AM881" s="314"/>
      <c r="AN881" s="26"/>
      <c r="AO881" s="26"/>
      <c r="AP881" s="26"/>
      <c r="AQ881" s="26">
        <v>43946</v>
      </c>
      <c r="AR881" s="41"/>
      <c r="AS881" s="41"/>
      <c r="AT881" s="24">
        <v>43949</v>
      </c>
      <c r="AU881" s="418">
        <f t="shared" si="47"/>
        <v>4</v>
      </c>
      <c r="AV881" s="418">
        <f t="shared" si="48"/>
        <v>2020</v>
      </c>
      <c r="AW881" s="24"/>
      <c r="AX881" s="28"/>
      <c r="AY881" s="28" t="s">
        <v>205</v>
      </c>
      <c r="AZ881" s="132" t="s">
        <v>37</v>
      </c>
      <c r="BA881" s="132"/>
      <c r="BB881" s="24" t="s">
        <v>2956</v>
      </c>
      <c r="BC881" s="135">
        <v>201</v>
      </c>
      <c r="BD881" s="24">
        <v>43909</v>
      </c>
      <c r="BE881" s="135" t="s">
        <v>3481</v>
      </c>
      <c r="BF881" s="135" t="s">
        <v>3481</v>
      </c>
      <c r="BG881" s="135" t="s">
        <v>52</v>
      </c>
      <c r="BH881" s="135"/>
      <c r="BI881" s="314" t="s">
        <v>117</v>
      </c>
      <c r="BJ881" s="314"/>
      <c r="BK881" s="24"/>
      <c r="BL881" s="24"/>
      <c r="BM881" s="24"/>
      <c r="BN881" s="24"/>
      <c r="BO881" s="41"/>
      <c r="BP881" s="41"/>
      <c r="BQ881" s="41"/>
      <c r="BR881" s="43"/>
      <c r="BS881" s="41"/>
      <c r="BT881" s="41"/>
      <c r="BU881" s="41"/>
      <c r="BV881" s="132" t="e">
        <f>IF(#REF!="COMPLETO","OK","PENDIENTES")</f>
        <v>#REF!</v>
      </c>
      <c r="BW881" s="325"/>
      <c r="BX881" s="325"/>
      <c r="BY881" s="325"/>
      <c r="BZ881" s="325"/>
      <c r="CA881" s="325"/>
      <c r="CB881" s="325"/>
      <c r="CC881" s="258"/>
      <c r="CG881" s="24" t="s">
        <v>105</v>
      </c>
      <c r="CH881" s="24"/>
      <c r="CI881" s="24"/>
      <c r="CJ881" s="24"/>
    </row>
    <row r="882" spans="1:88" ht="15" customHeight="1">
      <c r="A882" s="18">
        <v>2020</v>
      </c>
      <c r="B882" s="18" t="str">
        <f>+INDEX(BDD!F:F,MATCH(P882,BDD!D:D,0))&amp;"-"&amp;INDEX(BDD!E:E,MATCH(P882,BDD!D:D,0))</f>
        <v>S-S</v>
      </c>
      <c r="C882" s="125" t="s">
        <v>484</v>
      </c>
      <c r="D882" s="150" t="s">
        <v>77</v>
      </c>
      <c r="E882" s="132"/>
      <c r="F882" s="24"/>
      <c r="G882" s="346">
        <v>8000000798</v>
      </c>
      <c r="H882" s="125" t="s">
        <v>3486</v>
      </c>
      <c r="I882" s="329"/>
      <c r="J882" s="346">
        <v>8000000798</v>
      </c>
      <c r="K882" s="24"/>
      <c r="L882" s="24"/>
      <c r="M882" s="24"/>
      <c r="N882" s="340" t="s">
        <v>486</v>
      </c>
      <c r="O882" s="334">
        <v>206615</v>
      </c>
      <c r="P882" s="25" t="s">
        <v>387</v>
      </c>
      <c r="Q882" s="127" t="s">
        <v>30</v>
      </c>
      <c r="R882" s="232" t="s">
        <v>544</v>
      </c>
      <c r="S882" s="89">
        <v>43895</v>
      </c>
      <c r="T882" s="36">
        <v>60</v>
      </c>
      <c r="U882" s="125" t="s">
        <v>118</v>
      </c>
      <c r="V882" s="147" t="s">
        <v>3487</v>
      </c>
      <c r="W882" s="129"/>
      <c r="X882" s="88">
        <v>44021</v>
      </c>
      <c r="Y882" s="130" t="s">
        <v>20</v>
      </c>
      <c r="Z882" s="133" t="s">
        <v>81</v>
      </c>
      <c r="AA882" s="133"/>
      <c r="AB882" s="241">
        <v>48</v>
      </c>
      <c r="AC882" s="134">
        <v>719</v>
      </c>
      <c r="AD882" s="134"/>
      <c r="AE882" s="403">
        <f t="shared" si="46"/>
        <v>34512</v>
      </c>
      <c r="AF882" s="132">
        <v>2</v>
      </c>
      <c r="AG882" s="130" t="s">
        <v>5</v>
      </c>
      <c r="AH882" s="130"/>
      <c r="AI882" s="130" t="s">
        <v>34</v>
      </c>
      <c r="AJ882" s="130"/>
      <c r="AK882" s="130"/>
      <c r="AL882" s="135" t="s">
        <v>3313</v>
      </c>
      <c r="AM882" s="314"/>
      <c r="AN882" s="26"/>
      <c r="AO882" s="26"/>
      <c r="AP882" s="26"/>
      <c r="AQ882" s="26">
        <v>43968</v>
      </c>
      <c r="AR882" s="24"/>
      <c r="AS882" s="24"/>
      <c r="AT882" s="24">
        <v>43979</v>
      </c>
      <c r="AU882" s="418">
        <f t="shared" si="47"/>
        <v>5</v>
      </c>
      <c r="AV882" s="418">
        <f t="shared" si="48"/>
        <v>2020</v>
      </c>
      <c r="AW882" s="24"/>
      <c r="AX882" s="28"/>
      <c r="AY882" s="28" t="s">
        <v>181</v>
      </c>
      <c r="AZ882" s="132" t="s">
        <v>37</v>
      </c>
      <c r="BA882" s="132"/>
      <c r="BB882" s="24" t="s">
        <v>2956</v>
      </c>
      <c r="BC882" s="135" t="s">
        <v>3488</v>
      </c>
      <c r="BD882" s="24">
        <v>43965</v>
      </c>
      <c r="BE882" s="135" t="s">
        <v>1714</v>
      </c>
      <c r="BF882" s="135" t="s">
        <v>1714</v>
      </c>
      <c r="BG882" s="135" t="s">
        <v>29</v>
      </c>
      <c r="BH882" s="135"/>
      <c r="BI882" s="314" t="s">
        <v>124</v>
      </c>
      <c r="BJ882" s="314"/>
      <c r="BK882" s="24"/>
      <c r="BL882" s="24"/>
      <c r="BM882" s="24"/>
      <c r="BN882" s="24"/>
      <c r="BO882" s="24">
        <f>+AQ882+22</f>
        <v>43990</v>
      </c>
      <c r="BP882" s="24"/>
      <c r="BQ882" s="24"/>
      <c r="BR882" s="43"/>
      <c r="BS882" s="24"/>
      <c r="BT882" s="24"/>
      <c r="BU882" s="24"/>
      <c r="BV882" s="132" t="e">
        <f>IF(#REF!="COMPLETO","OK","PENDIENTES")</f>
        <v>#REF!</v>
      </c>
      <c r="BW882" s="325"/>
      <c r="BX882" s="325"/>
      <c r="BY882" s="325"/>
      <c r="BZ882" s="325"/>
      <c r="CA882" s="325"/>
      <c r="CB882" s="325"/>
      <c r="CC882" s="258" t="s">
        <v>3489</v>
      </c>
      <c r="CG882" s="24" t="s">
        <v>105</v>
      </c>
      <c r="CH882" s="24"/>
      <c r="CI882" s="24"/>
      <c r="CJ882" s="24"/>
    </row>
    <row r="883" spans="1:88" ht="15" customHeight="1">
      <c r="A883" s="18">
        <v>2020</v>
      </c>
      <c r="B883" s="18" t="str">
        <f>+INDEX(BDD!F:F,MATCH(P883,BDD!D:D,0))&amp;"-"&amp;INDEX(BDD!E:E,MATCH(P883,BDD!D:D,0))</f>
        <v>S-S</v>
      </c>
      <c r="C883" s="125" t="s">
        <v>484</v>
      </c>
      <c r="D883" s="150" t="s">
        <v>77</v>
      </c>
      <c r="E883" s="132"/>
      <c r="F883" s="24"/>
      <c r="G883" s="346">
        <v>8000000799</v>
      </c>
      <c r="H883" s="125" t="s">
        <v>3490</v>
      </c>
      <c r="I883" s="329"/>
      <c r="J883" s="346">
        <v>8000000799</v>
      </c>
      <c r="K883" s="24"/>
      <c r="L883" s="24"/>
      <c r="M883" s="24"/>
      <c r="N883" s="340" t="s">
        <v>486</v>
      </c>
      <c r="O883" s="334">
        <v>206615</v>
      </c>
      <c r="P883" s="25" t="s">
        <v>387</v>
      </c>
      <c r="Q883" s="127" t="s">
        <v>30</v>
      </c>
      <c r="R883" s="232" t="s">
        <v>544</v>
      </c>
      <c r="S883" s="89">
        <v>43895</v>
      </c>
      <c r="T883" s="36">
        <v>60</v>
      </c>
      <c r="U883" s="125" t="s">
        <v>118</v>
      </c>
      <c r="V883" s="147" t="s">
        <v>3491</v>
      </c>
      <c r="W883" s="129"/>
      <c r="X883" s="88">
        <v>44021</v>
      </c>
      <c r="Y883" s="130" t="s">
        <v>20</v>
      </c>
      <c r="Z883" s="133" t="s">
        <v>81</v>
      </c>
      <c r="AA883" s="133"/>
      <c r="AB883" s="241">
        <v>48</v>
      </c>
      <c r="AC883" s="134">
        <v>727</v>
      </c>
      <c r="AD883" s="134"/>
      <c r="AE883" s="403">
        <f t="shared" si="46"/>
        <v>34896</v>
      </c>
      <c r="AF883" s="132">
        <v>2</v>
      </c>
      <c r="AG883" s="130" t="s">
        <v>5</v>
      </c>
      <c r="AH883" s="130"/>
      <c r="AI883" s="130" t="s">
        <v>34</v>
      </c>
      <c r="AJ883" s="130"/>
      <c r="AK883" s="130"/>
      <c r="AL883" s="135" t="s">
        <v>3313</v>
      </c>
      <c r="AM883" s="314"/>
      <c r="AN883" s="26"/>
      <c r="AO883" s="26"/>
      <c r="AP883" s="26"/>
      <c r="AQ883" s="26">
        <v>43985</v>
      </c>
      <c r="AR883" s="24"/>
      <c r="AS883" s="24"/>
      <c r="AT883" s="24">
        <v>43990</v>
      </c>
      <c r="AU883" s="418">
        <f t="shared" si="47"/>
        <v>6</v>
      </c>
      <c r="AV883" s="418">
        <f t="shared" si="48"/>
        <v>2020</v>
      </c>
      <c r="AW883" s="24"/>
      <c r="AX883" s="28"/>
      <c r="AY883" s="28" t="s">
        <v>181</v>
      </c>
      <c r="AZ883" s="132" t="s">
        <v>9</v>
      </c>
      <c r="BA883" s="132"/>
      <c r="BB883" s="24" t="s">
        <v>2956</v>
      </c>
      <c r="BC883" s="135" t="s">
        <v>3492</v>
      </c>
      <c r="BD883" s="24">
        <v>43965</v>
      </c>
      <c r="BE883" s="135" t="s">
        <v>1714</v>
      </c>
      <c r="BF883" s="135" t="s">
        <v>1807</v>
      </c>
      <c r="BG883" s="135" t="s">
        <v>29</v>
      </c>
      <c r="BH883" s="135"/>
      <c r="BI883" s="314" t="s">
        <v>124</v>
      </c>
      <c r="BJ883" s="314"/>
      <c r="BK883" s="24"/>
      <c r="BL883" s="24"/>
      <c r="BM883" s="24"/>
      <c r="BN883" s="24"/>
      <c r="BO883" s="24"/>
      <c r="BP883" s="24"/>
      <c r="BQ883" s="24"/>
      <c r="BR883" s="43"/>
      <c r="BS883" s="24"/>
      <c r="BT883" s="24"/>
      <c r="BU883" s="24"/>
      <c r="BV883" s="132" t="e">
        <f>IF(#REF!="COMPLETO","OK","PENDIENTES")</f>
        <v>#REF!</v>
      </c>
      <c r="BW883" s="325"/>
      <c r="BX883" s="325"/>
      <c r="BY883" s="325"/>
      <c r="BZ883" s="325"/>
      <c r="CA883" s="325"/>
      <c r="CB883" s="325"/>
      <c r="CC883" s="258" t="s">
        <v>3493</v>
      </c>
      <c r="CG883" s="24" t="s">
        <v>105</v>
      </c>
      <c r="CH883" s="24"/>
      <c r="CI883" s="24"/>
      <c r="CJ883" s="24"/>
    </row>
    <row r="884" spans="1:88" ht="15" customHeight="1">
      <c r="A884" s="18">
        <v>2020</v>
      </c>
      <c r="B884" s="18" t="str">
        <f>+INDEX(BDD!F:F,MATCH(P884,BDD!D:D,0))&amp;"-"&amp;INDEX(BDD!E:E,MATCH(P884,BDD!D:D,0))</f>
        <v>E-S</v>
      </c>
      <c r="C884" s="125" t="s">
        <v>484</v>
      </c>
      <c r="D884" s="150" t="s">
        <v>77</v>
      </c>
      <c r="E884" s="132"/>
      <c r="F884" s="24"/>
      <c r="G884" s="346">
        <v>8000000721</v>
      </c>
      <c r="H884" s="125" t="s">
        <v>3494</v>
      </c>
      <c r="I884" s="329"/>
      <c r="J884" s="346">
        <v>8000000721</v>
      </c>
      <c r="K884" s="24"/>
      <c r="L884" s="24"/>
      <c r="M884" s="24"/>
      <c r="N884" s="340" t="s">
        <v>486</v>
      </c>
      <c r="O884" s="334">
        <v>209986</v>
      </c>
      <c r="P884" s="25" t="s">
        <v>208</v>
      </c>
      <c r="Q884" s="127" t="s">
        <v>222</v>
      </c>
      <c r="R884" s="232" t="s">
        <v>944</v>
      </c>
      <c r="S884" s="89">
        <v>43899</v>
      </c>
      <c r="T884" s="36">
        <v>30</v>
      </c>
      <c r="U884" s="125" t="s">
        <v>118</v>
      </c>
      <c r="V884" s="147" t="s">
        <v>3495</v>
      </c>
      <c r="W884" s="129"/>
      <c r="X884" s="88">
        <f>+BD884+T884</f>
        <v>43970</v>
      </c>
      <c r="Y884" s="130" t="s">
        <v>20</v>
      </c>
      <c r="Z884" s="133" t="s">
        <v>60</v>
      </c>
      <c r="AA884" s="133"/>
      <c r="AB884" s="241">
        <v>52</v>
      </c>
      <c r="AC884" s="134">
        <v>280</v>
      </c>
      <c r="AD884" s="134"/>
      <c r="AE884" s="403">
        <f t="shared" si="46"/>
        <v>14560</v>
      </c>
      <c r="AF884" s="132">
        <v>2</v>
      </c>
      <c r="AG884" s="130" t="s">
        <v>5</v>
      </c>
      <c r="AH884" s="130"/>
      <c r="AI884" s="130" t="s">
        <v>47</v>
      </c>
      <c r="AJ884" s="130"/>
      <c r="AK884" s="130"/>
      <c r="AL884" s="135" t="s">
        <v>3496</v>
      </c>
      <c r="AM884" s="314"/>
      <c r="AN884" s="26"/>
      <c r="AO884" s="26"/>
      <c r="AP884" s="26"/>
      <c r="AQ884" s="26">
        <v>43946</v>
      </c>
      <c r="AR884" s="24"/>
      <c r="AS884" s="24"/>
      <c r="AT884" s="24">
        <v>43957</v>
      </c>
      <c r="AU884" s="418">
        <f t="shared" si="47"/>
        <v>5</v>
      </c>
      <c r="AV884" s="418">
        <f t="shared" si="48"/>
        <v>2020</v>
      </c>
      <c r="AW884" s="24"/>
      <c r="AX884" s="28"/>
      <c r="AY884" s="28" t="s">
        <v>263</v>
      </c>
      <c r="AZ884" s="132" t="s">
        <v>37</v>
      </c>
      <c r="BA884" s="132"/>
      <c r="BB884" s="24" t="s">
        <v>2956</v>
      </c>
      <c r="BC884" s="135" t="s">
        <v>3497</v>
      </c>
      <c r="BD884" s="26">
        <v>43940</v>
      </c>
      <c r="BE884" s="135" t="s">
        <v>3498</v>
      </c>
      <c r="BF884" s="135" t="s">
        <v>3498</v>
      </c>
      <c r="BG884" s="135" t="s">
        <v>74</v>
      </c>
      <c r="BH884" s="135"/>
      <c r="BI884" s="314" t="s">
        <v>124</v>
      </c>
      <c r="BJ884" s="314"/>
      <c r="BK884" s="24"/>
      <c r="BL884" s="24"/>
      <c r="BM884" s="24"/>
      <c r="BN884" s="24"/>
      <c r="BO884" s="24"/>
      <c r="BP884" s="24"/>
      <c r="BQ884" s="24"/>
      <c r="BR884" s="43"/>
      <c r="BS884" s="24"/>
      <c r="BT884" s="24"/>
      <c r="BU884" s="24"/>
      <c r="BV884" s="132" t="e">
        <f>IF(#REF!="COMPLETO","OK","PENDIENTES")</f>
        <v>#REF!</v>
      </c>
      <c r="BW884" s="325"/>
      <c r="BX884" s="325"/>
      <c r="BY884" s="325"/>
      <c r="BZ884" s="325"/>
      <c r="CA884" s="325"/>
      <c r="CB884" s="325"/>
      <c r="CC884" s="258"/>
      <c r="CG884" s="24" t="s">
        <v>105</v>
      </c>
      <c r="CH884" s="24"/>
      <c r="CI884" s="24"/>
      <c r="CJ884" s="24"/>
    </row>
    <row r="885" spans="1:88" ht="15" customHeight="1">
      <c r="A885" s="18">
        <v>2020</v>
      </c>
      <c r="B885" s="18" t="str">
        <f>+INDEX(BDD!F:F,MATCH(P885,BDD!D:D,0))&amp;"-"&amp;INDEX(BDD!E:E,MATCH(P885,BDD!D:D,0))</f>
        <v>S-S</v>
      </c>
      <c r="C885" s="125" t="s">
        <v>484</v>
      </c>
      <c r="D885" s="150" t="s">
        <v>77</v>
      </c>
      <c r="E885" s="132"/>
      <c r="F885" s="24"/>
      <c r="G885" s="346">
        <v>8000000786</v>
      </c>
      <c r="H885" s="125" t="s">
        <v>3499</v>
      </c>
      <c r="I885" s="329"/>
      <c r="J885" s="346">
        <v>8000000786</v>
      </c>
      <c r="K885" s="24"/>
      <c r="L885" s="24"/>
      <c r="M885" s="24"/>
      <c r="N885" s="340" t="s">
        <v>486</v>
      </c>
      <c r="O885" s="334">
        <v>206971</v>
      </c>
      <c r="P885" s="25" t="s">
        <v>340</v>
      </c>
      <c r="Q885" s="127" t="s">
        <v>297</v>
      </c>
      <c r="R885" s="232" t="s">
        <v>3500</v>
      </c>
      <c r="S885" s="89">
        <v>43906</v>
      </c>
      <c r="T885" s="36">
        <v>90</v>
      </c>
      <c r="U885" s="125" t="s">
        <v>118</v>
      </c>
      <c r="V885" s="147" t="s">
        <v>3501</v>
      </c>
      <c r="W885" s="129"/>
      <c r="X885" s="88">
        <v>44021</v>
      </c>
      <c r="Y885" s="130" t="s">
        <v>20</v>
      </c>
      <c r="Z885" s="133" t="s">
        <v>72</v>
      </c>
      <c r="AA885" s="133"/>
      <c r="AB885" s="241">
        <v>600</v>
      </c>
      <c r="AC885" s="240">
        <v>467</v>
      </c>
      <c r="AD885" s="240"/>
      <c r="AE885" s="403">
        <f t="shared" si="46"/>
        <v>280200</v>
      </c>
      <c r="AF885" s="132">
        <v>24</v>
      </c>
      <c r="AG885" s="130" t="s">
        <v>5</v>
      </c>
      <c r="AH885" s="130"/>
      <c r="AI885" s="130" t="s">
        <v>34</v>
      </c>
      <c r="AJ885" s="130"/>
      <c r="AK885" s="130"/>
      <c r="AL885" s="135" t="s">
        <v>3502</v>
      </c>
      <c r="AM885" s="314"/>
      <c r="AN885" s="26"/>
      <c r="AO885" s="26"/>
      <c r="AP885" s="26"/>
      <c r="AQ885" s="26">
        <v>43968</v>
      </c>
      <c r="AR885" s="24"/>
      <c r="AS885" s="24"/>
      <c r="AT885" s="24">
        <v>43977</v>
      </c>
      <c r="AU885" s="418">
        <f t="shared" si="47"/>
        <v>5</v>
      </c>
      <c r="AV885" s="418">
        <f t="shared" si="48"/>
        <v>2020</v>
      </c>
      <c r="AW885" s="24"/>
      <c r="AX885" s="28"/>
      <c r="AY885" s="28" t="s">
        <v>193</v>
      </c>
      <c r="AZ885" s="132" t="s">
        <v>37</v>
      </c>
      <c r="BA885" s="132"/>
      <c r="BB885" s="24" t="s">
        <v>2956</v>
      </c>
      <c r="BC885" s="135" t="s">
        <v>3503</v>
      </c>
      <c r="BD885" s="24">
        <v>43933</v>
      </c>
      <c r="BE885" s="135" t="s">
        <v>1492</v>
      </c>
      <c r="BF885" s="135" t="s">
        <v>1492</v>
      </c>
      <c r="BG885" s="135" t="s">
        <v>64</v>
      </c>
      <c r="BH885" s="135"/>
      <c r="BI885" s="314" t="s">
        <v>124</v>
      </c>
      <c r="BJ885" s="314"/>
      <c r="BK885" s="24"/>
      <c r="BL885" s="24"/>
      <c r="BM885" s="24"/>
      <c r="BN885" s="24"/>
      <c r="BO885" s="24"/>
      <c r="BP885" s="24"/>
      <c r="BQ885" s="24"/>
      <c r="BR885" s="43"/>
      <c r="BS885" s="24"/>
      <c r="BT885" s="24"/>
      <c r="BU885" s="24"/>
      <c r="BV885" s="132" t="e">
        <f>IF(#REF!="COMPLETO","OK","PENDIENTES")</f>
        <v>#REF!</v>
      </c>
      <c r="BW885" s="325"/>
      <c r="BX885" s="325"/>
      <c r="BY885" s="325"/>
      <c r="BZ885" s="325"/>
      <c r="CA885" s="325"/>
      <c r="CB885" s="325"/>
      <c r="CC885" s="258"/>
      <c r="CG885" s="24" t="s">
        <v>105</v>
      </c>
      <c r="CH885" s="24"/>
      <c r="CI885" s="24"/>
      <c r="CJ885" s="24"/>
    </row>
    <row r="886" spans="1:88" ht="15" customHeight="1">
      <c r="A886" s="18">
        <v>2020</v>
      </c>
      <c r="B886" s="18" t="str">
        <f>+INDEX(BDD!F:F,MATCH(P886,BDD!D:D,0))&amp;"-"&amp;INDEX(BDD!E:E,MATCH(P886,BDD!D:D,0))</f>
        <v>S-S</v>
      </c>
      <c r="C886" s="125" t="s">
        <v>484</v>
      </c>
      <c r="D886" s="150" t="s">
        <v>77</v>
      </c>
      <c r="E886" s="132"/>
      <c r="F886" s="24"/>
      <c r="G886" s="346">
        <v>8000000801</v>
      </c>
      <c r="H886" s="125" t="s">
        <v>3504</v>
      </c>
      <c r="I886" s="329"/>
      <c r="J886" s="346">
        <v>8000000801</v>
      </c>
      <c r="K886" s="24"/>
      <c r="L886" s="24"/>
      <c r="M886" s="24"/>
      <c r="N886" s="340" t="s">
        <v>486</v>
      </c>
      <c r="O886" s="334">
        <v>206971</v>
      </c>
      <c r="P886" s="25" t="s">
        <v>340</v>
      </c>
      <c r="Q886" s="127" t="s">
        <v>297</v>
      </c>
      <c r="R886" s="232" t="s">
        <v>3500</v>
      </c>
      <c r="S886" s="89">
        <v>43906</v>
      </c>
      <c r="T886" s="36">
        <v>90</v>
      </c>
      <c r="U886" s="125" t="s">
        <v>118</v>
      </c>
      <c r="V886" s="147" t="s">
        <v>3505</v>
      </c>
      <c r="W886" s="129"/>
      <c r="X886" s="88">
        <f>+BD886+T886</f>
        <v>44036</v>
      </c>
      <c r="Y886" s="130" t="s">
        <v>20</v>
      </c>
      <c r="Z886" s="133" t="s">
        <v>72</v>
      </c>
      <c r="AA886" s="133"/>
      <c r="AB886" s="241">
        <v>400</v>
      </c>
      <c r="AC886" s="240">
        <v>467</v>
      </c>
      <c r="AD886" s="240"/>
      <c r="AE886" s="403">
        <f t="shared" si="46"/>
        <v>186800</v>
      </c>
      <c r="AF886" s="132">
        <v>16</v>
      </c>
      <c r="AG886" s="130" t="s">
        <v>5</v>
      </c>
      <c r="AH886" s="130"/>
      <c r="AI886" s="130" t="s">
        <v>34</v>
      </c>
      <c r="AJ886" s="130"/>
      <c r="AK886" s="130"/>
      <c r="AL886" s="135" t="s">
        <v>3502</v>
      </c>
      <c r="AM886" s="314"/>
      <c r="AN886" s="26"/>
      <c r="AO886" s="26"/>
      <c r="AP886" s="26"/>
      <c r="AQ886" s="26">
        <v>43981</v>
      </c>
      <c r="AR886" s="24"/>
      <c r="AS886" s="24"/>
      <c r="AT886" s="24">
        <v>43985</v>
      </c>
      <c r="AU886" s="418">
        <f t="shared" si="47"/>
        <v>6</v>
      </c>
      <c r="AV886" s="418">
        <f t="shared" si="48"/>
        <v>2020</v>
      </c>
      <c r="AW886" s="24"/>
      <c r="AX886" s="28"/>
      <c r="AY886" s="28" t="s">
        <v>193</v>
      </c>
      <c r="AZ886" s="132" t="s">
        <v>37</v>
      </c>
      <c r="BA886" s="132"/>
      <c r="BB886" s="24" t="s">
        <v>2956</v>
      </c>
      <c r="BC886" s="135" t="s">
        <v>3506</v>
      </c>
      <c r="BD886" s="24">
        <v>43946</v>
      </c>
      <c r="BE886" s="135" t="s">
        <v>3507</v>
      </c>
      <c r="BF886" s="135" t="s">
        <v>3507</v>
      </c>
      <c r="BG886" s="135" t="s">
        <v>206</v>
      </c>
      <c r="BH886" s="135"/>
      <c r="BI886" s="314" t="s">
        <v>124</v>
      </c>
      <c r="BJ886" s="314"/>
      <c r="BK886" s="24"/>
      <c r="BL886" s="24"/>
      <c r="BM886" s="24"/>
      <c r="BN886" s="24"/>
      <c r="BO886" s="24"/>
      <c r="BP886" s="24"/>
      <c r="BQ886" s="24"/>
      <c r="BR886" s="43"/>
      <c r="BS886" s="24"/>
      <c r="BT886" s="24"/>
      <c r="BU886" s="24"/>
      <c r="BV886" s="132" t="e">
        <f>IF(#REF!="COMPLETO","OK","PENDIENTES")</f>
        <v>#REF!</v>
      </c>
      <c r="BW886" s="325"/>
      <c r="BX886" s="325"/>
      <c r="BY886" s="325"/>
      <c r="BZ886" s="325"/>
      <c r="CA886" s="325"/>
      <c r="CB886" s="325"/>
      <c r="CC886" s="258"/>
      <c r="CG886" s="24" t="s">
        <v>105</v>
      </c>
      <c r="CH886" s="24"/>
      <c r="CI886" s="24"/>
      <c r="CJ886" s="24"/>
    </row>
    <row r="887" spans="1:88" ht="15" customHeight="1">
      <c r="A887" s="18">
        <v>2020</v>
      </c>
      <c r="B887" s="18" t="str">
        <f>+INDEX(BDD!F:F,MATCH(P887,BDD!D:D,0))&amp;"-"&amp;INDEX(BDD!E:E,MATCH(P887,BDD!D:D,0))</f>
        <v>S-S</v>
      </c>
      <c r="C887" s="125" t="s">
        <v>484</v>
      </c>
      <c r="D887" s="150" t="s">
        <v>77</v>
      </c>
      <c r="E887" s="132"/>
      <c r="F887" s="24"/>
      <c r="G887" s="346">
        <v>8000000830</v>
      </c>
      <c r="H887" s="125" t="s">
        <v>3508</v>
      </c>
      <c r="I887" s="329"/>
      <c r="J887" s="346">
        <v>8000000830</v>
      </c>
      <c r="K887" s="24"/>
      <c r="L887" s="24"/>
      <c r="M887" s="24"/>
      <c r="N887" s="340" t="s">
        <v>486</v>
      </c>
      <c r="O887" s="334">
        <v>206971</v>
      </c>
      <c r="P887" s="25" t="s">
        <v>340</v>
      </c>
      <c r="Q887" s="127" t="s">
        <v>297</v>
      </c>
      <c r="R887" s="232" t="s">
        <v>3509</v>
      </c>
      <c r="S887" s="89">
        <v>43906</v>
      </c>
      <c r="T887" s="36">
        <v>90</v>
      </c>
      <c r="U887" s="125" t="s">
        <v>118</v>
      </c>
      <c r="V887" s="147" t="s">
        <v>3510</v>
      </c>
      <c r="W887" s="129"/>
      <c r="X887" s="88">
        <v>44057</v>
      </c>
      <c r="Y887" s="130" t="s">
        <v>20</v>
      </c>
      <c r="Z887" s="133" t="s">
        <v>72</v>
      </c>
      <c r="AA887" s="133"/>
      <c r="AB887" s="241">
        <v>700</v>
      </c>
      <c r="AC887" s="240">
        <v>467</v>
      </c>
      <c r="AD887" s="240"/>
      <c r="AE887" s="403">
        <f t="shared" si="46"/>
        <v>326900</v>
      </c>
      <c r="AF887" s="132">
        <v>28</v>
      </c>
      <c r="AG887" s="130" t="s">
        <v>5</v>
      </c>
      <c r="AH887" s="130"/>
      <c r="AI887" s="130" t="s">
        <v>34</v>
      </c>
      <c r="AJ887" s="130"/>
      <c r="AK887" s="130"/>
      <c r="AL887" s="135" t="s">
        <v>3511</v>
      </c>
      <c r="AM887" s="314"/>
      <c r="AN887" s="26"/>
      <c r="AO887" s="26"/>
      <c r="AP887" s="26"/>
      <c r="AQ887" s="26">
        <v>44003</v>
      </c>
      <c r="AR887" s="24"/>
      <c r="AS887" s="24"/>
      <c r="AT887" s="26">
        <v>44008</v>
      </c>
      <c r="AU887" s="418">
        <f t="shared" si="47"/>
        <v>6</v>
      </c>
      <c r="AV887" s="418">
        <f t="shared" si="48"/>
        <v>2020</v>
      </c>
      <c r="AW887" s="26"/>
      <c r="AX887" s="28"/>
      <c r="AY887" s="28" t="s">
        <v>193</v>
      </c>
      <c r="AZ887" s="132" t="s">
        <v>37</v>
      </c>
      <c r="BA887" s="132"/>
      <c r="BB887" s="24" t="s">
        <v>2956</v>
      </c>
      <c r="BC887" s="135" t="s">
        <v>3512</v>
      </c>
      <c r="BD887" s="24">
        <v>43968</v>
      </c>
      <c r="BE887" s="135" t="s">
        <v>3513</v>
      </c>
      <c r="BF887" s="135" t="s">
        <v>3514</v>
      </c>
      <c r="BG887" s="24" t="s">
        <v>53</v>
      </c>
      <c r="BH887" s="24"/>
      <c r="BI887" s="314" t="s">
        <v>124</v>
      </c>
      <c r="BJ887" s="314"/>
      <c r="BK887" s="24"/>
      <c r="BL887" s="24"/>
      <c r="BM887" s="24"/>
      <c r="BN887" s="24"/>
      <c r="BO887" s="24">
        <f>+AQ887-22</f>
        <v>43981</v>
      </c>
      <c r="BP887" s="24"/>
      <c r="BQ887" s="24"/>
      <c r="BR887" s="43"/>
      <c r="BS887" s="24"/>
      <c r="BT887" s="24"/>
      <c r="BU887" s="24"/>
      <c r="BV887" s="132" t="e">
        <f>IF(#REF!="COMPLETO","OK","PENDIENTES")</f>
        <v>#REF!</v>
      </c>
      <c r="BW887" s="325"/>
      <c r="BX887" s="325"/>
      <c r="BY887" s="325"/>
      <c r="BZ887" s="325"/>
      <c r="CA887" s="325"/>
      <c r="CB887" s="325"/>
      <c r="CC887" s="258"/>
      <c r="CG887" s="24" t="s">
        <v>105</v>
      </c>
      <c r="CH887" s="24"/>
      <c r="CI887" s="26"/>
      <c r="CJ887" s="26"/>
    </row>
    <row r="888" spans="1:88" ht="15" customHeight="1">
      <c r="A888" s="18">
        <v>2020</v>
      </c>
      <c r="B888" s="18" t="str">
        <f>+INDEX(BDD!F:F,MATCH(P888,BDD!D:D,0))&amp;"-"&amp;INDEX(BDD!E:E,MATCH(P888,BDD!D:D,0))</f>
        <v>S-S</v>
      </c>
      <c r="C888" s="125" t="s">
        <v>484</v>
      </c>
      <c r="D888" s="150" t="s">
        <v>77</v>
      </c>
      <c r="E888" s="132"/>
      <c r="F888" s="24"/>
      <c r="G888" s="346">
        <v>8000000889</v>
      </c>
      <c r="H888" s="125" t="s">
        <v>3515</v>
      </c>
      <c r="I888" s="329"/>
      <c r="J888" s="346">
        <v>8000000889</v>
      </c>
      <c r="K888" s="24"/>
      <c r="L888" s="24"/>
      <c r="M888" s="24"/>
      <c r="N888" s="340" t="s">
        <v>486</v>
      </c>
      <c r="O888" s="334">
        <v>206971</v>
      </c>
      <c r="P888" s="25" t="s">
        <v>340</v>
      </c>
      <c r="Q888" s="127" t="s">
        <v>297</v>
      </c>
      <c r="R888" s="232" t="s">
        <v>3509</v>
      </c>
      <c r="S888" s="89">
        <v>43906</v>
      </c>
      <c r="T888" s="36">
        <v>90</v>
      </c>
      <c r="U888" s="125" t="s">
        <v>118</v>
      </c>
      <c r="V888" s="235" t="s">
        <v>3516</v>
      </c>
      <c r="W888" s="151"/>
      <c r="X888" s="88">
        <f>+BD888+T888</f>
        <v>44067</v>
      </c>
      <c r="Y888" s="130" t="s">
        <v>20</v>
      </c>
      <c r="Z888" s="133" t="s">
        <v>72</v>
      </c>
      <c r="AA888" s="133"/>
      <c r="AB888" s="241">
        <v>800</v>
      </c>
      <c r="AC888" s="240">
        <v>477</v>
      </c>
      <c r="AD888" s="240"/>
      <c r="AE888" s="403">
        <f t="shared" si="46"/>
        <v>381600</v>
      </c>
      <c r="AF888" s="132">
        <v>32</v>
      </c>
      <c r="AG888" s="130" t="s">
        <v>21</v>
      </c>
      <c r="AH888" s="130"/>
      <c r="AI888" s="130" t="s">
        <v>34</v>
      </c>
      <c r="AJ888" s="130"/>
      <c r="AK888" s="130"/>
      <c r="AL888" s="135" t="s">
        <v>3511</v>
      </c>
      <c r="AM888" s="314"/>
      <c r="AN888" s="26"/>
      <c r="AO888" s="26"/>
      <c r="AP888" s="26"/>
      <c r="AQ888" s="26">
        <v>44026</v>
      </c>
      <c r="AR888" s="24"/>
      <c r="AS888" s="24"/>
      <c r="AT888" s="26">
        <v>44033</v>
      </c>
      <c r="AU888" s="418">
        <f t="shared" si="47"/>
        <v>7</v>
      </c>
      <c r="AV888" s="418">
        <f t="shared" si="48"/>
        <v>2020</v>
      </c>
      <c r="AW888" s="26"/>
      <c r="AX888" s="28"/>
      <c r="AY888" s="28" t="s">
        <v>193</v>
      </c>
      <c r="AZ888" s="132" t="s">
        <v>9</v>
      </c>
      <c r="BA888" s="132"/>
      <c r="BB888" s="24" t="s">
        <v>3519</v>
      </c>
      <c r="BC888" s="135" t="s">
        <v>3517</v>
      </c>
      <c r="BD888" s="24">
        <v>43977</v>
      </c>
      <c r="BE888" s="135" t="s">
        <v>3518</v>
      </c>
      <c r="BF888" s="135" t="s">
        <v>2214</v>
      </c>
      <c r="BG888" s="135" t="s">
        <v>174</v>
      </c>
      <c r="BH888" s="135"/>
      <c r="BI888" s="314" t="s">
        <v>124</v>
      </c>
      <c r="BJ888" s="314"/>
      <c r="BK888" s="24"/>
      <c r="BL888" s="24"/>
      <c r="BM888" s="24"/>
      <c r="BN888" s="24"/>
      <c r="BO888" s="24">
        <f>+AQ888+22</f>
        <v>44048</v>
      </c>
      <c r="BP888" s="24"/>
      <c r="BQ888" s="24"/>
      <c r="BR888" s="43"/>
      <c r="BS888" s="24"/>
      <c r="BT888" s="24"/>
      <c r="BU888" s="24"/>
      <c r="BV888" s="132" t="e">
        <f>IF(#REF!="COMPLETO","OK","PENDIENTES")</f>
        <v>#REF!</v>
      </c>
      <c r="BW888" s="325"/>
      <c r="BX888" s="325"/>
      <c r="BY888" s="325"/>
      <c r="BZ888" s="325"/>
      <c r="CA888" s="325"/>
      <c r="CB888" s="325"/>
      <c r="CC888" s="258"/>
      <c r="CG888" s="24" t="s">
        <v>105</v>
      </c>
      <c r="CH888" s="24"/>
      <c r="CI888" s="26"/>
      <c r="CJ888" s="26"/>
    </row>
    <row r="889" spans="1:88" ht="15" customHeight="1">
      <c r="A889" s="18">
        <v>2020</v>
      </c>
      <c r="B889" s="18" t="str">
        <f>+INDEX(BDD!F:F,MATCH(P889,BDD!D:D,0))&amp;"-"&amp;INDEX(BDD!E:E,MATCH(P889,BDD!D:D,0))</f>
        <v>E-S</v>
      </c>
      <c r="C889" s="125" t="s">
        <v>484</v>
      </c>
      <c r="D889" s="150" t="s">
        <v>77</v>
      </c>
      <c r="E889" s="132"/>
      <c r="F889" s="24"/>
      <c r="G889" s="346">
        <v>8000000780</v>
      </c>
      <c r="H889" s="125" t="s">
        <v>3520</v>
      </c>
      <c r="I889" s="329"/>
      <c r="J889" s="346">
        <v>8000000780</v>
      </c>
      <c r="K889" s="24"/>
      <c r="L889" s="24"/>
      <c r="M889" s="24"/>
      <c r="N889" s="340" t="s">
        <v>486</v>
      </c>
      <c r="O889" s="334">
        <v>209865</v>
      </c>
      <c r="P889" s="25" t="s">
        <v>277</v>
      </c>
      <c r="Q889" s="127" t="s">
        <v>297</v>
      </c>
      <c r="R889" s="232" t="s">
        <v>3521</v>
      </c>
      <c r="S889" s="89">
        <v>43901</v>
      </c>
      <c r="T889" s="36">
        <v>90</v>
      </c>
      <c r="U889" s="125" t="s">
        <v>118</v>
      </c>
      <c r="V889" s="147" t="s">
        <v>3522</v>
      </c>
      <c r="W889" s="129"/>
      <c r="X889" s="88">
        <v>44028</v>
      </c>
      <c r="Y889" s="130" t="s">
        <v>20</v>
      </c>
      <c r="Z889" s="133" t="s">
        <v>72</v>
      </c>
      <c r="AA889" s="133"/>
      <c r="AB889" s="264">
        <v>11.1815</v>
      </c>
      <c r="AC889" s="240">
        <v>9479.9445512677194</v>
      </c>
      <c r="AD889" s="240"/>
      <c r="AE889" s="403">
        <f t="shared" si="46"/>
        <v>106000</v>
      </c>
      <c r="AF889" s="132">
        <v>1</v>
      </c>
      <c r="AG889" s="130" t="s">
        <v>5</v>
      </c>
      <c r="AH889" s="130"/>
      <c r="AI889" s="130" t="s">
        <v>93</v>
      </c>
      <c r="AJ889" s="130"/>
      <c r="AK889" s="130"/>
      <c r="AL889" s="135" t="s">
        <v>3496</v>
      </c>
      <c r="AM889" s="314"/>
      <c r="AN889" s="26"/>
      <c r="AO889" s="26"/>
      <c r="AP889" s="26"/>
      <c r="AQ889" s="26">
        <v>43959</v>
      </c>
      <c r="AR889" s="24"/>
      <c r="AS889" s="24"/>
      <c r="AT889" s="24">
        <v>43963</v>
      </c>
      <c r="AU889" s="418">
        <f t="shared" si="47"/>
        <v>5</v>
      </c>
      <c r="AV889" s="418">
        <f t="shared" si="48"/>
        <v>2020</v>
      </c>
      <c r="AW889" s="24"/>
      <c r="AX889" s="28"/>
      <c r="AY889" s="28" t="s">
        <v>221</v>
      </c>
      <c r="AZ889" s="132" t="s">
        <v>37</v>
      </c>
      <c r="BA889" s="132"/>
      <c r="BB889" s="24" t="s">
        <v>2956</v>
      </c>
      <c r="BC889" s="135" t="s">
        <v>3523</v>
      </c>
      <c r="BD889" s="24">
        <v>43940</v>
      </c>
      <c r="BE889" s="135" t="s">
        <v>3524</v>
      </c>
      <c r="BF889" s="135" t="s">
        <v>814</v>
      </c>
      <c r="BG889" s="135" t="s">
        <v>29</v>
      </c>
      <c r="BH889" s="135"/>
      <c r="BI889" s="314" t="s">
        <v>124</v>
      </c>
      <c r="BJ889" s="314"/>
      <c r="BK889" s="24"/>
      <c r="BL889" s="24"/>
      <c r="BM889" s="24"/>
      <c r="BN889" s="24"/>
      <c r="BO889" s="24"/>
      <c r="BP889" s="24"/>
      <c r="BQ889" s="24"/>
      <c r="BR889" s="43"/>
      <c r="BS889" s="24"/>
      <c r="BT889" s="24"/>
      <c r="BU889" s="24"/>
      <c r="BV889" s="132" t="e">
        <f>IF(#REF!="COMPLETO","OK","PENDIENTES")</f>
        <v>#REF!</v>
      </c>
      <c r="BW889" s="325"/>
      <c r="BX889" s="325"/>
      <c r="BY889" s="325"/>
      <c r="BZ889" s="325"/>
      <c r="CA889" s="325"/>
      <c r="CB889" s="325"/>
      <c r="CC889" s="258"/>
      <c r="CG889" s="24" t="s">
        <v>105</v>
      </c>
      <c r="CH889" s="24"/>
      <c r="CI889" s="24"/>
      <c r="CJ889" s="24"/>
    </row>
    <row r="890" spans="1:88" ht="15" customHeight="1">
      <c r="A890" s="18">
        <v>2020</v>
      </c>
      <c r="B890" s="18" t="str">
        <f>+INDEX(BDD!F:F,MATCH(P890,BDD!D:D,0))&amp;"-"&amp;INDEX(BDD!E:E,MATCH(P890,BDD!D:D,0))</f>
        <v>G-C</v>
      </c>
      <c r="C890" s="125" t="s">
        <v>484</v>
      </c>
      <c r="D890" s="150" t="s">
        <v>77</v>
      </c>
      <c r="E890" s="132"/>
      <c r="F890" s="24"/>
      <c r="G890" s="346">
        <v>8000000793</v>
      </c>
      <c r="H890" s="125" t="s">
        <v>3525</v>
      </c>
      <c r="I890" s="329"/>
      <c r="J890" s="346">
        <v>8000000793</v>
      </c>
      <c r="K890" s="24"/>
      <c r="L890" s="24"/>
      <c r="M890" s="24"/>
      <c r="N890" s="340" t="s">
        <v>486</v>
      </c>
      <c r="O890" s="334">
        <v>206573</v>
      </c>
      <c r="P890" s="25" t="s">
        <v>226</v>
      </c>
      <c r="Q890" s="127" t="s">
        <v>291</v>
      </c>
      <c r="R890" s="232" t="s">
        <v>3526</v>
      </c>
      <c r="S890" s="89">
        <v>43927</v>
      </c>
      <c r="T890" s="36">
        <v>150</v>
      </c>
      <c r="U890" s="125" t="s">
        <v>118</v>
      </c>
      <c r="V890" s="147" t="s">
        <v>3527</v>
      </c>
      <c r="W890" s="129"/>
      <c r="X890" s="88">
        <v>44099</v>
      </c>
      <c r="Y890" s="130" t="s">
        <v>20</v>
      </c>
      <c r="Z890" s="133" t="s">
        <v>60</v>
      </c>
      <c r="AA890" s="133"/>
      <c r="AB890" s="241">
        <v>495</v>
      </c>
      <c r="AC890" s="240">
        <v>273.39999999999998</v>
      </c>
      <c r="AD890" s="240"/>
      <c r="AE890" s="403">
        <f t="shared" si="46"/>
        <v>135333</v>
      </c>
      <c r="AF890" s="145" t="s">
        <v>2822</v>
      </c>
      <c r="AG890" s="130" t="s">
        <v>46</v>
      </c>
      <c r="AH890" s="130"/>
      <c r="AI890" s="130" t="s">
        <v>100</v>
      </c>
      <c r="AJ890" s="130"/>
      <c r="AK890" s="130"/>
      <c r="AL890" s="135" t="s">
        <v>3496</v>
      </c>
      <c r="AM890" s="314"/>
      <c r="AN890" s="26"/>
      <c r="AO890" s="26"/>
      <c r="AP890" s="26"/>
      <c r="AQ890" s="26">
        <v>43978</v>
      </c>
      <c r="AR890" s="41"/>
      <c r="AS890" s="41"/>
      <c r="AT890" s="24">
        <v>43984</v>
      </c>
      <c r="AU890" s="418">
        <f t="shared" si="47"/>
        <v>6</v>
      </c>
      <c r="AV890" s="418">
        <f t="shared" si="48"/>
        <v>2020</v>
      </c>
      <c r="AW890" s="24"/>
      <c r="AX890" s="28"/>
      <c r="AY890" s="28" t="s">
        <v>269</v>
      </c>
      <c r="AZ890" s="132" t="s">
        <v>9</v>
      </c>
      <c r="BA890" s="132"/>
      <c r="BB890" s="24" t="s">
        <v>2956</v>
      </c>
      <c r="BC890" s="135">
        <v>10</v>
      </c>
      <c r="BD890" s="24">
        <v>43950</v>
      </c>
      <c r="BE890" s="135" t="s">
        <v>3528</v>
      </c>
      <c r="BF890" s="135" t="s">
        <v>3528</v>
      </c>
      <c r="BG890" s="135" t="s">
        <v>52</v>
      </c>
      <c r="BH890" s="135"/>
      <c r="BI890" s="314" t="s">
        <v>117</v>
      </c>
      <c r="BJ890" s="314"/>
      <c r="BK890" s="24"/>
      <c r="BL890" s="24"/>
      <c r="BM890" s="24"/>
      <c r="BN890" s="24"/>
      <c r="BO890" s="41">
        <f>AQ890-BD890</f>
        <v>28</v>
      </c>
      <c r="BP890" s="41"/>
      <c r="BQ890" s="41"/>
      <c r="BR890" s="43"/>
      <c r="BS890" s="41"/>
      <c r="BT890" s="41"/>
      <c r="BU890" s="41"/>
      <c r="BV890" s="132" t="e">
        <f>IF(#REF!="COMPLETO","OK","PENDIENTES")</f>
        <v>#REF!</v>
      </c>
      <c r="BW890" s="325"/>
      <c r="BX890" s="325"/>
      <c r="BY890" s="325"/>
      <c r="BZ890" s="325"/>
      <c r="CA890" s="325"/>
      <c r="CB890" s="325"/>
      <c r="CC890" s="258"/>
      <c r="CG890" s="24" t="s">
        <v>105</v>
      </c>
      <c r="CH890" s="24"/>
      <c r="CI890" s="24"/>
      <c r="CJ890" s="24"/>
    </row>
    <row r="891" spans="1:88" ht="15" customHeight="1">
      <c r="A891" s="18">
        <v>2020</v>
      </c>
      <c r="B891" s="18" t="str">
        <f>+INDEX(BDD!F:F,MATCH(P891,BDD!D:D,0))&amp;"-"&amp;INDEX(BDD!E:E,MATCH(P891,BDD!D:D,0))</f>
        <v>G-C</v>
      </c>
      <c r="C891" s="125" t="s">
        <v>484</v>
      </c>
      <c r="D891" s="150" t="s">
        <v>77</v>
      </c>
      <c r="E891" s="132"/>
      <c r="F891" s="24"/>
      <c r="G891" s="346">
        <v>8000000804</v>
      </c>
      <c r="H891" s="125" t="s">
        <v>3529</v>
      </c>
      <c r="I891" s="329"/>
      <c r="J891" s="346">
        <v>8000000804</v>
      </c>
      <c r="K891" s="24"/>
      <c r="L891" s="24"/>
      <c r="M891" s="24"/>
      <c r="N891" s="340" t="s">
        <v>486</v>
      </c>
      <c r="O891" s="334">
        <v>206573</v>
      </c>
      <c r="P891" s="25" t="s">
        <v>226</v>
      </c>
      <c r="Q891" s="127" t="s">
        <v>291</v>
      </c>
      <c r="R891" s="232" t="s">
        <v>3526</v>
      </c>
      <c r="S891" s="89">
        <v>43927</v>
      </c>
      <c r="T891" s="36">
        <v>150</v>
      </c>
      <c r="U891" s="125" t="s">
        <v>118</v>
      </c>
      <c r="V891" s="147" t="s">
        <v>3530</v>
      </c>
      <c r="W891" s="129"/>
      <c r="X891" s="88">
        <v>44099</v>
      </c>
      <c r="Y891" s="130" t="s">
        <v>20</v>
      </c>
      <c r="Z891" s="133" t="s">
        <v>60</v>
      </c>
      <c r="AA891" s="133"/>
      <c r="AB891" s="241">
        <v>1375</v>
      </c>
      <c r="AC891" s="240">
        <v>273.39999999999998</v>
      </c>
      <c r="AD891" s="240"/>
      <c r="AE891" s="403">
        <f t="shared" si="46"/>
        <v>375924.99999999994</v>
      </c>
      <c r="AF891" s="145" t="s">
        <v>2822</v>
      </c>
      <c r="AG891" s="130" t="s">
        <v>46</v>
      </c>
      <c r="AH891" s="130"/>
      <c r="AI891" s="130" t="s">
        <v>100</v>
      </c>
      <c r="AJ891" s="130"/>
      <c r="AK891" s="130"/>
      <c r="AL891" s="135" t="s">
        <v>3496</v>
      </c>
      <c r="AM891" s="314"/>
      <c r="AN891" s="26"/>
      <c r="AO891" s="26"/>
      <c r="AP891" s="26"/>
      <c r="AQ891" s="26">
        <v>43985</v>
      </c>
      <c r="AR891" s="41"/>
      <c r="AS891" s="41"/>
      <c r="AT891" s="24">
        <v>43988</v>
      </c>
      <c r="AU891" s="418">
        <f t="shared" si="47"/>
        <v>6</v>
      </c>
      <c r="AV891" s="418">
        <f t="shared" si="48"/>
        <v>2020</v>
      </c>
      <c r="AW891" s="24"/>
      <c r="AX891" s="28"/>
      <c r="AY891" s="28" t="s">
        <v>269</v>
      </c>
      <c r="AZ891" s="132" t="s">
        <v>25</v>
      </c>
      <c r="BA891" s="132"/>
      <c r="BB891" s="24" t="s">
        <v>2956</v>
      </c>
      <c r="BC891" s="135">
        <v>11</v>
      </c>
      <c r="BD891" s="24">
        <v>43950</v>
      </c>
      <c r="BE891" s="135" t="s">
        <v>3528</v>
      </c>
      <c r="BF891" s="135" t="s">
        <v>3528</v>
      </c>
      <c r="BG891" s="135" t="s">
        <v>52</v>
      </c>
      <c r="BH891" s="135"/>
      <c r="BI891" s="314" t="s">
        <v>117</v>
      </c>
      <c r="BJ891" s="314"/>
      <c r="BK891" s="24"/>
      <c r="BL891" s="24"/>
      <c r="BM891" s="24"/>
      <c r="BN891" s="24"/>
      <c r="BO891" s="41">
        <f>AQ891-BD891</f>
        <v>35</v>
      </c>
      <c r="BP891" s="41"/>
      <c r="BQ891" s="41"/>
      <c r="BR891" s="43"/>
      <c r="BS891" s="41"/>
      <c r="BT891" s="41"/>
      <c r="BU891" s="41"/>
      <c r="BV891" s="132" t="e">
        <f>IF(#REF!="COMPLETO","OK","PENDIENTES")</f>
        <v>#REF!</v>
      </c>
      <c r="BW891" s="325"/>
      <c r="BX891" s="325"/>
      <c r="BY891" s="325"/>
      <c r="BZ891" s="325"/>
      <c r="CA891" s="325"/>
      <c r="CB891" s="325"/>
      <c r="CC891" s="258"/>
      <c r="CG891" s="24" t="s">
        <v>105</v>
      </c>
      <c r="CH891" s="24"/>
      <c r="CI891" s="24"/>
      <c r="CJ891" s="24"/>
    </row>
    <row r="892" spans="1:88" ht="15" customHeight="1">
      <c r="A892" s="18">
        <v>2020</v>
      </c>
      <c r="B892" s="18" t="str">
        <f>+INDEX(BDD!F:F,MATCH(P892,BDD!D:D,0))&amp;"-"&amp;INDEX(BDD!E:E,MATCH(P892,BDD!D:D,0))</f>
        <v>G-C</v>
      </c>
      <c r="C892" s="125" t="s">
        <v>484</v>
      </c>
      <c r="D892" s="150" t="s">
        <v>77</v>
      </c>
      <c r="E892" s="132"/>
      <c r="F892" s="24"/>
      <c r="G892" s="346">
        <v>8000000821</v>
      </c>
      <c r="H892" s="125" t="s">
        <v>3531</v>
      </c>
      <c r="I892" s="329"/>
      <c r="J892" s="346">
        <v>8000000821</v>
      </c>
      <c r="K892" s="24"/>
      <c r="L892" s="24"/>
      <c r="M892" s="24"/>
      <c r="N892" s="340" t="s">
        <v>486</v>
      </c>
      <c r="O892" s="334">
        <v>206573</v>
      </c>
      <c r="P892" s="25" t="s">
        <v>226</v>
      </c>
      <c r="Q892" s="127" t="s">
        <v>291</v>
      </c>
      <c r="R892" s="232" t="s">
        <v>3526</v>
      </c>
      <c r="S892" s="89">
        <v>43927</v>
      </c>
      <c r="T892" s="36">
        <v>150</v>
      </c>
      <c r="U892" s="125" t="s">
        <v>118</v>
      </c>
      <c r="V892" s="147" t="s">
        <v>3532</v>
      </c>
      <c r="W892" s="129"/>
      <c r="X892" s="88">
        <v>44099</v>
      </c>
      <c r="Y892" s="130" t="s">
        <v>20</v>
      </c>
      <c r="Z892" s="133" t="s">
        <v>60</v>
      </c>
      <c r="AA892" s="133"/>
      <c r="AB892" s="241">
        <v>1430</v>
      </c>
      <c r="AC892" s="240">
        <v>273.39999999999998</v>
      </c>
      <c r="AD892" s="240"/>
      <c r="AE892" s="403">
        <f t="shared" si="46"/>
        <v>390961.99999999994</v>
      </c>
      <c r="AF892" s="145" t="s">
        <v>2822</v>
      </c>
      <c r="AG892" s="130" t="s">
        <v>46</v>
      </c>
      <c r="AH892" s="130"/>
      <c r="AI892" s="130" t="s">
        <v>100</v>
      </c>
      <c r="AJ892" s="130"/>
      <c r="AK892" s="130"/>
      <c r="AL892" s="135" t="s">
        <v>3496</v>
      </c>
      <c r="AM892" s="314"/>
      <c r="AN892" s="26"/>
      <c r="AO892" s="26"/>
      <c r="AP892" s="26"/>
      <c r="AQ892" s="26">
        <v>43994</v>
      </c>
      <c r="AR892" s="41"/>
      <c r="AS892" s="41"/>
      <c r="AT892" s="24">
        <v>44001</v>
      </c>
      <c r="AU892" s="418">
        <f t="shared" si="47"/>
        <v>6</v>
      </c>
      <c r="AV892" s="418">
        <f t="shared" si="48"/>
        <v>2020</v>
      </c>
      <c r="AW892" s="24"/>
      <c r="AX892" s="28"/>
      <c r="AY892" s="28" t="s">
        <v>269</v>
      </c>
      <c r="AZ892" s="132" t="s">
        <v>37</v>
      </c>
      <c r="BA892" s="132"/>
      <c r="BB892" s="24" t="s">
        <v>2956</v>
      </c>
      <c r="BC892" s="135">
        <v>12</v>
      </c>
      <c r="BD892" s="24">
        <v>43950</v>
      </c>
      <c r="BE892" s="135" t="s">
        <v>3528</v>
      </c>
      <c r="BF892" s="135" t="s">
        <v>3528</v>
      </c>
      <c r="BG892" s="135" t="s">
        <v>52</v>
      </c>
      <c r="BH892" s="135"/>
      <c r="BI892" s="314" t="s">
        <v>117</v>
      </c>
      <c r="BJ892" s="314"/>
      <c r="BK892" s="24"/>
      <c r="BL892" s="24"/>
      <c r="BM892" s="24"/>
      <c r="BN892" s="24"/>
      <c r="BO892" s="41">
        <f>AQ892-BD892</f>
        <v>44</v>
      </c>
      <c r="BP892" s="41"/>
      <c r="BQ892" s="41"/>
      <c r="BR892" s="43"/>
      <c r="BS892" s="41"/>
      <c r="BT892" s="41"/>
      <c r="BU892" s="41"/>
      <c r="BV892" s="132" t="e">
        <f>IF(#REF!="COMPLETO","OK","PENDIENTES")</f>
        <v>#REF!</v>
      </c>
      <c r="BW892" s="325"/>
      <c r="BX892" s="325"/>
      <c r="BY892" s="325"/>
      <c r="BZ892" s="325"/>
      <c r="CA892" s="325"/>
      <c r="CB892" s="325"/>
      <c r="CC892" s="258"/>
      <c r="CG892" s="24" t="s">
        <v>105</v>
      </c>
      <c r="CH892" s="24"/>
      <c r="CI892" s="24"/>
      <c r="CJ892" s="24"/>
    </row>
    <row r="893" spans="1:88" ht="15" customHeight="1">
      <c r="A893" s="18">
        <v>2020</v>
      </c>
      <c r="B893" s="18" t="str">
        <f>+INDEX(BDD!F:F,MATCH(P893,BDD!D:D,0))&amp;"-"&amp;INDEX(BDD!E:E,MATCH(P893,BDD!D:D,0))</f>
        <v>G-C</v>
      </c>
      <c r="C893" s="125" t="s">
        <v>484</v>
      </c>
      <c r="D893" s="150" t="s">
        <v>77</v>
      </c>
      <c r="E893" s="132"/>
      <c r="F893" s="24"/>
      <c r="G893" s="346">
        <v>8000000822</v>
      </c>
      <c r="H893" s="125" t="s">
        <v>3533</v>
      </c>
      <c r="I893" s="329"/>
      <c r="J893" s="346">
        <v>8000000822</v>
      </c>
      <c r="K893" s="24"/>
      <c r="L893" s="24"/>
      <c r="M893" s="24"/>
      <c r="N893" s="340" t="s">
        <v>486</v>
      </c>
      <c r="O893" s="334">
        <v>206573</v>
      </c>
      <c r="P893" s="25" t="s">
        <v>226</v>
      </c>
      <c r="Q893" s="127" t="s">
        <v>291</v>
      </c>
      <c r="R893" s="232" t="s">
        <v>3526</v>
      </c>
      <c r="S893" s="89">
        <v>43927</v>
      </c>
      <c r="T893" s="36">
        <v>150</v>
      </c>
      <c r="U893" s="125" t="s">
        <v>118</v>
      </c>
      <c r="V893" s="147" t="s">
        <v>3534</v>
      </c>
      <c r="W893" s="129"/>
      <c r="X893" s="88">
        <v>44099</v>
      </c>
      <c r="Y893" s="130" t="s">
        <v>20</v>
      </c>
      <c r="Z893" s="133" t="s">
        <v>60</v>
      </c>
      <c r="AA893" s="133"/>
      <c r="AB893" s="241">
        <v>880</v>
      </c>
      <c r="AC893" s="240">
        <v>273.39999999999998</v>
      </c>
      <c r="AD893" s="240"/>
      <c r="AE893" s="403">
        <f t="shared" si="46"/>
        <v>240591.99999999997</v>
      </c>
      <c r="AF893" s="145" t="s">
        <v>2822</v>
      </c>
      <c r="AG893" s="130" t="s">
        <v>46</v>
      </c>
      <c r="AH893" s="130"/>
      <c r="AI893" s="130" t="s">
        <v>100</v>
      </c>
      <c r="AJ893" s="130"/>
      <c r="AK893" s="130"/>
      <c r="AL893" s="135" t="s">
        <v>3496</v>
      </c>
      <c r="AM893" s="314"/>
      <c r="AN893" s="26"/>
      <c r="AO893" s="26"/>
      <c r="AP893" s="26"/>
      <c r="AQ893" s="26">
        <v>44002</v>
      </c>
      <c r="AR893" s="41"/>
      <c r="AS893" s="41"/>
      <c r="AT893" s="24">
        <v>44002</v>
      </c>
      <c r="AU893" s="418">
        <f t="shared" si="47"/>
        <v>6</v>
      </c>
      <c r="AV893" s="418">
        <f t="shared" si="48"/>
        <v>2020</v>
      </c>
      <c r="AW893" s="24"/>
      <c r="AX893" s="28"/>
      <c r="AY893" s="28" t="s">
        <v>269</v>
      </c>
      <c r="AZ893" s="132" t="s">
        <v>50</v>
      </c>
      <c r="BA893" s="132"/>
      <c r="BB893" s="24" t="s">
        <v>2956</v>
      </c>
      <c r="BC893" s="135">
        <v>13</v>
      </c>
      <c r="BD893" s="24">
        <v>43950</v>
      </c>
      <c r="BE893" s="135" t="s">
        <v>3528</v>
      </c>
      <c r="BF893" s="135" t="s">
        <v>3528</v>
      </c>
      <c r="BG893" s="135" t="s">
        <v>52</v>
      </c>
      <c r="BH893" s="135"/>
      <c r="BI893" s="314" t="s">
        <v>117</v>
      </c>
      <c r="BJ893" s="314"/>
      <c r="BK893" s="24"/>
      <c r="BL893" s="24"/>
      <c r="BM893" s="24"/>
      <c r="BN893" s="24"/>
      <c r="BO893" s="41">
        <f>AQ893-BD893</f>
        <v>52</v>
      </c>
      <c r="BP893" s="41"/>
      <c r="BQ893" s="41"/>
      <c r="BR893" s="43"/>
      <c r="BS893" s="41"/>
      <c r="BT893" s="41"/>
      <c r="BU893" s="41"/>
      <c r="BV893" s="132" t="e">
        <f>IF(#REF!="COMPLETO","OK","PENDIENTES")</f>
        <v>#REF!</v>
      </c>
      <c r="BW893" s="325"/>
      <c r="BX893" s="325"/>
      <c r="BY893" s="325"/>
      <c r="BZ893" s="325"/>
      <c r="CA893" s="325"/>
      <c r="CB893" s="325"/>
      <c r="CC893" s="258"/>
      <c r="CG893" s="24" t="s">
        <v>105</v>
      </c>
      <c r="CH893" s="24"/>
      <c r="CI893" s="24"/>
      <c r="CJ893" s="24"/>
    </row>
    <row r="894" spans="1:88" ht="15" customHeight="1">
      <c r="A894" s="18">
        <v>2020</v>
      </c>
      <c r="B894" s="18" t="str">
        <f>+INDEX(BDD!F:F,MATCH(P894,BDD!D:D,0))&amp;"-"&amp;INDEX(BDD!E:E,MATCH(P894,BDD!D:D,0))</f>
        <v>G-C</v>
      </c>
      <c r="C894" s="125" t="s">
        <v>484</v>
      </c>
      <c r="D894" s="150" t="s">
        <v>77</v>
      </c>
      <c r="E894" s="132"/>
      <c r="F894" s="24"/>
      <c r="G894" s="346">
        <v>8000000824</v>
      </c>
      <c r="H894" s="125" t="s">
        <v>3535</v>
      </c>
      <c r="I894" s="329"/>
      <c r="J894" s="346">
        <v>8000000824</v>
      </c>
      <c r="K894" s="24"/>
      <c r="L894" s="24"/>
      <c r="M894" s="24"/>
      <c r="N894" s="340" t="s">
        <v>486</v>
      </c>
      <c r="O894" s="334">
        <v>206573</v>
      </c>
      <c r="P894" s="25" t="s">
        <v>226</v>
      </c>
      <c r="Q894" s="127" t="s">
        <v>291</v>
      </c>
      <c r="R894" s="232" t="s">
        <v>3526</v>
      </c>
      <c r="S894" s="89">
        <v>43927</v>
      </c>
      <c r="T894" s="36">
        <v>150</v>
      </c>
      <c r="U894" s="125" t="s">
        <v>118</v>
      </c>
      <c r="V894" s="147" t="s">
        <v>3536</v>
      </c>
      <c r="W894" s="129"/>
      <c r="X894" s="88">
        <v>44099</v>
      </c>
      <c r="Y894" s="130" t="s">
        <v>20</v>
      </c>
      <c r="Z894" s="133" t="s">
        <v>60</v>
      </c>
      <c r="AA894" s="133"/>
      <c r="AB894" s="241">
        <v>1320</v>
      </c>
      <c r="AC894" s="240">
        <v>273.39999999999998</v>
      </c>
      <c r="AD894" s="240"/>
      <c r="AE894" s="403">
        <f t="shared" si="46"/>
        <v>360887.99999999994</v>
      </c>
      <c r="AF894" s="145" t="s">
        <v>2822</v>
      </c>
      <c r="AG894" s="130" t="s">
        <v>46</v>
      </c>
      <c r="AH894" s="130"/>
      <c r="AI894" s="130" t="s">
        <v>100</v>
      </c>
      <c r="AJ894" s="130"/>
      <c r="AK894" s="130"/>
      <c r="AL894" s="135" t="s">
        <v>3496</v>
      </c>
      <c r="AM894" s="314"/>
      <c r="AN894" s="26"/>
      <c r="AO894" s="26"/>
      <c r="AP894" s="26"/>
      <c r="AQ894" s="26">
        <v>44004</v>
      </c>
      <c r="AR894" s="41"/>
      <c r="AS894" s="41"/>
      <c r="AT894" s="24">
        <v>44004</v>
      </c>
      <c r="AU894" s="418">
        <f t="shared" si="47"/>
        <v>6</v>
      </c>
      <c r="AV894" s="418">
        <f t="shared" si="48"/>
        <v>2020</v>
      </c>
      <c r="AW894" s="24"/>
      <c r="AX894" s="28"/>
      <c r="AY894" s="28" t="s">
        <v>269</v>
      </c>
      <c r="AZ894" s="132" t="s">
        <v>62</v>
      </c>
      <c r="BA894" s="132"/>
      <c r="BB894" s="24" t="s">
        <v>3334</v>
      </c>
      <c r="BC894" s="135">
        <v>14</v>
      </c>
      <c r="BD894" s="24">
        <v>43950</v>
      </c>
      <c r="BE894" s="135" t="s">
        <v>3528</v>
      </c>
      <c r="BF894" s="135" t="s">
        <v>3528</v>
      </c>
      <c r="BG894" s="135" t="s">
        <v>52</v>
      </c>
      <c r="BH894" s="135"/>
      <c r="BI894" s="314" t="s">
        <v>117</v>
      </c>
      <c r="BJ894" s="314"/>
      <c r="BK894" s="24"/>
      <c r="BL894" s="24"/>
      <c r="BM894" s="24"/>
      <c r="BN894" s="24"/>
      <c r="BO894" s="41">
        <f>AQ894-BD894</f>
        <v>54</v>
      </c>
      <c r="BP894" s="41"/>
      <c r="BQ894" s="41"/>
      <c r="BR894" s="43"/>
      <c r="BS894" s="41"/>
      <c r="BT894" s="41"/>
      <c r="BU894" s="41"/>
      <c r="BV894" s="132" t="e">
        <f>IF(#REF!="COMPLETO","OK","PENDIENTES")</f>
        <v>#REF!</v>
      </c>
      <c r="BW894" s="325"/>
      <c r="BX894" s="325"/>
      <c r="BY894" s="325"/>
      <c r="BZ894" s="325"/>
      <c r="CA894" s="325"/>
      <c r="CB894" s="325"/>
      <c r="CC894" s="258"/>
      <c r="CG894" s="24" t="s">
        <v>105</v>
      </c>
      <c r="CH894" s="24"/>
      <c r="CI894" s="24"/>
      <c r="CJ894" s="24"/>
    </row>
    <row r="895" spans="1:88" ht="15" customHeight="1">
      <c r="A895" s="18">
        <v>2020</v>
      </c>
      <c r="B895" s="18" t="str">
        <f>+INDEX(BDD!F:F,MATCH(P895,BDD!D:D,0))&amp;"-"&amp;INDEX(BDD!E:E,MATCH(P895,BDD!D:D,0))</f>
        <v>G-S</v>
      </c>
      <c r="C895" s="125" t="s">
        <v>484</v>
      </c>
      <c r="D895" s="150" t="s">
        <v>77</v>
      </c>
      <c r="E895" s="132"/>
      <c r="F895" s="24"/>
      <c r="G895" s="346">
        <v>8000000794</v>
      </c>
      <c r="H895" s="125" t="s">
        <v>3537</v>
      </c>
      <c r="I895" s="329"/>
      <c r="J895" s="346">
        <v>8000000794</v>
      </c>
      <c r="K895" s="24"/>
      <c r="L895" s="24"/>
      <c r="M895" s="24"/>
      <c r="N895" s="340" t="s">
        <v>486</v>
      </c>
      <c r="O895" s="334">
        <v>207791</v>
      </c>
      <c r="P895" s="25" t="s">
        <v>98</v>
      </c>
      <c r="Q895" s="127" t="s">
        <v>285</v>
      </c>
      <c r="R895" s="128" t="s">
        <v>3538</v>
      </c>
      <c r="S895" s="89">
        <v>43902</v>
      </c>
      <c r="T895" s="36" t="s">
        <v>19</v>
      </c>
      <c r="U895" s="125"/>
      <c r="V895" s="147" t="s">
        <v>3539</v>
      </c>
      <c r="W895" s="129"/>
      <c r="X895" s="88">
        <v>43958</v>
      </c>
      <c r="Y895" s="130" t="s">
        <v>20</v>
      </c>
      <c r="Z895" s="133" t="s">
        <v>60</v>
      </c>
      <c r="AA895" s="133"/>
      <c r="AB895" s="241">
        <v>500</v>
      </c>
      <c r="AC895" s="240">
        <v>250</v>
      </c>
      <c r="AD895" s="240"/>
      <c r="AE895" s="403">
        <f t="shared" si="46"/>
        <v>125000</v>
      </c>
      <c r="AF895" s="145" t="s">
        <v>2822</v>
      </c>
      <c r="AG895" s="130" t="s">
        <v>46</v>
      </c>
      <c r="AH895" s="130"/>
      <c r="AI895" s="130" t="s">
        <v>100</v>
      </c>
      <c r="AJ895" s="130"/>
      <c r="AK895" s="130"/>
      <c r="AL895" s="135" t="s">
        <v>3496</v>
      </c>
      <c r="AM895" s="314"/>
      <c r="AN895" s="26"/>
      <c r="AO895" s="26"/>
      <c r="AP895" s="26"/>
      <c r="AQ895" s="26">
        <v>43978</v>
      </c>
      <c r="AR895" s="24"/>
      <c r="AS895" s="24"/>
      <c r="AT895" s="24">
        <v>43984</v>
      </c>
      <c r="AU895" s="418">
        <f t="shared" si="47"/>
        <v>6</v>
      </c>
      <c r="AV895" s="418">
        <f t="shared" si="48"/>
        <v>2020</v>
      </c>
      <c r="AW895" s="24"/>
      <c r="AX895" s="28"/>
      <c r="AY895" s="28" t="s">
        <v>281</v>
      </c>
      <c r="AZ895" s="132" t="s">
        <v>9</v>
      </c>
      <c r="BA895" s="132"/>
      <c r="BB895" s="24" t="s">
        <v>3264</v>
      </c>
      <c r="BC895" s="135" t="s">
        <v>3540</v>
      </c>
      <c r="BD895" s="24">
        <v>43952</v>
      </c>
      <c r="BE895" s="135" t="s">
        <v>3528</v>
      </c>
      <c r="BF895" s="135" t="s">
        <v>3528</v>
      </c>
      <c r="BG895" s="135" t="s">
        <v>52</v>
      </c>
      <c r="BH895" s="135"/>
      <c r="BI895" s="314" t="s">
        <v>117</v>
      </c>
      <c r="BJ895" s="314"/>
      <c r="BK895" s="24"/>
      <c r="BL895" s="24"/>
      <c r="BM895" s="24"/>
      <c r="BN895" s="24"/>
      <c r="BO895" s="24"/>
      <c r="BP895" s="24"/>
      <c r="BQ895" s="24"/>
      <c r="BR895" s="43"/>
      <c r="BS895" s="24"/>
      <c r="BT895" s="24"/>
      <c r="BU895" s="24"/>
      <c r="BV895" s="132" t="e">
        <f>IF(#REF!="COMPLETO","OK","PENDIENTES")</f>
        <v>#REF!</v>
      </c>
      <c r="BW895" s="325"/>
      <c r="BX895" s="325"/>
      <c r="BY895" s="325"/>
      <c r="BZ895" s="325"/>
      <c r="CA895" s="325"/>
      <c r="CB895" s="325"/>
      <c r="CC895" s="258"/>
      <c r="CG895" s="24" t="s">
        <v>105</v>
      </c>
      <c r="CH895" s="24"/>
      <c r="CI895" s="24"/>
      <c r="CJ895" s="24"/>
    </row>
    <row r="896" spans="1:88" ht="15" customHeight="1">
      <c r="A896" s="18">
        <v>2020</v>
      </c>
      <c r="B896" s="18" t="str">
        <f>+INDEX(BDD!F:F,MATCH(P896,BDD!D:D,0))&amp;"-"&amp;INDEX(BDD!E:E,MATCH(P896,BDD!D:D,0))</f>
        <v>G-S</v>
      </c>
      <c r="C896" s="125" t="s">
        <v>484</v>
      </c>
      <c r="D896" s="150" t="s">
        <v>77</v>
      </c>
      <c r="E896" s="132"/>
      <c r="F896" s="24"/>
      <c r="G896" s="346">
        <v>8000000805</v>
      </c>
      <c r="H896" s="125" t="s">
        <v>3541</v>
      </c>
      <c r="I896" s="329"/>
      <c r="J896" s="346">
        <v>8000000805</v>
      </c>
      <c r="K896" s="24"/>
      <c r="L896" s="24"/>
      <c r="M896" s="24"/>
      <c r="N896" s="340" t="s">
        <v>486</v>
      </c>
      <c r="O896" s="334">
        <v>207791</v>
      </c>
      <c r="P896" s="25" t="s">
        <v>98</v>
      </c>
      <c r="Q896" s="127" t="s">
        <v>285</v>
      </c>
      <c r="R896" s="128" t="s">
        <v>3538</v>
      </c>
      <c r="S896" s="89">
        <v>43902</v>
      </c>
      <c r="T896" s="36" t="s">
        <v>19</v>
      </c>
      <c r="U896" s="125"/>
      <c r="V896" s="147" t="s">
        <v>3542</v>
      </c>
      <c r="W896" s="129"/>
      <c r="X896" s="88">
        <v>43958</v>
      </c>
      <c r="Y896" s="130" t="s">
        <v>20</v>
      </c>
      <c r="Z896" s="133" t="s">
        <v>60</v>
      </c>
      <c r="AA896" s="133"/>
      <c r="AB896" s="241">
        <v>2450</v>
      </c>
      <c r="AC896" s="240">
        <v>250</v>
      </c>
      <c r="AD896" s="240"/>
      <c r="AE896" s="403">
        <f t="shared" si="46"/>
        <v>612500</v>
      </c>
      <c r="AF896" s="145" t="s">
        <v>2822</v>
      </c>
      <c r="AG896" s="130" t="s">
        <v>46</v>
      </c>
      <c r="AH896" s="130"/>
      <c r="AI896" s="130" t="s">
        <v>100</v>
      </c>
      <c r="AJ896" s="130"/>
      <c r="AK896" s="130"/>
      <c r="AL896" s="135" t="s">
        <v>3496</v>
      </c>
      <c r="AM896" s="314"/>
      <c r="AN896" s="26"/>
      <c r="AO896" s="26"/>
      <c r="AP896" s="26"/>
      <c r="AQ896" s="26">
        <v>43985</v>
      </c>
      <c r="AR896" s="24"/>
      <c r="AS896" s="24"/>
      <c r="AT896" s="24">
        <v>43988</v>
      </c>
      <c r="AU896" s="418">
        <f t="shared" si="47"/>
        <v>6</v>
      </c>
      <c r="AV896" s="418">
        <f t="shared" si="48"/>
        <v>2020</v>
      </c>
      <c r="AW896" s="24"/>
      <c r="AX896" s="28"/>
      <c r="AY896" s="28" t="s">
        <v>281</v>
      </c>
      <c r="AZ896" s="132" t="s">
        <v>25</v>
      </c>
      <c r="BA896" s="132"/>
      <c r="BB896" s="24" t="s">
        <v>3264</v>
      </c>
      <c r="BC896" s="135" t="s">
        <v>3543</v>
      </c>
      <c r="BD896" s="24">
        <v>43952</v>
      </c>
      <c r="BE896" s="135" t="s">
        <v>3528</v>
      </c>
      <c r="BF896" s="135" t="s">
        <v>3528</v>
      </c>
      <c r="BG896" s="135" t="s">
        <v>52</v>
      </c>
      <c r="BH896" s="135"/>
      <c r="BI896" s="314" t="s">
        <v>117</v>
      </c>
      <c r="BJ896" s="314"/>
      <c r="BK896" s="24"/>
      <c r="BL896" s="24"/>
      <c r="BM896" s="24"/>
      <c r="BN896" s="24"/>
      <c r="BO896" s="24"/>
      <c r="BP896" s="24"/>
      <c r="BQ896" s="24"/>
      <c r="BR896" s="43"/>
      <c r="BS896" s="24"/>
      <c r="BT896" s="24"/>
      <c r="BU896" s="24"/>
      <c r="BV896" s="132" t="e">
        <f>IF(#REF!="COMPLETO","OK","PENDIENTES")</f>
        <v>#REF!</v>
      </c>
      <c r="BW896" s="325"/>
      <c r="BX896" s="325"/>
      <c r="BY896" s="325"/>
      <c r="BZ896" s="325"/>
      <c r="CA896" s="325"/>
      <c r="CB896" s="325"/>
      <c r="CC896" s="258"/>
      <c r="CG896" s="24" t="s">
        <v>105</v>
      </c>
      <c r="CH896" s="24"/>
      <c r="CI896" s="24"/>
      <c r="CJ896" s="24"/>
    </row>
    <row r="897" spans="1:88" ht="15" customHeight="1">
      <c r="A897" s="18">
        <v>2020</v>
      </c>
      <c r="B897" s="18" t="str">
        <f>+INDEX(BDD!F:F,MATCH(P897,BDD!D:D,0))&amp;"-"&amp;INDEX(BDD!E:E,MATCH(P897,BDD!D:D,0))</f>
        <v>G-S</v>
      </c>
      <c r="C897" s="125" t="s">
        <v>484</v>
      </c>
      <c r="D897" s="150" t="s">
        <v>77</v>
      </c>
      <c r="E897" s="132"/>
      <c r="F897" s="24"/>
      <c r="G897" s="346">
        <v>8000000823</v>
      </c>
      <c r="H897" s="125" t="s">
        <v>3544</v>
      </c>
      <c r="I897" s="329"/>
      <c r="J897" s="346">
        <v>8000000823</v>
      </c>
      <c r="K897" s="24"/>
      <c r="L897" s="24"/>
      <c r="M897" s="24"/>
      <c r="N897" s="340" t="s">
        <v>486</v>
      </c>
      <c r="O897" s="334">
        <v>207791</v>
      </c>
      <c r="P897" s="25" t="s">
        <v>98</v>
      </c>
      <c r="Q897" s="127" t="s">
        <v>285</v>
      </c>
      <c r="R897" s="128" t="s">
        <v>3538</v>
      </c>
      <c r="S897" s="89">
        <v>43902</v>
      </c>
      <c r="T897" s="36" t="s">
        <v>19</v>
      </c>
      <c r="U897" s="125"/>
      <c r="V897" s="147" t="s">
        <v>3545</v>
      </c>
      <c r="W897" s="129"/>
      <c r="X897" s="88">
        <v>43958</v>
      </c>
      <c r="Y897" s="130" t="s">
        <v>20</v>
      </c>
      <c r="Z897" s="133" t="s">
        <v>60</v>
      </c>
      <c r="AA897" s="133"/>
      <c r="AB897" s="241">
        <v>150</v>
      </c>
      <c r="AC897" s="240">
        <v>250</v>
      </c>
      <c r="AD897" s="240"/>
      <c r="AE897" s="403">
        <f t="shared" si="46"/>
        <v>37500</v>
      </c>
      <c r="AF897" s="145" t="s">
        <v>2822</v>
      </c>
      <c r="AG897" s="130" t="s">
        <v>46</v>
      </c>
      <c r="AH897" s="130"/>
      <c r="AI897" s="130" t="s">
        <v>100</v>
      </c>
      <c r="AJ897" s="130"/>
      <c r="AK897" s="130"/>
      <c r="AL897" s="135" t="s">
        <v>3496</v>
      </c>
      <c r="AM897" s="314"/>
      <c r="AN897" s="26"/>
      <c r="AO897" s="26"/>
      <c r="AP897" s="26"/>
      <c r="AQ897" s="26">
        <v>44002</v>
      </c>
      <c r="AR897" s="24"/>
      <c r="AS897" s="24"/>
      <c r="AT897" s="24">
        <v>44002</v>
      </c>
      <c r="AU897" s="418">
        <f t="shared" si="47"/>
        <v>6</v>
      </c>
      <c r="AV897" s="418">
        <f t="shared" si="48"/>
        <v>2020</v>
      </c>
      <c r="AW897" s="24"/>
      <c r="AX897" s="28"/>
      <c r="AY897" s="28" t="s">
        <v>281</v>
      </c>
      <c r="AZ897" s="132" t="s">
        <v>50</v>
      </c>
      <c r="BA897" s="132"/>
      <c r="BB897" s="24" t="s">
        <v>2956</v>
      </c>
      <c r="BC897" s="135" t="s">
        <v>3546</v>
      </c>
      <c r="BD897" s="24">
        <v>43952</v>
      </c>
      <c r="BE897" s="135" t="s">
        <v>3528</v>
      </c>
      <c r="BF897" s="135" t="s">
        <v>3528</v>
      </c>
      <c r="BG897" s="135" t="s">
        <v>52</v>
      </c>
      <c r="BH897" s="135"/>
      <c r="BI897" s="314" t="s">
        <v>117</v>
      </c>
      <c r="BJ897" s="314"/>
      <c r="BK897" s="24"/>
      <c r="BL897" s="24"/>
      <c r="BM897" s="24"/>
      <c r="BN897" s="24"/>
      <c r="BO897" s="24"/>
      <c r="BP897" s="24"/>
      <c r="BQ897" s="24"/>
      <c r="BR897" s="43"/>
      <c r="BS897" s="24"/>
      <c r="BT897" s="24"/>
      <c r="BU897" s="24"/>
      <c r="BV897" s="132" t="e">
        <f>IF(#REF!="COMPLETO","OK","PENDIENTES")</f>
        <v>#REF!</v>
      </c>
      <c r="BW897" s="325"/>
      <c r="BX897" s="325"/>
      <c r="BY897" s="325"/>
      <c r="BZ897" s="325"/>
      <c r="CA897" s="325"/>
      <c r="CB897" s="325"/>
      <c r="CC897" s="258"/>
      <c r="CG897" s="24" t="s">
        <v>105</v>
      </c>
      <c r="CH897" s="24"/>
      <c r="CI897" s="24"/>
      <c r="CJ897" s="24"/>
    </row>
    <row r="898" spans="1:88" ht="15" customHeight="1">
      <c r="A898" s="18">
        <v>2020</v>
      </c>
      <c r="B898" s="18" t="str">
        <f>+INDEX(BDD!F:F,MATCH(P898,BDD!D:D,0))&amp;"-"&amp;INDEX(BDD!E:E,MATCH(P898,BDD!D:D,0))</f>
        <v>G-S</v>
      </c>
      <c r="C898" s="125" t="s">
        <v>484</v>
      </c>
      <c r="D898" s="150" t="s">
        <v>77</v>
      </c>
      <c r="E898" s="132"/>
      <c r="F898" s="24"/>
      <c r="G898" s="346">
        <v>8000000825</v>
      </c>
      <c r="H898" s="125" t="s">
        <v>3547</v>
      </c>
      <c r="I898" s="329"/>
      <c r="J898" s="346">
        <v>8000000825</v>
      </c>
      <c r="K898" s="24"/>
      <c r="L898" s="24"/>
      <c r="M898" s="24"/>
      <c r="N898" s="340" t="s">
        <v>486</v>
      </c>
      <c r="O898" s="334">
        <v>207791</v>
      </c>
      <c r="P898" s="25" t="s">
        <v>98</v>
      </c>
      <c r="Q898" s="127" t="s">
        <v>285</v>
      </c>
      <c r="R898" s="128" t="s">
        <v>3538</v>
      </c>
      <c r="S898" s="89">
        <v>43902</v>
      </c>
      <c r="T898" s="36" t="s">
        <v>19</v>
      </c>
      <c r="U898" s="125"/>
      <c r="V898" s="147" t="s">
        <v>3548</v>
      </c>
      <c r="W898" s="129"/>
      <c r="X898" s="88">
        <v>43958</v>
      </c>
      <c r="Y898" s="130" t="s">
        <v>20</v>
      </c>
      <c r="Z898" s="133" t="s">
        <v>60</v>
      </c>
      <c r="AA898" s="133"/>
      <c r="AB898" s="241">
        <v>200</v>
      </c>
      <c r="AC898" s="240">
        <v>250</v>
      </c>
      <c r="AD898" s="240"/>
      <c r="AE898" s="403">
        <f t="shared" ref="AE898:AE961" si="51">AB898*AC898</f>
        <v>50000</v>
      </c>
      <c r="AF898" s="145" t="s">
        <v>2822</v>
      </c>
      <c r="AG898" s="130" t="s">
        <v>46</v>
      </c>
      <c r="AH898" s="130"/>
      <c r="AI898" s="130" t="s">
        <v>100</v>
      </c>
      <c r="AJ898" s="130"/>
      <c r="AK898" s="130"/>
      <c r="AL898" s="135" t="s">
        <v>3496</v>
      </c>
      <c r="AM898" s="314"/>
      <c r="AN898" s="26"/>
      <c r="AO898" s="26"/>
      <c r="AP898" s="26"/>
      <c r="AQ898" s="26">
        <v>44004</v>
      </c>
      <c r="AR898" s="24"/>
      <c r="AS898" s="24"/>
      <c r="AT898" s="24">
        <v>44004</v>
      </c>
      <c r="AU898" s="418">
        <f t="shared" si="47"/>
        <v>6</v>
      </c>
      <c r="AV898" s="418">
        <f t="shared" si="48"/>
        <v>2020</v>
      </c>
      <c r="AW898" s="24"/>
      <c r="AX898" s="28"/>
      <c r="AY898" s="28" t="s">
        <v>281</v>
      </c>
      <c r="AZ898" s="132" t="s">
        <v>62</v>
      </c>
      <c r="BA898" s="132"/>
      <c r="BB898" s="24" t="s">
        <v>3264</v>
      </c>
      <c r="BC898" s="135" t="s">
        <v>3549</v>
      </c>
      <c r="BD898" s="24">
        <v>43952</v>
      </c>
      <c r="BE898" s="135" t="s">
        <v>3528</v>
      </c>
      <c r="BF898" s="135" t="s">
        <v>3528</v>
      </c>
      <c r="BG898" s="135" t="s">
        <v>52</v>
      </c>
      <c r="BH898" s="135"/>
      <c r="BI898" s="314" t="s">
        <v>117</v>
      </c>
      <c r="BJ898" s="314"/>
      <c r="BK898" s="24"/>
      <c r="BL898" s="24"/>
      <c r="BM898" s="24"/>
      <c r="BN898" s="24"/>
      <c r="BO898" s="24"/>
      <c r="BP898" s="24"/>
      <c r="BQ898" s="24"/>
      <c r="BR898" s="43"/>
      <c r="BS898" s="24"/>
      <c r="BT898" s="24"/>
      <c r="BU898" s="24"/>
      <c r="BV898" s="132" t="e">
        <f>IF(#REF!="COMPLETO","OK","PENDIENTES")</f>
        <v>#REF!</v>
      </c>
      <c r="BW898" s="325"/>
      <c r="BX898" s="325"/>
      <c r="BY898" s="325"/>
      <c r="BZ898" s="325"/>
      <c r="CA898" s="325"/>
      <c r="CB898" s="325"/>
      <c r="CC898" s="258"/>
      <c r="CG898" s="24" t="s">
        <v>105</v>
      </c>
      <c r="CH898" s="24"/>
      <c r="CI898" s="24"/>
      <c r="CJ898" s="24"/>
    </row>
    <row r="899" spans="1:88" ht="15" customHeight="1">
      <c r="A899" s="18">
        <v>2020</v>
      </c>
      <c r="B899" s="18" t="str">
        <f>+INDEX(BDD!F:F,MATCH(P899,BDD!D:D,0))&amp;"-"&amp;INDEX(BDD!E:E,MATCH(P899,BDD!D:D,0))</f>
        <v>G-S</v>
      </c>
      <c r="C899" s="125" t="s">
        <v>484</v>
      </c>
      <c r="D899" s="150" t="s">
        <v>77</v>
      </c>
      <c r="E899" s="132"/>
      <c r="F899" s="24"/>
      <c r="G899" s="346">
        <v>8000000850</v>
      </c>
      <c r="H899" s="125" t="s">
        <v>3550</v>
      </c>
      <c r="I899" s="329"/>
      <c r="J899" s="346">
        <v>8000000850</v>
      </c>
      <c r="K899" s="24"/>
      <c r="L899" s="24"/>
      <c r="M899" s="24"/>
      <c r="N899" s="340" t="s">
        <v>486</v>
      </c>
      <c r="O899" s="334">
        <v>206600</v>
      </c>
      <c r="P899" s="25" t="s">
        <v>339</v>
      </c>
      <c r="Q899" s="127" t="s">
        <v>136</v>
      </c>
      <c r="R899" s="232" t="s">
        <v>3551</v>
      </c>
      <c r="S899" s="89">
        <v>43909</v>
      </c>
      <c r="T899" s="36">
        <v>90</v>
      </c>
      <c r="U899" s="125" t="s">
        <v>118</v>
      </c>
      <c r="V899" s="147" t="s">
        <v>3552</v>
      </c>
      <c r="W899" s="129"/>
      <c r="X899" s="88">
        <f>+BD899+T899</f>
        <v>44026</v>
      </c>
      <c r="Y899" s="130" t="s">
        <v>20</v>
      </c>
      <c r="Z899" s="133" t="s">
        <v>60</v>
      </c>
      <c r="AA899" s="133"/>
      <c r="AB899" s="241">
        <v>400</v>
      </c>
      <c r="AC899" s="240">
        <v>460</v>
      </c>
      <c r="AD899" s="240"/>
      <c r="AE899" s="403">
        <f t="shared" si="51"/>
        <v>184000</v>
      </c>
      <c r="AF899" s="132"/>
      <c r="AG899" s="130" t="s">
        <v>58</v>
      </c>
      <c r="AH899" s="130"/>
      <c r="AI899" s="130" t="s">
        <v>47</v>
      </c>
      <c r="AJ899" s="130"/>
      <c r="AK899" s="130"/>
      <c r="AL899" s="135" t="s">
        <v>3502</v>
      </c>
      <c r="AM899" s="314"/>
      <c r="AN899" s="26"/>
      <c r="AO899" s="26"/>
      <c r="AP899" s="26"/>
      <c r="AQ899" s="26">
        <v>43998</v>
      </c>
      <c r="AR899" s="24"/>
      <c r="AS899" s="24"/>
      <c r="AT899" s="24">
        <v>44015</v>
      </c>
      <c r="AU899" s="418">
        <f t="shared" ref="AU899:AU962" si="52">MONTH(AT899)</f>
        <v>7</v>
      </c>
      <c r="AV899" s="418">
        <f t="shared" ref="AV899:AV962" si="53">YEAR(AT899)</f>
        <v>2020</v>
      </c>
      <c r="AW899" s="24"/>
      <c r="AX899" s="28"/>
      <c r="AY899" s="28" t="s">
        <v>311</v>
      </c>
      <c r="AZ899" s="132" t="s">
        <v>37</v>
      </c>
      <c r="BA899" s="132"/>
      <c r="BB899" s="24" t="s">
        <v>2956</v>
      </c>
      <c r="BC899" s="135" t="s">
        <v>3553</v>
      </c>
      <c r="BD899" s="24">
        <v>43936</v>
      </c>
      <c r="BE899" s="135" t="s">
        <v>3554</v>
      </c>
      <c r="BF899" s="135" t="s">
        <v>3554</v>
      </c>
      <c r="BG899" s="135" t="s">
        <v>52</v>
      </c>
      <c r="BH899" s="135"/>
      <c r="BI899" s="314" t="s">
        <v>124</v>
      </c>
      <c r="BJ899" s="314"/>
      <c r="BK899" s="24"/>
      <c r="BL899" s="24"/>
      <c r="BM899" s="24"/>
      <c r="BN899" s="24"/>
      <c r="BO899" s="24"/>
      <c r="BP899" s="24"/>
      <c r="BQ899" s="24"/>
      <c r="BR899" s="43"/>
      <c r="BS899" s="24"/>
      <c r="BT899" s="24"/>
      <c r="BU899" s="24"/>
      <c r="BV899" s="132" t="e">
        <f>IF(#REF!="COMPLETO","OK","PENDIENTES")</f>
        <v>#REF!</v>
      </c>
      <c r="BW899" s="325"/>
      <c r="BX899" s="325"/>
      <c r="BY899" s="325"/>
      <c r="BZ899" s="325"/>
      <c r="CA899" s="325"/>
      <c r="CB899" s="325"/>
      <c r="CC899" s="258"/>
      <c r="CG899" s="24" t="s">
        <v>105</v>
      </c>
      <c r="CH899" s="24"/>
      <c r="CI899" s="24"/>
      <c r="CJ899" s="24"/>
    </row>
    <row r="900" spans="1:88" ht="15" customHeight="1">
      <c r="A900" s="18">
        <v>2020</v>
      </c>
      <c r="B900" s="18" t="str">
        <f>+INDEX(BDD!F:F,MATCH(P900,BDD!D:D,0))&amp;"-"&amp;INDEX(BDD!E:E,MATCH(P900,BDD!D:D,0))</f>
        <v>E-S</v>
      </c>
      <c r="C900" s="125" t="s">
        <v>484</v>
      </c>
      <c r="D900" s="150" t="s">
        <v>77</v>
      </c>
      <c r="E900" s="132"/>
      <c r="F900" s="24"/>
      <c r="G900" s="346">
        <v>8000000790</v>
      </c>
      <c r="H900" s="125" t="s">
        <v>3555</v>
      </c>
      <c r="I900" s="329"/>
      <c r="J900" s="346">
        <v>8000000790</v>
      </c>
      <c r="K900" s="24"/>
      <c r="L900" s="24"/>
      <c r="M900" s="24"/>
      <c r="N900" s="340" t="s">
        <v>486</v>
      </c>
      <c r="O900" s="334">
        <v>207522</v>
      </c>
      <c r="P900" s="25" t="s">
        <v>298</v>
      </c>
      <c r="Q900" s="127" t="s">
        <v>183</v>
      </c>
      <c r="R900" s="232" t="s">
        <v>3556</v>
      </c>
      <c r="S900" s="89">
        <v>43909</v>
      </c>
      <c r="T900" s="36" t="s">
        <v>19</v>
      </c>
      <c r="U900" s="125"/>
      <c r="V900" s="147" t="s">
        <v>3557</v>
      </c>
      <c r="W900" s="129"/>
      <c r="X900" s="88">
        <v>43953</v>
      </c>
      <c r="Y900" s="130" t="s">
        <v>20</v>
      </c>
      <c r="Z900" s="133" t="s">
        <v>60</v>
      </c>
      <c r="AA900" s="133"/>
      <c r="AB900" s="241">
        <v>251.71</v>
      </c>
      <c r="AC900" s="240">
        <v>215</v>
      </c>
      <c r="AD900" s="240"/>
      <c r="AE900" s="403">
        <f t="shared" si="51"/>
        <v>54117.65</v>
      </c>
      <c r="AF900" s="132">
        <f>+AB900/28</f>
        <v>8.9896428571428579</v>
      </c>
      <c r="AG900" s="130" t="s">
        <v>5</v>
      </c>
      <c r="AH900" s="130"/>
      <c r="AI900" s="130" t="s">
        <v>100</v>
      </c>
      <c r="AJ900" s="130"/>
      <c r="AK900" s="130"/>
      <c r="AL900" s="135" t="s">
        <v>3502</v>
      </c>
      <c r="AM900" s="314"/>
      <c r="AN900" s="26"/>
      <c r="AO900" s="26"/>
      <c r="AP900" s="26"/>
      <c r="AQ900" s="26">
        <f>+BD900+27</f>
        <v>43973</v>
      </c>
      <c r="AR900" s="24"/>
      <c r="AS900" s="24"/>
      <c r="AT900" s="24">
        <v>43978</v>
      </c>
      <c r="AU900" s="418">
        <f t="shared" si="52"/>
        <v>5</v>
      </c>
      <c r="AV900" s="418">
        <f t="shared" si="53"/>
        <v>2020</v>
      </c>
      <c r="AW900" s="24"/>
      <c r="AX900" s="28"/>
      <c r="AY900" s="28" t="s">
        <v>8</v>
      </c>
      <c r="AZ900" s="132" t="s">
        <v>37</v>
      </c>
      <c r="BA900" s="132"/>
      <c r="BB900" s="24" t="s">
        <v>2956</v>
      </c>
      <c r="BC900" s="135" t="s">
        <v>3558</v>
      </c>
      <c r="BD900" s="24">
        <v>43946</v>
      </c>
      <c r="BE900" s="135" t="s">
        <v>3164</v>
      </c>
      <c r="BF900" s="135" t="s">
        <v>3164</v>
      </c>
      <c r="BG900" s="135" t="s">
        <v>41</v>
      </c>
      <c r="BH900" s="135"/>
      <c r="BI900" s="314" t="s">
        <v>124</v>
      </c>
      <c r="BJ900" s="314"/>
      <c r="BK900" s="24"/>
      <c r="BL900" s="24"/>
      <c r="BM900" s="24"/>
      <c r="BN900" s="24"/>
      <c r="BO900" s="24">
        <f>+AQ900+15</f>
        <v>43988</v>
      </c>
      <c r="BP900" s="24"/>
      <c r="BQ900" s="24"/>
      <c r="BR900" s="43"/>
      <c r="BS900" s="24"/>
      <c r="BT900" s="24"/>
      <c r="BU900" s="24"/>
      <c r="BV900" s="132" t="e">
        <f>IF(#REF!="COMPLETO","OK","PENDIENTES")</f>
        <v>#REF!</v>
      </c>
      <c r="BW900" s="325"/>
      <c r="BX900" s="325"/>
      <c r="BY900" s="325"/>
      <c r="BZ900" s="325"/>
      <c r="CA900" s="325"/>
      <c r="CB900" s="325"/>
      <c r="CC900" s="258"/>
      <c r="CG900" s="24" t="s">
        <v>105</v>
      </c>
      <c r="CH900" s="24"/>
      <c r="CI900" s="24"/>
      <c r="CJ900" s="24"/>
    </row>
    <row r="901" spans="1:88" ht="15" customHeight="1">
      <c r="A901" s="18">
        <v>2020</v>
      </c>
      <c r="B901" s="18" t="str">
        <f>+INDEX(BDD!F:F,MATCH(P901,BDD!D:D,0))&amp;"-"&amp;INDEX(BDD!E:E,MATCH(P901,BDD!D:D,0))</f>
        <v>E-S</v>
      </c>
      <c r="C901" s="125" t="s">
        <v>484</v>
      </c>
      <c r="D901" s="150" t="s">
        <v>77</v>
      </c>
      <c r="E901" s="132"/>
      <c r="F901" s="24"/>
      <c r="G901" s="346">
        <v>8000000806</v>
      </c>
      <c r="H901" s="125" t="s">
        <v>3559</v>
      </c>
      <c r="I901" s="329"/>
      <c r="J901" s="346">
        <v>8000000806</v>
      </c>
      <c r="K901" s="24"/>
      <c r="L901" s="24"/>
      <c r="M901" s="24"/>
      <c r="N901" s="340" t="s">
        <v>486</v>
      </c>
      <c r="O901" s="334">
        <v>207522</v>
      </c>
      <c r="P901" s="25" t="s">
        <v>298</v>
      </c>
      <c r="Q901" s="127" t="s">
        <v>183</v>
      </c>
      <c r="R901" s="232" t="s">
        <v>3556</v>
      </c>
      <c r="S901" s="89">
        <v>43909</v>
      </c>
      <c r="T901" s="36" t="s">
        <v>19</v>
      </c>
      <c r="U901" s="125"/>
      <c r="V901" s="147" t="s">
        <v>3560</v>
      </c>
      <c r="W901" s="129"/>
      <c r="X901" s="88">
        <v>43965</v>
      </c>
      <c r="Y901" s="130" t="s">
        <v>20</v>
      </c>
      <c r="Z901" s="133" t="s">
        <v>60</v>
      </c>
      <c r="AA901" s="133"/>
      <c r="AB901" s="241">
        <v>251.68</v>
      </c>
      <c r="AC901" s="240">
        <v>215</v>
      </c>
      <c r="AD901" s="240"/>
      <c r="AE901" s="403">
        <f t="shared" si="51"/>
        <v>54111.200000000004</v>
      </c>
      <c r="AF901" s="132">
        <f>+AB901/28</f>
        <v>8.9885714285714293</v>
      </c>
      <c r="AG901" s="130" t="s">
        <v>5</v>
      </c>
      <c r="AH901" s="130"/>
      <c r="AI901" s="130" t="s">
        <v>100</v>
      </c>
      <c r="AJ901" s="130"/>
      <c r="AK901" s="130"/>
      <c r="AL901" s="135" t="s">
        <v>3511</v>
      </c>
      <c r="AM901" s="314"/>
      <c r="AN901" s="26"/>
      <c r="AO901" s="26"/>
      <c r="AP901" s="26"/>
      <c r="AQ901" s="26">
        <f>+BD901+27</f>
        <v>43987</v>
      </c>
      <c r="AR901" s="24"/>
      <c r="AS901" s="24"/>
      <c r="AT901" s="24">
        <v>43993</v>
      </c>
      <c r="AU901" s="418">
        <f t="shared" si="52"/>
        <v>6</v>
      </c>
      <c r="AV901" s="418">
        <f t="shared" si="53"/>
        <v>2020</v>
      </c>
      <c r="AW901" s="24"/>
      <c r="AX901" s="28"/>
      <c r="AY901" s="28" t="s">
        <v>8</v>
      </c>
      <c r="AZ901" s="132" t="s">
        <v>37</v>
      </c>
      <c r="BA901" s="132"/>
      <c r="BB901" s="24" t="s">
        <v>2956</v>
      </c>
      <c r="BC901" s="135" t="s">
        <v>3561</v>
      </c>
      <c r="BD901" s="24">
        <v>43960</v>
      </c>
      <c r="BE901" s="135" t="s">
        <v>2521</v>
      </c>
      <c r="BF901" s="135" t="s">
        <v>2521</v>
      </c>
      <c r="BG901" s="135" t="s">
        <v>41</v>
      </c>
      <c r="BH901" s="135"/>
      <c r="BI901" s="314" t="s">
        <v>124</v>
      </c>
      <c r="BJ901" s="314"/>
      <c r="BK901" s="24"/>
      <c r="BL901" s="24"/>
      <c r="BM901" s="24"/>
      <c r="BN901" s="24"/>
      <c r="BO901" s="24">
        <f>+AQ901+15</f>
        <v>44002</v>
      </c>
      <c r="BP901" s="24"/>
      <c r="BQ901" s="24"/>
      <c r="BR901" s="43"/>
      <c r="BS901" s="24"/>
      <c r="BT901" s="24"/>
      <c r="BU901" s="24"/>
      <c r="BV901" s="132" t="e">
        <f>IF(#REF!="COMPLETO","OK","PENDIENTES")</f>
        <v>#REF!</v>
      </c>
      <c r="BW901" s="325"/>
      <c r="BX901" s="325"/>
      <c r="BY901" s="325"/>
      <c r="BZ901" s="325"/>
      <c r="CA901" s="325"/>
      <c r="CB901" s="325"/>
      <c r="CC901" s="258"/>
      <c r="CG901" s="24" t="s">
        <v>105</v>
      </c>
      <c r="CH901" s="24"/>
      <c r="CI901" s="24"/>
      <c r="CJ901" s="24"/>
    </row>
    <row r="902" spans="1:88" ht="18" customHeight="1">
      <c r="A902" s="18">
        <v>2020</v>
      </c>
      <c r="B902" s="18" t="str">
        <f>+INDEX(BDD!F:F,MATCH(P902,BDD!D:D,0))&amp;"-"&amp;INDEX(BDD!E:E,MATCH(P902,BDD!D:D,0))</f>
        <v>E-S</v>
      </c>
      <c r="C902" s="125" t="s">
        <v>484</v>
      </c>
      <c r="D902" s="150" t="s">
        <v>77</v>
      </c>
      <c r="E902" s="132"/>
      <c r="F902" s="24"/>
      <c r="G902" s="346">
        <v>8000000861</v>
      </c>
      <c r="H902" s="125" t="s">
        <v>3562</v>
      </c>
      <c r="I902" s="329"/>
      <c r="J902" s="346">
        <v>8000000861</v>
      </c>
      <c r="K902" s="24"/>
      <c r="L902" s="24"/>
      <c r="M902" s="24"/>
      <c r="N902" s="340" t="s">
        <v>486</v>
      </c>
      <c r="O902" s="334">
        <v>207522</v>
      </c>
      <c r="P902" s="25" t="s">
        <v>298</v>
      </c>
      <c r="Q902" s="127" t="s">
        <v>183</v>
      </c>
      <c r="R902" s="232" t="s">
        <v>3556</v>
      </c>
      <c r="S902" s="89">
        <v>43909</v>
      </c>
      <c r="T902" s="36" t="s">
        <v>19</v>
      </c>
      <c r="U902" s="125"/>
      <c r="V902" s="147" t="s">
        <v>3563</v>
      </c>
      <c r="W902" s="129"/>
      <c r="X902" s="88">
        <v>43994</v>
      </c>
      <c r="Y902" s="130" t="s">
        <v>20</v>
      </c>
      <c r="Z902" s="133" t="s">
        <v>60</v>
      </c>
      <c r="AA902" s="133"/>
      <c r="AB902" s="241">
        <v>251.72</v>
      </c>
      <c r="AC902" s="240">
        <v>215</v>
      </c>
      <c r="AD902" s="240"/>
      <c r="AE902" s="403">
        <f t="shared" si="51"/>
        <v>54119.8</v>
      </c>
      <c r="AF902" s="132">
        <f>+AB902/28</f>
        <v>8.99</v>
      </c>
      <c r="AG902" s="130" t="s">
        <v>5</v>
      </c>
      <c r="AH902" s="130"/>
      <c r="AI902" s="130" t="s">
        <v>100</v>
      </c>
      <c r="AJ902" s="130"/>
      <c r="AK902" s="130"/>
      <c r="AL902" s="135" t="s">
        <v>3564</v>
      </c>
      <c r="AM902" s="314"/>
      <c r="AN902" s="26"/>
      <c r="AO902" s="26"/>
      <c r="AP902" s="26"/>
      <c r="AQ902" s="26">
        <v>44015</v>
      </c>
      <c r="AR902" s="24"/>
      <c r="AS902" s="24"/>
      <c r="AT902" s="24">
        <v>44022</v>
      </c>
      <c r="AU902" s="418">
        <f t="shared" si="52"/>
        <v>7</v>
      </c>
      <c r="AV902" s="418">
        <f t="shared" si="53"/>
        <v>2020</v>
      </c>
      <c r="AW902" s="24"/>
      <c r="AX902" s="28"/>
      <c r="AY902" s="28" t="s">
        <v>8</v>
      </c>
      <c r="AZ902" s="132" t="s">
        <v>9</v>
      </c>
      <c r="BA902" s="132"/>
      <c r="BB902" s="24" t="s">
        <v>3519</v>
      </c>
      <c r="BC902" s="135" t="s">
        <v>3565</v>
      </c>
      <c r="BD902" s="24">
        <v>43984</v>
      </c>
      <c r="BE902" s="135" t="s">
        <v>2525</v>
      </c>
      <c r="BF902" s="135" t="s">
        <v>3276</v>
      </c>
      <c r="BG902" s="135" t="s">
        <v>41</v>
      </c>
      <c r="BH902" s="135"/>
      <c r="BI902" s="314" t="s">
        <v>124</v>
      </c>
      <c r="BJ902" s="314"/>
      <c r="BK902" s="24"/>
      <c r="BL902" s="24"/>
      <c r="BM902" s="24"/>
      <c r="BN902" s="24"/>
      <c r="BO902" s="24">
        <f>+AQ902+15</f>
        <v>44030</v>
      </c>
      <c r="BP902" s="24"/>
      <c r="BQ902" s="24"/>
      <c r="BR902" s="43"/>
      <c r="BS902" s="24"/>
      <c r="BT902" s="24"/>
      <c r="BU902" s="24"/>
      <c r="BV902" s="132" t="e">
        <f>IF(#REF!="COMPLETO","OK","PENDIENTES")</f>
        <v>#REF!</v>
      </c>
      <c r="BW902" s="325"/>
      <c r="BX902" s="325"/>
      <c r="BY902" s="325"/>
      <c r="BZ902" s="325"/>
      <c r="CA902" s="325"/>
      <c r="CB902" s="325"/>
      <c r="CC902" s="258"/>
      <c r="CG902" s="24" t="s">
        <v>105</v>
      </c>
      <c r="CH902" s="24"/>
      <c r="CI902" s="24"/>
      <c r="CJ902" s="24"/>
    </row>
    <row r="903" spans="1:88" ht="15" customHeight="1">
      <c r="A903" s="18">
        <v>2020</v>
      </c>
      <c r="B903" s="18" t="str">
        <f>+INDEX(BDD!F:F,MATCH(P903,BDD!D:D,0))&amp;"-"&amp;INDEX(BDD!E:E,MATCH(P903,BDD!D:D,0))</f>
        <v>E-S</v>
      </c>
      <c r="C903" s="125" t="s">
        <v>484</v>
      </c>
      <c r="D903" s="150" t="s">
        <v>77</v>
      </c>
      <c r="E903" s="132"/>
      <c r="F903" s="24"/>
      <c r="G903" s="346">
        <v>8000000849</v>
      </c>
      <c r="H903" s="125" t="s">
        <v>3566</v>
      </c>
      <c r="I903" s="329"/>
      <c r="J903" s="346">
        <v>8000000849</v>
      </c>
      <c r="K903" s="24"/>
      <c r="L903" s="24"/>
      <c r="M903" s="24"/>
      <c r="N903" s="340" t="s">
        <v>486</v>
      </c>
      <c r="O903" s="334">
        <v>207522</v>
      </c>
      <c r="P903" s="25" t="s">
        <v>298</v>
      </c>
      <c r="Q903" s="127" t="s">
        <v>183</v>
      </c>
      <c r="R903" s="232" t="s">
        <v>3556</v>
      </c>
      <c r="S903" s="89">
        <v>43909</v>
      </c>
      <c r="T903" s="36" t="s">
        <v>19</v>
      </c>
      <c r="U903" s="125"/>
      <c r="V903" s="147" t="s">
        <v>3567</v>
      </c>
      <c r="W903" s="129"/>
      <c r="X903" s="88">
        <v>44006</v>
      </c>
      <c r="Y903" s="130" t="s">
        <v>20</v>
      </c>
      <c r="Z903" s="133" t="s">
        <v>60</v>
      </c>
      <c r="AA903" s="133"/>
      <c r="AB903" s="241">
        <v>251.76</v>
      </c>
      <c r="AC903" s="240">
        <v>215</v>
      </c>
      <c r="AD903" s="240"/>
      <c r="AE903" s="403">
        <f t="shared" si="51"/>
        <v>54128.4</v>
      </c>
      <c r="AF903" s="132">
        <f>+AB903/28</f>
        <v>8.9914285714285711</v>
      </c>
      <c r="AG903" s="130" t="s">
        <v>5</v>
      </c>
      <c r="AH903" s="130"/>
      <c r="AI903" s="130" t="s">
        <v>100</v>
      </c>
      <c r="AJ903" s="130"/>
      <c r="AK903" s="130"/>
      <c r="AL903" s="135" t="s">
        <v>3568</v>
      </c>
      <c r="AM903" s="314"/>
      <c r="AN903" s="26"/>
      <c r="AO903" s="26"/>
      <c r="AP903" s="26"/>
      <c r="AQ903" s="26">
        <v>44015</v>
      </c>
      <c r="AR903" s="24"/>
      <c r="AS903" s="24"/>
      <c r="AT903" s="24">
        <v>44020</v>
      </c>
      <c r="AU903" s="418">
        <f t="shared" si="52"/>
        <v>7</v>
      </c>
      <c r="AV903" s="418">
        <f t="shared" si="53"/>
        <v>2020</v>
      </c>
      <c r="AW903" s="24"/>
      <c r="AX903" s="28"/>
      <c r="AY903" s="28" t="s">
        <v>8</v>
      </c>
      <c r="AZ903" s="132" t="s">
        <v>37</v>
      </c>
      <c r="BA903" s="132"/>
      <c r="BB903" s="24" t="s">
        <v>2956</v>
      </c>
      <c r="BC903" s="135" t="s">
        <v>3569</v>
      </c>
      <c r="BD903" s="24">
        <v>43988</v>
      </c>
      <c r="BE903" s="135" t="s">
        <v>3429</v>
      </c>
      <c r="BF903" s="135" t="s">
        <v>3429</v>
      </c>
      <c r="BG903" s="135" t="s">
        <v>41</v>
      </c>
      <c r="BH903" s="135"/>
      <c r="BI903" s="314" t="s">
        <v>124</v>
      </c>
      <c r="BJ903" s="314"/>
      <c r="BK903" s="24"/>
      <c r="BL903" s="24"/>
      <c r="BM903" s="24"/>
      <c r="BN903" s="24"/>
      <c r="BO903" s="24">
        <f>+AQ903+15</f>
        <v>44030</v>
      </c>
      <c r="BP903" s="24"/>
      <c r="BQ903" s="24"/>
      <c r="BR903" s="43"/>
      <c r="BS903" s="24"/>
      <c r="BT903" s="24"/>
      <c r="BU903" s="24"/>
      <c r="BV903" s="132" t="e">
        <f>IF(#REF!="COMPLETO","OK","PENDIENTES")</f>
        <v>#REF!</v>
      </c>
      <c r="BW903" s="325"/>
      <c r="BX903" s="325"/>
      <c r="BY903" s="325"/>
      <c r="BZ903" s="325"/>
      <c r="CA903" s="325"/>
      <c r="CB903" s="325"/>
      <c r="CC903" s="258"/>
      <c r="CG903" s="24" t="s">
        <v>105</v>
      </c>
      <c r="CH903" s="24"/>
      <c r="CI903" s="24"/>
      <c r="CJ903" s="24"/>
    </row>
    <row r="904" spans="1:88" ht="15" customHeight="1">
      <c r="A904" s="18">
        <v>2020</v>
      </c>
      <c r="B904" s="18" t="str">
        <f>+INDEX(BDD!F:F,MATCH(P904,BDD!D:D,0))&amp;"-"&amp;INDEX(BDD!E:E,MATCH(P904,BDD!D:D,0))</f>
        <v>S-S</v>
      </c>
      <c r="C904" s="125" t="s">
        <v>484</v>
      </c>
      <c r="D904" s="150" t="s">
        <v>77</v>
      </c>
      <c r="E904" s="132" t="s">
        <v>51</v>
      </c>
      <c r="F904" s="24"/>
      <c r="G904" s="346">
        <v>8000000854</v>
      </c>
      <c r="H904" s="125" t="s">
        <v>3570</v>
      </c>
      <c r="I904" s="329"/>
      <c r="J904" s="346">
        <v>8000000854</v>
      </c>
      <c r="K904" s="24"/>
      <c r="L904" s="24"/>
      <c r="M904" s="24"/>
      <c r="N904" s="340" t="s">
        <v>486</v>
      </c>
      <c r="O904" s="334">
        <v>207579</v>
      </c>
      <c r="P904" s="25" t="s">
        <v>238</v>
      </c>
      <c r="Q904" s="127" t="s">
        <v>297</v>
      </c>
      <c r="R904" s="232" t="s">
        <v>3571</v>
      </c>
      <c r="S904" s="89">
        <v>43893</v>
      </c>
      <c r="T904" s="36">
        <v>90</v>
      </c>
      <c r="U904" s="125" t="s">
        <v>118</v>
      </c>
      <c r="V904" s="147" t="s">
        <v>3572</v>
      </c>
      <c r="W904" s="129"/>
      <c r="X904" s="88">
        <v>44071</v>
      </c>
      <c r="Y904" s="130" t="s">
        <v>20</v>
      </c>
      <c r="Z904" s="133" t="s">
        <v>60</v>
      </c>
      <c r="AA904" s="133"/>
      <c r="AB904" s="241">
        <v>300</v>
      </c>
      <c r="AC904" s="240">
        <v>257</v>
      </c>
      <c r="AD904" s="240"/>
      <c r="AE904" s="403">
        <f t="shared" si="51"/>
        <v>77100</v>
      </c>
      <c r="AF904" s="145" t="s">
        <v>2822</v>
      </c>
      <c r="AG904" s="130" t="s">
        <v>58</v>
      </c>
      <c r="AH904" s="130"/>
      <c r="AI904" s="130" t="s">
        <v>34</v>
      </c>
      <c r="AJ904" s="130"/>
      <c r="AK904" s="130"/>
      <c r="AL904" s="135" t="s">
        <v>3496</v>
      </c>
      <c r="AM904" s="314"/>
      <c r="AN904" s="26"/>
      <c r="AO904" s="26"/>
      <c r="AP904" s="26"/>
      <c r="AQ904" s="26">
        <v>44016</v>
      </c>
      <c r="AR904" s="24"/>
      <c r="AS904" s="24"/>
      <c r="AT904" s="24">
        <v>44024</v>
      </c>
      <c r="AU904" s="418">
        <f t="shared" si="52"/>
        <v>7</v>
      </c>
      <c r="AV904" s="418">
        <f t="shared" si="53"/>
        <v>2020</v>
      </c>
      <c r="AW904" s="24"/>
      <c r="AX904" s="28"/>
      <c r="AY904" s="28" t="s">
        <v>3574</v>
      </c>
      <c r="AZ904" s="132" t="s">
        <v>9</v>
      </c>
      <c r="BA904" s="132"/>
      <c r="BB904" s="24" t="s">
        <v>3264</v>
      </c>
      <c r="BC904" s="135" t="s">
        <v>3573</v>
      </c>
      <c r="BD904" s="24">
        <v>43976</v>
      </c>
      <c r="BE904" s="135" t="s">
        <v>3575</v>
      </c>
      <c r="BF904" s="135" t="s">
        <v>3575</v>
      </c>
      <c r="BG904" s="135" t="s">
        <v>52</v>
      </c>
      <c r="BH904" s="135"/>
      <c r="BI904" s="314" t="s">
        <v>124</v>
      </c>
      <c r="BJ904" s="314"/>
      <c r="BK904" s="26"/>
      <c r="BL904" s="26"/>
      <c r="BM904" s="26"/>
      <c r="BN904" s="26"/>
      <c r="BO904" s="24"/>
      <c r="BP904" s="24"/>
      <c r="BQ904" s="24"/>
      <c r="BR904" s="43"/>
      <c r="BS904" s="24"/>
      <c r="BT904" s="24"/>
      <c r="BU904" s="24"/>
      <c r="BV904" s="132" t="e">
        <f>IF(#REF!="COMPLETO","OK","PENDIENTES")</f>
        <v>#REF!</v>
      </c>
      <c r="BW904" s="325"/>
      <c r="BX904" s="325"/>
      <c r="BY904" s="325"/>
      <c r="BZ904" s="325"/>
      <c r="CA904" s="325"/>
      <c r="CB904" s="325"/>
      <c r="CC904" s="258"/>
      <c r="CG904" s="24" t="s">
        <v>105</v>
      </c>
      <c r="CH904" s="24"/>
      <c r="CI904" s="24"/>
      <c r="CJ904" s="24"/>
    </row>
    <row r="905" spans="1:88" ht="15" customHeight="1">
      <c r="A905" s="18">
        <v>2020</v>
      </c>
      <c r="B905" s="18" t="str">
        <f>+INDEX(BDD!F:F,MATCH(P905,BDD!D:D,0))&amp;"-"&amp;INDEX(BDD!E:E,MATCH(P905,BDD!D:D,0))</f>
        <v>S-S</v>
      </c>
      <c r="C905" s="125" t="s">
        <v>484</v>
      </c>
      <c r="D905" s="150" t="s">
        <v>77</v>
      </c>
      <c r="E905" s="132" t="s">
        <v>51</v>
      </c>
      <c r="F905" s="24"/>
      <c r="G905" s="346">
        <v>8000000890</v>
      </c>
      <c r="H905" s="125" t="s">
        <v>3576</v>
      </c>
      <c r="I905" s="329"/>
      <c r="J905" s="346">
        <v>8000000890</v>
      </c>
      <c r="K905" s="24"/>
      <c r="L905" s="24"/>
      <c r="M905" s="24"/>
      <c r="N905" s="340" t="s">
        <v>486</v>
      </c>
      <c r="O905" s="334">
        <v>207579</v>
      </c>
      <c r="P905" s="25" t="s">
        <v>238</v>
      </c>
      <c r="Q905" s="127" t="s">
        <v>297</v>
      </c>
      <c r="R905" s="232" t="s">
        <v>3577</v>
      </c>
      <c r="S905" s="89">
        <v>43893</v>
      </c>
      <c r="T905" s="36">
        <v>90</v>
      </c>
      <c r="U905" s="125" t="s">
        <v>118</v>
      </c>
      <c r="V905" s="147" t="s">
        <v>3578</v>
      </c>
      <c r="W905" s="129"/>
      <c r="X905" s="88">
        <v>44069</v>
      </c>
      <c r="Y905" s="130" t="s">
        <v>20</v>
      </c>
      <c r="Z905" s="133" t="s">
        <v>60</v>
      </c>
      <c r="AA905" s="133"/>
      <c r="AB905" s="241">
        <v>110</v>
      </c>
      <c r="AC905" s="240">
        <v>253</v>
      </c>
      <c r="AD905" s="240"/>
      <c r="AE905" s="403">
        <f t="shared" si="51"/>
        <v>27830</v>
      </c>
      <c r="AF905" s="132"/>
      <c r="AG905" s="130" t="s">
        <v>58</v>
      </c>
      <c r="AH905" s="130"/>
      <c r="AI905" s="130" t="s">
        <v>34</v>
      </c>
      <c r="AJ905" s="130"/>
      <c r="AK905" s="130"/>
      <c r="AL905" s="135" t="s">
        <v>3496</v>
      </c>
      <c r="AM905" s="314"/>
      <c r="AN905" s="26"/>
      <c r="AO905" s="26"/>
      <c r="AP905" s="26"/>
      <c r="AQ905" s="26">
        <v>44026</v>
      </c>
      <c r="AR905" s="24"/>
      <c r="AS905" s="24"/>
      <c r="AT905" s="24">
        <v>44034</v>
      </c>
      <c r="AU905" s="418">
        <f t="shared" si="52"/>
        <v>7</v>
      </c>
      <c r="AV905" s="418">
        <f t="shared" si="53"/>
        <v>2020</v>
      </c>
      <c r="AW905" s="24"/>
      <c r="AX905" s="24"/>
      <c r="AY905" s="24" t="s">
        <v>3199</v>
      </c>
      <c r="AZ905" s="132" t="s">
        <v>37</v>
      </c>
      <c r="BA905" s="132"/>
      <c r="BB905" s="24" t="s">
        <v>2956</v>
      </c>
      <c r="BC905" s="265" t="s">
        <v>3579</v>
      </c>
      <c r="BD905" s="24">
        <v>43976</v>
      </c>
      <c r="BE905" s="135" t="s">
        <v>3575</v>
      </c>
      <c r="BF905" s="135" t="s">
        <v>3575</v>
      </c>
      <c r="BG905" s="135" t="s">
        <v>52</v>
      </c>
      <c r="BH905" s="135"/>
      <c r="BI905" s="314" t="s">
        <v>124</v>
      </c>
      <c r="BJ905" s="314"/>
      <c r="BK905" s="24"/>
      <c r="BL905" s="24"/>
      <c r="BM905" s="24"/>
      <c r="BN905" s="24"/>
      <c r="BO905" s="24"/>
      <c r="BP905" s="24"/>
      <c r="BQ905" s="24"/>
      <c r="BR905" s="43"/>
      <c r="BS905" s="24"/>
      <c r="BT905" s="24"/>
      <c r="BU905" s="24"/>
      <c r="BV905" s="132" t="e">
        <f>IF(#REF!="COMPLETO","OK","PENDIENTES")</f>
        <v>#REF!</v>
      </c>
      <c r="BW905" s="325"/>
      <c r="BX905" s="325"/>
      <c r="BY905" s="325"/>
      <c r="BZ905" s="325"/>
      <c r="CA905" s="325"/>
      <c r="CB905" s="325"/>
      <c r="CC905" s="258"/>
      <c r="CG905" s="24" t="s">
        <v>105</v>
      </c>
      <c r="CH905" s="24"/>
      <c r="CI905" s="24"/>
      <c r="CJ905" s="24"/>
    </row>
    <row r="906" spans="1:88" ht="15" customHeight="1">
      <c r="A906" s="18">
        <v>2020</v>
      </c>
      <c r="B906" s="18" t="str">
        <f>+INDEX(BDD!F:F,MATCH(P906,BDD!D:D,0))&amp;"-"&amp;INDEX(BDD!E:E,MATCH(P906,BDD!D:D,0))</f>
        <v>S-S</v>
      </c>
      <c r="C906" s="125" t="s">
        <v>484</v>
      </c>
      <c r="D906" s="150" t="s">
        <v>77</v>
      </c>
      <c r="E906" s="132" t="s">
        <v>51</v>
      </c>
      <c r="F906" s="24"/>
      <c r="G906" s="346">
        <v>8000000884</v>
      </c>
      <c r="H906" s="125" t="s">
        <v>3580</v>
      </c>
      <c r="I906" s="329"/>
      <c r="J906" s="346">
        <v>8000000884</v>
      </c>
      <c r="K906" s="24"/>
      <c r="L906" s="24"/>
      <c r="M906" s="24"/>
      <c r="N906" s="340" t="s">
        <v>486</v>
      </c>
      <c r="O906" s="334">
        <v>207579</v>
      </c>
      <c r="P906" s="25" t="s">
        <v>238</v>
      </c>
      <c r="Q906" s="127" t="s">
        <v>297</v>
      </c>
      <c r="R906" s="232" t="s">
        <v>3581</v>
      </c>
      <c r="S906" s="89">
        <v>43893</v>
      </c>
      <c r="T906" s="36">
        <v>90</v>
      </c>
      <c r="U906" s="125" t="s">
        <v>118</v>
      </c>
      <c r="V906" s="147" t="s">
        <v>3582</v>
      </c>
      <c r="W906" s="129"/>
      <c r="X906" s="88">
        <f>+BD906+T906</f>
        <v>44070</v>
      </c>
      <c r="Y906" s="130" t="s">
        <v>20</v>
      </c>
      <c r="Z906" s="133" t="s">
        <v>60</v>
      </c>
      <c r="AA906" s="133"/>
      <c r="AB906" s="241">
        <v>220</v>
      </c>
      <c r="AC906" s="240">
        <v>261</v>
      </c>
      <c r="AD906" s="240"/>
      <c r="AE906" s="403">
        <f t="shared" si="51"/>
        <v>57420</v>
      </c>
      <c r="AF906" s="132"/>
      <c r="AG906" s="130" t="s">
        <v>58</v>
      </c>
      <c r="AH906" s="130"/>
      <c r="AI906" s="130" t="s">
        <v>34</v>
      </c>
      <c r="AJ906" s="130"/>
      <c r="AK906" s="130"/>
      <c r="AL906" s="135" t="s">
        <v>3496</v>
      </c>
      <c r="AM906" s="314"/>
      <c r="AN906" s="26"/>
      <c r="AO906" s="26"/>
      <c r="AP906" s="26"/>
      <c r="AQ906" s="26">
        <v>44032</v>
      </c>
      <c r="AR906" s="24"/>
      <c r="AS906" s="24"/>
      <c r="AT906" s="24">
        <v>44037</v>
      </c>
      <c r="AU906" s="418">
        <f t="shared" si="52"/>
        <v>7</v>
      </c>
      <c r="AV906" s="418">
        <f t="shared" si="53"/>
        <v>2020</v>
      </c>
      <c r="AW906" s="24"/>
      <c r="AX906" s="24"/>
      <c r="AY906" s="24" t="s">
        <v>3199</v>
      </c>
      <c r="AZ906" s="132" t="s">
        <v>50</v>
      </c>
      <c r="BA906" s="132"/>
      <c r="BB906" s="24" t="s">
        <v>2956</v>
      </c>
      <c r="BC906" s="135" t="s">
        <v>3583</v>
      </c>
      <c r="BD906" s="24">
        <v>43980</v>
      </c>
      <c r="BE906" s="135" t="s">
        <v>3575</v>
      </c>
      <c r="BF906" s="135" t="s">
        <v>3575</v>
      </c>
      <c r="BG906" s="135" t="s">
        <v>52</v>
      </c>
      <c r="BH906" s="135"/>
      <c r="BI906" s="314" t="s">
        <v>124</v>
      </c>
      <c r="BJ906" s="314"/>
      <c r="BK906" s="24"/>
      <c r="BL906" s="24"/>
      <c r="BM906" s="24"/>
      <c r="BN906" s="24"/>
      <c r="BO906" s="24"/>
      <c r="BP906" s="24"/>
      <c r="BQ906" s="24"/>
      <c r="BR906" s="43"/>
      <c r="BS906" s="24"/>
      <c r="BT906" s="24"/>
      <c r="BU906" s="24"/>
      <c r="BV906" s="132" t="e">
        <f>IF(#REF!="COMPLETO","OK","PENDIENTES")</f>
        <v>#REF!</v>
      </c>
      <c r="BW906" s="325"/>
      <c r="BX906" s="325"/>
      <c r="BY906" s="325"/>
      <c r="BZ906" s="325"/>
      <c r="CA906" s="325"/>
      <c r="CB906" s="325"/>
      <c r="CC906" s="258"/>
      <c r="CG906" s="24" t="s">
        <v>105</v>
      </c>
      <c r="CH906" s="24"/>
      <c r="CI906" s="24"/>
      <c r="CJ906" s="24"/>
    </row>
    <row r="907" spans="1:88" ht="15" customHeight="1">
      <c r="A907" s="18">
        <v>2020</v>
      </c>
      <c r="B907" s="18" t="str">
        <f>+INDEX(BDD!F:F,MATCH(P907,BDD!D:D,0))&amp;"-"&amp;INDEX(BDD!E:E,MATCH(P907,BDD!D:D,0))</f>
        <v>S-S</v>
      </c>
      <c r="C907" s="125" t="s">
        <v>484</v>
      </c>
      <c r="D907" s="150" t="s">
        <v>77</v>
      </c>
      <c r="E907" s="132" t="s">
        <v>51</v>
      </c>
      <c r="F907" s="24"/>
      <c r="G907" s="346">
        <v>8000000927</v>
      </c>
      <c r="H907" s="125" t="s">
        <v>3584</v>
      </c>
      <c r="I907" s="329"/>
      <c r="J907" s="346">
        <v>8000000927</v>
      </c>
      <c r="K907" s="24"/>
      <c r="L907" s="24"/>
      <c r="M907" s="24"/>
      <c r="N907" s="340" t="s">
        <v>486</v>
      </c>
      <c r="O907" s="334">
        <v>207579</v>
      </c>
      <c r="P907" s="25" t="s">
        <v>238</v>
      </c>
      <c r="Q907" s="127" t="s">
        <v>297</v>
      </c>
      <c r="R907" s="232" t="s">
        <v>3585</v>
      </c>
      <c r="S907" s="89">
        <v>43893</v>
      </c>
      <c r="T907" s="36">
        <v>90</v>
      </c>
      <c r="U907" s="125" t="s">
        <v>118</v>
      </c>
      <c r="V907" s="147" t="s">
        <v>3586</v>
      </c>
      <c r="W907" s="129"/>
      <c r="X907" s="88">
        <f>+BD907+T907</f>
        <v>44070</v>
      </c>
      <c r="Y907" s="130" t="s">
        <v>20</v>
      </c>
      <c r="Z907" s="133" t="s">
        <v>60</v>
      </c>
      <c r="AA907" s="133"/>
      <c r="AB907" s="241">
        <v>110</v>
      </c>
      <c r="AC907" s="240">
        <v>261</v>
      </c>
      <c r="AD907" s="240"/>
      <c r="AE907" s="403">
        <f t="shared" si="51"/>
        <v>28710</v>
      </c>
      <c r="AF907" s="132"/>
      <c r="AG907" s="130" t="s">
        <v>58</v>
      </c>
      <c r="AH907" s="130"/>
      <c r="AI907" s="130" t="s">
        <v>34</v>
      </c>
      <c r="AJ907" s="130"/>
      <c r="AK907" s="130"/>
      <c r="AL907" s="135" t="s">
        <v>3496</v>
      </c>
      <c r="AM907" s="314"/>
      <c r="AN907" s="26"/>
      <c r="AO907" s="26"/>
      <c r="AP907" s="26"/>
      <c r="AQ907" s="26">
        <v>44040</v>
      </c>
      <c r="AR907" s="24"/>
      <c r="AS907" s="24"/>
      <c r="AT907" s="24">
        <v>44042</v>
      </c>
      <c r="AU907" s="418">
        <f t="shared" si="52"/>
        <v>7</v>
      </c>
      <c r="AV907" s="418">
        <f t="shared" si="53"/>
        <v>2020</v>
      </c>
      <c r="AW907" s="24"/>
      <c r="AX907" s="24"/>
      <c r="AY907" s="24" t="s">
        <v>3199</v>
      </c>
      <c r="AZ907" s="132" t="s">
        <v>62</v>
      </c>
      <c r="BA907" s="132"/>
      <c r="BB907" s="24" t="s">
        <v>3264</v>
      </c>
      <c r="BC907" s="135" t="s">
        <v>3587</v>
      </c>
      <c r="BD907" s="24">
        <v>43980</v>
      </c>
      <c r="BE907" s="135" t="s">
        <v>2683</v>
      </c>
      <c r="BF907" s="135" t="s">
        <v>2683</v>
      </c>
      <c r="BG907" s="135" t="s">
        <v>52</v>
      </c>
      <c r="BH907" s="135"/>
      <c r="BI907" s="314" t="s">
        <v>124</v>
      </c>
      <c r="BJ907" s="314"/>
      <c r="BK907" s="24"/>
      <c r="BL907" s="24"/>
      <c r="BM907" s="24"/>
      <c r="BN907" s="24"/>
      <c r="BO907" s="24"/>
      <c r="BP907" s="24"/>
      <c r="BQ907" s="24"/>
      <c r="BR907" s="43"/>
      <c r="BS907" s="24"/>
      <c r="BT907" s="24"/>
      <c r="BU907" s="24"/>
      <c r="BV907" s="132" t="e">
        <f>IF(#REF!="COMPLETO","OK","PENDIENTES")</f>
        <v>#REF!</v>
      </c>
      <c r="BW907" s="325"/>
      <c r="BX907" s="325"/>
      <c r="BY907" s="325"/>
      <c r="BZ907" s="325"/>
      <c r="CA907" s="325"/>
      <c r="CB907" s="325"/>
      <c r="CC907" s="258"/>
      <c r="CG907" s="24" t="s">
        <v>105</v>
      </c>
      <c r="CH907" s="24"/>
      <c r="CI907" s="24"/>
      <c r="CJ907" s="24"/>
    </row>
    <row r="908" spans="1:88" ht="15" customHeight="1">
      <c r="A908" s="18">
        <v>2020</v>
      </c>
      <c r="B908" s="18" t="str">
        <f>+INDEX(BDD!F:F,MATCH(P908,BDD!D:D,0))&amp;"-"&amp;INDEX(BDD!E:E,MATCH(P908,BDD!D:D,0))</f>
        <v>S-S</v>
      </c>
      <c r="C908" s="125" t="s">
        <v>484</v>
      </c>
      <c r="D908" s="150" t="s">
        <v>77</v>
      </c>
      <c r="E908" s="132"/>
      <c r="F908" s="24"/>
      <c r="G908" s="346">
        <v>8000000891</v>
      </c>
      <c r="H908" s="125" t="s">
        <v>3588</v>
      </c>
      <c r="I908" s="329"/>
      <c r="J908" s="346">
        <v>8000000891</v>
      </c>
      <c r="K908" s="24"/>
      <c r="L908" s="24"/>
      <c r="M908" s="24"/>
      <c r="N908" s="340" t="s">
        <v>486</v>
      </c>
      <c r="O908" s="334">
        <v>206966</v>
      </c>
      <c r="P908" s="25" t="s">
        <v>152</v>
      </c>
      <c r="Q908" s="127" t="s">
        <v>297</v>
      </c>
      <c r="R908" s="232" t="s">
        <v>3589</v>
      </c>
      <c r="S908" s="89">
        <v>43917</v>
      </c>
      <c r="T908" s="36">
        <v>90</v>
      </c>
      <c r="U908" s="125" t="s">
        <v>118</v>
      </c>
      <c r="V908" s="147" t="s">
        <v>3590</v>
      </c>
      <c r="W908" s="129"/>
      <c r="X908" s="88">
        <f>+BD908+T908</f>
        <v>44056</v>
      </c>
      <c r="Y908" s="130" t="s">
        <v>20</v>
      </c>
      <c r="Z908" s="133" t="s">
        <v>60</v>
      </c>
      <c r="AA908" s="133"/>
      <c r="AB908" s="241">
        <v>200</v>
      </c>
      <c r="AC908" s="240">
        <v>616</v>
      </c>
      <c r="AD908" s="240"/>
      <c r="AE908" s="403">
        <f t="shared" si="51"/>
        <v>123200</v>
      </c>
      <c r="AF908" s="132"/>
      <c r="AG908" s="130" t="s">
        <v>58</v>
      </c>
      <c r="AH908" s="130"/>
      <c r="AI908" s="130" t="s">
        <v>34</v>
      </c>
      <c r="AJ908" s="130"/>
      <c r="AK908" s="130"/>
      <c r="AL908" s="135" t="s">
        <v>3591</v>
      </c>
      <c r="AM908" s="314"/>
      <c r="AN908" s="26"/>
      <c r="AO908" s="26"/>
      <c r="AP908" s="26"/>
      <c r="AQ908" s="26">
        <v>44026</v>
      </c>
      <c r="AR908" s="24"/>
      <c r="AS908" s="24"/>
      <c r="AT908" s="24">
        <v>44035</v>
      </c>
      <c r="AU908" s="418">
        <f t="shared" si="52"/>
        <v>7</v>
      </c>
      <c r="AV908" s="418">
        <f t="shared" si="53"/>
        <v>2020</v>
      </c>
      <c r="AW908" s="24"/>
      <c r="AX908" s="28"/>
      <c r="AY908" s="28" t="s">
        <v>3574</v>
      </c>
      <c r="AZ908" s="132" t="s">
        <v>37</v>
      </c>
      <c r="BA908" s="132"/>
      <c r="BB908" s="24" t="s">
        <v>3593</v>
      </c>
      <c r="BC908" s="135" t="s">
        <v>3592</v>
      </c>
      <c r="BD908" s="24">
        <v>43966</v>
      </c>
      <c r="BE908" s="135" t="s">
        <v>3575</v>
      </c>
      <c r="BF908" s="135" t="s">
        <v>3575</v>
      </c>
      <c r="BG908" s="135" t="s">
        <v>52</v>
      </c>
      <c r="BH908" s="135"/>
      <c r="BI908" s="314" t="s">
        <v>124</v>
      </c>
      <c r="BJ908" s="314"/>
      <c r="BK908" s="24"/>
      <c r="BL908" s="24"/>
      <c r="BM908" s="24"/>
      <c r="BN908" s="24"/>
      <c r="BO908" s="24"/>
      <c r="BP908" s="24"/>
      <c r="BQ908" s="24"/>
      <c r="BR908" s="43"/>
      <c r="BS908" s="24"/>
      <c r="BT908" s="24"/>
      <c r="BU908" s="24"/>
      <c r="BV908" s="132" t="e">
        <f>IF(#REF!="COMPLETO","OK","PENDIENTES")</f>
        <v>#REF!</v>
      </c>
      <c r="BW908" s="325"/>
      <c r="BX908" s="325"/>
      <c r="BY908" s="325"/>
      <c r="BZ908" s="325"/>
      <c r="CA908" s="325"/>
      <c r="CB908" s="325"/>
      <c r="CC908" s="258"/>
      <c r="CG908" s="24" t="s">
        <v>105</v>
      </c>
      <c r="CH908" s="24"/>
      <c r="CI908" s="24"/>
      <c r="CJ908" s="24"/>
    </row>
    <row r="909" spans="1:88" ht="15" customHeight="1">
      <c r="A909" s="18">
        <v>2020</v>
      </c>
      <c r="B909" s="18" t="str">
        <f>+INDEX(BDD!F:F,MATCH(P909,BDD!D:D,0))&amp;"-"&amp;INDEX(BDD!E:E,MATCH(P909,BDD!D:D,0))</f>
        <v>S-S</v>
      </c>
      <c r="C909" s="125" t="s">
        <v>484</v>
      </c>
      <c r="D909" s="150" t="s">
        <v>77</v>
      </c>
      <c r="E909" s="132"/>
      <c r="F909" s="24"/>
      <c r="G909" s="346">
        <v>8000000857</v>
      </c>
      <c r="H909" s="125" t="s">
        <v>3594</v>
      </c>
      <c r="I909" s="329"/>
      <c r="J909" s="346">
        <v>8000000857</v>
      </c>
      <c r="K909" s="24"/>
      <c r="L909" s="24"/>
      <c r="M909" s="24"/>
      <c r="N909" s="340" t="s">
        <v>486</v>
      </c>
      <c r="O909" s="334">
        <v>206966</v>
      </c>
      <c r="P909" s="25" t="s">
        <v>152</v>
      </c>
      <c r="Q909" s="127" t="s">
        <v>297</v>
      </c>
      <c r="R909" s="232" t="s">
        <v>3595</v>
      </c>
      <c r="S909" s="89">
        <v>43917</v>
      </c>
      <c r="T909" s="36">
        <v>90</v>
      </c>
      <c r="U909" s="125" t="s">
        <v>118</v>
      </c>
      <c r="V909" s="147" t="s">
        <v>3596</v>
      </c>
      <c r="W909" s="129"/>
      <c r="X909" s="88">
        <v>44057</v>
      </c>
      <c r="Y909" s="130" t="s">
        <v>20</v>
      </c>
      <c r="Z909" s="133" t="s">
        <v>60</v>
      </c>
      <c r="AA909" s="133"/>
      <c r="AB909" s="241">
        <v>400</v>
      </c>
      <c r="AC909" s="240">
        <v>639</v>
      </c>
      <c r="AD909" s="240"/>
      <c r="AE909" s="403">
        <f t="shared" si="51"/>
        <v>255600</v>
      </c>
      <c r="AF909" s="145" t="s">
        <v>2822</v>
      </c>
      <c r="AG909" s="130" t="s">
        <v>58</v>
      </c>
      <c r="AH909" s="130"/>
      <c r="AI909" s="130" t="s">
        <v>34</v>
      </c>
      <c r="AJ909" s="130"/>
      <c r="AK909" s="130"/>
      <c r="AL909" s="135" t="s">
        <v>3591</v>
      </c>
      <c r="AM909" s="314"/>
      <c r="AN909" s="26"/>
      <c r="AO909" s="26"/>
      <c r="AP909" s="26"/>
      <c r="AQ909" s="26">
        <v>44016</v>
      </c>
      <c r="AR909" s="24"/>
      <c r="AS909" s="24"/>
      <c r="AT909" s="24">
        <v>44024</v>
      </c>
      <c r="AU909" s="418">
        <f t="shared" si="52"/>
        <v>7</v>
      </c>
      <c r="AV909" s="418">
        <f t="shared" si="53"/>
        <v>2020</v>
      </c>
      <c r="AW909" s="24"/>
      <c r="AX909" s="28"/>
      <c r="AY909" s="28" t="s">
        <v>3574</v>
      </c>
      <c r="AZ909" s="132" t="s">
        <v>9</v>
      </c>
      <c r="BA909" s="132"/>
      <c r="BB909" s="24" t="s">
        <v>3264</v>
      </c>
      <c r="BC909" s="135" t="s">
        <v>3597</v>
      </c>
      <c r="BD909" s="24">
        <v>43970</v>
      </c>
      <c r="BE909" s="135" t="s">
        <v>3575</v>
      </c>
      <c r="BF909" s="135" t="s">
        <v>3575</v>
      </c>
      <c r="BG909" s="135" t="s">
        <v>52</v>
      </c>
      <c r="BH909" s="135"/>
      <c r="BI909" s="314" t="s">
        <v>124</v>
      </c>
      <c r="BJ909" s="314"/>
      <c r="BK909" s="26"/>
      <c r="BL909" s="26"/>
      <c r="BM909" s="26"/>
      <c r="BN909" s="26"/>
      <c r="BO909" s="24"/>
      <c r="BP909" s="24"/>
      <c r="BQ909" s="24"/>
      <c r="BR909" s="43"/>
      <c r="BS909" s="24"/>
      <c r="BT909" s="24"/>
      <c r="BU909" s="24"/>
      <c r="BV909" s="132" t="e">
        <f>IF(#REF!="COMPLETO","OK","PENDIENTES")</f>
        <v>#REF!</v>
      </c>
      <c r="BW909" s="325"/>
      <c r="BX909" s="325"/>
      <c r="BY909" s="325"/>
      <c r="BZ909" s="325"/>
      <c r="CA909" s="325"/>
      <c r="CB909" s="325"/>
      <c r="CC909" s="258"/>
      <c r="CG909" s="24" t="s">
        <v>105</v>
      </c>
      <c r="CH909" s="24"/>
      <c r="CI909" s="24"/>
      <c r="CJ909" s="24"/>
    </row>
    <row r="910" spans="1:88" ht="16.149999999999999" customHeight="1">
      <c r="A910" s="18">
        <v>2020</v>
      </c>
      <c r="B910" s="18" t="str">
        <f>+INDEX(BDD!F:F,MATCH(P910,BDD!D:D,0))&amp;"-"&amp;INDEX(BDD!E:E,MATCH(P910,BDD!D:D,0))</f>
        <v>S-P</v>
      </c>
      <c r="C910" s="125" t="s">
        <v>484</v>
      </c>
      <c r="D910" s="150" t="s">
        <v>77</v>
      </c>
      <c r="E910" s="132"/>
      <c r="F910" s="24"/>
      <c r="G910" s="346">
        <v>8000000856</v>
      </c>
      <c r="H910" s="125" t="s">
        <v>3598</v>
      </c>
      <c r="I910" s="329"/>
      <c r="J910" s="346">
        <v>8000000856</v>
      </c>
      <c r="K910" s="24"/>
      <c r="L910" s="24"/>
      <c r="M910" s="24"/>
      <c r="N910" s="340" t="s">
        <v>486</v>
      </c>
      <c r="O910" s="334">
        <v>207499</v>
      </c>
      <c r="P910" s="25" t="s">
        <v>343</v>
      </c>
      <c r="Q910" s="127" t="s">
        <v>297</v>
      </c>
      <c r="R910" s="232" t="s">
        <v>3599</v>
      </c>
      <c r="S910" s="89">
        <v>43917</v>
      </c>
      <c r="T910" s="36">
        <v>90</v>
      </c>
      <c r="U910" s="125" t="s">
        <v>118</v>
      </c>
      <c r="V910" s="147" t="s">
        <v>3600</v>
      </c>
      <c r="W910" s="129"/>
      <c r="X910" s="88">
        <f>+BD910+T910</f>
        <v>44064</v>
      </c>
      <c r="Y910" s="130" t="s">
        <v>20</v>
      </c>
      <c r="Z910" s="133" t="s">
        <v>72</v>
      </c>
      <c r="AA910" s="133"/>
      <c r="AB910" s="241">
        <v>216</v>
      </c>
      <c r="AC910" s="240">
        <v>500</v>
      </c>
      <c r="AD910" s="240"/>
      <c r="AE910" s="403">
        <f t="shared" si="51"/>
        <v>108000</v>
      </c>
      <c r="AF910" s="132">
        <v>8</v>
      </c>
      <c r="AG910" s="130" t="s">
        <v>5</v>
      </c>
      <c r="AH910" s="130"/>
      <c r="AI910" s="130" t="s">
        <v>34</v>
      </c>
      <c r="AJ910" s="130"/>
      <c r="AK910" s="130"/>
      <c r="AL910" s="135" t="s">
        <v>3591</v>
      </c>
      <c r="AM910" s="314"/>
      <c r="AN910" s="26"/>
      <c r="AO910" s="26"/>
      <c r="AP910" s="26"/>
      <c r="AQ910" s="26">
        <v>44018</v>
      </c>
      <c r="AR910" s="24"/>
      <c r="AS910" s="24"/>
      <c r="AT910" s="26">
        <v>44021</v>
      </c>
      <c r="AU910" s="418">
        <f t="shared" si="52"/>
        <v>7</v>
      </c>
      <c r="AV910" s="418">
        <f t="shared" si="53"/>
        <v>2020</v>
      </c>
      <c r="AW910" s="26"/>
      <c r="AX910" s="28"/>
      <c r="AY910" s="28" t="s">
        <v>173</v>
      </c>
      <c r="AZ910" s="132" t="s">
        <v>37</v>
      </c>
      <c r="BA910" s="132"/>
      <c r="BB910" s="24" t="s">
        <v>2956</v>
      </c>
      <c r="BC910" s="135" t="s">
        <v>3601</v>
      </c>
      <c r="BD910" s="24">
        <v>43974</v>
      </c>
      <c r="BE910" s="135" t="s">
        <v>3602</v>
      </c>
      <c r="BF910" s="135" t="s">
        <v>3603</v>
      </c>
      <c r="BG910" s="135" t="s">
        <v>64</v>
      </c>
      <c r="BH910" s="135"/>
      <c r="BI910" s="314" t="s">
        <v>124</v>
      </c>
      <c r="BJ910" s="314"/>
      <c r="BK910" s="24"/>
      <c r="BL910" s="24"/>
      <c r="BM910" s="24"/>
      <c r="BN910" s="24"/>
      <c r="BO910" s="24"/>
      <c r="BP910" s="24"/>
      <c r="BQ910" s="24"/>
      <c r="BR910" s="43"/>
      <c r="BS910" s="24"/>
      <c r="BT910" s="24"/>
      <c r="BU910" s="24"/>
      <c r="BV910" s="132" t="e">
        <f>IF(#REF!="COMPLETO","OK","PENDIENTES")</f>
        <v>#REF!</v>
      </c>
      <c r="BW910" s="325"/>
      <c r="BX910" s="325"/>
      <c r="BY910" s="325"/>
      <c r="BZ910" s="325"/>
      <c r="CA910" s="325"/>
      <c r="CB910" s="325"/>
      <c r="CC910" s="258"/>
      <c r="CG910" s="24" t="s">
        <v>105</v>
      </c>
      <c r="CH910" s="24"/>
      <c r="CI910" s="26"/>
      <c r="CJ910" s="26"/>
    </row>
    <row r="911" spans="1:88" ht="16.149999999999999" customHeight="1">
      <c r="A911" s="18">
        <v>2020</v>
      </c>
      <c r="B911" s="18" t="str">
        <f>+INDEX(BDD!F:F,MATCH(P911,BDD!D:D,0))&amp;"-"&amp;INDEX(BDD!E:E,MATCH(P911,BDD!D:D,0))</f>
        <v>S-P</v>
      </c>
      <c r="C911" s="125" t="s">
        <v>484</v>
      </c>
      <c r="D911" s="150" t="s">
        <v>77</v>
      </c>
      <c r="E911" s="132"/>
      <c r="F911" s="24"/>
      <c r="G911" s="346">
        <v>8000000909</v>
      </c>
      <c r="H911" s="125" t="s">
        <v>3604</v>
      </c>
      <c r="I911" s="329"/>
      <c r="J911" s="346">
        <v>8000000909</v>
      </c>
      <c r="K911" s="24"/>
      <c r="L911" s="24"/>
      <c r="M911" s="24"/>
      <c r="N911" s="340" t="s">
        <v>486</v>
      </c>
      <c r="O911" s="334">
        <v>207499</v>
      </c>
      <c r="P911" s="25" t="s">
        <v>343</v>
      </c>
      <c r="Q911" s="127" t="s">
        <v>297</v>
      </c>
      <c r="R911" s="232" t="s">
        <v>3605</v>
      </c>
      <c r="S911" s="89">
        <v>43917</v>
      </c>
      <c r="T911" s="36">
        <v>90</v>
      </c>
      <c r="U911" s="125" t="s">
        <v>118</v>
      </c>
      <c r="V911" s="147" t="s">
        <v>3606</v>
      </c>
      <c r="W911" s="129"/>
      <c r="X911" s="88">
        <v>44056</v>
      </c>
      <c r="Y911" s="130" t="s">
        <v>20</v>
      </c>
      <c r="Z911" s="133" t="s">
        <v>72</v>
      </c>
      <c r="AA911" s="133"/>
      <c r="AB911" s="241">
        <v>324</v>
      </c>
      <c r="AC911" s="240">
        <v>510</v>
      </c>
      <c r="AD911" s="240"/>
      <c r="AE911" s="403">
        <f t="shared" si="51"/>
        <v>165240</v>
      </c>
      <c r="AF911" s="132">
        <v>12</v>
      </c>
      <c r="AG911" s="130" t="s">
        <v>5</v>
      </c>
      <c r="AH911" s="130"/>
      <c r="AI911" s="130" t="s">
        <v>34</v>
      </c>
      <c r="AJ911" s="130"/>
      <c r="AK911" s="130"/>
      <c r="AL911" s="135" t="s">
        <v>3591</v>
      </c>
      <c r="AM911" s="314"/>
      <c r="AN911" s="26"/>
      <c r="AO911" s="26"/>
      <c r="AP911" s="26"/>
      <c r="AQ911" s="26">
        <v>44036</v>
      </c>
      <c r="AR911" s="24"/>
      <c r="AS911" s="24"/>
      <c r="AT911" s="26">
        <v>44042</v>
      </c>
      <c r="AU911" s="418">
        <f t="shared" si="52"/>
        <v>7</v>
      </c>
      <c r="AV911" s="418">
        <f t="shared" si="53"/>
        <v>2020</v>
      </c>
      <c r="AW911" s="26"/>
      <c r="AX911" s="28"/>
      <c r="AY911" s="28" t="s">
        <v>173</v>
      </c>
      <c r="AZ911" s="132" t="s">
        <v>9</v>
      </c>
      <c r="BA911" s="132"/>
      <c r="BB911" s="24" t="s">
        <v>2956</v>
      </c>
      <c r="BC911" s="135" t="s">
        <v>3607</v>
      </c>
      <c r="BD911" s="24">
        <v>43965</v>
      </c>
      <c r="BE911" s="135" t="s">
        <v>3608</v>
      </c>
      <c r="BF911" s="135" t="s">
        <v>994</v>
      </c>
      <c r="BG911" s="135" t="s">
        <v>41</v>
      </c>
      <c r="BH911" s="135"/>
      <c r="BI911" s="314" t="s">
        <v>124</v>
      </c>
      <c r="BJ911" s="314"/>
      <c r="BK911" s="24"/>
      <c r="BL911" s="24"/>
      <c r="BM911" s="24"/>
      <c r="BN911" s="24"/>
      <c r="BO911" s="24"/>
      <c r="BP911" s="24"/>
      <c r="BQ911" s="24"/>
      <c r="BR911" s="43"/>
      <c r="BS911" s="24"/>
      <c r="BT911" s="24"/>
      <c r="BU911" s="24"/>
      <c r="BV911" s="132" t="e">
        <f>IF(#REF!="COMPLETO","OK","PENDIENTES")</f>
        <v>#REF!</v>
      </c>
      <c r="BW911" s="325"/>
      <c r="BX911" s="325"/>
      <c r="BY911" s="325"/>
      <c r="BZ911" s="325"/>
      <c r="CA911" s="325"/>
      <c r="CB911" s="325"/>
      <c r="CC911" s="258"/>
      <c r="CG911" s="24" t="s">
        <v>105</v>
      </c>
      <c r="CH911" s="24"/>
      <c r="CI911" s="26"/>
      <c r="CJ911" s="26"/>
    </row>
    <row r="912" spans="1:88" ht="16.149999999999999" customHeight="1">
      <c r="A912" s="18">
        <v>2020</v>
      </c>
      <c r="B912" s="18" t="str">
        <f>+INDEX(BDD!F:F,MATCH(P912,BDD!D:D,0))&amp;"-"&amp;INDEX(BDD!E:E,MATCH(P912,BDD!D:D,0))</f>
        <v>S-P</v>
      </c>
      <c r="C912" s="125" t="s">
        <v>484</v>
      </c>
      <c r="D912" s="150" t="s">
        <v>77</v>
      </c>
      <c r="E912" s="132"/>
      <c r="F912" s="24"/>
      <c r="G912" s="346">
        <v>8000000910</v>
      </c>
      <c r="H912" s="125" t="s">
        <v>3609</v>
      </c>
      <c r="I912" s="329"/>
      <c r="J912" s="346">
        <v>8000000910</v>
      </c>
      <c r="K912" s="24"/>
      <c r="L912" s="24"/>
      <c r="M912" s="24"/>
      <c r="N912" s="340" t="s">
        <v>486</v>
      </c>
      <c r="O912" s="334">
        <v>207499</v>
      </c>
      <c r="P912" s="25" t="s">
        <v>343</v>
      </c>
      <c r="Q912" s="127" t="s">
        <v>297</v>
      </c>
      <c r="R912" s="232" t="s">
        <v>3605</v>
      </c>
      <c r="S912" s="89">
        <v>43917</v>
      </c>
      <c r="T912" s="36">
        <v>90</v>
      </c>
      <c r="U912" s="125" t="s">
        <v>118</v>
      </c>
      <c r="V912" s="147" t="s">
        <v>3610</v>
      </c>
      <c r="W912" s="129"/>
      <c r="X912" s="88">
        <f>+BD912+T912</f>
        <v>44064</v>
      </c>
      <c r="Y912" s="130" t="s">
        <v>20</v>
      </c>
      <c r="Z912" s="133" t="s">
        <v>72</v>
      </c>
      <c r="AA912" s="133"/>
      <c r="AB912" s="241">
        <v>108</v>
      </c>
      <c r="AC912" s="240">
        <v>510</v>
      </c>
      <c r="AD912" s="240"/>
      <c r="AE912" s="403">
        <f t="shared" si="51"/>
        <v>55080</v>
      </c>
      <c r="AF912" s="132">
        <v>4</v>
      </c>
      <c r="AG912" s="130" t="s">
        <v>5</v>
      </c>
      <c r="AH912" s="130"/>
      <c r="AI912" s="130" t="s">
        <v>34</v>
      </c>
      <c r="AJ912" s="130"/>
      <c r="AK912" s="130"/>
      <c r="AL912" s="135" t="s">
        <v>3591</v>
      </c>
      <c r="AM912" s="314"/>
      <c r="AN912" s="26"/>
      <c r="AO912" s="26"/>
      <c r="AP912" s="26"/>
      <c r="AQ912" s="26">
        <v>44036</v>
      </c>
      <c r="AR912" s="24"/>
      <c r="AS912" s="24"/>
      <c r="AT912" s="26">
        <v>44042</v>
      </c>
      <c r="AU912" s="418">
        <f t="shared" si="52"/>
        <v>7</v>
      </c>
      <c r="AV912" s="418">
        <f t="shared" si="53"/>
        <v>2020</v>
      </c>
      <c r="AW912" s="26"/>
      <c r="AX912" s="28"/>
      <c r="AY912" s="28" t="s">
        <v>173</v>
      </c>
      <c r="AZ912" s="132" t="s">
        <v>9</v>
      </c>
      <c r="BA912" s="132"/>
      <c r="BB912" s="24" t="s">
        <v>3264</v>
      </c>
      <c r="BC912" s="135" t="s">
        <v>3611</v>
      </c>
      <c r="BD912" s="24">
        <v>43974</v>
      </c>
      <c r="BE912" s="135" t="s">
        <v>3612</v>
      </c>
      <c r="BF912" s="135" t="s">
        <v>994</v>
      </c>
      <c r="BG912" s="135" t="s">
        <v>41</v>
      </c>
      <c r="BH912" s="135"/>
      <c r="BI912" s="314" t="s">
        <v>124</v>
      </c>
      <c r="BJ912" s="314"/>
      <c r="BK912" s="24"/>
      <c r="BL912" s="24"/>
      <c r="BM912" s="24"/>
      <c r="BN912" s="24"/>
      <c r="BO912" s="24"/>
      <c r="BP912" s="24"/>
      <c r="BQ912" s="24"/>
      <c r="BR912" s="43"/>
      <c r="BS912" s="24"/>
      <c r="BT912" s="24"/>
      <c r="BU912" s="24"/>
      <c r="BV912" s="132" t="e">
        <f>IF(#REF!="COMPLETO","OK","PENDIENTES")</f>
        <v>#REF!</v>
      </c>
      <c r="BW912" s="325"/>
      <c r="BX912" s="325"/>
      <c r="BY912" s="325"/>
      <c r="BZ912" s="325"/>
      <c r="CA912" s="325"/>
      <c r="CB912" s="325"/>
      <c r="CC912" s="258"/>
      <c r="CG912" s="24" t="s">
        <v>105</v>
      </c>
      <c r="CH912" s="24"/>
      <c r="CI912" s="26"/>
      <c r="CJ912" s="26"/>
    </row>
    <row r="913" spans="1:88" ht="15" customHeight="1">
      <c r="A913" s="18">
        <v>2020</v>
      </c>
      <c r="B913" s="18" t="str">
        <f>+INDEX(BDD!F:F,MATCH(P913,BDD!D:D,0))&amp;"-"&amp;INDEX(BDD!E:E,MATCH(P913,BDD!D:D,0))</f>
        <v>B-S</v>
      </c>
      <c r="C913" s="125" t="s">
        <v>484</v>
      </c>
      <c r="D913" s="150" t="s">
        <v>77</v>
      </c>
      <c r="E913" s="132"/>
      <c r="F913" s="24"/>
      <c r="G913" s="346">
        <v>8000000723</v>
      </c>
      <c r="H913" s="125" t="s">
        <v>3613</v>
      </c>
      <c r="I913" s="329"/>
      <c r="J913" s="346">
        <v>8000000723</v>
      </c>
      <c r="K913" s="24"/>
      <c r="L913" s="24"/>
      <c r="M913" s="24"/>
      <c r="N913" s="340" t="s">
        <v>486</v>
      </c>
      <c r="O913" s="334">
        <v>206608</v>
      </c>
      <c r="P913" s="25" t="s">
        <v>370</v>
      </c>
      <c r="Q913" s="127" t="s">
        <v>191</v>
      </c>
      <c r="R913" s="232" t="s">
        <v>944</v>
      </c>
      <c r="S913" s="89">
        <v>43910</v>
      </c>
      <c r="T913" s="36">
        <v>150</v>
      </c>
      <c r="U913" s="125" t="s">
        <v>131</v>
      </c>
      <c r="V913" s="147" t="s">
        <v>3614</v>
      </c>
      <c r="W913" s="129"/>
      <c r="X913" s="88">
        <v>44104</v>
      </c>
      <c r="Y913" s="130" t="s">
        <v>20</v>
      </c>
      <c r="Z913" s="133" t="s">
        <v>81</v>
      </c>
      <c r="AA913" s="133"/>
      <c r="AB913" s="241">
        <v>1.7856000000000001</v>
      </c>
      <c r="AC913" s="240">
        <v>41097.826928154565</v>
      </c>
      <c r="AD913" s="240"/>
      <c r="AE913" s="403">
        <f t="shared" si="51"/>
        <v>73384.279762912789</v>
      </c>
      <c r="AF913" s="145" t="s">
        <v>2822</v>
      </c>
      <c r="AG913" s="130" t="s">
        <v>5</v>
      </c>
      <c r="AH913" s="130"/>
      <c r="AI913" s="130" t="s">
        <v>126</v>
      </c>
      <c r="AJ913" s="130"/>
      <c r="AK913" s="130"/>
      <c r="AL913" s="135" t="s">
        <v>3591</v>
      </c>
      <c r="AM913" s="314"/>
      <c r="AN913" s="26"/>
      <c r="AO913" s="26"/>
      <c r="AP913" s="26"/>
      <c r="AQ913" s="26">
        <v>43959</v>
      </c>
      <c r="AR913" s="24"/>
      <c r="AS913" s="24"/>
      <c r="AT913" s="24">
        <v>43963</v>
      </c>
      <c r="AU913" s="418">
        <f t="shared" si="52"/>
        <v>5</v>
      </c>
      <c r="AV913" s="418">
        <f t="shared" si="53"/>
        <v>2020</v>
      </c>
      <c r="AW913" s="24"/>
      <c r="AX913" s="28"/>
      <c r="AY913" s="28" t="s">
        <v>299</v>
      </c>
      <c r="AZ913" s="132" t="s">
        <v>37</v>
      </c>
      <c r="BA913" s="132"/>
      <c r="BB913" s="24" t="s">
        <v>2956</v>
      </c>
      <c r="BC913" s="135" t="s">
        <v>3615</v>
      </c>
      <c r="BD913" s="24">
        <v>43934</v>
      </c>
      <c r="BE913" s="135" t="s">
        <v>3616</v>
      </c>
      <c r="BF913" s="135" t="s">
        <v>814</v>
      </c>
      <c r="BG913" s="135" t="s">
        <v>64</v>
      </c>
      <c r="BH913" s="135"/>
      <c r="BI913" s="314" t="s">
        <v>124</v>
      </c>
      <c r="BJ913" s="314"/>
      <c r="BK913" s="24"/>
      <c r="BL913" s="24"/>
      <c r="BM913" s="24"/>
      <c r="BN913" s="24"/>
      <c r="BO913" s="24"/>
      <c r="BP913" s="24"/>
      <c r="BQ913" s="24"/>
      <c r="BR913" s="43"/>
      <c r="BS913" s="24"/>
      <c r="BT913" s="24"/>
      <c r="BU913" s="24"/>
      <c r="BV913" s="132" t="e">
        <f>IF(#REF!="COMPLETO","OK","PENDIENTES")</f>
        <v>#REF!</v>
      </c>
      <c r="BW913" s="325"/>
      <c r="BX913" s="325"/>
      <c r="BY913" s="325"/>
      <c r="BZ913" s="325"/>
      <c r="CA913" s="325"/>
      <c r="CB913" s="325"/>
      <c r="CC913" s="258"/>
      <c r="CG913" s="24" t="s">
        <v>105</v>
      </c>
      <c r="CH913" s="24"/>
      <c r="CI913" s="24"/>
      <c r="CJ913" s="24"/>
    </row>
    <row r="914" spans="1:88" ht="15" customHeight="1">
      <c r="A914" s="18">
        <v>2020</v>
      </c>
      <c r="B914" s="18" t="str">
        <f>+INDEX(BDD!F:F,MATCH(P914,BDD!D:D,0))&amp;"-"&amp;INDEX(BDD!E:E,MATCH(P914,BDD!D:D,0))</f>
        <v>B-S</v>
      </c>
      <c r="C914" s="125" t="s">
        <v>484</v>
      </c>
      <c r="D914" s="150" t="s">
        <v>77</v>
      </c>
      <c r="E914" s="132"/>
      <c r="F914" s="24"/>
      <c r="G914" s="346">
        <v>8000000723</v>
      </c>
      <c r="H914" s="125" t="s">
        <v>3617</v>
      </c>
      <c r="I914" s="329"/>
      <c r="J914" s="346">
        <v>8000000723</v>
      </c>
      <c r="K914" s="24"/>
      <c r="L914" s="24"/>
      <c r="M914" s="24"/>
      <c r="N914" s="340" t="s">
        <v>486</v>
      </c>
      <c r="O914" s="334">
        <v>206612</v>
      </c>
      <c r="P914" s="25" t="s">
        <v>361</v>
      </c>
      <c r="Q914" s="127" t="s">
        <v>191</v>
      </c>
      <c r="R914" s="232" t="s">
        <v>944</v>
      </c>
      <c r="S914" s="89">
        <v>43910</v>
      </c>
      <c r="T914" s="36">
        <v>150</v>
      </c>
      <c r="U914" s="125" t="s">
        <v>131</v>
      </c>
      <c r="V914" s="147" t="s">
        <v>3614</v>
      </c>
      <c r="W914" s="129"/>
      <c r="X914" s="88">
        <v>44104</v>
      </c>
      <c r="Y914" s="130" t="s">
        <v>20</v>
      </c>
      <c r="Z914" s="133" t="s">
        <v>81</v>
      </c>
      <c r="AA914" s="133"/>
      <c r="AB914" s="241">
        <v>1.2</v>
      </c>
      <c r="AC914" s="240">
        <v>4670.9790431837419</v>
      </c>
      <c r="AD914" s="240"/>
      <c r="AE914" s="403">
        <f t="shared" si="51"/>
        <v>5605.1748518204904</v>
      </c>
      <c r="AF914" s="145" t="s">
        <v>2822</v>
      </c>
      <c r="AG914" s="130" t="s">
        <v>5</v>
      </c>
      <c r="AH914" s="130"/>
      <c r="AI914" s="130" t="s">
        <v>34</v>
      </c>
      <c r="AJ914" s="130"/>
      <c r="AK914" s="130"/>
      <c r="AL914" s="135" t="s">
        <v>3591</v>
      </c>
      <c r="AM914" s="314"/>
      <c r="AN914" s="26"/>
      <c r="AO914" s="26"/>
      <c r="AP914" s="26"/>
      <c r="AQ914" s="26">
        <v>43959</v>
      </c>
      <c r="AR914" s="24"/>
      <c r="AS914" s="24"/>
      <c r="AT914" s="24">
        <v>43963</v>
      </c>
      <c r="AU914" s="418">
        <f t="shared" si="52"/>
        <v>5</v>
      </c>
      <c r="AV914" s="418">
        <f t="shared" si="53"/>
        <v>2020</v>
      </c>
      <c r="AW914" s="24"/>
      <c r="AX914" s="28"/>
      <c r="AY914" s="28" t="s">
        <v>299</v>
      </c>
      <c r="AZ914" s="132" t="s">
        <v>37</v>
      </c>
      <c r="BA914" s="132"/>
      <c r="BB914" s="24" t="s">
        <v>2956</v>
      </c>
      <c r="BC914" s="135" t="s">
        <v>3615</v>
      </c>
      <c r="BD914" s="24">
        <v>43934</v>
      </c>
      <c r="BE914" s="135" t="s">
        <v>3616</v>
      </c>
      <c r="BF914" s="135" t="s">
        <v>814</v>
      </c>
      <c r="BG914" s="135" t="s">
        <v>64</v>
      </c>
      <c r="BH914" s="135"/>
      <c r="BI914" s="314" t="s">
        <v>124</v>
      </c>
      <c r="BJ914" s="314"/>
      <c r="BK914" s="24"/>
      <c r="BL914" s="24"/>
      <c r="BM914" s="24"/>
      <c r="BN914" s="24"/>
      <c r="BO914" s="24"/>
      <c r="BP914" s="24"/>
      <c r="BQ914" s="24"/>
      <c r="BR914" s="43"/>
      <c r="BS914" s="24"/>
      <c r="BT914" s="24"/>
      <c r="BU914" s="24"/>
      <c r="BV914" s="132" t="e">
        <f>IF(#REF!="COMPLETO","OK","PENDIENTES")</f>
        <v>#REF!</v>
      </c>
      <c r="BW914" s="325"/>
      <c r="BX914" s="325"/>
      <c r="BY914" s="325"/>
      <c r="BZ914" s="325"/>
      <c r="CA914" s="325"/>
      <c r="CB914" s="325"/>
      <c r="CC914" s="258"/>
      <c r="CG914" s="24" t="s">
        <v>105</v>
      </c>
      <c r="CH914" s="24"/>
      <c r="CI914" s="24"/>
      <c r="CJ914" s="24"/>
    </row>
    <row r="915" spans="1:88" ht="15" customHeight="1">
      <c r="A915" s="18">
        <v>2020</v>
      </c>
      <c r="B915" s="18" t="str">
        <f>+INDEX(BDD!F:F,MATCH(P915,BDD!D:D,0))&amp;"-"&amp;INDEX(BDD!E:E,MATCH(P915,BDD!D:D,0))</f>
        <v>B-S</v>
      </c>
      <c r="C915" s="125" t="s">
        <v>484</v>
      </c>
      <c r="D915" s="150" t="s">
        <v>77</v>
      </c>
      <c r="E915" s="132"/>
      <c r="F915" s="24"/>
      <c r="G915" s="346">
        <v>8000000723</v>
      </c>
      <c r="H915" s="125" t="s">
        <v>3618</v>
      </c>
      <c r="I915" s="329"/>
      <c r="J915" s="346">
        <v>8000000723</v>
      </c>
      <c r="K915" s="24"/>
      <c r="L915" s="24"/>
      <c r="M915" s="24"/>
      <c r="N915" s="340" t="s">
        <v>486</v>
      </c>
      <c r="O915" s="334">
        <v>206576</v>
      </c>
      <c r="P915" s="25" t="s">
        <v>362</v>
      </c>
      <c r="Q915" s="127" t="s">
        <v>191</v>
      </c>
      <c r="R915" s="232" t="s">
        <v>944</v>
      </c>
      <c r="S915" s="89">
        <v>43910</v>
      </c>
      <c r="T915" s="36">
        <v>150</v>
      </c>
      <c r="U915" s="125" t="s">
        <v>131</v>
      </c>
      <c r="V915" s="147" t="s">
        <v>3614</v>
      </c>
      <c r="W915" s="129"/>
      <c r="X915" s="88">
        <v>44104</v>
      </c>
      <c r="Y915" s="130" t="s">
        <v>20</v>
      </c>
      <c r="Z915" s="133" t="s">
        <v>81</v>
      </c>
      <c r="AA915" s="133"/>
      <c r="AB915" s="241">
        <v>2.2000000000000002</v>
      </c>
      <c r="AC915" s="240">
        <v>6170.9790431837419</v>
      </c>
      <c r="AD915" s="240"/>
      <c r="AE915" s="403">
        <f t="shared" si="51"/>
        <v>13576.153895004234</v>
      </c>
      <c r="AF915" s="145" t="s">
        <v>2822</v>
      </c>
      <c r="AG915" s="130" t="s">
        <v>5</v>
      </c>
      <c r="AH915" s="130"/>
      <c r="AI915" s="130" t="s">
        <v>3619</v>
      </c>
      <c r="AJ915" s="130"/>
      <c r="AK915" s="130"/>
      <c r="AL915" s="135" t="s">
        <v>3591</v>
      </c>
      <c r="AM915" s="314"/>
      <c r="AN915" s="26"/>
      <c r="AO915" s="26"/>
      <c r="AP915" s="26"/>
      <c r="AQ915" s="26">
        <v>43959</v>
      </c>
      <c r="AR915" s="24"/>
      <c r="AS915" s="24"/>
      <c r="AT915" s="24">
        <v>43963</v>
      </c>
      <c r="AU915" s="418">
        <f t="shared" si="52"/>
        <v>5</v>
      </c>
      <c r="AV915" s="418">
        <f t="shared" si="53"/>
        <v>2020</v>
      </c>
      <c r="AW915" s="24"/>
      <c r="AX915" s="28"/>
      <c r="AY915" s="28" t="s">
        <v>299</v>
      </c>
      <c r="AZ915" s="132" t="s">
        <v>37</v>
      </c>
      <c r="BA915" s="132"/>
      <c r="BB915" s="24" t="s">
        <v>2956</v>
      </c>
      <c r="BC915" s="135" t="s">
        <v>3615</v>
      </c>
      <c r="BD915" s="24">
        <v>43934</v>
      </c>
      <c r="BE915" s="135" t="s">
        <v>3616</v>
      </c>
      <c r="BF915" s="135" t="s">
        <v>814</v>
      </c>
      <c r="BG915" s="135" t="s">
        <v>64</v>
      </c>
      <c r="BH915" s="135"/>
      <c r="BI915" s="314" t="s">
        <v>124</v>
      </c>
      <c r="BJ915" s="314"/>
      <c r="BK915" s="24"/>
      <c r="BL915" s="24"/>
      <c r="BM915" s="24"/>
      <c r="BN915" s="24"/>
      <c r="BO915" s="24"/>
      <c r="BP915" s="24"/>
      <c r="BQ915" s="24"/>
      <c r="BR915" s="43"/>
      <c r="BS915" s="24"/>
      <c r="BT915" s="24"/>
      <c r="BU915" s="24"/>
      <c r="BV915" s="132" t="e">
        <f>IF(#REF!="COMPLETO","OK","PENDIENTES")</f>
        <v>#REF!</v>
      </c>
      <c r="BW915" s="325"/>
      <c r="BX915" s="325"/>
      <c r="BY915" s="325"/>
      <c r="BZ915" s="325"/>
      <c r="CA915" s="325"/>
      <c r="CB915" s="325"/>
      <c r="CC915" s="258"/>
      <c r="CG915" s="24" t="s">
        <v>105</v>
      </c>
      <c r="CH915" s="24"/>
      <c r="CI915" s="24"/>
      <c r="CJ915" s="24"/>
    </row>
    <row r="916" spans="1:88" ht="15" customHeight="1">
      <c r="A916" s="18">
        <v>2020</v>
      </c>
      <c r="B916" s="18" t="str">
        <f>+INDEX(BDD!F:F,MATCH(P916,BDD!D:D,0))&amp;"-"&amp;INDEX(BDD!E:E,MATCH(P916,BDD!D:D,0))</f>
        <v>B-S</v>
      </c>
      <c r="C916" s="125" t="s">
        <v>484</v>
      </c>
      <c r="D916" s="150" t="s">
        <v>77</v>
      </c>
      <c r="E916" s="132"/>
      <c r="F916" s="24"/>
      <c r="G916" s="346">
        <v>8000000723</v>
      </c>
      <c r="H916" s="125" t="s">
        <v>3620</v>
      </c>
      <c r="I916" s="329"/>
      <c r="J916" s="346">
        <v>8000000723</v>
      </c>
      <c r="K916" s="24"/>
      <c r="L916" s="24"/>
      <c r="M916" s="24"/>
      <c r="N916" s="340" t="s">
        <v>486</v>
      </c>
      <c r="O916" s="334" t="s">
        <v>3621</v>
      </c>
      <c r="P916" s="25" t="s">
        <v>373</v>
      </c>
      <c r="Q916" s="127" t="s">
        <v>191</v>
      </c>
      <c r="R916" s="232" t="s">
        <v>944</v>
      </c>
      <c r="S916" s="89">
        <v>43910</v>
      </c>
      <c r="T916" s="36">
        <v>150</v>
      </c>
      <c r="U916" s="125" t="s">
        <v>131</v>
      </c>
      <c r="V916" s="147" t="s">
        <v>3614</v>
      </c>
      <c r="W916" s="129"/>
      <c r="X916" s="88">
        <v>44104</v>
      </c>
      <c r="Y916" s="130" t="s">
        <v>20</v>
      </c>
      <c r="Z916" s="133" t="s">
        <v>81</v>
      </c>
      <c r="AA916" s="133"/>
      <c r="AB916" s="241">
        <v>0.89280000000000004</v>
      </c>
      <c r="AC916" s="240">
        <v>20398.902196971761</v>
      </c>
      <c r="AD916" s="240"/>
      <c r="AE916" s="403">
        <f t="shared" si="51"/>
        <v>18212.139881456391</v>
      </c>
      <c r="AF916" s="145" t="s">
        <v>2822</v>
      </c>
      <c r="AG916" s="130" t="s">
        <v>5</v>
      </c>
      <c r="AH916" s="130"/>
      <c r="AI916" s="130" t="s">
        <v>126</v>
      </c>
      <c r="AJ916" s="130"/>
      <c r="AK916" s="130"/>
      <c r="AL916" s="135" t="s">
        <v>3591</v>
      </c>
      <c r="AM916" s="314"/>
      <c r="AN916" s="26"/>
      <c r="AO916" s="26"/>
      <c r="AP916" s="26"/>
      <c r="AQ916" s="26">
        <v>43959</v>
      </c>
      <c r="AR916" s="24"/>
      <c r="AS916" s="24"/>
      <c r="AT916" s="24">
        <v>43963</v>
      </c>
      <c r="AU916" s="418">
        <f t="shared" si="52"/>
        <v>5</v>
      </c>
      <c r="AV916" s="418">
        <f t="shared" si="53"/>
        <v>2020</v>
      </c>
      <c r="AW916" s="24"/>
      <c r="AX916" s="28"/>
      <c r="AY916" s="28" t="s">
        <v>299</v>
      </c>
      <c r="AZ916" s="132" t="s">
        <v>37</v>
      </c>
      <c r="BA916" s="132"/>
      <c r="BB916" s="24" t="s">
        <v>2956</v>
      </c>
      <c r="BC916" s="135" t="s">
        <v>3615</v>
      </c>
      <c r="BD916" s="24">
        <v>43934</v>
      </c>
      <c r="BE916" s="135" t="s">
        <v>3616</v>
      </c>
      <c r="BF916" s="135" t="s">
        <v>814</v>
      </c>
      <c r="BG916" s="135" t="s">
        <v>64</v>
      </c>
      <c r="BH916" s="135"/>
      <c r="BI916" s="314" t="s">
        <v>124</v>
      </c>
      <c r="BJ916" s="314"/>
      <c r="BK916" s="24"/>
      <c r="BL916" s="24"/>
      <c r="BM916" s="24"/>
      <c r="BN916" s="24"/>
      <c r="BO916" s="24"/>
      <c r="BP916" s="24"/>
      <c r="BQ916" s="24"/>
      <c r="BR916" s="43"/>
      <c r="BS916" s="24"/>
      <c r="BT916" s="24"/>
      <c r="BU916" s="24"/>
      <c r="BV916" s="132" t="e">
        <f>IF(#REF!="COMPLETO","OK","PENDIENTES")</f>
        <v>#REF!</v>
      </c>
      <c r="BW916" s="325"/>
      <c r="BX916" s="325"/>
      <c r="BY916" s="325"/>
      <c r="BZ916" s="325"/>
      <c r="CA916" s="325"/>
      <c r="CB916" s="325"/>
      <c r="CC916" s="258"/>
      <c r="CG916" s="24" t="s">
        <v>105</v>
      </c>
      <c r="CH916" s="24"/>
      <c r="CI916" s="24"/>
      <c r="CJ916" s="24"/>
    </row>
    <row r="917" spans="1:88" ht="15" customHeight="1">
      <c r="A917" s="18">
        <v>2020</v>
      </c>
      <c r="B917" s="18" t="str">
        <f>+INDEX(BDD!F:F,MATCH(P917,BDD!D:D,0))&amp;"-"&amp;INDEX(BDD!E:E,MATCH(P917,BDD!D:D,0))</f>
        <v>B-S</v>
      </c>
      <c r="C917" s="125" t="s">
        <v>484</v>
      </c>
      <c r="D917" s="150" t="s">
        <v>77</v>
      </c>
      <c r="E917" s="132"/>
      <c r="F917" s="24"/>
      <c r="G917" s="346">
        <v>8000000723</v>
      </c>
      <c r="H917" s="125" t="s">
        <v>3622</v>
      </c>
      <c r="I917" s="329"/>
      <c r="J917" s="346">
        <v>8000000723</v>
      </c>
      <c r="K917" s="24"/>
      <c r="L917" s="24"/>
      <c r="M917" s="24"/>
      <c r="N917" s="340" t="s">
        <v>486</v>
      </c>
      <c r="O917" s="334" t="s">
        <v>3623</v>
      </c>
      <c r="P917" s="25" t="s">
        <v>363</v>
      </c>
      <c r="Q917" s="127" t="s">
        <v>191</v>
      </c>
      <c r="R917" s="232" t="s">
        <v>944</v>
      </c>
      <c r="S917" s="89">
        <v>43910</v>
      </c>
      <c r="T917" s="36">
        <v>150</v>
      </c>
      <c r="U917" s="125" t="s">
        <v>131</v>
      </c>
      <c r="V917" s="147" t="s">
        <v>3614</v>
      </c>
      <c r="W917" s="129"/>
      <c r="X917" s="88">
        <v>44186</v>
      </c>
      <c r="Y917" s="130" t="s">
        <v>20</v>
      </c>
      <c r="Z917" s="133" t="s">
        <v>81</v>
      </c>
      <c r="AA917" s="133"/>
      <c r="AB917" s="241">
        <v>0.94247999999999998</v>
      </c>
      <c r="AC917" s="240">
        <v>8631.0748262048255</v>
      </c>
      <c r="AD917" s="240"/>
      <c r="AE917" s="403">
        <f t="shared" si="51"/>
        <v>8134.6154022015235</v>
      </c>
      <c r="AF917" s="145" t="s">
        <v>2822</v>
      </c>
      <c r="AG917" s="130" t="s">
        <v>5</v>
      </c>
      <c r="AH917" s="130"/>
      <c r="AI917" s="130" t="s">
        <v>3624</v>
      </c>
      <c r="AJ917" s="130"/>
      <c r="AK917" s="130"/>
      <c r="AL917" s="135" t="s">
        <v>3591</v>
      </c>
      <c r="AM917" s="314"/>
      <c r="AN917" s="26"/>
      <c r="AO917" s="26"/>
      <c r="AP917" s="26"/>
      <c r="AQ917" s="26">
        <v>43959</v>
      </c>
      <c r="AR917" s="24"/>
      <c r="AS917" s="24"/>
      <c r="AT917" s="24">
        <v>43963</v>
      </c>
      <c r="AU917" s="418">
        <f t="shared" si="52"/>
        <v>5</v>
      </c>
      <c r="AV917" s="418">
        <f t="shared" si="53"/>
        <v>2020</v>
      </c>
      <c r="AW917" s="24"/>
      <c r="AX917" s="28"/>
      <c r="AY917" s="28" t="s">
        <v>299</v>
      </c>
      <c r="AZ917" s="132" t="s">
        <v>37</v>
      </c>
      <c r="BA917" s="132"/>
      <c r="BB917" s="24" t="s">
        <v>2956</v>
      </c>
      <c r="BC917" s="135" t="s">
        <v>3615</v>
      </c>
      <c r="BD917" s="24">
        <v>43934</v>
      </c>
      <c r="BE917" s="135" t="s">
        <v>3616</v>
      </c>
      <c r="BF917" s="135" t="s">
        <v>814</v>
      </c>
      <c r="BG917" s="135" t="s">
        <v>64</v>
      </c>
      <c r="BH917" s="135"/>
      <c r="BI917" s="314" t="s">
        <v>124</v>
      </c>
      <c r="BJ917" s="314"/>
      <c r="BK917" s="24"/>
      <c r="BL917" s="24"/>
      <c r="BM917" s="24"/>
      <c r="BN917" s="24"/>
      <c r="BO917" s="24"/>
      <c r="BP917" s="24"/>
      <c r="BQ917" s="24"/>
      <c r="BR917" s="43"/>
      <c r="BS917" s="24"/>
      <c r="BT917" s="24"/>
      <c r="BU917" s="24"/>
      <c r="BV917" s="132" t="e">
        <f>IF(#REF!="COMPLETO","OK","PENDIENTES")</f>
        <v>#REF!</v>
      </c>
      <c r="BW917" s="325"/>
      <c r="BX917" s="325"/>
      <c r="BY917" s="325"/>
      <c r="BZ917" s="325"/>
      <c r="CA917" s="325"/>
      <c r="CB917" s="325"/>
      <c r="CC917" s="258"/>
      <c r="CG917" s="24" t="s">
        <v>105</v>
      </c>
      <c r="CH917" s="24"/>
      <c r="CI917" s="24"/>
      <c r="CJ917" s="24"/>
    </row>
    <row r="918" spans="1:88" ht="15" customHeight="1">
      <c r="A918" s="18">
        <v>2020</v>
      </c>
      <c r="B918" s="18" t="str">
        <f>+INDEX(BDD!F:F,MATCH(P918,BDD!D:D,0))&amp;"-"&amp;INDEX(BDD!E:E,MATCH(P918,BDD!D:D,0))</f>
        <v>B-S</v>
      </c>
      <c r="C918" s="125" t="s">
        <v>484</v>
      </c>
      <c r="D918" s="150" t="s">
        <v>77</v>
      </c>
      <c r="E918" s="132"/>
      <c r="F918" s="24"/>
      <c r="G918" s="346">
        <v>8000000723</v>
      </c>
      <c r="H918" s="125" t="s">
        <v>3625</v>
      </c>
      <c r="I918" s="329"/>
      <c r="J918" s="346">
        <v>8000000723</v>
      </c>
      <c r="K918" s="24"/>
      <c r="L918" s="24"/>
      <c r="M918" s="24"/>
      <c r="N918" s="340" t="s">
        <v>486</v>
      </c>
      <c r="O918" s="334">
        <v>206578</v>
      </c>
      <c r="P918" s="25" t="s">
        <v>364</v>
      </c>
      <c r="Q918" s="127" t="s">
        <v>191</v>
      </c>
      <c r="R918" s="232" t="s">
        <v>944</v>
      </c>
      <c r="S918" s="89">
        <v>43910</v>
      </c>
      <c r="T918" s="36">
        <v>150</v>
      </c>
      <c r="U918" s="125" t="s">
        <v>131</v>
      </c>
      <c r="V918" s="147" t="s">
        <v>3614</v>
      </c>
      <c r="W918" s="129"/>
      <c r="X918" s="88">
        <v>44104</v>
      </c>
      <c r="Y918" s="130" t="s">
        <v>20</v>
      </c>
      <c r="Z918" s="133" t="s">
        <v>81</v>
      </c>
      <c r="AA918" s="133"/>
      <c r="AB918" s="241">
        <v>1.00712</v>
      </c>
      <c r="AC918" s="240">
        <v>7605.2659089299423</v>
      </c>
      <c r="AD918" s="240"/>
      <c r="AE918" s="403">
        <f t="shared" si="51"/>
        <v>7659.4154022015236</v>
      </c>
      <c r="AF918" s="145" t="s">
        <v>2822</v>
      </c>
      <c r="AG918" s="130" t="s">
        <v>5</v>
      </c>
      <c r="AH918" s="130"/>
      <c r="AI918" s="130" t="s">
        <v>3624</v>
      </c>
      <c r="AJ918" s="130"/>
      <c r="AK918" s="130"/>
      <c r="AL918" s="135" t="s">
        <v>3591</v>
      </c>
      <c r="AM918" s="314"/>
      <c r="AN918" s="26"/>
      <c r="AO918" s="26"/>
      <c r="AP918" s="26"/>
      <c r="AQ918" s="26">
        <v>43959</v>
      </c>
      <c r="AR918" s="24"/>
      <c r="AS918" s="24"/>
      <c r="AT918" s="24">
        <v>43963</v>
      </c>
      <c r="AU918" s="418">
        <f t="shared" si="52"/>
        <v>5</v>
      </c>
      <c r="AV918" s="418">
        <f t="shared" si="53"/>
        <v>2020</v>
      </c>
      <c r="AW918" s="24"/>
      <c r="AX918" s="28"/>
      <c r="AY918" s="28" t="s">
        <v>299</v>
      </c>
      <c r="AZ918" s="132" t="s">
        <v>37</v>
      </c>
      <c r="BA918" s="132"/>
      <c r="BB918" s="24" t="s">
        <v>2956</v>
      </c>
      <c r="BC918" s="135" t="s">
        <v>3615</v>
      </c>
      <c r="BD918" s="24">
        <v>43934</v>
      </c>
      <c r="BE918" s="135" t="s">
        <v>3616</v>
      </c>
      <c r="BF918" s="135" t="s">
        <v>814</v>
      </c>
      <c r="BG918" s="135" t="s">
        <v>64</v>
      </c>
      <c r="BH918" s="135"/>
      <c r="BI918" s="314" t="s">
        <v>124</v>
      </c>
      <c r="BJ918" s="314"/>
      <c r="BK918" s="24"/>
      <c r="BL918" s="24"/>
      <c r="BM918" s="24"/>
      <c r="BN918" s="24"/>
      <c r="BO918" s="24"/>
      <c r="BP918" s="24"/>
      <c r="BQ918" s="24"/>
      <c r="BR918" s="43"/>
      <c r="BS918" s="24"/>
      <c r="BT918" s="24"/>
      <c r="BU918" s="24"/>
      <c r="BV918" s="132" t="e">
        <f>IF(#REF!="COMPLETO","OK","PENDIENTES")</f>
        <v>#REF!</v>
      </c>
      <c r="BW918" s="325"/>
      <c r="BX918" s="325"/>
      <c r="BY918" s="325"/>
      <c r="BZ918" s="325"/>
      <c r="CA918" s="325"/>
      <c r="CB918" s="325"/>
      <c r="CC918" s="258"/>
      <c r="CG918" s="24" t="s">
        <v>105</v>
      </c>
      <c r="CH918" s="24"/>
      <c r="CI918" s="24"/>
      <c r="CJ918" s="24"/>
    </row>
    <row r="919" spans="1:88" ht="15" customHeight="1">
      <c r="A919" s="18">
        <v>2020</v>
      </c>
      <c r="B919" s="18" t="str">
        <f>+INDEX(BDD!F:F,MATCH(P919,BDD!D:D,0))&amp;"-"&amp;INDEX(BDD!E:E,MATCH(P919,BDD!D:D,0))</f>
        <v>B-S</v>
      </c>
      <c r="C919" s="125" t="s">
        <v>484</v>
      </c>
      <c r="D919" s="150" t="s">
        <v>77</v>
      </c>
      <c r="E919" s="132"/>
      <c r="F919" s="24"/>
      <c r="G919" s="346">
        <v>8000000723</v>
      </c>
      <c r="H919" s="125" t="s">
        <v>3626</v>
      </c>
      <c r="I919" s="329"/>
      <c r="J919" s="346">
        <v>8000000723</v>
      </c>
      <c r="K919" s="24"/>
      <c r="L919" s="24"/>
      <c r="M919" s="24"/>
      <c r="N919" s="340" t="s">
        <v>486</v>
      </c>
      <c r="O919" s="334">
        <v>206581</v>
      </c>
      <c r="P919" s="25" t="s">
        <v>375</v>
      </c>
      <c r="Q919" s="127" t="s">
        <v>191</v>
      </c>
      <c r="R919" s="232" t="s">
        <v>944</v>
      </c>
      <c r="S919" s="89">
        <v>43910</v>
      </c>
      <c r="T919" s="36">
        <v>150</v>
      </c>
      <c r="U919" s="125" t="s">
        <v>131</v>
      </c>
      <c r="V919" s="147" t="s">
        <v>3614</v>
      </c>
      <c r="W919" s="129"/>
      <c r="X919" s="88">
        <v>44186</v>
      </c>
      <c r="Y919" s="130" t="s">
        <v>20</v>
      </c>
      <c r="Z919" s="133" t="s">
        <v>81</v>
      </c>
      <c r="AA919" s="133"/>
      <c r="AB919" s="241">
        <v>0.72072000000000003</v>
      </c>
      <c r="AC919" s="240">
        <v>7440.6363111909204</v>
      </c>
      <c r="AD919" s="240"/>
      <c r="AE919" s="403">
        <f t="shared" si="51"/>
        <v>5362.6154022015207</v>
      </c>
      <c r="AF919" s="145" t="s">
        <v>2822</v>
      </c>
      <c r="AG919" s="130" t="s">
        <v>5</v>
      </c>
      <c r="AH919" s="130"/>
      <c r="AI919" s="130" t="s">
        <v>3624</v>
      </c>
      <c r="AJ919" s="130"/>
      <c r="AK919" s="130"/>
      <c r="AL919" s="135" t="s">
        <v>3591</v>
      </c>
      <c r="AM919" s="314"/>
      <c r="AN919" s="26"/>
      <c r="AO919" s="26"/>
      <c r="AP919" s="26"/>
      <c r="AQ919" s="26">
        <v>43959</v>
      </c>
      <c r="AR919" s="24"/>
      <c r="AS919" s="24"/>
      <c r="AT919" s="24">
        <v>43963</v>
      </c>
      <c r="AU919" s="418">
        <f t="shared" si="52"/>
        <v>5</v>
      </c>
      <c r="AV919" s="418">
        <f t="shared" si="53"/>
        <v>2020</v>
      </c>
      <c r="AW919" s="24"/>
      <c r="AX919" s="28"/>
      <c r="AY919" s="28" t="s">
        <v>299</v>
      </c>
      <c r="AZ919" s="132" t="s">
        <v>37</v>
      </c>
      <c r="BA919" s="132"/>
      <c r="BB919" s="24" t="s">
        <v>2956</v>
      </c>
      <c r="BC919" s="135" t="s">
        <v>3615</v>
      </c>
      <c r="BD919" s="24">
        <v>43934</v>
      </c>
      <c r="BE919" s="135" t="s">
        <v>3616</v>
      </c>
      <c r="BF919" s="135" t="s">
        <v>814</v>
      </c>
      <c r="BG919" s="135" t="s">
        <v>64</v>
      </c>
      <c r="BH919" s="135"/>
      <c r="BI919" s="314" t="s">
        <v>124</v>
      </c>
      <c r="BJ919" s="314"/>
      <c r="BK919" s="24"/>
      <c r="BL919" s="24"/>
      <c r="BM919" s="24"/>
      <c r="BN919" s="24"/>
      <c r="BO919" s="24"/>
      <c r="BP919" s="24"/>
      <c r="BQ919" s="24"/>
      <c r="BR919" s="43"/>
      <c r="BS919" s="24"/>
      <c r="BT919" s="24"/>
      <c r="BU919" s="24"/>
      <c r="BV919" s="132" t="e">
        <f>IF(#REF!="COMPLETO","OK","PENDIENTES")</f>
        <v>#REF!</v>
      </c>
      <c r="BW919" s="325"/>
      <c r="BX919" s="325"/>
      <c r="BY919" s="325"/>
      <c r="BZ919" s="325"/>
      <c r="CA919" s="325"/>
      <c r="CB919" s="325"/>
      <c r="CC919" s="258"/>
      <c r="CG919" s="24" t="s">
        <v>105</v>
      </c>
      <c r="CH919" s="24"/>
      <c r="CI919" s="24"/>
      <c r="CJ919" s="24"/>
    </row>
    <row r="920" spans="1:88" ht="15" customHeight="1">
      <c r="A920" s="18">
        <v>2020</v>
      </c>
      <c r="B920" s="18" t="str">
        <f>+INDEX(BDD!F:F,MATCH(P920,BDD!D:D,0))&amp;"-"&amp;INDEX(BDD!E:E,MATCH(P920,BDD!D:D,0))</f>
        <v>B-S</v>
      </c>
      <c r="C920" s="125" t="s">
        <v>484</v>
      </c>
      <c r="D920" s="150" t="s">
        <v>77</v>
      </c>
      <c r="E920" s="132"/>
      <c r="F920" s="24"/>
      <c r="G920" s="346">
        <v>8000000723</v>
      </c>
      <c r="H920" s="125" t="s">
        <v>3627</v>
      </c>
      <c r="I920" s="329"/>
      <c r="J920" s="346">
        <v>8000000723</v>
      </c>
      <c r="K920" s="24"/>
      <c r="L920" s="24"/>
      <c r="M920" s="24"/>
      <c r="N920" s="340" t="s">
        <v>486</v>
      </c>
      <c r="O920" s="334">
        <v>206579</v>
      </c>
      <c r="P920" s="25" t="s">
        <v>366</v>
      </c>
      <c r="Q920" s="127" t="s">
        <v>191</v>
      </c>
      <c r="R920" s="232" t="s">
        <v>944</v>
      </c>
      <c r="S920" s="89">
        <v>43910</v>
      </c>
      <c r="T920" s="36">
        <v>150</v>
      </c>
      <c r="U920" s="125" t="s">
        <v>131</v>
      </c>
      <c r="V920" s="147" t="s">
        <v>3614</v>
      </c>
      <c r="W920" s="129"/>
      <c r="X920" s="88">
        <v>44186</v>
      </c>
      <c r="Y920" s="130" t="s">
        <v>20</v>
      </c>
      <c r="Z920" s="133" t="s">
        <v>81</v>
      </c>
      <c r="AA920" s="133"/>
      <c r="AB920" s="241">
        <v>0.99</v>
      </c>
      <c r="AC920" s="240">
        <v>9776.7832345469924</v>
      </c>
      <c r="AD920" s="240"/>
      <c r="AE920" s="403">
        <f t="shared" si="51"/>
        <v>9679.0154022015231</v>
      </c>
      <c r="AF920" s="145" t="s">
        <v>2822</v>
      </c>
      <c r="AG920" s="130" t="s">
        <v>5</v>
      </c>
      <c r="AH920" s="130"/>
      <c r="AI920" s="130" t="s">
        <v>3624</v>
      </c>
      <c r="AJ920" s="130"/>
      <c r="AK920" s="130"/>
      <c r="AL920" s="135" t="s">
        <v>3591</v>
      </c>
      <c r="AM920" s="314"/>
      <c r="AN920" s="26"/>
      <c r="AO920" s="26"/>
      <c r="AP920" s="26"/>
      <c r="AQ920" s="26">
        <v>43959</v>
      </c>
      <c r="AR920" s="24"/>
      <c r="AS920" s="24"/>
      <c r="AT920" s="24">
        <v>43963</v>
      </c>
      <c r="AU920" s="418">
        <f t="shared" si="52"/>
        <v>5</v>
      </c>
      <c r="AV920" s="418">
        <f t="shared" si="53"/>
        <v>2020</v>
      </c>
      <c r="AW920" s="24"/>
      <c r="AX920" s="28"/>
      <c r="AY920" s="28" t="s">
        <v>299</v>
      </c>
      <c r="AZ920" s="132" t="s">
        <v>37</v>
      </c>
      <c r="BA920" s="132"/>
      <c r="BB920" s="24" t="s">
        <v>2956</v>
      </c>
      <c r="BC920" s="135" t="s">
        <v>3615</v>
      </c>
      <c r="BD920" s="24">
        <v>43934</v>
      </c>
      <c r="BE920" s="135" t="s">
        <v>3616</v>
      </c>
      <c r="BF920" s="135" t="s">
        <v>814</v>
      </c>
      <c r="BG920" s="135" t="s">
        <v>64</v>
      </c>
      <c r="BH920" s="135"/>
      <c r="BI920" s="314" t="s">
        <v>124</v>
      </c>
      <c r="BJ920" s="314"/>
      <c r="BK920" s="24"/>
      <c r="BL920" s="24"/>
      <c r="BM920" s="24"/>
      <c r="BN920" s="24"/>
      <c r="BO920" s="24"/>
      <c r="BP920" s="24"/>
      <c r="BQ920" s="24"/>
      <c r="BR920" s="43"/>
      <c r="BS920" s="24"/>
      <c r="BT920" s="24"/>
      <c r="BU920" s="24"/>
      <c r="BV920" s="132" t="e">
        <f>IF(#REF!="COMPLETO","OK","PENDIENTES")</f>
        <v>#REF!</v>
      </c>
      <c r="BW920" s="325"/>
      <c r="BX920" s="325"/>
      <c r="BY920" s="325"/>
      <c r="BZ920" s="325"/>
      <c r="CA920" s="325"/>
      <c r="CB920" s="325"/>
      <c r="CC920" s="258"/>
      <c r="CG920" s="24" t="s">
        <v>105</v>
      </c>
      <c r="CH920" s="24"/>
      <c r="CI920" s="24"/>
      <c r="CJ920" s="24"/>
    </row>
    <row r="921" spans="1:88" ht="15" customHeight="1">
      <c r="A921" s="18">
        <v>2020</v>
      </c>
      <c r="B921" s="18" t="str">
        <f>+INDEX(BDD!F:F,MATCH(P921,BDD!D:D,0))&amp;"-"&amp;INDEX(BDD!E:E,MATCH(P921,BDD!D:D,0))</f>
        <v>S-P</v>
      </c>
      <c r="C921" s="125" t="s">
        <v>484</v>
      </c>
      <c r="D921" s="150" t="s">
        <v>77</v>
      </c>
      <c r="E921" s="132"/>
      <c r="F921" s="24"/>
      <c r="G921" s="346">
        <v>8000000777</v>
      </c>
      <c r="H921" s="125" t="s">
        <v>3628</v>
      </c>
      <c r="I921" s="329"/>
      <c r="J921" s="346">
        <v>8000000777</v>
      </c>
      <c r="K921" s="24"/>
      <c r="L921" s="24"/>
      <c r="M921" s="24"/>
      <c r="N921" s="340" t="s">
        <v>486</v>
      </c>
      <c r="O921" s="334">
        <v>206766</v>
      </c>
      <c r="P921" s="25" t="s">
        <v>2</v>
      </c>
      <c r="Q921" s="127" t="s">
        <v>237</v>
      </c>
      <c r="R921" s="232" t="s">
        <v>3629</v>
      </c>
      <c r="S921" s="89">
        <v>43911</v>
      </c>
      <c r="T921" s="36">
        <v>90</v>
      </c>
      <c r="U921" s="125" t="s">
        <v>118</v>
      </c>
      <c r="V921" s="147" t="s">
        <v>3630</v>
      </c>
      <c r="W921" s="129"/>
      <c r="X921" s="88">
        <v>44028</v>
      </c>
      <c r="Y921" s="130" t="s">
        <v>20</v>
      </c>
      <c r="Z921" s="133" t="s">
        <v>60</v>
      </c>
      <c r="AA921" s="133"/>
      <c r="AB921" s="241">
        <v>384</v>
      </c>
      <c r="AC921" s="134">
        <v>910</v>
      </c>
      <c r="AD921" s="134"/>
      <c r="AE921" s="403">
        <f t="shared" si="51"/>
        <v>349440</v>
      </c>
      <c r="AF921" s="132">
        <v>16</v>
      </c>
      <c r="AG921" s="130" t="s">
        <v>5</v>
      </c>
      <c r="AH921" s="130"/>
      <c r="AI921" s="130" t="s">
        <v>86</v>
      </c>
      <c r="AJ921" s="130"/>
      <c r="AK921" s="130"/>
      <c r="AL921" s="135" t="s">
        <v>3496</v>
      </c>
      <c r="AM921" s="314"/>
      <c r="AN921" s="26"/>
      <c r="AO921" s="26"/>
      <c r="AP921" s="26"/>
      <c r="AQ921" s="26">
        <v>43959</v>
      </c>
      <c r="AR921" s="24"/>
      <c r="AS921" s="24"/>
      <c r="AT921" s="24">
        <v>43963</v>
      </c>
      <c r="AU921" s="418">
        <f t="shared" si="52"/>
        <v>5</v>
      </c>
      <c r="AV921" s="418">
        <f t="shared" si="53"/>
        <v>2020</v>
      </c>
      <c r="AW921" s="24"/>
      <c r="AX921" s="28"/>
      <c r="AY921" s="28" t="s">
        <v>302</v>
      </c>
      <c r="AZ921" s="132" t="s">
        <v>9</v>
      </c>
      <c r="BA921" s="132"/>
      <c r="BB921" s="24" t="s">
        <v>2956</v>
      </c>
      <c r="BC921" s="135" t="s">
        <v>3631</v>
      </c>
      <c r="BD921" s="24">
        <v>43936</v>
      </c>
      <c r="BE921" s="135" t="s">
        <v>3632</v>
      </c>
      <c r="BF921" s="135" t="s">
        <v>3276</v>
      </c>
      <c r="BG921" s="135" t="s">
        <v>41</v>
      </c>
      <c r="BH921" s="135"/>
      <c r="BI921" s="314" t="s">
        <v>124</v>
      </c>
      <c r="BJ921" s="314"/>
      <c r="BK921" s="24"/>
      <c r="BL921" s="24"/>
      <c r="BM921" s="24"/>
      <c r="BN921" s="24"/>
      <c r="BO921" s="24">
        <f>+AQ921+22</f>
        <v>43981</v>
      </c>
      <c r="BP921" s="24"/>
      <c r="BQ921" s="24"/>
      <c r="BR921" s="43"/>
      <c r="BS921" s="24"/>
      <c r="BT921" s="24"/>
      <c r="BU921" s="24"/>
      <c r="BV921" s="132" t="e">
        <f>IF(#REF!="COMPLETO","OK","PENDIENTES")</f>
        <v>#REF!</v>
      </c>
      <c r="BW921" s="325"/>
      <c r="BX921" s="325"/>
      <c r="BY921" s="325"/>
      <c r="BZ921" s="325"/>
      <c r="CA921" s="325"/>
      <c r="CB921" s="325"/>
      <c r="CC921" s="258"/>
      <c r="CG921" s="24" t="s">
        <v>105</v>
      </c>
      <c r="CH921" s="24"/>
      <c r="CI921" s="24"/>
      <c r="CJ921" s="24"/>
    </row>
    <row r="922" spans="1:88" ht="15" customHeight="1">
      <c r="A922" s="18">
        <v>2020</v>
      </c>
      <c r="B922" s="18" t="str">
        <f>+INDEX(BDD!F:F,MATCH(P922,BDD!D:D,0))&amp;"-"&amp;INDEX(BDD!E:E,MATCH(P922,BDD!D:D,0))</f>
        <v>S-P</v>
      </c>
      <c r="C922" s="125" t="s">
        <v>484</v>
      </c>
      <c r="D922" s="150" t="s">
        <v>77</v>
      </c>
      <c r="E922" s="132"/>
      <c r="F922" s="24"/>
      <c r="G922" s="346">
        <v>8000000803</v>
      </c>
      <c r="H922" s="125" t="s">
        <v>3633</v>
      </c>
      <c r="I922" s="329"/>
      <c r="J922" s="346">
        <v>8000000803</v>
      </c>
      <c r="K922" s="24"/>
      <c r="L922" s="24"/>
      <c r="M922" s="24"/>
      <c r="N922" s="340" t="s">
        <v>486</v>
      </c>
      <c r="O922" s="334">
        <v>206766</v>
      </c>
      <c r="P922" s="25" t="s">
        <v>2</v>
      </c>
      <c r="Q922" s="127" t="s">
        <v>237</v>
      </c>
      <c r="R922" s="232" t="s">
        <v>3629</v>
      </c>
      <c r="S922" s="89">
        <v>43911</v>
      </c>
      <c r="T922" s="36">
        <v>90</v>
      </c>
      <c r="U922" s="125" t="s">
        <v>118</v>
      </c>
      <c r="V922" s="147" t="s">
        <v>3634</v>
      </c>
      <c r="W922" s="129"/>
      <c r="X922" s="88">
        <v>44056</v>
      </c>
      <c r="Y922" s="130" t="s">
        <v>20</v>
      </c>
      <c r="Z922" s="133" t="s">
        <v>60</v>
      </c>
      <c r="AA922" s="133"/>
      <c r="AB922" s="241">
        <v>384</v>
      </c>
      <c r="AC922" s="134">
        <v>910</v>
      </c>
      <c r="AD922" s="134"/>
      <c r="AE922" s="403">
        <f t="shared" si="51"/>
        <v>349440</v>
      </c>
      <c r="AF922" s="132">
        <v>16</v>
      </c>
      <c r="AG922" s="130" t="s">
        <v>5</v>
      </c>
      <c r="AH922" s="130"/>
      <c r="AI922" s="130" t="s">
        <v>86</v>
      </c>
      <c r="AJ922" s="130"/>
      <c r="AK922" s="130"/>
      <c r="AL922" s="135" t="s">
        <v>3496</v>
      </c>
      <c r="AM922" s="314"/>
      <c r="AN922" s="26"/>
      <c r="AO922" s="26"/>
      <c r="AP922" s="26"/>
      <c r="AQ922" s="26">
        <v>43987</v>
      </c>
      <c r="AR922" s="24"/>
      <c r="AS922" s="24"/>
      <c r="AT922" s="24">
        <v>43992</v>
      </c>
      <c r="AU922" s="418">
        <f t="shared" si="52"/>
        <v>6</v>
      </c>
      <c r="AV922" s="418">
        <f t="shared" si="53"/>
        <v>2020</v>
      </c>
      <c r="AW922" s="24"/>
      <c r="AX922" s="28"/>
      <c r="AY922" s="28" t="s">
        <v>302</v>
      </c>
      <c r="AZ922" s="132" t="s">
        <v>9</v>
      </c>
      <c r="BA922" s="132"/>
      <c r="BB922" s="24" t="s">
        <v>2956</v>
      </c>
      <c r="BC922" s="135" t="s">
        <v>3635</v>
      </c>
      <c r="BD922" s="24">
        <v>43964</v>
      </c>
      <c r="BE922" s="135" t="s">
        <v>3636</v>
      </c>
      <c r="BF922" s="135" t="s">
        <v>3276</v>
      </c>
      <c r="BG922" s="135" t="s">
        <v>41</v>
      </c>
      <c r="BH922" s="135"/>
      <c r="BI922" s="314" t="s">
        <v>124</v>
      </c>
      <c r="BJ922" s="314"/>
      <c r="BK922" s="24"/>
      <c r="BL922" s="24"/>
      <c r="BM922" s="24"/>
      <c r="BN922" s="24"/>
      <c r="BO922" s="24"/>
      <c r="BP922" s="24"/>
      <c r="BQ922" s="24"/>
      <c r="BR922" s="43"/>
      <c r="BS922" s="24"/>
      <c r="BT922" s="24"/>
      <c r="BU922" s="24"/>
      <c r="BV922" s="132" t="e">
        <f>IF(#REF!="COMPLETO","OK","PENDIENTES")</f>
        <v>#REF!</v>
      </c>
      <c r="BW922" s="325"/>
      <c r="BX922" s="325"/>
      <c r="BY922" s="325"/>
      <c r="BZ922" s="325"/>
      <c r="CA922" s="325"/>
      <c r="CB922" s="325"/>
      <c r="CC922" s="258"/>
      <c r="CG922" s="24" t="s">
        <v>105</v>
      </c>
      <c r="CH922" s="24"/>
      <c r="CI922" s="24"/>
      <c r="CJ922" s="24"/>
    </row>
    <row r="923" spans="1:88" ht="15" customHeight="1">
      <c r="A923" s="18">
        <v>2020</v>
      </c>
      <c r="B923" s="18" t="str">
        <f>+INDEX(BDD!F:F,MATCH(P923,BDD!D:D,0))&amp;"-"&amp;INDEX(BDD!E:E,MATCH(P923,BDD!D:D,0))</f>
        <v>E-S</v>
      </c>
      <c r="C923" s="125" t="s">
        <v>484</v>
      </c>
      <c r="D923" s="150" t="s">
        <v>77</v>
      </c>
      <c r="E923" s="132"/>
      <c r="F923" s="24"/>
      <c r="G923" s="346">
        <v>8000000724</v>
      </c>
      <c r="H923" s="125" t="s">
        <v>3637</v>
      </c>
      <c r="I923" s="329"/>
      <c r="J923" s="346">
        <v>8000000724</v>
      </c>
      <c r="K923" s="24"/>
      <c r="L923" s="24"/>
      <c r="M923" s="24"/>
      <c r="N923" s="340" t="s">
        <v>486</v>
      </c>
      <c r="O923" s="334">
        <v>205972</v>
      </c>
      <c r="P923" s="25" t="s">
        <v>91</v>
      </c>
      <c r="Q923" s="127" t="s">
        <v>219</v>
      </c>
      <c r="R923" s="232"/>
      <c r="S923" s="89">
        <v>43948</v>
      </c>
      <c r="T923" s="188" t="s">
        <v>4</v>
      </c>
      <c r="U923" s="125"/>
      <c r="V923" s="147" t="s">
        <v>3638</v>
      </c>
      <c r="W923" s="129"/>
      <c r="X923" s="88">
        <v>43969</v>
      </c>
      <c r="Y923" s="130" t="s">
        <v>20</v>
      </c>
      <c r="Z923" s="133" t="s">
        <v>81</v>
      </c>
      <c r="AA923" s="133"/>
      <c r="AB923" s="241">
        <v>2</v>
      </c>
      <c r="AC923" s="134">
        <v>3566.5</v>
      </c>
      <c r="AD923" s="134"/>
      <c r="AE923" s="403">
        <f t="shared" si="51"/>
        <v>7133</v>
      </c>
      <c r="AF923" s="132">
        <v>1</v>
      </c>
      <c r="AG923" s="130" t="s">
        <v>21</v>
      </c>
      <c r="AH923" s="130"/>
      <c r="AI923" s="130" t="s">
        <v>22</v>
      </c>
      <c r="AJ923" s="130"/>
      <c r="AK923" s="130"/>
      <c r="AL923" s="135" t="s">
        <v>3511</v>
      </c>
      <c r="AM923" s="314"/>
      <c r="AN923" s="26"/>
      <c r="AO923" s="26"/>
      <c r="AP923" s="26"/>
      <c r="AQ923" s="26">
        <v>44001</v>
      </c>
      <c r="AR923" s="24"/>
      <c r="AS923" s="24"/>
      <c r="AT923" s="24">
        <v>44005</v>
      </c>
      <c r="AU923" s="418">
        <f t="shared" si="52"/>
        <v>6</v>
      </c>
      <c r="AV923" s="418">
        <f t="shared" si="53"/>
        <v>2020</v>
      </c>
      <c r="AW923" s="24"/>
      <c r="AX923" s="28"/>
      <c r="AY923" s="28" t="s">
        <v>102</v>
      </c>
      <c r="AZ923" s="132" t="s">
        <v>37</v>
      </c>
      <c r="BA923" s="132"/>
      <c r="BB923" s="24" t="s">
        <v>2956</v>
      </c>
      <c r="BC923" s="135" t="s">
        <v>3639</v>
      </c>
      <c r="BD923" s="24">
        <v>43975</v>
      </c>
      <c r="BE923" s="135" t="s">
        <v>3640</v>
      </c>
      <c r="BF923" s="135" t="s">
        <v>3640</v>
      </c>
      <c r="BG923" s="135" t="s">
        <v>3430</v>
      </c>
      <c r="BH923" s="135"/>
      <c r="BI923" s="314" t="s">
        <v>124</v>
      </c>
      <c r="BJ923" s="314"/>
      <c r="BK923" s="24"/>
      <c r="BL923" s="24"/>
      <c r="BM923" s="24"/>
      <c r="BN923" s="24"/>
      <c r="BO923" s="24"/>
      <c r="BP923" s="24"/>
      <c r="BQ923" s="24"/>
      <c r="BR923" s="43"/>
      <c r="BS923" s="24"/>
      <c r="BT923" s="24"/>
      <c r="BU923" s="24"/>
      <c r="BV923" s="132" t="e">
        <f>IF(#REF!="COMPLETO","OK","PENDIENTES")</f>
        <v>#REF!</v>
      </c>
      <c r="BW923" s="325"/>
      <c r="BX923" s="325"/>
      <c r="BY923" s="325"/>
      <c r="BZ923" s="325"/>
      <c r="CA923" s="325"/>
      <c r="CB923" s="325"/>
      <c r="CC923" s="258"/>
      <c r="CG923" s="24" t="s">
        <v>105</v>
      </c>
      <c r="CH923" s="24"/>
      <c r="CI923" s="24"/>
      <c r="CJ923" s="24"/>
    </row>
    <row r="924" spans="1:88" ht="15" customHeight="1">
      <c r="A924" s="18">
        <v>2020</v>
      </c>
      <c r="B924" s="18" t="str">
        <f>+INDEX(BDD!F:F,MATCH(P924,BDD!D:D,0))&amp;"-"&amp;INDEX(BDD!E:E,MATCH(P924,BDD!D:D,0))</f>
        <v>T-S</v>
      </c>
      <c r="C924" s="125" t="s">
        <v>484</v>
      </c>
      <c r="D924" s="150" t="s">
        <v>77</v>
      </c>
      <c r="E924" s="132"/>
      <c r="F924" s="24"/>
      <c r="G924" s="346">
        <v>8000000749</v>
      </c>
      <c r="H924" s="125" t="s">
        <v>3641</v>
      </c>
      <c r="I924" s="329"/>
      <c r="J924" s="346">
        <v>8000000749</v>
      </c>
      <c r="K924" s="24"/>
      <c r="L924" s="24"/>
      <c r="M924" s="24"/>
      <c r="N924" s="340" t="s">
        <v>486</v>
      </c>
      <c r="O924" s="334">
        <v>208067</v>
      </c>
      <c r="P924" s="25" t="s">
        <v>383</v>
      </c>
      <c r="Q924" s="127" t="s">
        <v>303</v>
      </c>
      <c r="R924" s="232" t="s">
        <v>3642</v>
      </c>
      <c r="S924" s="89"/>
      <c r="T924" s="36">
        <v>30</v>
      </c>
      <c r="U924" s="125" t="s">
        <v>118</v>
      </c>
      <c r="V924" s="147" t="s">
        <v>3643</v>
      </c>
      <c r="W924" s="129"/>
      <c r="X924" s="88">
        <f>+BD924+T924</f>
        <v>43976</v>
      </c>
      <c r="Y924" s="130" t="s">
        <v>20</v>
      </c>
      <c r="Z924" s="133" t="s">
        <v>60</v>
      </c>
      <c r="AA924" s="133"/>
      <c r="AB924" s="241">
        <v>125</v>
      </c>
      <c r="AC924" s="134">
        <v>247.67</v>
      </c>
      <c r="AD924" s="134"/>
      <c r="AE924" s="403">
        <f t="shared" si="51"/>
        <v>30958.75</v>
      </c>
      <c r="AF924" s="132">
        <v>5</v>
      </c>
      <c r="AG924" s="130" t="s">
        <v>5</v>
      </c>
      <c r="AH924" s="130"/>
      <c r="AI924" s="130" t="s">
        <v>34</v>
      </c>
      <c r="AJ924" s="130"/>
      <c r="AK924" s="130"/>
      <c r="AL924" s="135" t="s">
        <v>3496</v>
      </c>
      <c r="AM924" s="314"/>
      <c r="AN924" s="26"/>
      <c r="AO924" s="26"/>
      <c r="AP924" s="26"/>
      <c r="AQ924" s="26">
        <v>43958</v>
      </c>
      <c r="AR924" s="24"/>
      <c r="AS924" s="24"/>
      <c r="AT924" s="24">
        <v>43962</v>
      </c>
      <c r="AU924" s="418">
        <f t="shared" si="52"/>
        <v>5</v>
      </c>
      <c r="AV924" s="418">
        <f t="shared" si="53"/>
        <v>2020</v>
      </c>
      <c r="AW924" s="24"/>
      <c r="AX924" s="28"/>
      <c r="AY924" s="28" t="s">
        <v>3415</v>
      </c>
      <c r="AZ924" s="132" t="s">
        <v>37</v>
      </c>
      <c r="BA924" s="132"/>
      <c r="BB924" s="24" t="s">
        <v>2956</v>
      </c>
      <c r="BC924" s="135" t="s">
        <v>3644</v>
      </c>
      <c r="BD924" s="24">
        <v>43946</v>
      </c>
      <c r="BE924" s="135" t="s">
        <v>3645</v>
      </c>
      <c r="BF924" s="135" t="s">
        <v>3646</v>
      </c>
      <c r="BG924" s="135" t="s">
        <v>14</v>
      </c>
      <c r="BH924" s="135"/>
      <c r="BI924" s="314" t="s">
        <v>124</v>
      </c>
      <c r="BJ924" s="314"/>
      <c r="BK924" s="24"/>
      <c r="BL924" s="24"/>
      <c r="BM924" s="24"/>
      <c r="BN924" s="24"/>
      <c r="BO924" s="24">
        <v>43980</v>
      </c>
      <c r="BP924" s="24"/>
      <c r="BQ924" s="24"/>
      <c r="BR924" s="43"/>
      <c r="BS924" s="24"/>
      <c r="BT924" s="24"/>
      <c r="BU924" s="24"/>
      <c r="BV924" s="132" t="e">
        <f>IF(#REF!="COMPLETO","OK","PENDIENTES")</f>
        <v>#REF!</v>
      </c>
      <c r="BW924" s="325"/>
      <c r="BX924" s="325"/>
      <c r="BY924" s="325"/>
      <c r="BZ924" s="325"/>
      <c r="CA924" s="325"/>
      <c r="CB924" s="325"/>
      <c r="CC924" s="258"/>
      <c r="CG924" s="24" t="s">
        <v>105</v>
      </c>
      <c r="CH924" s="24"/>
      <c r="CI924" s="24"/>
      <c r="CJ924" s="24"/>
    </row>
    <row r="925" spans="1:88" ht="15" customHeight="1">
      <c r="A925" s="18">
        <v>2020</v>
      </c>
      <c r="B925" s="18" t="str">
        <f>+INDEX(BDD!F:F,MATCH(P925,BDD!D:D,0))&amp;"-"&amp;INDEX(BDD!E:E,MATCH(P925,BDD!D:D,0))</f>
        <v>T-S</v>
      </c>
      <c r="C925" s="125" t="s">
        <v>484</v>
      </c>
      <c r="D925" s="150" t="s">
        <v>77</v>
      </c>
      <c r="E925" s="132"/>
      <c r="F925" s="24"/>
      <c r="G925" s="346">
        <v>8000000782</v>
      </c>
      <c r="H925" s="125" t="s">
        <v>3647</v>
      </c>
      <c r="I925" s="329"/>
      <c r="J925" s="346">
        <v>8000000782</v>
      </c>
      <c r="K925" s="24"/>
      <c r="L925" s="24"/>
      <c r="M925" s="24"/>
      <c r="N925" s="340" t="s">
        <v>486</v>
      </c>
      <c r="O925" s="334">
        <v>208067</v>
      </c>
      <c r="P925" s="25" t="s">
        <v>383</v>
      </c>
      <c r="Q925" s="127" t="s">
        <v>303</v>
      </c>
      <c r="R925" s="232" t="s">
        <v>3642</v>
      </c>
      <c r="S925" s="89"/>
      <c r="T925" s="36">
        <v>30</v>
      </c>
      <c r="U925" s="125" t="s">
        <v>118</v>
      </c>
      <c r="V925" s="147" t="s">
        <v>3643</v>
      </c>
      <c r="W925" s="129"/>
      <c r="X925" s="88">
        <f>+BD925+T925</f>
        <v>43976</v>
      </c>
      <c r="Y925" s="130" t="s">
        <v>20</v>
      </c>
      <c r="Z925" s="133" t="s">
        <v>60</v>
      </c>
      <c r="AA925" s="133"/>
      <c r="AB925" s="241">
        <v>25</v>
      </c>
      <c r="AC925" s="134">
        <v>247.67</v>
      </c>
      <c r="AD925" s="134"/>
      <c r="AE925" s="403">
        <f t="shared" si="51"/>
        <v>6191.75</v>
      </c>
      <c r="AF925" s="132">
        <v>1</v>
      </c>
      <c r="AG925" s="130" t="s">
        <v>5</v>
      </c>
      <c r="AH925" s="130"/>
      <c r="AI925" s="130" t="s">
        <v>34</v>
      </c>
      <c r="AJ925" s="130"/>
      <c r="AK925" s="130"/>
      <c r="AL925" s="135" t="s">
        <v>3496</v>
      </c>
      <c r="AM925" s="314"/>
      <c r="AN925" s="26"/>
      <c r="AO925" s="26"/>
      <c r="AP925" s="26"/>
      <c r="AQ925" s="26">
        <v>43965</v>
      </c>
      <c r="AR925" s="24"/>
      <c r="AS925" s="24"/>
      <c r="AT925" s="24">
        <v>43967</v>
      </c>
      <c r="AU925" s="418">
        <f t="shared" si="52"/>
        <v>5</v>
      </c>
      <c r="AV925" s="418">
        <f t="shared" si="53"/>
        <v>2020</v>
      </c>
      <c r="AW925" s="24"/>
      <c r="AX925" s="28"/>
      <c r="AY925" s="28" t="s">
        <v>3415</v>
      </c>
      <c r="AZ925" s="132" t="s">
        <v>37</v>
      </c>
      <c r="BA925" s="132"/>
      <c r="BB925" s="24" t="s">
        <v>2956</v>
      </c>
      <c r="BC925" s="135" t="s">
        <v>3644</v>
      </c>
      <c r="BD925" s="24">
        <v>43946</v>
      </c>
      <c r="BE925" s="135" t="s">
        <v>3645</v>
      </c>
      <c r="BF925" s="135" t="s">
        <v>3471</v>
      </c>
      <c r="BG925" s="135" t="s">
        <v>14</v>
      </c>
      <c r="BH925" s="135"/>
      <c r="BI925" s="314" t="s">
        <v>124</v>
      </c>
      <c r="BJ925" s="314"/>
      <c r="BK925" s="24"/>
      <c r="BL925" s="24"/>
      <c r="BM925" s="24"/>
      <c r="BN925" s="24"/>
      <c r="BO925" s="24">
        <f>+AQ925+15</f>
        <v>43980</v>
      </c>
      <c r="BP925" s="24"/>
      <c r="BQ925" s="24"/>
      <c r="BR925" s="43"/>
      <c r="BS925" s="24"/>
      <c r="BT925" s="24"/>
      <c r="BU925" s="24"/>
      <c r="BV925" s="132" t="e">
        <f>IF(#REF!="COMPLETO","OK","PENDIENTES")</f>
        <v>#REF!</v>
      </c>
      <c r="BW925" s="325"/>
      <c r="BX925" s="325"/>
      <c r="BY925" s="325"/>
      <c r="BZ925" s="325"/>
      <c r="CA925" s="325"/>
      <c r="CB925" s="325"/>
      <c r="CC925" s="258"/>
      <c r="CG925" s="24" t="s">
        <v>105</v>
      </c>
      <c r="CH925" s="24"/>
      <c r="CI925" s="24"/>
      <c r="CJ925" s="24"/>
    </row>
    <row r="926" spans="1:88" ht="15" customHeight="1">
      <c r="A926" s="18">
        <v>2020</v>
      </c>
      <c r="B926" s="18" t="str">
        <f>+INDEX(BDD!F:F,MATCH(P926,BDD!D:D,0))&amp;"-"&amp;INDEX(BDD!E:E,MATCH(P926,BDD!D:D,0))</f>
        <v>T-S</v>
      </c>
      <c r="C926" s="125" t="s">
        <v>484</v>
      </c>
      <c r="D926" s="150" t="s">
        <v>77</v>
      </c>
      <c r="E926" s="132"/>
      <c r="F926" s="24"/>
      <c r="G926" s="346">
        <v>8000000783</v>
      </c>
      <c r="H926" s="125" t="s">
        <v>3648</v>
      </c>
      <c r="I926" s="329"/>
      <c r="J926" s="346">
        <v>8000000783</v>
      </c>
      <c r="K926" s="24"/>
      <c r="L926" s="24"/>
      <c r="M926" s="24"/>
      <c r="N926" s="340" t="s">
        <v>486</v>
      </c>
      <c r="O926" s="334">
        <v>208067</v>
      </c>
      <c r="P926" s="25" t="s">
        <v>383</v>
      </c>
      <c r="Q926" s="127" t="s">
        <v>303</v>
      </c>
      <c r="R926" s="232" t="s">
        <v>3642</v>
      </c>
      <c r="S926" s="89"/>
      <c r="T926" s="36">
        <v>30</v>
      </c>
      <c r="U926" s="125" t="s">
        <v>118</v>
      </c>
      <c r="V926" s="147" t="s">
        <v>3643</v>
      </c>
      <c r="W926" s="129"/>
      <c r="X926" s="88">
        <f>+BD926+T926</f>
        <v>43976</v>
      </c>
      <c r="Y926" s="130" t="s">
        <v>20</v>
      </c>
      <c r="Z926" s="133" t="s">
        <v>60</v>
      </c>
      <c r="AA926" s="133"/>
      <c r="AB926" s="241">
        <v>350</v>
      </c>
      <c r="AC926" s="134">
        <v>247.67</v>
      </c>
      <c r="AD926" s="134"/>
      <c r="AE926" s="403">
        <f t="shared" si="51"/>
        <v>86684.5</v>
      </c>
      <c r="AF926" s="132">
        <v>14</v>
      </c>
      <c r="AG926" s="130" t="s">
        <v>5</v>
      </c>
      <c r="AH926" s="130"/>
      <c r="AI926" s="130" t="s">
        <v>34</v>
      </c>
      <c r="AJ926" s="130"/>
      <c r="AK926" s="130"/>
      <c r="AL926" s="135" t="s">
        <v>3496</v>
      </c>
      <c r="AM926" s="314"/>
      <c r="AN926" s="26"/>
      <c r="AO926" s="26"/>
      <c r="AP926" s="26"/>
      <c r="AQ926" s="26">
        <v>43972</v>
      </c>
      <c r="AR926" s="24"/>
      <c r="AS926" s="24"/>
      <c r="AT926" s="24">
        <v>43980</v>
      </c>
      <c r="AU926" s="418">
        <f t="shared" si="52"/>
        <v>5</v>
      </c>
      <c r="AV926" s="418">
        <f t="shared" si="53"/>
        <v>2020</v>
      </c>
      <c r="AW926" s="24"/>
      <c r="AX926" s="28"/>
      <c r="AY926" s="28" t="s">
        <v>3415</v>
      </c>
      <c r="AZ926" s="132" t="s">
        <v>37</v>
      </c>
      <c r="BA926" s="132"/>
      <c r="BB926" s="24" t="s">
        <v>2956</v>
      </c>
      <c r="BC926" s="135" t="s">
        <v>3644</v>
      </c>
      <c r="BD926" s="24">
        <v>43946</v>
      </c>
      <c r="BE926" s="135" t="s">
        <v>3645</v>
      </c>
      <c r="BF926" s="135" t="s">
        <v>1366</v>
      </c>
      <c r="BG926" s="135" t="s">
        <v>14</v>
      </c>
      <c r="BH926" s="135"/>
      <c r="BI926" s="314" t="s">
        <v>124</v>
      </c>
      <c r="BJ926" s="314"/>
      <c r="BK926" s="24"/>
      <c r="BL926" s="24"/>
      <c r="BM926" s="24"/>
      <c r="BN926" s="24"/>
      <c r="BO926" s="24">
        <f>+AQ926+15</f>
        <v>43987</v>
      </c>
      <c r="BP926" s="24"/>
      <c r="BQ926" s="24"/>
      <c r="BR926" s="43"/>
      <c r="BS926" s="24"/>
      <c r="BT926" s="24"/>
      <c r="BU926" s="24"/>
      <c r="BV926" s="132" t="e">
        <f>IF(#REF!="COMPLETO","OK","PENDIENTES")</f>
        <v>#REF!</v>
      </c>
      <c r="BW926" s="325"/>
      <c r="BX926" s="325"/>
      <c r="BY926" s="325"/>
      <c r="BZ926" s="325"/>
      <c r="CA926" s="325"/>
      <c r="CB926" s="325"/>
      <c r="CC926" s="258"/>
      <c r="CG926" s="24" t="s">
        <v>105</v>
      </c>
      <c r="CH926" s="24"/>
      <c r="CI926" s="24"/>
      <c r="CJ926" s="24"/>
    </row>
    <row r="927" spans="1:88" ht="15" customHeight="1">
      <c r="A927" s="18">
        <v>2020</v>
      </c>
      <c r="B927" s="18" t="str">
        <f>+INDEX(BDD!F:F,MATCH(P927,BDD!D:D,0))&amp;"-"&amp;INDEX(BDD!E:E,MATCH(P927,BDD!D:D,0))</f>
        <v>T-S</v>
      </c>
      <c r="C927" s="125" t="s">
        <v>484</v>
      </c>
      <c r="D927" s="150" t="s">
        <v>77</v>
      </c>
      <c r="E927" s="132"/>
      <c r="F927" s="24"/>
      <c r="G927" s="346">
        <v>8000000746</v>
      </c>
      <c r="H927" s="125" t="s">
        <v>3649</v>
      </c>
      <c r="I927" s="329"/>
      <c r="J927" s="346">
        <v>8000000746</v>
      </c>
      <c r="K927" s="24"/>
      <c r="L927" s="24"/>
      <c r="M927" s="24"/>
      <c r="N927" s="340" t="s">
        <v>486</v>
      </c>
      <c r="O927" s="334">
        <v>208067</v>
      </c>
      <c r="P927" s="25" t="s">
        <v>383</v>
      </c>
      <c r="Q927" s="127" t="s">
        <v>303</v>
      </c>
      <c r="R927" s="232" t="s">
        <v>3650</v>
      </c>
      <c r="S927" s="89"/>
      <c r="T927" s="36">
        <v>30</v>
      </c>
      <c r="U927" s="125" t="s">
        <v>118</v>
      </c>
      <c r="V927" s="147" t="s">
        <v>3651</v>
      </c>
      <c r="W927" s="129"/>
      <c r="X927" s="88">
        <f>+BD927+T927</f>
        <v>43973</v>
      </c>
      <c r="Y927" s="130" t="s">
        <v>20</v>
      </c>
      <c r="Z927" s="133" t="s">
        <v>60</v>
      </c>
      <c r="AA927" s="133"/>
      <c r="AB927" s="241">
        <v>350</v>
      </c>
      <c r="AC927" s="134">
        <v>247.67</v>
      </c>
      <c r="AD927" s="134"/>
      <c r="AE927" s="403">
        <f t="shared" si="51"/>
        <v>86684.5</v>
      </c>
      <c r="AF927" s="132">
        <v>14</v>
      </c>
      <c r="AG927" s="130" t="s">
        <v>5</v>
      </c>
      <c r="AH927" s="130"/>
      <c r="AI927" s="130" t="s">
        <v>34</v>
      </c>
      <c r="AJ927" s="130"/>
      <c r="AK927" s="130"/>
      <c r="AL927" s="135" t="s">
        <v>3496</v>
      </c>
      <c r="AM927" s="314"/>
      <c r="AN927" s="26"/>
      <c r="AO927" s="26"/>
      <c r="AP927" s="26"/>
      <c r="AQ927" s="26">
        <f>+BD927+9</f>
        <v>43952</v>
      </c>
      <c r="AR927" s="24"/>
      <c r="AS927" s="24"/>
      <c r="AT927" s="24">
        <v>43959</v>
      </c>
      <c r="AU927" s="418">
        <f t="shared" si="52"/>
        <v>5</v>
      </c>
      <c r="AV927" s="418">
        <f t="shared" si="53"/>
        <v>2020</v>
      </c>
      <c r="AW927" s="24"/>
      <c r="AX927" s="28"/>
      <c r="AY927" s="28" t="s">
        <v>3415</v>
      </c>
      <c r="AZ927" s="132" t="s">
        <v>37</v>
      </c>
      <c r="BA927" s="132"/>
      <c r="BB927" s="24" t="s">
        <v>2956</v>
      </c>
      <c r="BC927" s="135" t="s">
        <v>3652</v>
      </c>
      <c r="BD927" s="24">
        <v>43943</v>
      </c>
      <c r="BE927" s="135" t="s">
        <v>3098</v>
      </c>
      <c r="BF927" s="135" t="s">
        <v>3098</v>
      </c>
      <c r="BG927" s="135" t="s">
        <v>29</v>
      </c>
      <c r="BH927" s="135"/>
      <c r="BI927" s="314" t="s">
        <v>124</v>
      </c>
      <c r="BJ927" s="314"/>
      <c r="BK927" s="24"/>
      <c r="BL927" s="24"/>
      <c r="BM927" s="24"/>
      <c r="BN927" s="24"/>
      <c r="BO927" s="24"/>
      <c r="BP927" s="24"/>
      <c r="BQ927" s="24"/>
      <c r="BR927" s="43"/>
      <c r="BS927" s="24"/>
      <c r="BT927" s="24"/>
      <c r="BU927" s="24"/>
      <c r="BV927" s="132" t="e">
        <f>IF(#REF!="COMPLETO","OK","PENDIENTES")</f>
        <v>#REF!</v>
      </c>
      <c r="BW927" s="325"/>
      <c r="BX927" s="325"/>
      <c r="BY927" s="325"/>
      <c r="BZ927" s="325"/>
      <c r="CA927" s="325"/>
      <c r="CB927" s="325"/>
      <c r="CC927" s="258"/>
      <c r="CG927" s="24" t="s">
        <v>105</v>
      </c>
      <c r="CH927" s="24"/>
      <c r="CI927" s="24"/>
      <c r="CJ927" s="24"/>
    </row>
    <row r="928" spans="1:88" ht="15" customHeight="1">
      <c r="A928" s="18">
        <v>2020</v>
      </c>
      <c r="B928" s="18" t="str">
        <f>+INDEX(BDD!F:F,MATCH(P928,BDD!D:D,0))&amp;"-"&amp;INDEX(BDD!E:E,MATCH(P928,BDD!D:D,0))</f>
        <v>T-S</v>
      </c>
      <c r="C928" s="125" t="s">
        <v>484</v>
      </c>
      <c r="D928" s="150" t="s">
        <v>77</v>
      </c>
      <c r="E928" s="132"/>
      <c r="F928" s="24"/>
      <c r="G928" s="346">
        <v>8000000750</v>
      </c>
      <c r="H928" s="125" t="s">
        <v>3653</v>
      </c>
      <c r="I928" s="329"/>
      <c r="J928" s="346">
        <v>8000000750</v>
      </c>
      <c r="K928" s="24"/>
      <c r="L928" s="24"/>
      <c r="M928" s="24"/>
      <c r="N928" s="340" t="s">
        <v>486</v>
      </c>
      <c r="O928" s="334">
        <v>208067</v>
      </c>
      <c r="P928" s="25" t="s">
        <v>383</v>
      </c>
      <c r="Q928" s="127" t="s">
        <v>303</v>
      </c>
      <c r="R928" s="232" t="s">
        <v>3654</v>
      </c>
      <c r="S928" s="89"/>
      <c r="T928" s="36">
        <v>30</v>
      </c>
      <c r="U928" s="125" t="s">
        <v>118</v>
      </c>
      <c r="V928" s="147" t="s">
        <v>3655</v>
      </c>
      <c r="W928" s="129"/>
      <c r="X928" s="88">
        <v>43979</v>
      </c>
      <c r="Y928" s="130" t="s">
        <v>20</v>
      </c>
      <c r="Z928" s="133" t="s">
        <v>60</v>
      </c>
      <c r="AA928" s="133"/>
      <c r="AB928" s="241">
        <v>350</v>
      </c>
      <c r="AC928" s="134">
        <v>247.67</v>
      </c>
      <c r="AD928" s="134"/>
      <c r="AE928" s="403">
        <f t="shared" si="51"/>
        <v>86684.5</v>
      </c>
      <c r="AF928" s="132">
        <v>14</v>
      </c>
      <c r="AG928" s="130" t="s">
        <v>5</v>
      </c>
      <c r="AH928" s="130"/>
      <c r="AI928" s="130" t="s">
        <v>34</v>
      </c>
      <c r="AJ928" s="130"/>
      <c r="AK928" s="130"/>
      <c r="AL928" s="135" t="s">
        <v>3496</v>
      </c>
      <c r="AM928" s="314"/>
      <c r="AN928" s="26"/>
      <c r="AO928" s="26"/>
      <c r="AP928" s="26"/>
      <c r="AQ928" s="26">
        <f>+BD928+9</f>
        <v>43952</v>
      </c>
      <c r="AR928" s="24"/>
      <c r="AS928" s="24"/>
      <c r="AT928" s="24">
        <v>43959</v>
      </c>
      <c r="AU928" s="418">
        <f t="shared" si="52"/>
        <v>5</v>
      </c>
      <c r="AV928" s="418">
        <f t="shared" si="53"/>
        <v>2020</v>
      </c>
      <c r="AW928" s="24"/>
      <c r="AX928" s="28"/>
      <c r="AY928" s="28" t="s">
        <v>3415</v>
      </c>
      <c r="AZ928" s="132" t="s">
        <v>37</v>
      </c>
      <c r="BA928" s="132"/>
      <c r="BB928" s="24" t="s">
        <v>2956</v>
      </c>
      <c r="BC928" s="135" t="s">
        <v>3656</v>
      </c>
      <c r="BD928" s="24">
        <v>43943</v>
      </c>
      <c r="BE928" s="135" t="s">
        <v>3098</v>
      </c>
      <c r="BF928" s="135" t="s">
        <v>3098</v>
      </c>
      <c r="BG928" s="135" t="s">
        <v>29</v>
      </c>
      <c r="BH928" s="135"/>
      <c r="BI928" s="314" t="s">
        <v>124</v>
      </c>
      <c r="BJ928" s="314"/>
      <c r="BK928" s="24"/>
      <c r="BL928" s="24"/>
      <c r="BM928" s="24"/>
      <c r="BN928" s="24"/>
      <c r="BO928" s="24"/>
      <c r="BP928" s="24"/>
      <c r="BQ928" s="24"/>
      <c r="BR928" s="43"/>
      <c r="BS928" s="24"/>
      <c r="BT928" s="24"/>
      <c r="BU928" s="24"/>
      <c r="BV928" s="132" t="e">
        <f>IF(#REF!="COMPLETO","OK","PENDIENTES")</f>
        <v>#REF!</v>
      </c>
      <c r="BW928" s="325"/>
      <c r="BX928" s="325"/>
      <c r="BY928" s="325"/>
      <c r="BZ928" s="325"/>
      <c r="CA928" s="325"/>
      <c r="CB928" s="325"/>
      <c r="CC928" s="258"/>
      <c r="CG928" s="24" t="s">
        <v>105</v>
      </c>
      <c r="CH928" s="24"/>
      <c r="CI928" s="24"/>
      <c r="CJ928" s="24"/>
    </row>
    <row r="929" spans="1:88" ht="15" customHeight="1">
      <c r="A929" s="18">
        <v>2020</v>
      </c>
      <c r="B929" s="18" t="str">
        <f>+INDEX(BDD!F:F,MATCH(P929,BDD!D:D,0))&amp;"-"&amp;INDEX(BDD!E:E,MATCH(P929,BDD!D:D,0))</f>
        <v>T-S</v>
      </c>
      <c r="C929" s="125" t="s">
        <v>484</v>
      </c>
      <c r="D929" s="150" t="s">
        <v>77</v>
      </c>
      <c r="E929" s="132"/>
      <c r="F929" s="24"/>
      <c r="G929" s="346">
        <v>8000000772</v>
      </c>
      <c r="H929" s="125" t="s">
        <v>3657</v>
      </c>
      <c r="I929" s="329"/>
      <c r="J929" s="346">
        <v>8000000772</v>
      </c>
      <c r="K929" s="24"/>
      <c r="L929" s="24"/>
      <c r="M929" s="24"/>
      <c r="N929" s="340" t="s">
        <v>486</v>
      </c>
      <c r="O929" s="334">
        <v>208067</v>
      </c>
      <c r="P929" s="25" t="s">
        <v>383</v>
      </c>
      <c r="Q929" s="127" t="s">
        <v>303</v>
      </c>
      <c r="R929" s="232" t="s">
        <v>3658</v>
      </c>
      <c r="S929" s="89"/>
      <c r="T929" s="36">
        <v>30</v>
      </c>
      <c r="U929" s="125" t="s">
        <v>118</v>
      </c>
      <c r="V929" s="147" t="s">
        <v>3659</v>
      </c>
      <c r="W929" s="129"/>
      <c r="X929" s="88">
        <f>+BD929+T929</f>
        <v>43968</v>
      </c>
      <c r="Y929" s="130" t="s">
        <v>20</v>
      </c>
      <c r="Z929" s="133" t="s">
        <v>60</v>
      </c>
      <c r="AA929" s="133"/>
      <c r="AB929" s="241">
        <v>550</v>
      </c>
      <c r="AC929" s="134">
        <v>247.67</v>
      </c>
      <c r="AD929" s="134"/>
      <c r="AE929" s="403">
        <f t="shared" si="51"/>
        <v>136218.5</v>
      </c>
      <c r="AF929" s="132">
        <v>22</v>
      </c>
      <c r="AG929" s="130" t="s">
        <v>5</v>
      </c>
      <c r="AH929" s="130"/>
      <c r="AI929" s="130" t="s">
        <v>34</v>
      </c>
      <c r="AJ929" s="130"/>
      <c r="AK929" s="130"/>
      <c r="AL929" s="135" t="s">
        <v>3496</v>
      </c>
      <c r="AM929" s="314"/>
      <c r="AN929" s="26"/>
      <c r="AO929" s="26"/>
      <c r="AP929" s="26"/>
      <c r="AQ929" s="26">
        <f>+BD929+5</f>
        <v>43943</v>
      </c>
      <c r="AR929" s="24"/>
      <c r="AS929" s="24"/>
      <c r="AT929" s="24">
        <v>43953</v>
      </c>
      <c r="AU929" s="418">
        <f t="shared" si="52"/>
        <v>5</v>
      </c>
      <c r="AV929" s="418">
        <f t="shared" si="53"/>
        <v>2020</v>
      </c>
      <c r="AW929" s="24"/>
      <c r="AX929" s="28"/>
      <c r="AY929" s="28" t="s">
        <v>3415</v>
      </c>
      <c r="AZ929" s="132" t="s">
        <v>9</v>
      </c>
      <c r="BA929" s="132"/>
      <c r="BB929" s="24" t="s">
        <v>2956</v>
      </c>
      <c r="BC929" s="135" t="s">
        <v>3660</v>
      </c>
      <c r="BD929" s="24">
        <v>43938</v>
      </c>
      <c r="BE929" s="135" t="s">
        <v>1806</v>
      </c>
      <c r="BF929" s="135" t="s">
        <v>1806</v>
      </c>
      <c r="BG929" s="135" t="s">
        <v>29</v>
      </c>
      <c r="BH929" s="135"/>
      <c r="BI929" s="314" t="s">
        <v>124</v>
      </c>
      <c r="BJ929" s="314"/>
      <c r="BK929" s="24"/>
      <c r="BL929" s="24"/>
      <c r="BM929" s="24"/>
      <c r="BN929" s="24"/>
      <c r="BO929" s="24"/>
      <c r="BP929" s="24"/>
      <c r="BQ929" s="24"/>
      <c r="BR929" s="43"/>
      <c r="BS929" s="24"/>
      <c r="BT929" s="24"/>
      <c r="BU929" s="24"/>
      <c r="BV929" s="132" t="e">
        <f>IF(#REF!="COMPLETO","OK","PENDIENTES")</f>
        <v>#REF!</v>
      </c>
      <c r="BW929" s="325"/>
      <c r="BX929" s="325"/>
      <c r="BY929" s="325"/>
      <c r="BZ929" s="325"/>
      <c r="CA929" s="325"/>
      <c r="CB929" s="325"/>
      <c r="CC929" s="258"/>
      <c r="CG929" s="24" t="s">
        <v>105</v>
      </c>
      <c r="CH929" s="24"/>
      <c r="CI929" s="24"/>
      <c r="CJ929" s="24"/>
    </row>
    <row r="930" spans="1:88" ht="15" customHeight="1">
      <c r="A930" s="18">
        <v>2020</v>
      </c>
      <c r="B930" s="18" t="str">
        <f>+INDEX(BDD!F:F,MATCH(P930,BDD!D:D,0))&amp;"-"&amp;INDEX(BDD!E:E,MATCH(P930,BDD!D:D,0))</f>
        <v>T-S</v>
      </c>
      <c r="C930" s="125" t="s">
        <v>484</v>
      </c>
      <c r="D930" s="150" t="s">
        <v>77</v>
      </c>
      <c r="E930" s="132"/>
      <c r="F930" s="24"/>
      <c r="G930" s="346">
        <v>8000000756</v>
      </c>
      <c r="H930" s="125" t="s">
        <v>3661</v>
      </c>
      <c r="I930" s="329"/>
      <c r="J930" s="346">
        <v>8000000756</v>
      </c>
      <c r="K930" s="24"/>
      <c r="L930" s="24"/>
      <c r="M930" s="24"/>
      <c r="N930" s="340" t="s">
        <v>486</v>
      </c>
      <c r="O930" s="334">
        <v>208073</v>
      </c>
      <c r="P930" s="25" t="s">
        <v>382</v>
      </c>
      <c r="Q930" s="127" t="s">
        <v>303</v>
      </c>
      <c r="R930" s="266" t="s">
        <v>3662</v>
      </c>
      <c r="S930" s="89">
        <v>43905</v>
      </c>
      <c r="T930" s="36">
        <v>30</v>
      </c>
      <c r="U930" s="125" t="s">
        <v>118</v>
      </c>
      <c r="V930" s="147" t="s">
        <v>3663</v>
      </c>
      <c r="W930" s="129"/>
      <c r="X930" s="88">
        <v>43979</v>
      </c>
      <c r="Y930" s="130" t="s">
        <v>20</v>
      </c>
      <c r="Z930" s="133" t="s">
        <v>60</v>
      </c>
      <c r="AA930" s="133"/>
      <c r="AB930" s="241">
        <v>216</v>
      </c>
      <c r="AC930" s="134">
        <v>247.67</v>
      </c>
      <c r="AD930" s="134"/>
      <c r="AE930" s="403">
        <f t="shared" si="51"/>
        <v>53496.719999999994</v>
      </c>
      <c r="AF930" s="132">
        <v>9</v>
      </c>
      <c r="AG930" s="130" t="s">
        <v>5</v>
      </c>
      <c r="AH930" s="130"/>
      <c r="AI930" s="130" t="s">
        <v>71</v>
      </c>
      <c r="AJ930" s="130"/>
      <c r="AK930" s="130"/>
      <c r="AL930" s="135" t="s">
        <v>3496</v>
      </c>
      <c r="AM930" s="314"/>
      <c r="AN930" s="26"/>
      <c r="AO930" s="26"/>
      <c r="AP930" s="26"/>
      <c r="AQ930" s="26">
        <f>+BD930+5</f>
        <v>43950</v>
      </c>
      <c r="AR930" s="24"/>
      <c r="AS930" s="24"/>
      <c r="AT930" s="24">
        <v>43958</v>
      </c>
      <c r="AU930" s="418">
        <f t="shared" si="52"/>
        <v>5</v>
      </c>
      <c r="AV930" s="418">
        <f t="shared" si="53"/>
        <v>2020</v>
      </c>
      <c r="AW930" s="24"/>
      <c r="AX930" s="28"/>
      <c r="AY930" s="28" t="s">
        <v>3415</v>
      </c>
      <c r="AZ930" s="132" t="s">
        <v>9</v>
      </c>
      <c r="BA930" s="132"/>
      <c r="BB930" s="24" t="s">
        <v>2956</v>
      </c>
      <c r="BC930" s="135" t="s">
        <v>3664</v>
      </c>
      <c r="BD930" s="24">
        <v>43945</v>
      </c>
      <c r="BE930" s="135" t="s">
        <v>2560</v>
      </c>
      <c r="BF930" s="135" t="s">
        <v>2560</v>
      </c>
      <c r="BG930" s="135" t="s">
        <v>64</v>
      </c>
      <c r="BH930" s="135"/>
      <c r="BI930" s="314" t="s">
        <v>124</v>
      </c>
      <c r="BJ930" s="314"/>
      <c r="BK930" s="24"/>
      <c r="BL930" s="24"/>
      <c r="BM930" s="24"/>
      <c r="BN930" s="24"/>
      <c r="BO930" s="24"/>
      <c r="BP930" s="24"/>
      <c r="BQ930" s="24"/>
      <c r="BR930" s="43"/>
      <c r="BS930" s="24"/>
      <c r="BT930" s="24"/>
      <c r="BU930" s="24"/>
      <c r="BV930" s="132" t="e">
        <f>IF(#REF!="COMPLETO","OK","PENDIENTES")</f>
        <v>#REF!</v>
      </c>
      <c r="BW930" s="325"/>
      <c r="BX930" s="325"/>
      <c r="BY930" s="325"/>
      <c r="BZ930" s="325"/>
      <c r="CA930" s="325"/>
      <c r="CB930" s="325"/>
      <c r="CC930" s="258"/>
      <c r="CG930" s="24" t="s">
        <v>105</v>
      </c>
      <c r="CH930" s="24"/>
      <c r="CI930" s="24"/>
      <c r="CJ930" s="24"/>
    </row>
    <row r="931" spans="1:88" ht="15" customHeight="1">
      <c r="A931" s="18">
        <v>2020</v>
      </c>
      <c r="B931" s="18" t="str">
        <f>+INDEX(BDD!F:F,MATCH(P931,BDD!D:D,0))&amp;"-"&amp;INDEX(BDD!E:E,MATCH(P931,BDD!D:D,0))</f>
        <v>T-S</v>
      </c>
      <c r="C931" s="125" t="s">
        <v>484</v>
      </c>
      <c r="D931" s="150" t="s">
        <v>77</v>
      </c>
      <c r="E931" s="132"/>
      <c r="F931" s="24"/>
      <c r="G931" s="346">
        <v>8000000751</v>
      </c>
      <c r="H931" s="125" t="s">
        <v>3665</v>
      </c>
      <c r="I931" s="329"/>
      <c r="J931" s="346">
        <v>8000000751</v>
      </c>
      <c r="K931" s="24"/>
      <c r="L931" s="24"/>
      <c r="M931" s="24"/>
      <c r="N931" s="340" t="s">
        <v>486</v>
      </c>
      <c r="O931" s="334">
        <v>208067</v>
      </c>
      <c r="P931" s="25" t="s">
        <v>383</v>
      </c>
      <c r="Q931" s="127" t="s">
        <v>303</v>
      </c>
      <c r="R931" s="266" t="s">
        <v>3662</v>
      </c>
      <c r="S931" s="89"/>
      <c r="T931" s="36">
        <v>30</v>
      </c>
      <c r="U931" s="125" t="s">
        <v>118</v>
      </c>
      <c r="V931" s="147" t="s">
        <v>3663</v>
      </c>
      <c r="W931" s="129"/>
      <c r="X931" s="88">
        <v>43979</v>
      </c>
      <c r="Y931" s="130" t="s">
        <v>20</v>
      </c>
      <c r="Z931" s="133" t="s">
        <v>60</v>
      </c>
      <c r="AA931" s="133"/>
      <c r="AB931" s="241">
        <v>250</v>
      </c>
      <c r="AC931" s="134">
        <v>247.67</v>
      </c>
      <c r="AD931" s="134"/>
      <c r="AE931" s="403">
        <f t="shared" si="51"/>
        <v>61917.5</v>
      </c>
      <c r="AF931" s="132"/>
      <c r="AG931" s="130" t="s">
        <v>5</v>
      </c>
      <c r="AH931" s="130"/>
      <c r="AI931" s="130" t="s">
        <v>34</v>
      </c>
      <c r="AJ931" s="130"/>
      <c r="AK931" s="130"/>
      <c r="AL931" s="135" t="s">
        <v>3496</v>
      </c>
      <c r="AM931" s="314"/>
      <c r="AN931" s="26"/>
      <c r="AO931" s="26"/>
      <c r="AP931" s="26"/>
      <c r="AQ931" s="26">
        <f>+BD931+5</f>
        <v>43950</v>
      </c>
      <c r="AR931" s="24"/>
      <c r="AS931" s="24"/>
      <c r="AT931" s="24">
        <v>43959</v>
      </c>
      <c r="AU931" s="418">
        <f t="shared" si="52"/>
        <v>5</v>
      </c>
      <c r="AV931" s="418">
        <f t="shared" si="53"/>
        <v>2020</v>
      </c>
      <c r="AW931" s="24"/>
      <c r="AX931" s="28"/>
      <c r="AY931" s="28" t="s">
        <v>3415</v>
      </c>
      <c r="AZ931" s="132" t="s">
        <v>9</v>
      </c>
      <c r="BA931" s="132"/>
      <c r="BB931" s="24" t="s">
        <v>3264</v>
      </c>
      <c r="BC931" s="135" t="s">
        <v>3664</v>
      </c>
      <c r="BD931" s="24">
        <v>43945</v>
      </c>
      <c r="BE931" s="135" t="s">
        <v>2560</v>
      </c>
      <c r="BF931" s="135" t="s">
        <v>2560</v>
      </c>
      <c r="BG931" s="135" t="s">
        <v>64</v>
      </c>
      <c r="BH931" s="135"/>
      <c r="BI931" s="314" t="s">
        <v>124</v>
      </c>
      <c r="BJ931" s="314"/>
      <c r="BK931" s="24"/>
      <c r="BL931" s="24"/>
      <c r="BM931" s="24"/>
      <c r="BN931" s="24"/>
      <c r="BO931" s="24"/>
      <c r="BP931" s="24"/>
      <c r="BQ931" s="24"/>
      <c r="BR931" s="43"/>
      <c r="BS931" s="24"/>
      <c r="BT931" s="24"/>
      <c r="BU931" s="24"/>
      <c r="BV931" s="132" t="e">
        <f>IF(#REF!="COMPLETO","OK","PENDIENTES")</f>
        <v>#REF!</v>
      </c>
      <c r="BW931" s="325"/>
      <c r="BX931" s="325"/>
      <c r="BY931" s="325"/>
      <c r="BZ931" s="325"/>
      <c r="CA931" s="325"/>
      <c r="CB931" s="325"/>
      <c r="CC931" s="258"/>
      <c r="CG931" s="24" t="s">
        <v>105</v>
      </c>
      <c r="CH931" s="24"/>
      <c r="CI931" s="24"/>
      <c r="CJ931" s="24"/>
    </row>
    <row r="932" spans="1:88" ht="15" customHeight="1">
      <c r="A932" s="18">
        <v>2020</v>
      </c>
      <c r="B932" s="18" t="str">
        <f>+INDEX(BDD!F:F,MATCH(P932,BDD!D:D,0))&amp;"-"&amp;INDEX(BDD!E:E,MATCH(P932,BDD!D:D,0))</f>
        <v>G-S</v>
      </c>
      <c r="C932" s="125" t="s">
        <v>484</v>
      </c>
      <c r="D932" s="150" t="s">
        <v>77</v>
      </c>
      <c r="E932" s="132"/>
      <c r="F932" s="24"/>
      <c r="G932" s="346">
        <v>8000000860</v>
      </c>
      <c r="H932" s="125" t="s">
        <v>3666</v>
      </c>
      <c r="I932" s="329"/>
      <c r="J932" s="346">
        <v>8000000860</v>
      </c>
      <c r="K932" s="24"/>
      <c r="L932" s="24"/>
      <c r="M932" s="24"/>
      <c r="N932" s="340" t="s">
        <v>486</v>
      </c>
      <c r="O932" s="334">
        <v>208300</v>
      </c>
      <c r="P932" s="25" t="s">
        <v>332</v>
      </c>
      <c r="Q932" s="127" t="s">
        <v>213</v>
      </c>
      <c r="R932" s="232" t="s">
        <v>3667</v>
      </c>
      <c r="S932" s="89">
        <v>43924</v>
      </c>
      <c r="T932" s="36">
        <v>90</v>
      </c>
      <c r="U932" s="125" t="s">
        <v>118</v>
      </c>
      <c r="V932" s="147" t="s">
        <v>3668</v>
      </c>
      <c r="W932" s="129"/>
      <c r="X932" s="88">
        <f>+BD932+T932</f>
        <v>44069</v>
      </c>
      <c r="Y932" s="130" t="s">
        <v>20</v>
      </c>
      <c r="Z932" s="133" t="s">
        <v>60</v>
      </c>
      <c r="AA932" s="133"/>
      <c r="AB932" s="241">
        <v>495</v>
      </c>
      <c r="AC932" s="134">
        <v>187</v>
      </c>
      <c r="AD932" s="134"/>
      <c r="AE932" s="403">
        <f t="shared" si="51"/>
        <v>92565</v>
      </c>
      <c r="AF932" s="145" t="s">
        <v>2822</v>
      </c>
      <c r="AG932" s="130" t="s">
        <v>58</v>
      </c>
      <c r="AH932" s="130"/>
      <c r="AI932" s="130" t="s">
        <v>100</v>
      </c>
      <c r="AJ932" s="130"/>
      <c r="AK932" s="130"/>
      <c r="AL932" s="135" t="s">
        <v>3511</v>
      </c>
      <c r="AM932" s="314"/>
      <c r="AN932" s="26"/>
      <c r="AO932" s="26"/>
      <c r="AP932" s="26"/>
      <c r="AQ932" s="26">
        <v>44016</v>
      </c>
      <c r="AR932" s="24"/>
      <c r="AS932" s="24"/>
      <c r="AT932" s="24">
        <v>44024</v>
      </c>
      <c r="AU932" s="418">
        <f t="shared" si="52"/>
        <v>7</v>
      </c>
      <c r="AV932" s="418">
        <f t="shared" si="53"/>
        <v>2020</v>
      </c>
      <c r="AW932" s="24"/>
      <c r="AX932" s="24"/>
      <c r="AY932" s="24" t="s">
        <v>3199</v>
      </c>
      <c r="AZ932" s="132" t="s">
        <v>9</v>
      </c>
      <c r="BA932" s="132"/>
      <c r="BB932" s="24" t="s">
        <v>3264</v>
      </c>
      <c r="BC932" s="135" t="s">
        <v>3669</v>
      </c>
      <c r="BD932" s="24">
        <v>43979</v>
      </c>
      <c r="BE932" s="135" t="s">
        <v>3575</v>
      </c>
      <c r="BF932" s="135" t="s">
        <v>3575</v>
      </c>
      <c r="BG932" s="135" t="s">
        <v>52</v>
      </c>
      <c r="BH932" s="135"/>
      <c r="BI932" s="314" t="s">
        <v>124</v>
      </c>
      <c r="BJ932" s="314"/>
      <c r="BK932" s="26"/>
      <c r="BL932" s="26"/>
      <c r="BM932" s="26"/>
      <c r="BN932" s="26"/>
      <c r="BO932" s="24"/>
      <c r="BP932" s="24"/>
      <c r="BQ932" s="24"/>
      <c r="BR932" s="43"/>
      <c r="BS932" s="24"/>
      <c r="BT932" s="24"/>
      <c r="BU932" s="24"/>
      <c r="BV932" s="132" t="e">
        <f>IF(#REF!="COMPLETO","OK","PENDIENTES")</f>
        <v>#REF!</v>
      </c>
      <c r="BW932" s="325"/>
      <c r="BX932" s="325"/>
      <c r="BY932" s="325"/>
      <c r="BZ932" s="325"/>
      <c r="CA932" s="325"/>
      <c r="CB932" s="325"/>
      <c r="CC932" s="258" t="s">
        <v>3670</v>
      </c>
      <c r="CG932" s="24" t="s">
        <v>105</v>
      </c>
      <c r="CH932" s="24"/>
      <c r="CI932" s="24"/>
      <c r="CJ932" s="24"/>
    </row>
    <row r="933" spans="1:88" ht="15" customHeight="1">
      <c r="A933" s="18">
        <v>2020</v>
      </c>
      <c r="B933" s="18" t="str">
        <f>+INDEX(BDD!F:F,MATCH(P933,BDD!D:D,0))&amp;"-"&amp;INDEX(BDD!E:E,MATCH(P933,BDD!D:D,0))</f>
        <v>G-S</v>
      </c>
      <c r="C933" s="125" t="s">
        <v>484</v>
      </c>
      <c r="D933" s="150" t="s">
        <v>77</v>
      </c>
      <c r="E933" s="132"/>
      <c r="F933" s="24"/>
      <c r="G933" s="346">
        <v>8000000892</v>
      </c>
      <c r="H933" s="125" t="s">
        <v>3671</v>
      </c>
      <c r="I933" s="329"/>
      <c r="J933" s="346">
        <v>8000000892</v>
      </c>
      <c r="K933" s="24"/>
      <c r="L933" s="24"/>
      <c r="M933" s="24"/>
      <c r="N933" s="340" t="s">
        <v>486</v>
      </c>
      <c r="O933" s="334">
        <v>208300</v>
      </c>
      <c r="P933" s="25" t="s">
        <v>332</v>
      </c>
      <c r="Q933" s="127" t="s">
        <v>213</v>
      </c>
      <c r="R933" s="232" t="s">
        <v>3667</v>
      </c>
      <c r="S933" s="89">
        <v>43924</v>
      </c>
      <c r="T933" s="36">
        <v>90</v>
      </c>
      <c r="U933" s="125" t="s">
        <v>118</v>
      </c>
      <c r="V933" s="147" t="s">
        <v>3672</v>
      </c>
      <c r="W933" s="129"/>
      <c r="X933" s="88">
        <f>+BD933+T933</f>
        <v>44069</v>
      </c>
      <c r="Y933" s="130" t="s">
        <v>20</v>
      </c>
      <c r="Z933" s="133" t="s">
        <v>60</v>
      </c>
      <c r="AA933" s="133"/>
      <c r="AB933" s="241">
        <v>275</v>
      </c>
      <c r="AC933" s="240">
        <v>186.25</v>
      </c>
      <c r="AD933" s="240"/>
      <c r="AE933" s="403">
        <f t="shared" si="51"/>
        <v>51218.75</v>
      </c>
      <c r="AF933" s="132"/>
      <c r="AG933" s="130" t="s">
        <v>58</v>
      </c>
      <c r="AH933" s="130"/>
      <c r="AI933" s="130" t="s">
        <v>71</v>
      </c>
      <c r="AJ933" s="130"/>
      <c r="AK933" s="130"/>
      <c r="AL933" s="135" t="s">
        <v>3511</v>
      </c>
      <c r="AM933" s="314"/>
      <c r="AN933" s="26"/>
      <c r="AO933" s="26"/>
      <c r="AP933" s="26"/>
      <c r="AQ933" s="26">
        <v>44026</v>
      </c>
      <c r="AR933" s="24"/>
      <c r="AS933" s="24"/>
      <c r="AT933" s="24">
        <v>44036</v>
      </c>
      <c r="AU933" s="418">
        <f t="shared" si="52"/>
        <v>7</v>
      </c>
      <c r="AV933" s="418">
        <f t="shared" si="53"/>
        <v>2020</v>
      </c>
      <c r="AW933" s="24"/>
      <c r="AX933" s="24"/>
      <c r="AY933" s="24" t="s">
        <v>3199</v>
      </c>
      <c r="AZ933" s="132" t="s">
        <v>37</v>
      </c>
      <c r="BA933" s="132"/>
      <c r="BB933" s="24" t="s">
        <v>3593</v>
      </c>
      <c r="BC933" s="135" t="s">
        <v>3673</v>
      </c>
      <c r="BD933" s="24">
        <v>43979</v>
      </c>
      <c r="BE933" s="135" t="s">
        <v>3575</v>
      </c>
      <c r="BF933" s="135" t="s">
        <v>3575</v>
      </c>
      <c r="BG933" s="135" t="s">
        <v>52</v>
      </c>
      <c r="BH933" s="135"/>
      <c r="BI933" s="314" t="s">
        <v>124</v>
      </c>
      <c r="BJ933" s="314"/>
      <c r="BK933" s="24"/>
      <c r="BL933" s="24"/>
      <c r="BM933" s="24"/>
      <c r="BN933" s="24"/>
      <c r="BO933" s="24"/>
      <c r="BP933" s="24"/>
      <c r="BQ933" s="24"/>
      <c r="BR933" s="43"/>
      <c r="BS933" s="24"/>
      <c r="BT933" s="24"/>
      <c r="BU933" s="24"/>
      <c r="BV933" s="132" t="e">
        <f>IF(#REF!="COMPLETO","OK","PENDIENTES")</f>
        <v>#REF!</v>
      </c>
      <c r="BW933" s="325"/>
      <c r="BX933" s="325"/>
      <c r="BY933" s="325"/>
      <c r="BZ933" s="325"/>
      <c r="CA933" s="325"/>
      <c r="CB933" s="325"/>
      <c r="CC933" s="258"/>
      <c r="CG933" s="24" t="s">
        <v>105</v>
      </c>
      <c r="CH933" s="24"/>
      <c r="CI933" s="24"/>
      <c r="CJ933" s="24"/>
    </row>
    <row r="934" spans="1:88" ht="15" customHeight="1">
      <c r="A934" s="18">
        <v>2020</v>
      </c>
      <c r="B934" s="18" t="str">
        <f>+INDEX(BDD!F:F,MATCH(P934,BDD!D:D,0))&amp;"-"&amp;INDEX(BDD!E:E,MATCH(P934,BDD!D:D,0))</f>
        <v>G-S</v>
      </c>
      <c r="C934" s="125" t="s">
        <v>484</v>
      </c>
      <c r="D934" s="150" t="s">
        <v>77</v>
      </c>
      <c r="E934" s="132"/>
      <c r="F934" s="24"/>
      <c r="G934" s="346">
        <v>8000000928</v>
      </c>
      <c r="H934" s="125" t="s">
        <v>3674</v>
      </c>
      <c r="I934" s="329"/>
      <c r="J934" s="346">
        <v>8000000928</v>
      </c>
      <c r="K934" s="24"/>
      <c r="L934" s="24"/>
      <c r="M934" s="24"/>
      <c r="N934" s="340" t="s">
        <v>486</v>
      </c>
      <c r="O934" s="334">
        <v>208300</v>
      </c>
      <c r="P934" s="25" t="s">
        <v>332</v>
      </c>
      <c r="Q934" s="127" t="s">
        <v>213</v>
      </c>
      <c r="R934" s="232" t="s">
        <v>3667</v>
      </c>
      <c r="S934" s="89">
        <v>43924</v>
      </c>
      <c r="T934" s="36">
        <v>90</v>
      </c>
      <c r="U934" s="125" t="s">
        <v>118</v>
      </c>
      <c r="V934" s="147" t="s">
        <v>3675</v>
      </c>
      <c r="W934" s="129"/>
      <c r="X934" s="88">
        <f>+BD934+T934</f>
        <v>44069</v>
      </c>
      <c r="Y934" s="130" t="s">
        <v>20</v>
      </c>
      <c r="Z934" s="133" t="s">
        <v>60</v>
      </c>
      <c r="AA934" s="133"/>
      <c r="AB934" s="241">
        <v>330</v>
      </c>
      <c r="AC934" s="134">
        <v>185.5</v>
      </c>
      <c r="AD934" s="134"/>
      <c r="AE934" s="403">
        <f t="shared" si="51"/>
        <v>61215</v>
      </c>
      <c r="AF934" s="132"/>
      <c r="AG934" s="130" t="s">
        <v>58</v>
      </c>
      <c r="AH934" s="130"/>
      <c r="AI934" s="130" t="s">
        <v>71</v>
      </c>
      <c r="AJ934" s="130"/>
      <c r="AK934" s="130"/>
      <c r="AL934" s="135" t="s">
        <v>3511</v>
      </c>
      <c r="AM934" s="314"/>
      <c r="AN934" s="26"/>
      <c r="AO934" s="26"/>
      <c r="AP934" s="26"/>
      <c r="AQ934" s="26">
        <v>44040</v>
      </c>
      <c r="AR934" s="24"/>
      <c r="AS934" s="24"/>
      <c r="AT934" s="24">
        <v>44060</v>
      </c>
      <c r="AU934" s="418">
        <f t="shared" si="52"/>
        <v>8</v>
      </c>
      <c r="AV934" s="418">
        <f t="shared" si="53"/>
        <v>2020</v>
      </c>
      <c r="AW934" s="24"/>
      <c r="AX934" s="28"/>
      <c r="AY934" s="28" t="s">
        <v>3199</v>
      </c>
      <c r="AZ934" s="132" t="s">
        <v>62</v>
      </c>
      <c r="BA934" s="132"/>
      <c r="BB934" s="24" t="s">
        <v>3334</v>
      </c>
      <c r="BC934" s="135" t="s">
        <v>3676</v>
      </c>
      <c r="BD934" s="24">
        <v>43979</v>
      </c>
      <c r="BE934" s="135" t="s">
        <v>2683</v>
      </c>
      <c r="BF934" s="135" t="s">
        <v>2683</v>
      </c>
      <c r="BG934" s="135" t="s">
        <v>52</v>
      </c>
      <c r="BH934" s="135"/>
      <c r="BI934" s="314" t="s">
        <v>124</v>
      </c>
      <c r="BJ934" s="314"/>
      <c r="BK934" s="24"/>
      <c r="BL934" s="24"/>
      <c r="BM934" s="24"/>
      <c r="BN934" s="24"/>
      <c r="BO934" s="24"/>
      <c r="BP934" s="24"/>
      <c r="BQ934" s="24"/>
      <c r="BR934" s="43"/>
      <c r="BS934" s="24"/>
      <c r="BT934" s="24"/>
      <c r="BU934" s="24"/>
      <c r="BV934" s="132" t="e">
        <f>IF(#REF!="COMPLETO","OK","PENDIENTES")</f>
        <v>#REF!</v>
      </c>
      <c r="BW934" s="325"/>
      <c r="BX934" s="325"/>
      <c r="BY934" s="325"/>
      <c r="BZ934" s="325"/>
      <c r="CA934" s="325"/>
      <c r="CB934" s="325"/>
      <c r="CC934" s="258"/>
      <c r="CG934" s="24" t="s">
        <v>105</v>
      </c>
      <c r="CH934" s="24"/>
      <c r="CI934" s="24"/>
      <c r="CJ934" s="24"/>
    </row>
    <row r="935" spans="1:88" ht="15" customHeight="1">
      <c r="A935" s="18">
        <v>2020</v>
      </c>
      <c r="B935" s="18" t="str">
        <f>+INDEX(BDD!F:F,MATCH(P935,BDD!D:D,0))&amp;"-"&amp;INDEX(BDD!E:E,MATCH(P935,BDD!D:D,0))</f>
        <v>G-S</v>
      </c>
      <c r="C935" s="125" t="s">
        <v>484</v>
      </c>
      <c r="D935" s="152" t="s">
        <v>92</v>
      </c>
      <c r="E935" s="132"/>
      <c r="F935" s="26"/>
      <c r="G935" s="346"/>
      <c r="H935" s="125" t="s">
        <v>3677</v>
      </c>
      <c r="I935" s="330"/>
      <c r="J935" s="346"/>
      <c r="K935" s="24"/>
      <c r="L935" s="24"/>
      <c r="M935" s="24"/>
      <c r="N935" s="340"/>
      <c r="O935" s="334"/>
      <c r="P935" s="25" t="s">
        <v>332</v>
      </c>
      <c r="Q935" s="127" t="s">
        <v>213</v>
      </c>
      <c r="R935" s="232"/>
      <c r="S935" s="89"/>
      <c r="T935" s="36"/>
      <c r="U935" s="125"/>
      <c r="V935" s="147"/>
      <c r="W935" s="129"/>
      <c r="X935" s="88"/>
      <c r="Y935" s="130"/>
      <c r="Z935" s="133"/>
      <c r="AA935" s="133"/>
      <c r="AB935" s="241"/>
      <c r="AC935" s="134"/>
      <c r="AD935" s="134"/>
      <c r="AE935" s="403">
        <f t="shared" si="51"/>
        <v>0</v>
      </c>
      <c r="AF935" s="132"/>
      <c r="AG935" s="130"/>
      <c r="AH935" s="130"/>
      <c r="AI935" s="130"/>
      <c r="AJ935" s="130"/>
      <c r="AK935" s="130"/>
      <c r="AL935" s="135"/>
      <c r="AM935" s="314"/>
      <c r="AN935" s="26"/>
      <c r="AO935" s="26"/>
      <c r="AP935" s="26"/>
      <c r="AQ935" s="26"/>
      <c r="AR935" s="26"/>
      <c r="AS935" s="26"/>
      <c r="AT935" s="24"/>
      <c r="AU935" s="418">
        <f t="shared" si="52"/>
        <v>1</v>
      </c>
      <c r="AV935" s="418">
        <f t="shared" si="53"/>
        <v>1900</v>
      </c>
      <c r="AW935" s="24"/>
      <c r="AX935" s="26"/>
      <c r="AY935" s="26"/>
      <c r="AZ935" s="132"/>
      <c r="BA935" s="132"/>
      <c r="BB935" s="26"/>
      <c r="BC935" s="135"/>
      <c r="BD935" s="24"/>
      <c r="BE935" s="135"/>
      <c r="BF935" s="135"/>
      <c r="BG935" s="135"/>
      <c r="BH935" s="135"/>
      <c r="BI935" s="314"/>
      <c r="BJ935" s="314"/>
      <c r="BK935" s="26"/>
      <c r="BL935" s="26"/>
      <c r="BM935" s="26"/>
      <c r="BN935" s="26"/>
      <c r="BO935" s="26"/>
      <c r="BP935" s="26"/>
      <c r="BQ935" s="26"/>
      <c r="BR935" s="156"/>
      <c r="BS935" s="26"/>
      <c r="BT935" s="26"/>
      <c r="BU935" s="26"/>
      <c r="BV935" s="132"/>
      <c r="BW935" s="325"/>
      <c r="BX935" s="325"/>
      <c r="BY935" s="325"/>
      <c r="BZ935" s="325"/>
      <c r="CA935" s="325"/>
      <c r="CB935" s="325"/>
      <c r="CC935" s="258"/>
      <c r="CD935" s="22"/>
      <c r="CE935" s="22"/>
      <c r="CF935" s="22"/>
      <c r="CG935" s="26"/>
      <c r="CH935" s="26"/>
      <c r="CI935" s="24"/>
      <c r="CJ935" s="24"/>
    </row>
    <row r="936" spans="1:88" ht="15" customHeight="1">
      <c r="A936" s="18">
        <v>2020</v>
      </c>
      <c r="B936" s="18" t="str">
        <f>+INDEX(BDD!F:F,MATCH(P936,BDD!D:D,0))&amp;"-"&amp;INDEX(BDD!E:E,MATCH(P936,BDD!D:D,0))</f>
        <v>G-S</v>
      </c>
      <c r="C936" s="125" t="s">
        <v>484</v>
      </c>
      <c r="D936" s="152" t="s">
        <v>92</v>
      </c>
      <c r="E936" s="132"/>
      <c r="F936" s="26"/>
      <c r="G936" s="346"/>
      <c r="H936" s="125" t="s">
        <v>3678</v>
      </c>
      <c r="I936" s="330"/>
      <c r="J936" s="346"/>
      <c r="K936" s="24"/>
      <c r="L936" s="24"/>
      <c r="M936" s="24"/>
      <c r="N936" s="340"/>
      <c r="O936" s="334"/>
      <c r="P936" s="25" t="s">
        <v>332</v>
      </c>
      <c r="Q936" s="127" t="s">
        <v>213</v>
      </c>
      <c r="R936" s="232"/>
      <c r="S936" s="89"/>
      <c r="T936" s="36"/>
      <c r="U936" s="125"/>
      <c r="V936" s="147"/>
      <c r="W936" s="129"/>
      <c r="X936" s="88"/>
      <c r="Y936" s="130"/>
      <c r="Z936" s="133"/>
      <c r="AA936" s="133"/>
      <c r="AB936" s="241"/>
      <c r="AC936" s="134"/>
      <c r="AD936" s="134"/>
      <c r="AE936" s="403">
        <f t="shared" si="51"/>
        <v>0</v>
      </c>
      <c r="AF936" s="132"/>
      <c r="AG936" s="130"/>
      <c r="AH936" s="130"/>
      <c r="AI936" s="130"/>
      <c r="AJ936" s="130"/>
      <c r="AK936" s="130"/>
      <c r="AL936" s="135"/>
      <c r="AM936" s="314"/>
      <c r="AN936" s="26"/>
      <c r="AO936" s="26"/>
      <c r="AP936" s="26"/>
      <c r="AQ936" s="26"/>
      <c r="AR936" s="26"/>
      <c r="AS936" s="26"/>
      <c r="AT936" s="24"/>
      <c r="AU936" s="418">
        <f t="shared" si="52"/>
        <v>1</v>
      </c>
      <c r="AV936" s="418">
        <f t="shared" si="53"/>
        <v>1900</v>
      </c>
      <c r="AW936" s="24"/>
      <c r="AX936" s="26"/>
      <c r="AY936" s="26"/>
      <c r="AZ936" s="132"/>
      <c r="BA936" s="132"/>
      <c r="BB936" s="26"/>
      <c r="BC936" s="135"/>
      <c r="BD936" s="24"/>
      <c r="BE936" s="135"/>
      <c r="BF936" s="135"/>
      <c r="BG936" s="135"/>
      <c r="BH936" s="135"/>
      <c r="BI936" s="314"/>
      <c r="BJ936" s="314"/>
      <c r="BK936" s="26"/>
      <c r="BL936" s="26"/>
      <c r="BM936" s="26"/>
      <c r="BN936" s="26"/>
      <c r="BO936" s="26"/>
      <c r="BP936" s="26"/>
      <c r="BQ936" s="26"/>
      <c r="BR936" s="156"/>
      <c r="BS936" s="26"/>
      <c r="BT936" s="26"/>
      <c r="BU936" s="26"/>
      <c r="BV936" s="132"/>
      <c r="BW936" s="325"/>
      <c r="BX936" s="325"/>
      <c r="BY936" s="325"/>
      <c r="BZ936" s="325"/>
      <c r="CA936" s="325"/>
      <c r="CB936" s="325"/>
      <c r="CC936" s="258"/>
      <c r="CD936" s="22"/>
      <c r="CE936" s="22"/>
      <c r="CF936" s="22"/>
      <c r="CG936" s="26"/>
      <c r="CH936" s="26"/>
      <c r="CI936" s="24"/>
      <c r="CJ936" s="24"/>
    </row>
    <row r="937" spans="1:88" ht="15" customHeight="1">
      <c r="A937" s="18">
        <v>2020</v>
      </c>
      <c r="B937" s="18" t="str">
        <f>+INDEX(BDD!F:F,MATCH(P937,BDD!D:D,0))&amp;"-"&amp;INDEX(BDD!E:E,MATCH(P937,BDD!D:D,0))</f>
        <v>G-S</v>
      </c>
      <c r="C937" s="125" t="s">
        <v>484</v>
      </c>
      <c r="D937" s="150" t="s">
        <v>77</v>
      </c>
      <c r="E937" s="132"/>
      <c r="F937" s="24"/>
      <c r="G937" s="346">
        <v>8000000855</v>
      </c>
      <c r="H937" s="125" t="s">
        <v>3679</v>
      </c>
      <c r="I937" s="329"/>
      <c r="J937" s="346">
        <v>8000000855</v>
      </c>
      <c r="K937" s="24"/>
      <c r="L937" s="24"/>
      <c r="M937" s="24"/>
      <c r="N937" s="340" t="s">
        <v>486</v>
      </c>
      <c r="O937" s="334">
        <v>204817</v>
      </c>
      <c r="P937" s="25" t="s">
        <v>346</v>
      </c>
      <c r="Q937" s="127" t="s">
        <v>213</v>
      </c>
      <c r="R937" s="232" t="s">
        <v>3680</v>
      </c>
      <c r="S937" s="89">
        <v>43921</v>
      </c>
      <c r="T937" s="36" t="s">
        <v>19</v>
      </c>
      <c r="U937" s="125"/>
      <c r="V937" s="147" t="s">
        <v>3681</v>
      </c>
      <c r="W937" s="129"/>
      <c r="X937" s="88">
        <v>43979</v>
      </c>
      <c r="Y937" s="130" t="s">
        <v>20</v>
      </c>
      <c r="Z937" s="133" t="s">
        <v>60</v>
      </c>
      <c r="AA937" s="133"/>
      <c r="AB937" s="241">
        <v>275</v>
      </c>
      <c r="AC937" s="134">
        <v>311</v>
      </c>
      <c r="AD937" s="134"/>
      <c r="AE937" s="403">
        <f t="shared" si="51"/>
        <v>85525</v>
      </c>
      <c r="AF937" s="132">
        <v>11</v>
      </c>
      <c r="AG937" s="130" t="s">
        <v>5</v>
      </c>
      <c r="AH937" s="130"/>
      <c r="AI937" s="130" t="s">
        <v>71</v>
      </c>
      <c r="AJ937" s="130"/>
      <c r="AK937" s="130"/>
      <c r="AL937" s="135" t="s">
        <v>3591</v>
      </c>
      <c r="AM937" s="314"/>
      <c r="AN937" s="26"/>
      <c r="AO937" s="26"/>
      <c r="AP937" s="26"/>
      <c r="AQ937" s="26">
        <v>44013</v>
      </c>
      <c r="AR937" s="24"/>
      <c r="AS937" s="24"/>
      <c r="AT937" s="24">
        <v>44020</v>
      </c>
      <c r="AU937" s="418">
        <f t="shared" si="52"/>
        <v>7</v>
      </c>
      <c r="AV937" s="418">
        <f t="shared" si="53"/>
        <v>2020</v>
      </c>
      <c r="AW937" s="24"/>
      <c r="AX937" s="28"/>
      <c r="AY937" s="28" t="s">
        <v>254</v>
      </c>
      <c r="AZ937" s="132" t="s">
        <v>9</v>
      </c>
      <c r="BA937" s="132"/>
      <c r="BB937" s="26" t="s">
        <v>2956</v>
      </c>
      <c r="BC937" s="135" t="s">
        <v>3682</v>
      </c>
      <c r="BD937" s="24">
        <v>43962</v>
      </c>
      <c r="BE937" s="135" t="s">
        <v>3683</v>
      </c>
      <c r="BF937" s="135" t="s">
        <v>1807</v>
      </c>
      <c r="BG937" s="135" t="s">
        <v>64</v>
      </c>
      <c r="BH937" s="135"/>
      <c r="BI937" s="314" t="s">
        <v>124</v>
      </c>
      <c r="BJ937" s="314"/>
      <c r="BK937" s="24"/>
      <c r="BL937" s="24"/>
      <c r="BM937" s="24"/>
      <c r="BN937" s="24"/>
      <c r="BO937" s="24"/>
      <c r="BP937" s="24"/>
      <c r="BQ937" s="24"/>
      <c r="BR937" s="43"/>
      <c r="BS937" s="24"/>
      <c r="BT937" s="24"/>
      <c r="BU937" s="24"/>
      <c r="BV937" s="132" t="e">
        <f>IF(#REF!="COMPLETO","OK","PENDIENTES")</f>
        <v>#REF!</v>
      </c>
      <c r="BW937" s="325"/>
      <c r="BX937" s="325"/>
      <c r="BY937" s="325"/>
      <c r="BZ937" s="325"/>
      <c r="CA937" s="325"/>
      <c r="CB937" s="325"/>
      <c r="CC937" s="258"/>
      <c r="CG937" s="24" t="s">
        <v>105</v>
      </c>
      <c r="CH937" s="24"/>
      <c r="CI937" s="24"/>
      <c r="CJ937" s="24"/>
    </row>
    <row r="938" spans="1:88" ht="15" customHeight="1">
      <c r="A938" s="18">
        <v>2020</v>
      </c>
      <c r="B938" s="18" t="str">
        <f>+INDEX(BDD!F:F,MATCH(P938,BDD!D:D,0))&amp;"-"&amp;INDEX(BDD!E:E,MATCH(P938,BDD!D:D,0))</f>
        <v>G-S</v>
      </c>
      <c r="C938" s="125" t="s">
        <v>484</v>
      </c>
      <c r="D938" s="150" t="s">
        <v>77</v>
      </c>
      <c r="E938" s="132"/>
      <c r="F938" s="24"/>
      <c r="G938" s="346">
        <v>8000000831</v>
      </c>
      <c r="H938" s="125" t="s">
        <v>3684</v>
      </c>
      <c r="I938" s="329"/>
      <c r="J938" s="346">
        <v>8000000831</v>
      </c>
      <c r="K938" s="24"/>
      <c r="L938" s="24"/>
      <c r="M938" s="24"/>
      <c r="N938" s="340" t="s">
        <v>486</v>
      </c>
      <c r="O938" s="334">
        <v>204817</v>
      </c>
      <c r="P938" s="25" t="s">
        <v>346</v>
      </c>
      <c r="Q938" s="127" t="s">
        <v>213</v>
      </c>
      <c r="R938" s="232" t="s">
        <v>3680</v>
      </c>
      <c r="S938" s="89">
        <v>43921</v>
      </c>
      <c r="T938" s="36" t="s">
        <v>19</v>
      </c>
      <c r="U938" s="125"/>
      <c r="V938" s="147" t="s">
        <v>3685</v>
      </c>
      <c r="W938" s="129"/>
      <c r="X938" s="88">
        <v>43979</v>
      </c>
      <c r="Y938" s="130" t="s">
        <v>20</v>
      </c>
      <c r="Z938" s="133" t="s">
        <v>60</v>
      </c>
      <c r="AA938" s="133"/>
      <c r="AB938" s="241">
        <v>272.5</v>
      </c>
      <c r="AC938" s="134">
        <v>310</v>
      </c>
      <c r="AD938" s="134"/>
      <c r="AE938" s="403">
        <f t="shared" si="51"/>
        <v>84475</v>
      </c>
      <c r="AF938" s="132">
        <v>11</v>
      </c>
      <c r="AG938" s="130" t="s">
        <v>5</v>
      </c>
      <c r="AH938" s="130"/>
      <c r="AI938" s="130" t="s">
        <v>71</v>
      </c>
      <c r="AJ938" s="130"/>
      <c r="AK938" s="130"/>
      <c r="AL938" s="135" t="s">
        <v>3591</v>
      </c>
      <c r="AM938" s="314"/>
      <c r="AN938" s="26"/>
      <c r="AO938" s="26"/>
      <c r="AP938" s="26"/>
      <c r="AQ938" s="26">
        <v>44003</v>
      </c>
      <c r="AR938" s="24"/>
      <c r="AS938" s="24"/>
      <c r="AT938" s="26">
        <v>44007</v>
      </c>
      <c r="AU938" s="418">
        <f t="shared" si="52"/>
        <v>6</v>
      </c>
      <c r="AV938" s="418">
        <f t="shared" si="53"/>
        <v>2020</v>
      </c>
      <c r="AW938" s="26"/>
      <c r="AX938" s="28"/>
      <c r="AY938" s="28" t="s">
        <v>254</v>
      </c>
      <c r="AZ938" s="132" t="s">
        <v>37</v>
      </c>
      <c r="BA938" s="132"/>
      <c r="BB938" s="24" t="s">
        <v>2956</v>
      </c>
      <c r="BC938" s="135" t="s">
        <v>3686</v>
      </c>
      <c r="BD938" s="24">
        <v>43962</v>
      </c>
      <c r="BE938" s="135" t="s">
        <v>3683</v>
      </c>
      <c r="BF938" s="135" t="s">
        <v>3514</v>
      </c>
      <c r="BG938" s="135" t="s">
        <v>64</v>
      </c>
      <c r="BH938" s="135"/>
      <c r="BI938" s="314" t="s">
        <v>124</v>
      </c>
      <c r="BJ938" s="314"/>
      <c r="BK938" s="24"/>
      <c r="BL938" s="24"/>
      <c r="BM938" s="24"/>
      <c r="BN938" s="24"/>
      <c r="BO938" s="24"/>
      <c r="BP938" s="24"/>
      <c r="BQ938" s="24"/>
      <c r="BR938" s="43"/>
      <c r="BS938" s="24"/>
      <c r="BT938" s="24"/>
      <c r="BU938" s="24"/>
      <c r="BV938" s="132" t="e">
        <f>IF(#REF!="COMPLETO","OK","PENDIENTES")</f>
        <v>#REF!</v>
      </c>
      <c r="BW938" s="325"/>
      <c r="BX938" s="325"/>
      <c r="BY938" s="325"/>
      <c r="BZ938" s="325"/>
      <c r="CA938" s="325"/>
      <c r="CB938" s="325"/>
      <c r="CC938" s="258"/>
      <c r="CG938" s="24" t="s">
        <v>105</v>
      </c>
      <c r="CH938" s="24"/>
      <c r="CI938" s="26"/>
      <c r="CJ938" s="26"/>
    </row>
    <row r="939" spans="1:88" ht="15" customHeight="1">
      <c r="A939" s="18">
        <v>2020</v>
      </c>
      <c r="B939" s="18" t="str">
        <f>+INDEX(BDD!F:F,MATCH(P939,BDD!D:D,0))&amp;"-"&amp;INDEX(BDD!E:E,MATCH(P939,BDD!D:D,0))</f>
        <v>G-S</v>
      </c>
      <c r="C939" s="125" t="s">
        <v>484</v>
      </c>
      <c r="D939" s="150" t="s">
        <v>77</v>
      </c>
      <c r="E939" s="132"/>
      <c r="F939" s="24"/>
      <c r="G939" s="346">
        <v>8000000941</v>
      </c>
      <c r="H939" s="125" t="s">
        <v>3687</v>
      </c>
      <c r="I939" s="329"/>
      <c r="J939" s="346">
        <v>8000000941</v>
      </c>
      <c r="K939" s="24"/>
      <c r="L939" s="24"/>
      <c r="M939" s="24"/>
      <c r="N939" s="340" t="s">
        <v>486</v>
      </c>
      <c r="O939" s="334">
        <v>204817</v>
      </c>
      <c r="P939" s="25" t="s">
        <v>346</v>
      </c>
      <c r="Q939" s="127" t="s">
        <v>213</v>
      </c>
      <c r="R939" s="232" t="s">
        <v>3680</v>
      </c>
      <c r="S939" s="89">
        <v>43921</v>
      </c>
      <c r="T939" s="36" t="s">
        <v>19</v>
      </c>
      <c r="U939" s="125"/>
      <c r="V939" s="147" t="s">
        <v>3688</v>
      </c>
      <c r="W939" s="129"/>
      <c r="X939" s="88">
        <v>43979</v>
      </c>
      <c r="Y939" s="130" t="s">
        <v>20</v>
      </c>
      <c r="Z939" s="133" t="s">
        <v>60</v>
      </c>
      <c r="AA939" s="133"/>
      <c r="AB939" s="241">
        <v>100</v>
      </c>
      <c r="AC939" s="134">
        <v>341.5</v>
      </c>
      <c r="AD939" s="134"/>
      <c r="AE939" s="403">
        <f t="shared" si="51"/>
        <v>34150</v>
      </c>
      <c r="AF939" s="132">
        <v>4</v>
      </c>
      <c r="AG939" s="130" t="s">
        <v>5</v>
      </c>
      <c r="AH939" s="130"/>
      <c r="AI939" s="130" t="s">
        <v>71</v>
      </c>
      <c r="AJ939" s="130"/>
      <c r="AK939" s="130"/>
      <c r="AL939" s="135" t="s">
        <v>3591</v>
      </c>
      <c r="AM939" s="314"/>
      <c r="AN939" s="26"/>
      <c r="AO939" s="26"/>
      <c r="AP939" s="26"/>
      <c r="AQ939" s="26">
        <v>44035</v>
      </c>
      <c r="AR939" s="24"/>
      <c r="AS939" s="24"/>
      <c r="AT939" s="24">
        <v>44044</v>
      </c>
      <c r="AU939" s="418">
        <f t="shared" si="52"/>
        <v>8</v>
      </c>
      <c r="AV939" s="418">
        <f t="shared" si="53"/>
        <v>2020</v>
      </c>
      <c r="AW939" s="24"/>
      <c r="AX939" s="28"/>
      <c r="AY939" s="28" t="s">
        <v>254</v>
      </c>
      <c r="AZ939" s="132" t="s">
        <v>62</v>
      </c>
      <c r="BA939" s="132"/>
      <c r="BB939" s="24" t="s">
        <v>3334</v>
      </c>
      <c r="BC939" s="135" t="s">
        <v>3689</v>
      </c>
      <c r="BD939" s="24">
        <v>43961</v>
      </c>
      <c r="BE939" s="135" t="s">
        <v>3690</v>
      </c>
      <c r="BF939" s="135" t="s">
        <v>3691</v>
      </c>
      <c r="BG939" s="135" t="s">
        <v>53</v>
      </c>
      <c r="BH939" s="135"/>
      <c r="BI939" s="314" t="s">
        <v>124</v>
      </c>
      <c r="BJ939" s="314"/>
      <c r="BK939" s="24"/>
      <c r="BL939" s="24"/>
      <c r="BM939" s="24"/>
      <c r="BN939" s="24"/>
      <c r="BO939" s="24"/>
      <c r="BP939" s="24"/>
      <c r="BQ939" s="24"/>
      <c r="BR939" s="43"/>
      <c r="BS939" s="24"/>
      <c r="BT939" s="24"/>
      <c r="BU939" s="24"/>
      <c r="BV939" s="132" t="e">
        <f>IF(#REF!="COMPLETO","OK","PENDIENTES")</f>
        <v>#REF!</v>
      </c>
      <c r="BW939" s="325"/>
      <c r="BX939" s="325"/>
      <c r="BY939" s="325"/>
      <c r="BZ939" s="325"/>
      <c r="CA939" s="325"/>
      <c r="CB939" s="325"/>
      <c r="CC939" s="258"/>
      <c r="CG939" s="24" t="s">
        <v>105</v>
      </c>
      <c r="CH939" s="24"/>
      <c r="CI939" s="24"/>
      <c r="CJ939" s="24"/>
    </row>
    <row r="940" spans="1:88" ht="14.65" customHeight="1">
      <c r="A940" s="18">
        <v>2020</v>
      </c>
      <c r="B940" s="18" t="str">
        <f>+INDEX(BDD!F:F,MATCH(P940,BDD!D:D,0))&amp;"-"&amp;INDEX(BDD!E:E,MATCH(P940,BDD!D:D,0))</f>
        <v>S-C</v>
      </c>
      <c r="C940" s="125" t="s">
        <v>484</v>
      </c>
      <c r="D940" s="150" t="s">
        <v>77</v>
      </c>
      <c r="E940" s="132"/>
      <c r="F940" s="24"/>
      <c r="G940" s="346">
        <v>8000000832</v>
      </c>
      <c r="H940" s="125" t="s">
        <v>3692</v>
      </c>
      <c r="I940" s="329"/>
      <c r="J940" s="346">
        <v>8000000832</v>
      </c>
      <c r="K940" s="24"/>
      <c r="L940" s="24"/>
      <c r="M940" s="24"/>
      <c r="N940" s="340" t="s">
        <v>486</v>
      </c>
      <c r="O940" s="334">
        <v>207580</v>
      </c>
      <c r="P940" s="25" t="s">
        <v>241</v>
      </c>
      <c r="Q940" s="127" t="s">
        <v>297</v>
      </c>
      <c r="R940" s="232" t="s">
        <v>3693</v>
      </c>
      <c r="S940" s="89">
        <v>43923</v>
      </c>
      <c r="T940" s="36">
        <v>90</v>
      </c>
      <c r="U940" s="125" t="s">
        <v>118</v>
      </c>
      <c r="V940" s="147" t="s">
        <v>3694</v>
      </c>
      <c r="W940" s="129"/>
      <c r="X940" s="88">
        <v>44061</v>
      </c>
      <c r="Y940" s="130" t="s">
        <v>20</v>
      </c>
      <c r="Z940" s="133" t="s">
        <v>60</v>
      </c>
      <c r="AA940" s="133"/>
      <c r="AB940" s="241">
        <v>48</v>
      </c>
      <c r="AC940" s="134">
        <v>699</v>
      </c>
      <c r="AD940" s="134"/>
      <c r="AE940" s="403">
        <f t="shared" si="51"/>
        <v>33552</v>
      </c>
      <c r="AF940" s="132">
        <v>2</v>
      </c>
      <c r="AG940" s="130" t="s">
        <v>5</v>
      </c>
      <c r="AH940" s="130"/>
      <c r="AI940" s="130" t="s">
        <v>34</v>
      </c>
      <c r="AJ940" s="130"/>
      <c r="AK940" s="130"/>
      <c r="AL940" s="135" t="s">
        <v>3511</v>
      </c>
      <c r="AM940" s="314"/>
      <c r="AN940" s="26"/>
      <c r="AO940" s="26"/>
      <c r="AP940" s="26"/>
      <c r="AQ940" s="26">
        <v>44006</v>
      </c>
      <c r="AR940" s="24"/>
      <c r="AS940" s="24"/>
      <c r="AT940" s="26">
        <v>44009</v>
      </c>
      <c r="AU940" s="418">
        <f t="shared" si="52"/>
        <v>6</v>
      </c>
      <c r="AV940" s="418">
        <f t="shared" si="53"/>
        <v>2020</v>
      </c>
      <c r="AW940" s="26"/>
      <c r="AX940" s="28"/>
      <c r="AY940" s="28" t="s">
        <v>201</v>
      </c>
      <c r="AZ940" s="132" t="s">
        <v>37</v>
      </c>
      <c r="BA940" s="132"/>
      <c r="BB940" s="24" t="s">
        <v>2956</v>
      </c>
      <c r="BC940" s="135" t="s">
        <v>3695</v>
      </c>
      <c r="BD940" s="24">
        <v>43970</v>
      </c>
      <c r="BE940" s="135" t="s">
        <v>3696</v>
      </c>
      <c r="BF940" s="135" t="s">
        <v>3697</v>
      </c>
      <c r="BG940" s="135" t="s">
        <v>14</v>
      </c>
      <c r="BH940" s="135"/>
      <c r="BI940" s="314" t="s">
        <v>124</v>
      </c>
      <c r="BJ940" s="314"/>
      <c r="BK940" s="24"/>
      <c r="BL940" s="24"/>
      <c r="BM940" s="24"/>
      <c r="BN940" s="24"/>
      <c r="BO940" s="24"/>
      <c r="BP940" s="24"/>
      <c r="BQ940" s="24"/>
      <c r="BR940" s="43"/>
      <c r="BS940" s="24"/>
      <c r="BT940" s="24"/>
      <c r="BU940" s="24"/>
      <c r="BV940" s="132" t="e">
        <f>IF(#REF!="COMPLETO","OK","PENDIENTES")</f>
        <v>#REF!</v>
      </c>
      <c r="BW940" s="325"/>
      <c r="BX940" s="325"/>
      <c r="BY940" s="325"/>
      <c r="BZ940" s="325"/>
      <c r="CA940" s="325"/>
      <c r="CB940" s="325"/>
      <c r="CC940" s="258"/>
      <c r="CG940" s="24" t="s">
        <v>105</v>
      </c>
      <c r="CH940" s="24"/>
      <c r="CI940" s="26"/>
      <c r="CJ940" s="26"/>
    </row>
    <row r="941" spans="1:88" ht="15" customHeight="1">
      <c r="A941" s="18">
        <v>2020</v>
      </c>
      <c r="B941" s="18" t="str">
        <f>+INDEX(BDD!F:F,MATCH(P941,BDD!D:D,0))&amp;"-"&amp;INDEX(BDD!E:E,MATCH(P941,BDD!D:D,0))</f>
        <v>G-S</v>
      </c>
      <c r="C941" s="125" t="s">
        <v>484</v>
      </c>
      <c r="D941" s="150" t="s">
        <v>77</v>
      </c>
      <c r="E941" s="132"/>
      <c r="F941" s="24"/>
      <c r="G941" s="346">
        <v>8000000733</v>
      </c>
      <c r="H941" s="125" t="s">
        <v>3698</v>
      </c>
      <c r="I941" s="329"/>
      <c r="J941" s="346">
        <v>8000000733</v>
      </c>
      <c r="K941" s="24"/>
      <c r="L941" s="24"/>
      <c r="M941" s="24"/>
      <c r="N941" s="340" t="s">
        <v>486</v>
      </c>
      <c r="O941" s="334">
        <v>209979</v>
      </c>
      <c r="P941" s="25" t="s">
        <v>339</v>
      </c>
      <c r="Q941" s="127" t="s">
        <v>207</v>
      </c>
      <c r="R941" s="232"/>
      <c r="S941" s="89">
        <v>43929</v>
      </c>
      <c r="T941" s="36">
        <v>120</v>
      </c>
      <c r="U941" s="125" t="s">
        <v>118</v>
      </c>
      <c r="V941" s="147" t="s">
        <v>3699</v>
      </c>
      <c r="W941" s="129"/>
      <c r="X941" s="88">
        <f>+BD941+T941</f>
        <v>44088</v>
      </c>
      <c r="Y941" s="130" t="s">
        <v>20</v>
      </c>
      <c r="Z941" s="133" t="s">
        <v>72</v>
      </c>
      <c r="AA941" s="133"/>
      <c r="AB941" s="241">
        <v>308.01600000000002</v>
      </c>
      <c r="AC941" s="134">
        <v>455</v>
      </c>
      <c r="AD941" s="134"/>
      <c r="AE941" s="403">
        <f t="shared" si="51"/>
        <v>140147.28</v>
      </c>
      <c r="AF941" s="132">
        <v>11</v>
      </c>
      <c r="AG941" s="130" t="s">
        <v>5</v>
      </c>
      <c r="AH941" s="130"/>
      <c r="AI941" s="130" t="s">
        <v>100</v>
      </c>
      <c r="AJ941" s="130"/>
      <c r="AK941" s="130"/>
      <c r="AL941" s="135" t="s">
        <v>3591</v>
      </c>
      <c r="AM941" s="314"/>
      <c r="AN941" s="26"/>
      <c r="AO941" s="26"/>
      <c r="AP941" s="26"/>
      <c r="AQ941" s="26">
        <v>43992</v>
      </c>
      <c r="AR941" s="24"/>
      <c r="AS941" s="24"/>
      <c r="AT941" s="24">
        <v>43998</v>
      </c>
      <c r="AU941" s="418">
        <f t="shared" si="52"/>
        <v>6</v>
      </c>
      <c r="AV941" s="418">
        <f t="shared" si="53"/>
        <v>2020</v>
      </c>
      <c r="AW941" s="24"/>
      <c r="AX941" s="28"/>
      <c r="AY941" s="28" t="s">
        <v>162</v>
      </c>
      <c r="AZ941" s="132" t="s">
        <v>9</v>
      </c>
      <c r="BA941" s="132"/>
      <c r="BB941" s="24" t="s">
        <v>2956</v>
      </c>
      <c r="BC941" s="135" t="s">
        <v>3700</v>
      </c>
      <c r="BD941" s="24">
        <v>43968</v>
      </c>
      <c r="BE941" s="135" t="s">
        <v>865</v>
      </c>
      <c r="BF941" s="135" t="s">
        <v>2560</v>
      </c>
      <c r="BG941" s="135" t="s">
        <v>64</v>
      </c>
      <c r="BH941" s="135"/>
      <c r="BI941" s="314" t="s">
        <v>124</v>
      </c>
      <c r="BJ941" s="314"/>
      <c r="BK941" s="24"/>
      <c r="BL941" s="24"/>
      <c r="BM941" s="24"/>
      <c r="BN941" s="24"/>
      <c r="BO941" s="24">
        <f>+AQ941+15</f>
        <v>44007</v>
      </c>
      <c r="BP941" s="24"/>
      <c r="BQ941" s="24"/>
      <c r="BR941" s="43"/>
      <c r="BS941" s="24"/>
      <c r="BT941" s="24"/>
      <c r="BU941" s="24"/>
      <c r="BV941" s="132" t="e">
        <f>IF(#REF!="COMPLETO","OK","PENDIENTES")</f>
        <v>#REF!</v>
      </c>
      <c r="BW941" s="325"/>
      <c r="BX941" s="325"/>
      <c r="BY941" s="325"/>
      <c r="BZ941" s="325"/>
      <c r="CA941" s="325"/>
      <c r="CB941" s="325"/>
      <c r="CC941" s="258"/>
      <c r="CG941" s="24" t="s">
        <v>105</v>
      </c>
      <c r="CH941" s="24"/>
      <c r="CI941" s="24"/>
      <c r="CJ941" s="24"/>
    </row>
    <row r="942" spans="1:88" ht="15" customHeight="1">
      <c r="A942" s="18">
        <v>2020</v>
      </c>
      <c r="B942" s="18" t="str">
        <f>+INDEX(BDD!F:F,MATCH(P942,BDD!D:D,0))&amp;"-"&amp;INDEX(BDD!E:E,MATCH(P942,BDD!D:D,0))</f>
        <v>S-C</v>
      </c>
      <c r="C942" s="125" t="s">
        <v>484</v>
      </c>
      <c r="D942" s="150" t="s">
        <v>77</v>
      </c>
      <c r="E942" s="132"/>
      <c r="F942" s="24"/>
      <c r="G942" s="346">
        <v>8000000833</v>
      </c>
      <c r="H942" s="125" t="s">
        <v>3701</v>
      </c>
      <c r="I942" s="329"/>
      <c r="J942" s="346">
        <v>8000000833</v>
      </c>
      <c r="K942" s="24"/>
      <c r="L942" s="24"/>
      <c r="M942" s="24"/>
      <c r="N942" s="340" t="s">
        <v>486</v>
      </c>
      <c r="O942" s="334">
        <v>207580</v>
      </c>
      <c r="P942" s="25" t="s">
        <v>241</v>
      </c>
      <c r="Q942" s="127" t="s">
        <v>297</v>
      </c>
      <c r="R942" s="232" t="s">
        <v>3702</v>
      </c>
      <c r="S942" s="89">
        <v>43936</v>
      </c>
      <c r="T942" s="36">
        <v>90</v>
      </c>
      <c r="U942" s="125" t="s">
        <v>118</v>
      </c>
      <c r="V942" s="147" t="s">
        <v>3703</v>
      </c>
      <c r="W942" s="129"/>
      <c r="X942" s="88">
        <f>+BD942+T942</f>
        <v>44056</v>
      </c>
      <c r="Y942" s="130" t="s">
        <v>20</v>
      </c>
      <c r="Z942" s="133" t="s">
        <v>72</v>
      </c>
      <c r="AA942" s="133"/>
      <c r="AB942" s="241">
        <v>495</v>
      </c>
      <c r="AC942" s="134">
        <v>703</v>
      </c>
      <c r="AD942" s="134"/>
      <c r="AE942" s="403">
        <f t="shared" si="51"/>
        <v>347985</v>
      </c>
      <c r="AF942" s="132">
        <v>18</v>
      </c>
      <c r="AG942" s="130" t="s">
        <v>5</v>
      </c>
      <c r="AH942" s="130"/>
      <c r="AI942" s="130" t="s">
        <v>34</v>
      </c>
      <c r="AJ942" s="130"/>
      <c r="AK942" s="130"/>
      <c r="AL942" s="135" t="s">
        <v>3511</v>
      </c>
      <c r="AM942" s="314"/>
      <c r="AN942" s="26"/>
      <c r="AO942" s="26"/>
      <c r="AP942" s="26"/>
      <c r="AQ942" s="26">
        <v>44006</v>
      </c>
      <c r="AR942" s="24"/>
      <c r="AS942" s="24"/>
      <c r="AT942" s="26">
        <v>44008</v>
      </c>
      <c r="AU942" s="418">
        <f t="shared" si="52"/>
        <v>6</v>
      </c>
      <c r="AV942" s="418">
        <f t="shared" si="53"/>
        <v>2020</v>
      </c>
      <c r="AW942" s="26"/>
      <c r="AX942" s="28"/>
      <c r="AY942" s="28" t="s">
        <v>218</v>
      </c>
      <c r="AZ942" s="132" t="s">
        <v>9</v>
      </c>
      <c r="BA942" s="132"/>
      <c r="BB942" s="24" t="s">
        <v>2956</v>
      </c>
      <c r="BC942" s="135" t="s">
        <v>3704</v>
      </c>
      <c r="BD942" s="24">
        <v>43966</v>
      </c>
      <c r="BE942" s="135" t="s">
        <v>3705</v>
      </c>
      <c r="BF942" s="135" t="s">
        <v>3640</v>
      </c>
      <c r="BG942" s="135" t="s">
        <v>29</v>
      </c>
      <c r="BH942" s="135"/>
      <c r="BI942" s="314" t="s">
        <v>124</v>
      </c>
      <c r="BJ942" s="314"/>
      <c r="BK942" s="24"/>
      <c r="BL942" s="24"/>
      <c r="BM942" s="24"/>
      <c r="BN942" s="24"/>
      <c r="BO942" s="24">
        <v>44026</v>
      </c>
      <c r="BP942" s="24"/>
      <c r="BQ942" s="24"/>
      <c r="BR942" s="43"/>
      <c r="BS942" s="24"/>
      <c r="BT942" s="24"/>
      <c r="BU942" s="24"/>
      <c r="BV942" s="132" t="e">
        <f>IF(#REF!="COMPLETO","OK","PENDIENTES")</f>
        <v>#REF!</v>
      </c>
      <c r="BW942" s="325"/>
      <c r="BX942" s="325"/>
      <c r="BY942" s="325"/>
      <c r="BZ942" s="325"/>
      <c r="CA942" s="325"/>
      <c r="CB942" s="325"/>
      <c r="CC942" s="258"/>
      <c r="CG942" s="24" t="s">
        <v>105</v>
      </c>
      <c r="CH942" s="24"/>
      <c r="CI942" s="26"/>
      <c r="CJ942" s="26"/>
    </row>
    <row r="943" spans="1:88" ht="15" customHeight="1">
      <c r="A943" s="18">
        <v>2020</v>
      </c>
      <c r="B943" s="18" t="str">
        <f>+INDEX(BDD!F:F,MATCH(P943,BDD!D:D,0))&amp;"-"&amp;INDEX(BDD!E:E,MATCH(P943,BDD!D:D,0))</f>
        <v>S-C</v>
      </c>
      <c r="C943" s="125" t="s">
        <v>484</v>
      </c>
      <c r="D943" s="150" t="s">
        <v>77</v>
      </c>
      <c r="E943" s="132"/>
      <c r="F943" s="24"/>
      <c r="G943" s="346">
        <v>8000000874</v>
      </c>
      <c r="H943" s="125" t="s">
        <v>3706</v>
      </c>
      <c r="I943" s="329"/>
      <c r="J943" s="346">
        <v>8000000874</v>
      </c>
      <c r="K943" s="24"/>
      <c r="L943" s="24"/>
      <c r="M943" s="24"/>
      <c r="N943" s="340" t="s">
        <v>486</v>
      </c>
      <c r="O943" s="334">
        <v>207580</v>
      </c>
      <c r="P943" s="25" t="s">
        <v>241</v>
      </c>
      <c r="Q943" s="127" t="s">
        <v>297</v>
      </c>
      <c r="R943" s="232" t="s">
        <v>3707</v>
      </c>
      <c r="S943" s="89">
        <v>43936</v>
      </c>
      <c r="T943" s="36">
        <v>90</v>
      </c>
      <c r="U943" s="125" t="s">
        <v>118</v>
      </c>
      <c r="V943" s="147" t="s">
        <v>3708</v>
      </c>
      <c r="W943" s="129"/>
      <c r="X943" s="88">
        <f>+BD943+T943</f>
        <v>44056</v>
      </c>
      <c r="Y943" s="130" t="s">
        <v>20</v>
      </c>
      <c r="Z943" s="133" t="s">
        <v>72</v>
      </c>
      <c r="AA943" s="133"/>
      <c r="AB943" s="241">
        <v>165</v>
      </c>
      <c r="AC943" s="134">
        <v>712</v>
      </c>
      <c r="AD943" s="134"/>
      <c r="AE943" s="403">
        <f t="shared" si="51"/>
        <v>117480</v>
      </c>
      <c r="AF943" s="132">
        <v>6</v>
      </c>
      <c r="AG943" s="130" t="s">
        <v>5</v>
      </c>
      <c r="AH943" s="130"/>
      <c r="AI943" s="130" t="s">
        <v>34</v>
      </c>
      <c r="AJ943" s="130"/>
      <c r="AK943" s="130"/>
      <c r="AL943" s="135" t="s">
        <v>3511</v>
      </c>
      <c r="AM943" s="314"/>
      <c r="AN943" s="26"/>
      <c r="AO943" s="26"/>
      <c r="AP943" s="26"/>
      <c r="AQ943" s="26">
        <v>44025</v>
      </c>
      <c r="AR943" s="24"/>
      <c r="AS943" s="24"/>
      <c r="AT943" s="164">
        <v>44050</v>
      </c>
      <c r="AU943" s="418">
        <f t="shared" si="52"/>
        <v>8</v>
      </c>
      <c r="AV943" s="418">
        <f t="shared" si="53"/>
        <v>2020</v>
      </c>
      <c r="AW943" s="164"/>
      <c r="AX943" s="28"/>
      <c r="AY943" s="28" t="s">
        <v>218</v>
      </c>
      <c r="AZ943" s="132" t="s">
        <v>62</v>
      </c>
      <c r="BA943" s="132"/>
      <c r="BB943" s="24" t="s">
        <v>3264</v>
      </c>
      <c r="BC943" s="135" t="s">
        <v>3709</v>
      </c>
      <c r="BD943" s="24">
        <v>43966</v>
      </c>
      <c r="BE943" s="135" t="s">
        <v>3705</v>
      </c>
      <c r="BF943" s="135" t="s">
        <v>1938</v>
      </c>
      <c r="BG943" s="135" t="s">
        <v>29</v>
      </c>
      <c r="BH943" s="135"/>
      <c r="BI943" s="314" t="s">
        <v>124</v>
      </c>
      <c r="BJ943" s="314"/>
      <c r="BK943" s="24"/>
      <c r="BL943" s="24"/>
      <c r="BM943" s="24"/>
      <c r="BN943" s="24"/>
      <c r="BO943" s="24">
        <f>+AQ943+20</f>
        <v>44045</v>
      </c>
      <c r="BP943" s="24"/>
      <c r="BQ943" s="24"/>
      <c r="BR943" s="43"/>
      <c r="BS943" s="24"/>
      <c r="BT943" s="24"/>
      <c r="BU943" s="24"/>
      <c r="BV943" s="132" t="e">
        <f>IF(#REF!="COMPLETO","OK","PENDIENTES")</f>
        <v>#REF!</v>
      </c>
      <c r="BW943" s="325"/>
      <c r="BX943" s="325"/>
      <c r="BY943" s="325"/>
      <c r="BZ943" s="325"/>
      <c r="CA943" s="325"/>
      <c r="CB943" s="325"/>
      <c r="CC943" s="258"/>
      <c r="CG943" s="24" t="s">
        <v>105</v>
      </c>
      <c r="CH943" s="24"/>
      <c r="CI943" s="164"/>
      <c r="CJ943" s="164"/>
    </row>
    <row r="944" spans="1:88" ht="15" customHeight="1">
      <c r="A944" s="18">
        <v>2020</v>
      </c>
      <c r="B944" s="18" t="str">
        <f>+INDEX(BDD!F:F,MATCH(P944,BDD!D:D,0))&amp;"-"&amp;INDEX(BDD!E:E,MATCH(P944,BDD!D:D,0))</f>
        <v>G-S</v>
      </c>
      <c r="C944" s="125" t="s">
        <v>484</v>
      </c>
      <c r="D944" s="150" t="s">
        <v>77</v>
      </c>
      <c r="E944" s="132"/>
      <c r="F944" s="24"/>
      <c r="G944" s="346">
        <v>8000000926</v>
      </c>
      <c r="H944" s="125" t="s">
        <v>3710</v>
      </c>
      <c r="I944" s="329"/>
      <c r="J944" s="346">
        <v>8000000926</v>
      </c>
      <c r="K944" s="24"/>
      <c r="L944" s="24"/>
      <c r="M944" s="24"/>
      <c r="N944" s="340" t="s">
        <v>486</v>
      </c>
      <c r="O944" s="334">
        <v>206600</v>
      </c>
      <c r="P944" s="25" t="s">
        <v>339</v>
      </c>
      <c r="Q944" s="127" t="s">
        <v>297</v>
      </c>
      <c r="R944" s="232" t="s">
        <v>3711</v>
      </c>
      <c r="S944" s="89">
        <v>43936</v>
      </c>
      <c r="T944" s="36">
        <v>90</v>
      </c>
      <c r="U944" s="125" t="s">
        <v>118</v>
      </c>
      <c r="V944" s="147" t="s">
        <v>3712</v>
      </c>
      <c r="W944" s="129"/>
      <c r="X944" s="88">
        <f>+BD944+T944</f>
        <v>44069</v>
      </c>
      <c r="Y944" s="130" t="s">
        <v>20</v>
      </c>
      <c r="Z944" s="133" t="s">
        <v>60</v>
      </c>
      <c r="AA944" s="133"/>
      <c r="AB944" s="241">
        <v>330</v>
      </c>
      <c r="AC944" s="240">
        <v>457</v>
      </c>
      <c r="AD944" s="240"/>
      <c r="AE944" s="403">
        <f t="shared" si="51"/>
        <v>150810</v>
      </c>
      <c r="AF944" s="132"/>
      <c r="AG944" s="130" t="s">
        <v>58</v>
      </c>
      <c r="AH944" s="130"/>
      <c r="AI944" s="130" t="s">
        <v>47</v>
      </c>
      <c r="AJ944" s="130"/>
      <c r="AK944" s="130"/>
      <c r="AL944" s="135" t="s">
        <v>3591</v>
      </c>
      <c r="AM944" s="314"/>
      <c r="AN944" s="26"/>
      <c r="AO944" s="26"/>
      <c r="AP944" s="26"/>
      <c r="AQ944" s="26">
        <v>44026</v>
      </c>
      <c r="AR944" s="24"/>
      <c r="AS944" s="24"/>
      <c r="AT944" s="24">
        <v>44036</v>
      </c>
      <c r="AU944" s="418">
        <f t="shared" si="52"/>
        <v>7</v>
      </c>
      <c r="AV944" s="418">
        <f t="shared" si="53"/>
        <v>2020</v>
      </c>
      <c r="AW944" s="24"/>
      <c r="AX944" s="28"/>
      <c r="AY944" s="28" t="s">
        <v>311</v>
      </c>
      <c r="AZ944" s="132" t="s">
        <v>37</v>
      </c>
      <c r="BA944" s="132"/>
      <c r="BB944" s="24" t="s">
        <v>3593</v>
      </c>
      <c r="BC944" s="135" t="s">
        <v>3713</v>
      </c>
      <c r="BD944" s="24">
        <v>43979</v>
      </c>
      <c r="BE944" s="135" t="s">
        <v>3575</v>
      </c>
      <c r="BF944" s="135" t="s">
        <v>3575</v>
      </c>
      <c r="BG944" s="135" t="s">
        <v>52</v>
      </c>
      <c r="BH944" s="135"/>
      <c r="BI944" s="314" t="s">
        <v>124</v>
      </c>
      <c r="BJ944" s="314"/>
      <c r="BK944" s="24"/>
      <c r="BL944" s="24"/>
      <c r="BM944" s="24"/>
      <c r="BN944" s="24"/>
      <c r="BO944" s="24"/>
      <c r="BP944" s="24"/>
      <c r="BQ944" s="24"/>
      <c r="BR944" s="43"/>
      <c r="BS944" s="24"/>
      <c r="BT944" s="24"/>
      <c r="BU944" s="24"/>
      <c r="BV944" s="132" t="e">
        <f>IF(#REF!="COMPLETO","OK","PENDIENTES")</f>
        <v>#REF!</v>
      </c>
      <c r="BW944" s="325"/>
      <c r="BX944" s="325"/>
      <c r="BY944" s="325"/>
      <c r="BZ944" s="325"/>
      <c r="CA944" s="325"/>
      <c r="CB944" s="325"/>
      <c r="CC944" s="258"/>
      <c r="CG944" s="24" t="s">
        <v>105</v>
      </c>
      <c r="CH944" s="24"/>
      <c r="CI944" s="24"/>
      <c r="CJ944" s="24"/>
    </row>
    <row r="945" spans="1:88" ht="15" customHeight="1">
      <c r="A945" s="18">
        <v>2020</v>
      </c>
      <c r="B945" s="18" t="str">
        <f>+INDEX(BDD!F:F,MATCH(P945,BDD!D:D,0))&amp;"-"&amp;INDEX(BDD!E:E,MATCH(P945,BDD!D:D,0))</f>
        <v>G-S</v>
      </c>
      <c r="C945" s="125" t="s">
        <v>484</v>
      </c>
      <c r="D945" s="150" t="s">
        <v>77</v>
      </c>
      <c r="E945" s="132"/>
      <c r="F945" s="24"/>
      <c r="G945" s="346">
        <v>8000000929</v>
      </c>
      <c r="H945" s="125" t="s">
        <v>3714</v>
      </c>
      <c r="I945" s="329"/>
      <c r="J945" s="346">
        <v>8000000929</v>
      </c>
      <c r="K945" s="24"/>
      <c r="L945" s="24"/>
      <c r="M945" s="24"/>
      <c r="N945" s="340" t="s">
        <v>486</v>
      </c>
      <c r="O945" s="334">
        <v>206600</v>
      </c>
      <c r="P945" s="25" t="s">
        <v>339</v>
      </c>
      <c r="Q945" s="127" t="s">
        <v>297</v>
      </c>
      <c r="R945" s="232" t="s">
        <v>3715</v>
      </c>
      <c r="S945" s="89">
        <v>43936</v>
      </c>
      <c r="T945" s="36">
        <v>90</v>
      </c>
      <c r="U945" s="125" t="s">
        <v>118</v>
      </c>
      <c r="V945" s="235" t="s">
        <v>3716</v>
      </c>
      <c r="W945" s="151"/>
      <c r="X945" s="88">
        <f>+BD945+T945</f>
        <v>44067</v>
      </c>
      <c r="Y945" s="130" t="s">
        <v>20</v>
      </c>
      <c r="Z945" s="133" t="s">
        <v>72</v>
      </c>
      <c r="AA945" s="133"/>
      <c r="AB945" s="241">
        <v>80</v>
      </c>
      <c r="AC945" s="134">
        <v>464</v>
      </c>
      <c r="AD945" s="134"/>
      <c r="AE945" s="403">
        <f t="shared" si="51"/>
        <v>37120</v>
      </c>
      <c r="AF945" s="132"/>
      <c r="AG945" s="130" t="s">
        <v>58</v>
      </c>
      <c r="AH945" s="130"/>
      <c r="AI945" s="130" t="s">
        <v>47</v>
      </c>
      <c r="AJ945" s="130"/>
      <c r="AK945" s="130"/>
      <c r="AL945" s="135" t="s">
        <v>3591</v>
      </c>
      <c r="AM945" s="314"/>
      <c r="AN945" s="26"/>
      <c r="AO945" s="26"/>
      <c r="AP945" s="26"/>
      <c r="AQ945" s="26">
        <v>44040</v>
      </c>
      <c r="AR945" s="24"/>
      <c r="AS945" s="24"/>
      <c r="AT945" s="24">
        <v>44042</v>
      </c>
      <c r="AU945" s="418">
        <f t="shared" si="52"/>
        <v>7</v>
      </c>
      <c r="AV945" s="418">
        <f t="shared" si="53"/>
        <v>2020</v>
      </c>
      <c r="AW945" s="24"/>
      <c r="AX945" s="28"/>
      <c r="AY945" s="28" t="s">
        <v>311</v>
      </c>
      <c r="AZ945" s="132" t="s">
        <v>62</v>
      </c>
      <c r="BA945" s="132"/>
      <c r="BB945" s="24" t="s">
        <v>3264</v>
      </c>
      <c r="BC945" s="135" t="s">
        <v>3717</v>
      </c>
      <c r="BD945" s="24">
        <v>43977</v>
      </c>
      <c r="BE945" s="135" t="s">
        <v>2683</v>
      </c>
      <c r="BF945" s="135" t="s">
        <v>2683</v>
      </c>
      <c r="BG945" s="135" t="s">
        <v>52</v>
      </c>
      <c r="BH945" s="135"/>
      <c r="BI945" s="314" t="s">
        <v>124</v>
      </c>
      <c r="BJ945" s="314"/>
      <c r="BK945" s="24"/>
      <c r="BL945" s="24"/>
      <c r="BM945" s="24"/>
      <c r="BN945" s="24"/>
      <c r="BO945" s="24"/>
      <c r="BP945" s="24"/>
      <c r="BQ945" s="24"/>
      <c r="BR945" s="43"/>
      <c r="BS945" s="24"/>
      <c r="BT945" s="24"/>
      <c r="BU945" s="24"/>
      <c r="BV945" s="132" t="e">
        <f>IF(#REF!="COMPLETO","OK","PENDIENTES")</f>
        <v>#REF!</v>
      </c>
      <c r="BW945" s="325"/>
      <c r="BX945" s="325"/>
      <c r="BY945" s="325"/>
      <c r="BZ945" s="325"/>
      <c r="CA945" s="325"/>
      <c r="CB945" s="325"/>
      <c r="CC945" s="258"/>
      <c r="CG945" s="24" t="s">
        <v>105</v>
      </c>
      <c r="CH945" s="24"/>
      <c r="CI945" s="24"/>
      <c r="CJ945" s="24"/>
    </row>
    <row r="946" spans="1:88" ht="15" customHeight="1">
      <c r="A946" s="18">
        <v>2020</v>
      </c>
      <c r="B946" s="18" t="str">
        <f>+INDEX(BDD!F:F,MATCH(P946,BDD!D:D,0))&amp;"-"&amp;INDEX(BDD!E:E,MATCH(P946,BDD!D:D,0))</f>
        <v>S-S</v>
      </c>
      <c r="C946" s="125" t="s">
        <v>484</v>
      </c>
      <c r="D946" s="150" t="s">
        <v>77</v>
      </c>
      <c r="E946" s="132" t="s">
        <v>51</v>
      </c>
      <c r="F946" s="24"/>
      <c r="G946" s="346">
        <v>8000000872</v>
      </c>
      <c r="H946" s="125" t="s">
        <v>3718</v>
      </c>
      <c r="I946" s="329"/>
      <c r="J946" s="346">
        <v>8000000872</v>
      </c>
      <c r="K946" s="24"/>
      <c r="L946" s="24"/>
      <c r="M946" s="24"/>
      <c r="N946" s="340" t="s">
        <v>486</v>
      </c>
      <c r="O946" s="334">
        <v>207579</v>
      </c>
      <c r="P946" s="25" t="s">
        <v>238</v>
      </c>
      <c r="Q946" s="127" t="s">
        <v>136</v>
      </c>
      <c r="R946" s="232" t="s">
        <v>3719</v>
      </c>
      <c r="S946" s="89">
        <v>43930</v>
      </c>
      <c r="T946" s="36" t="s">
        <v>19</v>
      </c>
      <c r="U946" s="125"/>
      <c r="V946" s="147" t="s">
        <v>3720</v>
      </c>
      <c r="W946" s="129"/>
      <c r="X946" s="88">
        <v>44001</v>
      </c>
      <c r="Y946" s="130" t="s">
        <v>20</v>
      </c>
      <c r="Z946" s="133" t="s">
        <v>60</v>
      </c>
      <c r="AA946" s="133"/>
      <c r="AB946" s="241">
        <v>400</v>
      </c>
      <c r="AC946" s="267">
        <v>237.5</v>
      </c>
      <c r="AD946" s="267"/>
      <c r="AE946" s="403">
        <f t="shared" si="51"/>
        <v>95000</v>
      </c>
      <c r="AF946" s="132"/>
      <c r="AG946" s="130" t="s">
        <v>58</v>
      </c>
      <c r="AH946" s="130"/>
      <c r="AI946" s="130" t="s">
        <v>34</v>
      </c>
      <c r="AJ946" s="130"/>
      <c r="AK946" s="130"/>
      <c r="AL946" s="135" t="s">
        <v>3591</v>
      </c>
      <c r="AM946" s="314"/>
      <c r="AN946" s="26"/>
      <c r="AO946" s="26"/>
      <c r="AP946" s="26"/>
      <c r="AQ946" s="26">
        <v>44026</v>
      </c>
      <c r="AR946" s="24"/>
      <c r="AS946" s="24"/>
      <c r="AT946" s="24">
        <v>44032</v>
      </c>
      <c r="AU946" s="418">
        <f t="shared" si="52"/>
        <v>7</v>
      </c>
      <c r="AV946" s="418">
        <f t="shared" si="53"/>
        <v>2020</v>
      </c>
      <c r="AW946" s="24"/>
      <c r="AX946" s="28"/>
      <c r="AY946" s="28" t="s">
        <v>3199</v>
      </c>
      <c r="AZ946" s="132" t="s">
        <v>37</v>
      </c>
      <c r="BA946" s="132"/>
      <c r="BB946" s="24" t="s">
        <v>2956</v>
      </c>
      <c r="BC946" s="135" t="s">
        <v>3721</v>
      </c>
      <c r="BD946" s="24">
        <v>43980</v>
      </c>
      <c r="BE946" s="135" t="s">
        <v>3575</v>
      </c>
      <c r="BF946" s="135" t="s">
        <v>3575</v>
      </c>
      <c r="BG946" s="135" t="s">
        <v>52</v>
      </c>
      <c r="BH946" s="135"/>
      <c r="BI946" s="314" t="s">
        <v>124</v>
      </c>
      <c r="BJ946" s="314"/>
      <c r="BK946" s="24"/>
      <c r="BL946" s="24"/>
      <c r="BM946" s="24"/>
      <c r="BN946" s="24"/>
      <c r="BO946" s="24"/>
      <c r="BP946" s="24"/>
      <c r="BQ946" s="24"/>
      <c r="BR946" s="43"/>
      <c r="BS946" s="24"/>
      <c r="BT946" s="24"/>
      <c r="BU946" s="24"/>
      <c r="BV946" s="132" t="e">
        <f>IF(#REF!="COMPLETO","OK","PENDIENTES")</f>
        <v>#REF!</v>
      </c>
      <c r="BW946" s="325"/>
      <c r="BX946" s="325"/>
      <c r="BY946" s="325"/>
      <c r="BZ946" s="325"/>
      <c r="CA946" s="325"/>
      <c r="CB946" s="325"/>
      <c r="CC946" s="258"/>
      <c r="CG946" s="24" t="s">
        <v>105</v>
      </c>
      <c r="CH946" s="24"/>
      <c r="CI946" s="24"/>
      <c r="CJ946" s="24"/>
    </row>
    <row r="947" spans="1:88" ht="15" customHeight="1">
      <c r="A947" s="18">
        <v>2020</v>
      </c>
      <c r="B947" s="18" t="str">
        <f>+INDEX(BDD!F:F,MATCH(P947,BDD!D:D,0))&amp;"-"&amp;INDEX(BDD!E:E,MATCH(P947,BDD!D:D,0))</f>
        <v>S-S</v>
      </c>
      <c r="C947" s="125" t="s">
        <v>484</v>
      </c>
      <c r="D947" s="150" t="s">
        <v>77</v>
      </c>
      <c r="E947" s="132"/>
      <c r="F947" s="24"/>
      <c r="G947" s="346">
        <v>8000000922</v>
      </c>
      <c r="H947" s="125" t="s">
        <v>3722</v>
      </c>
      <c r="I947" s="329"/>
      <c r="J947" s="346">
        <v>8000000922</v>
      </c>
      <c r="K947" s="24"/>
      <c r="L947" s="24"/>
      <c r="M947" s="24"/>
      <c r="N947" s="340" t="s">
        <v>486</v>
      </c>
      <c r="O947" s="334">
        <v>203631</v>
      </c>
      <c r="P947" s="25" t="s">
        <v>340</v>
      </c>
      <c r="Q947" s="127" t="s">
        <v>199</v>
      </c>
      <c r="R947" s="232" t="s">
        <v>3723</v>
      </c>
      <c r="S947" s="89">
        <v>43935</v>
      </c>
      <c r="T947" s="36">
        <v>90</v>
      </c>
      <c r="U947" s="125" t="s">
        <v>118</v>
      </c>
      <c r="V947" s="147" t="s">
        <v>3724</v>
      </c>
      <c r="W947" s="129"/>
      <c r="X947" s="88">
        <v>44063</v>
      </c>
      <c r="Y947" s="130" t="s">
        <v>20</v>
      </c>
      <c r="Z947" s="133" t="s">
        <v>60</v>
      </c>
      <c r="AA947" s="133"/>
      <c r="AB947" s="241">
        <v>405</v>
      </c>
      <c r="AC947" s="134">
        <v>442.3</v>
      </c>
      <c r="AD947" s="134"/>
      <c r="AE947" s="403">
        <f t="shared" si="51"/>
        <v>179131.5</v>
      </c>
      <c r="AF947" s="132">
        <f>+AB947/27</f>
        <v>15</v>
      </c>
      <c r="AG947" s="130" t="s">
        <v>5</v>
      </c>
      <c r="AH947" s="130"/>
      <c r="AI947" s="130" t="s">
        <v>34</v>
      </c>
      <c r="AJ947" s="130"/>
      <c r="AK947" s="130"/>
      <c r="AL947" s="135" t="s">
        <v>3591</v>
      </c>
      <c r="AM947" s="314"/>
      <c r="AN947" s="26"/>
      <c r="AO947" s="26"/>
      <c r="AP947" s="26"/>
      <c r="AQ947" s="26">
        <v>44035</v>
      </c>
      <c r="AR947" s="24"/>
      <c r="AS947" s="24"/>
      <c r="AT947" s="26">
        <v>44046</v>
      </c>
      <c r="AU947" s="418">
        <f t="shared" si="52"/>
        <v>8</v>
      </c>
      <c r="AV947" s="418">
        <f t="shared" si="53"/>
        <v>2020</v>
      </c>
      <c r="AW947" s="26"/>
      <c r="AX947" s="28"/>
      <c r="AY947" s="28" t="s">
        <v>257</v>
      </c>
      <c r="AZ947" s="132" t="s">
        <v>62</v>
      </c>
      <c r="BA947" s="132"/>
      <c r="BB947" s="24" t="s">
        <v>3264</v>
      </c>
      <c r="BC947" s="132" t="s">
        <v>3725</v>
      </c>
      <c r="BD947" s="24">
        <v>43972</v>
      </c>
      <c r="BE947" s="135" t="s">
        <v>3726</v>
      </c>
      <c r="BF947" s="135" t="s">
        <v>3691</v>
      </c>
      <c r="BG947" s="135" t="s">
        <v>53</v>
      </c>
      <c r="BH947" s="135"/>
      <c r="BI947" s="314" t="s">
        <v>124</v>
      </c>
      <c r="BJ947" s="314"/>
      <c r="BK947" s="24"/>
      <c r="BL947" s="24"/>
      <c r="BM947" s="24"/>
      <c r="BN947" s="24"/>
      <c r="BO947" s="24">
        <f>+AQ947+15</f>
        <v>44050</v>
      </c>
      <c r="BP947" s="24"/>
      <c r="BQ947" s="24"/>
      <c r="BR947" s="43"/>
      <c r="BS947" s="24"/>
      <c r="BT947" s="24"/>
      <c r="BU947" s="24"/>
      <c r="BV947" s="132" t="e">
        <f>IF(#REF!="COMPLETO","OK","PENDIENTES")</f>
        <v>#REF!</v>
      </c>
      <c r="BW947" s="325"/>
      <c r="BX947" s="325"/>
      <c r="BY947" s="325"/>
      <c r="BZ947" s="325"/>
      <c r="CA947" s="325"/>
      <c r="CB947" s="325"/>
      <c r="CC947" s="258"/>
      <c r="CG947" s="24" t="s">
        <v>105</v>
      </c>
      <c r="CH947" s="24"/>
      <c r="CI947" s="26"/>
      <c r="CJ947" s="26"/>
    </row>
    <row r="948" spans="1:88" ht="15" customHeight="1">
      <c r="A948" s="18">
        <v>2020</v>
      </c>
      <c r="B948" s="18" t="str">
        <f>+INDEX(BDD!F:F,MATCH(P948,BDD!D:D,0))&amp;"-"&amp;INDEX(BDD!E:E,MATCH(P948,BDD!D:D,0))</f>
        <v>S-S</v>
      </c>
      <c r="C948" s="125" t="s">
        <v>484</v>
      </c>
      <c r="D948" s="150" t="s">
        <v>77</v>
      </c>
      <c r="E948" s="132"/>
      <c r="F948" s="24"/>
      <c r="G948" s="346">
        <v>8000000883</v>
      </c>
      <c r="H948" s="125" t="s">
        <v>3727</v>
      </c>
      <c r="I948" s="329"/>
      <c r="J948" s="346">
        <v>8000000883</v>
      </c>
      <c r="K948" s="24"/>
      <c r="L948" s="24"/>
      <c r="M948" s="24"/>
      <c r="N948" s="340" t="s">
        <v>486</v>
      </c>
      <c r="O948" s="334">
        <v>206966</v>
      </c>
      <c r="P948" s="25" t="s">
        <v>152</v>
      </c>
      <c r="Q948" s="127" t="s">
        <v>110</v>
      </c>
      <c r="R948" s="232" t="s">
        <v>3728</v>
      </c>
      <c r="S948" s="89">
        <v>43931</v>
      </c>
      <c r="T948" s="36">
        <v>90</v>
      </c>
      <c r="U948" s="125" t="s">
        <v>118</v>
      </c>
      <c r="V948" s="147" t="s">
        <v>3729</v>
      </c>
      <c r="W948" s="129"/>
      <c r="X948" s="88">
        <f>+BD948+T948</f>
        <v>44069</v>
      </c>
      <c r="Y948" s="130" t="s">
        <v>20</v>
      </c>
      <c r="Z948" s="133" t="s">
        <v>60</v>
      </c>
      <c r="AA948" s="133"/>
      <c r="AB948" s="241">
        <v>647.5</v>
      </c>
      <c r="AC948" s="134">
        <v>620</v>
      </c>
      <c r="AD948" s="134"/>
      <c r="AE948" s="403">
        <f t="shared" si="51"/>
        <v>401450</v>
      </c>
      <c r="AF948" s="132"/>
      <c r="AG948" s="130" t="s">
        <v>58</v>
      </c>
      <c r="AH948" s="130"/>
      <c r="AI948" s="130" t="s">
        <v>34</v>
      </c>
      <c r="AJ948" s="130"/>
      <c r="AK948" s="130"/>
      <c r="AL948" s="135" t="s">
        <v>3496</v>
      </c>
      <c r="AM948" s="314"/>
      <c r="AN948" s="26"/>
      <c r="AO948" s="26"/>
      <c r="AP948" s="26"/>
      <c r="AQ948" s="26">
        <v>44029</v>
      </c>
      <c r="AR948" s="41"/>
      <c r="AS948" s="41"/>
      <c r="AT948" s="24">
        <v>44035</v>
      </c>
      <c r="AU948" s="418">
        <f t="shared" si="52"/>
        <v>7</v>
      </c>
      <c r="AV948" s="418">
        <f t="shared" si="53"/>
        <v>2020</v>
      </c>
      <c r="AW948" s="24"/>
      <c r="AX948" s="28"/>
      <c r="AY948" s="28" t="s">
        <v>2889</v>
      </c>
      <c r="AZ948" s="132" t="s">
        <v>37</v>
      </c>
      <c r="BA948" s="132"/>
      <c r="BB948" s="24" t="s">
        <v>2956</v>
      </c>
      <c r="BC948" s="135" t="s">
        <v>3730</v>
      </c>
      <c r="BD948" s="24">
        <v>43979</v>
      </c>
      <c r="BE948" s="135" t="s">
        <v>3731</v>
      </c>
      <c r="BF948" s="135" t="s">
        <v>3731</v>
      </c>
      <c r="BG948" s="135" t="s">
        <v>52</v>
      </c>
      <c r="BH948" s="135"/>
      <c r="BI948" s="314" t="s">
        <v>124</v>
      </c>
      <c r="BJ948" s="314"/>
      <c r="BK948" s="24"/>
      <c r="BL948" s="24"/>
      <c r="BM948" s="24"/>
      <c r="BN948" s="24"/>
      <c r="BO948" s="41"/>
      <c r="BP948" s="41"/>
      <c r="BQ948" s="41"/>
      <c r="BR948" s="43"/>
      <c r="BS948" s="41"/>
      <c r="BT948" s="41"/>
      <c r="BU948" s="41"/>
      <c r="BV948" s="132" t="e">
        <f>IF(#REF!="COMPLETO","OK","PENDIENTES")</f>
        <v>#REF!</v>
      </c>
      <c r="BW948" s="325"/>
      <c r="BX948" s="325"/>
      <c r="BY948" s="325"/>
      <c r="BZ948" s="325"/>
      <c r="CA948" s="325"/>
      <c r="CB948" s="325"/>
      <c r="CC948" s="258"/>
      <c r="CG948" s="24" t="s">
        <v>105</v>
      </c>
      <c r="CH948" s="24"/>
      <c r="CI948" s="24"/>
      <c r="CJ948" s="24"/>
    </row>
    <row r="949" spans="1:88" ht="15" customHeight="1">
      <c r="A949" s="18">
        <v>2020</v>
      </c>
      <c r="B949" s="18" t="str">
        <f>+INDEX(BDD!F:F,MATCH(P949,BDD!D:D,0))&amp;"-"&amp;INDEX(BDD!E:E,MATCH(P949,BDD!D:D,0))</f>
        <v>S-S</v>
      </c>
      <c r="C949" s="125" t="s">
        <v>484</v>
      </c>
      <c r="D949" s="150" t="s">
        <v>77</v>
      </c>
      <c r="E949" s="132"/>
      <c r="F949" s="24"/>
      <c r="G949" s="346">
        <v>8000000917</v>
      </c>
      <c r="H949" s="125" t="s">
        <v>3732</v>
      </c>
      <c r="I949" s="329"/>
      <c r="J949" s="346">
        <v>8000000917</v>
      </c>
      <c r="K949" s="24"/>
      <c r="L949" s="24"/>
      <c r="M949" s="24"/>
      <c r="N949" s="340" t="s">
        <v>486</v>
      </c>
      <c r="O949" s="334">
        <v>206966</v>
      </c>
      <c r="P949" s="25" t="s">
        <v>152</v>
      </c>
      <c r="Q949" s="127" t="s">
        <v>110</v>
      </c>
      <c r="R949" s="232" t="s">
        <v>3728</v>
      </c>
      <c r="S949" s="89">
        <v>43931</v>
      </c>
      <c r="T949" s="36">
        <v>90</v>
      </c>
      <c r="U949" s="125" t="s">
        <v>118</v>
      </c>
      <c r="V949" s="147" t="s">
        <v>3733</v>
      </c>
      <c r="W949" s="129"/>
      <c r="X949" s="88">
        <f>+BD949+T949</f>
        <v>44063</v>
      </c>
      <c r="Y949" s="130" t="s">
        <v>20</v>
      </c>
      <c r="Z949" s="133" t="s">
        <v>60</v>
      </c>
      <c r="AA949" s="133"/>
      <c r="AB949" s="241">
        <v>155</v>
      </c>
      <c r="AC949" s="134">
        <v>630</v>
      </c>
      <c r="AD949" s="134"/>
      <c r="AE949" s="403">
        <f t="shared" si="51"/>
        <v>97650</v>
      </c>
      <c r="AF949" s="132"/>
      <c r="AG949" s="130" t="s">
        <v>58</v>
      </c>
      <c r="AH949" s="130"/>
      <c r="AI949" s="130" t="s">
        <v>34</v>
      </c>
      <c r="AJ949" s="130"/>
      <c r="AK949" s="130"/>
      <c r="AL949" s="135" t="s">
        <v>3496</v>
      </c>
      <c r="AM949" s="314"/>
      <c r="AN949" s="26"/>
      <c r="AO949" s="26"/>
      <c r="AP949" s="26"/>
      <c r="AQ949" s="26">
        <v>44040</v>
      </c>
      <c r="AR949" s="41"/>
      <c r="AS949" s="41"/>
      <c r="AT949" s="24">
        <v>44042</v>
      </c>
      <c r="AU949" s="418">
        <f t="shared" si="52"/>
        <v>7</v>
      </c>
      <c r="AV949" s="418">
        <f t="shared" si="53"/>
        <v>2020</v>
      </c>
      <c r="AW949" s="24"/>
      <c r="AX949" s="28"/>
      <c r="AY949" s="28" t="s">
        <v>230</v>
      </c>
      <c r="AZ949" s="132" t="s">
        <v>62</v>
      </c>
      <c r="BA949" s="132"/>
      <c r="BB949" s="24" t="s">
        <v>3264</v>
      </c>
      <c r="BC949" s="135" t="s">
        <v>3734</v>
      </c>
      <c r="BD949" s="24">
        <v>43973</v>
      </c>
      <c r="BE949" s="135" t="s">
        <v>2683</v>
      </c>
      <c r="BF949" s="135" t="s">
        <v>2683</v>
      </c>
      <c r="BG949" s="135" t="s">
        <v>52</v>
      </c>
      <c r="BH949" s="135"/>
      <c r="BI949" s="314" t="s">
        <v>124</v>
      </c>
      <c r="BJ949" s="314"/>
      <c r="BK949" s="24"/>
      <c r="BL949" s="24"/>
      <c r="BM949" s="24"/>
      <c r="BN949" s="24"/>
      <c r="BO949" s="41"/>
      <c r="BP949" s="41"/>
      <c r="BQ949" s="41"/>
      <c r="BR949" s="43"/>
      <c r="BS949" s="41"/>
      <c r="BT949" s="41"/>
      <c r="BU949" s="41"/>
      <c r="BV949" s="132" t="e">
        <f>IF(#REF!="COMPLETO","OK","PENDIENTES")</f>
        <v>#REF!</v>
      </c>
      <c r="BW949" s="325"/>
      <c r="BX949" s="325"/>
      <c r="BY949" s="325"/>
      <c r="BZ949" s="325"/>
      <c r="CA949" s="325"/>
      <c r="CB949" s="325"/>
      <c r="CC949" s="258"/>
      <c r="CG949" s="24" t="s">
        <v>105</v>
      </c>
      <c r="CH949" s="24"/>
      <c r="CI949" s="24"/>
      <c r="CJ949" s="24"/>
    </row>
    <row r="950" spans="1:88" ht="15" customHeight="1">
      <c r="A950" s="18">
        <v>2020</v>
      </c>
      <c r="B950" s="18" t="str">
        <f>+INDEX(BDD!F:F,MATCH(P950,BDD!D:D,0))&amp;"-"&amp;INDEX(BDD!E:E,MATCH(P950,BDD!D:D,0))</f>
        <v>S-S</v>
      </c>
      <c r="C950" s="125" t="s">
        <v>484</v>
      </c>
      <c r="D950" s="150" t="s">
        <v>77</v>
      </c>
      <c r="E950" s="132"/>
      <c r="F950" s="24"/>
      <c r="G950" s="346">
        <v>8000000862</v>
      </c>
      <c r="H950" s="125" t="s">
        <v>3735</v>
      </c>
      <c r="I950" s="329"/>
      <c r="J950" s="346">
        <v>8000000862</v>
      </c>
      <c r="K950" s="24"/>
      <c r="L950" s="24"/>
      <c r="M950" s="24"/>
      <c r="N950" s="340" t="s">
        <v>486</v>
      </c>
      <c r="O950" s="334">
        <v>206914</v>
      </c>
      <c r="P950" s="25" t="s">
        <v>335</v>
      </c>
      <c r="Q950" s="127" t="s">
        <v>264</v>
      </c>
      <c r="R950" s="232" t="s">
        <v>3736</v>
      </c>
      <c r="S950" s="89">
        <v>43929</v>
      </c>
      <c r="T950" s="36">
        <v>90</v>
      </c>
      <c r="U950" s="125" t="s">
        <v>118</v>
      </c>
      <c r="V950" s="232" t="s">
        <v>3737</v>
      </c>
      <c r="W950" s="151"/>
      <c r="X950" s="88">
        <f>+BD950+T950</f>
        <v>44052</v>
      </c>
      <c r="Y950" s="130" t="s">
        <v>20</v>
      </c>
      <c r="Z950" s="133" t="s">
        <v>60</v>
      </c>
      <c r="AA950" s="133"/>
      <c r="AB950" s="241">
        <v>1144</v>
      </c>
      <c r="AC950" s="134">
        <v>108</v>
      </c>
      <c r="AD950" s="134"/>
      <c r="AE950" s="403">
        <f t="shared" si="51"/>
        <v>123552</v>
      </c>
      <c r="AF950" s="132">
        <v>40</v>
      </c>
      <c r="AG950" s="130" t="s">
        <v>21</v>
      </c>
      <c r="AH950" s="130"/>
      <c r="AI950" s="130" t="s">
        <v>34</v>
      </c>
      <c r="AJ950" s="130"/>
      <c r="AK950" s="130"/>
      <c r="AL950" s="135" t="s">
        <v>3511</v>
      </c>
      <c r="AM950" s="314"/>
      <c r="AN950" s="26"/>
      <c r="AO950" s="26"/>
      <c r="AP950" s="26"/>
      <c r="AQ950" s="26">
        <v>44008</v>
      </c>
      <c r="AR950" s="24"/>
      <c r="AS950" s="24"/>
      <c r="AT950" s="24">
        <v>44023</v>
      </c>
      <c r="AU950" s="418">
        <f t="shared" si="52"/>
        <v>7</v>
      </c>
      <c r="AV950" s="418">
        <f t="shared" si="53"/>
        <v>2020</v>
      </c>
      <c r="AW950" s="24"/>
      <c r="AX950" s="28"/>
      <c r="AY950" s="28" t="s">
        <v>139</v>
      </c>
      <c r="AZ950" s="132" t="s">
        <v>9</v>
      </c>
      <c r="BA950" s="132"/>
      <c r="BB950" s="24" t="s">
        <v>3519</v>
      </c>
      <c r="BC950" s="135" t="s">
        <v>3738</v>
      </c>
      <c r="BD950" s="24">
        <v>43962</v>
      </c>
      <c r="BE950" s="135" t="s">
        <v>3739</v>
      </c>
      <c r="BF950" s="135" t="s">
        <v>3740</v>
      </c>
      <c r="BG950" s="135" t="s">
        <v>41</v>
      </c>
      <c r="BH950" s="135"/>
      <c r="BI950" s="314" t="s">
        <v>124</v>
      </c>
      <c r="BJ950" s="314"/>
      <c r="BK950" s="24"/>
      <c r="BL950" s="24"/>
      <c r="BM950" s="24"/>
      <c r="BN950" s="24"/>
      <c r="BO950" s="24">
        <v>44025</v>
      </c>
      <c r="BP950" s="24"/>
      <c r="BQ950" s="24"/>
      <c r="BR950" s="43"/>
      <c r="BS950" s="24"/>
      <c r="BT950" s="24"/>
      <c r="BU950" s="24"/>
      <c r="BV950" s="132" t="e">
        <f>IF(#REF!="COMPLETO","OK","PENDIENTES")</f>
        <v>#REF!</v>
      </c>
      <c r="BW950" s="325"/>
      <c r="BX950" s="325"/>
      <c r="BY950" s="325"/>
      <c r="BZ950" s="325"/>
      <c r="CA950" s="325"/>
      <c r="CB950" s="325"/>
      <c r="CC950" s="258"/>
      <c r="CG950" s="24" t="s">
        <v>105</v>
      </c>
      <c r="CH950" s="24"/>
      <c r="CI950" s="24"/>
      <c r="CJ950" s="24"/>
    </row>
    <row r="951" spans="1:88" ht="15" customHeight="1">
      <c r="A951" s="18">
        <v>2020</v>
      </c>
      <c r="B951" s="18" t="str">
        <f>+INDEX(BDD!F:F,MATCH(P951,BDD!D:D,0))&amp;"-"&amp;INDEX(BDD!E:E,MATCH(P951,BDD!D:D,0))</f>
        <v>S-S</v>
      </c>
      <c r="C951" s="125" t="s">
        <v>484</v>
      </c>
      <c r="D951" s="150" t="s">
        <v>77</v>
      </c>
      <c r="E951" s="132"/>
      <c r="F951" s="24"/>
      <c r="G951" s="346">
        <v>8000000903</v>
      </c>
      <c r="H951" s="125" t="s">
        <v>3741</v>
      </c>
      <c r="I951" s="329"/>
      <c r="J951" s="346">
        <v>8000000903</v>
      </c>
      <c r="K951" s="24"/>
      <c r="L951" s="24"/>
      <c r="M951" s="24"/>
      <c r="N951" s="340" t="s">
        <v>486</v>
      </c>
      <c r="O951" s="334">
        <v>206914</v>
      </c>
      <c r="P951" s="25" t="s">
        <v>335</v>
      </c>
      <c r="Q951" s="127" t="s">
        <v>264</v>
      </c>
      <c r="R951" s="232" t="s">
        <v>3736</v>
      </c>
      <c r="S951" s="89">
        <v>43929</v>
      </c>
      <c r="T951" s="36">
        <v>90</v>
      </c>
      <c r="U951" s="125" t="s">
        <v>118</v>
      </c>
      <c r="V951" s="232" t="s">
        <v>3742</v>
      </c>
      <c r="W951" s="151"/>
      <c r="X951" s="88">
        <f>+BD951+T951</f>
        <v>44063</v>
      </c>
      <c r="Y951" s="130" t="s">
        <v>20</v>
      </c>
      <c r="Z951" s="133" t="s">
        <v>60</v>
      </c>
      <c r="AA951" s="133"/>
      <c r="AB951" s="241">
        <v>858</v>
      </c>
      <c r="AC951" s="134">
        <v>108</v>
      </c>
      <c r="AD951" s="134"/>
      <c r="AE951" s="403">
        <f t="shared" si="51"/>
        <v>92664</v>
      </c>
      <c r="AF951" s="132">
        <v>30</v>
      </c>
      <c r="AG951" s="130" t="s">
        <v>21</v>
      </c>
      <c r="AH951" s="130"/>
      <c r="AI951" s="130" t="s">
        <v>34</v>
      </c>
      <c r="AJ951" s="130"/>
      <c r="AK951" s="130"/>
      <c r="AL951" s="135" t="s">
        <v>3511</v>
      </c>
      <c r="AM951" s="314"/>
      <c r="AN951" s="26"/>
      <c r="AO951" s="26"/>
      <c r="AP951" s="26"/>
      <c r="AQ951" s="26">
        <v>44029</v>
      </c>
      <c r="AR951" s="24"/>
      <c r="AS951" s="24"/>
      <c r="AT951" s="26">
        <v>44039</v>
      </c>
      <c r="AU951" s="418">
        <f t="shared" si="52"/>
        <v>7</v>
      </c>
      <c r="AV951" s="418">
        <f t="shared" si="53"/>
        <v>2020</v>
      </c>
      <c r="AW951" s="26"/>
      <c r="AX951" s="28"/>
      <c r="AY951" s="28" t="s">
        <v>257</v>
      </c>
      <c r="AZ951" s="132" t="s">
        <v>9</v>
      </c>
      <c r="BA951" s="132"/>
      <c r="BB951" s="24" t="s">
        <v>3519</v>
      </c>
      <c r="BC951" s="135" t="s">
        <v>3743</v>
      </c>
      <c r="BD951" s="24">
        <v>43973</v>
      </c>
      <c r="BE951" s="135" t="s">
        <v>1352</v>
      </c>
      <c r="BF951" s="135" t="s">
        <v>3276</v>
      </c>
      <c r="BG951" s="135" t="s">
        <v>41</v>
      </c>
      <c r="BH951" s="135"/>
      <c r="BI951" s="314" t="s">
        <v>124</v>
      </c>
      <c r="BJ951" s="314"/>
      <c r="BK951" s="24"/>
      <c r="BL951" s="24"/>
      <c r="BM951" s="24"/>
      <c r="BN951" s="24"/>
      <c r="BO951" s="24">
        <f>+AQ951+13</f>
        <v>44042</v>
      </c>
      <c r="BP951" s="24"/>
      <c r="BQ951" s="24"/>
      <c r="BR951" s="43"/>
      <c r="BS951" s="24"/>
      <c r="BT951" s="24"/>
      <c r="BU951" s="24"/>
      <c r="BV951" s="132" t="e">
        <f>IF(#REF!="COMPLETO","OK","PENDIENTES")</f>
        <v>#REF!</v>
      </c>
      <c r="BW951" s="325"/>
      <c r="BX951" s="325"/>
      <c r="BY951" s="325"/>
      <c r="BZ951" s="325"/>
      <c r="CA951" s="325"/>
      <c r="CB951" s="325"/>
      <c r="CC951" s="258"/>
      <c r="CG951" s="24" t="s">
        <v>105</v>
      </c>
      <c r="CH951" s="24"/>
      <c r="CI951" s="26"/>
      <c r="CJ951" s="26"/>
    </row>
    <row r="952" spans="1:88" ht="15" customHeight="1">
      <c r="A952" s="18">
        <v>2020</v>
      </c>
      <c r="B952" s="18" t="str">
        <f>+INDEX(BDD!F:F,MATCH(P952,BDD!D:D,0))&amp;"-"&amp;INDEX(BDD!E:E,MATCH(P952,BDD!D:D,0))</f>
        <v>S-S</v>
      </c>
      <c r="C952" s="125" t="s">
        <v>484</v>
      </c>
      <c r="D952" s="150" t="s">
        <v>77</v>
      </c>
      <c r="E952" s="132"/>
      <c r="F952" s="24"/>
      <c r="G952" s="346">
        <v>8000000978</v>
      </c>
      <c r="H952" s="125" t="s">
        <v>3744</v>
      </c>
      <c r="I952" s="329"/>
      <c r="J952" s="346">
        <v>8000000978</v>
      </c>
      <c r="K952" s="24"/>
      <c r="L952" s="24"/>
      <c r="M952" s="24"/>
      <c r="N952" s="340" t="s">
        <v>486</v>
      </c>
      <c r="O952" s="334">
        <v>206914</v>
      </c>
      <c r="P952" s="25" t="s">
        <v>335</v>
      </c>
      <c r="Q952" s="127" t="s">
        <v>264</v>
      </c>
      <c r="R952" s="232" t="s">
        <v>3745</v>
      </c>
      <c r="S952" s="89">
        <v>43929</v>
      </c>
      <c r="T952" s="36">
        <v>90</v>
      </c>
      <c r="U952" s="125" t="s">
        <v>118</v>
      </c>
      <c r="V952" s="232" t="s">
        <v>3745</v>
      </c>
      <c r="W952" s="151"/>
      <c r="X952" s="88">
        <v>44095</v>
      </c>
      <c r="Y952" s="130" t="s">
        <v>20</v>
      </c>
      <c r="Z952" s="133" t="s">
        <v>60</v>
      </c>
      <c r="AA952" s="133"/>
      <c r="AB952" s="241">
        <v>2400</v>
      </c>
      <c r="AC952" s="134">
        <v>102</v>
      </c>
      <c r="AD952" s="134"/>
      <c r="AE952" s="403">
        <f t="shared" si="51"/>
        <v>244800</v>
      </c>
      <c r="AF952" s="132"/>
      <c r="AG952" s="130" t="s">
        <v>58</v>
      </c>
      <c r="AH952" s="130"/>
      <c r="AI952" s="130" t="s">
        <v>34</v>
      </c>
      <c r="AJ952" s="130"/>
      <c r="AK952" s="130"/>
      <c r="AL952" s="135" t="s">
        <v>3511</v>
      </c>
      <c r="AM952" s="314"/>
      <c r="AN952" s="26"/>
      <c r="AO952" s="26"/>
      <c r="AP952" s="26"/>
      <c r="AQ952" s="26">
        <v>44071</v>
      </c>
      <c r="AR952" s="41"/>
      <c r="AS952" s="41"/>
      <c r="AT952" s="24">
        <v>44078</v>
      </c>
      <c r="AU952" s="418">
        <f t="shared" si="52"/>
        <v>9</v>
      </c>
      <c r="AV952" s="418">
        <f t="shared" si="53"/>
        <v>2020</v>
      </c>
      <c r="AW952" s="24"/>
      <c r="AX952" s="28"/>
      <c r="AY952" s="28" t="s">
        <v>95</v>
      </c>
      <c r="AZ952" s="132" t="s">
        <v>37</v>
      </c>
      <c r="BA952" s="132"/>
      <c r="BB952" s="24" t="s">
        <v>3593</v>
      </c>
      <c r="BC952" s="135" t="s">
        <v>3746</v>
      </c>
      <c r="BD952" s="24">
        <v>44004</v>
      </c>
      <c r="BE952" s="135" t="s">
        <v>3747</v>
      </c>
      <c r="BF952" s="135" t="s">
        <v>3747</v>
      </c>
      <c r="BG952" s="135" t="s">
        <v>52</v>
      </c>
      <c r="BH952" s="135"/>
      <c r="BI952" s="314" t="s">
        <v>124</v>
      </c>
      <c r="BJ952" s="314"/>
      <c r="BK952" s="24"/>
      <c r="BL952" s="24"/>
      <c r="BM952" s="24"/>
      <c r="BN952" s="24"/>
      <c r="BO952" s="41"/>
      <c r="BP952" s="41"/>
      <c r="BQ952" s="41"/>
      <c r="BR952" s="43"/>
      <c r="BS952" s="41"/>
      <c r="BT952" s="41"/>
      <c r="BU952" s="41"/>
      <c r="BV952" s="132" t="e">
        <f>IF(#REF!="COMPLETO","OK","PENDIENTES")</f>
        <v>#REF!</v>
      </c>
      <c r="BW952" s="325"/>
      <c r="BX952" s="325"/>
      <c r="BY952" s="325"/>
      <c r="BZ952" s="325"/>
      <c r="CA952" s="325"/>
      <c r="CB952" s="325"/>
      <c r="CC952" s="258"/>
      <c r="CG952" s="24" t="s">
        <v>105</v>
      </c>
      <c r="CH952" s="24"/>
      <c r="CI952" s="24"/>
      <c r="CJ952" s="24"/>
    </row>
    <row r="953" spans="1:88" ht="14.25" customHeight="1">
      <c r="A953" s="18">
        <v>2020</v>
      </c>
      <c r="B953" s="18" t="str">
        <f>+INDEX(BDD!F:F,MATCH(P953,BDD!D:D,0))&amp;"-"&amp;INDEX(BDD!E:E,MATCH(P953,BDD!D:D,0))</f>
        <v>S-S</v>
      </c>
      <c r="C953" s="125" t="s">
        <v>484</v>
      </c>
      <c r="D953" s="150" t="s">
        <v>77</v>
      </c>
      <c r="E953" s="132"/>
      <c r="F953" s="24"/>
      <c r="G953" s="346">
        <v>8000000918</v>
      </c>
      <c r="H953" s="125" t="s">
        <v>3748</v>
      </c>
      <c r="I953" s="329"/>
      <c r="J953" s="346">
        <v>8000000918</v>
      </c>
      <c r="K953" s="24"/>
      <c r="L953" s="24"/>
      <c r="M953" s="24"/>
      <c r="N953" s="340" t="s">
        <v>486</v>
      </c>
      <c r="O953" s="334">
        <v>206914</v>
      </c>
      <c r="P953" s="25" t="s">
        <v>335</v>
      </c>
      <c r="Q953" s="127" t="s">
        <v>264</v>
      </c>
      <c r="R953" s="232" t="s">
        <v>3749</v>
      </c>
      <c r="S953" s="89">
        <v>43929</v>
      </c>
      <c r="T953" s="36">
        <v>90</v>
      </c>
      <c r="U953" s="125" t="s">
        <v>118</v>
      </c>
      <c r="V953" s="232" t="s">
        <v>3749</v>
      </c>
      <c r="W953" s="151"/>
      <c r="X953" s="88">
        <f>+BD953+T953</f>
        <v>44075</v>
      </c>
      <c r="Y953" s="130" t="s">
        <v>20</v>
      </c>
      <c r="Z953" s="133" t="s">
        <v>60</v>
      </c>
      <c r="AA953" s="133"/>
      <c r="AB953" s="241">
        <v>600</v>
      </c>
      <c r="AC953" s="134">
        <v>113</v>
      </c>
      <c r="AD953" s="134"/>
      <c r="AE953" s="403">
        <f t="shared" si="51"/>
        <v>67800</v>
      </c>
      <c r="AF953" s="132"/>
      <c r="AG953" s="130" t="s">
        <v>58</v>
      </c>
      <c r="AH953" s="130"/>
      <c r="AI953" s="130" t="s">
        <v>34</v>
      </c>
      <c r="AJ953" s="130"/>
      <c r="AK953" s="130"/>
      <c r="AL953" s="135" t="s">
        <v>3511</v>
      </c>
      <c r="AM953" s="314"/>
      <c r="AN953" s="26"/>
      <c r="AO953" s="26"/>
      <c r="AP953" s="26"/>
      <c r="AQ953" s="26">
        <v>44040</v>
      </c>
      <c r="AR953" s="24"/>
      <c r="AS953" s="24"/>
      <c r="AT953" s="24">
        <v>44042</v>
      </c>
      <c r="AU953" s="418">
        <f t="shared" si="52"/>
        <v>7</v>
      </c>
      <c r="AV953" s="418">
        <f t="shared" si="53"/>
        <v>2020</v>
      </c>
      <c r="AW953" s="24"/>
      <c r="AX953" s="28"/>
      <c r="AY953" s="28" t="s">
        <v>95</v>
      </c>
      <c r="AZ953" s="132" t="s">
        <v>62</v>
      </c>
      <c r="BA953" s="132"/>
      <c r="BB953" s="24" t="s">
        <v>3264</v>
      </c>
      <c r="BC953" s="135" t="s">
        <v>3750</v>
      </c>
      <c r="BD953" s="24">
        <v>43985</v>
      </c>
      <c r="BE953" s="135" t="s">
        <v>2683</v>
      </c>
      <c r="BF953" s="135" t="s">
        <v>2683</v>
      </c>
      <c r="BG953" s="135" t="s">
        <v>52</v>
      </c>
      <c r="BH953" s="135"/>
      <c r="BI953" s="314" t="s">
        <v>124</v>
      </c>
      <c r="BJ953" s="314"/>
      <c r="BK953" s="24"/>
      <c r="BL953" s="24"/>
      <c r="BM953" s="24"/>
      <c r="BN953" s="24"/>
      <c r="BO953" s="24"/>
      <c r="BP953" s="24"/>
      <c r="BQ953" s="24"/>
      <c r="BR953" s="43"/>
      <c r="BS953" s="24"/>
      <c r="BT953" s="24"/>
      <c r="BU953" s="24"/>
      <c r="BV953" s="132" t="e">
        <f>IF(#REF!="COMPLETO","OK","PENDIENTES")</f>
        <v>#REF!</v>
      </c>
      <c r="BW953" s="325"/>
      <c r="BX953" s="325"/>
      <c r="BY953" s="325"/>
      <c r="BZ953" s="325"/>
      <c r="CA953" s="325"/>
      <c r="CB953" s="325"/>
      <c r="CC953" s="258"/>
      <c r="CG953" s="24" t="s">
        <v>105</v>
      </c>
      <c r="CH953" s="24"/>
      <c r="CI953" s="24"/>
      <c r="CJ953" s="24"/>
    </row>
    <row r="954" spans="1:88" ht="15" customHeight="1">
      <c r="A954" s="18">
        <v>2020</v>
      </c>
      <c r="B954" s="18" t="str">
        <f>+INDEX(BDD!F:F,MATCH(P954,BDD!D:D,0))&amp;"-"&amp;INDEX(BDD!E:E,MATCH(P954,BDD!D:D,0))</f>
        <v>S-S</v>
      </c>
      <c r="C954" s="125" t="s">
        <v>484</v>
      </c>
      <c r="D954" s="152" t="s">
        <v>20</v>
      </c>
      <c r="E954" s="132" t="s">
        <v>51</v>
      </c>
      <c r="F954" s="24"/>
      <c r="G954" s="346"/>
      <c r="H954" s="125" t="s">
        <v>3751</v>
      </c>
      <c r="I954" s="329"/>
      <c r="J954" s="346"/>
      <c r="K954" s="24"/>
      <c r="L954" s="24"/>
      <c r="M954" s="24"/>
      <c r="N954" s="340"/>
      <c r="O954" s="334"/>
      <c r="P954" s="25" t="s">
        <v>238</v>
      </c>
      <c r="Q954" s="127" t="s">
        <v>231</v>
      </c>
      <c r="R954" s="232"/>
      <c r="S954" s="89"/>
      <c r="T954" s="36"/>
      <c r="U954" s="125"/>
      <c r="V954" s="147"/>
      <c r="W954" s="129"/>
      <c r="X954" s="88"/>
      <c r="Y954" s="130"/>
      <c r="Z954" s="133"/>
      <c r="AA954" s="133"/>
      <c r="AB954" s="241"/>
      <c r="AC954" s="134"/>
      <c r="AD954" s="134"/>
      <c r="AE954" s="403">
        <f t="shared" si="51"/>
        <v>0</v>
      </c>
      <c r="AF954" s="132"/>
      <c r="AG954" s="130"/>
      <c r="AH954" s="130"/>
      <c r="AI954" s="130"/>
      <c r="AJ954" s="130"/>
      <c r="AK954" s="130"/>
      <c r="AL954" s="135"/>
      <c r="AM954" s="314"/>
      <c r="AN954" s="26"/>
      <c r="AO954" s="26"/>
      <c r="AP954" s="26"/>
      <c r="AQ954" s="26"/>
      <c r="AR954" s="24"/>
      <c r="AS954" s="24"/>
      <c r="AT954" s="24"/>
      <c r="AU954" s="418">
        <f t="shared" si="52"/>
        <v>1</v>
      </c>
      <c r="AV954" s="418">
        <f t="shared" si="53"/>
        <v>1900</v>
      </c>
      <c r="AW954" s="24"/>
      <c r="AX954" s="24"/>
      <c r="AY954" s="24"/>
      <c r="AZ954" s="132"/>
      <c r="BA954" s="132"/>
      <c r="BB954" s="24"/>
      <c r="BC954" s="135"/>
      <c r="BD954" s="24"/>
      <c r="BE954" s="135"/>
      <c r="BF954" s="135"/>
      <c r="BG954" s="135"/>
      <c r="BH954" s="135"/>
      <c r="BI954" s="314"/>
      <c r="BJ954" s="314"/>
      <c r="BK954" s="24"/>
      <c r="BL954" s="24"/>
      <c r="BM954" s="24"/>
      <c r="BN954" s="24"/>
      <c r="BO954" s="24"/>
      <c r="BP954" s="24"/>
      <c r="BQ954" s="24"/>
      <c r="BR954" s="43"/>
      <c r="BS954" s="24"/>
      <c r="BT954" s="24"/>
      <c r="BU954" s="24"/>
      <c r="BV954" s="132"/>
      <c r="BW954" s="325"/>
      <c r="BX954" s="325"/>
      <c r="BY954" s="325"/>
      <c r="BZ954" s="325"/>
      <c r="CA954" s="325"/>
      <c r="CB954" s="325"/>
      <c r="CC954" s="258"/>
      <c r="CD954" s="22"/>
      <c r="CE954" s="22"/>
      <c r="CF954" s="22"/>
      <c r="CG954" s="24"/>
      <c r="CH954" s="24"/>
      <c r="CI954" s="24"/>
      <c r="CJ954" s="24"/>
    </row>
    <row r="955" spans="1:88" ht="15" customHeight="1">
      <c r="A955" s="18">
        <v>2020</v>
      </c>
      <c r="B955" s="18" t="str">
        <f>+INDEX(BDD!F:F,MATCH(P955,BDD!D:D,0))&amp;"-"&amp;INDEX(BDD!E:E,MATCH(P955,BDD!D:D,0))</f>
        <v>S-P</v>
      </c>
      <c r="C955" s="125" t="s">
        <v>484</v>
      </c>
      <c r="D955" s="150" t="s">
        <v>77</v>
      </c>
      <c r="E955" s="132"/>
      <c r="F955" s="24"/>
      <c r="G955" s="346">
        <v>8000000818</v>
      </c>
      <c r="H955" s="125" t="s">
        <v>3752</v>
      </c>
      <c r="I955" s="329"/>
      <c r="J955" s="346">
        <v>8000000818</v>
      </c>
      <c r="K955" s="24"/>
      <c r="L955" s="24"/>
      <c r="M955" s="24"/>
      <c r="N955" s="340" t="s">
        <v>486</v>
      </c>
      <c r="O955" s="334">
        <v>208510</v>
      </c>
      <c r="P955" s="25" t="s">
        <v>2</v>
      </c>
      <c r="Q955" s="127" t="s">
        <v>231</v>
      </c>
      <c r="R955" s="232" t="s">
        <v>3753</v>
      </c>
      <c r="S955" s="89">
        <v>43931</v>
      </c>
      <c r="T955" s="36">
        <v>90</v>
      </c>
      <c r="U955" s="125" t="s">
        <v>118</v>
      </c>
      <c r="V955" s="232" t="s">
        <v>3754</v>
      </c>
      <c r="W955" s="151"/>
      <c r="X955" s="88">
        <v>44036</v>
      </c>
      <c r="Y955" s="130" t="s">
        <v>20</v>
      </c>
      <c r="Z955" s="133" t="s">
        <v>60</v>
      </c>
      <c r="AA955" s="133"/>
      <c r="AB955" s="241">
        <v>691.6</v>
      </c>
      <c r="AC955" s="134">
        <v>860</v>
      </c>
      <c r="AD955" s="134"/>
      <c r="AE955" s="403">
        <f t="shared" si="51"/>
        <v>594776</v>
      </c>
      <c r="AF955" s="132">
        <v>26</v>
      </c>
      <c r="AG955" s="130" t="s">
        <v>5</v>
      </c>
      <c r="AH955" s="130"/>
      <c r="AI955" s="130" t="s">
        <v>80</v>
      </c>
      <c r="AJ955" s="130"/>
      <c r="AK955" s="130"/>
      <c r="AL955" s="135" t="s">
        <v>3496</v>
      </c>
      <c r="AM955" s="314"/>
      <c r="AN955" s="26"/>
      <c r="AO955" s="26"/>
      <c r="AP955" s="26"/>
      <c r="AQ955" s="26">
        <v>43996</v>
      </c>
      <c r="AR955" s="24"/>
      <c r="AS955" s="24"/>
      <c r="AT955" s="24">
        <v>44001</v>
      </c>
      <c r="AU955" s="418">
        <f t="shared" si="52"/>
        <v>6</v>
      </c>
      <c r="AV955" s="418">
        <f t="shared" si="53"/>
        <v>2020</v>
      </c>
      <c r="AW955" s="24"/>
      <c r="AX955" s="28"/>
      <c r="AY955" s="28" t="s">
        <v>254</v>
      </c>
      <c r="AZ955" s="132" t="s">
        <v>37</v>
      </c>
      <c r="BA955" s="132"/>
      <c r="BB955" s="24" t="s">
        <v>2956</v>
      </c>
      <c r="BC955" s="135" t="s">
        <v>3755</v>
      </c>
      <c r="BD955" s="24">
        <v>43947</v>
      </c>
      <c r="BE955" s="135" t="s">
        <v>861</v>
      </c>
      <c r="BF955" s="135" t="s">
        <v>3756</v>
      </c>
      <c r="BG955" s="135" t="s">
        <v>64</v>
      </c>
      <c r="BH955" s="135"/>
      <c r="BI955" s="314" t="s">
        <v>124</v>
      </c>
      <c r="BJ955" s="314"/>
      <c r="BK955" s="24"/>
      <c r="BL955" s="24"/>
      <c r="BM955" s="24"/>
      <c r="BN955" s="24"/>
      <c r="BO955" s="24"/>
      <c r="BP955" s="24"/>
      <c r="BQ955" s="24"/>
      <c r="BR955" s="43"/>
      <c r="BS955" s="24"/>
      <c r="BT955" s="24"/>
      <c r="BU955" s="24"/>
      <c r="BV955" s="132" t="e">
        <f>IF(#REF!="COMPLETO","OK","PENDIENTES")</f>
        <v>#REF!</v>
      </c>
      <c r="BW955" s="325"/>
      <c r="BX955" s="325"/>
      <c r="BY955" s="325"/>
      <c r="BZ955" s="325"/>
      <c r="CA955" s="325"/>
      <c r="CB955" s="325"/>
      <c r="CC955" s="258"/>
      <c r="CG955" s="24" t="s">
        <v>105</v>
      </c>
      <c r="CH955" s="24"/>
      <c r="CI955" s="24"/>
      <c r="CJ955" s="24"/>
    </row>
    <row r="956" spans="1:88" ht="15" customHeight="1">
      <c r="A956" s="18">
        <v>2020</v>
      </c>
      <c r="B956" s="18" t="str">
        <f>+INDEX(BDD!F:F,MATCH(P956,BDD!D:D,0))&amp;"-"&amp;INDEX(BDD!E:E,MATCH(P956,BDD!D:D,0))</f>
        <v>S-P</v>
      </c>
      <c r="C956" s="125" t="s">
        <v>484</v>
      </c>
      <c r="D956" s="150" t="s">
        <v>77</v>
      </c>
      <c r="E956" s="132"/>
      <c r="F956" s="24"/>
      <c r="G956" s="346">
        <v>8000000911</v>
      </c>
      <c r="H956" s="125" t="s">
        <v>3757</v>
      </c>
      <c r="I956" s="329"/>
      <c r="J956" s="346">
        <v>8000000911</v>
      </c>
      <c r="K956" s="24"/>
      <c r="L956" s="24"/>
      <c r="M956" s="24"/>
      <c r="N956" s="340" t="s">
        <v>486</v>
      </c>
      <c r="O956" s="334">
        <v>208510</v>
      </c>
      <c r="P956" s="25" t="s">
        <v>2</v>
      </c>
      <c r="Q956" s="127" t="s">
        <v>231</v>
      </c>
      <c r="R956" s="232" t="s">
        <v>3753</v>
      </c>
      <c r="S956" s="89">
        <v>43931</v>
      </c>
      <c r="T956" s="36">
        <v>90</v>
      </c>
      <c r="U956" s="125" t="s">
        <v>118</v>
      </c>
      <c r="V956" s="232" t="s">
        <v>3758</v>
      </c>
      <c r="W956" s="151"/>
      <c r="X956" s="88">
        <v>44071</v>
      </c>
      <c r="Y956" s="130" t="s">
        <v>20</v>
      </c>
      <c r="Z956" s="133" t="s">
        <v>60</v>
      </c>
      <c r="AA956" s="133"/>
      <c r="AB956" s="241">
        <v>319.2</v>
      </c>
      <c r="AC956" s="134">
        <v>865</v>
      </c>
      <c r="AD956" s="134"/>
      <c r="AE956" s="403">
        <f t="shared" si="51"/>
        <v>276108</v>
      </c>
      <c r="AF956" s="132">
        <f>+AB956/26.6</f>
        <v>11.999999999999998</v>
      </c>
      <c r="AG956" s="130" t="s">
        <v>5</v>
      </c>
      <c r="AH956" s="130"/>
      <c r="AI956" s="130" t="s">
        <v>80</v>
      </c>
      <c r="AJ956" s="130"/>
      <c r="AK956" s="130"/>
      <c r="AL956" s="135" t="s">
        <v>3591</v>
      </c>
      <c r="AM956" s="314"/>
      <c r="AN956" s="26"/>
      <c r="AO956" s="26"/>
      <c r="AP956" s="26"/>
      <c r="AQ956" s="26">
        <v>44034</v>
      </c>
      <c r="AR956" s="24"/>
      <c r="AS956" s="24"/>
      <c r="AT956" s="26">
        <v>44042</v>
      </c>
      <c r="AU956" s="418">
        <f t="shared" si="52"/>
        <v>7</v>
      </c>
      <c r="AV956" s="418">
        <f t="shared" si="53"/>
        <v>2020</v>
      </c>
      <c r="AW956" s="26"/>
      <c r="AX956" s="28"/>
      <c r="AY956" s="28" t="s">
        <v>254</v>
      </c>
      <c r="AZ956" s="132" t="s">
        <v>9</v>
      </c>
      <c r="BA956" s="132"/>
      <c r="BB956" s="24" t="s">
        <v>3519</v>
      </c>
      <c r="BC956" s="135" t="s">
        <v>3759</v>
      </c>
      <c r="BD956" s="24">
        <v>43982</v>
      </c>
      <c r="BE956" s="135" t="s">
        <v>861</v>
      </c>
      <c r="BF956" s="135" t="s">
        <v>3640</v>
      </c>
      <c r="BG956" s="135" t="s">
        <v>64</v>
      </c>
      <c r="BH956" s="135"/>
      <c r="BI956" s="314" t="s">
        <v>124</v>
      </c>
      <c r="BJ956" s="314"/>
      <c r="BK956" s="24"/>
      <c r="BL956" s="24"/>
      <c r="BM956" s="24"/>
      <c r="BN956" s="24"/>
      <c r="BO956" s="24"/>
      <c r="BP956" s="24"/>
      <c r="BQ956" s="24"/>
      <c r="BR956" s="43"/>
      <c r="BS956" s="24"/>
      <c r="BT956" s="24"/>
      <c r="BU956" s="24"/>
      <c r="BV956" s="132" t="e">
        <f>IF(#REF!="COMPLETO","OK","PENDIENTES")</f>
        <v>#REF!</v>
      </c>
      <c r="BW956" s="325"/>
      <c r="BX956" s="325"/>
      <c r="BY956" s="325"/>
      <c r="BZ956" s="325"/>
      <c r="CA956" s="325"/>
      <c r="CB956" s="325"/>
      <c r="CC956" s="258"/>
      <c r="CG956" s="24" t="s">
        <v>105</v>
      </c>
      <c r="CH956" s="24"/>
      <c r="CI956" s="26"/>
      <c r="CJ956" s="26"/>
    </row>
    <row r="957" spans="1:88" ht="15" customHeight="1">
      <c r="A957" s="18">
        <v>2020</v>
      </c>
      <c r="B957" s="18" t="str">
        <f>+INDEX(BDD!F:F,MATCH(P957,BDD!D:D,0))&amp;"-"&amp;INDEX(BDD!E:E,MATCH(P957,BDD!D:D,0))</f>
        <v>S-P</v>
      </c>
      <c r="C957" s="125" t="s">
        <v>484</v>
      </c>
      <c r="D957" s="150" t="s">
        <v>77</v>
      </c>
      <c r="E957" s="132"/>
      <c r="F957" s="24"/>
      <c r="G957" s="346">
        <v>8000000959</v>
      </c>
      <c r="H957" s="125" t="s">
        <v>3760</v>
      </c>
      <c r="I957" s="329"/>
      <c r="J957" s="346">
        <v>8000000959</v>
      </c>
      <c r="K957" s="24"/>
      <c r="L957" s="24"/>
      <c r="M957" s="24"/>
      <c r="N957" s="340" t="s">
        <v>486</v>
      </c>
      <c r="O957" s="334">
        <v>208510</v>
      </c>
      <c r="P957" s="25" t="s">
        <v>2</v>
      </c>
      <c r="Q957" s="127" t="s">
        <v>231</v>
      </c>
      <c r="R957" s="268" t="s">
        <v>3753</v>
      </c>
      <c r="S957" s="89">
        <v>43931</v>
      </c>
      <c r="T957" s="36">
        <v>90</v>
      </c>
      <c r="U957" s="125" t="s">
        <v>118</v>
      </c>
      <c r="V957" s="232" t="s">
        <v>3761</v>
      </c>
      <c r="W957" s="151"/>
      <c r="X957" s="88">
        <f>+BD957+T957</f>
        <v>44076</v>
      </c>
      <c r="Y957" s="130" t="s">
        <v>20</v>
      </c>
      <c r="Z957" s="133" t="s">
        <v>60</v>
      </c>
      <c r="AA957" s="133"/>
      <c r="AB957" s="241">
        <v>159.6</v>
      </c>
      <c r="AC957" s="134">
        <v>890</v>
      </c>
      <c r="AD957" s="134"/>
      <c r="AE957" s="403">
        <f t="shared" si="51"/>
        <v>142044</v>
      </c>
      <c r="AF957" s="132">
        <v>6</v>
      </c>
      <c r="AG957" s="130" t="s">
        <v>5</v>
      </c>
      <c r="AH957" s="130"/>
      <c r="AI957" s="130" t="s">
        <v>80</v>
      </c>
      <c r="AJ957" s="130"/>
      <c r="AK957" s="130"/>
      <c r="AL957" s="135" t="s">
        <v>3591</v>
      </c>
      <c r="AM957" s="314"/>
      <c r="AN957" s="26"/>
      <c r="AO957" s="26"/>
      <c r="AP957" s="26"/>
      <c r="AQ957" s="26">
        <v>44056</v>
      </c>
      <c r="AR957" s="24"/>
      <c r="AS957" s="24"/>
      <c r="AT957" s="24">
        <v>44068</v>
      </c>
      <c r="AU957" s="418">
        <f t="shared" si="52"/>
        <v>8</v>
      </c>
      <c r="AV957" s="418">
        <f t="shared" si="53"/>
        <v>2020</v>
      </c>
      <c r="AW957" s="24"/>
      <c r="AX957" s="28"/>
      <c r="AY957" s="28" t="s">
        <v>254</v>
      </c>
      <c r="AZ957" s="132" t="s">
        <v>62</v>
      </c>
      <c r="BA957" s="132"/>
      <c r="BB957" s="24" t="s">
        <v>3264</v>
      </c>
      <c r="BC957" s="135" t="s">
        <v>3762</v>
      </c>
      <c r="BD957" s="24">
        <v>43986</v>
      </c>
      <c r="BE957" s="135" t="s">
        <v>861</v>
      </c>
      <c r="BF957" s="135" t="s">
        <v>1938</v>
      </c>
      <c r="BG957" s="135" t="s">
        <v>29</v>
      </c>
      <c r="BH957" s="135"/>
      <c r="BI957" s="314" t="s">
        <v>124</v>
      </c>
      <c r="BJ957" s="314"/>
      <c r="BK957" s="24"/>
      <c r="BL957" s="24"/>
      <c r="BM957" s="24"/>
      <c r="BN957" s="24"/>
      <c r="BO957" s="24">
        <v>44069</v>
      </c>
      <c r="BP957" s="24"/>
      <c r="BQ957" s="24"/>
      <c r="BR957" s="43"/>
      <c r="BS957" s="24"/>
      <c r="BT957" s="24"/>
      <c r="BU957" s="24"/>
      <c r="BV957" s="132" t="e">
        <f>IF(#REF!="COMPLETO","OK","PENDIENTES")</f>
        <v>#REF!</v>
      </c>
      <c r="BW957" s="325"/>
      <c r="BX957" s="325"/>
      <c r="BY957" s="325"/>
      <c r="BZ957" s="325"/>
      <c r="CA957" s="325"/>
      <c r="CB957" s="325"/>
      <c r="CC957" s="258" t="s">
        <v>3763</v>
      </c>
      <c r="CG957" s="24" t="s">
        <v>105</v>
      </c>
      <c r="CH957" s="24"/>
      <c r="CI957" s="24"/>
      <c r="CJ957" s="24"/>
    </row>
    <row r="958" spans="1:88" ht="15" customHeight="1">
      <c r="A958" s="18">
        <v>2020</v>
      </c>
      <c r="B958" s="18" t="str">
        <f>+INDEX(BDD!F:F,MATCH(P958,BDD!D:D,0))&amp;"-"&amp;INDEX(BDD!E:E,MATCH(P958,BDD!D:D,0))</f>
        <v>S-P</v>
      </c>
      <c r="C958" s="125" t="s">
        <v>484</v>
      </c>
      <c r="D958" s="150" t="s">
        <v>77</v>
      </c>
      <c r="E958" s="132"/>
      <c r="F958" s="24"/>
      <c r="G958" s="346">
        <v>8000000863</v>
      </c>
      <c r="H958" s="125" t="s">
        <v>3764</v>
      </c>
      <c r="I958" s="329"/>
      <c r="J958" s="346">
        <v>8000000863</v>
      </c>
      <c r="K958" s="24"/>
      <c r="L958" s="24"/>
      <c r="M958" s="24"/>
      <c r="N958" s="340" t="s">
        <v>486</v>
      </c>
      <c r="O958" s="334">
        <v>207499</v>
      </c>
      <c r="P958" s="25" t="s">
        <v>343</v>
      </c>
      <c r="Q958" s="127" t="s">
        <v>264</v>
      </c>
      <c r="R958" s="232" t="s">
        <v>3765</v>
      </c>
      <c r="S958" s="89">
        <v>43929</v>
      </c>
      <c r="T958" s="36">
        <v>90</v>
      </c>
      <c r="U958" s="125" t="s">
        <v>118</v>
      </c>
      <c r="V958" s="147" t="s">
        <v>3766</v>
      </c>
      <c r="W958" s="129"/>
      <c r="X958" s="88">
        <f>+BD958+T958</f>
        <v>44072</v>
      </c>
      <c r="Y958" s="130" t="s">
        <v>20</v>
      </c>
      <c r="Z958" s="133" t="s">
        <v>60</v>
      </c>
      <c r="AA958" s="133"/>
      <c r="AB958" s="241">
        <v>200.4</v>
      </c>
      <c r="AC958" s="134">
        <v>458</v>
      </c>
      <c r="AD958" s="134"/>
      <c r="AE958" s="403">
        <f t="shared" si="51"/>
        <v>91783.2</v>
      </c>
      <c r="AF958" s="145" t="s">
        <v>2822</v>
      </c>
      <c r="AG958" s="130" t="s">
        <v>58</v>
      </c>
      <c r="AH958" s="130"/>
      <c r="AI958" s="130" t="s">
        <v>34</v>
      </c>
      <c r="AJ958" s="130"/>
      <c r="AK958" s="130"/>
      <c r="AL958" s="135" t="s">
        <v>3511</v>
      </c>
      <c r="AM958" s="314"/>
      <c r="AN958" s="26"/>
      <c r="AO958" s="26"/>
      <c r="AP958" s="26"/>
      <c r="AQ958" s="26">
        <v>44016</v>
      </c>
      <c r="AR958" s="41"/>
      <c r="AS958" s="41"/>
      <c r="AT958" s="24">
        <v>44024</v>
      </c>
      <c r="AU958" s="418">
        <f t="shared" si="52"/>
        <v>7</v>
      </c>
      <c r="AV958" s="418">
        <f t="shared" si="53"/>
        <v>2020</v>
      </c>
      <c r="AW958" s="24"/>
      <c r="AX958" s="28"/>
      <c r="AY958" s="28" t="s">
        <v>3199</v>
      </c>
      <c r="AZ958" s="132" t="s">
        <v>9</v>
      </c>
      <c r="BA958" s="132"/>
      <c r="BB958" s="24" t="s">
        <v>3264</v>
      </c>
      <c r="BC958" s="135" t="s">
        <v>3767</v>
      </c>
      <c r="BD958" s="24">
        <v>43982</v>
      </c>
      <c r="BE958" s="135" t="s">
        <v>3575</v>
      </c>
      <c r="BF958" s="135" t="s">
        <v>3575</v>
      </c>
      <c r="BG958" s="135" t="s">
        <v>52</v>
      </c>
      <c r="BH958" s="135"/>
      <c r="BI958" s="314" t="s">
        <v>124</v>
      </c>
      <c r="BJ958" s="314"/>
      <c r="BK958" s="26"/>
      <c r="BL958" s="26"/>
      <c r="BM958" s="26"/>
      <c r="BN958" s="26"/>
      <c r="BO958" s="41"/>
      <c r="BP958" s="41"/>
      <c r="BQ958" s="41"/>
      <c r="BR958" s="43"/>
      <c r="BS958" s="41"/>
      <c r="BT958" s="41"/>
      <c r="BU958" s="41"/>
      <c r="BV958" s="132" t="e">
        <f>IF(#REF!="COMPLETO","OK","PENDIENTES")</f>
        <v>#REF!</v>
      </c>
      <c r="BW958" s="325"/>
      <c r="BX958" s="325"/>
      <c r="BY958" s="325"/>
      <c r="BZ958" s="325"/>
      <c r="CA958" s="325"/>
      <c r="CB958" s="325"/>
      <c r="CC958" s="258"/>
      <c r="CG958" s="24" t="s">
        <v>105</v>
      </c>
      <c r="CH958" s="24"/>
      <c r="CI958" s="24"/>
      <c r="CJ958" s="24"/>
    </row>
    <row r="959" spans="1:88" ht="15" customHeight="1">
      <c r="A959" s="18">
        <v>2020</v>
      </c>
      <c r="B959" s="18" t="str">
        <f>+INDEX(BDD!F:F,MATCH(P959,BDD!D:D,0))&amp;"-"&amp;INDEX(BDD!E:E,MATCH(P959,BDD!D:D,0))</f>
        <v>S-P</v>
      </c>
      <c r="C959" s="125" t="s">
        <v>484</v>
      </c>
      <c r="D959" s="150" t="s">
        <v>77</v>
      </c>
      <c r="E959" s="132"/>
      <c r="F959" s="24"/>
      <c r="G959" s="346">
        <v>8000000980</v>
      </c>
      <c r="H959" s="125" t="s">
        <v>3768</v>
      </c>
      <c r="I959" s="329"/>
      <c r="J959" s="346">
        <v>8000000980</v>
      </c>
      <c r="K959" s="24"/>
      <c r="L959" s="24"/>
      <c r="M959" s="24"/>
      <c r="N959" s="340" t="s">
        <v>486</v>
      </c>
      <c r="O959" s="334">
        <v>207499</v>
      </c>
      <c r="P959" s="25" t="s">
        <v>343</v>
      </c>
      <c r="Q959" s="127" t="s">
        <v>264</v>
      </c>
      <c r="R959" s="232" t="s">
        <v>3769</v>
      </c>
      <c r="S959" s="89">
        <v>43929</v>
      </c>
      <c r="T959" s="36">
        <v>90</v>
      </c>
      <c r="U959" s="125" t="s">
        <v>118</v>
      </c>
      <c r="V959" s="232" t="s">
        <v>3769</v>
      </c>
      <c r="W959" s="151"/>
      <c r="X959" s="88">
        <v>44097</v>
      </c>
      <c r="Y959" s="130" t="s">
        <v>20</v>
      </c>
      <c r="Z959" s="133" t="s">
        <v>60</v>
      </c>
      <c r="AA959" s="133"/>
      <c r="AB959" s="241">
        <v>301.2</v>
      </c>
      <c r="AC959" s="134">
        <v>447</v>
      </c>
      <c r="AD959" s="134"/>
      <c r="AE959" s="403">
        <f t="shared" si="51"/>
        <v>134636.4</v>
      </c>
      <c r="AF959" s="132"/>
      <c r="AG959" s="130" t="s">
        <v>58</v>
      </c>
      <c r="AH959" s="130"/>
      <c r="AI959" s="130" t="s">
        <v>34</v>
      </c>
      <c r="AJ959" s="130"/>
      <c r="AK959" s="130"/>
      <c r="AL959" s="135" t="s">
        <v>3511</v>
      </c>
      <c r="AM959" s="314"/>
      <c r="AN959" s="26"/>
      <c r="AO959" s="26"/>
      <c r="AP959" s="26"/>
      <c r="AQ959" s="26">
        <v>44071</v>
      </c>
      <c r="AR959" s="41"/>
      <c r="AS959" s="41"/>
      <c r="AT959" s="24">
        <v>44078</v>
      </c>
      <c r="AU959" s="418">
        <f t="shared" si="52"/>
        <v>9</v>
      </c>
      <c r="AV959" s="418">
        <f t="shared" si="53"/>
        <v>2020</v>
      </c>
      <c r="AW959" s="24"/>
      <c r="AX959" s="24"/>
      <c r="AY959" s="24" t="s">
        <v>3199</v>
      </c>
      <c r="AZ959" s="132" t="s">
        <v>37</v>
      </c>
      <c r="BA959" s="132"/>
      <c r="BB959" s="24" t="s">
        <v>3593</v>
      </c>
      <c r="BC959" s="135" t="s">
        <v>3770</v>
      </c>
      <c r="BD959" s="24">
        <v>44005</v>
      </c>
      <c r="BE959" s="135" t="s">
        <v>3747</v>
      </c>
      <c r="BF959" s="135" t="s">
        <v>3747</v>
      </c>
      <c r="BG959" s="135" t="s">
        <v>52</v>
      </c>
      <c r="BH959" s="135"/>
      <c r="BI959" s="314" t="s">
        <v>124</v>
      </c>
      <c r="BJ959" s="314"/>
      <c r="BK959" s="24"/>
      <c r="BL959" s="24"/>
      <c r="BM959" s="24"/>
      <c r="BN959" s="24"/>
      <c r="BO959" s="41"/>
      <c r="BP959" s="41"/>
      <c r="BQ959" s="41"/>
      <c r="BR959" s="43"/>
      <c r="BS959" s="41"/>
      <c r="BT959" s="41"/>
      <c r="BU959" s="41"/>
      <c r="BV959" s="132" t="e">
        <f>IF(#REF!="COMPLETO","OK","PENDIENTES")</f>
        <v>#REF!</v>
      </c>
      <c r="BW959" s="325"/>
      <c r="BX959" s="325"/>
      <c r="BY959" s="325"/>
      <c r="BZ959" s="325"/>
      <c r="CA959" s="325"/>
      <c r="CB959" s="325"/>
      <c r="CC959" s="258"/>
      <c r="CG959" s="24" t="s">
        <v>105</v>
      </c>
      <c r="CH959" s="24"/>
      <c r="CI959" s="24"/>
      <c r="CJ959" s="24"/>
    </row>
    <row r="960" spans="1:88" ht="15" customHeight="1">
      <c r="A960" s="18">
        <v>2020</v>
      </c>
      <c r="B960" s="18" t="str">
        <f>+INDEX(BDD!F:F,MATCH(P960,BDD!D:D,0))&amp;"-"&amp;INDEX(BDD!E:E,MATCH(P960,BDD!D:D,0))</f>
        <v>S-P</v>
      </c>
      <c r="C960" s="125" t="s">
        <v>484</v>
      </c>
      <c r="D960" s="150" t="s">
        <v>77</v>
      </c>
      <c r="E960" s="132"/>
      <c r="F960" s="24"/>
      <c r="G960" s="346">
        <v>8000000919</v>
      </c>
      <c r="H960" s="125" t="s">
        <v>3771</v>
      </c>
      <c r="I960" s="329"/>
      <c r="J960" s="346">
        <v>8000000919</v>
      </c>
      <c r="K960" s="24"/>
      <c r="L960" s="24"/>
      <c r="M960" s="24"/>
      <c r="N960" s="340" t="s">
        <v>486</v>
      </c>
      <c r="O960" s="334">
        <v>207499</v>
      </c>
      <c r="P960" s="25" t="s">
        <v>343</v>
      </c>
      <c r="Q960" s="127" t="s">
        <v>264</v>
      </c>
      <c r="R960" s="232" t="s">
        <v>3772</v>
      </c>
      <c r="S960" s="89">
        <v>43929</v>
      </c>
      <c r="T960" s="36">
        <v>90</v>
      </c>
      <c r="U960" s="125" t="s">
        <v>118</v>
      </c>
      <c r="V960" s="232" t="s">
        <v>3772</v>
      </c>
      <c r="W960" s="151"/>
      <c r="X960" s="88">
        <f t="shared" ref="X960:X968" si="54">+BD960+T960</f>
        <v>44074</v>
      </c>
      <c r="Y960" s="130" t="s">
        <v>20</v>
      </c>
      <c r="Z960" s="133" t="s">
        <v>60</v>
      </c>
      <c r="AA960" s="133"/>
      <c r="AB960" s="241">
        <v>50.4</v>
      </c>
      <c r="AC960" s="134">
        <v>460</v>
      </c>
      <c r="AD960" s="134"/>
      <c r="AE960" s="403">
        <f t="shared" si="51"/>
        <v>23184</v>
      </c>
      <c r="AF960" s="132"/>
      <c r="AG960" s="130" t="s">
        <v>58</v>
      </c>
      <c r="AH960" s="130"/>
      <c r="AI960" s="130" t="s">
        <v>34</v>
      </c>
      <c r="AJ960" s="130"/>
      <c r="AK960" s="130"/>
      <c r="AL960" s="135" t="s">
        <v>3511</v>
      </c>
      <c r="AM960" s="314"/>
      <c r="AN960" s="26"/>
      <c r="AO960" s="26"/>
      <c r="AP960" s="26"/>
      <c r="AQ960" s="26">
        <v>44040</v>
      </c>
      <c r="AR960" s="24"/>
      <c r="AS960" s="24"/>
      <c r="AT960" s="24">
        <v>44042</v>
      </c>
      <c r="AU960" s="418">
        <f t="shared" si="52"/>
        <v>7</v>
      </c>
      <c r="AV960" s="418">
        <f t="shared" si="53"/>
        <v>2020</v>
      </c>
      <c r="AW960" s="24"/>
      <c r="AX960" s="28"/>
      <c r="AY960" s="28" t="s">
        <v>3199</v>
      </c>
      <c r="AZ960" s="132" t="s">
        <v>62</v>
      </c>
      <c r="BA960" s="132"/>
      <c r="BB960" s="24" t="s">
        <v>3264</v>
      </c>
      <c r="BC960" s="135" t="s">
        <v>3773</v>
      </c>
      <c r="BD960" s="24">
        <v>43984</v>
      </c>
      <c r="BE960" s="135" t="s">
        <v>2683</v>
      </c>
      <c r="BF960" s="135" t="s">
        <v>2683</v>
      </c>
      <c r="BG960" s="135" t="s">
        <v>52</v>
      </c>
      <c r="BH960" s="135"/>
      <c r="BI960" s="314" t="s">
        <v>124</v>
      </c>
      <c r="BJ960" s="314"/>
      <c r="BK960" s="24"/>
      <c r="BL960" s="24"/>
      <c r="BM960" s="24"/>
      <c r="BN960" s="24"/>
      <c r="BO960" s="24"/>
      <c r="BP960" s="24"/>
      <c r="BQ960" s="24"/>
      <c r="BR960" s="43"/>
      <c r="BS960" s="24"/>
      <c r="BT960" s="24"/>
      <c r="BU960" s="24"/>
      <c r="BV960" s="132" t="e">
        <f>IF(#REF!="COMPLETO","OK","PENDIENTES")</f>
        <v>#REF!</v>
      </c>
      <c r="BW960" s="325"/>
      <c r="BX960" s="325"/>
      <c r="BY960" s="325"/>
      <c r="BZ960" s="325"/>
      <c r="CA960" s="325"/>
      <c r="CB960" s="325"/>
      <c r="CC960" s="258"/>
      <c r="CG960" s="24" t="s">
        <v>105</v>
      </c>
      <c r="CH960" s="24"/>
      <c r="CI960" s="24"/>
      <c r="CJ960" s="24"/>
    </row>
    <row r="961" spans="1:88" ht="15" customHeight="1">
      <c r="A961" s="18">
        <v>2020</v>
      </c>
      <c r="B961" s="18" t="str">
        <f>+INDEX(BDD!F:F,MATCH(P961,BDD!D:D,0))&amp;"-"&amp;INDEX(BDD!E:E,MATCH(P961,BDD!D:D,0))</f>
        <v>E-S</v>
      </c>
      <c r="C961" s="125" t="s">
        <v>484</v>
      </c>
      <c r="D961" s="150" t="s">
        <v>77</v>
      </c>
      <c r="E961" s="132"/>
      <c r="F961" s="24"/>
      <c r="G961" s="346">
        <v>8000000826</v>
      </c>
      <c r="H961" s="125" t="s">
        <v>3774</v>
      </c>
      <c r="I961" s="329"/>
      <c r="J961" s="346">
        <v>8000000826</v>
      </c>
      <c r="K961" s="24"/>
      <c r="L961" s="24"/>
      <c r="M961" s="24"/>
      <c r="N961" s="340" t="s">
        <v>486</v>
      </c>
      <c r="O961" s="334">
        <v>209986</v>
      </c>
      <c r="P961" s="25" t="s">
        <v>208</v>
      </c>
      <c r="Q961" s="127" t="s">
        <v>222</v>
      </c>
      <c r="R961" s="232" t="s">
        <v>944</v>
      </c>
      <c r="S961" s="89">
        <v>43929</v>
      </c>
      <c r="T961" s="36">
        <v>30</v>
      </c>
      <c r="U961" s="125" t="s">
        <v>118</v>
      </c>
      <c r="V961" s="147" t="s">
        <v>3775</v>
      </c>
      <c r="W961" s="129"/>
      <c r="X961" s="88">
        <f t="shared" si="54"/>
        <v>44029</v>
      </c>
      <c r="Y961" s="130" t="s">
        <v>20</v>
      </c>
      <c r="Z961" s="133" t="s">
        <v>60</v>
      </c>
      <c r="AA961" s="133"/>
      <c r="AB961" s="241">
        <v>52.51</v>
      </c>
      <c r="AC961" s="134">
        <v>280</v>
      </c>
      <c r="AD961" s="134"/>
      <c r="AE961" s="403">
        <f t="shared" si="51"/>
        <v>14702.8</v>
      </c>
      <c r="AF961" s="132">
        <v>2</v>
      </c>
      <c r="AG961" s="130" t="s">
        <v>5</v>
      </c>
      <c r="AH961" s="130"/>
      <c r="AI961" s="130" t="s">
        <v>47</v>
      </c>
      <c r="AJ961" s="130"/>
      <c r="AK961" s="130"/>
      <c r="AL961" s="135" t="s">
        <v>3591</v>
      </c>
      <c r="AM961" s="314"/>
      <c r="AN961" s="26"/>
      <c r="AO961" s="26"/>
      <c r="AP961" s="26"/>
      <c r="AQ961" s="26">
        <v>44006</v>
      </c>
      <c r="AR961" s="24"/>
      <c r="AS961" s="24"/>
      <c r="AT961" s="24">
        <v>44008</v>
      </c>
      <c r="AU961" s="418">
        <f t="shared" si="52"/>
        <v>6</v>
      </c>
      <c r="AV961" s="418">
        <f t="shared" si="53"/>
        <v>2020</v>
      </c>
      <c r="AW961" s="24"/>
      <c r="AX961" s="28"/>
      <c r="AY961" s="28" t="s">
        <v>263</v>
      </c>
      <c r="AZ961" s="132" t="s">
        <v>37</v>
      </c>
      <c r="BA961" s="132"/>
      <c r="BB961" s="24" t="s">
        <v>2956</v>
      </c>
      <c r="BC961" s="135" t="s">
        <v>3776</v>
      </c>
      <c r="BD961" s="24">
        <v>43999</v>
      </c>
      <c r="BE961" s="135" t="s">
        <v>569</v>
      </c>
      <c r="BF961" s="135" t="s">
        <v>569</v>
      </c>
      <c r="BG961" s="135" t="s">
        <v>29</v>
      </c>
      <c r="BH961" s="135"/>
      <c r="BI961" s="314" t="s">
        <v>124</v>
      </c>
      <c r="BJ961" s="314"/>
      <c r="BK961" s="24"/>
      <c r="BL961" s="24"/>
      <c r="BM961" s="24"/>
      <c r="BN961" s="24"/>
      <c r="BO961" s="24"/>
      <c r="BP961" s="24"/>
      <c r="BQ961" s="24"/>
      <c r="BR961" s="43"/>
      <c r="BS961" s="24"/>
      <c r="BT961" s="24"/>
      <c r="BU961" s="24"/>
      <c r="BV961" s="132" t="e">
        <f>IF(#REF!="COMPLETO","OK","PENDIENTES")</f>
        <v>#REF!</v>
      </c>
      <c r="BW961" s="325"/>
      <c r="BX961" s="325"/>
      <c r="BY961" s="325"/>
      <c r="BZ961" s="325"/>
      <c r="CA961" s="325"/>
      <c r="CB961" s="325"/>
      <c r="CC961" s="258"/>
      <c r="CG961" s="24" t="s">
        <v>105</v>
      </c>
      <c r="CH961" s="24"/>
      <c r="CI961" s="24"/>
      <c r="CJ961" s="24"/>
    </row>
    <row r="962" spans="1:88" ht="15.6" customHeight="1">
      <c r="A962" s="18">
        <v>2020</v>
      </c>
      <c r="B962" s="18" t="str">
        <f>+INDEX(BDD!F:F,MATCH(P962,BDD!D:D,0))&amp;"-"&amp;INDEX(BDD!E:E,MATCH(P962,BDD!D:D,0))</f>
        <v>E-S</v>
      </c>
      <c r="C962" s="125" t="s">
        <v>484</v>
      </c>
      <c r="D962" s="150" t="s">
        <v>77</v>
      </c>
      <c r="E962" s="132"/>
      <c r="F962" s="24"/>
      <c r="G962" s="346">
        <v>8000000871</v>
      </c>
      <c r="H962" s="125" t="s">
        <v>3777</v>
      </c>
      <c r="I962" s="329"/>
      <c r="J962" s="346">
        <v>8000000871</v>
      </c>
      <c r="K962" s="24"/>
      <c r="L962" s="24"/>
      <c r="M962" s="24"/>
      <c r="N962" s="340" t="s">
        <v>486</v>
      </c>
      <c r="O962" s="334">
        <v>209986</v>
      </c>
      <c r="P962" s="25" t="s">
        <v>208</v>
      </c>
      <c r="Q962" s="127" t="s">
        <v>222</v>
      </c>
      <c r="R962" s="232" t="s">
        <v>944</v>
      </c>
      <c r="S962" s="89">
        <v>43929</v>
      </c>
      <c r="T962" s="36">
        <v>30</v>
      </c>
      <c r="U962" s="125" t="s">
        <v>118</v>
      </c>
      <c r="V962" s="147" t="s">
        <v>3778</v>
      </c>
      <c r="W962" s="129"/>
      <c r="X962" s="88">
        <f t="shared" si="54"/>
        <v>44050</v>
      </c>
      <c r="Y962" s="130" t="s">
        <v>20</v>
      </c>
      <c r="Z962" s="133" t="s">
        <v>60</v>
      </c>
      <c r="AA962" s="133"/>
      <c r="AB962" s="241">
        <v>52</v>
      </c>
      <c r="AC962" s="134">
        <v>280</v>
      </c>
      <c r="AD962" s="134"/>
      <c r="AE962" s="403">
        <f t="shared" ref="AE962:AE1025" si="55">AB962*AC962</f>
        <v>14560</v>
      </c>
      <c r="AF962" s="132">
        <v>2</v>
      </c>
      <c r="AG962" s="130" t="s">
        <v>5</v>
      </c>
      <c r="AH962" s="130"/>
      <c r="AI962" s="130" t="s">
        <v>47</v>
      </c>
      <c r="AJ962" s="130"/>
      <c r="AK962" s="130"/>
      <c r="AL962" s="135" t="s">
        <v>3779</v>
      </c>
      <c r="AM962" s="314"/>
      <c r="AN962" s="26"/>
      <c r="AO962" s="26"/>
      <c r="AP962" s="26"/>
      <c r="AQ962" s="26">
        <v>44027</v>
      </c>
      <c r="AR962" s="24"/>
      <c r="AS962" s="24"/>
      <c r="AT962" s="24">
        <v>44029</v>
      </c>
      <c r="AU962" s="418">
        <f t="shared" si="52"/>
        <v>7</v>
      </c>
      <c r="AV962" s="418">
        <f t="shared" si="53"/>
        <v>2020</v>
      </c>
      <c r="AW962" s="24"/>
      <c r="AX962" s="28"/>
      <c r="AY962" s="28" t="s">
        <v>263</v>
      </c>
      <c r="AZ962" s="132" t="s">
        <v>37</v>
      </c>
      <c r="BA962" s="132"/>
      <c r="BB962" s="24" t="s">
        <v>2956</v>
      </c>
      <c r="BC962" s="135" t="s">
        <v>3780</v>
      </c>
      <c r="BD962" s="24">
        <v>44020</v>
      </c>
      <c r="BE962" s="135" t="s">
        <v>3781</v>
      </c>
      <c r="BF962" s="135" t="s">
        <v>3781</v>
      </c>
      <c r="BG962" s="135" t="s">
        <v>29</v>
      </c>
      <c r="BH962" s="135"/>
      <c r="BI962" s="314" t="s">
        <v>124</v>
      </c>
      <c r="BJ962" s="314"/>
      <c r="BK962" s="24"/>
      <c r="BL962" s="24"/>
      <c r="BM962" s="24"/>
      <c r="BN962" s="24"/>
      <c r="BO962" s="24"/>
      <c r="BP962" s="24"/>
      <c r="BQ962" s="24"/>
      <c r="BR962" s="43"/>
      <c r="BS962" s="24"/>
      <c r="BT962" s="24"/>
      <c r="BU962" s="24"/>
      <c r="BV962" s="132" t="e">
        <f>IF(#REF!="COMPLETO","OK","PENDIENTES")</f>
        <v>#REF!</v>
      </c>
      <c r="BW962" s="325"/>
      <c r="BX962" s="325"/>
      <c r="BY962" s="325"/>
      <c r="BZ962" s="325"/>
      <c r="CA962" s="325"/>
      <c r="CB962" s="325"/>
      <c r="CC962" s="258"/>
      <c r="CG962" s="24" t="s">
        <v>105</v>
      </c>
      <c r="CH962" s="24"/>
      <c r="CI962" s="24"/>
      <c r="CJ962" s="24"/>
    </row>
    <row r="963" spans="1:88" ht="15" customHeight="1">
      <c r="A963" s="18">
        <v>2020</v>
      </c>
      <c r="B963" s="18" t="str">
        <f>+INDEX(BDD!F:F,MATCH(P963,BDD!D:D,0))&amp;"-"&amp;INDEX(BDD!E:E,MATCH(P963,BDD!D:D,0))</f>
        <v>T-S</v>
      </c>
      <c r="C963" s="125" t="s">
        <v>484</v>
      </c>
      <c r="D963" s="150" t="s">
        <v>77</v>
      </c>
      <c r="E963" s="132"/>
      <c r="F963" s="24"/>
      <c r="G963" s="346">
        <v>8000000779</v>
      </c>
      <c r="H963" s="125" t="s">
        <v>3782</v>
      </c>
      <c r="I963" s="329"/>
      <c r="J963" s="346">
        <v>8000000779</v>
      </c>
      <c r="K963" s="24"/>
      <c r="L963" s="24"/>
      <c r="M963" s="24"/>
      <c r="N963" s="340" t="s">
        <v>486</v>
      </c>
      <c r="O963" s="334">
        <v>208067</v>
      </c>
      <c r="P963" s="25" t="s">
        <v>383</v>
      </c>
      <c r="Q963" s="127" t="s">
        <v>303</v>
      </c>
      <c r="R963" s="232" t="s">
        <v>3783</v>
      </c>
      <c r="S963" s="89" t="s">
        <v>489</v>
      </c>
      <c r="T963" s="36">
        <v>30</v>
      </c>
      <c r="U963" s="125" t="s">
        <v>118</v>
      </c>
      <c r="V963" s="147" t="s">
        <v>3784</v>
      </c>
      <c r="W963" s="129"/>
      <c r="X963" s="88">
        <f t="shared" si="54"/>
        <v>43996</v>
      </c>
      <c r="Y963" s="130" t="s">
        <v>20</v>
      </c>
      <c r="Z963" s="133" t="s">
        <v>60</v>
      </c>
      <c r="AA963" s="133"/>
      <c r="AB963" s="241">
        <v>500</v>
      </c>
      <c r="AC963" s="134">
        <v>242.44</v>
      </c>
      <c r="AD963" s="134"/>
      <c r="AE963" s="403">
        <f t="shared" si="55"/>
        <v>121220</v>
      </c>
      <c r="AF963" s="132">
        <v>20</v>
      </c>
      <c r="AG963" s="130" t="s">
        <v>5</v>
      </c>
      <c r="AH963" s="130"/>
      <c r="AI963" s="130" t="s">
        <v>34</v>
      </c>
      <c r="AJ963" s="130"/>
      <c r="AK963" s="130"/>
      <c r="AL963" s="135" t="s">
        <v>3591</v>
      </c>
      <c r="AM963" s="314"/>
      <c r="AN963" s="26"/>
      <c r="AO963" s="26"/>
      <c r="AP963" s="26"/>
      <c r="AQ963" s="26">
        <v>43971</v>
      </c>
      <c r="AR963" s="24"/>
      <c r="AS963" s="24"/>
      <c r="AT963" s="24">
        <v>43986</v>
      </c>
      <c r="AU963" s="418">
        <f t="shared" ref="AU963:AU1026" si="56">MONTH(AT963)</f>
        <v>6</v>
      </c>
      <c r="AV963" s="418">
        <f t="shared" ref="AV963:AV1026" si="57">YEAR(AT963)</f>
        <v>2020</v>
      </c>
      <c r="AW963" s="24"/>
      <c r="AX963" s="28"/>
      <c r="AY963" s="28" t="s">
        <v>3415</v>
      </c>
      <c r="AZ963" s="132" t="s">
        <v>9</v>
      </c>
      <c r="BA963" s="132"/>
      <c r="BB963" s="24" t="s">
        <v>3264</v>
      </c>
      <c r="BC963" s="135" t="s">
        <v>3785</v>
      </c>
      <c r="BD963" s="24">
        <v>43966</v>
      </c>
      <c r="BE963" s="135" t="s">
        <v>1807</v>
      </c>
      <c r="BF963" s="135" t="s">
        <v>1807</v>
      </c>
      <c r="BG963" s="135" t="s">
        <v>64</v>
      </c>
      <c r="BH963" s="135"/>
      <c r="BI963" s="314" t="s">
        <v>124</v>
      </c>
      <c r="BJ963" s="314"/>
      <c r="BK963" s="24"/>
      <c r="BL963" s="24"/>
      <c r="BM963" s="24"/>
      <c r="BN963" s="24"/>
      <c r="BO963" s="24">
        <v>43991</v>
      </c>
      <c r="BP963" s="24"/>
      <c r="BQ963" s="24"/>
      <c r="BR963" s="43"/>
      <c r="BS963" s="24"/>
      <c r="BT963" s="24"/>
      <c r="BU963" s="24"/>
      <c r="BV963" s="132" t="e">
        <f>IF(#REF!="COMPLETO","OK","PENDIENTES")</f>
        <v>#REF!</v>
      </c>
      <c r="BW963" s="325"/>
      <c r="BX963" s="325"/>
      <c r="BY963" s="325"/>
      <c r="BZ963" s="325"/>
      <c r="CA963" s="325"/>
      <c r="CB963" s="325"/>
      <c r="CC963" s="258"/>
      <c r="CG963" s="24" t="s">
        <v>105</v>
      </c>
      <c r="CH963" s="24"/>
      <c r="CI963" s="24"/>
      <c r="CJ963" s="24"/>
    </row>
    <row r="964" spans="1:88" ht="15" customHeight="1">
      <c r="A964" s="18">
        <v>2020</v>
      </c>
      <c r="B964" s="18" t="str">
        <f>+INDEX(BDD!F:F,MATCH(P964,BDD!D:D,0))&amp;"-"&amp;INDEX(BDD!E:E,MATCH(P964,BDD!D:D,0))</f>
        <v>T-S</v>
      </c>
      <c r="C964" s="125" t="s">
        <v>484</v>
      </c>
      <c r="D964" s="150" t="s">
        <v>77</v>
      </c>
      <c r="E964" s="132"/>
      <c r="F964" s="24"/>
      <c r="G964" s="346">
        <v>8000000778</v>
      </c>
      <c r="H964" s="125" t="s">
        <v>3786</v>
      </c>
      <c r="I964" s="329"/>
      <c r="J964" s="346">
        <v>8000000778</v>
      </c>
      <c r="K964" s="24"/>
      <c r="L964" s="24"/>
      <c r="M964" s="24"/>
      <c r="N964" s="340" t="s">
        <v>486</v>
      </c>
      <c r="O964" s="334">
        <v>208067</v>
      </c>
      <c r="P964" s="25" t="s">
        <v>383</v>
      </c>
      <c r="Q964" s="127" t="s">
        <v>303</v>
      </c>
      <c r="R964" s="232" t="s">
        <v>3787</v>
      </c>
      <c r="S964" s="89" t="s">
        <v>489</v>
      </c>
      <c r="T964" s="36">
        <v>30</v>
      </c>
      <c r="U964" s="125" t="s">
        <v>118</v>
      </c>
      <c r="V964" s="147" t="s">
        <v>3788</v>
      </c>
      <c r="W964" s="129"/>
      <c r="X964" s="88">
        <f t="shared" si="54"/>
        <v>43996</v>
      </c>
      <c r="Y964" s="130" t="s">
        <v>20</v>
      </c>
      <c r="Z964" s="133" t="s">
        <v>60</v>
      </c>
      <c r="AA964" s="133"/>
      <c r="AB964" s="241">
        <v>500</v>
      </c>
      <c r="AC964" s="134">
        <v>242.44</v>
      </c>
      <c r="AD964" s="134"/>
      <c r="AE964" s="403">
        <f t="shared" si="55"/>
        <v>121220</v>
      </c>
      <c r="AF964" s="132">
        <v>20</v>
      </c>
      <c r="AG964" s="130" t="s">
        <v>5</v>
      </c>
      <c r="AH964" s="130"/>
      <c r="AI964" s="130" t="s">
        <v>34</v>
      </c>
      <c r="AJ964" s="130"/>
      <c r="AK964" s="130"/>
      <c r="AL964" s="135" t="s">
        <v>3591</v>
      </c>
      <c r="AM964" s="314"/>
      <c r="AN964" s="26"/>
      <c r="AO964" s="26"/>
      <c r="AP964" s="26"/>
      <c r="AQ964" s="26">
        <v>43971</v>
      </c>
      <c r="AR964" s="24"/>
      <c r="AS964" s="24"/>
      <c r="AT964" s="24">
        <v>43991</v>
      </c>
      <c r="AU964" s="418">
        <f t="shared" si="56"/>
        <v>6</v>
      </c>
      <c r="AV964" s="418">
        <f t="shared" si="57"/>
        <v>2020</v>
      </c>
      <c r="AW964" s="24"/>
      <c r="AX964" s="28"/>
      <c r="AY964" s="28" t="s">
        <v>3415</v>
      </c>
      <c r="AZ964" s="132" t="s">
        <v>9</v>
      </c>
      <c r="BA964" s="132"/>
      <c r="BB964" s="24" t="s">
        <v>3264</v>
      </c>
      <c r="BC964" s="135" t="s">
        <v>3789</v>
      </c>
      <c r="BD964" s="24">
        <v>43966</v>
      </c>
      <c r="BE964" s="135" t="s">
        <v>1807</v>
      </c>
      <c r="BF964" s="135" t="s">
        <v>1807</v>
      </c>
      <c r="BG964" s="135" t="s">
        <v>29</v>
      </c>
      <c r="BH964" s="135"/>
      <c r="BI964" s="314" t="s">
        <v>124</v>
      </c>
      <c r="BJ964" s="314"/>
      <c r="BK964" s="24"/>
      <c r="BL964" s="24"/>
      <c r="BM964" s="24"/>
      <c r="BN964" s="24"/>
      <c r="BO964" s="24">
        <v>43991</v>
      </c>
      <c r="BP964" s="24"/>
      <c r="BQ964" s="24"/>
      <c r="BR964" s="43"/>
      <c r="BS964" s="24"/>
      <c r="BT964" s="24"/>
      <c r="BU964" s="24"/>
      <c r="BV964" s="132" t="e">
        <f>IF(#REF!="COMPLETO","OK","PENDIENTES")</f>
        <v>#REF!</v>
      </c>
      <c r="BW964" s="325"/>
      <c r="BX964" s="325"/>
      <c r="BY964" s="325"/>
      <c r="BZ964" s="325"/>
      <c r="CA964" s="325"/>
      <c r="CB964" s="325"/>
      <c r="CC964" s="258"/>
      <c r="CG964" s="24" t="s">
        <v>105</v>
      </c>
      <c r="CH964" s="24"/>
      <c r="CI964" s="24"/>
      <c r="CJ964" s="24"/>
    </row>
    <row r="965" spans="1:88" ht="15" customHeight="1">
      <c r="A965" s="18">
        <v>2020</v>
      </c>
      <c r="B965" s="18" t="str">
        <f>+INDEX(BDD!F:F,MATCH(P965,BDD!D:D,0))&amp;"-"&amp;INDEX(BDD!E:E,MATCH(P965,BDD!D:D,0))</f>
        <v>T-S</v>
      </c>
      <c r="C965" s="125" t="s">
        <v>484</v>
      </c>
      <c r="D965" s="150" t="s">
        <v>77</v>
      </c>
      <c r="E965" s="132"/>
      <c r="F965" s="24"/>
      <c r="G965" s="346">
        <v>8000000775</v>
      </c>
      <c r="H965" s="125" t="s">
        <v>3790</v>
      </c>
      <c r="I965" s="329"/>
      <c r="J965" s="346">
        <v>8000000775</v>
      </c>
      <c r="K965" s="24"/>
      <c r="L965" s="24"/>
      <c r="M965" s="24"/>
      <c r="N965" s="340" t="s">
        <v>486</v>
      </c>
      <c r="O965" s="334">
        <v>208067</v>
      </c>
      <c r="P965" s="25" t="s">
        <v>383</v>
      </c>
      <c r="Q965" s="127" t="s">
        <v>303</v>
      </c>
      <c r="R965" s="232" t="s">
        <v>3791</v>
      </c>
      <c r="S965" s="89" t="s">
        <v>489</v>
      </c>
      <c r="T965" s="36">
        <v>30</v>
      </c>
      <c r="U965" s="125" t="s">
        <v>118</v>
      </c>
      <c r="V965" s="147" t="s">
        <v>3792</v>
      </c>
      <c r="W965" s="129"/>
      <c r="X965" s="88">
        <f t="shared" si="54"/>
        <v>43990</v>
      </c>
      <c r="Y965" s="130" t="s">
        <v>20</v>
      </c>
      <c r="Z965" s="133" t="s">
        <v>60</v>
      </c>
      <c r="AA965" s="133"/>
      <c r="AB965" s="241">
        <v>500</v>
      </c>
      <c r="AC965" s="134">
        <v>242.44</v>
      </c>
      <c r="AD965" s="134"/>
      <c r="AE965" s="403">
        <f t="shared" si="55"/>
        <v>121220</v>
      </c>
      <c r="AF965" s="132">
        <v>20</v>
      </c>
      <c r="AG965" s="130" t="s">
        <v>5</v>
      </c>
      <c r="AH965" s="130"/>
      <c r="AI965" s="130" t="s">
        <v>34</v>
      </c>
      <c r="AJ965" s="130"/>
      <c r="AK965" s="130"/>
      <c r="AL965" s="135" t="s">
        <v>3591</v>
      </c>
      <c r="AM965" s="314"/>
      <c r="AN965" s="26"/>
      <c r="AO965" s="26"/>
      <c r="AP965" s="26"/>
      <c r="AQ965" s="26">
        <v>43964</v>
      </c>
      <c r="AR965" s="24"/>
      <c r="AS965" s="24"/>
      <c r="AT965" s="26">
        <v>43981</v>
      </c>
      <c r="AU965" s="418">
        <f t="shared" si="56"/>
        <v>5</v>
      </c>
      <c r="AV965" s="418">
        <f t="shared" si="57"/>
        <v>2020</v>
      </c>
      <c r="AW965" s="26"/>
      <c r="AX965" s="28"/>
      <c r="AY965" s="28" t="s">
        <v>3415</v>
      </c>
      <c r="AZ965" s="132" t="s">
        <v>9</v>
      </c>
      <c r="BA965" s="132"/>
      <c r="BB965" s="24" t="s">
        <v>3264</v>
      </c>
      <c r="BC965" s="135" t="s">
        <v>3793</v>
      </c>
      <c r="BD965" s="24">
        <v>43960</v>
      </c>
      <c r="BE965" s="135" t="s">
        <v>2560</v>
      </c>
      <c r="BF965" s="135" t="s">
        <v>2560</v>
      </c>
      <c r="BG965" s="135" t="s">
        <v>29</v>
      </c>
      <c r="BH965" s="135"/>
      <c r="BI965" s="314" t="s">
        <v>124</v>
      </c>
      <c r="BJ965" s="314"/>
      <c r="BK965" s="24"/>
      <c r="BL965" s="24"/>
      <c r="BM965" s="24"/>
      <c r="BN965" s="24"/>
      <c r="BO965" s="24">
        <v>43984</v>
      </c>
      <c r="BP965" s="24"/>
      <c r="BQ965" s="24"/>
      <c r="BR965" s="43"/>
      <c r="BS965" s="24"/>
      <c r="BT965" s="24"/>
      <c r="BU965" s="24"/>
      <c r="BV965" s="132" t="e">
        <f>IF(#REF!="COMPLETO","OK","PENDIENTES")</f>
        <v>#REF!</v>
      </c>
      <c r="BW965" s="325"/>
      <c r="BX965" s="325"/>
      <c r="BY965" s="325"/>
      <c r="BZ965" s="325"/>
      <c r="CA965" s="325"/>
      <c r="CB965" s="325"/>
      <c r="CC965" s="258"/>
      <c r="CG965" s="24" t="s">
        <v>105</v>
      </c>
      <c r="CH965" s="24"/>
      <c r="CI965" s="26"/>
      <c r="CJ965" s="26"/>
    </row>
    <row r="966" spans="1:88" ht="15" customHeight="1">
      <c r="A966" s="18">
        <v>2020</v>
      </c>
      <c r="B966" s="18" t="str">
        <f>+INDEX(BDD!F:F,MATCH(P966,BDD!D:D,0))&amp;"-"&amp;INDEX(BDD!E:E,MATCH(P966,BDD!D:D,0))</f>
        <v>T-S</v>
      </c>
      <c r="C966" s="125" t="s">
        <v>484</v>
      </c>
      <c r="D966" s="150" t="s">
        <v>77</v>
      </c>
      <c r="E966" s="132"/>
      <c r="F966" s="24"/>
      <c r="G966" s="346">
        <v>8000000787</v>
      </c>
      <c r="H966" s="125" t="s">
        <v>3794</v>
      </c>
      <c r="I966" s="329"/>
      <c r="J966" s="346">
        <v>8000000787</v>
      </c>
      <c r="K966" s="24"/>
      <c r="L966" s="24"/>
      <c r="M966" s="24"/>
      <c r="N966" s="340" t="s">
        <v>486</v>
      </c>
      <c r="O966" s="334">
        <v>208073</v>
      </c>
      <c r="P966" s="25" t="s">
        <v>382</v>
      </c>
      <c r="Q966" s="127" t="s">
        <v>303</v>
      </c>
      <c r="R966" s="232" t="s">
        <v>3795</v>
      </c>
      <c r="S966" s="89">
        <v>44301</v>
      </c>
      <c r="T966" s="36">
        <v>30</v>
      </c>
      <c r="U966" s="125" t="s">
        <v>118</v>
      </c>
      <c r="V966" s="147" t="s">
        <v>3796</v>
      </c>
      <c r="W966" s="129"/>
      <c r="X966" s="88">
        <f t="shared" si="54"/>
        <v>43990</v>
      </c>
      <c r="Y966" s="130" t="s">
        <v>20</v>
      </c>
      <c r="Z966" s="133" t="s">
        <v>60</v>
      </c>
      <c r="AA966" s="133"/>
      <c r="AB966" s="241">
        <v>216</v>
      </c>
      <c r="AC966" s="134">
        <v>242.44</v>
      </c>
      <c r="AD966" s="134"/>
      <c r="AE966" s="403">
        <f t="shared" si="55"/>
        <v>52367.040000000001</v>
      </c>
      <c r="AF966" s="132">
        <v>9</v>
      </c>
      <c r="AG966" s="130" t="s">
        <v>5</v>
      </c>
      <c r="AH966" s="130"/>
      <c r="AI966" s="130" t="s">
        <v>71</v>
      </c>
      <c r="AJ966" s="130"/>
      <c r="AK966" s="130"/>
      <c r="AL966" s="135" t="s">
        <v>3591</v>
      </c>
      <c r="AM966" s="314"/>
      <c r="AN966" s="26"/>
      <c r="AO966" s="26"/>
      <c r="AP966" s="26"/>
      <c r="AQ966" s="26">
        <v>43964</v>
      </c>
      <c r="AR966" s="24"/>
      <c r="AS966" s="24"/>
      <c r="AT966" s="24">
        <v>43973</v>
      </c>
      <c r="AU966" s="418">
        <f t="shared" si="56"/>
        <v>5</v>
      </c>
      <c r="AV966" s="418">
        <f t="shared" si="57"/>
        <v>2020</v>
      </c>
      <c r="AW966" s="24"/>
      <c r="AX966" s="28"/>
      <c r="AY966" s="28" t="s">
        <v>3415</v>
      </c>
      <c r="AZ966" s="132" t="s">
        <v>9</v>
      </c>
      <c r="BA966" s="132"/>
      <c r="BB966" s="24" t="s">
        <v>2956</v>
      </c>
      <c r="BC966" s="135" t="s">
        <v>3797</v>
      </c>
      <c r="BD966" s="24">
        <v>43960</v>
      </c>
      <c r="BE966" s="135" t="s">
        <v>2560</v>
      </c>
      <c r="BF966" s="135" t="s">
        <v>2560</v>
      </c>
      <c r="BG966" s="135" t="s">
        <v>64</v>
      </c>
      <c r="BH966" s="135"/>
      <c r="BI966" s="314" t="s">
        <v>124</v>
      </c>
      <c r="BJ966" s="314"/>
      <c r="BK966" s="24"/>
      <c r="BL966" s="24"/>
      <c r="BM966" s="24"/>
      <c r="BN966" s="24"/>
      <c r="BO966" s="24"/>
      <c r="BP966" s="24"/>
      <c r="BQ966" s="24"/>
      <c r="BR966" s="43"/>
      <c r="BS966" s="24"/>
      <c r="BT966" s="24"/>
      <c r="BU966" s="24"/>
      <c r="BV966" s="132" t="e">
        <f>IF(#REF!="COMPLETO","OK","PENDIENTES")</f>
        <v>#REF!</v>
      </c>
      <c r="BW966" s="325"/>
      <c r="BX966" s="325"/>
      <c r="BY966" s="325"/>
      <c r="BZ966" s="325"/>
      <c r="CA966" s="325"/>
      <c r="CB966" s="325"/>
      <c r="CC966" s="258"/>
      <c r="CG966" s="24" t="s">
        <v>105</v>
      </c>
      <c r="CH966" s="24"/>
      <c r="CI966" s="24"/>
      <c r="CJ966" s="24"/>
    </row>
    <row r="967" spans="1:88" ht="15" customHeight="1">
      <c r="A967" s="18">
        <v>2020</v>
      </c>
      <c r="B967" s="18" t="str">
        <f>+INDEX(BDD!F:F,MATCH(P967,BDD!D:D,0))&amp;"-"&amp;INDEX(BDD!E:E,MATCH(P967,BDD!D:D,0))</f>
        <v>T-S</v>
      </c>
      <c r="C967" s="125" t="s">
        <v>484</v>
      </c>
      <c r="D967" s="150" t="s">
        <v>77</v>
      </c>
      <c r="E967" s="132"/>
      <c r="F967" s="24"/>
      <c r="G967" s="346">
        <v>8000000773</v>
      </c>
      <c r="H967" s="125" t="s">
        <v>3798</v>
      </c>
      <c r="I967" s="329"/>
      <c r="J967" s="346">
        <v>8000000773</v>
      </c>
      <c r="K967" s="24"/>
      <c r="L967" s="24"/>
      <c r="M967" s="24"/>
      <c r="N967" s="340" t="s">
        <v>486</v>
      </c>
      <c r="O967" s="334">
        <v>208067</v>
      </c>
      <c r="P967" s="25" t="s">
        <v>383</v>
      </c>
      <c r="Q967" s="127" t="s">
        <v>303</v>
      </c>
      <c r="R967" s="232" t="s">
        <v>3799</v>
      </c>
      <c r="S967" s="89" t="s">
        <v>489</v>
      </c>
      <c r="T967" s="36">
        <v>30</v>
      </c>
      <c r="U967" s="125" t="s">
        <v>118</v>
      </c>
      <c r="V967" s="147" t="s">
        <v>3800</v>
      </c>
      <c r="W967" s="129"/>
      <c r="X967" s="88">
        <f t="shared" si="54"/>
        <v>43990</v>
      </c>
      <c r="Y967" s="130" t="s">
        <v>20</v>
      </c>
      <c r="Z967" s="133" t="s">
        <v>60</v>
      </c>
      <c r="AA967" s="133"/>
      <c r="AB967" s="241">
        <v>225</v>
      </c>
      <c r="AC967" s="134">
        <v>242.44</v>
      </c>
      <c r="AD967" s="134"/>
      <c r="AE967" s="403">
        <f t="shared" si="55"/>
        <v>54549</v>
      </c>
      <c r="AF967" s="132">
        <v>9</v>
      </c>
      <c r="AG967" s="130" t="s">
        <v>5</v>
      </c>
      <c r="AH967" s="130"/>
      <c r="AI967" s="130" t="s">
        <v>34</v>
      </c>
      <c r="AJ967" s="130"/>
      <c r="AK967" s="130"/>
      <c r="AL967" s="135" t="s">
        <v>3591</v>
      </c>
      <c r="AM967" s="314"/>
      <c r="AN967" s="26"/>
      <c r="AO967" s="26"/>
      <c r="AP967" s="26"/>
      <c r="AQ967" s="26">
        <v>43964</v>
      </c>
      <c r="AR967" s="24"/>
      <c r="AS967" s="24"/>
      <c r="AT967" s="24">
        <v>43979</v>
      </c>
      <c r="AU967" s="418">
        <f t="shared" si="56"/>
        <v>5</v>
      </c>
      <c r="AV967" s="418">
        <f t="shared" si="57"/>
        <v>2020</v>
      </c>
      <c r="AW967" s="24"/>
      <c r="AX967" s="28"/>
      <c r="AY967" s="28" t="s">
        <v>3415</v>
      </c>
      <c r="AZ967" s="132" t="s">
        <v>9</v>
      </c>
      <c r="BA967" s="132"/>
      <c r="BB967" s="24" t="s">
        <v>3264</v>
      </c>
      <c r="BC967" s="135" t="s">
        <v>3801</v>
      </c>
      <c r="BD967" s="24">
        <v>43960</v>
      </c>
      <c r="BE967" s="135" t="s">
        <v>2560</v>
      </c>
      <c r="BF967" s="135" t="s">
        <v>2560</v>
      </c>
      <c r="BG967" s="135" t="s">
        <v>64</v>
      </c>
      <c r="BH967" s="135"/>
      <c r="BI967" s="314" t="s">
        <v>124</v>
      </c>
      <c r="BJ967" s="314"/>
      <c r="BK967" s="24"/>
      <c r="BL967" s="24"/>
      <c r="BM967" s="24"/>
      <c r="BN967" s="24"/>
      <c r="BO967" s="24">
        <v>43984</v>
      </c>
      <c r="BP967" s="24"/>
      <c r="BQ967" s="24"/>
      <c r="BR967" s="43"/>
      <c r="BS967" s="24"/>
      <c r="BT967" s="24"/>
      <c r="BU967" s="24"/>
      <c r="BV967" s="132" t="e">
        <f>IF(#REF!="COMPLETO","OK","PENDIENTES")</f>
        <v>#REF!</v>
      </c>
      <c r="BW967" s="325"/>
      <c r="BX967" s="325"/>
      <c r="BY967" s="325"/>
      <c r="BZ967" s="325"/>
      <c r="CA967" s="325"/>
      <c r="CB967" s="325"/>
      <c r="CC967" s="258"/>
      <c r="CG967" s="24" t="s">
        <v>105</v>
      </c>
      <c r="CH967" s="24"/>
      <c r="CI967" s="24"/>
      <c r="CJ967" s="24"/>
    </row>
    <row r="968" spans="1:88" ht="15" customHeight="1">
      <c r="A968" s="18">
        <v>2020</v>
      </c>
      <c r="B968" s="18" t="str">
        <f>+INDEX(BDD!F:F,MATCH(P968,BDD!D:D,0))&amp;"-"&amp;INDEX(BDD!E:E,MATCH(P968,BDD!D:D,0))</f>
        <v>T-S</v>
      </c>
      <c r="C968" s="125" t="s">
        <v>484</v>
      </c>
      <c r="D968" s="150" t="s">
        <v>77</v>
      </c>
      <c r="E968" s="132"/>
      <c r="F968" s="24"/>
      <c r="G968" s="346">
        <v>8000000781</v>
      </c>
      <c r="H968" s="125" t="s">
        <v>3802</v>
      </c>
      <c r="I968" s="329"/>
      <c r="J968" s="346">
        <v>8000000781</v>
      </c>
      <c r="K968" s="24"/>
      <c r="L968" s="24"/>
      <c r="M968" s="24"/>
      <c r="N968" s="340" t="s">
        <v>486</v>
      </c>
      <c r="O968" s="334">
        <v>208067</v>
      </c>
      <c r="P968" s="25" t="s">
        <v>383</v>
      </c>
      <c r="Q968" s="127" t="s">
        <v>303</v>
      </c>
      <c r="R968" s="232" t="s">
        <v>3803</v>
      </c>
      <c r="S968" s="89" t="s">
        <v>489</v>
      </c>
      <c r="T968" s="36">
        <v>30</v>
      </c>
      <c r="U968" s="125" t="s">
        <v>118</v>
      </c>
      <c r="V968" s="147" t="s">
        <v>3804</v>
      </c>
      <c r="W968" s="129"/>
      <c r="X968" s="88">
        <f t="shared" si="54"/>
        <v>43996</v>
      </c>
      <c r="Y968" s="130" t="s">
        <v>20</v>
      </c>
      <c r="Z968" s="133" t="s">
        <v>60</v>
      </c>
      <c r="AA968" s="133"/>
      <c r="AB968" s="241">
        <v>75</v>
      </c>
      <c r="AC968" s="134">
        <v>242.44</v>
      </c>
      <c r="AD968" s="134"/>
      <c r="AE968" s="403">
        <f t="shared" si="55"/>
        <v>18183</v>
      </c>
      <c r="AF968" s="132">
        <v>3</v>
      </c>
      <c r="AG968" s="130" t="s">
        <v>5</v>
      </c>
      <c r="AH968" s="130"/>
      <c r="AI968" s="130" t="s">
        <v>34</v>
      </c>
      <c r="AJ968" s="130"/>
      <c r="AK968" s="130"/>
      <c r="AL968" s="135" t="s">
        <v>3591</v>
      </c>
      <c r="AM968" s="314"/>
      <c r="AN968" s="26"/>
      <c r="AO968" s="26"/>
      <c r="AP968" s="26"/>
      <c r="AQ968" s="26">
        <v>43990</v>
      </c>
      <c r="AR968" s="24"/>
      <c r="AS968" s="24"/>
      <c r="AT968" s="24">
        <v>43994</v>
      </c>
      <c r="AU968" s="418">
        <f t="shared" si="56"/>
        <v>6</v>
      </c>
      <c r="AV968" s="418">
        <f t="shared" si="57"/>
        <v>2020</v>
      </c>
      <c r="AW968" s="24"/>
      <c r="AX968" s="28"/>
      <c r="AY968" s="28" t="s">
        <v>3415</v>
      </c>
      <c r="AZ968" s="132" t="s">
        <v>62</v>
      </c>
      <c r="BA968" s="132"/>
      <c r="BB968" s="24" t="s">
        <v>3264</v>
      </c>
      <c r="BC968" s="132" t="s">
        <v>3805</v>
      </c>
      <c r="BD968" s="24">
        <v>43966</v>
      </c>
      <c r="BE968" s="135" t="s">
        <v>3806</v>
      </c>
      <c r="BF968" s="135" t="s">
        <v>3807</v>
      </c>
      <c r="BG968" s="135" t="s">
        <v>53</v>
      </c>
      <c r="BH968" s="135"/>
      <c r="BI968" s="314" t="s">
        <v>124</v>
      </c>
      <c r="BJ968" s="314"/>
      <c r="BK968" s="24"/>
      <c r="BL968" s="24"/>
      <c r="BM968" s="24"/>
      <c r="BN968" s="24"/>
      <c r="BO968" s="24">
        <f>+AQ968+14</f>
        <v>44004</v>
      </c>
      <c r="BP968" s="24"/>
      <c r="BQ968" s="24"/>
      <c r="BR968" s="43"/>
      <c r="BS968" s="24"/>
      <c r="BT968" s="24"/>
      <c r="BU968" s="24"/>
      <c r="BV968" s="132" t="e">
        <f>IF(#REF!="COMPLETO","OK","PENDIENTES")</f>
        <v>#REF!</v>
      </c>
      <c r="BW968" s="325"/>
      <c r="BX968" s="325"/>
      <c r="BY968" s="325"/>
      <c r="BZ968" s="325"/>
      <c r="CA968" s="325"/>
      <c r="CB968" s="325"/>
      <c r="CC968" s="258"/>
      <c r="CG968" s="24" t="s">
        <v>105</v>
      </c>
      <c r="CH968" s="24"/>
      <c r="CI968" s="24"/>
      <c r="CJ968" s="24"/>
    </row>
    <row r="969" spans="1:88" ht="15" customHeight="1">
      <c r="A969" s="18">
        <v>2020</v>
      </c>
      <c r="B969" s="18" t="str">
        <f>+INDEX(BDD!F:F,MATCH(P969,BDD!D:D,0))&amp;"-"&amp;INDEX(BDD!E:E,MATCH(P969,BDD!D:D,0))</f>
        <v>S-P</v>
      </c>
      <c r="C969" s="125" t="s">
        <v>484</v>
      </c>
      <c r="D969" s="150" t="s">
        <v>77</v>
      </c>
      <c r="E969" s="132"/>
      <c r="F969" s="24"/>
      <c r="G969" s="346">
        <v>8000000873</v>
      </c>
      <c r="H969" s="125" t="s">
        <v>3808</v>
      </c>
      <c r="I969" s="329"/>
      <c r="J969" s="346">
        <v>8000000873</v>
      </c>
      <c r="K969" s="24"/>
      <c r="L969" s="24"/>
      <c r="M969" s="24"/>
      <c r="N969" s="340" t="s">
        <v>486</v>
      </c>
      <c r="O969" s="334">
        <v>207499</v>
      </c>
      <c r="P969" s="25" t="s">
        <v>343</v>
      </c>
      <c r="Q969" s="127" t="s">
        <v>231</v>
      </c>
      <c r="R969" s="230" t="s">
        <v>3809</v>
      </c>
      <c r="S969" s="89">
        <v>43942</v>
      </c>
      <c r="T969" s="36">
        <v>90</v>
      </c>
      <c r="U969" s="125" t="s">
        <v>118</v>
      </c>
      <c r="V969" s="147" t="s">
        <v>3809</v>
      </c>
      <c r="W969" s="129"/>
      <c r="X969" s="88">
        <v>44071</v>
      </c>
      <c r="Y969" s="130" t="s">
        <v>20</v>
      </c>
      <c r="Z969" s="133" t="s">
        <v>60</v>
      </c>
      <c r="AA969" s="133"/>
      <c r="AB969" s="241">
        <v>165</v>
      </c>
      <c r="AC969" s="240">
        <v>443</v>
      </c>
      <c r="AD969" s="240"/>
      <c r="AE969" s="403">
        <f t="shared" si="55"/>
        <v>73095</v>
      </c>
      <c r="AF969" s="132"/>
      <c r="AG969" s="130" t="s">
        <v>58</v>
      </c>
      <c r="AH969" s="130"/>
      <c r="AI969" s="130" t="s">
        <v>34</v>
      </c>
      <c r="AJ969" s="130"/>
      <c r="AK969" s="130"/>
      <c r="AL969" s="135" t="s">
        <v>3591</v>
      </c>
      <c r="AM969" s="314"/>
      <c r="AN969" s="26"/>
      <c r="AO969" s="26"/>
      <c r="AP969" s="26"/>
      <c r="AQ969" s="26">
        <v>44026</v>
      </c>
      <c r="AR969" s="24"/>
      <c r="AS969" s="24"/>
      <c r="AT969" s="24">
        <v>44032</v>
      </c>
      <c r="AU969" s="418">
        <f t="shared" si="56"/>
        <v>7</v>
      </c>
      <c r="AV969" s="418">
        <f t="shared" si="57"/>
        <v>2020</v>
      </c>
      <c r="AW969" s="24"/>
      <c r="AX969" s="28"/>
      <c r="AY969" s="28" t="s">
        <v>3199</v>
      </c>
      <c r="AZ969" s="132" t="s">
        <v>37</v>
      </c>
      <c r="BA969" s="132"/>
      <c r="BB969" s="24" t="s">
        <v>2956</v>
      </c>
      <c r="BC969" s="135" t="s">
        <v>3810</v>
      </c>
      <c r="BD969" s="24">
        <v>43982</v>
      </c>
      <c r="BE969" s="135" t="s">
        <v>3575</v>
      </c>
      <c r="BF969" s="135" t="s">
        <v>3575</v>
      </c>
      <c r="BG969" s="135" t="s">
        <v>52</v>
      </c>
      <c r="BH969" s="135"/>
      <c r="BI969" s="314" t="s">
        <v>124</v>
      </c>
      <c r="BJ969" s="314"/>
      <c r="BK969" s="24"/>
      <c r="BL969" s="24"/>
      <c r="BM969" s="24"/>
      <c r="BN969" s="24"/>
      <c r="BO969" s="24"/>
      <c r="BP969" s="24"/>
      <c r="BQ969" s="24"/>
      <c r="BR969" s="43"/>
      <c r="BS969" s="24"/>
      <c r="BT969" s="24"/>
      <c r="BU969" s="24"/>
      <c r="BV969" s="132" t="e">
        <f>IF(#REF!="COMPLETO","OK","PENDIENTES")</f>
        <v>#REF!</v>
      </c>
      <c r="BW969" s="325"/>
      <c r="BX969" s="325"/>
      <c r="BY969" s="325"/>
      <c r="BZ969" s="325"/>
      <c r="CA969" s="325"/>
      <c r="CB969" s="325"/>
      <c r="CC969" s="258"/>
      <c r="CG969" s="24" t="s">
        <v>105</v>
      </c>
      <c r="CH969" s="24"/>
      <c r="CI969" s="24"/>
      <c r="CJ969" s="24"/>
    </row>
    <row r="970" spans="1:88" ht="15" customHeight="1">
      <c r="A970" s="18">
        <v>2020</v>
      </c>
      <c r="B970" s="18" t="str">
        <f>+INDEX(BDD!F:F,MATCH(P970,BDD!D:D,0))&amp;"-"&amp;INDEX(BDD!E:E,MATCH(P970,BDD!D:D,0))</f>
        <v>G-S</v>
      </c>
      <c r="C970" s="125" t="s">
        <v>484</v>
      </c>
      <c r="D970" s="150" t="s">
        <v>77</v>
      </c>
      <c r="E970" s="132"/>
      <c r="F970" s="24"/>
      <c r="G970" s="346">
        <v>8000000820</v>
      </c>
      <c r="H970" s="125" t="s">
        <v>3811</v>
      </c>
      <c r="I970" s="329"/>
      <c r="J970" s="346">
        <v>8000000820</v>
      </c>
      <c r="K970" s="24"/>
      <c r="L970" s="24"/>
      <c r="M970" s="24"/>
      <c r="N970" s="340" t="s">
        <v>486</v>
      </c>
      <c r="O970" s="334">
        <v>206569</v>
      </c>
      <c r="P970" s="25" t="s">
        <v>142</v>
      </c>
      <c r="Q970" s="127" t="s">
        <v>42</v>
      </c>
      <c r="R970" s="232"/>
      <c r="S970" s="89">
        <v>43945</v>
      </c>
      <c r="T970" s="36" t="s">
        <v>19</v>
      </c>
      <c r="U970" s="125"/>
      <c r="V970" s="147" t="s">
        <v>3812</v>
      </c>
      <c r="W970" s="129"/>
      <c r="X970" s="88">
        <v>43994</v>
      </c>
      <c r="Y970" s="130" t="s">
        <v>20</v>
      </c>
      <c r="Z970" s="133" t="s">
        <v>60</v>
      </c>
      <c r="AA970" s="133"/>
      <c r="AB970" s="241">
        <v>2200</v>
      </c>
      <c r="AC970" s="134">
        <v>354</v>
      </c>
      <c r="AD970" s="134"/>
      <c r="AE970" s="403">
        <f t="shared" si="55"/>
        <v>778800</v>
      </c>
      <c r="AF970" s="132"/>
      <c r="AG970" s="130" t="s">
        <v>46</v>
      </c>
      <c r="AH970" s="130"/>
      <c r="AI970" s="130" t="s">
        <v>100</v>
      </c>
      <c r="AJ970" s="130"/>
      <c r="AK970" s="130"/>
      <c r="AL970" s="135" t="s">
        <v>3591</v>
      </c>
      <c r="AM970" s="314"/>
      <c r="AN970" s="26"/>
      <c r="AO970" s="26"/>
      <c r="AP970" s="26"/>
      <c r="AQ970" s="26">
        <v>44005</v>
      </c>
      <c r="AR970" s="24"/>
      <c r="AS970" s="24"/>
      <c r="AT970" s="24">
        <v>44006</v>
      </c>
      <c r="AU970" s="418">
        <f t="shared" si="56"/>
        <v>6</v>
      </c>
      <c r="AV970" s="418">
        <f t="shared" si="57"/>
        <v>2020</v>
      </c>
      <c r="AW970" s="24"/>
      <c r="AX970" s="28"/>
      <c r="AY970" s="28" t="s">
        <v>284</v>
      </c>
      <c r="AZ970" s="132" t="s">
        <v>62</v>
      </c>
      <c r="BA970" s="132"/>
      <c r="BB970" s="24" t="s">
        <v>3264</v>
      </c>
      <c r="BC970" s="135" t="s">
        <v>3813</v>
      </c>
      <c r="BD970" s="24">
        <v>43979</v>
      </c>
      <c r="BE970" s="135" t="s">
        <v>3814</v>
      </c>
      <c r="BF970" s="135" t="s">
        <v>3814</v>
      </c>
      <c r="BG970" s="135" t="s">
        <v>52</v>
      </c>
      <c r="BH970" s="135"/>
      <c r="BI970" s="314" t="s">
        <v>117</v>
      </c>
      <c r="BJ970" s="314"/>
      <c r="BK970" s="24"/>
      <c r="BL970" s="24"/>
      <c r="BM970" s="24"/>
      <c r="BN970" s="24"/>
      <c r="BO970" s="24"/>
      <c r="BP970" s="24"/>
      <c r="BQ970" s="24"/>
      <c r="BR970" s="43"/>
      <c r="BS970" s="24"/>
      <c r="BT970" s="24"/>
      <c r="BU970" s="24"/>
      <c r="BV970" s="132" t="e">
        <f>IF(#REF!="COMPLETO","OK","PENDIENTES")</f>
        <v>#REF!</v>
      </c>
      <c r="BW970" s="325"/>
      <c r="BX970" s="325"/>
      <c r="BY970" s="325"/>
      <c r="BZ970" s="325"/>
      <c r="CA970" s="325"/>
      <c r="CB970" s="325"/>
      <c r="CC970" s="258"/>
      <c r="CG970" s="24" t="s">
        <v>105</v>
      </c>
      <c r="CH970" s="24"/>
      <c r="CI970" s="24"/>
      <c r="CJ970" s="24"/>
    </row>
    <row r="971" spans="1:88" ht="15" customHeight="1">
      <c r="A971" s="18">
        <v>2020</v>
      </c>
      <c r="B971" s="18" t="str">
        <f>+INDEX(BDD!F:F,MATCH(P971,BDD!D:D,0))&amp;"-"&amp;INDEX(BDD!E:E,MATCH(P971,BDD!D:D,0))</f>
        <v>E-S</v>
      </c>
      <c r="C971" s="125" t="s">
        <v>484</v>
      </c>
      <c r="D971" s="150" t="s">
        <v>77</v>
      </c>
      <c r="E971" s="132"/>
      <c r="F971" s="24"/>
      <c r="G971" s="346">
        <v>8000000880</v>
      </c>
      <c r="H971" s="125" t="s">
        <v>3815</v>
      </c>
      <c r="I971" s="329"/>
      <c r="J971" s="346">
        <v>8000000880</v>
      </c>
      <c r="K971" s="24"/>
      <c r="L971" s="24"/>
      <c r="M971" s="24"/>
      <c r="N971" s="340" t="s">
        <v>486</v>
      </c>
      <c r="O971" s="334">
        <v>203820</v>
      </c>
      <c r="P971" s="25" t="s">
        <v>164</v>
      </c>
      <c r="Q971" s="127" t="s">
        <v>136</v>
      </c>
      <c r="R971" s="232" t="s">
        <v>3816</v>
      </c>
      <c r="S971" s="89">
        <v>43945</v>
      </c>
      <c r="T971" s="36" t="s">
        <v>19</v>
      </c>
      <c r="U971" s="125"/>
      <c r="V971" s="147" t="s">
        <v>3817</v>
      </c>
      <c r="W971" s="129"/>
      <c r="X971" s="88">
        <v>44007</v>
      </c>
      <c r="Y971" s="130" t="s">
        <v>20</v>
      </c>
      <c r="Z971" s="133" t="s">
        <v>60</v>
      </c>
      <c r="AA971" s="133"/>
      <c r="AB971" s="241">
        <v>81</v>
      </c>
      <c r="AC971" s="134">
        <v>1060</v>
      </c>
      <c r="AD971" s="134"/>
      <c r="AE971" s="403">
        <f t="shared" si="55"/>
        <v>85860</v>
      </c>
      <c r="AF971" s="132">
        <v>3</v>
      </c>
      <c r="AG971" s="130" t="s">
        <v>5</v>
      </c>
      <c r="AH971" s="130"/>
      <c r="AI971" s="130" t="s">
        <v>34</v>
      </c>
      <c r="AJ971" s="130"/>
      <c r="AK971" s="130"/>
      <c r="AL971" s="135" t="s">
        <v>3591</v>
      </c>
      <c r="AM971" s="314"/>
      <c r="AN971" s="26"/>
      <c r="AO971" s="26"/>
      <c r="AP971" s="26"/>
      <c r="AQ971" s="26">
        <v>44031</v>
      </c>
      <c r="AR971" s="24"/>
      <c r="AS971" s="24"/>
      <c r="AT971" s="24">
        <v>44034</v>
      </c>
      <c r="AU971" s="418">
        <f t="shared" si="56"/>
        <v>7</v>
      </c>
      <c r="AV971" s="418">
        <f t="shared" si="57"/>
        <v>2020</v>
      </c>
      <c r="AW971" s="24"/>
      <c r="AX971" s="28"/>
      <c r="AY971" s="28" t="s">
        <v>135</v>
      </c>
      <c r="AZ971" s="132" t="s">
        <v>37</v>
      </c>
      <c r="BA971" s="132"/>
      <c r="BB971" s="24" t="s">
        <v>2956</v>
      </c>
      <c r="BC971" s="132" t="s">
        <v>3818</v>
      </c>
      <c r="BD971" s="24">
        <v>43982</v>
      </c>
      <c r="BE971" s="135" t="s">
        <v>3819</v>
      </c>
      <c r="BF971" s="135" t="s">
        <v>3820</v>
      </c>
      <c r="BG971" s="135" t="s">
        <v>53</v>
      </c>
      <c r="BH971" s="135"/>
      <c r="BI971" s="314" t="s">
        <v>124</v>
      </c>
      <c r="BJ971" s="314"/>
      <c r="BK971" s="24"/>
      <c r="BL971" s="24"/>
      <c r="BM971" s="24"/>
      <c r="BN971" s="24"/>
      <c r="BO971" s="24">
        <f>+AQ971+15</f>
        <v>44046</v>
      </c>
      <c r="BP971" s="24"/>
      <c r="BQ971" s="24"/>
      <c r="BR971" s="43"/>
      <c r="BS971" s="24"/>
      <c r="BT971" s="24"/>
      <c r="BU971" s="24"/>
      <c r="BV971" s="132" t="e">
        <f>IF(#REF!="COMPLETO","OK","PENDIENTES")</f>
        <v>#REF!</v>
      </c>
      <c r="BW971" s="325"/>
      <c r="BX971" s="325"/>
      <c r="BY971" s="325"/>
      <c r="BZ971" s="325"/>
      <c r="CA971" s="325"/>
      <c r="CB971" s="325"/>
      <c r="CC971" s="258" t="s">
        <v>3821</v>
      </c>
      <c r="CG971" s="24" t="s">
        <v>105</v>
      </c>
      <c r="CH971" s="24"/>
      <c r="CI971" s="24"/>
      <c r="CJ971" s="24"/>
    </row>
    <row r="972" spans="1:88" ht="15" customHeight="1">
      <c r="A972" s="18">
        <v>2020</v>
      </c>
      <c r="B972" s="18" t="str">
        <f>+INDEX(BDD!F:F,MATCH(P972,BDD!D:D,0))&amp;"-"&amp;INDEX(BDD!E:E,MATCH(P972,BDD!D:D,0))</f>
        <v>E-S</v>
      </c>
      <c r="C972" s="125" t="s">
        <v>484</v>
      </c>
      <c r="D972" s="150" t="s">
        <v>77</v>
      </c>
      <c r="E972" s="132"/>
      <c r="F972" s="24"/>
      <c r="G972" s="346">
        <v>8000000867</v>
      </c>
      <c r="H972" s="125" t="s">
        <v>3822</v>
      </c>
      <c r="I972" s="329"/>
      <c r="J972" s="346">
        <v>8000000867</v>
      </c>
      <c r="K972" s="24"/>
      <c r="L972" s="24"/>
      <c r="M972" s="24"/>
      <c r="N972" s="340" t="s">
        <v>486</v>
      </c>
      <c r="O972" s="334">
        <v>203820</v>
      </c>
      <c r="P972" s="25" t="s">
        <v>164</v>
      </c>
      <c r="Q972" s="127" t="s">
        <v>136</v>
      </c>
      <c r="R972" s="232" t="s">
        <v>3816</v>
      </c>
      <c r="S972" s="89">
        <v>43945</v>
      </c>
      <c r="T972" s="36" t="s">
        <v>19</v>
      </c>
      <c r="U972" s="125"/>
      <c r="V972" s="147" t="s">
        <v>3823</v>
      </c>
      <c r="W972" s="129"/>
      <c r="X972" s="88">
        <v>44007</v>
      </c>
      <c r="Y972" s="130" t="s">
        <v>20</v>
      </c>
      <c r="Z972" s="133" t="s">
        <v>60</v>
      </c>
      <c r="AA972" s="133"/>
      <c r="AB972" s="241">
        <v>170.4</v>
      </c>
      <c r="AC972" s="134">
        <v>1078</v>
      </c>
      <c r="AD972" s="134"/>
      <c r="AE972" s="403">
        <f t="shared" si="55"/>
        <v>183691.2</v>
      </c>
      <c r="AF972" s="132">
        <v>6</v>
      </c>
      <c r="AG972" s="130" t="s">
        <v>5</v>
      </c>
      <c r="AH972" s="130"/>
      <c r="AI972" s="130" t="s">
        <v>34</v>
      </c>
      <c r="AJ972" s="130"/>
      <c r="AK972" s="130"/>
      <c r="AL972" s="135" t="s">
        <v>3591</v>
      </c>
      <c r="AM972" s="314"/>
      <c r="AN972" s="26"/>
      <c r="AO972" s="26"/>
      <c r="AP972" s="26"/>
      <c r="AQ972" s="26">
        <v>44020</v>
      </c>
      <c r="AR972" s="24"/>
      <c r="AS972" s="24"/>
      <c r="AT972" s="24">
        <v>44028</v>
      </c>
      <c r="AU972" s="418">
        <f t="shared" si="56"/>
        <v>7</v>
      </c>
      <c r="AV972" s="418">
        <f t="shared" si="57"/>
        <v>2020</v>
      </c>
      <c r="AW972" s="24"/>
      <c r="AX972" s="28"/>
      <c r="AY972" s="28" t="s">
        <v>311</v>
      </c>
      <c r="AZ972" s="132" t="s">
        <v>9</v>
      </c>
      <c r="BA972" s="132"/>
      <c r="BB972" s="24" t="s">
        <v>3264</v>
      </c>
      <c r="BC972" s="135" t="s">
        <v>3824</v>
      </c>
      <c r="BD972" s="24">
        <v>43984</v>
      </c>
      <c r="BE972" s="135" t="s">
        <v>3825</v>
      </c>
      <c r="BF972" s="135" t="s">
        <v>3825</v>
      </c>
      <c r="BG972" s="135" t="s">
        <v>29</v>
      </c>
      <c r="BH972" s="135"/>
      <c r="BI972" s="314" t="s">
        <v>124</v>
      </c>
      <c r="BJ972" s="314"/>
      <c r="BK972" s="24"/>
      <c r="BL972" s="24"/>
      <c r="BM972" s="24"/>
      <c r="BN972" s="24"/>
      <c r="BO972" s="24">
        <f>+AQ972+15</f>
        <v>44035</v>
      </c>
      <c r="BP972" s="24"/>
      <c r="BQ972" s="24"/>
      <c r="BR972" s="43"/>
      <c r="BS972" s="24"/>
      <c r="BT972" s="24"/>
      <c r="BU972" s="24"/>
      <c r="BV972" s="132" t="e">
        <f>IF(#REF!="COMPLETO","OK","PENDIENTES")</f>
        <v>#REF!</v>
      </c>
      <c r="BW972" s="325"/>
      <c r="BX972" s="325"/>
      <c r="BY972" s="325"/>
      <c r="BZ972" s="325"/>
      <c r="CA972" s="325"/>
      <c r="CB972" s="325"/>
      <c r="CC972" s="258"/>
      <c r="CG972" s="24" t="s">
        <v>105</v>
      </c>
      <c r="CH972" s="24"/>
      <c r="CI972" s="24"/>
      <c r="CJ972" s="24"/>
    </row>
    <row r="973" spans="1:88" ht="15" customHeight="1">
      <c r="A973" s="18">
        <v>2020</v>
      </c>
      <c r="B973" s="18" t="str">
        <f>+INDEX(BDD!F:F,MATCH(P973,BDD!D:D,0))&amp;"-"&amp;INDEX(BDD!E:E,MATCH(P973,BDD!D:D,0))</f>
        <v>E-S</v>
      </c>
      <c r="C973" s="125" t="s">
        <v>484</v>
      </c>
      <c r="D973" s="150" t="s">
        <v>77</v>
      </c>
      <c r="E973" s="132"/>
      <c r="F973" s="24"/>
      <c r="G973" s="346">
        <v>8000000800</v>
      </c>
      <c r="H973" s="125" t="s">
        <v>3826</v>
      </c>
      <c r="I973" s="329"/>
      <c r="J973" s="346">
        <v>8000000800</v>
      </c>
      <c r="K973" s="24"/>
      <c r="L973" s="24"/>
      <c r="M973" s="24"/>
      <c r="N973" s="340" t="s">
        <v>486</v>
      </c>
      <c r="O973" s="334">
        <v>203634</v>
      </c>
      <c r="P973" s="25" t="s">
        <v>388</v>
      </c>
      <c r="Q973" s="127" t="s">
        <v>115</v>
      </c>
      <c r="R973" s="232"/>
      <c r="S973" s="89">
        <v>43949</v>
      </c>
      <c r="T973" s="36">
        <v>60</v>
      </c>
      <c r="U973" s="125" t="s">
        <v>118</v>
      </c>
      <c r="V973" s="147" t="s">
        <v>3827</v>
      </c>
      <c r="W973" s="129"/>
      <c r="X973" s="88">
        <v>44028</v>
      </c>
      <c r="Y973" s="130" t="s">
        <v>20</v>
      </c>
      <c r="Z973" s="133" t="s">
        <v>60</v>
      </c>
      <c r="AA973" s="133"/>
      <c r="AB973" s="241">
        <v>25</v>
      </c>
      <c r="AC973" s="134">
        <v>860</v>
      </c>
      <c r="AD973" s="134"/>
      <c r="AE973" s="403">
        <f t="shared" si="55"/>
        <v>21500</v>
      </c>
      <c r="AF973" s="132">
        <v>1</v>
      </c>
      <c r="AG973" s="130" t="s">
        <v>21</v>
      </c>
      <c r="AH973" s="130"/>
      <c r="AI973" s="130" t="s">
        <v>71</v>
      </c>
      <c r="AJ973" s="130"/>
      <c r="AK973" s="130"/>
      <c r="AL973" s="135" t="s">
        <v>3591</v>
      </c>
      <c r="AM973" s="314"/>
      <c r="AN973" s="26"/>
      <c r="AO973" s="26"/>
      <c r="AP973" s="26"/>
      <c r="AQ973" s="26">
        <v>43987</v>
      </c>
      <c r="AR973" s="24"/>
      <c r="AS973" s="24"/>
      <c r="AT973" s="24">
        <v>43990</v>
      </c>
      <c r="AU973" s="418">
        <f t="shared" si="56"/>
        <v>6</v>
      </c>
      <c r="AV973" s="418">
        <f t="shared" si="57"/>
        <v>2020</v>
      </c>
      <c r="AW973" s="24"/>
      <c r="AX973" s="28"/>
      <c r="AY973" s="28" t="s">
        <v>3829</v>
      </c>
      <c r="AZ973" s="132" t="s">
        <v>37</v>
      </c>
      <c r="BA973" s="132"/>
      <c r="BB973" s="24" t="s">
        <v>2956</v>
      </c>
      <c r="BC973" s="135" t="s">
        <v>3828</v>
      </c>
      <c r="BD973" s="24">
        <v>43970</v>
      </c>
      <c r="BE973" s="135" t="s">
        <v>3830</v>
      </c>
      <c r="BF973" s="135" t="s">
        <v>3830</v>
      </c>
      <c r="BG973" s="135" t="s">
        <v>29</v>
      </c>
      <c r="BH973" s="135"/>
      <c r="BI973" s="314" t="s">
        <v>124</v>
      </c>
      <c r="BJ973" s="314"/>
      <c r="BK973" s="24"/>
      <c r="BL973" s="24"/>
      <c r="BM973" s="24"/>
      <c r="BN973" s="24"/>
      <c r="BO973" s="24"/>
      <c r="BP973" s="24"/>
      <c r="BQ973" s="24"/>
      <c r="BR973" s="43"/>
      <c r="BS973" s="24"/>
      <c r="BT973" s="24"/>
      <c r="BU973" s="24"/>
      <c r="BV973" s="132" t="e">
        <f>IF(#REF!="COMPLETO","OK","PENDIENTES")</f>
        <v>#REF!</v>
      </c>
      <c r="BW973" s="325"/>
      <c r="BX973" s="325"/>
      <c r="BY973" s="325"/>
      <c r="BZ973" s="325"/>
      <c r="CA973" s="325"/>
      <c r="CB973" s="325"/>
      <c r="CC973" s="258"/>
      <c r="CG973" s="24" t="s">
        <v>105</v>
      </c>
      <c r="CH973" s="24"/>
      <c r="CI973" s="24"/>
      <c r="CJ973" s="24"/>
    </row>
    <row r="974" spans="1:88" ht="15" customHeight="1">
      <c r="A974" s="18">
        <v>2020</v>
      </c>
      <c r="B974" s="18" t="str">
        <f>+INDEX(BDD!F:F,MATCH(P974,BDD!D:D,0))&amp;"-"&amp;INDEX(BDD!E:E,MATCH(P974,BDD!D:D,0))</f>
        <v>G-S</v>
      </c>
      <c r="C974" s="125" t="s">
        <v>484</v>
      </c>
      <c r="D974" s="150" t="s">
        <v>77</v>
      </c>
      <c r="E974" s="132"/>
      <c r="F974" s="24"/>
      <c r="G974" s="346">
        <v>8000000838</v>
      </c>
      <c r="H974" s="125" t="s">
        <v>3831</v>
      </c>
      <c r="I974" s="329"/>
      <c r="J974" s="346">
        <v>8000000838</v>
      </c>
      <c r="K974" s="24"/>
      <c r="L974" s="24"/>
      <c r="M974" s="24"/>
      <c r="N974" s="340" t="s">
        <v>486</v>
      </c>
      <c r="O974" s="334">
        <v>207951</v>
      </c>
      <c r="P974" s="25" t="s">
        <v>354</v>
      </c>
      <c r="Q974" s="127" t="s">
        <v>294</v>
      </c>
      <c r="R974" s="232" t="s">
        <v>544</v>
      </c>
      <c r="S974" s="89">
        <v>43952</v>
      </c>
      <c r="T974" s="36">
        <v>150</v>
      </c>
      <c r="U974" s="125" t="s">
        <v>118</v>
      </c>
      <c r="V974" s="147" t="s">
        <v>3832</v>
      </c>
      <c r="W974" s="129"/>
      <c r="X974" s="88">
        <v>44140</v>
      </c>
      <c r="Y974" s="130" t="s">
        <v>20</v>
      </c>
      <c r="Z974" s="133" t="s">
        <v>60</v>
      </c>
      <c r="AA974" s="133"/>
      <c r="AB974" s="241">
        <v>1430</v>
      </c>
      <c r="AC974" s="134">
        <v>249.1</v>
      </c>
      <c r="AD974" s="134"/>
      <c r="AE974" s="403">
        <f t="shared" si="55"/>
        <v>356213</v>
      </c>
      <c r="AF974" s="132"/>
      <c r="AG974" s="130" t="s">
        <v>46</v>
      </c>
      <c r="AH974" s="130"/>
      <c r="AI974" s="130" t="s">
        <v>100</v>
      </c>
      <c r="AJ974" s="130"/>
      <c r="AK974" s="130"/>
      <c r="AL974" s="135" t="s">
        <v>3779</v>
      </c>
      <c r="AM974" s="314"/>
      <c r="AN974" s="26"/>
      <c r="AO974" s="26"/>
      <c r="AP974" s="26"/>
      <c r="AQ974" s="26">
        <v>44011</v>
      </c>
      <c r="AR974" s="24"/>
      <c r="AS974" s="24"/>
      <c r="AT974" s="24">
        <v>44013</v>
      </c>
      <c r="AU974" s="418">
        <f t="shared" si="56"/>
        <v>7</v>
      </c>
      <c r="AV974" s="418">
        <f t="shared" si="57"/>
        <v>2020</v>
      </c>
      <c r="AW974" s="24"/>
      <c r="AX974" s="28"/>
      <c r="AY974" s="28" t="s">
        <v>296</v>
      </c>
      <c r="AZ974" s="132" t="s">
        <v>9</v>
      </c>
      <c r="BA974" s="132"/>
      <c r="BB974" s="24" t="s">
        <v>3264</v>
      </c>
      <c r="BC974" s="135">
        <v>16</v>
      </c>
      <c r="BD974" s="24">
        <v>43988</v>
      </c>
      <c r="BE974" s="135" t="s">
        <v>3833</v>
      </c>
      <c r="BF974" s="135" t="s">
        <v>3833</v>
      </c>
      <c r="BG974" s="135" t="s">
        <v>52</v>
      </c>
      <c r="BH974" s="135"/>
      <c r="BI974" s="314" t="s">
        <v>117</v>
      </c>
      <c r="BJ974" s="314"/>
      <c r="BK974" s="24"/>
      <c r="BL974" s="24"/>
      <c r="BM974" s="24"/>
      <c r="BN974" s="24"/>
      <c r="BO974" s="24"/>
      <c r="BP974" s="24"/>
      <c r="BQ974" s="24"/>
      <c r="BR974" s="43"/>
      <c r="BS974" s="24"/>
      <c r="BT974" s="24"/>
      <c r="BU974" s="24"/>
      <c r="BV974" s="132" t="e">
        <f>IF(#REF!="COMPLETO","OK","PENDIENTES")</f>
        <v>#REF!</v>
      </c>
      <c r="BW974" s="325"/>
      <c r="BX974" s="325"/>
      <c r="BY974" s="325"/>
      <c r="BZ974" s="325"/>
      <c r="CA974" s="325"/>
      <c r="CB974" s="325"/>
      <c r="CC974" s="258"/>
      <c r="CG974" s="24" t="s">
        <v>105</v>
      </c>
      <c r="CH974" s="24"/>
      <c r="CI974" s="24"/>
      <c r="CJ974" s="24"/>
    </row>
    <row r="975" spans="1:88" ht="15" customHeight="1">
      <c r="A975" s="18">
        <v>2020</v>
      </c>
      <c r="B975" s="18" t="str">
        <f>+INDEX(BDD!F:F,MATCH(P975,BDD!D:D,0))&amp;"-"&amp;INDEX(BDD!E:E,MATCH(P975,BDD!D:D,0))</f>
        <v>G-S</v>
      </c>
      <c r="C975" s="125" t="s">
        <v>484</v>
      </c>
      <c r="D975" s="150" t="s">
        <v>77</v>
      </c>
      <c r="E975" s="132"/>
      <c r="F975" s="24"/>
      <c r="G975" s="346">
        <v>8000000846</v>
      </c>
      <c r="H975" s="125" t="s">
        <v>3834</v>
      </c>
      <c r="I975" s="329"/>
      <c r="J975" s="346">
        <v>8000000846</v>
      </c>
      <c r="K975" s="24"/>
      <c r="L975" s="24"/>
      <c r="M975" s="24"/>
      <c r="N975" s="340" t="s">
        <v>486</v>
      </c>
      <c r="O975" s="334">
        <v>207951</v>
      </c>
      <c r="P975" s="25" t="s">
        <v>354</v>
      </c>
      <c r="Q975" s="127" t="s">
        <v>294</v>
      </c>
      <c r="R975" s="232" t="s">
        <v>544</v>
      </c>
      <c r="S975" s="89">
        <v>43952</v>
      </c>
      <c r="T975" s="36">
        <v>150</v>
      </c>
      <c r="U975" s="125" t="s">
        <v>118</v>
      </c>
      <c r="V975" s="147" t="s">
        <v>3835</v>
      </c>
      <c r="W975" s="129"/>
      <c r="X975" s="88">
        <v>44140</v>
      </c>
      <c r="Y975" s="130" t="s">
        <v>20</v>
      </c>
      <c r="Z975" s="133" t="s">
        <v>60</v>
      </c>
      <c r="AA975" s="133"/>
      <c r="AB975" s="241">
        <v>3510</v>
      </c>
      <c r="AC975" s="134">
        <v>249.1</v>
      </c>
      <c r="AD975" s="134"/>
      <c r="AE975" s="403">
        <f t="shared" si="55"/>
        <v>874341</v>
      </c>
      <c r="AF975" s="132"/>
      <c r="AG975" s="130" t="s">
        <v>46</v>
      </c>
      <c r="AH975" s="130"/>
      <c r="AI975" s="130" t="s">
        <v>100</v>
      </c>
      <c r="AJ975" s="130"/>
      <c r="AK975" s="130"/>
      <c r="AL975" s="135" t="s">
        <v>3779</v>
      </c>
      <c r="AM975" s="314"/>
      <c r="AN975" s="26"/>
      <c r="AO975" s="26"/>
      <c r="AP975" s="26"/>
      <c r="AQ975" s="26">
        <v>44014</v>
      </c>
      <c r="AR975" s="24"/>
      <c r="AS975" s="24"/>
      <c r="AT975" s="24">
        <v>44015</v>
      </c>
      <c r="AU975" s="418">
        <f t="shared" si="56"/>
        <v>7</v>
      </c>
      <c r="AV975" s="418">
        <f t="shared" si="57"/>
        <v>2020</v>
      </c>
      <c r="AW975" s="24"/>
      <c r="AX975" s="28"/>
      <c r="AY975" s="28" t="s">
        <v>296</v>
      </c>
      <c r="AZ975" s="132" t="s">
        <v>25</v>
      </c>
      <c r="BA975" s="132"/>
      <c r="BB975" s="24" t="s">
        <v>3264</v>
      </c>
      <c r="BC975" s="135">
        <v>17</v>
      </c>
      <c r="BD975" s="24">
        <v>43988</v>
      </c>
      <c r="BE975" s="135" t="s">
        <v>3833</v>
      </c>
      <c r="BF975" s="135" t="s">
        <v>3833</v>
      </c>
      <c r="BG975" s="135" t="s">
        <v>52</v>
      </c>
      <c r="BH975" s="135"/>
      <c r="BI975" s="314" t="s">
        <v>117</v>
      </c>
      <c r="BJ975" s="314"/>
      <c r="BK975" s="24"/>
      <c r="BL975" s="24"/>
      <c r="BM975" s="24"/>
      <c r="BN975" s="24"/>
      <c r="BO975" s="24"/>
      <c r="BP975" s="24"/>
      <c r="BQ975" s="24"/>
      <c r="BR975" s="43"/>
      <c r="BS975" s="24"/>
      <c r="BT975" s="24"/>
      <c r="BU975" s="24"/>
      <c r="BV975" s="132" t="e">
        <f>IF(#REF!="COMPLETO","OK","PENDIENTES")</f>
        <v>#REF!</v>
      </c>
      <c r="BW975" s="325"/>
      <c r="BX975" s="325"/>
      <c r="BY975" s="325"/>
      <c r="BZ975" s="325"/>
      <c r="CA975" s="325"/>
      <c r="CB975" s="325"/>
      <c r="CC975" s="258"/>
      <c r="CG975" s="24" t="s">
        <v>105</v>
      </c>
      <c r="CH975" s="24"/>
      <c r="CI975" s="24"/>
      <c r="CJ975" s="24"/>
    </row>
    <row r="976" spans="1:88" ht="15" customHeight="1">
      <c r="A976" s="18">
        <v>2020</v>
      </c>
      <c r="B976" s="18" t="str">
        <f>+INDEX(BDD!F:F,MATCH(P976,BDD!D:D,0))&amp;"-"&amp;INDEX(BDD!E:E,MATCH(P976,BDD!D:D,0))</f>
        <v>G-S</v>
      </c>
      <c r="C976" s="125" t="s">
        <v>484</v>
      </c>
      <c r="D976" s="150" t="s">
        <v>77</v>
      </c>
      <c r="E976" s="132"/>
      <c r="F976" s="24"/>
      <c r="G976" s="346">
        <v>8000000842</v>
      </c>
      <c r="H976" s="125" t="s">
        <v>3836</v>
      </c>
      <c r="I976" s="329"/>
      <c r="J976" s="346">
        <v>8000000842</v>
      </c>
      <c r="K976" s="24"/>
      <c r="L976" s="24"/>
      <c r="M976" s="24"/>
      <c r="N976" s="340" t="s">
        <v>486</v>
      </c>
      <c r="O976" s="334">
        <v>207951</v>
      </c>
      <c r="P976" s="25" t="s">
        <v>354</v>
      </c>
      <c r="Q976" s="127" t="s">
        <v>294</v>
      </c>
      <c r="R976" s="232" t="s">
        <v>544</v>
      </c>
      <c r="S976" s="89">
        <v>43952</v>
      </c>
      <c r="T976" s="36">
        <v>150</v>
      </c>
      <c r="U976" s="125" t="s">
        <v>118</v>
      </c>
      <c r="V976" s="147" t="s">
        <v>3837</v>
      </c>
      <c r="W976" s="129"/>
      <c r="X976" s="88">
        <v>44140</v>
      </c>
      <c r="Y976" s="130" t="s">
        <v>20</v>
      </c>
      <c r="Z976" s="133" t="s">
        <v>60</v>
      </c>
      <c r="AA976" s="133"/>
      <c r="AB976" s="241">
        <v>3060</v>
      </c>
      <c r="AC976" s="134">
        <v>249.1</v>
      </c>
      <c r="AD976" s="134"/>
      <c r="AE976" s="403">
        <f t="shared" si="55"/>
        <v>762246</v>
      </c>
      <c r="AF976" s="132"/>
      <c r="AG976" s="130" t="s">
        <v>46</v>
      </c>
      <c r="AH976" s="130"/>
      <c r="AI976" s="130" t="s">
        <v>100</v>
      </c>
      <c r="AJ976" s="130"/>
      <c r="AK976" s="130"/>
      <c r="AL976" s="135" t="s">
        <v>3779</v>
      </c>
      <c r="AM976" s="314"/>
      <c r="AN976" s="26"/>
      <c r="AO976" s="26"/>
      <c r="AP976" s="26"/>
      <c r="AQ976" s="26">
        <v>44017</v>
      </c>
      <c r="AR976" s="24"/>
      <c r="AS976" s="24"/>
      <c r="AT976" s="24">
        <v>44015</v>
      </c>
      <c r="AU976" s="418">
        <f t="shared" si="56"/>
        <v>7</v>
      </c>
      <c r="AV976" s="418">
        <f t="shared" si="57"/>
        <v>2020</v>
      </c>
      <c r="AW976" s="24"/>
      <c r="AX976" s="28"/>
      <c r="AY976" s="28" t="s">
        <v>296</v>
      </c>
      <c r="AZ976" s="132" t="s">
        <v>37</v>
      </c>
      <c r="BA976" s="132"/>
      <c r="BB976" s="24" t="s">
        <v>2956</v>
      </c>
      <c r="BC976" s="135">
        <v>18</v>
      </c>
      <c r="BD976" s="24">
        <v>43988</v>
      </c>
      <c r="BE976" s="135" t="s">
        <v>3833</v>
      </c>
      <c r="BF976" s="135" t="s">
        <v>3833</v>
      </c>
      <c r="BG976" s="135" t="s">
        <v>52</v>
      </c>
      <c r="BH976" s="135"/>
      <c r="BI976" s="314" t="s">
        <v>117</v>
      </c>
      <c r="BJ976" s="314"/>
      <c r="BK976" s="24"/>
      <c r="BL976" s="24"/>
      <c r="BM976" s="24"/>
      <c r="BN976" s="24"/>
      <c r="BO976" s="24"/>
      <c r="BP976" s="24"/>
      <c r="BQ976" s="24"/>
      <c r="BR976" s="43"/>
      <c r="BS976" s="24"/>
      <c r="BT976" s="24"/>
      <c r="BU976" s="24"/>
      <c r="BV976" s="132" t="e">
        <f>IF(#REF!="COMPLETO","OK","PENDIENTES")</f>
        <v>#REF!</v>
      </c>
      <c r="BW976" s="325"/>
      <c r="BX976" s="325"/>
      <c r="BY976" s="325"/>
      <c r="BZ976" s="325"/>
      <c r="CA976" s="325"/>
      <c r="CB976" s="325"/>
      <c r="CC976" s="258"/>
      <c r="CG976" s="24" t="s">
        <v>105</v>
      </c>
      <c r="CH976" s="24"/>
      <c r="CI976" s="24"/>
      <c r="CJ976" s="24"/>
    </row>
    <row r="977" spans="1:88" ht="15" customHeight="1">
      <c r="A977" s="18">
        <v>2020</v>
      </c>
      <c r="B977" s="18" t="str">
        <f>+INDEX(BDD!F:F,MATCH(P977,BDD!D:D,0))&amp;"-"&amp;INDEX(BDD!E:E,MATCH(P977,BDD!D:D,0))</f>
        <v>G-S</v>
      </c>
      <c r="C977" s="125" t="s">
        <v>484</v>
      </c>
      <c r="D977" s="150" t="s">
        <v>77</v>
      </c>
      <c r="E977" s="132"/>
      <c r="F977" s="24"/>
      <c r="G977" s="346">
        <v>8000000844</v>
      </c>
      <c r="H977" s="125" t="s">
        <v>3838</v>
      </c>
      <c r="I977" s="329"/>
      <c r="J977" s="346">
        <v>8000000844</v>
      </c>
      <c r="K977" s="24"/>
      <c r="L977" s="24"/>
      <c r="M977" s="24"/>
      <c r="N977" s="340" t="s">
        <v>486</v>
      </c>
      <c r="O977" s="334">
        <v>207951</v>
      </c>
      <c r="P977" s="25" t="s">
        <v>354</v>
      </c>
      <c r="Q977" s="127" t="s">
        <v>294</v>
      </c>
      <c r="R977" s="232" t="s">
        <v>544</v>
      </c>
      <c r="S977" s="89">
        <v>43952</v>
      </c>
      <c r="T977" s="36">
        <v>150</v>
      </c>
      <c r="U977" s="125" t="s">
        <v>118</v>
      </c>
      <c r="V977" s="147" t="s">
        <v>3839</v>
      </c>
      <c r="W977" s="129"/>
      <c r="X977" s="88">
        <v>44140</v>
      </c>
      <c r="Y977" s="130" t="s">
        <v>20</v>
      </c>
      <c r="Z977" s="133" t="s">
        <v>60</v>
      </c>
      <c r="AA977" s="133"/>
      <c r="AB977" s="241">
        <v>1000</v>
      </c>
      <c r="AC977" s="134">
        <v>249.1</v>
      </c>
      <c r="AD977" s="134"/>
      <c r="AE977" s="403">
        <f t="shared" si="55"/>
        <v>249100</v>
      </c>
      <c r="AF977" s="132" t="s">
        <v>944</v>
      </c>
      <c r="AG977" s="130" t="s">
        <v>46</v>
      </c>
      <c r="AH977" s="130"/>
      <c r="AI977" s="130" t="s">
        <v>100</v>
      </c>
      <c r="AJ977" s="130"/>
      <c r="AK977" s="130"/>
      <c r="AL977" s="135" t="s">
        <v>3779</v>
      </c>
      <c r="AM977" s="314"/>
      <c r="AN977" s="26"/>
      <c r="AO977" s="26"/>
      <c r="AP977" s="26"/>
      <c r="AQ977" s="26">
        <v>44021</v>
      </c>
      <c r="AR977" s="24"/>
      <c r="AS977" s="24"/>
      <c r="AT977" s="24">
        <v>44022</v>
      </c>
      <c r="AU977" s="418">
        <f t="shared" si="56"/>
        <v>7</v>
      </c>
      <c r="AV977" s="418">
        <f t="shared" si="57"/>
        <v>2020</v>
      </c>
      <c r="AW977" s="24"/>
      <c r="AX977" s="28"/>
      <c r="AY977" s="28" t="s">
        <v>296</v>
      </c>
      <c r="AZ977" s="132" t="s">
        <v>62</v>
      </c>
      <c r="BA977" s="132"/>
      <c r="BB977" s="24" t="s">
        <v>3264</v>
      </c>
      <c r="BC977" s="135">
        <v>19</v>
      </c>
      <c r="BD977" s="24">
        <v>43988</v>
      </c>
      <c r="BE977" s="135" t="s">
        <v>3833</v>
      </c>
      <c r="BF977" s="135" t="s">
        <v>3833</v>
      </c>
      <c r="BG977" s="135" t="s">
        <v>52</v>
      </c>
      <c r="BH977" s="135"/>
      <c r="BI977" s="314" t="s">
        <v>117</v>
      </c>
      <c r="BJ977" s="314"/>
      <c r="BK977" s="24"/>
      <c r="BL977" s="24"/>
      <c r="BM977" s="24"/>
      <c r="BN977" s="24"/>
      <c r="BO977" s="24"/>
      <c r="BP977" s="24"/>
      <c r="BQ977" s="24"/>
      <c r="BR977" s="43"/>
      <c r="BS977" s="24"/>
      <c r="BT977" s="24"/>
      <c r="BU977" s="24"/>
      <c r="BV977" s="132" t="e">
        <f>IF(#REF!="COMPLETO","OK","PENDIENTES")</f>
        <v>#REF!</v>
      </c>
      <c r="BW977" s="325"/>
      <c r="BX977" s="325"/>
      <c r="BY977" s="325"/>
      <c r="BZ977" s="325"/>
      <c r="CA977" s="325"/>
      <c r="CB977" s="325"/>
      <c r="CC977" s="258"/>
      <c r="CG977" s="24" t="s">
        <v>105</v>
      </c>
      <c r="CH977" s="24"/>
      <c r="CI977" s="24"/>
      <c r="CJ977" s="24"/>
    </row>
    <row r="978" spans="1:88" ht="15" customHeight="1">
      <c r="A978" s="18">
        <v>2020</v>
      </c>
      <c r="B978" s="18" t="str">
        <f>+INDEX(BDD!F:F,MATCH(P978,BDD!D:D,0))&amp;"-"&amp;INDEX(BDD!E:E,MATCH(P978,BDD!D:D,0))</f>
        <v>G-S</v>
      </c>
      <c r="C978" s="125" t="s">
        <v>484</v>
      </c>
      <c r="D978" s="150" t="s">
        <v>77</v>
      </c>
      <c r="E978" s="132"/>
      <c r="F978" s="24"/>
      <c r="G978" s="346">
        <v>8000000839</v>
      </c>
      <c r="H978" s="125" t="s">
        <v>3840</v>
      </c>
      <c r="I978" s="329"/>
      <c r="J978" s="346">
        <v>8000000839</v>
      </c>
      <c r="K978" s="24"/>
      <c r="L978" s="24"/>
      <c r="M978" s="24"/>
      <c r="N978" s="340" t="s">
        <v>486</v>
      </c>
      <c r="O978" s="334">
        <v>207485</v>
      </c>
      <c r="P978" s="25" t="s">
        <v>353</v>
      </c>
      <c r="Q978" s="127" t="s">
        <v>294</v>
      </c>
      <c r="R978" s="232" t="s">
        <v>544</v>
      </c>
      <c r="S978" s="89">
        <v>43952</v>
      </c>
      <c r="T978" s="36">
        <v>150</v>
      </c>
      <c r="U978" s="125" t="s">
        <v>118</v>
      </c>
      <c r="V978" s="147" t="s">
        <v>3841</v>
      </c>
      <c r="W978" s="129"/>
      <c r="X978" s="88">
        <v>44134</v>
      </c>
      <c r="Y978" s="130" t="s">
        <v>20</v>
      </c>
      <c r="Z978" s="133" t="s">
        <v>60</v>
      </c>
      <c r="AA978" s="133"/>
      <c r="AB978" s="241">
        <v>2000</v>
      </c>
      <c r="AC978" s="134">
        <v>254.2</v>
      </c>
      <c r="AD978" s="134"/>
      <c r="AE978" s="403">
        <f t="shared" si="55"/>
        <v>508400</v>
      </c>
      <c r="AF978" s="132"/>
      <c r="AG978" s="130" t="s">
        <v>46</v>
      </c>
      <c r="AH978" s="130"/>
      <c r="AI978" s="130" t="s">
        <v>100</v>
      </c>
      <c r="AJ978" s="130"/>
      <c r="AK978" s="130"/>
      <c r="AL978" s="135" t="s">
        <v>3779</v>
      </c>
      <c r="AM978" s="314"/>
      <c r="AN978" s="26"/>
      <c r="AO978" s="26"/>
      <c r="AP978" s="26"/>
      <c r="AQ978" s="26">
        <v>44011</v>
      </c>
      <c r="AR978" s="24"/>
      <c r="AS978" s="24"/>
      <c r="AT978" s="24">
        <v>44013</v>
      </c>
      <c r="AU978" s="418">
        <f t="shared" si="56"/>
        <v>7</v>
      </c>
      <c r="AV978" s="418">
        <f t="shared" si="57"/>
        <v>2020</v>
      </c>
      <c r="AW978" s="24"/>
      <c r="AX978" s="28"/>
      <c r="AY978" s="28" t="s">
        <v>296</v>
      </c>
      <c r="AZ978" s="132" t="s">
        <v>9</v>
      </c>
      <c r="BA978" s="132"/>
      <c r="BB978" s="24" t="s">
        <v>3519</v>
      </c>
      <c r="BC978" s="135">
        <v>20</v>
      </c>
      <c r="BD978" s="24">
        <v>43988</v>
      </c>
      <c r="BE978" s="135" t="s">
        <v>3833</v>
      </c>
      <c r="BF978" s="135" t="s">
        <v>3833</v>
      </c>
      <c r="BG978" s="135" t="s">
        <v>52</v>
      </c>
      <c r="BH978" s="135"/>
      <c r="BI978" s="314" t="s">
        <v>117</v>
      </c>
      <c r="BJ978" s="314"/>
      <c r="BK978" s="24"/>
      <c r="BL978" s="24"/>
      <c r="BM978" s="24"/>
      <c r="BN978" s="24"/>
      <c r="BO978" s="24"/>
      <c r="BP978" s="24"/>
      <c r="BQ978" s="24"/>
      <c r="BR978" s="43"/>
      <c r="BS978" s="24"/>
      <c r="BT978" s="24"/>
      <c r="BU978" s="24"/>
      <c r="BV978" s="132" t="e">
        <f>IF(#REF!="COMPLETO","OK","PENDIENTES")</f>
        <v>#REF!</v>
      </c>
      <c r="BW978" s="325"/>
      <c r="BX978" s="325"/>
      <c r="BY978" s="325"/>
      <c r="BZ978" s="325"/>
      <c r="CA978" s="325"/>
      <c r="CB978" s="325"/>
      <c r="CC978" s="258"/>
      <c r="CG978" s="24" t="s">
        <v>105</v>
      </c>
      <c r="CH978" s="24"/>
      <c r="CI978" s="24"/>
      <c r="CJ978" s="24"/>
    </row>
    <row r="979" spans="1:88" ht="15" customHeight="1">
      <c r="A979" s="18">
        <v>2020</v>
      </c>
      <c r="B979" s="18" t="str">
        <f>+INDEX(BDD!F:F,MATCH(P979,BDD!D:D,0))&amp;"-"&amp;INDEX(BDD!E:E,MATCH(P979,BDD!D:D,0))</f>
        <v>G-S</v>
      </c>
      <c r="C979" s="125" t="s">
        <v>484</v>
      </c>
      <c r="D979" s="150" t="s">
        <v>77</v>
      </c>
      <c r="E979" s="132"/>
      <c r="F979" s="24"/>
      <c r="G979" s="346">
        <v>8000000841</v>
      </c>
      <c r="H979" s="125" t="s">
        <v>3842</v>
      </c>
      <c r="I979" s="329"/>
      <c r="J979" s="346">
        <v>8000000841</v>
      </c>
      <c r="K979" s="24"/>
      <c r="L979" s="24"/>
      <c r="M979" s="24"/>
      <c r="N979" s="340" t="s">
        <v>486</v>
      </c>
      <c r="O979" s="334">
        <v>207485</v>
      </c>
      <c r="P979" s="25" t="s">
        <v>353</v>
      </c>
      <c r="Q979" s="127" t="s">
        <v>294</v>
      </c>
      <c r="R979" s="232" t="s">
        <v>544</v>
      </c>
      <c r="S979" s="89">
        <v>43952</v>
      </c>
      <c r="T979" s="36">
        <v>150</v>
      </c>
      <c r="U979" s="125" t="s">
        <v>118</v>
      </c>
      <c r="V979" s="147" t="s">
        <v>3843</v>
      </c>
      <c r="W979" s="129"/>
      <c r="X979" s="88">
        <v>44134</v>
      </c>
      <c r="Y979" s="130" t="s">
        <v>20</v>
      </c>
      <c r="Z979" s="133" t="s">
        <v>60</v>
      </c>
      <c r="AA979" s="133"/>
      <c r="AB979" s="241">
        <v>1000</v>
      </c>
      <c r="AC979" s="134">
        <v>254.2</v>
      </c>
      <c r="AD979" s="134"/>
      <c r="AE979" s="403">
        <f t="shared" si="55"/>
        <v>254200</v>
      </c>
      <c r="AF979" s="132"/>
      <c r="AG979" s="130" t="s">
        <v>46</v>
      </c>
      <c r="AH979" s="130"/>
      <c r="AI979" s="130" t="s">
        <v>100</v>
      </c>
      <c r="AJ979" s="130"/>
      <c r="AK979" s="130"/>
      <c r="AL979" s="135" t="s">
        <v>3779</v>
      </c>
      <c r="AM979" s="314"/>
      <c r="AN979" s="26"/>
      <c r="AO979" s="26"/>
      <c r="AP979" s="26"/>
      <c r="AQ979" s="26">
        <v>44014</v>
      </c>
      <c r="AR979" s="24"/>
      <c r="AS979" s="24"/>
      <c r="AT979" s="24">
        <v>44016</v>
      </c>
      <c r="AU979" s="418">
        <f t="shared" si="56"/>
        <v>7</v>
      </c>
      <c r="AV979" s="418">
        <f t="shared" si="57"/>
        <v>2020</v>
      </c>
      <c r="AW979" s="24"/>
      <c r="AX979" s="28"/>
      <c r="AY979" s="28" t="s">
        <v>296</v>
      </c>
      <c r="AZ979" s="132" t="s">
        <v>25</v>
      </c>
      <c r="BA979" s="132"/>
      <c r="BB979" s="24" t="s">
        <v>3519</v>
      </c>
      <c r="BC979" s="135">
        <v>21</v>
      </c>
      <c r="BD979" s="24">
        <v>43988</v>
      </c>
      <c r="BE979" s="135" t="s">
        <v>3833</v>
      </c>
      <c r="BF979" s="135" t="s">
        <v>3833</v>
      </c>
      <c r="BG979" s="135" t="s">
        <v>52</v>
      </c>
      <c r="BH979" s="135"/>
      <c r="BI979" s="314" t="s">
        <v>117</v>
      </c>
      <c r="BJ979" s="314"/>
      <c r="BK979" s="24"/>
      <c r="BL979" s="24"/>
      <c r="BM979" s="24"/>
      <c r="BN979" s="24"/>
      <c r="BO979" s="24"/>
      <c r="BP979" s="24"/>
      <c r="BQ979" s="24"/>
      <c r="BR979" s="43"/>
      <c r="BS979" s="24"/>
      <c r="BT979" s="24"/>
      <c r="BU979" s="24"/>
      <c r="BV979" s="132" t="e">
        <f>IF(#REF!="COMPLETO","OK","PENDIENTES")</f>
        <v>#REF!</v>
      </c>
      <c r="BW979" s="325"/>
      <c r="BX979" s="325"/>
      <c r="BY979" s="325"/>
      <c r="BZ979" s="325"/>
      <c r="CA979" s="325"/>
      <c r="CB979" s="325"/>
      <c r="CC979" s="258"/>
      <c r="CG979" s="24" t="s">
        <v>105</v>
      </c>
      <c r="CH979" s="24"/>
      <c r="CI979" s="24"/>
      <c r="CJ979" s="24"/>
    </row>
    <row r="980" spans="1:88" ht="15" customHeight="1">
      <c r="A980" s="18">
        <v>2020</v>
      </c>
      <c r="B980" s="18" t="str">
        <f>+INDEX(BDD!F:F,MATCH(P980,BDD!D:D,0))&amp;"-"&amp;INDEX(BDD!E:E,MATCH(P980,BDD!D:D,0))</f>
        <v>G-S</v>
      </c>
      <c r="C980" s="125" t="s">
        <v>484</v>
      </c>
      <c r="D980" s="150" t="s">
        <v>77</v>
      </c>
      <c r="E980" s="132"/>
      <c r="F980" s="24"/>
      <c r="G980" s="346">
        <v>8000000843</v>
      </c>
      <c r="H980" s="125" t="s">
        <v>3844</v>
      </c>
      <c r="I980" s="329"/>
      <c r="J980" s="346">
        <v>8000000843</v>
      </c>
      <c r="K980" s="24"/>
      <c r="L980" s="24"/>
      <c r="M980" s="24"/>
      <c r="N980" s="340" t="s">
        <v>486</v>
      </c>
      <c r="O980" s="334">
        <v>207485</v>
      </c>
      <c r="P980" s="25" t="s">
        <v>353</v>
      </c>
      <c r="Q980" s="127" t="s">
        <v>294</v>
      </c>
      <c r="R980" s="232" t="s">
        <v>544</v>
      </c>
      <c r="S980" s="89">
        <v>43952</v>
      </c>
      <c r="T980" s="36">
        <v>150</v>
      </c>
      <c r="U980" s="125" t="s">
        <v>118</v>
      </c>
      <c r="V980" s="147" t="s">
        <v>3845</v>
      </c>
      <c r="W980" s="129"/>
      <c r="X980" s="88">
        <v>44134</v>
      </c>
      <c r="Y980" s="130" t="s">
        <v>20</v>
      </c>
      <c r="Z980" s="133" t="s">
        <v>60</v>
      </c>
      <c r="AA980" s="133"/>
      <c r="AB980" s="241">
        <v>1700</v>
      </c>
      <c r="AC980" s="134">
        <v>254.2</v>
      </c>
      <c r="AD980" s="134"/>
      <c r="AE980" s="403">
        <f t="shared" si="55"/>
        <v>432140</v>
      </c>
      <c r="AF980" s="132"/>
      <c r="AG980" s="130" t="s">
        <v>46</v>
      </c>
      <c r="AH980" s="130"/>
      <c r="AI980" s="130" t="s">
        <v>100</v>
      </c>
      <c r="AJ980" s="130"/>
      <c r="AK980" s="130"/>
      <c r="AL980" s="135" t="s">
        <v>3779</v>
      </c>
      <c r="AM980" s="314"/>
      <c r="AN980" s="26"/>
      <c r="AO980" s="26"/>
      <c r="AP980" s="26"/>
      <c r="AQ980" s="26">
        <v>44017</v>
      </c>
      <c r="AR980" s="24"/>
      <c r="AS980" s="24"/>
      <c r="AT980" s="24">
        <v>44018</v>
      </c>
      <c r="AU980" s="418">
        <f t="shared" si="56"/>
        <v>7</v>
      </c>
      <c r="AV980" s="418">
        <f t="shared" si="57"/>
        <v>2020</v>
      </c>
      <c r="AW980" s="24"/>
      <c r="AX980" s="28"/>
      <c r="AY980" s="28" t="s">
        <v>296</v>
      </c>
      <c r="AZ980" s="132" t="s">
        <v>37</v>
      </c>
      <c r="BA980" s="132"/>
      <c r="BB980" s="24" t="s">
        <v>2956</v>
      </c>
      <c r="BC980" s="135">
        <v>22</v>
      </c>
      <c r="BD980" s="24">
        <v>43988</v>
      </c>
      <c r="BE980" s="135" t="s">
        <v>3833</v>
      </c>
      <c r="BF980" s="135" t="s">
        <v>3833</v>
      </c>
      <c r="BG980" s="135" t="s">
        <v>52</v>
      </c>
      <c r="BH980" s="135"/>
      <c r="BI980" s="314" t="s">
        <v>117</v>
      </c>
      <c r="BJ980" s="314"/>
      <c r="BK980" s="24"/>
      <c r="BL980" s="24"/>
      <c r="BM980" s="24"/>
      <c r="BN980" s="24"/>
      <c r="BO980" s="24"/>
      <c r="BP980" s="24"/>
      <c r="BQ980" s="24"/>
      <c r="BR980" s="43"/>
      <c r="BS980" s="24"/>
      <c r="BT980" s="24"/>
      <c r="BU980" s="24"/>
      <c r="BV980" s="132" t="e">
        <f>IF(#REF!="COMPLETO","OK","PENDIENTES")</f>
        <v>#REF!</v>
      </c>
      <c r="BW980" s="325"/>
      <c r="BX980" s="325"/>
      <c r="BY980" s="325"/>
      <c r="BZ980" s="325"/>
      <c r="CA980" s="325"/>
      <c r="CB980" s="325"/>
      <c r="CC980" s="258"/>
      <c r="CG980" s="24" t="s">
        <v>105</v>
      </c>
      <c r="CH980" s="24"/>
      <c r="CI980" s="24"/>
      <c r="CJ980" s="24"/>
    </row>
    <row r="981" spans="1:88" ht="15" customHeight="1">
      <c r="A981" s="18">
        <v>2020</v>
      </c>
      <c r="B981" s="18" t="str">
        <f>+INDEX(BDD!F:F,MATCH(P981,BDD!D:D,0))&amp;"-"&amp;INDEX(BDD!E:E,MATCH(P981,BDD!D:D,0))</f>
        <v>G-S</v>
      </c>
      <c r="C981" s="125" t="s">
        <v>484</v>
      </c>
      <c r="D981" s="150" t="s">
        <v>77</v>
      </c>
      <c r="E981" s="132"/>
      <c r="F981" s="24"/>
      <c r="G981" s="346">
        <v>8000000845</v>
      </c>
      <c r="H981" s="125" t="s">
        <v>3846</v>
      </c>
      <c r="I981" s="329"/>
      <c r="J981" s="346">
        <v>8000000845</v>
      </c>
      <c r="K981" s="24"/>
      <c r="L981" s="24"/>
      <c r="M981" s="24"/>
      <c r="N981" s="340" t="s">
        <v>486</v>
      </c>
      <c r="O981" s="334">
        <v>207485</v>
      </c>
      <c r="P981" s="25" t="s">
        <v>353</v>
      </c>
      <c r="Q981" s="127" t="s">
        <v>294</v>
      </c>
      <c r="R981" s="232" t="s">
        <v>544</v>
      </c>
      <c r="S981" s="89">
        <v>43952</v>
      </c>
      <c r="T981" s="36">
        <v>150</v>
      </c>
      <c r="U981" s="125" t="s">
        <v>118</v>
      </c>
      <c r="V981" s="147" t="s">
        <v>3847</v>
      </c>
      <c r="W981" s="129"/>
      <c r="X981" s="88">
        <v>44140</v>
      </c>
      <c r="Y981" s="130" t="s">
        <v>20</v>
      </c>
      <c r="Z981" s="133" t="s">
        <v>60</v>
      </c>
      <c r="AA981" s="133"/>
      <c r="AB981" s="241">
        <v>1900</v>
      </c>
      <c r="AC981" s="134">
        <v>254.2</v>
      </c>
      <c r="AD981" s="134"/>
      <c r="AE981" s="403">
        <f t="shared" si="55"/>
        <v>482980</v>
      </c>
      <c r="AF981" s="132"/>
      <c r="AG981" s="130" t="s">
        <v>46</v>
      </c>
      <c r="AH981" s="130"/>
      <c r="AI981" s="130" t="s">
        <v>100</v>
      </c>
      <c r="AJ981" s="130"/>
      <c r="AK981" s="130"/>
      <c r="AL981" s="135" t="s">
        <v>3779</v>
      </c>
      <c r="AM981" s="314"/>
      <c r="AN981" s="26"/>
      <c r="AO981" s="26"/>
      <c r="AP981" s="26"/>
      <c r="AQ981" s="26">
        <v>44021</v>
      </c>
      <c r="AR981" s="24"/>
      <c r="AS981" s="24"/>
      <c r="AT981" s="24">
        <v>44018</v>
      </c>
      <c r="AU981" s="418">
        <f t="shared" si="56"/>
        <v>7</v>
      </c>
      <c r="AV981" s="418">
        <f t="shared" si="57"/>
        <v>2020</v>
      </c>
      <c r="AW981" s="24"/>
      <c r="AX981" s="28"/>
      <c r="AY981" s="28" t="s">
        <v>296</v>
      </c>
      <c r="AZ981" s="132" t="s">
        <v>62</v>
      </c>
      <c r="BA981" s="132"/>
      <c r="BB981" s="24" t="s">
        <v>3264</v>
      </c>
      <c r="BC981" s="135">
        <v>23</v>
      </c>
      <c r="BD981" s="24">
        <v>43988</v>
      </c>
      <c r="BE981" s="135" t="s">
        <v>3833</v>
      </c>
      <c r="BF981" s="135" t="s">
        <v>3833</v>
      </c>
      <c r="BG981" s="135" t="s">
        <v>52</v>
      </c>
      <c r="BH981" s="135"/>
      <c r="BI981" s="314" t="s">
        <v>117</v>
      </c>
      <c r="BJ981" s="314"/>
      <c r="BK981" s="24"/>
      <c r="BL981" s="24"/>
      <c r="BM981" s="24"/>
      <c r="BN981" s="24"/>
      <c r="BO981" s="24"/>
      <c r="BP981" s="24"/>
      <c r="BQ981" s="24"/>
      <c r="BR981" s="43"/>
      <c r="BS981" s="24"/>
      <c r="BT981" s="24"/>
      <c r="BU981" s="24"/>
      <c r="BV981" s="132" t="e">
        <f>IF(#REF!="COMPLETO","OK","PENDIENTES")</f>
        <v>#REF!</v>
      </c>
      <c r="BW981" s="325"/>
      <c r="BX981" s="325"/>
      <c r="BY981" s="325"/>
      <c r="BZ981" s="325"/>
      <c r="CA981" s="325"/>
      <c r="CB981" s="325"/>
      <c r="CC981" s="258"/>
      <c r="CG981" s="24" t="s">
        <v>105</v>
      </c>
      <c r="CH981" s="24"/>
      <c r="CI981" s="24"/>
      <c r="CJ981" s="24"/>
    </row>
    <row r="982" spans="1:88" ht="15" customHeight="1">
      <c r="A982" s="18">
        <v>2020</v>
      </c>
      <c r="B982" s="18" t="str">
        <f>+INDEX(BDD!F:F,MATCH(P982,BDD!D:D,0))&amp;"-"&amp;INDEX(BDD!E:E,MATCH(P982,BDD!D:D,0))</f>
        <v>G-S</v>
      </c>
      <c r="C982" s="125" t="s">
        <v>484</v>
      </c>
      <c r="D982" s="150" t="s">
        <v>77</v>
      </c>
      <c r="E982" s="132"/>
      <c r="F982" s="24"/>
      <c r="G982" s="346">
        <v>8000000875</v>
      </c>
      <c r="H982" s="125" t="s">
        <v>3848</v>
      </c>
      <c r="I982" s="329"/>
      <c r="J982" s="346">
        <v>8000000875</v>
      </c>
      <c r="K982" s="24"/>
      <c r="L982" s="24"/>
      <c r="M982" s="24"/>
      <c r="N982" s="340" t="s">
        <v>486</v>
      </c>
      <c r="O982" s="334">
        <v>203616</v>
      </c>
      <c r="P982" s="25" t="s">
        <v>357</v>
      </c>
      <c r="Q982" s="127" t="s">
        <v>273</v>
      </c>
      <c r="R982" s="232" t="s">
        <v>3849</v>
      </c>
      <c r="S982" s="89">
        <v>43959</v>
      </c>
      <c r="T982" s="36">
        <v>120</v>
      </c>
      <c r="U982" s="125" t="s">
        <v>118</v>
      </c>
      <c r="V982" s="147" t="s">
        <v>3850</v>
      </c>
      <c r="W982" s="129"/>
      <c r="X982" s="88">
        <v>44104</v>
      </c>
      <c r="Y982" s="130" t="s">
        <v>20</v>
      </c>
      <c r="Z982" s="133" t="s">
        <v>60</v>
      </c>
      <c r="AA982" s="133"/>
      <c r="AB982" s="241">
        <v>2200</v>
      </c>
      <c r="AC982" s="134">
        <v>123.22</v>
      </c>
      <c r="AD982" s="134"/>
      <c r="AE982" s="403">
        <f t="shared" si="55"/>
        <v>271084</v>
      </c>
      <c r="AF982" s="132"/>
      <c r="AG982" s="130" t="s">
        <v>46</v>
      </c>
      <c r="AH982" s="130"/>
      <c r="AI982" s="130" t="s">
        <v>100</v>
      </c>
      <c r="AJ982" s="130"/>
      <c r="AK982" s="130"/>
      <c r="AL982" s="135" t="s">
        <v>3779</v>
      </c>
      <c r="AM982" s="314"/>
      <c r="AN982" s="26"/>
      <c r="AO982" s="26"/>
      <c r="AP982" s="26"/>
      <c r="AQ982" s="26">
        <v>44029</v>
      </c>
      <c r="AR982" s="24"/>
      <c r="AS982" s="24"/>
      <c r="AT982" s="24">
        <v>44030</v>
      </c>
      <c r="AU982" s="418">
        <f t="shared" si="56"/>
        <v>7</v>
      </c>
      <c r="AV982" s="418">
        <f t="shared" si="57"/>
        <v>2020</v>
      </c>
      <c r="AW982" s="24"/>
      <c r="AX982" s="28"/>
      <c r="AY982" s="28" t="s">
        <v>3437</v>
      </c>
      <c r="AZ982" s="132" t="s">
        <v>9</v>
      </c>
      <c r="BA982" s="132"/>
      <c r="BB982" s="24" t="s">
        <v>3519</v>
      </c>
      <c r="BC982" s="135" t="s">
        <v>3851</v>
      </c>
      <c r="BD982" s="24">
        <v>43990</v>
      </c>
      <c r="BE982" s="135" t="s">
        <v>3852</v>
      </c>
      <c r="BF982" s="135" t="s">
        <v>3852</v>
      </c>
      <c r="BG982" s="135" t="s">
        <v>52</v>
      </c>
      <c r="BH982" s="135"/>
      <c r="BI982" s="314" t="s">
        <v>117</v>
      </c>
      <c r="BJ982" s="314"/>
      <c r="BK982" s="24"/>
      <c r="BL982" s="24"/>
      <c r="BM982" s="24"/>
      <c r="BN982" s="24"/>
      <c r="BO982" s="24"/>
      <c r="BP982" s="24"/>
      <c r="BQ982" s="24"/>
      <c r="BR982" s="43"/>
      <c r="BS982" s="24"/>
      <c r="BT982" s="24"/>
      <c r="BU982" s="24"/>
      <c r="BV982" s="132" t="e">
        <f>IF(#REF!="COMPLETO","OK","PENDIENTES")</f>
        <v>#REF!</v>
      </c>
      <c r="BW982" s="325"/>
      <c r="BX982" s="325"/>
      <c r="BY982" s="325"/>
      <c r="BZ982" s="325"/>
      <c r="CA982" s="325"/>
      <c r="CB982" s="325"/>
      <c r="CC982" s="258"/>
      <c r="CG982" s="24" t="s">
        <v>105</v>
      </c>
      <c r="CH982" s="24"/>
      <c r="CI982" s="24"/>
      <c r="CJ982" s="24"/>
    </row>
    <row r="983" spans="1:88" ht="15" customHeight="1">
      <c r="A983" s="18">
        <v>2020</v>
      </c>
      <c r="B983" s="18" t="str">
        <f>+INDEX(BDD!F:F,MATCH(P983,BDD!D:D,0))&amp;"-"&amp;INDEX(BDD!E:E,MATCH(P983,BDD!D:D,0))</f>
        <v>G-S</v>
      </c>
      <c r="C983" s="125" t="s">
        <v>484</v>
      </c>
      <c r="D983" s="150" t="s">
        <v>77</v>
      </c>
      <c r="E983" s="132"/>
      <c r="F983" s="24"/>
      <c r="G983" s="346">
        <v>8000000878</v>
      </c>
      <c r="H983" s="125" t="s">
        <v>3853</v>
      </c>
      <c r="I983" s="329"/>
      <c r="J983" s="346">
        <v>8000000878</v>
      </c>
      <c r="K983" s="24"/>
      <c r="L983" s="24"/>
      <c r="M983" s="24"/>
      <c r="N983" s="340" t="s">
        <v>486</v>
      </c>
      <c r="O983" s="334">
        <v>203616</v>
      </c>
      <c r="P983" s="25" t="s">
        <v>357</v>
      </c>
      <c r="Q983" s="127" t="s">
        <v>273</v>
      </c>
      <c r="R983" s="232" t="s">
        <v>3849</v>
      </c>
      <c r="S983" s="89">
        <v>43959</v>
      </c>
      <c r="T983" s="36">
        <v>120</v>
      </c>
      <c r="U983" s="125" t="s">
        <v>118</v>
      </c>
      <c r="V983" s="147" t="s">
        <v>3854</v>
      </c>
      <c r="W983" s="129"/>
      <c r="X983" s="88">
        <v>44104</v>
      </c>
      <c r="Y983" s="130" t="s">
        <v>20</v>
      </c>
      <c r="Z983" s="133" t="s">
        <v>60</v>
      </c>
      <c r="AA983" s="133"/>
      <c r="AB983" s="241">
        <v>880</v>
      </c>
      <c r="AC983" s="134">
        <v>123.22</v>
      </c>
      <c r="AD983" s="134"/>
      <c r="AE983" s="403">
        <f t="shared" si="55"/>
        <v>108433.60000000001</v>
      </c>
      <c r="AF983" s="132"/>
      <c r="AG983" s="130" t="s">
        <v>46</v>
      </c>
      <c r="AH983" s="130"/>
      <c r="AI983" s="130" t="s">
        <v>100</v>
      </c>
      <c r="AJ983" s="130"/>
      <c r="AK983" s="130"/>
      <c r="AL983" s="135" t="s">
        <v>3779</v>
      </c>
      <c r="AM983" s="314"/>
      <c r="AN983" s="26"/>
      <c r="AO983" s="26"/>
      <c r="AP983" s="26"/>
      <c r="AQ983" s="26">
        <v>44032</v>
      </c>
      <c r="AR983" s="24"/>
      <c r="AS983" s="24"/>
      <c r="AT983" s="24">
        <v>44032</v>
      </c>
      <c r="AU983" s="418">
        <f t="shared" si="56"/>
        <v>7</v>
      </c>
      <c r="AV983" s="418">
        <f t="shared" si="57"/>
        <v>2020</v>
      </c>
      <c r="AW983" s="24"/>
      <c r="AX983" s="28"/>
      <c r="AY983" s="28" t="s">
        <v>3437</v>
      </c>
      <c r="AZ983" s="132" t="s">
        <v>25</v>
      </c>
      <c r="BA983" s="132"/>
      <c r="BB983" s="24" t="s">
        <v>3264</v>
      </c>
      <c r="BC983" s="135" t="s">
        <v>3855</v>
      </c>
      <c r="BD983" s="24">
        <v>43990</v>
      </c>
      <c r="BE983" s="135" t="s">
        <v>3852</v>
      </c>
      <c r="BF983" s="135" t="s">
        <v>3852</v>
      </c>
      <c r="BG983" s="135" t="s">
        <v>52</v>
      </c>
      <c r="BH983" s="135"/>
      <c r="BI983" s="314" t="s">
        <v>117</v>
      </c>
      <c r="BJ983" s="314"/>
      <c r="BK983" s="24"/>
      <c r="BL983" s="24"/>
      <c r="BM983" s="24"/>
      <c r="BN983" s="24"/>
      <c r="BO983" s="24"/>
      <c r="BP983" s="24"/>
      <c r="BQ983" s="24"/>
      <c r="BR983" s="43"/>
      <c r="BS983" s="24"/>
      <c r="BT983" s="24"/>
      <c r="BU983" s="24"/>
      <c r="BV983" s="132" t="e">
        <f>IF(#REF!="COMPLETO","OK","PENDIENTES")</f>
        <v>#REF!</v>
      </c>
      <c r="BW983" s="325"/>
      <c r="BX983" s="325"/>
      <c r="BY983" s="325"/>
      <c r="BZ983" s="325"/>
      <c r="CA983" s="325"/>
      <c r="CB983" s="325"/>
      <c r="CC983" s="258"/>
      <c r="CG983" s="24" t="s">
        <v>105</v>
      </c>
      <c r="CH983" s="24"/>
      <c r="CI983" s="24"/>
      <c r="CJ983" s="24"/>
    </row>
    <row r="984" spans="1:88" ht="15" customHeight="1">
      <c r="A984" s="18">
        <v>2020</v>
      </c>
      <c r="B984" s="18" t="str">
        <f>+INDEX(BDD!F:F,MATCH(P984,BDD!D:D,0))&amp;"-"&amp;INDEX(BDD!E:E,MATCH(P984,BDD!D:D,0))</f>
        <v>G-S</v>
      </c>
      <c r="C984" s="125" t="s">
        <v>484</v>
      </c>
      <c r="D984" s="150" t="s">
        <v>77</v>
      </c>
      <c r="E984" s="132"/>
      <c r="F984" s="24"/>
      <c r="G984" s="346">
        <v>8000000902</v>
      </c>
      <c r="H984" s="125" t="s">
        <v>3856</v>
      </c>
      <c r="I984" s="329"/>
      <c r="J984" s="346">
        <v>8000000902</v>
      </c>
      <c r="K984" s="24"/>
      <c r="L984" s="24"/>
      <c r="M984" s="24"/>
      <c r="N984" s="340" t="s">
        <v>486</v>
      </c>
      <c r="O984" s="334">
        <v>203616</v>
      </c>
      <c r="P984" s="25" t="s">
        <v>357</v>
      </c>
      <c r="Q984" s="127" t="s">
        <v>273</v>
      </c>
      <c r="R984" s="232" t="s">
        <v>3849</v>
      </c>
      <c r="S984" s="89">
        <v>43959</v>
      </c>
      <c r="T984" s="36">
        <v>120</v>
      </c>
      <c r="U984" s="125" t="s">
        <v>118</v>
      </c>
      <c r="V984" s="147" t="s">
        <v>3857</v>
      </c>
      <c r="W984" s="129"/>
      <c r="X984" s="88">
        <v>44104</v>
      </c>
      <c r="Y984" s="130" t="s">
        <v>20</v>
      </c>
      <c r="Z984" s="133" t="s">
        <v>60</v>
      </c>
      <c r="AA984" s="133"/>
      <c r="AB984" s="241">
        <v>220</v>
      </c>
      <c r="AC984" s="134">
        <v>123.22</v>
      </c>
      <c r="AD984" s="134"/>
      <c r="AE984" s="403">
        <f t="shared" si="55"/>
        <v>27108.400000000001</v>
      </c>
      <c r="AF984" s="132"/>
      <c r="AG984" s="130" t="s">
        <v>46</v>
      </c>
      <c r="AH984" s="130"/>
      <c r="AI984" s="130" t="s">
        <v>100</v>
      </c>
      <c r="AJ984" s="130"/>
      <c r="AK984" s="130"/>
      <c r="AL984" s="135" t="s">
        <v>3779</v>
      </c>
      <c r="AM984" s="314"/>
      <c r="AN984" s="26"/>
      <c r="AO984" s="26"/>
      <c r="AP984" s="26"/>
      <c r="AQ984" s="26">
        <v>44037</v>
      </c>
      <c r="AR984" s="24"/>
      <c r="AS984" s="24"/>
      <c r="AT984" s="24">
        <v>44038</v>
      </c>
      <c r="AU984" s="418">
        <f t="shared" si="56"/>
        <v>7</v>
      </c>
      <c r="AV984" s="418">
        <f t="shared" si="57"/>
        <v>2020</v>
      </c>
      <c r="AW984" s="24"/>
      <c r="AX984" s="28"/>
      <c r="AY984" s="28" t="s">
        <v>3437</v>
      </c>
      <c r="AZ984" s="132" t="s">
        <v>50</v>
      </c>
      <c r="BA984" s="132"/>
      <c r="BB984" s="24" t="s">
        <v>2956</v>
      </c>
      <c r="BC984" s="135" t="s">
        <v>3858</v>
      </c>
      <c r="BD984" s="24">
        <v>43990</v>
      </c>
      <c r="BE984" s="135" t="s">
        <v>3852</v>
      </c>
      <c r="BF984" s="135" t="s">
        <v>3852</v>
      </c>
      <c r="BG984" s="135" t="s">
        <v>52</v>
      </c>
      <c r="BH984" s="135"/>
      <c r="BI984" s="314" t="s">
        <v>117</v>
      </c>
      <c r="BJ984" s="314"/>
      <c r="BK984" s="24"/>
      <c r="BL984" s="24"/>
      <c r="BM984" s="24"/>
      <c r="BN984" s="24"/>
      <c r="BO984" s="24"/>
      <c r="BP984" s="24"/>
      <c r="BQ984" s="24"/>
      <c r="BR984" s="43"/>
      <c r="BS984" s="24"/>
      <c r="BT984" s="24"/>
      <c r="BU984" s="24"/>
      <c r="BV984" s="132" t="e">
        <f>IF(#REF!="COMPLETO","OK","PENDIENTES")</f>
        <v>#REF!</v>
      </c>
      <c r="BW984" s="325"/>
      <c r="BX984" s="325"/>
      <c r="BY984" s="325"/>
      <c r="BZ984" s="325"/>
      <c r="CA984" s="325"/>
      <c r="CB984" s="325"/>
      <c r="CC984" s="258"/>
      <c r="CG984" s="24" t="s">
        <v>105</v>
      </c>
      <c r="CH984" s="24"/>
      <c r="CI984" s="24"/>
      <c r="CJ984" s="24"/>
    </row>
    <row r="985" spans="1:88" ht="15" customHeight="1">
      <c r="A985" s="18">
        <v>2020</v>
      </c>
      <c r="B985" s="18" t="str">
        <f>+INDEX(BDD!F:F,MATCH(P985,BDD!D:D,0))&amp;"-"&amp;INDEX(BDD!E:E,MATCH(P985,BDD!D:D,0))</f>
        <v>S-C</v>
      </c>
      <c r="C985" s="125" t="s">
        <v>484</v>
      </c>
      <c r="D985" s="150" t="s">
        <v>77</v>
      </c>
      <c r="E985" s="132"/>
      <c r="F985" s="24"/>
      <c r="G985" s="346">
        <v>8000000827</v>
      </c>
      <c r="H985" s="125" t="s">
        <v>3859</v>
      </c>
      <c r="I985" s="329"/>
      <c r="J985" s="346">
        <v>8000000827</v>
      </c>
      <c r="K985" s="24"/>
      <c r="L985" s="24"/>
      <c r="M985" s="24"/>
      <c r="N985" s="340" t="s">
        <v>486</v>
      </c>
      <c r="O985" s="334">
        <v>207580</v>
      </c>
      <c r="P985" s="25" t="s">
        <v>241</v>
      </c>
      <c r="Q985" s="127" t="s">
        <v>231</v>
      </c>
      <c r="R985" s="230" t="s">
        <v>3860</v>
      </c>
      <c r="S985" s="89">
        <v>43956</v>
      </c>
      <c r="T985" s="36">
        <v>90</v>
      </c>
      <c r="U985" s="125" t="s">
        <v>118</v>
      </c>
      <c r="V985" s="147" t="s">
        <v>3860</v>
      </c>
      <c r="W985" s="129"/>
      <c r="X985" s="88">
        <f>+BD985+T985</f>
        <v>44069</v>
      </c>
      <c r="Y985" s="130" t="s">
        <v>20</v>
      </c>
      <c r="Z985" s="133" t="s">
        <v>81</v>
      </c>
      <c r="AA985" s="133"/>
      <c r="AB985" s="241">
        <v>513</v>
      </c>
      <c r="AC985" s="134">
        <v>678</v>
      </c>
      <c r="AD985" s="134"/>
      <c r="AE985" s="403">
        <f t="shared" si="55"/>
        <v>347814</v>
      </c>
      <c r="AF985" s="132">
        <v>19</v>
      </c>
      <c r="AG985" s="130" t="s">
        <v>5</v>
      </c>
      <c r="AH985" s="130"/>
      <c r="AI985" s="130" t="s">
        <v>34</v>
      </c>
      <c r="AJ985" s="130"/>
      <c r="AK985" s="130"/>
      <c r="AL985" s="135" t="s">
        <v>3779</v>
      </c>
      <c r="AM985" s="314"/>
      <c r="AN985" s="26"/>
      <c r="AO985" s="26"/>
      <c r="AP985" s="26"/>
      <c r="AQ985" s="26">
        <v>43982</v>
      </c>
      <c r="AR985" s="24"/>
      <c r="AS985" s="24"/>
      <c r="AT985" s="24">
        <v>43993</v>
      </c>
      <c r="AU985" s="418">
        <f t="shared" si="56"/>
        <v>6</v>
      </c>
      <c r="AV985" s="418">
        <f t="shared" si="57"/>
        <v>2020</v>
      </c>
      <c r="AW985" s="24"/>
      <c r="AX985" s="28"/>
      <c r="AY985" s="28" t="s">
        <v>181</v>
      </c>
      <c r="AZ985" s="132" t="s">
        <v>37</v>
      </c>
      <c r="BA985" s="132"/>
      <c r="BB985" s="24" t="s">
        <v>2956</v>
      </c>
      <c r="BC985" s="135" t="s">
        <v>3861</v>
      </c>
      <c r="BD985" s="24">
        <v>43979</v>
      </c>
      <c r="BE985" s="135" t="s">
        <v>1714</v>
      </c>
      <c r="BF985" s="135" t="s">
        <v>1714</v>
      </c>
      <c r="BG985" s="135" t="s">
        <v>64</v>
      </c>
      <c r="BH985" s="135"/>
      <c r="BI985" s="314" t="s">
        <v>124</v>
      </c>
      <c r="BJ985" s="314"/>
      <c r="BK985" s="24"/>
      <c r="BL985" s="24"/>
      <c r="BM985" s="24"/>
      <c r="BN985" s="24"/>
      <c r="BO985" s="24"/>
      <c r="BP985" s="24"/>
      <c r="BQ985" s="24"/>
      <c r="BR985" s="43"/>
      <c r="BS985" s="24"/>
      <c r="BT985" s="24"/>
      <c r="BU985" s="24"/>
      <c r="BV985" s="132" t="e">
        <f>IF(#REF!="COMPLETO","OK","PENDIENTES")</f>
        <v>#REF!</v>
      </c>
      <c r="BW985" s="325"/>
      <c r="BX985" s="325"/>
      <c r="BY985" s="325"/>
      <c r="BZ985" s="325"/>
      <c r="CA985" s="325"/>
      <c r="CB985" s="325"/>
      <c r="CC985" s="258"/>
      <c r="CG985" s="24" t="s">
        <v>105</v>
      </c>
      <c r="CH985" s="24"/>
      <c r="CI985" s="24"/>
      <c r="CJ985" s="24"/>
    </row>
    <row r="986" spans="1:88" ht="15" customHeight="1">
      <c r="A986" s="18">
        <v>2020</v>
      </c>
      <c r="B986" s="18" t="str">
        <f>+INDEX(BDD!F:F,MATCH(P986,BDD!D:D,0))&amp;"-"&amp;INDEX(BDD!E:E,MATCH(P986,BDD!D:D,0))</f>
        <v>S-P</v>
      </c>
      <c r="C986" s="125" t="s">
        <v>484</v>
      </c>
      <c r="D986" s="150" t="s">
        <v>77</v>
      </c>
      <c r="E986" s="132"/>
      <c r="F986" s="24"/>
      <c r="G986" s="346">
        <v>8000000847</v>
      </c>
      <c r="H986" s="125" t="s">
        <v>3862</v>
      </c>
      <c r="I986" s="329"/>
      <c r="J986" s="346">
        <v>8000000847</v>
      </c>
      <c r="K986" s="24"/>
      <c r="L986" s="24"/>
      <c r="M986" s="24"/>
      <c r="N986" s="340" t="s">
        <v>486</v>
      </c>
      <c r="O986" s="334">
        <v>206766</v>
      </c>
      <c r="P986" s="25" t="s">
        <v>2</v>
      </c>
      <c r="Q986" s="127" t="s">
        <v>237</v>
      </c>
      <c r="R986" s="232" t="s">
        <v>3863</v>
      </c>
      <c r="S986" s="89">
        <v>43956</v>
      </c>
      <c r="T986" s="36">
        <v>90</v>
      </c>
      <c r="U986" s="125" t="s">
        <v>118</v>
      </c>
      <c r="V986" s="147" t="s">
        <v>3864</v>
      </c>
      <c r="W986" s="129"/>
      <c r="X986" s="88">
        <f>+BD986+T986</f>
        <v>44078</v>
      </c>
      <c r="Y986" s="130" t="s">
        <v>20</v>
      </c>
      <c r="Z986" s="133" t="s">
        <v>60</v>
      </c>
      <c r="AA986" s="133"/>
      <c r="AB986" s="241">
        <v>552</v>
      </c>
      <c r="AC986" s="134">
        <v>865</v>
      </c>
      <c r="AD986" s="134"/>
      <c r="AE986" s="403">
        <f t="shared" si="55"/>
        <v>477480</v>
      </c>
      <c r="AF986" s="132">
        <v>23</v>
      </c>
      <c r="AG986" s="130" t="s">
        <v>5</v>
      </c>
      <c r="AH986" s="130"/>
      <c r="AI986" s="130" t="s">
        <v>86</v>
      </c>
      <c r="AJ986" s="130"/>
      <c r="AK986" s="130"/>
      <c r="AL986" s="135" t="s">
        <v>3865</v>
      </c>
      <c r="AM986" s="314"/>
      <c r="AN986" s="26"/>
      <c r="AO986" s="26"/>
      <c r="AP986" s="26"/>
      <c r="AQ986" s="26">
        <v>44008</v>
      </c>
      <c r="AR986" s="24"/>
      <c r="AS986" s="24"/>
      <c r="AT986" s="24">
        <v>44014</v>
      </c>
      <c r="AU986" s="418">
        <f t="shared" si="56"/>
        <v>7</v>
      </c>
      <c r="AV986" s="418">
        <f t="shared" si="57"/>
        <v>2020</v>
      </c>
      <c r="AW986" s="24"/>
      <c r="AX986" s="28"/>
      <c r="AY986" s="28" t="s">
        <v>302</v>
      </c>
      <c r="AZ986" s="132" t="s">
        <v>37</v>
      </c>
      <c r="BA986" s="132"/>
      <c r="BB986" s="24" t="s">
        <v>2956</v>
      </c>
      <c r="BC986" s="135" t="s">
        <v>3866</v>
      </c>
      <c r="BD986" s="24">
        <v>43988</v>
      </c>
      <c r="BE986" s="135" t="s">
        <v>3867</v>
      </c>
      <c r="BF986" s="135" t="s">
        <v>2525</v>
      </c>
      <c r="BG986" s="135" t="s">
        <v>41</v>
      </c>
      <c r="BH986" s="135"/>
      <c r="BI986" s="314" t="s">
        <v>124</v>
      </c>
      <c r="BJ986" s="314"/>
      <c r="BK986" s="24"/>
      <c r="BL986" s="24"/>
      <c r="BM986" s="24"/>
      <c r="BN986" s="24"/>
      <c r="BO986" s="24">
        <f>+AQ986+22</f>
        <v>44030</v>
      </c>
      <c r="BP986" s="24"/>
      <c r="BQ986" s="24"/>
      <c r="BR986" s="43"/>
      <c r="BS986" s="24"/>
      <c r="BT986" s="24"/>
      <c r="BU986" s="24"/>
      <c r="BV986" s="132" t="e">
        <f>IF(#REF!="COMPLETO","OK","PENDIENTES")</f>
        <v>#REF!</v>
      </c>
      <c r="BW986" s="325"/>
      <c r="BX986" s="325"/>
      <c r="BY986" s="325"/>
      <c r="BZ986" s="325"/>
      <c r="CA986" s="325"/>
      <c r="CB986" s="325"/>
      <c r="CC986" s="258"/>
      <c r="CG986" s="24" t="s">
        <v>105</v>
      </c>
      <c r="CH986" s="24"/>
      <c r="CI986" s="24"/>
      <c r="CJ986" s="24"/>
    </row>
    <row r="987" spans="1:88" ht="15" customHeight="1">
      <c r="A987" s="18">
        <v>2020</v>
      </c>
      <c r="B987" s="18" t="str">
        <f>+INDEX(BDD!F:F,MATCH(P987,BDD!D:D,0))&amp;"-"&amp;INDEX(BDD!E:E,MATCH(P987,BDD!D:D,0))</f>
        <v>S-P</v>
      </c>
      <c r="C987" s="125" t="s">
        <v>484</v>
      </c>
      <c r="D987" s="150" t="s">
        <v>77</v>
      </c>
      <c r="E987" s="132"/>
      <c r="F987" s="24"/>
      <c r="G987" s="346">
        <v>8000000848</v>
      </c>
      <c r="H987" s="125" t="s">
        <v>3868</v>
      </c>
      <c r="I987" s="329"/>
      <c r="J987" s="346">
        <v>8000000848</v>
      </c>
      <c r="K987" s="24"/>
      <c r="L987" s="24"/>
      <c r="M987" s="24"/>
      <c r="N987" s="340" t="s">
        <v>486</v>
      </c>
      <c r="O987" s="334">
        <v>206766</v>
      </c>
      <c r="P987" s="25" t="s">
        <v>2</v>
      </c>
      <c r="Q987" s="127" t="s">
        <v>237</v>
      </c>
      <c r="R987" s="232" t="s">
        <v>3869</v>
      </c>
      <c r="S987" s="89">
        <v>43956</v>
      </c>
      <c r="T987" s="36">
        <v>90</v>
      </c>
      <c r="U987" s="125" t="s">
        <v>118</v>
      </c>
      <c r="V987" s="147" t="s">
        <v>3870</v>
      </c>
      <c r="W987" s="129"/>
      <c r="X987" s="88">
        <v>44076</v>
      </c>
      <c r="Y987" s="130" t="s">
        <v>20</v>
      </c>
      <c r="Z987" s="133" t="s">
        <v>60</v>
      </c>
      <c r="AA987" s="133"/>
      <c r="AB987" s="241">
        <v>456</v>
      </c>
      <c r="AC987" s="134">
        <v>875</v>
      </c>
      <c r="AD987" s="134"/>
      <c r="AE987" s="403">
        <f t="shared" si="55"/>
        <v>399000</v>
      </c>
      <c r="AF987" s="132">
        <v>19</v>
      </c>
      <c r="AG987" s="130" t="s">
        <v>5</v>
      </c>
      <c r="AH987" s="130"/>
      <c r="AI987" s="130" t="s">
        <v>86</v>
      </c>
      <c r="AJ987" s="130"/>
      <c r="AK987" s="130"/>
      <c r="AL987" s="135" t="s">
        <v>3865</v>
      </c>
      <c r="AM987" s="314"/>
      <c r="AN987" s="26"/>
      <c r="AO987" s="26"/>
      <c r="AP987" s="26"/>
      <c r="AQ987" s="26">
        <v>44008</v>
      </c>
      <c r="AR987" s="24"/>
      <c r="AS987" s="24"/>
      <c r="AT987" s="24">
        <v>44015</v>
      </c>
      <c r="AU987" s="418">
        <f t="shared" si="56"/>
        <v>7</v>
      </c>
      <c r="AV987" s="418">
        <f t="shared" si="57"/>
        <v>2020</v>
      </c>
      <c r="AW987" s="24"/>
      <c r="AX987" s="28"/>
      <c r="AY987" s="28" t="s">
        <v>302</v>
      </c>
      <c r="AZ987" s="132" t="s">
        <v>9</v>
      </c>
      <c r="BA987" s="132"/>
      <c r="BB987" s="24" t="s">
        <v>3519</v>
      </c>
      <c r="BC987" s="135" t="s">
        <v>3871</v>
      </c>
      <c r="BD987" s="24">
        <v>43985</v>
      </c>
      <c r="BE987" s="135" t="s">
        <v>3872</v>
      </c>
      <c r="BF987" s="135" t="s">
        <v>3740</v>
      </c>
      <c r="BG987" s="135" t="s">
        <v>41</v>
      </c>
      <c r="BH987" s="135"/>
      <c r="BI987" s="314" t="s">
        <v>124</v>
      </c>
      <c r="BJ987" s="314"/>
      <c r="BK987" s="24"/>
      <c r="BL987" s="24"/>
      <c r="BM987" s="24"/>
      <c r="BN987" s="24"/>
      <c r="BO987" s="24"/>
      <c r="BP987" s="24"/>
      <c r="BQ987" s="24"/>
      <c r="BR987" s="43"/>
      <c r="BS987" s="24"/>
      <c r="BT987" s="24"/>
      <c r="BU987" s="24"/>
      <c r="BV987" s="132" t="e">
        <f>IF(#REF!="COMPLETO","OK","PENDIENTES")</f>
        <v>#REF!</v>
      </c>
      <c r="BW987" s="325"/>
      <c r="BX987" s="325"/>
      <c r="BY987" s="325"/>
      <c r="BZ987" s="325"/>
      <c r="CA987" s="325"/>
      <c r="CB987" s="325"/>
      <c r="CC987" s="258"/>
      <c r="CG987" s="24" t="s">
        <v>105</v>
      </c>
      <c r="CH987" s="24"/>
      <c r="CI987" s="24"/>
      <c r="CJ987" s="24"/>
    </row>
    <row r="988" spans="1:88" ht="15" customHeight="1">
      <c r="A988" s="18">
        <v>2020</v>
      </c>
      <c r="B988" s="18" t="str">
        <f>+INDEX(BDD!F:F,MATCH(P988,BDD!D:D,0))&amp;"-"&amp;INDEX(BDD!E:E,MATCH(P988,BDD!D:D,0))</f>
        <v>S-S</v>
      </c>
      <c r="C988" s="125" t="s">
        <v>484</v>
      </c>
      <c r="D988" s="150" t="s">
        <v>77</v>
      </c>
      <c r="E988" s="132"/>
      <c r="F988" s="24"/>
      <c r="G988" s="346">
        <v>8000000988</v>
      </c>
      <c r="H988" s="125" t="s">
        <v>3873</v>
      </c>
      <c r="I988" s="329"/>
      <c r="J988" s="346">
        <v>8000000988</v>
      </c>
      <c r="K988" s="24"/>
      <c r="L988" s="24"/>
      <c r="M988" s="24"/>
      <c r="N988" s="340" t="s">
        <v>486</v>
      </c>
      <c r="O988" s="334">
        <v>203631</v>
      </c>
      <c r="P988" s="25" t="s">
        <v>340</v>
      </c>
      <c r="Q988" s="127" t="s">
        <v>297</v>
      </c>
      <c r="R988" s="232" t="s">
        <v>3874</v>
      </c>
      <c r="S988" s="89">
        <v>43958</v>
      </c>
      <c r="T988" s="36">
        <v>120</v>
      </c>
      <c r="U988" s="125" t="s">
        <v>118</v>
      </c>
      <c r="V988" s="147" t="s">
        <v>3875</v>
      </c>
      <c r="W988" s="129"/>
      <c r="X988" s="88">
        <v>44166</v>
      </c>
      <c r="Y988" s="130" t="s">
        <v>20</v>
      </c>
      <c r="Z988" s="133" t="s">
        <v>60</v>
      </c>
      <c r="AA988" s="133"/>
      <c r="AB988" s="241">
        <v>840</v>
      </c>
      <c r="AC988" s="134">
        <v>432</v>
      </c>
      <c r="AD988" s="134"/>
      <c r="AE988" s="403">
        <f t="shared" si="55"/>
        <v>362880</v>
      </c>
      <c r="AF988" s="132"/>
      <c r="AG988" s="130" t="s">
        <v>58</v>
      </c>
      <c r="AH988" s="130"/>
      <c r="AI988" s="130" t="s">
        <v>34</v>
      </c>
      <c r="AJ988" s="130"/>
      <c r="AK988" s="130"/>
      <c r="AL988" s="135" t="s">
        <v>3876</v>
      </c>
      <c r="AM988" s="314"/>
      <c r="AN988" s="26"/>
      <c r="AO988" s="26"/>
      <c r="AP988" s="26"/>
      <c r="AQ988" s="26">
        <v>44086</v>
      </c>
      <c r="AR988" s="24"/>
      <c r="AS988" s="24"/>
      <c r="AT988" s="164">
        <v>44091</v>
      </c>
      <c r="AU988" s="418">
        <f t="shared" si="56"/>
        <v>9</v>
      </c>
      <c r="AV988" s="418">
        <f t="shared" si="57"/>
        <v>2020</v>
      </c>
      <c r="AW988" s="164"/>
      <c r="AX988" s="28"/>
      <c r="AY988" s="28" t="s">
        <v>3574</v>
      </c>
      <c r="AZ988" s="132" t="s">
        <v>37</v>
      </c>
      <c r="BA988" s="132"/>
      <c r="BB988" s="24" t="s">
        <v>3593</v>
      </c>
      <c r="BC988" s="135" t="s">
        <v>3877</v>
      </c>
      <c r="BD988" s="26">
        <v>44020</v>
      </c>
      <c r="BE988" s="135" t="s">
        <v>3878</v>
      </c>
      <c r="BF988" s="135" t="s">
        <v>3878</v>
      </c>
      <c r="BG988" s="135" t="s">
        <v>52</v>
      </c>
      <c r="BH988" s="135"/>
      <c r="BI988" s="314" t="s">
        <v>124</v>
      </c>
      <c r="BJ988" s="314" t="s">
        <v>148</v>
      </c>
      <c r="BK988" s="24"/>
      <c r="BL988" s="24"/>
      <c r="BM988" s="24"/>
      <c r="BN988" s="24"/>
      <c r="BO988" s="24"/>
      <c r="BP988" s="24"/>
      <c r="BQ988" s="24"/>
      <c r="BR988" s="43"/>
      <c r="BS988" s="24"/>
      <c r="BT988" s="24"/>
      <c r="BU988" s="24"/>
      <c r="BV988" s="132" t="e">
        <f>IF(#REF!="COMPLETO","OK","PENDIENTES")</f>
        <v>#REF!</v>
      </c>
      <c r="BW988" s="325"/>
      <c r="BX988" s="325"/>
      <c r="BY988" s="325"/>
      <c r="BZ988" s="325"/>
      <c r="CA988" s="325"/>
      <c r="CB988" s="325"/>
      <c r="CC988" s="258"/>
      <c r="CG988" s="24" t="s">
        <v>105</v>
      </c>
      <c r="CH988" s="24"/>
      <c r="CI988" s="164"/>
      <c r="CJ988" s="164"/>
    </row>
    <row r="989" spans="1:88" ht="15" customHeight="1">
      <c r="A989" s="18">
        <v>2020</v>
      </c>
      <c r="B989" s="18" t="str">
        <f>+INDEX(BDD!F:F,MATCH(P989,BDD!D:D,0))&amp;"-"&amp;INDEX(BDD!E:E,MATCH(P989,BDD!D:D,0))</f>
        <v>S-S</v>
      </c>
      <c r="C989" s="125" t="s">
        <v>484</v>
      </c>
      <c r="D989" s="150" t="s">
        <v>77</v>
      </c>
      <c r="E989" s="132"/>
      <c r="F989" s="24"/>
      <c r="G989" s="346">
        <v>8000000933</v>
      </c>
      <c r="H989" s="125" t="s">
        <v>3879</v>
      </c>
      <c r="I989" s="329"/>
      <c r="J989" s="346">
        <v>8000000933</v>
      </c>
      <c r="K989" s="24"/>
      <c r="L989" s="24"/>
      <c r="M989" s="24"/>
      <c r="N989" s="340" t="s">
        <v>486</v>
      </c>
      <c r="O989" s="334">
        <v>206971</v>
      </c>
      <c r="P989" s="25" t="s">
        <v>340</v>
      </c>
      <c r="Q989" s="127" t="s">
        <v>297</v>
      </c>
      <c r="R989" s="232" t="s">
        <v>3880</v>
      </c>
      <c r="S989" s="89">
        <v>43958</v>
      </c>
      <c r="T989" s="36">
        <v>90</v>
      </c>
      <c r="U989" s="125" t="s">
        <v>118</v>
      </c>
      <c r="V989" s="147" t="s">
        <v>3881</v>
      </c>
      <c r="W989" s="129"/>
      <c r="X989" s="88">
        <f>+BD989+T989</f>
        <v>44097</v>
      </c>
      <c r="Y989" s="130" t="s">
        <v>20</v>
      </c>
      <c r="Z989" s="133" t="s">
        <v>60</v>
      </c>
      <c r="AA989" s="133"/>
      <c r="AB989" s="241">
        <v>500</v>
      </c>
      <c r="AC989" s="134">
        <v>443</v>
      </c>
      <c r="AD989" s="134"/>
      <c r="AE989" s="403">
        <f t="shared" si="55"/>
        <v>221500</v>
      </c>
      <c r="AF989" s="132">
        <v>20</v>
      </c>
      <c r="AG989" s="130" t="s">
        <v>5</v>
      </c>
      <c r="AH989" s="130"/>
      <c r="AI989" s="130" t="s">
        <v>34</v>
      </c>
      <c r="AJ989" s="130"/>
      <c r="AK989" s="130"/>
      <c r="AL989" s="135" t="s">
        <v>3865</v>
      </c>
      <c r="AM989" s="314"/>
      <c r="AN989" s="26"/>
      <c r="AO989" s="26"/>
      <c r="AP989" s="26"/>
      <c r="AQ989" s="26">
        <v>44041</v>
      </c>
      <c r="AR989" s="24"/>
      <c r="AS989" s="24"/>
      <c r="AT989" s="24">
        <v>44046</v>
      </c>
      <c r="AU989" s="418">
        <f t="shared" si="56"/>
        <v>8</v>
      </c>
      <c r="AV989" s="418">
        <f t="shared" si="57"/>
        <v>2020</v>
      </c>
      <c r="AW989" s="24"/>
      <c r="AX989" s="28"/>
      <c r="AY989" s="28" t="s">
        <v>197</v>
      </c>
      <c r="AZ989" s="132" t="s">
        <v>37</v>
      </c>
      <c r="BA989" s="132"/>
      <c r="BB989" s="24" t="s">
        <v>3291</v>
      </c>
      <c r="BC989" s="135" t="s">
        <v>3882</v>
      </c>
      <c r="BD989" s="24">
        <v>44007</v>
      </c>
      <c r="BE989" s="135" t="s">
        <v>3883</v>
      </c>
      <c r="BF989" s="135" t="s">
        <v>3883</v>
      </c>
      <c r="BG989" s="135" t="s">
        <v>206</v>
      </c>
      <c r="BH989" s="135"/>
      <c r="BI989" s="314" t="s">
        <v>124</v>
      </c>
      <c r="BJ989" s="314"/>
      <c r="BK989" s="24"/>
      <c r="BL989" s="24"/>
      <c r="BM989" s="24"/>
      <c r="BN989" s="24"/>
      <c r="BO989" s="24"/>
      <c r="BP989" s="24"/>
      <c r="BQ989" s="24"/>
      <c r="BR989" s="43"/>
      <c r="BS989" s="24"/>
      <c r="BT989" s="24"/>
      <c r="BU989" s="24"/>
      <c r="BV989" s="132" t="e">
        <f>IF(#REF!="COMPLETO","OK","PENDIENTES")</f>
        <v>#REF!</v>
      </c>
      <c r="BW989" s="325"/>
      <c r="BX989" s="325"/>
      <c r="BY989" s="325"/>
      <c r="BZ989" s="325"/>
      <c r="CA989" s="325"/>
      <c r="CB989" s="325"/>
      <c r="CC989" s="258"/>
      <c r="CG989" s="24" t="s">
        <v>105</v>
      </c>
      <c r="CH989" s="24"/>
      <c r="CI989" s="24"/>
      <c r="CJ989" s="24"/>
    </row>
    <row r="990" spans="1:88" ht="15" customHeight="1">
      <c r="A990" s="18">
        <v>2020</v>
      </c>
      <c r="B990" s="18" t="str">
        <f>+INDEX(BDD!F:F,MATCH(P990,BDD!D:D,0))&amp;"-"&amp;INDEX(BDD!E:E,MATCH(P990,BDD!D:D,0))</f>
        <v>S-S</v>
      </c>
      <c r="C990" s="125" t="s">
        <v>484</v>
      </c>
      <c r="D990" s="150" t="s">
        <v>77</v>
      </c>
      <c r="E990" s="132"/>
      <c r="F990" s="24"/>
      <c r="G990" s="346">
        <v>8000000934</v>
      </c>
      <c r="H990" s="125" t="s">
        <v>3884</v>
      </c>
      <c r="I990" s="329"/>
      <c r="J990" s="346">
        <v>8000000934</v>
      </c>
      <c r="K990" s="24"/>
      <c r="L990" s="24"/>
      <c r="M990" s="24"/>
      <c r="N990" s="340" t="s">
        <v>486</v>
      </c>
      <c r="O990" s="334">
        <v>206971</v>
      </c>
      <c r="P990" s="25" t="s">
        <v>340</v>
      </c>
      <c r="Q990" s="127" t="s">
        <v>297</v>
      </c>
      <c r="R990" s="232" t="s">
        <v>3885</v>
      </c>
      <c r="S990" s="89">
        <v>43958</v>
      </c>
      <c r="T990" s="36">
        <v>90</v>
      </c>
      <c r="U990" s="125" t="s">
        <v>118</v>
      </c>
      <c r="V990" s="147" t="s">
        <v>3886</v>
      </c>
      <c r="W990" s="129"/>
      <c r="X990" s="88">
        <v>44090</v>
      </c>
      <c r="Y990" s="130" t="s">
        <v>20</v>
      </c>
      <c r="Z990" s="133" t="s">
        <v>60</v>
      </c>
      <c r="AA990" s="133"/>
      <c r="AB990" s="241">
        <v>1000</v>
      </c>
      <c r="AC990" s="134">
        <v>453</v>
      </c>
      <c r="AD990" s="134"/>
      <c r="AE990" s="403">
        <f t="shared" si="55"/>
        <v>453000</v>
      </c>
      <c r="AF990" s="132">
        <v>40</v>
      </c>
      <c r="AG990" s="130" t="s">
        <v>21</v>
      </c>
      <c r="AH990" s="130"/>
      <c r="AI990" s="130" t="s">
        <v>34</v>
      </c>
      <c r="AJ990" s="130"/>
      <c r="AK990" s="130"/>
      <c r="AL990" s="135" t="s">
        <v>3865</v>
      </c>
      <c r="AM990" s="314"/>
      <c r="AN990" s="26"/>
      <c r="AO990" s="26"/>
      <c r="AP990" s="26"/>
      <c r="AQ990" s="26">
        <v>44041</v>
      </c>
      <c r="AR990" s="24"/>
      <c r="AS990" s="24"/>
      <c r="AT990" s="24">
        <v>44050</v>
      </c>
      <c r="AU990" s="418">
        <f t="shared" si="56"/>
        <v>8</v>
      </c>
      <c r="AV990" s="418">
        <f t="shared" si="57"/>
        <v>2020</v>
      </c>
      <c r="AW990" s="24"/>
      <c r="AX990" s="28"/>
      <c r="AY990" s="28" t="s">
        <v>193</v>
      </c>
      <c r="AZ990" s="132" t="s">
        <v>9</v>
      </c>
      <c r="BA990" s="132"/>
      <c r="BB990" s="24" t="s">
        <v>3519</v>
      </c>
      <c r="BC990" s="135" t="s">
        <v>3887</v>
      </c>
      <c r="BD990" s="24">
        <v>43999</v>
      </c>
      <c r="BE990" s="135" t="s">
        <v>3888</v>
      </c>
      <c r="BF990" s="135" t="s">
        <v>1807</v>
      </c>
      <c r="BG990" s="135" t="s">
        <v>64</v>
      </c>
      <c r="BH990" s="135"/>
      <c r="BI990" s="314" t="s">
        <v>124</v>
      </c>
      <c r="BJ990" s="314"/>
      <c r="BK990" s="24"/>
      <c r="BL990" s="24"/>
      <c r="BM990" s="24"/>
      <c r="BN990" s="24"/>
      <c r="BO990" s="24"/>
      <c r="BP990" s="24"/>
      <c r="BQ990" s="24"/>
      <c r="BR990" s="43"/>
      <c r="BS990" s="24"/>
      <c r="BT990" s="24"/>
      <c r="BU990" s="24"/>
      <c r="BV990" s="132" t="e">
        <f>IF(#REF!="COMPLETO","OK","PENDIENTES")</f>
        <v>#REF!</v>
      </c>
      <c r="BW990" s="325"/>
      <c r="BX990" s="325"/>
      <c r="BY990" s="325"/>
      <c r="BZ990" s="325"/>
      <c r="CA990" s="325"/>
      <c r="CB990" s="325"/>
      <c r="CC990" s="258"/>
      <c r="CG990" s="24" t="s">
        <v>105</v>
      </c>
      <c r="CH990" s="24"/>
      <c r="CI990" s="24"/>
      <c r="CJ990" s="24"/>
    </row>
    <row r="991" spans="1:88" ht="15" customHeight="1">
      <c r="A991" s="18">
        <v>2020</v>
      </c>
      <c r="B991" s="18" t="str">
        <f>+INDEX(BDD!F:F,MATCH(P991,BDD!D:D,0))&amp;"-"&amp;INDEX(BDD!E:E,MATCH(P991,BDD!D:D,0))</f>
        <v>S-S</v>
      </c>
      <c r="C991" s="125" t="s">
        <v>484</v>
      </c>
      <c r="D991" s="150" t="s">
        <v>77</v>
      </c>
      <c r="E991" s="132"/>
      <c r="F991" s="24"/>
      <c r="G991" s="346">
        <v>8000000946</v>
      </c>
      <c r="H991" s="125" t="s">
        <v>3889</v>
      </c>
      <c r="I991" s="329"/>
      <c r="J991" s="346">
        <v>8000000946</v>
      </c>
      <c r="K991" s="24"/>
      <c r="L991" s="24"/>
      <c r="M991" s="24"/>
      <c r="N991" s="340" t="s">
        <v>486</v>
      </c>
      <c r="O991" s="334">
        <v>206971</v>
      </c>
      <c r="P991" s="25" t="s">
        <v>340</v>
      </c>
      <c r="Q991" s="127" t="s">
        <v>297</v>
      </c>
      <c r="R991" s="232" t="s">
        <v>3885</v>
      </c>
      <c r="S991" s="89">
        <v>43958</v>
      </c>
      <c r="T991" s="36">
        <v>90</v>
      </c>
      <c r="U991" s="125" t="s">
        <v>118</v>
      </c>
      <c r="V991" s="147" t="s">
        <v>3890</v>
      </c>
      <c r="W991" s="129"/>
      <c r="X991" s="88">
        <f>+BD991+T991</f>
        <v>44100</v>
      </c>
      <c r="Y991" s="130" t="s">
        <v>20</v>
      </c>
      <c r="Z991" s="133" t="s">
        <v>60</v>
      </c>
      <c r="AA991" s="133"/>
      <c r="AB991" s="241">
        <v>1000</v>
      </c>
      <c r="AC991" s="134">
        <v>453</v>
      </c>
      <c r="AD991" s="134"/>
      <c r="AE991" s="403">
        <f t="shared" si="55"/>
        <v>453000</v>
      </c>
      <c r="AF991" s="132">
        <v>40</v>
      </c>
      <c r="AG991" s="130" t="s">
        <v>21</v>
      </c>
      <c r="AH991" s="130"/>
      <c r="AI991" s="130" t="s">
        <v>34</v>
      </c>
      <c r="AJ991" s="130"/>
      <c r="AK991" s="130"/>
      <c r="AL991" s="135" t="s">
        <v>3865</v>
      </c>
      <c r="AM991" s="314"/>
      <c r="AN991" s="26"/>
      <c r="AO991" s="26"/>
      <c r="AP991" s="26"/>
      <c r="AQ991" s="26">
        <v>44055</v>
      </c>
      <c r="AR991" s="24"/>
      <c r="AS991" s="24"/>
      <c r="AT991" s="24">
        <v>44063</v>
      </c>
      <c r="AU991" s="418">
        <f t="shared" si="56"/>
        <v>8</v>
      </c>
      <c r="AV991" s="418">
        <f t="shared" si="57"/>
        <v>2020</v>
      </c>
      <c r="AW991" s="24"/>
      <c r="AX991" s="28"/>
      <c r="AY991" s="28" t="s">
        <v>193</v>
      </c>
      <c r="AZ991" s="132" t="s">
        <v>9</v>
      </c>
      <c r="BA991" s="132"/>
      <c r="BB991" s="24" t="s">
        <v>3519</v>
      </c>
      <c r="BC991" s="135" t="s">
        <v>3891</v>
      </c>
      <c r="BD991" s="24">
        <v>44010</v>
      </c>
      <c r="BE991" s="135" t="s">
        <v>3892</v>
      </c>
      <c r="BF991" s="135" t="s">
        <v>1806</v>
      </c>
      <c r="BG991" s="135" t="s">
        <v>64</v>
      </c>
      <c r="BH991" s="135"/>
      <c r="BI991" s="314" t="s">
        <v>124</v>
      </c>
      <c r="BJ991" s="314"/>
      <c r="BK991" s="24"/>
      <c r="BL991" s="24"/>
      <c r="BM991" s="24"/>
      <c r="BN991" s="24"/>
      <c r="BO991" s="24"/>
      <c r="BP991" s="24"/>
      <c r="BQ991" s="24"/>
      <c r="BR991" s="43"/>
      <c r="BS991" s="24"/>
      <c r="BT991" s="24"/>
      <c r="BU991" s="24"/>
      <c r="BV991" s="132" t="e">
        <f>IF(#REF!="COMPLETO","OK","PENDIENTES")</f>
        <v>#REF!</v>
      </c>
      <c r="BW991" s="325"/>
      <c r="BX991" s="325"/>
      <c r="BY991" s="325"/>
      <c r="BZ991" s="325"/>
      <c r="CA991" s="325"/>
      <c r="CB991" s="325"/>
      <c r="CC991" s="258"/>
      <c r="CG991" s="24" t="s">
        <v>105</v>
      </c>
      <c r="CH991" s="24"/>
      <c r="CI991" s="24"/>
      <c r="CJ991" s="24"/>
    </row>
    <row r="992" spans="1:88" ht="15" customHeight="1">
      <c r="A992" s="18">
        <v>2020</v>
      </c>
      <c r="B992" s="18" t="str">
        <f>+INDEX(BDD!F:F,MATCH(P992,BDD!D:D,0))&amp;"-"&amp;INDEX(BDD!E:E,MATCH(P992,BDD!D:D,0))</f>
        <v>T-S</v>
      </c>
      <c r="C992" s="125" t="s">
        <v>484</v>
      </c>
      <c r="D992" s="150" t="s">
        <v>77</v>
      </c>
      <c r="E992" s="132"/>
      <c r="F992" s="24"/>
      <c r="G992" s="346">
        <v>8000000792</v>
      </c>
      <c r="H992" s="125" t="s">
        <v>3893</v>
      </c>
      <c r="I992" s="329"/>
      <c r="J992" s="346">
        <v>8000000792</v>
      </c>
      <c r="K992" s="24"/>
      <c r="L992" s="24"/>
      <c r="M992" s="24"/>
      <c r="N992" s="340" t="s">
        <v>486</v>
      </c>
      <c r="O992" s="334">
        <v>208073</v>
      </c>
      <c r="P992" s="25" t="s">
        <v>382</v>
      </c>
      <c r="Q992" s="127" t="s">
        <v>303</v>
      </c>
      <c r="R992" s="232" t="s">
        <v>3894</v>
      </c>
      <c r="S992" s="89">
        <v>44301</v>
      </c>
      <c r="T992" s="36">
        <v>30</v>
      </c>
      <c r="U992" s="125" t="s">
        <v>118</v>
      </c>
      <c r="V992" s="147" t="s">
        <v>3895</v>
      </c>
      <c r="W992" s="129"/>
      <c r="X992" s="88">
        <f>+BD992+T992</f>
        <v>44003</v>
      </c>
      <c r="Y992" s="130" t="s">
        <v>20</v>
      </c>
      <c r="Z992" s="133" t="s">
        <v>60</v>
      </c>
      <c r="AA992" s="133"/>
      <c r="AB992" s="241">
        <v>216</v>
      </c>
      <c r="AC992" s="134">
        <v>242.44</v>
      </c>
      <c r="AD992" s="134"/>
      <c r="AE992" s="403">
        <f t="shared" si="55"/>
        <v>52367.040000000001</v>
      </c>
      <c r="AF992" s="132">
        <v>9</v>
      </c>
      <c r="AG992" s="130" t="s">
        <v>5</v>
      </c>
      <c r="AH992" s="130"/>
      <c r="AI992" s="130" t="s">
        <v>71</v>
      </c>
      <c r="AJ992" s="130"/>
      <c r="AK992" s="130"/>
      <c r="AL992" s="135" t="s">
        <v>3591</v>
      </c>
      <c r="AM992" s="314"/>
      <c r="AN992" s="26"/>
      <c r="AO992" s="26"/>
      <c r="AP992" s="26"/>
      <c r="AQ992" s="26">
        <v>43978</v>
      </c>
      <c r="AR992" s="24"/>
      <c r="AS992" s="24"/>
      <c r="AT992" s="26">
        <v>43980</v>
      </c>
      <c r="AU992" s="418">
        <f t="shared" si="56"/>
        <v>5</v>
      </c>
      <c r="AV992" s="418">
        <f t="shared" si="57"/>
        <v>2020</v>
      </c>
      <c r="AW992" s="26"/>
      <c r="AX992" s="28"/>
      <c r="AY992" s="28" t="s">
        <v>3415</v>
      </c>
      <c r="AZ992" s="132" t="s">
        <v>9</v>
      </c>
      <c r="BA992" s="132"/>
      <c r="BB992" s="24" t="s">
        <v>2956</v>
      </c>
      <c r="BC992" s="135" t="s">
        <v>3896</v>
      </c>
      <c r="BD992" s="24">
        <v>43973</v>
      </c>
      <c r="BE992" s="135" t="s">
        <v>2560</v>
      </c>
      <c r="BF992" s="135" t="s">
        <v>2560</v>
      </c>
      <c r="BG992" s="135" t="s">
        <v>29</v>
      </c>
      <c r="BH992" s="135"/>
      <c r="BI992" s="314" t="s">
        <v>124</v>
      </c>
      <c r="BJ992" s="314"/>
      <c r="BK992" s="24"/>
      <c r="BL992" s="24"/>
      <c r="BM992" s="24"/>
      <c r="BN992" s="24"/>
      <c r="BO992" s="24">
        <v>43998</v>
      </c>
      <c r="BP992" s="24"/>
      <c r="BQ992" s="24"/>
      <c r="BR992" s="43"/>
      <c r="BS992" s="24"/>
      <c r="BT992" s="24"/>
      <c r="BU992" s="24"/>
      <c r="BV992" s="132" t="e">
        <f>IF(#REF!="COMPLETO","OK","PENDIENTES")</f>
        <v>#REF!</v>
      </c>
      <c r="BW992" s="325"/>
      <c r="BX992" s="325"/>
      <c r="BY992" s="325"/>
      <c r="BZ992" s="325"/>
      <c r="CA992" s="325"/>
      <c r="CB992" s="325"/>
      <c r="CC992" s="258"/>
      <c r="CG992" s="24" t="s">
        <v>105</v>
      </c>
      <c r="CH992" s="24"/>
      <c r="CI992" s="26"/>
      <c r="CJ992" s="26"/>
    </row>
    <row r="993" spans="1:88" ht="15" customHeight="1">
      <c r="A993" s="18">
        <v>2020</v>
      </c>
      <c r="B993" s="18" t="str">
        <f>+INDEX(BDD!F:F,MATCH(P993,BDD!D:D,0))&amp;"-"&amp;INDEX(BDD!E:E,MATCH(P993,BDD!D:D,0))</f>
        <v>T-S</v>
      </c>
      <c r="C993" s="125" t="s">
        <v>484</v>
      </c>
      <c r="D993" s="150" t="s">
        <v>77</v>
      </c>
      <c r="E993" s="132"/>
      <c r="F993" s="24"/>
      <c r="G993" s="346">
        <v>8000000791</v>
      </c>
      <c r="H993" s="125" t="s">
        <v>3897</v>
      </c>
      <c r="I993" s="329"/>
      <c r="J993" s="346">
        <v>8000000791</v>
      </c>
      <c r="K993" s="24"/>
      <c r="L993" s="24"/>
      <c r="M993" s="24"/>
      <c r="N993" s="340" t="s">
        <v>486</v>
      </c>
      <c r="O993" s="334">
        <v>208067</v>
      </c>
      <c r="P993" s="25" t="s">
        <v>383</v>
      </c>
      <c r="Q993" s="127" t="s">
        <v>303</v>
      </c>
      <c r="R993" s="232" t="s">
        <v>3898</v>
      </c>
      <c r="S993" s="89" t="s">
        <v>489</v>
      </c>
      <c r="T993" s="36">
        <v>30</v>
      </c>
      <c r="U993" s="125" t="s">
        <v>118</v>
      </c>
      <c r="V993" s="147" t="s">
        <v>3899</v>
      </c>
      <c r="W993" s="129"/>
      <c r="X993" s="88">
        <f>+BD993+T993</f>
        <v>44011</v>
      </c>
      <c r="Y993" s="130" t="s">
        <v>20</v>
      </c>
      <c r="Z993" s="133" t="s">
        <v>60</v>
      </c>
      <c r="AA993" s="133"/>
      <c r="AB993" s="241">
        <v>200</v>
      </c>
      <c r="AC993" s="134">
        <v>242.44</v>
      </c>
      <c r="AD993" s="134"/>
      <c r="AE993" s="403">
        <f t="shared" si="55"/>
        <v>48488</v>
      </c>
      <c r="AF993" s="132">
        <v>8</v>
      </c>
      <c r="AG993" s="130" t="s">
        <v>5</v>
      </c>
      <c r="AH993" s="130"/>
      <c r="AI993" s="130" t="s">
        <v>34</v>
      </c>
      <c r="AJ993" s="130"/>
      <c r="AK993" s="130"/>
      <c r="AL993" s="135" t="s">
        <v>3591</v>
      </c>
      <c r="AM993" s="314"/>
      <c r="AN993" s="26"/>
      <c r="AO993" s="26"/>
      <c r="AP993" s="26"/>
      <c r="AQ993" s="26">
        <v>43985</v>
      </c>
      <c r="AR993" s="24"/>
      <c r="AS993" s="24"/>
      <c r="AT993" s="24">
        <v>43993</v>
      </c>
      <c r="AU993" s="418">
        <f t="shared" si="56"/>
        <v>6</v>
      </c>
      <c r="AV993" s="418">
        <f t="shared" si="57"/>
        <v>2020</v>
      </c>
      <c r="AW993" s="24"/>
      <c r="AX993" s="28"/>
      <c r="AY993" s="28" t="s">
        <v>3415</v>
      </c>
      <c r="AZ993" s="132" t="s">
        <v>9</v>
      </c>
      <c r="BA993" s="132"/>
      <c r="BB993" s="24" t="s">
        <v>3264</v>
      </c>
      <c r="BC993" s="135" t="s">
        <v>3900</v>
      </c>
      <c r="BD993" s="24">
        <v>43981</v>
      </c>
      <c r="BE993" s="135" t="s">
        <v>1807</v>
      </c>
      <c r="BF993" s="135" t="s">
        <v>1807</v>
      </c>
      <c r="BG993" s="135" t="s">
        <v>64</v>
      </c>
      <c r="BH993" s="135"/>
      <c r="BI993" s="314" t="s">
        <v>124</v>
      </c>
      <c r="BJ993" s="314"/>
      <c r="BK993" s="24"/>
      <c r="BL993" s="24"/>
      <c r="BM993" s="24"/>
      <c r="BN993" s="24"/>
      <c r="BO993" s="24"/>
      <c r="BP993" s="24"/>
      <c r="BQ993" s="24"/>
      <c r="BR993" s="43"/>
      <c r="BS993" s="24"/>
      <c r="BT993" s="24"/>
      <c r="BU993" s="24"/>
      <c r="BV993" s="132" t="e">
        <f>IF(#REF!="COMPLETO","OK","PENDIENTES")</f>
        <v>#REF!</v>
      </c>
      <c r="BW993" s="325"/>
      <c r="BX993" s="325"/>
      <c r="BY993" s="325"/>
      <c r="BZ993" s="325"/>
      <c r="CA993" s="325"/>
      <c r="CB993" s="325"/>
      <c r="CC993" s="258"/>
      <c r="CG993" s="24" t="s">
        <v>105</v>
      </c>
      <c r="CH993" s="24"/>
      <c r="CI993" s="24"/>
      <c r="CJ993" s="24"/>
    </row>
    <row r="994" spans="1:88" ht="15" customHeight="1">
      <c r="A994" s="18">
        <v>2020</v>
      </c>
      <c r="B994" s="18" t="str">
        <f>+INDEX(BDD!F:F,MATCH(P994,BDD!D:D,0))&amp;"-"&amp;INDEX(BDD!E:E,MATCH(P994,BDD!D:D,0))</f>
        <v>T-S</v>
      </c>
      <c r="C994" s="125" t="s">
        <v>484</v>
      </c>
      <c r="D994" s="150" t="s">
        <v>77</v>
      </c>
      <c r="E994" s="132"/>
      <c r="F994" s="24"/>
      <c r="G994" s="346">
        <v>8000000788</v>
      </c>
      <c r="H994" s="125" t="s">
        <v>3901</v>
      </c>
      <c r="I994" s="329"/>
      <c r="J994" s="346">
        <v>8000000788</v>
      </c>
      <c r="K994" s="24"/>
      <c r="L994" s="24"/>
      <c r="M994" s="24"/>
      <c r="N994" s="340" t="s">
        <v>486</v>
      </c>
      <c r="O994" s="334">
        <v>208067</v>
      </c>
      <c r="P994" s="25" t="s">
        <v>383</v>
      </c>
      <c r="Q994" s="127" t="s">
        <v>303</v>
      </c>
      <c r="R994" s="232" t="s">
        <v>3902</v>
      </c>
      <c r="S994" s="89" t="s">
        <v>489</v>
      </c>
      <c r="T994" s="36">
        <v>30</v>
      </c>
      <c r="U994" s="125" t="s">
        <v>118</v>
      </c>
      <c r="V994" s="147" t="s">
        <v>3903</v>
      </c>
      <c r="W994" s="129"/>
      <c r="X994" s="88">
        <f>+BD994+T994</f>
        <v>44006</v>
      </c>
      <c r="Y994" s="130" t="s">
        <v>20</v>
      </c>
      <c r="Z994" s="133" t="s">
        <v>60</v>
      </c>
      <c r="AA994" s="133"/>
      <c r="AB994" s="241">
        <v>250</v>
      </c>
      <c r="AC994" s="134">
        <v>242.44</v>
      </c>
      <c r="AD994" s="134"/>
      <c r="AE994" s="403">
        <f t="shared" si="55"/>
        <v>60610</v>
      </c>
      <c r="AF994" s="132">
        <v>10</v>
      </c>
      <c r="AG994" s="130" t="s">
        <v>5</v>
      </c>
      <c r="AH994" s="130"/>
      <c r="AI994" s="130" t="s">
        <v>34</v>
      </c>
      <c r="AJ994" s="130"/>
      <c r="AK994" s="130"/>
      <c r="AL994" s="135" t="s">
        <v>3591</v>
      </c>
      <c r="AM994" s="314"/>
      <c r="AN994" s="26"/>
      <c r="AO994" s="26"/>
      <c r="AP994" s="26"/>
      <c r="AQ994" s="26">
        <v>43986</v>
      </c>
      <c r="AR994" s="24"/>
      <c r="AS994" s="24"/>
      <c r="AT994" s="24">
        <v>43991</v>
      </c>
      <c r="AU994" s="418">
        <f t="shared" si="56"/>
        <v>6</v>
      </c>
      <c r="AV994" s="418">
        <f t="shared" si="57"/>
        <v>2020</v>
      </c>
      <c r="AW994" s="24"/>
      <c r="AX994" s="28"/>
      <c r="AY994" s="28" t="s">
        <v>3415</v>
      </c>
      <c r="AZ994" s="132" t="s">
        <v>37</v>
      </c>
      <c r="BA994" s="132"/>
      <c r="BB994" s="24" t="s">
        <v>2956</v>
      </c>
      <c r="BC994" s="135" t="s">
        <v>3904</v>
      </c>
      <c r="BD994" s="24">
        <v>43976</v>
      </c>
      <c r="BE994" s="135" t="s">
        <v>3905</v>
      </c>
      <c r="BF994" s="135" t="s">
        <v>3905</v>
      </c>
      <c r="BG994" s="135" t="s">
        <v>14</v>
      </c>
      <c r="BH994" s="135"/>
      <c r="BI994" s="314" t="s">
        <v>124</v>
      </c>
      <c r="BJ994" s="314"/>
      <c r="BK994" s="24"/>
      <c r="BL994" s="24"/>
      <c r="BM994" s="24"/>
      <c r="BN994" s="24"/>
      <c r="BO994" s="24"/>
      <c r="BP994" s="24"/>
      <c r="BQ994" s="24"/>
      <c r="BR994" s="43"/>
      <c r="BS994" s="24"/>
      <c r="BT994" s="24"/>
      <c r="BU994" s="24"/>
      <c r="BV994" s="132" t="e">
        <f>IF(#REF!="COMPLETO","OK","PENDIENTES")</f>
        <v>#REF!</v>
      </c>
      <c r="BW994" s="325"/>
      <c r="BX994" s="325"/>
      <c r="BY994" s="325"/>
      <c r="BZ994" s="325"/>
      <c r="CA994" s="325"/>
      <c r="CB994" s="325"/>
      <c r="CC994" s="258"/>
      <c r="CG994" s="24" t="s">
        <v>105</v>
      </c>
      <c r="CH994" s="24"/>
      <c r="CI994" s="24"/>
      <c r="CJ994" s="24"/>
    </row>
    <row r="995" spans="1:88" ht="15" customHeight="1">
      <c r="A995" s="18">
        <v>2020</v>
      </c>
      <c r="B995" s="18" t="str">
        <f>+INDEX(BDD!F:F,MATCH(P995,BDD!D:D,0))&amp;"-"&amp;INDEX(BDD!E:E,MATCH(P995,BDD!D:D,0))</f>
        <v>S-S</v>
      </c>
      <c r="C995" s="125" t="s">
        <v>484</v>
      </c>
      <c r="D995" s="150" t="s">
        <v>77</v>
      </c>
      <c r="E995" s="132"/>
      <c r="F995" s="24"/>
      <c r="G995" s="346">
        <v>8000000900</v>
      </c>
      <c r="H995" s="125" t="s">
        <v>3906</v>
      </c>
      <c r="I995" s="329"/>
      <c r="J995" s="346">
        <v>8000000900</v>
      </c>
      <c r="K995" s="24"/>
      <c r="L995" s="24"/>
      <c r="M995" s="24"/>
      <c r="N995" s="340" t="s">
        <v>486</v>
      </c>
      <c r="O995" s="334">
        <v>206966</v>
      </c>
      <c r="P995" s="25" t="s">
        <v>152</v>
      </c>
      <c r="Q995" s="127" t="s">
        <v>136</v>
      </c>
      <c r="R995" s="232" t="s">
        <v>3907</v>
      </c>
      <c r="S995" s="89">
        <v>43952</v>
      </c>
      <c r="T995" s="36" t="s">
        <v>19</v>
      </c>
      <c r="U995" s="125"/>
      <c r="V995" s="147" t="s">
        <v>3908</v>
      </c>
      <c r="W995" s="129"/>
      <c r="X995" s="88">
        <v>43994</v>
      </c>
      <c r="Y995" s="130" t="s">
        <v>20</v>
      </c>
      <c r="Z995" s="133" t="s">
        <v>60</v>
      </c>
      <c r="AA995" s="133"/>
      <c r="AB995" s="241">
        <v>450</v>
      </c>
      <c r="AC995" s="134">
        <v>586</v>
      </c>
      <c r="AD995" s="134"/>
      <c r="AE995" s="403">
        <f t="shared" si="55"/>
        <v>263700</v>
      </c>
      <c r="AF995" s="132"/>
      <c r="AG995" s="130" t="s">
        <v>58</v>
      </c>
      <c r="AH995" s="130"/>
      <c r="AI995" s="130" t="s">
        <v>34</v>
      </c>
      <c r="AJ995" s="130"/>
      <c r="AK995" s="130"/>
      <c r="AL995" s="135" t="s">
        <v>3591</v>
      </c>
      <c r="AM995" s="314"/>
      <c r="AN995" s="26"/>
      <c r="AO995" s="26"/>
      <c r="AP995" s="26"/>
      <c r="AQ995" s="26">
        <v>44029</v>
      </c>
      <c r="AR995" s="24"/>
      <c r="AS995" s="24"/>
      <c r="AT995" s="24">
        <v>44035</v>
      </c>
      <c r="AU995" s="418">
        <f t="shared" si="56"/>
        <v>7</v>
      </c>
      <c r="AV995" s="418">
        <f t="shared" si="57"/>
        <v>2020</v>
      </c>
      <c r="AW995" s="24"/>
      <c r="AX995" s="28"/>
      <c r="AY995" s="28" t="s">
        <v>2889</v>
      </c>
      <c r="AZ995" s="132" t="s">
        <v>37</v>
      </c>
      <c r="BA995" s="132"/>
      <c r="BB995" s="24" t="s">
        <v>3291</v>
      </c>
      <c r="BC995" s="135" t="s">
        <v>3909</v>
      </c>
      <c r="BD995" s="24">
        <v>43982</v>
      </c>
      <c r="BE995" s="135" t="s">
        <v>3731</v>
      </c>
      <c r="BF995" s="135" t="s">
        <v>3731</v>
      </c>
      <c r="BG995" s="135" t="s">
        <v>52</v>
      </c>
      <c r="BH995" s="135"/>
      <c r="BI995" s="314" t="s">
        <v>124</v>
      </c>
      <c r="BJ995" s="314"/>
      <c r="BK995" s="24"/>
      <c r="BL995" s="24"/>
      <c r="BM995" s="24"/>
      <c r="BN995" s="24"/>
      <c r="BO995" s="24"/>
      <c r="BP995" s="24"/>
      <c r="BQ995" s="24"/>
      <c r="BR995" s="43"/>
      <c r="BS995" s="24"/>
      <c r="BT995" s="24"/>
      <c r="BU995" s="24"/>
      <c r="BV995" s="132" t="e">
        <f>IF(#REF!="COMPLETO","OK","PENDIENTES")</f>
        <v>#REF!</v>
      </c>
      <c r="BW995" s="325"/>
      <c r="BX995" s="325"/>
      <c r="BY995" s="325"/>
      <c r="BZ995" s="325"/>
      <c r="CA995" s="325"/>
      <c r="CB995" s="325"/>
      <c r="CC995" s="258"/>
      <c r="CG995" s="24" t="s">
        <v>105</v>
      </c>
      <c r="CH995" s="24"/>
      <c r="CI995" s="24"/>
      <c r="CJ995" s="24"/>
    </row>
    <row r="996" spans="1:88" ht="15" customHeight="1">
      <c r="A996" s="18">
        <v>2020</v>
      </c>
      <c r="B996" s="18" t="str">
        <f>+INDEX(BDD!F:F,MATCH(P996,BDD!D:D,0))&amp;"-"&amp;INDEX(BDD!E:E,MATCH(P996,BDD!D:D,0))</f>
        <v>S-S</v>
      </c>
      <c r="C996" s="125" t="s">
        <v>484</v>
      </c>
      <c r="D996" s="150" t="s">
        <v>77</v>
      </c>
      <c r="E996" s="132"/>
      <c r="F996" s="24"/>
      <c r="G996" s="346">
        <v>8000000864</v>
      </c>
      <c r="H996" s="125" t="s">
        <v>3910</v>
      </c>
      <c r="I996" s="329"/>
      <c r="J996" s="346">
        <v>8000000864</v>
      </c>
      <c r="K996" s="24"/>
      <c r="L996" s="24"/>
      <c r="M996" s="24"/>
      <c r="N996" s="340" t="s">
        <v>486</v>
      </c>
      <c r="O996" s="334">
        <v>206966</v>
      </c>
      <c r="P996" s="25" t="s">
        <v>152</v>
      </c>
      <c r="Q996" s="127" t="s">
        <v>136</v>
      </c>
      <c r="R996" s="232" t="s">
        <v>3907</v>
      </c>
      <c r="S996" s="89">
        <v>43952</v>
      </c>
      <c r="T996" s="36" t="s">
        <v>19</v>
      </c>
      <c r="U996" s="125"/>
      <c r="V996" s="147" t="s">
        <v>3911</v>
      </c>
      <c r="W996" s="129"/>
      <c r="X996" s="88">
        <v>43986</v>
      </c>
      <c r="Y996" s="130" t="s">
        <v>20</v>
      </c>
      <c r="Z996" s="133" t="s">
        <v>60</v>
      </c>
      <c r="AA996" s="133"/>
      <c r="AB996" s="241">
        <v>400</v>
      </c>
      <c r="AC996" s="134">
        <v>596</v>
      </c>
      <c r="AD996" s="134"/>
      <c r="AE996" s="403">
        <f t="shared" si="55"/>
        <v>238400</v>
      </c>
      <c r="AF996" s="145" t="s">
        <v>2822</v>
      </c>
      <c r="AG996" s="130" t="s">
        <v>58</v>
      </c>
      <c r="AH996" s="130"/>
      <c r="AI996" s="130" t="s">
        <v>34</v>
      </c>
      <c r="AJ996" s="130"/>
      <c r="AK996" s="130"/>
      <c r="AL996" s="135" t="s">
        <v>3591</v>
      </c>
      <c r="AM996" s="314"/>
      <c r="AN996" s="26"/>
      <c r="AO996" s="26"/>
      <c r="AP996" s="26"/>
      <c r="AQ996" s="26">
        <v>44016</v>
      </c>
      <c r="AR996" s="24"/>
      <c r="AS996" s="24"/>
      <c r="AT996" s="24">
        <v>44024</v>
      </c>
      <c r="AU996" s="418">
        <f t="shared" si="56"/>
        <v>7</v>
      </c>
      <c r="AV996" s="418">
        <f t="shared" si="57"/>
        <v>2020</v>
      </c>
      <c r="AW996" s="24"/>
      <c r="AX996" s="28"/>
      <c r="AY996" s="28" t="s">
        <v>95</v>
      </c>
      <c r="AZ996" s="132" t="s">
        <v>9</v>
      </c>
      <c r="BA996" s="132"/>
      <c r="BB996" s="24" t="s">
        <v>3264</v>
      </c>
      <c r="BC996" s="135" t="s">
        <v>3912</v>
      </c>
      <c r="BD996" s="24">
        <v>43974</v>
      </c>
      <c r="BE996" s="135" t="s">
        <v>3575</v>
      </c>
      <c r="BF996" s="135" t="s">
        <v>3575</v>
      </c>
      <c r="BG996" s="135" t="s">
        <v>52</v>
      </c>
      <c r="BH996" s="135"/>
      <c r="BI996" s="314" t="s">
        <v>124</v>
      </c>
      <c r="BJ996" s="314"/>
      <c r="BK996" s="26"/>
      <c r="BL996" s="26"/>
      <c r="BM996" s="26"/>
      <c r="BN996" s="26"/>
      <c r="BO996" s="24"/>
      <c r="BP996" s="24"/>
      <c r="BQ996" s="24"/>
      <c r="BR996" s="43"/>
      <c r="BS996" s="24"/>
      <c r="BT996" s="24"/>
      <c r="BU996" s="24"/>
      <c r="BV996" s="132" t="e">
        <f>IF(#REF!="COMPLETO","OK","PENDIENTES")</f>
        <v>#REF!</v>
      </c>
      <c r="BW996" s="325"/>
      <c r="BX996" s="325"/>
      <c r="BY996" s="325"/>
      <c r="BZ996" s="325"/>
      <c r="CA996" s="325"/>
      <c r="CB996" s="325"/>
      <c r="CC996" s="258"/>
      <c r="CG996" s="24" t="s">
        <v>105</v>
      </c>
      <c r="CH996" s="24"/>
      <c r="CI996" s="24"/>
      <c r="CJ996" s="24"/>
    </row>
    <row r="997" spans="1:88" ht="15" customHeight="1">
      <c r="A997" s="18">
        <v>2020</v>
      </c>
      <c r="B997" s="18" t="str">
        <f>+INDEX(BDD!F:F,MATCH(P997,BDD!D:D,0))&amp;"-"&amp;INDEX(BDD!E:E,MATCH(P997,BDD!D:D,0))</f>
        <v>S-S</v>
      </c>
      <c r="C997" s="125" t="s">
        <v>484</v>
      </c>
      <c r="D997" s="150" t="s">
        <v>77</v>
      </c>
      <c r="E997" s="132"/>
      <c r="F997" s="24"/>
      <c r="G997" s="346">
        <v>8000000920</v>
      </c>
      <c r="H997" s="125" t="s">
        <v>3913</v>
      </c>
      <c r="I997" s="329"/>
      <c r="J997" s="346">
        <v>8000000920</v>
      </c>
      <c r="K997" s="24"/>
      <c r="L997" s="24"/>
      <c r="M997" s="24"/>
      <c r="N997" s="340" t="s">
        <v>486</v>
      </c>
      <c r="O997" s="334">
        <v>203631</v>
      </c>
      <c r="P997" s="25" t="s">
        <v>340</v>
      </c>
      <c r="Q997" s="127" t="s">
        <v>136</v>
      </c>
      <c r="R997" s="232" t="s">
        <v>3914</v>
      </c>
      <c r="S997" s="89">
        <v>43952</v>
      </c>
      <c r="T997" s="36" t="s">
        <v>19</v>
      </c>
      <c r="U997" s="125"/>
      <c r="V997" s="147" t="s">
        <v>3915</v>
      </c>
      <c r="W997" s="129"/>
      <c r="X997" s="88">
        <v>44001</v>
      </c>
      <c r="Y997" s="130" t="s">
        <v>20</v>
      </c>
      <c r="Z997" s="133" t="s">
        <v>60</v>
      </c>
      <c r="AA997" s="133"/>
      <c r="AB997" s="241">
        <v>100</v>
      </c>
      <c r="AC997" s="134">
        <v>445</v>
      </c>
      <c r="AD997" s="134"/>
      <c r="AE997" s="403">
        <f t="shared" si="55"/>
        <v>44500</v>
      </c>
      <c r="AF997" s="132"/>
      <c r="AG997" s="130" t="s">
        <v>58</v>
      </c>
      <c r="AH997" s="130"/>
      <c r="AI997" s="130" t="s">
        <v>34</v>
      </c>
      <c r="AJ997" s="130"/>
      <c r="AK997" s="130"/>
      <c r="AL997" s="135" t="s">
        <v>3591</v>
      </c>
      <c r="AM997" s="314"/>
      <c r="AN997" s="26"/>
      <c r="AO997" s="26"/>
      <c r="AP997" s="26"/>
      <c r="AQ997" s="26">
        <v>44040</v>
      </c>
      <c r="AR997" s="24"/>
      <c r="AS997" s="24"/>
      <c r="AT997" s="24">
        <v>44042</v>
      </c>
      <c r="AU997" s="418">
        <f t="shared" si="56"/>
        <v>7</v>
      </c>
      <c r="AV997" s="418">
        <f t="shared" si="57"/>
        <v>2020</v>
      </c>
      <c r="AW997" s="24"/>
      <c r="AX997" s="28"/>
      <c r="AY997" s="28" t="s">
        <v>95</v>
      </c>
      <c r="AZ997" s="132" t="s">
        <v>62</v>
      </c>
      <c r="BA997" s="132"/>
      <c r="BB997" s="24" t="s">
        <v>3264</v>
      </c>
      <c r="BC997" s="135" t="s">
        <v>3916</v>
      </c>
      <c r="BD997" s="24">
        <v>43984</v>
      </c>
      <c r="BE997" s="135" t="s">
        <v>2683</v>
      </c>
      <c r="BF997" s="135" t="s">
        <v>2683</v>
      </c>
      <c r="BG997" s="135" t="s">
        <v>52</v>
      </c>
      <c r="BH997" s="135"/>
      <c r="BI997" s="314" t="s">
        <v>124</v>
      </c>
      <c r="BJ997" s="314"/>
      <c r="BK997" s="24"/>
      <c r="BL997" s="24"/>
      <c r="BM997" s="24"/>
      <c r="BN997" s="24"/>
      <c r="BO997" s="24"/>
      <c r="BP997" s="24"/>
      <c r="BQ997" s="24"/>
      <c r="BR997" s="43"/>
      <c r="BS997" s="24"/>
      <c r="BT997" s="24"/>
      <c r="BU997" s="24"/>
      <c r="BV997" s="132" t="e">
        <f>IF(#REF!="COMPLETO","OK","PENDIENTES")</f>
        <v>#REF!</v>
      </c>
      <c r="BW997" s="325"/>
      <c r="BX997" s="325"/>
      <c r="BY997" s="325"/>
      <c r="BZ997" s="325"/>
      <c r="CA997" s="325"/>
      <c r="CB997" s="325"/>
      <c r="CC997" s="258"/>
      <c r="CG997" s="24" t="s">
        <v>105</v>
      </c>
      <c r="CH997" s="24"/>
      <c r="CI997" s="24"/>
      <c r="CJ997" s="24"/>
    </row>
    <row r="998" spans="1:88" ht="15" customHeight="1">
      <c r="A998" s="18">
        <v>2020</v>
      </c>
      <c r="B998" s="18" t="str">
        <f>+INDEX(BDD!F:F,MATCH(P998,BDD!D:D,0))&amp;"-"&amp;INDEX(BDD!E:E,MATCH(P998,BDD!D:D,0))</f>
        <v>G-S</v>
      </c>
      <c r="C998" s="125" t="s">
        <v>484</v>
      </c>
      <c r="D998" s="150" t="s">
        <v>77</v>
      </c>
      <c r="E998" s="132"/>
      <c r="F998" s="24"/>
      <c r="G998" s="346">
        <v>8000000944</v>
      </c>
      <c r="H998" s="125" t="s">
        <v>3917</v>
      </c>
      <c r="I998" s="329"/>
      <c r="J998" s="346">
        <v>8000000944</v>
      </c>
      <c r="K998" s="24"/>
      <c r="L998" s="24"/>
      <c r="M998" s="24"/>
      <c r="N998" s="340" t="s">
        <v>486</v>
      </c>
      <c r="O998" s="334">
        <v>206600</v>
      </c>
      <c r="P998" s="25" t="s">
        <v>339</v>
      </c>
      <c r="Q998" s="127" t="s">
        <v>136</v>
      </c>
      <c r="R998" s="232" t="s">
        <v>3918</v>
      </c>
      <c r="S998" s="89">
        <v>43952</v>
      </c>
      <c r="T998" s="36" t="s">
        <v>19</v>
      </c>
      <c r="U998" s="125"/>
      <c r="V998" s="147" t="s">
        <v>3919</v>
      </c>
      <c r="W998" s="129"/>
      <c r="X998" s="88">
        <v>44015</v>
      </c>
      <c r="Y998" s="130" t="s">
        <v>20</v>
      </c>
      <c r="Z998" s="133" t="s">
        <v>60</v>
      </c>
      <c r="AA998" s="133"/>
      <c r="AB998" s="241">
        <v>140</v>
      </c>
      <c r="AC998" s="134">
        <v>416</v>
      </c>
      <c r="AD998" s="134"/>
      <c r="AE998" s="403">
        <f t="shared" si="55"/>
        <v>58240</v>
      </c>
      <c r="AF998" s="132">
        <v>5</v>
      </c>
      <c r="AG998" s="130" t="s">
        <v>21</v>
      </c>
      <c r="AH998" s="130"/>
      <c r="AI998" s="130" t="s">
        <v>47</v>
      </c>
      <c r="AJ998" s="130"/>
      <c r="AK998" s="130"/>
      <c r="AL998" s="135" t="s">
        <v>3591</v>
      </c>
      <c r="AM998" s="314"/>
      <c r="AN998" s="26"/>
      <c r="AO998" s="26"/>
      <c r="AP998" s="26"/>
      <c r="AQ998" s="26">
        <v>44061</v>
      </c>
      <c r="AR998" s="24"/>
      <c r="AS998" s="24"/>
      <c r="AT998" s="24">
        <v>44070</v>
      </c>
      <c r="AU998" s="418">
        <f t="shared" si="56"/>
        <v>8</v>
      </c>
      <c r="AV998" s="418">
        <f t="shared" si="57"/>
        <v>2020</v>
      </c>
      <c r="AW998" s="24"/>
      <c r="AX998" s="28"/>
      <c r="AY998" s="28" t="s">
        <v>311</v>
      </c>
      <c r="AZ998" s="132" t="s">
        <v>9</v>
      </c>
      <c r="BA998" s="132"/>
      <c r="BB998" s="24" t="s">
        <v>3519</v>
      </c>
      <c r="BC998" s="135" t="s">
        <v>3920</v>
      </c>
      <c r="BD998" s="24">
        <v>44008</v>
      </c>
      <c r="BE998" s="135" t="s">
        <v>3921</v>
      </c>
      <c r="BF998" s="135" t="s">
        <v>3922</v>
      </c>
      <c r="BG998" s="135" t="s">
        <v>174</v>
      </c>
      <c r="BH998" s="135"/>
      <c r="BI998" s="314" t="s">
        <v>124</v>
      </c>
      <c r="BJ998" s="314"/>
      <c r="BK998" s="24"/>
      <c r="BL998" s="24"/>
      <c r="BM998" s="24"/>
      <c r="BN998" s="24"/>
      <c r="BO998" s="24">
        <f>+AQ998+15</f>
        <v>44076</v>
      </c>
      <c r="BP998" s="24"/>
      <c r="BQ998" s="24"/>
      <c r="BR998" s="43"/>
      <c r="BS998" s="24"/>
      <c r="BT998" s="24"/>
      <c r="BU998" s="24"/>
      <c r="BV998" s="132" t="e">
        <f>IF(#REF!="COMPLETO","OK","PENDIENTES")</f>
        <v>#REF!</v>
      </c>
      <c r="BW998" s="325"/>
      <c r="BX998" s="325"/>
      <c r="BY998" s="325"/>
      <c r="BZ998" s="325"/>
      <c r="CA998" s="325"/>
      <c r="CB998" s="325"/>
      <c r="CC998" s="258"/>
      <c r="CG998" s="24" t="s">
        <v>105</v>
      </c>
      <c r="CH998" s="24"/>
      <c r="CI998" s="24"/>
      <c r="CJ998" s="24"/>
    </row>
    <row r="999" spans="1:88" ht="15" customHeight="1">
      <c r="A999" s="18">
        <v>2020</v>
      </c>
      <c r="B999" s="18" t="str">
        <f>+INDEX(BDD!F:F,MATCH(P999,BDD!D:D,0))&amp;"-"&amp;INDEX(BDD!E:E,MATCH(P999,BDD!D:D,0))</f>
        <v>S-P</v>
      </c>
      <c r="C999" s="125" t="s">
        <v>484</v>
      </c>
      <c r="D999" s="150" t="s">
        <v>77</v>
      </c>
      <c r="E999" s="132"/>
      <c r="F999" s="24"/>
      <c r="G999" s="346">
        <v>8000000865</v>
      </c>
      <c r="H999" s="125" t="s">
        <v>3923</v>
      </c>
      <c r="I999" s="329"/>
      <c r="J999" s="346">
        <v>8000000865</v>
      </c>
      <c r="K999" s="24"/>
      <c r="L999" s="24"/>
      <c r="M999" s="24"/>
      <c r="N999" s="340" t="s">
        <v>486</v>
      </c>
      <c r="O999" s="334">
        <v>207499</v>
      </c>
      <c r="P999" s="25" t="s">
        <v>343</v>
      </c>
      <c r="Q999" s="127" t="s">
        <v>264</v>
      </c>
      <c r="R999" s="232" t="s">
        <v>3924</v>
      </c>
      <c r="S999" s="89">
        <v>43952</v>
      </c>
      <c r="T999" s="36">
        <v>90</v>
      </c>
      <c r="U999" s="125" t="s">
        <v>118</v>
      </c>
      <c r="V999" s="232" t="s">
        <v>3924</v>
      </c>
      <c r="W999" s="151"/>
      <c r="X999" s="88">
        <f>+BD999+T999</f>
        <v>44072</v>
      </c>
      <c r="Y999" s="130" t="s">
        <v>20</v>
      </c>
      <c r="Z999" s="133" t="s">
        <v>60</v>
      </c>
      <c r="AA999" s="133"/>
      <c r="AB999" s="241">
        <v>250.8</v>
      </c>
      <c r="AC999" s="134">
        <v>449</v>
      </c>
      <c r="AD999" s="134"/>
      <c r="AE999" s="403">
        <f t="shared" si="55"/>
        <v>112609.20000000001</v>
      </c>
      <c r="AF999" s="145" t="s">
        <v>2822</v>
      </c>
      <c r="AG999" s="130" t="s">
        <v>58</v>
      </c>
      <c r="AH999" s="130"/>
      <c r="AI999" s="130" t="s">
        <v>34</v>
      </c>
      <c r="AJ999" s="130"/>
      <c r="AK999" s="130"/>
      <c r="AL999" s="135" t="s">
        <v>3876</v>
      </c>
      <c r="AM999" s="314"/>
      <c r="AN999" s="26"/>
      <c r="AO999" s="26"/>
      <c r="AP999" s="26"/>
      <c r="AQ999" s="26">
        <v>44016</v>
      </c>
      <c r="AR999" s="41"/>
      <c r="AS999" s="41"/>
      <c r="AT999" s="24">
        <v>44024</v>
      </c>
      <c r="AU999" s="418">
        <f t="shared" si="56"/>
        <v>7</v>
      </c>
      <c r="AV999" s="418">
        <f t="shared" si="57"/>
        <v>2020</v>
      </c>
      <c r="AW999" s="24"/>
      <c r="AX999" s="28"/>
      <c r="AY999" s="28" t="s">
        <v>3199</v>
      </c>
      <c r="AZ999" s="132" t="s">
        <v>9</v>
      </c>
      <c r="BA999" s="132"/>
      <c r="BB999" s="24" t="s">
        <v>3264</v>
      </c>
      <c r="BC999" s="135" t="s">
        <v>3925</v>
      </c>
      <c r="BD999" s="24">
        <v>43982</v>
      </c>
      <c r="BE999" s="135" t="s">
        <v>3575</v>
      </c>
      <c r="BF999" s="135" t="s">
        <v>3575</v>
      </c>
      <c r="BG999" s="135" t="s">
        <v>52</v>
      </c>
      <c r="BH999" s="135"/>
      <c r="BI999" s="314" t="s">
        <v>124</v>
      </c>
      <c r="BJ999" s="314"/>
      <c r="BK999" s="26"/>
      <c r="BL999" s="26"/>
      <c r="BM999" s="26"/>
      <c r="BN999" s="26"/>
      <c r="BO999" s="41"/>
      <c r="BP999" s="41"/>
      <c r="BQ999" s="41"/>
      <c r="BR999" s="43"/>
      <c r="BS999" s="41"/>
      <c r="BT999" s="41"/>
      <c r="BU999" s="41"/>
      <c r="BV999" s="132" t="e">
        <f>IF(#REF!="COMPLETO","OK","PENDIENTES")</f>
        <v>#REF!</v>
      </c>
      <c r="BW999" s="325"/>
      <c r="BX999" s="325"/>
      <c r="BY999" s="325"/>
      <c r="BZ999" s="325"/>
      <c r="CA999" s="325"/>
      <c r="CB999" s="325"/>
      <c r="CC999" s="258"/>
      <c r="CG999" s="24" t="s">
        <v>105</v>
      </c>
      <c r="CH999" s="24"/>
      <c r="CI999" s="24"/>
      <c r="CJ999" s="24"/>
    </row>
    <row r="1000" spans="1:88" ht="15" customHeight="1">
      <c r="A1000" s="18">
        <v>2020</v>
      </c>
      <c r="B1000" s="18" t="str">
        <f>+INDEX(BDD!F:F,MATCH(P1000,BDD!D:D,0))&amp;"-"&amp;INDEX(BDD!E:E,MATCH(P1000,BDD!D:D,0))</f>
        <v>S-P</v>
      </c>
      <c r="C1000" s="125" t="s">
        <v>484</v>
      </c>
      <c r="D1000" s="150" t="s">
        <v>77</v>
      </c>
      <c r="E1000" s="132"/>
      <c r="F1000" s="24"/>
      <c r="G1000" s="346">
        <v>8000000989</v>
      </c>
      <c r="H1000" s="125" t="s">
        <v>3926</v>
      </c>
      <c r="I1000" s="329"/>
      <c r="J1000" s="346">
        <v>8000000989</v>
      </c>
      <c r="K1000" s="24"/>
      <c r="L1000" s="24"/>
      <c r="M1000" s="24"/>
      <c r="N1000" s="340" t="s">
        <v>486</v>
      </c>
      <c r="O1000" s="334">
        <v>207499</v>
      </c>
      <c r="P1000" s="25" t="s">
        <v>343</v>
      </c>
      <c r="Q1000" s="127" t="s">
        <v>264</v>
      </c>
      <c r="R1000" s="232" t="s">
        <v>3927</v>
      </c>
      <c r="S1000" s="89">
        <v>43952</v>
      </c>
      <c r="T1000" s="36">
        <v>90</v>
      </c>
      <c r="U1000" s="125" t="s">
        <v>118</v>
      </c>
      <c r="V1000" s="232" t="s">
        <v>3927</v>
      </c>
      <c r="W1000" s="151"/>
      <c r="X1000" s="88">
        <v>44123</v>
      </c>
      <c r="Y1000" s="130" t="s">
        <v>20</v>
      </c>
      <c r="Z1000" s="133" t="s">
        <v>60</v>
      </c>
      <c r="AA1000" s="133"/>
      <c r="AB1000" s="241">
        <v>300</v>
      </c>
      <c r="AC1000" s="134">
        <v>436</v>
      </c>
      <c r="AD1000" s="134"/>
      <c r="AE1000" s="403">
        <f t="shared" si="55"/>
        <v>130800</v>
      </c>
      <c r="AF1000" s="132"/>
      <c r="AG1000" s="130" t="s">
        <v>58</v>
      </c>
      <c r="AH1000" s="130"/>
      <c r="AI1000" s="130" t="s">
        <v>34</v>
      </c>
      <c r="AJ1000" s="130"/>
      <c r="AK1000" s="130"/>
      <c r="AL1000" s="135" t="s">
        <v>3876</v>
      </c>
      <c r="AM1000" s="314"/>
      <c r="AN1000" s="26"/>
      <c r="AO1000" s="26"/>
      <c r="AP1000" s="26"/>
      <c r="AQ1000" s="26">
        <v>44086</v>
      </c>
      <c r="AR1000" s="41"/>
      <c r="AS1000" s="41"/>
      <c r="AT1000" s="164">
        <v>44089</v>
      </c>
      <c r="AU1000" s="418">
        <f t="shared" si="56"/>
        <v>9</v>
      </c>
      <c r="AV1000" s="418">
        <f t="shared" si="57"/>
        <v>2020</v>
      </c>
      <c r="AW1000" s="164"/>
      <c r="AX1000" s="28"/>
      <c r="AY1000" s="28" t="s">
        <v>3929</v>
      </c>
      <c r="AZ1000" s="132" t="s">
        <v>37</v>
      </c>
      <c r="BA1000" s="132"/>
      <c r="BB1000" s="24" t="s">
        <v>3593</v>
      </c>
      <c r="BC1000" s="135" t="s">
        <v>3928</v>
      </c>
      <c r="BD1000" s="24">
        <v>44029</v>
      </c>
      <c r="BE1000" s="135" t="s">
        <v>3878</v>
      </c>
      <c r="BF1000" s="135" t="s">
        <v>3878</v>
      </c>
      <c r="BG1000" s="135" t="s">
        <v>52</v>
      </c>
      <c r="BH1000" s="135"/>
      <c r="BI1000" s="314" t="s">
        <v>124</v>
      </c>
      <c r="BJ1000" s="314" t="s">
        <v>143</v>
      </c>
      <c r="BK1000" s="24"/>
      <c r="BL1000" s="24"/>
      <c r="BM1000" s="24"/>
      <c r="BN1000" s="24"/>
      <c r="BO1000" s="41"/>
      <c r="BP1000" s="41"/>
      <c r="BQ1000" s="41"/>
      <c r="BR1000" s="43"/>
      <c r="BS1000" s="41"/>
      <c r="BT1000" s="41"/>
      <c r="BU1000" s="41"/>
      <c r="BV1000" s="132" t="e">
        <f>IF(#REF!="COMPLETO","OK","PENDIENTES")</f>
        <v>#REF!</v>
      </c>
      <c r="BW1000" s="325"/>
      <c r="BX1000" s="325"/>
      <c r="BY1000" s="325"/>
      <c r="BZ1000" s="325"/>
      <c r="CA1000" s="325"/>
      <c r="CB1000" s="325"/>
      <c r="CC1000" s="258"/>
      <c r="CG1000" s="24" t="s">
        <v>105</v>
      </c>
      <c r="CH1000" s="24"/>
      <c r="CI1000" s="164"/>
      <c r="CJ1000" s="164"/>
    </row>
    <row r="1001" spans="1:88" ht="15" customHeight="1">
      <c r="A1001" s="18">
        <v>2020</v>
      </c>
      <c r="B1001" s="18" t="str">
        <f>+INDEX(BDD!F:F,MATCH(P1001,BDD!D:D,0))&amp;"-"&amp;INDEX(BDD!E:E,MATCH(P1001,BDD!D:D,0))</f>
        <v>S-S</v>
      </c>
      <c r="C1001" s="125" t="s">
        <v>484</v>
      </c>
      <c r="D1001" s="150" t="s">
        <v>77</v>
      </c>
      <c r="E1001" s="132" t="s">
        <v>51</v>
      </c>
      <c r="F1001" s="24"/>
      <c r="G1001" s="346">
        <v>8000000979</v>
      </c>
      <c r="H1001" s="125" t="s">
        <v>3930</v>
      </c>
      <c r="I1001" s="329"/>
      <c r="J1001" s="346">
        <v>8000000979</v>
      </c>
      <c r="K1001" s="24"/>
      <c r="L1001" s="24"/>
      <c r="M1001" s="24"/>
      <c r="N1001" s="340" t="s">
        <v>486</v>
      </c>
      <c r="O1001" s="334">
        <v>207579</v>
      </c>
      <c r="P1001" s="25" t="s">
        <v>238</v>
      </c>
      <c r="Q1001" s="127" t="s">
        <v>15</v>
      </c>
      <c r="R1001" s="232" t="s">
        <v>3931</v>
      </c>
      <c r="S1001" s="89">
        <v>43952</v>
      </c>
      <c r="T1001" s="36">
        <v>90</v>
      </c>
      <c r="U1001" s="125" t="s">
        <v>118</v>
      </c>
      <c r="V1001" s="147" t="s">
        <v>3932</v>
      </c>
      <c r="W1001" s="129"/>
      <c r="X1001" s="88">
        <v>44098</v>
      </c>
      <c r="Y1001" s="130" t="s">
        <v>20</v>
      </c>
      <c r="Z1001" s="133" t="s">
        <v>60</v>
      </c>
      <c r="AA1001" s="133"/>
      <c r="AB1001" s="241">
        <v>450</v>
      </c>
      <c r="AC1001" s="134">
        <v>228</v>
      </c>
      <c r="AD1001" s="134"/>
      <c r="AE1001" s="403">
        <f t="shared" si="55"/>
        <v>102600</v>
      </c>
      <c r="AF1001" s="132"/>
      <c r="AG1001" s="130" t="s">
        <v>58</v>
      </c>
      <c r="AH1001" s="130"/>
      <c r="AI1001" s="130" t="s">
        <v>34</v>
      </c>
      <c r="AJ1001" s="130"/>
      <c r="AK1001" s="130"/>
      <c r="AL1001" s="135" t="s">
        <v>3591</v>
      </c>
      <c r="AM1001" s="314"/>
      <c r="AN1001" s="26"/>
      <c r="AO1001" s="26"/>
      <c r="AP1001" s="26"/>
      <c r="AQ1001" s="26">
        <v>44071</v>
      </c>
      <c r="AR1001" s="24"/>
      <c r="AS1001" s="24"/>
      <c r="AT1001" s="24">
        <v>44078</v>
      </c>
      <c r="AU1001" s="418">
        <f t="shared" si="56"/>
        <v>9</v>
      </c>
      <c r="AV1001" s="418">
        <f t="shared" si="57"/>
        <v>2020</v>
      </c>
      <c r="AW1001" s="24"/>
      <c r="AX1001" s="28"/>
      <c r="AY1001" s="28" t="s">
        <v>311</v>
      </c>
      <c r="AZ1001" s="132" t="s">
        <v>37</v>
      </c>
      <c r="BA1001" s="132"/>
      <c r="BB1001" s="24" t="s">
        <v>3593</v>
      </c>
      <c r="BC1001" s="135" t="s">
        <v>3933</v>
      </c>
      <c r="BD1001" s="24">
        <v>44007</v>
      </c>
      <c r="BE1001" s="135" t="s">
        <v>3747</v>
      </c>
      <c r="BF1001" s="135" t="s">
        <v>3747</v>
      </c>
      <c r="BG1001" s="135" t="s">
        <v>52</v>
      </c>
      <c r="BH1001" s="135"/>
      <c r="BI1001" s="314" t="s">
        <v>124</v>
      </c>
      <c r="BJ1001" s="314"/>
      <c r="BK1001" s="24"/>
      <c r="BL1001" s="24"/>
      <c r="BM1001" s="24"/>
      <c r="BN1001" s="24"/>
      <c r="BO1001" s="24"/>
      <c r="BP1001" s="24"/>
      <c r="BQ1001" s="24"/>
      <c r="BR1001" s="43"/>
      <c r="BS1001" s="24"/>
      <c r="BT1001" s="24"/>
      <c r="BU1001" s="24"/>
      <c r="BV1001" s="132" t="e">
        <f>IF(#REF!="COMPLETO","OK","PENDIENTES")</f>
        <v>#REF!</v>
      </c>
      <c r="BW1001" s="325"/>
      <c r="BX1001" s="325"/>
      <c r="BY1001" s="325"/>
      <c r="BZ1001" s="325"/>
      <c r="CA1001" s="325"/>
      <c r="CB1001" s="325"/>
      <c r="CC1001" s="258"/>
      <c r="CG1001" s="24" t="s">
        <v>105</v>
      </c>
      <c r="CH1001" s="24"/>
      <c r="CI1001" s="24"/>
      <c r="CJ1001" s="24"/>
    </row>
    <row r="1002" spans="1:88" ht="15" customHeight="1">
      <c r="A1002" s="18">
        <v>2020</v>
      </c>
      <c r="B1002" s="18" t="str">
        <f>+INDEX(BDD!F:F,MATCH(P1002,BDD!D:D,0))&amp;"-"&amp;INDEX(BDD!E:E,MATCH(P1002,BDD!D:D,0))</f>
        <v>S-S</v>
      </c>
      <c r="C1002" s="125" t="s">
        <v>484</v>
      </c>
      <c r="D1002" s="150" t="s">
        <v>77</v>
      </c>
      <c r="E1002" s="132" t="s">
        <v>51</v>
      </c>
      <c r="F1002" s="24"/>
      <c r="G1002" s="346">
        <v>8000001027</v>
      </c>
      <c r="H1002" s="125" t="s">
        <v>3934</v>
      </c>
      <c r="I1002" s="329"/>
      <c r="J1002" s="346">
        <v>8000001027</v>
      </c>
      <c r="K1002" s="24"/>
      <c r="L1002" s="24"/>
      <c r="M1002" s="24"/>
      <c r="N1002" s="340" t="s">
        <v>486</v>
      </c>
      <c r="O1002" s="334">
        <v>207579</v>
      </c>
      <c r="P1002" s="25" t="s">
        <v>238</v>
      </c>
      <c r="Q1002" s="127" t="s">
        <v>15</v>
      </c>
      <c r="R1002" s="232" t="s">
        <v>3931</v>
      </c>
      <c r="S1002" s="89">
        <v>43962</v>
      </c>
      <c r="T1002" s="36">
        <v>90</v>
      </c>
      <c r="U1002" s="125" t="s">
        <v>118</v>
      </c>
      <c r="V1002" s="147" t="s">
        <v>3935</v>
      </c>
      <c r="W1002" s="129"/>
      <c r="X1002" s="88">
        <f>+BD1002+T1002</f>
        <v>44155</v>
      </c>
      <c r="Y1002" s="130" t="s">
        <v>20</v>
      </c>
      <c r="Z1002" s="133" t="s">
        <v>60</v>
      </c>
      <c r="AA1002" s="133"/>
      <c r="AB1002" s="241">
        <v>150</v>
      </c>
      <c r="AC1002" s="134">
        <v>244</v>
      </c>
      <c r="AD1002" s="134"/>
      <c r="AE1002" s="403">
        <f t="shared" si="55"/>
        <v>36600</v>
      </c>
      <c r="AF1002" s="132"/>
      <c r="AG1002" s="130" t="s">
        <v>58</v>
      </c>
      <c r="AH1002" s="130"/>
      <c r="AI1002" s="130" t="s">
        <v>34</v>
      </c>
      <c r="AJ1002" s="130"/>
      <c r="AK1002" s="130"/>
      <c r="AL1002" s="135" t="s">
        <v>3591</v>
      </c>
      <c r="AM1002" s="314"/>
      <c r="AN1002" s="26"/>
      <c r="AO1002" s="26"/>
      <c r="AP1002" s="26"/>
      <c r="AQ1002" s="26">
        <v>44114</v>
      </c>
      <c r="AR1002" s="24"/>
      <c r="AS1002" s="24"/>
      <c r="AT1002" s="24">
        <v>44119</v>
      </c>
      <c r="AU1002" s="418">
        <f t="shared" si="56"/>
        <v>10</v>
      </c>
      <c r="AV1002" s="418">
        <f t="shared" si="57"/>
        <v>2020</v>
      </c>
      <c r="AW1002" s="24"/>
      <c r="AX1002" s="28"/>
      <c r="AY1002" s="28" t="s">
        <v>311</v>
      </c>
      <c r="AZ1002" s="132" t="s">
        <v>9</v>
      </c>
      <c r="BA1002" s="132"/>
      <c r="BB1002" s="24" t="s">
        <v>3264</v>
      </c>
      <c r="BC1002" s="135" t="s">
        <v>3936</v>
      </c>
      <c r="BD1002" s="24">
        <v>44065</v>
      </c>
      <c r="BE1002" s="135" t="s">
        <v>3937</v>
      </c>
      <c r="BF1002" s="135" t="s">
        <v>3937</v>
      </c>
      <c r="BG1002" s="135" t="s">
        <v>52</v>
      </c>
      <c r="BH1002" s="135"/>
      <c r="BI1002" s="314" t="s">
        <v>124</v>
      </c>
      <c r="BJ1002" s="314" t="s">
        <v>143</v>
      </c>
      <c r="BK1002" s="24"/>
      <c r="BL1002" s="24"/>
      <c r="BM1002" s="24"/>
      <c r="BN1002" s="24"/>
      <c r="BO1002" s="24"/>
      <c r="BP1002" s="24"/>
      <c r="BQ1002" s="24"/>
      <c r="BR1002" s="43"/>
      <c r="BS1002" s="24"/>
      <c r="BT1002" s="24"/>
      <c r="BU1002" s="24"/>
      <c r="BV1002" s="132" t="e">
        <f>IF(#REF!="COMPLETO","OK","PENDIENTES")</f>
        <v>#REF!</v>
      </c>
      <c r="BW1002" s="325"/>
      <c r="BX1002" s="325"/>
      <c r="BY1002" s="325"/>
      <c r="BZ1002" s="325"/>
      <c r="CA1002" s="325"/>
      <c r="CB1002" s="325"/>
      <c r="CC1002" s="258"/>
      <c r="CG1002" s="24" t="s">
        <v>105</v>
      </c>
      <c r="CH1002" s="24"/>
      <c r="CI1002" s="24"/>
      <c r="CJ1002" s="24"/>
    </row>
    <row r="1003" spans="1:88" ht="15" customHeight="1">
      <c r="A1003" s="18">
        <v>2020</v>
      </c>
      <c r="B1003" s="18" t="str">
        <f>+INDEX(BDD!F:F,MATCH(P1003,BDD!D:D,0))&amp;"-"&amp;INDEX(BDD!E:E,MATCH(P1003,BDD!D:D,0))</f>
        <v>G-S</v>
      </c>
      <c r="C1003" s="125" t="s">
        <v>484</v>
      </c>
      <c r="D1003" s="150" t="s">
        <v>77</v>
      </c>
      <c r="E1003" s="132"/>
      <c r="F1003" s="24"/>
      <c r="G1003" s="346">
        <v>8000000921</v>
      </c>
      <c r="H1003" s="125" t="s">
        <v>3938</v>
      </c>
      <c r="I1003" s="329"/>
      <c r="J1003" s="346">
        <v>8000000921</v>
      </c>
      <c r="K1003" s="24"/>
      <c r="L1003" s="24"/>
      <c r="M1003" s="24"/>
      <c r="N1003" s="340" t="s">
        <v>486</v>
      </c>
      <c r="O1003" s="334">
        <v>206600</v>
      </c>
      <c r="P1003" s="25" t="s">
        <v>339</v>
      </c>
      <c r="Q1003" s="127" t="s">
        <v>15</v>
      </c>
      <c r="R1003" s="232" t="s">
        <v>3939</v>
      </c>
      <c r="S1003" s="89">
        <v>43952</v>
      </c>
      <c r="T1003" s="36">
        <v>90</v>
      </c>
      <c r="U1003" s="125" t="s">
        <v>118</v>
      </c>
      <c r="V1003" s="147" t="s">
        <v>3940</v>
      </c>
      <c r="W1003" s="129"/>
      <c r="X1003" s="88">
        <f>+BD1003+T1003</f>
        <v>44075</v>
      </c>
      <c r="Y1003" s="130" t="s">
        <v>20</v>
      </c>
      <c r="Z1003" s="133" t="s">
        <v>60</v>
      </c>
      <c r="AA1003" s="133"/>
      <c r="AB1003" s="241">
        <v>200</v>
      </c>
      <c r="AC1003" s="134">
        <v>444</v>
      </c>
      <c r="AD1003" s="134"/>
      <c r="AE1003" s="403">
        <f t="shared" si="55"/>
        <v>88800</v>
      </c>
      <c r="AF1003" s="132"/>
      <c r="AG1003" s="130" t="s">
        <v>58</v>
      </c>
      <c r="AH1003" s="130"/>
      <c r="AI1003" s="130" t="s">
        <v>47</v>
      </c>
      <c r="AJ1003" s="130"/>
      <c r="AK1003" s="130"/>
      <c r="AL1003" s="135" t="s">
        <v>3591</v>
      </c>
      <c r="AM1003" s="314"/>
      <c r="AN1003" s="26"/>
      <c r="AO1003" s="26"/>
      <c r="AP1003" s="26"/>
      <c r="AQ1003" s="26">
        <v>44040</v>
      </c>
      <c r="AR1003" s="24"/>
      <c r="AS1003" s="24"/>
      <c r="AT1003" s="24">
        <v>44042</v>
      </c>
      <c r="AU1003" s="418">
        <f t="shared" si="56"/>
        <v>7</v>
      </c>
      <c r="AV1003" s="418">
        <f t="shared" si="57"/>
        <v>2020</v>
      </c>
      <c r="AW1003" s="24"/>
      <c r="AX1003" s="28"/>
      <c r="AY1003" s="28" t="s">
        <v>95</v>
      </c>
      <c r="AZ1003" s="132" t="s">
        <v>62</v>
      </c>
      <c r="BA1003" s="132"/>
      <c r="BB1003" s="24" t="s">
        <v>3264</v>
      </c>
      <c r="BC1003" s="135" t="s">
        <v>3941</v>
      </c>
      <c r="BD1003" s="24">
        <v>43985</v>
      </c>
      <c r="BE1003" s="135" t="s">
        <v>2683</v>
      </c>
      <c r="BF1003" s="135" t="s">
        <v>2683</v>
      </c>
      <c r="BG1003" s="135" t="s">
        <v>52</v>
      </c>
      <c r="BH1003" s="135"/>
      <c r="BI1003" s="314" t="s">
        <v>124</v>
      </c>
      <c r="BJ1003" s="314"/>
      <c r="BK1003" s="24"/>
      <c r="BL1003" s="24"/>
      <c r="BM1003" s="24"/>
      <c r="BN1003" s="24"/>
      <c r="BO1003" s="24"/>
      <c r="BP1003" s="24"/>
      <c r="BQ1003" s="24"/>
      <c r="BR1003" s="43"/>
      <c r="BS1003" s="24"/>
      <c r="BT1003" s="24"/>
      <c r="BU1003" s="24"/>
      <c r="BV1003" s="132" t="e">
        <f>IF(#REF!="COMPLETO","OK","PENDIENTES")</f>
        <v>#REF!</v>
      </c>
      <c r="BW1003" s="325"/>
      <c r="BX1003" s="325"/>
      <c r="BY1003" s="325"/>
      <c r="BZ1003" s="325"/>
      <c r="CA1003" s="325"/>
      <c r="CB1003" s="325"/>
      <c r="CC1003" s="258"/>
      <c r="CG1003" s="24" t="s">
        <v>105</v>
      </c>
      <c r="CH1003" s="24"/>
      <c r="CI1003" s="24"/>
      <c r="CJ1003" s="24"/>
    </row>
    <row r="1004" spans="1:88" ht="15" customHeight="1">
      <c r="A1004" s="18">
        <v>2020</v>
      </c>
      <c r="B1004" s="18" t="str">
        <f>+INDEX(BDD!F:F,MATCH(P1004,BDD!D:D,0))&amp;"-"&amp;INDEX(BDD!E:E,MATCH(P1004,BDD!D:D,0))</f>
        <v>T-S</v>
      </c>
      <c r="C1004" s="125" t="s">
        <v>484</v>
      </c>
      <c r="D1004" s="150" t="s">
        <v>77</v>
      </c>
      <c r="E1004" s="132"/>
      <c r="F1004" s="24"/>
      <c r="G1004" s="346">
        <v>8000000797</v>
      </c>
      <c r="H1004" s="125" t="s">
        <v>3942</v>
      </c>
      <c r="I1004" s="329"/>
      <c r="J1004" s="346">
        <v>8000000797</v>
      </c>
      <c r="K1004" s="24"/>
      <c r="L1004" s="24"/>
      <c r="M1004" s="24"/>
      <c r="N1004" s="340" t="s">
        <v>486</v>
      </c>
      <c r="O1004" s="334">
        <v>208073</v>
      </c>
      <c r="P1004" s="25" t="s">
        <v>382</v>
      </c>
      <c r="Q1004" s="127" t="s">
        <v>303</v>
      </c>
      <c r="R1004" s="232" t="s">
        <v>3943</v>
      </c>
      <c r="S1004" s="89">
        <v>44331</v>
      </c>
      <c r="T1004" s="36">
        <v>30</v>
      </c>
      <c r="U1004" s="125" t="s">
        <v>118</v>
      </c>
      <c r="V1004" s="147" t="s">
        <v>3944</v>
      </c>
      <c r="W1004" s="129"/>
      <c r="X1004" s="88">
        <f>+BD1004+T1004</f>
        <v>44017</v>
      </c>
      <c r="Y1004" s="130" t="s">
        <v>20</v>
      </c>
      <c r="Z1004" s="133" t="s">
        <v>60</v>
      </c>
      <c r="AA1004" s="133"/>
      <c r="AB1004" s="241">
        <v>504</v>
      </c>
      <c r="AC1004" s="134">
        <v>220.34</v>
      </c>
      <c r="AD1004" s="134"/>
      <c r="AE1004" s="403">
        <f t="shared" si="55"/>
        <v>111051.36</v>
      </c>
      <c r="AF1004" s="132">
        <v>21</v>
      </c>
      <c r="AG1004" s="130" t="s">
        <v>5</v>
      </c>
      <c r="AH1004" s="130"/>
      <c r="AI1004" s="130" t="s">
        <v>71</v>
      </c>
      <c r="AJ1004" s="130"/>
      <c r="AK1004" s="130"/>
      <c r="AL1004" s="135" t="s">
        <v>3779</v>
      </c>
      <c r="AM1004" s="314"/>
      <c r="AN1004" s="26"/>
      <c r="AO1004" s="26"/>
      <c r="AP1004" s="26"/>
      <c r="AQ1004" s="26">
        <v>43992</v>
      </c>
      <c r="AR1004" s="24"/>
      <c r="AS1004" s="24"/>
      <c r="AT1004" s="24">
        <v>43998</v>
      </c>
      <c r="AU1004" s="418">
        <f t="shared" si="56"/>
        <v>6</v>
      </c>
      <c r="AV1004" s="418">
        <f t="shared" si="57"/>
        <v>2020</v>
      </c>
      <c r="AW1004" s="24"/>
      <c r="AX1004" s="28"/>
      <c r="AY1004" s="28" t="s">
        <v>3415</v>
      </c>
      <c r="AZ1004" s="132" t="s">
        <v>9</v>
      </c>
      <c r="BA1004" s="132"/>
      <c r="BB1004" s="24" t="s">
        <v>2956</v>
      </c>
      <c r="BC1004" s="135" t="s">
        <v>3945</v>
      </c>
      <c r="BD1004" s="24">
        <v>43987</v>
      </c>
      <c r="BE1004" s="135" t="s">
        <v>2560</v>
      </c>
      <c r="BF1004" s="135" t="s">
        <v>2560</v>
      </c>
      <c r="BG1004" s="135" t="s">
        <v>64</v>
      </c>
      <c r="BH1004" s="135"/>
      <c r="BI1004" s="314" t="s">
        <v>124</v>
      </c>
      <c r="BJ1004" s="314"/>
      <c r="BK1004" s="24"/>
      <c r="BL1004" s="24"/>
      <c r="BM1004" s="24"/>
      <c r="BN1004" s="24"/>
      <c r="BO1004" s="24">
        <v>44012</v>
      </c>
      <c r="BP1004" s="24"/>
      <c r="BQ1004" s="24"/>
      <c r="BR1004" s="43"/>
      <c r="BS1004" s="24"/>
      <c r="BT1004" s="24"/>
      <c r="BU1004" s="24"/>
      <c r="BV1004" s="132" t="e">
        <f>IF(#REF!="COMPLETO","OK","PENDIENTES")</f>
        <v>#REF!</v>
      </c>
      <c r="BW1004" s="325"/>
      <c r="BX1004" s="325"/>
      <c r="BY1004" s="325"/>
      <c r="BZ1004" s="325"/>
      <c r="CA1004" s="325"/>
      <c r="CB1004" s="325"/>
      <c r="CC1004" s="258"/>
      <c r="CG1004" s="24" t="s">
        <v>105</v>
      </c>
      <c r="CH1004" s="24"/>
      <c r="CI1004" s="24"/>
      <c r="CJ1004" s="24"/>
    </row>
    <row r="1005" spans="1:88" ht="15" customHeight="1">
      <c r="A1005" s="18">
        <v>2020</v>
      </c>
      <c r="B1005" s="18" t="str">
        <f>+INDEX(BDD!F:F,MATCH(P1005,BDD!D:D,0))&amp;"-"&amp;INDEX(BDD!E:E,MATCH(P1005,BDD!D:D,0))</f>
        <v>T-S</v>
      </c>
      <c r="C1005" s="125" t="s">
        <v>484</v>
      </c>
      <c r="D1005" s="150" t="s">
        <v>77</v>
      </c>
      <c r="E1005" s="132"/>
      <c r="F1005" s="24"/>
      <c r="G1005" s="346">
        <v>8000000859</v>
      </c>
      <c r="H1005" s="125" t="s">
        <v>3946</v>
      </c>
      <c r="I1005" s="329"/>
      <c r="J1005" s="346">
        <v>8000000859</v>
      </c>
      <c r="K1005" s="24"/>
      <c r="L1005" s="24"/>
      <c r="M1005" s="24"/>
      <c r="N1005" s="340" t="s">
        <v>486</v>
      </c>
      <c r="O1005" s="334">
        <v>208067</v>
      </c>
      <c r="P1005" s="25" t="s">
        <v>383</v>
      </c>
      <c r="Q1005" s="127" t="s">
        <v>303</v>
      </c>
      <c r="R1005" s="232" t="s">
        <v>3947</v>
      </c>
      <c r="S1005" s="89" t="s">
        <v>582</v>
      </c>
      <c r="T1005" s="36">
        <v>30</v>
      </c>
      <c r="U1005" s="125" t="s">
        <v>118</v>
      </c>
      <c r="V1005" s="147" t="s">
        <v>3948</v>
      </c>
      <c r="W1005" s="129"/>
      <c r="X1005" s="88">
        <f>+BD1005+33</f>
        <v>44034</v>
      </c>
      <c r="Y1005" s="130" t="s">
        <v>20</v>
      </c>
      <c r="Z1005" s="133" t="s">
        <v>60</v>
      </c>
      <c r="AA1005" s="133"/>
      <c r="AB1005" s="241">
        <v>450</v>
      </c>
      <c r="AC1005" s="134">
        <v>220.34</v>
      </c>
      <c r="AD1005" s="134"/>
      <c r="AE1005" s="403">
        <f t="shared" si="55"/>
        <v>99153</v>
      </c>
      <c r="AF1005" s="132">
        <v>18</v>
      </c>
      <c r="AG1005" s="130" t="s">
        <v>5</v>
      </c>
      <c r="AH1005" s="130"/>
      <c r="AI1005" s="130" t="s">
        <v>34</v>
      </c>
      <c r="AJ1005" s="130"/>
      <c r="AK1005" s="130"/>
      <c r="AL1005" s="135" t="s">
        <v>3779</v>
      </c>
      <c r="AM1005" s="314"/>
      <c r="AN1005" s="26"/>
      <c r="AO1005" s="26"/>
      <c r="AP1005" s="26"/>
      <c r="AQ1005" s="26">
        <v>44006</v>
      </c>
      <c r="AR1005" s="24"/>
      <c r="AS1005" s="24"/>
      <c r="AT1005" s="26">
        <v>44022</v>
      </c>
      <c r="AU1005" s="418">
        <f t="shared" si="56"/>
        <v>7</v>
      </c>
      <c r="AV1005" s="418">
        <f t="shared" si="57"/>
        <v>2020</v>
      </c>
      <c r="AW1005" s="26"/>
      <c r="AX1005" s="28"/>
      <c r="AY1005" s="28" t="s">
        <v>3415</v>
      </c>
      <c r="AZ1005" s="132" t="s">
        <v>9</v>
      </c>
      <c r="BA1005" s="132"/>
      <c r="BB1005" s="24" t="s">
        <v>2956</v>
      </c>
      <c r="BC1005" s="135" t="s">
        <v>3949</v>
      </c>
      <c r="BD1005" s="24">
        <v>44001</v>
      </c>
      <c r="BE1005" s="135" t="s">
        <v>3640</v>
      </c>
      <c r="BF1005" s="135" t="s">
        <v>3640</v>
      </c>
      <c r="BG1005" s="135" t="s">
        <v>64</v>
      </c>
      <c r="BH1005" s="135"/>
      <c r="BI1005" s="314" t="s">
        <v>124</v>
      </c>
      <c r="BJ1005" s="314"/>
      <c r="BK1005" s="24"/>
      <c r="BL1005" s="24"/>
      <c r="BM1005" s="24"/>
      <c r="BN1005" s="24"/>
      <c r="BO1005" s="24">
        <v>44026</v>
      </c>
      <c r="BP1005" s="24"/>
      <c r="BQ1005" s="24"/>
      <c r="BR1005" s="43"/>
      <c r="BS1005" s="24"/>
      <c r="BT1005" s="24"/>
      <c r="BU1005" s="24"/>
      <c r="BV1005" s="132" t="e">
        <f>IF(#REF!="COMPLETO","OK","PENDIENTES")</f>
        <v>#REF!</v>
      </c>
      <c r="BW1005" s="325"/>
      <c r="BX1005" s="325"/>
      <c r="BY1005" s="325"/>
      <c r="BZ1005" s="325"/>
      <c r="CA1005" s="325"/>
      <c r="CB1005" s="325"/>
      <c r="CC1005" s="258" t="s">
        <v>3950</v>
      </c>
      <c r="CG1005" s="24" t="s">
        <v>105</v>
      </c>
      <c r="CH1005" s="24"/>
      <c r="CI1005" s="26"/>
      <c r="CJ1005" s="26"/>
    </row>
    <row r="1006" spans="1:88" ht="15" customHeight="1">
      <c r="A1006" s="18">
        <v>2020</v>
      </c>
      <c r="B1006" s="18" t="str">
        <f>+INDEX(BDD!F:F,MATCH(P1006,BDD!D:D,0))&amp;"-"&amp;INDEX(BDD!E:E,MATCH(P1006,BDD!D:D,0))</f>
        <v>T-S</v>
      </c>
      <c r="C1006" s="125" t="s">
        <v>484</v>
      </c>
      <c r="D1006" s="152" t="s">
        <v>20</v>
      </c>
      <c r="E1006" s="132"/>
      <c r="F1006" s="24"/>
      <c r="G1006" s="346"/>
      <c r="H1006" s="125" t="s">
        <v>3951</v>
      </c>
      <c r="I1006" s="329"/>
      <c r="J1006" s="346"/>
      <c r="K1006" s="24"/>
      <c r="L1006" s="24"/>
      <c r="M1006" s="24"/>
      <c r="N1006" s="340"/>
      <c r="O1006" s="334"/>
      <c r="P1006" s="25" t="s">
        <v>383</v>
      </c>
      <c r="Q1006" s="127" t="s">
        <v>303</v>
      </c>
      <c r="R1006" s="232"/>
      <c r="S1006" s="89"/>
      <c r="T1006" s="36"/>
      <c r="U1006" s="125"/>
      <c r="V1006" s="147"/>
      <c r="W1006" s="129"/>
      <c r="X1006" s="88"/>
      <c r="Y1006" s="130"/>
      <c r="Z1006" s="133"/>
      <c r="AA1006" s="133"/>
      <c r="AB1006" s="241"/>
      <c r="AC1006" s="134"/>
      <c r="AD1006" s="134"/>
      <c r="AE1006" s="403">
        <f t="shared" si="55"/>
        <v>0</v>
      </c>
      <c r="AF1006" s="132"/>
      <c r="AG1006" s="130"/>
      <c r="AH1006" s="130"/>
      <c r="AI1006" s="130"/>
      <c r="AJ1006" s="130"/>
      <c r="AK1006" s="130"/>
      <c r="AL1006" s="135"/>
      <c r="AM1006" s="314"/>
      <c r="AN1006" s="26"/>
      <c r="AO1006" s="26"/>
      <c r="AP1006" s="26"/>
      <c r="AQ1006" s="26"/>
      <c r="AR1006" s="24"/>
      <c r="AS1006" s="24"/>
      <c r="AT1006" s="24"/>
      <c r="AU1006" s="418">
        <f t="shared" si="56"/>
        <v>1</v>
      </c>
      <c r="AV1006" s="418">
        <f t="shared" si="57"/>
        <v>1900</v>
      </c>
      <c r="AW1006" s="24"/>
      <c r="AX1006" s="24"/>
      <c r="AY1006" s="24"/>
      <c r="AZ1006" s="132"/>
      <c r="BA1006" s="132"/>
      <c r="BB1006" s="24"/>
      <c r="BC1006" s="135"/>
      <c r="BD1006" s="24"/>
      <c r="BE1006" s="135"/>
      <c r="BF1006" s="135"/>
      <c r="BG1006" s="135"/>
      <c r="BH1006" s="135"/>
      <c r="BI1006" s="314"/>
      <c r="BJ1006" s="314"/>
      <c r="BK1006" s="24"/>
      <c r="BL1006" s="24"/>
      <c r="BM1006" s="24"/>
      <c r="BN1006" s="24"/>
      <c r="BO1006" s="24"/>
      <c r="BP1006" s="24"/>
      <c r="BQ1006" s="24"/>
      <c r="BR1006" s="43"/>
      <c r="BS1006" s="24"/>
      <c r="BT1006" s="24"/>
      <c r="BU1006" s="24"/>
      <c r="BV1006" s="132"/>
      <c r="BW1006" s="325"/>
      <c r="BX1006" s="325"/>
      <c r="BY1006" s="325"/>
      <c r="BZ1006" s="325"/>
      <c r="CA1006" s="325"/>
      <c r="CB1006" s="325"/>
      <c r="CC1006" s="258"/>
      <c r="CD1006" s="22"/>
      <c r="CE1006" s="22"/>
      <c r="CF1006" s="22"/>
      <c r="CG1006" s="24"/>
      <c r="CH1006" s="24"/>
      <c r="CI1006" s="24"/>
      <c r="CJ1006" s="24"/>
    </row>
    <row r="1007" spans="1:88" ht="15" customHeight="1">
      <c r="A1007" s="18">
        <v>2020</v>
      </c>
      <c r="B1007" s="18" t="str">
        <f>+INDEX(BDD!F:F,MATCH(P1007,BDD!D:D,0))&amp;"-"&amp;INDEX(BDD!E:E,MATCH(P1007,BDD!D:D,0))</f>
        <v>T-S</v>
      </c>
      <c r="C1007" s="125" t="s">
        <v>484</v>
      </c>
      <c r="D1007" s="150" t="s">
        <v>77</v>
      </c>
      <c r="E1007" s="132"/>
      <c r="F1007" s="24"/>
      <c r="G1007" s="346">
        <v>8000000945</v>
      </c>
      <c r="H1007" s="125" t="s">
        <v>3952</v>
      </c>
      <c r="I1007" s="329"/>
      <c r="J1007" s="346">
        <v>8000000945</v>
      </c>
      <c r="K1007" s="24"/>
      <c r="L1007" s="24"/>
      <c r="M1007" s="24"/>
      <c r="N1007" s="340" t="s">
        <v>486</v>
      </c>
      <c r="O1007" s="334">
        <v>208067</v>
      </c>
      <c r="P1007" s="25" t="s">
        <v>383</v>
      </c>
      <c r="Q1007" s="127" t="s">
        <v>303</v>
      </c>
      <c r="R1007" s="232" t="s">
        <v>3953</v>
      </c>
      <c r="S1007" s="89" t="s">
        <v>582</v>
      </c>
      <c r="T1007" s="36">
        <v>30</v>
      </c>
      <c r="U1007" s="125" t="s">
        <v>118</v>
      </c>
      <c r="V1007" s="147" t="s">
        <v>3954</v>
      </c>
      <c r="W1007" s="129"/>
      <c r="X1007" s="88">
        <f>+BD1007+T1007</f>
        <v>44025</v>
      </c>
      <c r="Y1007" s="130" t="s">
        <v>20</v>
      </c>
      <c r="Z1007" s="133" t="s">
        <v>60</v>
      </c>
      <c r="AA1007" s="133"/>
      <c r="AB1007" s="241">
        <v>75</v>
      </c>
      <c r="AC1007" s="134">
        <v>220.34</v>
      </c>
      <c r="AD1007" s="134"/>
      <c r="AE1007" s="403">
        <f t="shared" si="55"/>
        <v>16525.5</v>
      </c>
      <c r="AF1007" s="132">
        <v>3</v>
      </c>
      <c r="AG1007" s="130" t="s">
        <v>5</v>
      </c>
      <c r="AH1007" s="130"/>
      <c r="AI1007" s="130" t="s">
        <v>34</v>
      </c>
      <c r="AJ1007" s="130"/>
      <c r="AK1007" s="130"/>
      <c r="AL1007" s="135" t="s">
        <v>3779</v>
      </c>
      <c r="AM1007" s="314"/>
      <c r="AN1007" s="26"/>
      <c r="AO1007" s="26"/>
      <c r="AP1007" s="26"/>
      <c r="AQ1007" s="26">
        <v>44035</v>
      </c>
      <c r="AR1007" s="24"/>
      <c r="AS1007" s="24"/>
      <c r="AT1007" s="26">
        <v>44057</v>
      </c>
      <c r="AU1007" s="418">
        <f t="shared" si="56"/>
        <v>8</v>
      </c>
      <c r="AV1007" s="418">
        <f t="shared" si="57"/>
        <v>2020</v>
      </c>
      <c r="AW1007" s="26"/>
      <c r="AX1007" s="28"/>
      <c r="AY1007" s="28" t="s">
        <v>3415</v>
      </c>
      <c r="AZ1007" s="132" t="s">
        <v>62</v>
      </c>
      <c r="BA1007" s="132"/>
      <c r="BB1007" s="24" t="s">
        <v>3334</v>
      </c>
      <c r="BC1007" s="135" t="s">
        <v>3955</v>
      </c>
      <c r="BD1007" s="24">
        <v>43995</v>
      </c>
      <c r="BE1007" s="135" t="s">
        <v>3956</v>
      </c>
      <c r="BF1007" s="135" t="s">
        <v>3691</v>
      </c>
      <c r="BG1007" s="135" t="s">
        <v>53</v>
      </c>
      <c r="BH1007" s="135"/>
      <c r="BI1007" s="314" t="s">
        <v>124</v>
      </c>
      <c r="BJ1007" s="314"/>
      <c r="BK1007" s="24"/>
      <c r="BL1007" s="24"/>
      <c r="BM1007" s="24"/>
      <c r="BN1007" s="24"/>
      <c r="BO1007" s="24"/>
      <c r="BP1007" s="24"/>
      <c r="BQ1007" s="24"/>
      <c r="BR1007" s="43"/>
      <c r="BS1007" s="24"/>
      <c r="BT1007" s="24"/>
      <c r="BU1007" s="24"/>
      <c r="BV1007" s="132" t="e">
        <f>IF(#REF!="COMPLETO","OK","PENDIENTES")</f>
        <v>#REF!</v>
      </c>
      <c r="BW1007" s="325"/>
      <c r="BX1007" s="325"/>
      <c r="BY1007" s="325"/>
      <c r="BZ1007" s="325"/>
      <c r="CA1007" s="325"/>
      <c r="CB1007" s="325"/>
      <c r="CC1007" s="258" t="s">
        <v>3957</v>
      </c>
      <c r="CG1007" s="24" t="s">
        <v>105</v>
      </c>
      <c r="CH1007" s="24"/>
      <c r="CI1007" s="26"/>
      <c r="CJ1007" s="26"/>
    </row>
    <row r="1008" spans="1:88" ht="15" customHeight="1">
      <c r="A1008" s="18">
        <v>2020</v>
      </c>
      <c r="B1008" s="18" t="str">
        <f>+INDEX(BDD!F:F,MATCH(P1008,BDD!D:D,0))&amp;"-"&amp;INDEX(BDD!E:E,MATCH(P1008,BDD!D:D,0))</f>
        <v>T-S</v>
      </c>
      <c r="C1008" s="125" t="s">
        <v>484</v>
      </c>
      <c r="D1008" s="150" t="s">
        <v>77</v>
      </c>
      <c r="E1008" s="132"/>
      <c r="F1008" s="24"/>
      <c r="G1008" s="346">
        <v>8000000923</v>
      </c>
      <c r="H1008" s="125" t="s">
        <v>3958</v>
      </c>
      <c r="I1008" s="329"/>
      <c r="J1008" s="346">
        <v>8000000923</v>
      </c>
      <c r="K1008" s="24"/>
      <c r="L1008" s="24"/>
      <c r="M1008" s="24"/>
      <c r="N1008" s="340" t="s">
        <v>486</v>
      </c>
      <c r="O1008" s="334">
        <v>208073</v>
      </c>
      <c r="P1008" s="25" t="s">
        <v>382</v>
      </c>
      <c r="Q1008" s="127" t="s">
        <v>303</v>
      </c>
      <c r="R1008" s="232" t="s">
        <v>3959</v>
      </c>
      <c r="S1008" s="89">
        <v>44362</v>
      </c>
      <c r="T1008" s="36">
        <v>30</v>
      </c>
      <c r="U1008" s="125" t="s">
        <v>118</v>
      </c>
      <c r="V1008" s="147" t="s">
        <v>3960</v>
      </c>
      <c r="W1008" s="129"/>
      <c r="X1008" s="88">
        <f>+BD1008+T1008</f>
        <v>44066</v>
      </c>
      <c r="Y1008" s="130" t="s">
        <v>20</v>
      </c>
      <c r="Z1008" s="133" t="s">
        <v>60</v>
      </c>
      <c r="AA1008" s="133"/>
      <c r="AB1008" s="241">
        <v>432</v>
      </c>
      <c r="AC1008" s="134">
        <v>220.34</v>
      </c>
      <c r="AD1008" s="134"/>
      <c r="AE1008" s="403">
        <f t="shared" si="55"/>
        <v>95186.880000000005</v>
      </c>
      <c r="AF1008" s="132">
        <v>18</v>
      </c>
      <c r="AG1008" s="130" t="s">
        <v>5</v>
      </c>
      <c r="AH1008" s="130"/>
      <c r="AI1008" s="130" t="s">
        <v>71</v>
      </c>
      <c r="AJ1008" s="130"/>
      <c r="AK1008" s="130"/>
      <c r="AL1008" s="135" t="s">
        <v>3961</v>
      </c>
      <c r="AM1008" s="314"/>
      <c r="AN1008" s="26"/>
      <c r="AO1008" s="26"/>
      <c r="AP1008" s="26"/>
      <c r="AQ1008" s="26">
        <v>44041</v>
      </c>
      <c r="AR1008" s="24"/>
      <c r="AS1008" s="24"/>
      <c r="AT1008" s="24">
        <v>44043</v>
      </c>
      <c r="AU1008" s="418">
        <f t="shared" si="56"/>
        <v>7</v>
      </c>
      <c r="AV1008" s="418">
        <f t="shared" si="57"/>
        <v>2020</v>
      </c>
      <c r="AW1008" s="24"/>
      <c r="AX1008" s="28"/>
      <c r="AY1008" s="28" t="s">
        <v>3415</v>
      </c>
      <c r="AZ1008" s="132" t="s">
        <v>9</v>
      </c>
      <c r="BA1008" s="132"/>
      <c r="BB1008" s="24" t="s">
        <v>2956</v>
      </c>
      <c r="BC1008" s="135" t="s">
        <v>3962</v>
      </c>
      <c r="BD1008" s="26">
        <v>44036</v>
      </c>
      <c r="BE1008" s="135" t="s">
        <v>3098</v>
      </c>
      <c r="BF1008" s="135" t="s">
        <v>1807</v>
      </c>
      <c r="BG1008" s="135" t="s">
        <v>64</v>
      </c>
      <c r="BH1008" s="135"/>
      <c r="BI1008" s="314" t="s">
        <v>124</v>
      </c>
      <c r="BJ1008" s="314"/>
      <c r="BK1008" s="26"/>
      <c r="BL1008" s="26"/>
      <c r="BM1008" s="26"/>
      <c r="BN1008" s="26"/>
      <c r="BO1008" s="24"/>
      <c r="BP1008" s="24"/>
      <c r="BQ1008" s="24"/>
      <c r="BR1008" s="43"/>
      <c r="BS1008" s="24"/>
      <c r="BT1008" s="24"/>
      <c r="BU1008" s="24"/>
      <c r="BV1008" s="132" t="e">
        <f>IF(#REF!="COMPLETO","OK","PENDIENTES")</f>
        <v>#REF!</v>
      </c>
      <c r="BW1008" s="325"/>
      <c r="BX1008" s="325"/>
      <c r="BY1008" s="325"/>
      <c r="BZ1008" s="325"/>
      <c r="CA1008" s="325"/>
      <c r="CB1008" s="325"/>
      <c r="CC1008" s="258" t="s">
        <v>3963</v>
      </c>
      <c r="CG1008" s="24" t="s">
        <v>105</v>
      </c>
      <c r="CH1008" s="24"/>
      <c r="CI1008" s="24"/>
      <c r="CJ1008" s="24"/>
    </row>
    <row r="1009" spans="1:88" ht="15" customHeight="1">
      <c r="A1009" s="18">
        <v>2020</v>
      </c>
      <c r="B1009" s="18" t="str">
        <f>+INDEX(BDD!F:F,MATCH(P1009,BDD!D:D,0))&amp;"-"&amp;INDEX(BDD!E:E,MATCH(P1009,BDD!D:D,0))</f>
        <v>T-S</v>
      </c>
      <c r="C1009" s="125" t="s">
        <v>484</v>
      </c>
      <c r="D1009" s="150" t="s">
        <v>77</v>
      </c>
      <c r="E1009" s="132"/>
      <c r="F1009" s="24"/>
      <c r="G1009" s="346">
        <v>8000000924</v>
      </c>
      <c r="H1009" s="125" t="s">
        <v>3964</v>
      </c>
      <c r="I1009" s="329"/>
      <c r="J1009" s="346">
        <v>8000000924</v>
      </c>
      <c r="K1009" s="24"/>
      <c r="L1009" s="24"/>
      <c r="M1009" s="24"/>
      <c r="N1009" s="340" t="s">
        <v>486</v>
      </c>
      <c r="O1009" s="334">
        <v>208067</v>
      </c>
      <c r="P1009" s="25" t="s">
        <v>383</v>
      </c>
      <c r="Q1009" s="127" t="s">
        <v>303</v>
      </c>
      <c r="R1009" s="232" t="s">
        <v>3965</v>
      </c>
      <c r="S1009" s="89" t="s">
        <v>582</v>
      </c>
      <c r="T1009" s="36">
        <v>30</v>
      </c>
      <c r="U1009" s="125" t="s">
        <v>118</v>
      </c>
      <c r="V1009" s="147" t="s">
        <v>3966</v>
      </c>
      <c r="W1009" s="129"/>
      <c r="X1009" s="88">
        <f>+BD1009+T1009</f>
        <v>44059</v>
      </c>
      <c r="Y1009" s="130" t="s">
        <v>20</v>
      </c>
      <c r="Z1009" s="133" t="s">
        <v>60</v>
      </c>
      <c r="AA1009" s="133"/>
      <c r="AB1009" s="241">
        <v>275</v>
      </c>
      <c r="AC1009" s="134">
        <v>220.34</v>
      </c>
      <c r="AD1009" s="134"/>
      <c r="AE1009" s="403">
        <f t="shared" si="55"/>
        <v>60593.5</v>
      </c>
      <c r="AF1009" s="132">
        <v>11</v>
      </c>
      <c r="AG1009" s="130" t="s">
        <v>5</v>
      </c>
      <c r="AH1009" s="130"/>
      <c r="AI1009" s="130" t="s">
        <v>34</v>
      </c>
      <c r="AJ1009" s="130"/>
      <c r="AK1009" s="130"/>
      <c r="AL1009" s="135" t="s">
        <v>3961</v>
      </c>
      <c r="AM1009" s="314"/>
      <c r="AN1009" s="26"/>
      <c r="AO1009" s="26"/>
      <c r="AP1009" s="26"/>
      <c r="AQ1009" s="26">
        <v>44034</v>
      </c>
      <c r="AR1009" s="24"/>
      <c r="AS1009" s="24"/>
      <c r="AT1009" s="26">
        <v>44043</v>
      </c>
      <c r="AU1009" s="418">
        <f t="shared" si="56"/>
        <v>7</v>
      </c>
      <c r="AV1009" s="418">
        <f t="shared" si="57"/>
        <v>2020</v>
      </c>
      <c r="AW1009" s="26"/>
      <c r="AX1009" s="28"/>
      <c r="AY1009" s="28" t="s">
        <v>3415</v>
      </c>
      <c r="AZ1009" s="132" t="s">
        <v>9</v>
      </c>
      <c r="BA1009" s="132"/>
      <c r="BB1009" s="24" t="s">
        <v>2956</v>
      </c>
      <c r="BC1009" s="135" t="s">
        <v>3967</v>
      </c>
      <c r="BD1009" s="24">
        <v>44029</v>
      </c>
      <c r="BE1009" s="135" t="s">
        <v>3640</v>
      </c>
      <c r="BF1009" s="135" t="s">
        <v>3640</v>
      </c>
      <c r="BG1009" s="135" t="s">
        <v>64</v>
      </c>
      <c r="BH1009" s="135"/>
      <c r="BI1009" s="314" t="s">
        <v>124</v>
      </c>
      <c r="BJ1009" s="314"/>
      <c r="BK1009" s="24"/>
      <c r="BL1009" s="24"/>
      <c r="BM1009" s="24"/>
      <c r="BN1009" s="24"/>
      <c r="BO1009" s="24"/>
      <c r="BP1009" s="24"/>
      <c r="BQ1009" s="24"/>
      <c r="BR1009" s="43"/>
      <c r="BS1009" s="24"/>
      <c r="BT1009" s="24"/>
      <c r="BU1009" s="24"/>
      <c r="BV1009" s="132" t="e">
        <f>IF(#REF!="COMPLETO","OK","PENDIENTES")</f>
        <v>#REF!</v>
      </c>
      <c r="BW1009" s="325"/>
      <c r="BX1009" s="325"/>
      <c r="BY1009" s="325"/>
      <c r="BZ1009" s="325"/>
      <c r="CA1009" s="325"/>
      <c r="CB1009" s="325"/>
      <c r="CC1009" s="258" t="s">
        <v>3968</v>
      </c>
      <c r="CG1009" s="24" t="s">
        <v>105</v>
      </c>
      <c r="CH1009" s="24"/>
      <c r="CI1009" s="26"/>
      <c r="CJ1009" s="26"/>
    </row>
    <row r="1010" spans="1:88" ht="15" customHeight="1">
      <c r="A1010" s="18">
        <v>2020</v>
      </c>
      <c r="B1010" s="18" t="str">
        <f>+INDEX(BDD!F:F,MATCH(P1010,BDD!D:D,0))&amp;"-"&amp;INDEX(BDD!E:E,MATCH(P1010,BDD!D:D,0))</f>
        <v>T-S</v>
      </c>
      <c r="C1010" s="125" t="s">
        <v>484</v>
      </c>
      <c r="D1010" s="150" t="s">
        <v>77</v>
      </c>
      <c r="E1010" s="132"/>
      <c r="F1010" s="24"/>
      <c r="G1010" s="346">
        <v>8000000807</v>
      </c>
      <c r="H1010" s="125" t="s">
        <v>3969</v>
      </c>
      <c r="I1010" s="329"/>
      <c r="J1010" s="346">
        <v>8000000807</v>
      </c>
      <c r="K1010" s="24"/>
      <c r="L1010" s="24"/>
      <c r="M1010" s="24"/>
      <c r="N1010" s="340" t="s">
        <v>486</v>
      </c>
      <c r="O1010" s="334">
        <v>208067</v>
      </c>
      <c r="P1010" s="25" t="s">
        <v>383</v>
      </c>
      <c r="Q1010" s="127" t="s">
        <v>303</v>
      </c>
      <c r="R1010" s="232" t="s">
        <v>3970</v>
      </c>
      <c r="S1010" s="89" t="s">
        <v>582</v>
      </c>
      <c r="T1010" s="36">
        <v>30</v>
      </c>
      <c r="U1010" s="125" t="s">
        <v>118</v>
      </c>
      <c r="V1010" s="147" t="s">
        <v>3971</v>
      </c>
      <c r="W1010" s="129"/>
      <c r="X1010" s="88">
        <f>+BD1010+T1010</f>
        <v>44029</v>
      </c>
      <c r="Y1010" s="130" t="s">
        <v>20</v>
      </c>
      <c r="Z1010" s="133" t="s">
        <v>60</v>
      </c>
      <c r="AA1010" s="133"/>
      <c r="AB1010" s="241">
        <v>500</v>
      </c>
      <c r="AC1010" s="134">
        <v>220.34</v>
      </c>
      <c r="AD1010" s="134"/>
      <c r="AE1010" s="403">
        <f t="shared" si="55"/>
        <v>110170</v>
      </c>
      <c r="AF1010" s="132">
        <v>20</v>
      </c>
      <c r="AG1010" s="130" t="s">
        <v>5</v>
      </c>
      <c r="AH1010" s="130"/>
      <c r="AI1010" s="130" t="s">
        <v>34</v>
      </c>
      <c r="AJ1010" s="130"/>
      <c r="AK1010" s="130"/>
      <c r="AL1010" s="135" t="s">
        <v>3779</v>
      </c>
      <c r="AM1010" s="314"/>
      <c r="AN1010" s="26"/>
      <c r="AO1010" s="26"/>
      <c r="AP1010" s="26"/>
      <c r="AQ1010" s="26">
        <v>44008</v>
      </c>
      <c r="AR1010" s="24"/>
      <c r="AS1010" s="24"/>
      <c r="AT1010" s="24">
        <v>44015</v>
      </c>
      <c r="AU1010" s="418">
        <f t="shared" si="56"/>
        <v>7</v>
      </c>
      <c r="AV1010" s="418">
        <f t="shared" si="57"/>
        <v>2020</v>
      </c>
      <c r="AW1010" s="24"/>
      <c r="AX1010" s="28"/>
      <c r="AY1010" s="28" t="s">
        <v>3415</v>
      </c>
      <c r="AZ1010" s="132" t="s">
        <v>37</v>
      </c>
      <c r="BA1010" s="132"/>
      <c r="BB1010" s="24" t="s">
        <v>2956</v>
      </c>
      <c r="BC1010" s="135" t="s">
        <v>3972</v>
      </c>
      <c r="BD1010" s="24">
        <v>43999</v>
      </c>
      <c r="BE1010" s="135" t="s">
        <v>797</v>
      </c>
      <c r="BF1010" s="135" t="s">
        <v>797</v>
      </c>
      <c r="BG1010" s="135" t="s">
        <v>64</v>
      </c>
      <c r="BH1010" s="135"/>
      <c r="BI1010" s="314" t="s">
        <v>124</v>
      </c>
      <c r="BJ1010" s="314"/>
      <c r="BK1010" s="24"/>
      <c r="BL1010" s="24"/>
      <c r="BM1010" s="24"/>
      <c r="BN1010" s="24"/>
      <c r="BO1010" s="24"/>
      <c r="BP1010" s="24"/>
      <c r="BQ1010" s="24"/>
      <c r="BR1010" s="43"/>
      <c r="BS1010" s="24"/>
      <c r="BT1010" s="24"/>
      <c r="BU1010" s="24"/>
      <c r="BV1010" s="132" t="e">
        <f>IF(#REF!="COMPLETO","OK","PENDIENTES")</f>
        <v>#REF!</v>
      </c>
      <c r="BW1010" s="325"/>
      <c r="BX1010" s="325"/>
      <c r="BY1010" s="325"/>
      <c r="BZ1010" s="325"/>
      <c r="CA1010" s="325"/>
      <c r="CB1010" s="325"/>
      <c r="CC1010" s="258"/>
      <c r="CG1010" s="24" t="s">
        <v>105</v>
      </c>
      <c r="CH1010" s="24"/>
      <c r="CI1010" s="24"/>
      <c r="CJ1010" s="24"/>
    </row>
    <row r="1011" spans="1:88" ht="15" customHeight="1">
      <c r="A1011" s="18">
        <v>2020</v>
      </c>
      <c r="B1011" s="18" t="str">
        <f>+INDEX(BDD!F:F,MATCH(P1011,BDD!D:D,0))&amp;"-"&amp;INDEX(BDD!E:E,MATCH(P1011,BDD!D:D,0))</f>
        <v>T-S</v>
      </c>
      <c r="C1011" s="125" t="s">
        <v>484</v>
      </c>
      <c r="D1011" s="150" t="s">
        <v>77</v>
      </c>
      <c r="E1011" s="132"/>
      <c r="F1011" s="24"/>
      <c r="G1011" s="346">
        <v>8000000802</v>
      </c>
      <c r="H1011" s="125" t="s">
        <v>3973</v>
      </c>
      <c r="I1011" s="329"/>
      <c r="J1011" s="346">
        <v>8000000802</v>
      </c>
      <c r="K1011" s="24"/>
      <c r="L1011" s="24"/>
      <c r="M1011" s="24"/>
      <c r="N1011" s="340" t="s">
        <v>486</v>
      </c>
      <c r="O1011" s="334">
        <v>208067</v>
      </c>
      <c r="P1011" s="25" t="s">
        <v>383</v>
      </c>
      <c r="Q1011" s="127" t="s">
        <v>303</v>
      </c>
      <c r="R1011" s="232" t="s">
        <v>3974</v>
      </c>
      <c r="S1011" s="89" t="s">
        <v>582</v>
      </c>
      <c r="T1011" s="36">
        <v>30</v>
      </c>
      <c r="U1011" s="125" t="s">
        <v>118</v>
      </c>
      <c r="V1011" s="147" t="s">
        <v>3975</v>
      </c>
      <c r="W1011" s="129"/>
      <c r="X1011" s="88">
        <f>+BD1011+T1011</f>
        <v>44022</v>
      </c>
      <c r="Y1011" s="130" t="s">
        <v>20</v>
      </c>
      <c r="Z1011" s="133" t="s">
        <v>60</v>
      </c>
      <c r="AA1011" s="133"/>
      <c r="AB1011" s="241">
        <v>275</v>
      </c>
      <c r="AC1011" s="134">
        <v>220.34</v>
      </c>
      <c r="AD1011" s="134"/>
      <c r="AE1011" s="403">
        <f t="shared" si="55"/>
        <v>60593.5</v>
      </c>
      <c r="AF1011" s="132">
        <v>11</v>
      </c>
      <c r="AG1011" s="130" t="s">
        <v>5</v>
      </c>
      <c r="AH1011" s="130"/>
      <c r="AI1011" s="130" t="s">
        <v>34</v>
      </c>
      <c r="AJ1011" s="130"/>
      <c r="AK1011" s="130"/>
      <c r="AL1011" s="135" t="s">
        <v>3779</v>
      </c>
      <c r="AM1011" s="314"/>
      <c r="AN1011" s="26"/>
      <c r="AO1011" s="26"/>
      <c r="AP1011" s="26"/>
      <c r="AQ1011" s="26">
        <v>44000</v>
      </c>
      <c r="AR1011" s="24"/>
      <c r="AS1011" s="24"/>
      <c r="AT1011" s="24">
        <v>44005</v>
      </c>
      <c r="AU1011" s="418">
        <f t="shared" si="56"/>
        <v>6</v>
      </c>
      <c r="AV1011" s="418">
        <f t="shared" si="57"/>
        <v>2020</v>
      </c>
      <c r="AW1011" s="24"/>
      <c r="AX1011" s="28"/>
      <c r="AY1011" s="28" t="s">
        <v>3415</v>
      </c>
      <c r="AZ1011" s="132" t="s">
        <v>37</v>
      </c>
      <c r="BA1011" s="132"/>
      <c r="BB1011" s="24" t="s">
        <v>2956</v>
      </c>
      <c r="BC1011" s="135" t="s">
        <v>3976</v>
      </c>
      <c r="BD1011" s="24">
        <v>43992</v>
      </c>
      <c r="BE1011" s="135" t="s">
        <v>870</v>
      </c>
      <c r="BF1011" s="135" t="s">
        <v>870</v>
      </c>
      <c r="BG1011" s="135" t="s">
        <v>29</v>
      </c>
      <c r="BH1011" s="135"/>
      <c r="BI1011" s="314" t="s">
        <v>124</v>
      </c>
      <c r="BJ1011" s="314"/>
      <c r="BK1011" s="24"/>
      <c r="BL1011" s="24"/>
      <c r="BM1011" s="24"/>
      <c r="BN1011" s="24"/>
      <c r="BO1011" s="24"/>
      <c r="BP1011" s="24"/>
      <c r="BQ1011" s="24"/>
      <c r="BR1011" s="43"/>
      <c r="BS1011" s="24"/>
      <c r="BT1011" s="24"/>
      <c r="BU1011" s="24"/>
      <c r="BV1011" s="132" t="e">
        <f>IF(#REF!="COMPLETO","OK","PENDIENTES")</f>
        <v>#REF!</v>
      </c>
      <c r="BW1011" s="325"/>
      <c r="BX1011" s="325"/>
      <c r="BY1011" s="325"/>
      <c r="BZ1011" s="325"/>
      <c r="CA1011" s="325"/>
      <c r="CB1011" s="325"/>
      <c r="CC1011" s="258"/>
      <c r="CG1011" s="24" t="s">
        <v>105</v>
      </c>
      <c r="CH1011" s="24"/>
      <c r="CI1011" s="24"/>
      <c r="CJ1011" s="24"/>
    </row>
    <row r="1012" spans="1:88" ht="15" customHeight="1">
      <c r="A1012" s="18">
        <v>2020</v>
      </c>
      <c r="B1012" s="18" t="str">
        <f>+INDEX(BDD!F:F,MATCH(P1012,BDD!D:D,0))&amp;"-"&amp;INDEX(BDD!E:E,MATCH(P1012,BDD!D:D,0))</f>
        <v>T-S</v>
      </c>
      <c r="C1012" s="125" t="s">
        <v>484</v>
      </c>
      <c r="D1012" s="150" t="s">
        <v>77</v>
      </c>
      <c r="E1012" s="132"/>
      <c r="F1012" s="24"/>
      <c r="G1012" s="346">
        <v>8000000899</v>
      </c>
      <c r="H1012" s="125" t="s">
        <v>3977</v>
      </c>
      <c r="I1012" s="329"/>
      <c r="J1012" s="346">
        <v>8000000899</v>
      </c>
      <c r="K1012" s="24"/>
      <c r="L1012" s="24"/>
      <c r="M1012" s="24"/>
      <c r="N1012" s="340" t="s">
        <v>486</v>
      </c>
      <c r="O1012" s="334">
        <v>208072</v>
      </c>
      <c r="P1012" s="25" t="s">
        <v>385</v>
      </c>
      <c r="Q1012" s="127" t="s">
        <v>303</v>
      </c>
      <c r="R1012" s="232" t="s">
        <v>3978</v>
      </c>
      <c r="S1012" s="89" t="s">
        <v>582</v>
      </c>
      <c r="T1012" s="36" t="s">
        <v>19</v>
      </c>
      <c r="U1012" s="125"/>
      <c r="V1012" s="147" t="s">
        <v>3979</v>
      </c>
      <c r="W1012" s="129"/>
      <c r="X1012" s="88">
        <v>44071</v>
      </c>
      <c r="Y1012" s="130" t="s">
        <v>20</v>
      </c>
      <c r="Z1012" s="133" t="s">
        <v>60</v>
      </c>
      <c r="AA1012" s="133"/>
      <c r="AB1012" s="241">
        <v>16</v>
      </c>
      <c r="AC1012" s="134">
        <v>9560</v>
      </c>
      <c r="AD1012" s="134"/>
      <c r="AE1012" s="403">
        <f t="shared" si="55"/>
        <v>152960</v>
      </c>
      <c r="AF1012" s="132">
        <v>1</v>
      </c>
      <c r="AG1012" s="130" t="s">
        <v>21</v>
      </c>
      <c r="AH1012" s="130"/>
      <c r="AI1012" s="130" t="s">
        <v>3619</v>
      </c>
      <c r="AJ1012" s="130"/>
      <c r="AK1012" s="130"/>
      <c r="AL1012" s="135" t="s">
        <v>3961</v>
      </c>
      <c r="AM1012" s="314"/>
      <c r="AN1012" s="26"/>
      <c r="AO1012" s="26"/>
      <c r="AP1012" s="26"/>
      <c r="AQ1012" s="26">
        <v>44055</v>
      </c>
      <c r="AR1012" s="24"/>
      <c r="AS1012" s="24"/>
      <c r="AT1012" s="24">
        <f>+AQ1012+9</f>
        <v>44064</v>
      </c>
      <c r="AU1012" s="418">
        <f t="shared" si="56"/>
        <v>8</v>
      </c>
      <c r="AV1012" s="418">
        <f t="shared" si="57"/>
        <v>2020</v>
      </c>
      <c r="AW1012" s="24"/>
      <c r="AX1012" s="28"/>
      <c r="AY1012" s="28" t="s">
        <v>3981</v>
      </c>
      <c r="AZ1012" s="132" t="s">
        <v>9</v>
      </c>
      <c r="BA1012" s="132"/>
      <c r="BB1012" s="24" t="s">
        <v>3264</v>
      </c>
      <c r="BC1012" s="135" t="s">
        <v>3980</v>
      </c>
      <c r="BD1012" s="24">
        <v>44027</v>
      </c>
      <c r="BE1012" s="135" t="s">
        <v>865</v>
      </c>
      <c r="BF1012" s="135" t="s">
        <v>1806</v>
      </c>
      <c r="BG1012" s="135" t="s">
        <v>64</v>
      </c>
      <c r="BH1012" s="135"/>
      <c r="BI1012" s="314" t="s">
        <v>124</v>
      </c>
      <c r="BJ1012" s="314" t="s">
        <v>143</v>
      </c>
      <c r="BK1012" s="24"/>
      <c r="BL1012" s="24"/>
      <c r="BM1012" s="24"/>
      <c r="BN1012" s="24"/>
      <c r="BO1012" s="24"/>
      <c r="BP1012" s="24"/>
      <c r="BQ1012" s="24"/>
      <c r="BR1012" s="43"/>
      <c r="BS1012" s="24"/>
      <c r="BT1012" s="24"/>
      <c r="BU1012" s="24"/>
      <c r="BV1012" s="132" t="e">
        <f>IF(#REF!="COMPLETO","OK","PENDIENTES")</f>
        <v>#REF!</v>
      </c>
      <c r="BW1012" s="325"/>
      <c r="BX1012" s="325"/>
      <c r="BY1012" s="325"/>
      <c r="BZ1012" s="325"/>
      <c r="CA1012" s="325"/>
      <c r="CB1012" s="325"/>
      <c r="CC1012" s="258" t="s">
        <v>3982</v>
      </c>
      <c r="CG1012" s="24" t="s">
        <v>105</v>
      </c>
      <c r="CH1012" s="24"/>
      <c r="CI1012" s="24"/>
      <c r="CJ1012" s="24"/>
    </row>
    <row r="1013" spans="1:88" ht="15" customHeight="1">
      <c r="A1013" s="18">
        <v>2020</v>
      </c>
      <c r="B1013" s="18" t="str">
        <f>+INDEX(BDD!F:F,MATCH(P1013,BDD!D:D,0))&amp;"-"&amp;INDEX(BDD!E:E,MATCH(P1013,BDD!D:D,0))</f>
        <v>T-S</v>
      </c>
      <c r="C1013" s="125" t="s">
        <v>484</v>
      </c>
      <c r="D1013" s="150" t="s">
        <v>77</v>
      </c>
      <c r="E1013" s="132"/>
      <c r="F1013" s="24"/>
      <c r="G1013" s="346">
        <v>8000000837</v>
      </c>
      <c r="H1013" s="125" t="s">
        <v>3983</v>
      </c>
      <c r="I1013" s="329"/>
      <c r="J1013" s="346">
        <v>8000000837</v>
      </c>
      <c r="K1013" s="24"/>
      <c r="L1013" s="24"/>
      <c r="M1013" s="24"/>
      <c r="N1013" s="340" t="s">
        <v>486</v>
      </c>
      <c r="O1013" s="334">
        <v>208067</v>
      </c>
      <c r="P1013" s="25" t="s">
        <v>383</v>
      </c>
      <c r="Q1013" s="127" t="s">
        <v>303</v>
      </c>
      <c r="R1013" s="232" t="s">
        <v>3984</v>
      </c>
      <c r="S1013" s="89" t="s">
        <v>582</v>
      </c>
      <c r="T1013" s="36">
        <v>30</v>
      </c>
      <c r="U1013" s="125" t="s">
        <v>118</v>
      </c>
      <c r="V1013" s="147" t="s">
        <v>3985</v>
      </c>
      <c r="W1013" s="129"/>
      <c r="X1013" s="88">
        <f>+BD1013+T1013</f>
        <v>44042</v>
      </c>
      <c r="Y1013" s="130" t="s">
        <v>20</v>
      </c>
      <c r="Z1013" s="133" t="s">
        <v>60</v>
      </c>
      <c r="AA1013" s="133"/>
      <c r="AB1013" s="241">
        <v>500</v>
      </c>
      <c r="AC1013" s="134">
        <v>220.34</v>
      </c>
      <c r="AD1013" s="134"/>
      <c r="AE1013" s="403">
        <f t="shared" si="55"/>
        <v>110170</v>
      </c>
      <c r="AF1013" s="132">
        <v>20</v>
      </c>
      <c r="AG1013" s="130" t="s">
        <v>5</v>
      </c>
      <c r="AH1013" s="130"/>
      <c r="AI1013" s="130" t="s">
        <v>34</v>
      </c>
      <c r="AJ1013" s="130"/>
      <c r="AK1013" s="130"/>
      <c r="AL1013" s="135" t="s">
        <v>3986</v>
      </c>
      <c r="AM1013" s="314"/>
      <c r="AN1013" s="26"/>
      <c r="AO1013" s="26"/>
      <c r="AP1013" s="26"/>
      <c r="AQ1013" s="26">
        <v>44020</v>
      </c>
      <c r="AR1013" s="24"/>
      <c r="AS1013" s="24"/>
      <c r="AT1013" s="26">
        <v>44025</v>
      </c>
      <c r="AU1013" s="418">
        <f t="shared" si="56"/>
        <v>7</v>
      </c>
      <c r="AV1013" s="418">
        <f t="shared" si="57"/>
        <v>2020</v>
      </c>
      <c r="AW1013" s="26"/>
      <c r="AX1013" s="28"/>
      <c r="AY1013" s="28" t="s">
        <v>3415</v>
      </c>
      <c r="AZ1013" s="132" t="s">
        <v>37</v>
      </c>
      <c r="BA1013" s="132"/>
      <c r="BB1013" s="24" t="s">
        <v>2956</v>
      </c>
      <c r="BC1013" s="135" t="s">
        <v>3987</v>
      </c>
      <c r="BD1013" s="24">
        <v>44012</v>
      </c>
      <c r="BE1013" s="135" t="s">
        <v>3988</v>
      </c>
      <c r="BF1013" s="135" t="s">
        <v>3988</v>
      </c>
      <c r="BG1013" s="135" t="s">
        <v>3989</v>
      </c>
      <c r="BH1013" s="135"/>
      <c r="BI1013" s="314" t="s">
        <v>124</v>
      </c>
      <c r="BJ1013" s="314"/>
      <c r="BK1013" s="24"/>
      <c r="BL1013" s="24"/>
      <c r="BM1013" s="24"/>
      <c r="BN1013" s="24"/>
      <c r="BO1013" s="24"/>
      <c r="BP1013" s="24"/>
      <c r="BQ1013" s="24"/>
      <c r="BR1013" s="43"/>
      <c r="BS1013" s="24"/>
      <c r="BT1013" s="24"/>
      <c r="BU1013" s="24"/>
      <c r="BV1013" s="132" t="e">
        <f>IF(#REF!="COMPLETO","OK","PENDIENTES")</f>
        <v>#REF!</v>
      </c>
      <c r="BW1013" s="325"/>
      <c r="BX1013" s="325"/>
      <c r="BY1013" s="325"/>
      <c r="BZ1013" s="325"/>
      <c r="CA1013" s="325"/>
      <c r="CB1013" s="325"/>
      <c r="CC1013" s="258"/>
      <c r="CG1013" s="24" t="s">
        <v>105</v>
      </c>
      <c r="CH1013" s="24"/>
      <c r="CI1013" s="26"/>
      <c r="CJ1013" s="26"/>
    </row>
    <row r="1014" spans="1:88" ht="15" customHeight="1">
      <c r="A1014" s="18">
        <v>2020</v>
      </c>
      <c r="B1014" s="18" t="str">
        <f>+INDEX(BDD!F:F,MATCH(P1014,BDD!D:D,0))&amp;"-"&amp;INDEX(BDD!E:E,MATCH(P1014,BDD!D:D,0))</f>
        <v>S-C</v>
      </c>
      <c r="C1014" s="125" t="s">
        <v>484</v>
      </c>
      <c r="D1014" s="150" t="s">
        <v>77</v>
      </c>
      <c r="E1014" s="132"/>
      <c r="F1014" s="24"/>
      <c r="G1014" s="346">
        <v>8000000893</v>
      </c>
      <c r="H1014" s="125" t="s">
        <v>3990</v>
      </c>
      <c r="I1014" s="329"/>
      <c r="J1014" s="346">
        <v>8000000893</v>
      </c>
      <c r="K1014" s="24"/>
      <c r="L1014" s="24"/>
      <c r="M1014" s="24"/>
      <c r="N1014" s="340" t="s">
        <v>486</v>
      </c>
      <c r="O1014" s="334">
        <v>207580</v>
      </c>
      <c r="P1014" s="25" t="s">
        <v>241</v>
      </c>
      <c r="Q1014" s="127" t="s">
        <v>30</v>
      </c>
      <c r="R1014" s="232" t="s">
        <v>544</v>
      </c>
      <c r="S1014" s="89">
        <v>43997</v>
      </c>
      <c r="T1014" s="36">
        <v>120</v>
      </c>
      <c r="U1014" s="125" t="s">
        <v>118</v>
      </c>
      <c r="V1014" s="147" t="s">
        <v>3991</v>
      </c>
      <c r="W1014" s="129"/>
      <c r="X1014" s="88">
        <f>+BD1014+T1014</f>
        <v>44146</v>
      </c>
      <c r="Y1014" s="130" t="s">
        <v>20</v>
      </c>
      <c r="Z1014" s="133" t="s">
        <v>81</v>
      </c>
      <c r="AA1014" s="133"/>
      <c r="AB1014" s="241">
        <v>408</v>
      </c>
      <c r="AC1014" s="134">
        <v>655</v>
      </c>
      <c r="AD1014" s="134"/>
      <c r="AE1014" s="403">
        <f t="shared" si="55"/>
        <v>267240</v>
      </c>
      <c r="AF1014" s="132">
        <v>17</v>
      </c>
      <c r="AG1014" s="130" t="s">
        <v>5</v>
      </c>
      <c r="AH1014" s="130"/>
      <c r="AI1014" s="130" t="s">
        <v>34</v>
      </c>
      <c r="AJ1014" s="130"/>
      <c r="AK1014" s="130"/>
      <c r="AL1014" s="135" t="s">
        <v>3992</v>
      </c>
      <c r="AM1014" s="314"/>
      <c r="AN1014" s="26"/>
      <c r="AO1014" s="26"/>
      <c r="AP1014" s="26"/>
      <c r="AQ1014" s="26">
        <v>44032</v>
      </c>
      <c r="AR1014" s="24"/>
      <c r="AS1014" s="24"/>
      <c r="AT1014" s="24">
        <v>44036</v>
      </c>
      <c r="AU1014" s="418">
        <f t="shared" si="56"/>
        <v>7</v>
      </c>
      <c r="AV1014" s="418">
        <f t="shared" si="57"/>
        <v>2020</v>
      </c>
      <c r="AW1014" s="24"/>
      <c r="AX1014" s="28"/>
      <c r="AY1014" s="28" t="s">
        <v>181</v>
      </c>
      <c r="AZ1014" s="132" t="s">
        <v>37</v>
      </c>
      <c r="BA1014" s="132"/>
      <c r="BB1014" s="24" t="s">
        <v>2956</v>
      </c>
      <c r="BC1014" s="135" t="s">
        <v>3993</v>
      </c>
      <c r="BD1014" s="24">
        <v>44026</v>
      </c>
      <c r="BE1014" s="135" t="s">
        <v>814</v>
      </c>
      <c r="BF1014" s="135" t="s">
        <v>814</v>
      </c>
      <c r="BG1014" s="135" t="s">
        <v>29</v>
      </c>
      <c r="BH1014" s="135"/>
      <c r="BI1014" s="314" t="s">
        <v>124</v>
      </c>
      <c r="BJ1014" s="314"/>
      <c r="BK1014" s="24"/>
      <c r="BL1014" s="24"/>
      <c r="BM1014" s="24"/>
      <c r="BN1014" s="24"/>
      <c r="BO1014" s="24"/>
      <c r="BP1014" s="24"/>
      <c r="BQ1014" s="24"/>
      <c r="BR1014" s="43"/>
      <c r="BS1014" s="24"/>
      <c r="BT1014" s="24"/>
      <c r="BU1014" s="24"/>
      <c r="BV1014" s="132" t="e">
        <f>IF(#REF!="COMPLETO","OK","PENDIENTES")</f>
        <v>#REF!</v>
      </c>
      <c r="BW1014" s="325"/>
      <c r="BX1014" s="325"/>
      <c r="BY1014" s="325"/>
      <c r="BZ1014" s="325"/>
      <c r="CA1014" s="325"/>
      <c r="CB1014" s="325"/>
      <c r="CC1014" s="258"/>
      <c r="CG1014" s="24" t="s">
        <v>105</v>
      </c>
      <c r="CH1014" s="24"/>
      <c r="CI1014" s="24"/>
      <c r="CJ1014" s="24"/>
    </row>
    <row r="1015" spans="1:88" ht="15" customHeight="1">
      <c r="A1015" s="18">
        <v>2020</v>
      </c>
      <c r="B1015" s="18" t="str">
        <f>+INDEX(BDD!F:F,MATCH(P1015,BDD!D:D,0))&amp;"-"&amp;INDEX(BDD!E:E,MATCH(P1015,BDD!D:D,0))</f>
        <v>S-C</v>
      </c>
      <c r="C1015" s="125" t="s">
        <v>484</v>
      </c>
      <c r="D1015" s="150" t="s">
        <v>77</v>
      </c>
      <c r="E1015" s="132"/>
      <c r="F1015" s="24"/>
      <c r="G1015" s="346">
        <v>8000000908</v>
      </c>
      <c r="H1015" s="125" t="s">
        <v>3994</v>
      </c>
      <c r="I1015" s="329"/>
      <c r="J1015" s="346">
        <v>8000000908</v>
      </c>
      <c r="K1015" s="24"/>
      <c r="L1015" s="24"/>
      <c r="M1015" s="24"/>
      <c r="N1015" s="340" t="s">
        <v>486</v>
      </c>
      <c r="O1015" s="334">
        <v>207580</v>
      </c>
      <c r="P1015" s="25" t="s">
        <v>241</v>
      </c>
      <c r="Q1015" s="127" t="s">
        <v>30</v>
      </c>
      <c r="R1015" s="232" t="s">
        <v>544</v>
      </c>
      <c r="S1015" s="89">
        <v>43997</v>
      </c>
      <c r="T1015" s="36">
        <v>120</v>
      </c>
      <c r="U1015" s="125" t="s">
        <v>118</v>
      </c>
      <c r="V1015" s="147" t="s">
        <v>3995</v>
      </c>
      <c r="W1015" s="129"/>
      <c r="X1015" s="88">
        <v>44126</v>
      </c>
      <c r="Y1015" s="130" t="s">
        <v>20</v>
      </c>
      <c r="Z1015" s="133" t="s">
        <v>81</v>
      </c>
      <c r="AA1015" s="133"/>
      <c r="AB1015" s="241">
        <v>408</v>
      </c>
      <c r="AC1015" s="134">
        <v>675</v>
      </c>
      <c r="AD1015" s="134"/>
      <c r="AE1015" s="403">
        <f t="shared" si="55"/>
        <v>275400</v>
      </c>
      <c r="AF1015" s="132">
        <v>17</v>
      </c>
      <c r="AG1015" s="130" t="s">
        <v>5</v>
      </c>
      <c r="AH1015" s="130"/>
      <c r="AI1015" s="130" t="s">
        <v>34</v>
      </c>
      <c r="AJ1015" s="130"/>
      <c r="AK1015" s="130"/>
      <c r="AL1015" s="135" t="s">
        <v>3992</v>
      </c>
      <c r="AM1015" s="314"/>
      <c r="AN1015" s="26"/>
      <c r="AO1015" s="26"/>
      <c r="AP1015" s="26"/>
      <c r="AQ1015" s="26">
        <v>44027</v>
      </c>
      <c r="AR1015" s="24"/>
      <c r="AS1015" s="24"/>
      <c r="AT1015" s="26">
        <v>44037</v>
      </c>
      <c r="AU1015" s="418">
        <f t="shared" si="56"/>
        <v>7</v>
      </c>
      <c r="AV1015" s="418">
        <f t="shared" si="57"/>
        <v>2020</v>
      </c>
      <c r="AW1015" s="26"/>
      <c r="AX1015" s="28"/>
      <c r="AY1015" s="28" t="s">
        <v>1347</v>
      </c>
      <c r="AZ1015" s="132" t="s">
        <v>9</v>
      </c>
      <c r="BA1015" s="132"/>
      <c r="BB1015" s="24" t="s">
        <v>3264</v>
      </c>
      <c r="BC1015" s="135" t="s">
        <v>3996</v>
      </c>
      <c r="BD1015" s="24">
        <v>44005</v>
      </c>
      <c r="BE1015" s="135" t="s">
        <v>870</v>
      </c>
      <c r="BF1015" s="135" t="s">
        <v>1807</v>
      </c>
      <c r="BG1015" s="135" t="s">
        <v>29</v>
      </c>
      <c r="BH1015" s="135"/>
      <c r="BI1015" s="314" t="s">
        <v>124</v>
      </c>
      <c r="BJ1015" s="314"/>
      <c r="BK1015" s="24"/>
      <c r="BL1015" s="24"/>
      <c r="BM1015" s="24"/>
      <c r="BN1015" s="24"/>
      <c r="BO1015" s="24"/>
      <c r="BP1015" s="24"/>
      <c r="BQ1015" s="24"/>
      <c r="BR1015" s="43"/>
      <c r="BS1015" s="24"/>
      <c r="BT1015" s="24"/>
      <c r="BU1015" s="24"/>
      <c r="BV1015" s="132" t="e">
        <f>IF(#REF!="COMPLETO","OK","PENDIENTES")</f>
        <v>#REF!</v>
      </c>
      <c r="BW1015" s="325"/>
      <c r="BX1015" s="325"/>
      <c r="BY1015" s="325"/>
      <c r="BZ1015" s="325"/>
      <c r="CA1015" s="325"/>
      <c r="CB1015" s="325"/>
      <c r="CC1015" s="258"/>
      <c r="CG1015" s="24" t="s">
        <v>105</v>
      </c>
      <c r="CH1015" s="24"/>
      <c r="CI1015" s="26"/>
      <c r="CJ1015" s="26"/>
    </row>
    <row r="1016" spans="1:88" ht="15" customHeight="1">
      <c r="A1016" s="18">
        <v>2020</v>
      </c>
      <c r="B1016" s="18" t="str">
        <f>+INDEX(BDD!F:F,MATCH(P1016,BDD!D:D,0))&amp;"-"&amp;INDEX(BDD!E:E,MATCH(P1016,BDD!D:D,0))</f>
        <v>O-S</v>
      </c>
      <c r="C1016" s="125" t="s">
        <v>484</v>
      </c>
      <c r="D1016" s="150" t="s">
        <v>77</v>
      </c>
      <c r="E1016" s="132"/>
      <c r="F1016" s="24"/>
      <c r="G1016" s="346">
        <v>8000001023</v>
      </c>
      <c r="H1016" s="125" t="s">
        <v>3997</v>
      </c>
      <c r="I1016" s="329"/>
      <c r="J1016" s="346">
        <v>8000001023</v>
      </c>
      <c r="K1016" s="24"/>
      <c r="L1016" s="24"/>
      <c r="M1016" s="24"/>
      <c r="N1016" s="340" t="s">
        <v>486</v>
      </c>
      <c r="O1016" s="334">
        <v>204750</v>
      </c>
      <c r="P1016" s="25" t="s">
        <v>390</v>
      </c>
      <c r="Q1016" s="127" t="s">
        <v>303</v>
      </c>
      <c r="R1016" s="232" t="s">
        <v>3998</v>
      </c>
      <c r="S1016" s="89" t="s">
        <v>671</v>
      </c>
      <c r="T1016" s="36" t="s">
        <v>19</v>
      </c>
      <c r="U1016" s="125"/>
      <c r="V1016" s="147" t="s">
        <v>3999</v>
      </c>
      <c r="W1016" s="129"/>
      <c r="X1016" s="88">
        <v>44061</v>
      </c>
      <c r="Y1016" s="130" t="s">
        <v>20</v>
      </c>
      <c r="Z1016" s="133" t="s">
        <v>60</v>
      </c>
      <c r="AA1016" s="133"/>
      <c r="AB1016" s="241">
        <v>748</v>
      </c>
      <c r="AC1016" s="134">
        <v>372</v>
      </c>
      <c r="AD1016" s="134"/>
      <c r="AE1016" s="403">
        <f t="shared" si="55"/>
        <v>278256</v>
      </c>
      <c r="AF1016" s="132">
        <v>34</v>
      </c>
      <c r="AG1016" s="130" t="s">
        <v>5</v>
      </c>
      <c r="AH1016" s="130"/>
      <c r="AI1016" s="130" t="s">
        <v>47</v>
      </c>
      <c r="AJ1016" s="130"/>
      <c r="AK1016" s="130"/>
      <c r="AL1016" s="135" t="s">
        <v>3961</v>
      </c>
      <c r="AM1016" s="314"/>
      <c r="AN1016" s="26"/>
      <c r="AO1016" s="26"/>
      <c r="AP1016" s="26"/>
      <c r="AQ1016" s="26">
        <v>44092</v>
      </c>
      <c r="AR1016" s="24"/>
      <c r="AS1016" s="24"/>
      <c r="AT1016" s="164">
        <v>44111</v>
      </c>
      <c r="AU1016" s="418">
        <f t="shared" si="56"/>
        <v>10</v>
      </c>
      <c r="AV1016" s="418">
        <f t="shared" si="57"/>
        <v>2020</v>
      </c>
      <c r="AW1016" s="164"/>
      <c r="AX1016" s="28"/>
      <c r="AY1016" s="28" t="s">
        <v>3415</v>
      </c>
      <c r="AZ1016" s="132" t="s">
        <v>62</v>
      </c>
      <c r="BA1016" s="132"/>
      <c r="BB1016" s="24" t="s">
        <v>4001</v>
      </c>
      <c r="BC1016" s="135" t="s">
        <v>4000</v>
      </c>
      <c r="BD1016" s="24">
        <v>44057</v>
      </c>
      <c r="BE1016" s="135" t="s">
        <v>3640</v>
      </c>
      <c r="BF1016" s="135" t="s">
        <v>1938</v>
      </c>
      <c r="BG1016" s="135" t="s">
        <v>29</v>
      </c>
      <c r="BH1016" s="135"/>
      <c r="BI1016" s="314" t="s">
        <v>124</v>
      </c>
      <c r="BJ1016" s="314" t="s">
        <v>148</v>
      </c>
      <c r="BK1016" s="24"/>
      <c r="BL1016" s="24"/>
      <c r="BM1016" s="24"/>
      <c r="BN1016" s="24"/>
      <c r="BO1016" s="24">
        <v>44113</v>
      </c>
      <c r="BP1016" s="24"/>
      <c r="BQ1016" s="24"/>
      <c r="BR1016" s="43"/>
      <c r="BS1016" s="24"/>
      <c r="BT1016" s="24"/>
      <c r="BU1016" s="24"/>
      <c r="BV1016" s="132" t="e">
        <f>IF(#REF!="COMPLETO","OK","PENDIENTES")</f>
        <v>#REF!</v>
      </c>
      <c r="BW1016" s="325"/>
      <c r="BX1016" s="325"/>
      <c r="BY1016" s="325"/>
      <c r="BZ1016" s="325"/>
      <c r="CA1016" s="325"/>
      <c r="CB1016" s="325"/>
      <c r="CC1016" s="258" t="s">
        <v>4002</v>
      </c>
      <c r="CG1016" s="24" t="s">
        <v>105</v>
      </c>
      <c r="CH1016" s="24"/>
      <c r="CI1016" s="164"/>
      <c r="CJ1016" s="164"/>
    </row>
    <row r="1017" spans="1:88" ht="15" customHeight="1">
      <c r="A1017" s="18">
        <v>2020</v>
      </c>
      <c r="B1017" s="18" t="str">
        <f>+INDEX(BDD!F:F,MATCH(P1017,BDD!D:D,0))&amp;"-"&amp;INDEX(BDD!E:E,MATCH(P1017,BDD!D:D,0))</f>
        <v>T-S</v>
      </c>
      <c r="C1017" s="125" t="s">
        <v>484</v>
      </c>
      <c r="D1017" s="150" t="s">
        <v>77</v>
      </c>
      <c r="E1017" s="132"/>
      <c r="F1017" s="24"/>
      <c r="G1017" s="346">
        <v>8000000974</v>
      </c>
      <c r="H1017" s="125" t="s">
        <v>4003</v>
      </c>
      <c r="I1017" s="329"/>
      <c r="J1017" s="346">
        <v>8000000974</v>
      </c>
      <c r="K1017" s="24"/>
      <c r="L1017" s="24"/>
      <c r="M1017" s="24"/>
      <c r="N1017" s="340" t="s">
        <v>486</v>
      </c>
      <c r="O1017" s="334">
        <v>203632</v>
      </c>
      <c r="P1017" s="25" t="s">
        <v>391</v>
      </c>
      <c r="Q1017" s="127" t="s">
        <v>303</v>
      </c>
      <c r="R1017" s="232" t="s">
        <v>4004</v>
      </c>
      <c r="S1017" s="89" t="s">
        <v>582</v>
      </c>
      <c r="T1017" s="36" t="s">
        <v>19</v>
      </c>
      <c r="U1017" s="125"/>
      <c r="V1017" s="147" t="s">
        <v>4005</v>
      </c>
      <c r="W1017" s="129"/>
      <c r="X1017" s="222">
        <v>44027</v>
      </c>
      <c r="Y1017" s="130" t="s">
        <v>20</v>
      </c>
      <c r="Z1017" s="133" t="s">
        <v>60</v>
      </c>
      <c r="AA1017" s="133"/>
      <c r="AB1017" s="241">
        <v>792</v>
      </c>
      <c r="AC1017" s="134">
        <v>359</v>
      </c>
      <c r="AD1017" s="134"/>
      <c r="AE1017" s="403">
        <f t="shared" si="55"/>
        <v>284328</v>
      </c>
      <c r="AF1017" s="132">
        <v>36</v>
      </c>
      <c r="AG1017" s="130" t="s">
        <v>5</v>
      </c>
      <c r="AH1017" s="130"/>
      <c r="AI1017" s="130" t="s">
        <v>47</v>
      </c>
      <c r="AJ1017" s="130"/>
      <c r="AK1017" s="130"/>
      <c r="AL1017" s="135" t="s">
        <v>3779</v>
      </c>
      <c r="AM1017" s="314"/>
      <c r="AN1017" s="26"/>
      <c r="AO1017" s="26"/>
      <c r="AP1017" s="26"/>
      <c r="AQ1017" s="26">
        <v>44056</v>
      </c>
      <c r="AR1017" s="24"/>
      <c r="AS1017" s="24"/>
      <c r="AT1017" s="26">
        <v>44074</v>
      </c>
      <c r="AU1017" s="418">
        <f t="shared" si="56"/>
        <v>8</v>
      </c>
      <c r="AV1017" s="418">
        <f t="shared" si="57"/>
        <v>2020</v>
      </c>
      <c r="AW1017" s="26"/>
      <c r="AX1017" s="28"/>
      <c r="AY1017" s="28" t="s">
        <v>3415</v>
      </c>
      <c r="AZ1017" s="132" t="s">
        <v>62</v>
      </c>
      <c r="BA1017" s="132"/>
      <c r="BB1017" s="24" t="s">
        <v>3334</v>
      </c>
      <c r="BC1017" s="135" t="s">
        <v>4006</v>
      </c>
      <c r="BD1017" s="24">
        <v>44022</v>
      </c>
      <c r="BE1017" s="135" t="s">
        <v>1807</v>
      </c>
      <c r="BF1017" s="135" t="s">
        <v>1938</v>
      </c>
      <c r="BG1017" s="135" t="s">
        <v>29</v>
      </c>
      <c r="BH1017" s="135"/>
      <c r="BI1017" s="314" t="s">
        <v>124</v>
      </c>
      <c r="BJ1017" s="314"/>
      <c r="BK1017" s="24"/>
      <c r="BL1017" s="24"/>
      <c r="BM1017" s="24"/>
      <c r="BN1017" s="24"/>
      <c r="BO1017" s="24">
        <v>44076</v>
      </c>
      <c r="BP1017" s="24"/>
      <c r="BQ1017" s="24"/>
      <c r="BR1017" s="43"/>
      <c r="BS1017" s="24"/>
      <c r="BT1017" s="24"/>
      <c r="BU1017" s="24"/>
      <c r="BV1017" s="132" t="e">
        <f>IF(#REF!="COMPLETO","OK","PENDIENTES")</f>
        <v>#REF!</v>
      </c>
      <c r="BW1017" s="325"/>
      <c r="BX1017" s="325"/>
      <c r="BY1017" s="325"/>
      <c r="BZ1017" s="325"/>
      <c r="CA1017" s="325"/>
      <c r="CB1017" s="325"/>
      <c r="CC1017" s="258" t="s">
        <v>4007</v>
      </c>
      <c r="CG1017" s="24" t="s">
        <v>105</v>
      </c>
      <c r="CH1017" s="24"/>
      <c r="CI1017" s="26"/>
      <c r="CJ1017" s="26"/>
    </row>
    <row r="1018" spans="1:88" ht="15" customHeight="1">
      <c r="A1018" s="18">
        <v>2020</v>
      </c>
      <c r="B1018" s="18" t="str">
        <f>+INDEX(BDD!F:F,MATCH(P1018,BDD!D:D,0))&amp;"-"&amp;INDEX(BDD!E:E,MATCH(P1018,BDD!D:D,0))</f>
        <v>O-S</v>
      </c>
      <c r="C1018" s="125" t="s">
        <v>484</v>
      </c>
      <c r="D1018" s="150" t="s">
        <v>77</v>
      </c>
      <c r="E1018" s="132"/>
      <c r="F1018" s="24"/>
      <c r="G1018" s="346">
        <v>8000000912</v>
      </c>
      <c r="H1018" s="125" t="s">
        <v>4008</v>
      </c>
      <c r="I1018" s="329"/>
      <c r="J1018" s="346">
        <v>8000000912</v>
      </c>
      <c r="K1018" s="24"/>
      <c r="L1018" s="24"/>
      <c r="M1018" s="24"/>
      <c r="N1018" s="340" t="s">
        <v>486</v>
      </c>
      <c r="O1018" s="334">
        <v>204749</v>
      </c>
      <c r="P1018" s="25" t="s">
        <v>390</v>
      </c>
      <c r="Q1018" s="127" t="s">
        <v>303</v>
      </c>
      <c r="R1018" s="232" t="s">
        <v>4009</v>
      </c>
      <c r="S1018" s="89" t="s">
        <v>582</v>
      </c>
      <c r="T1018" s="36" t="s">
        <v>19</v>
      </c>
      <c r="U1018" s="125"/>
      <c r="V1018" s="147" t="s">
        <v>4010</v>
      </c>
      <c r="W1018" s="129"/>
      <c r="X1018" s="222">
        <v>44036</v>
      </c>
      <c r="Y1018" s="130" t="s">
        <v>20</v>
      </c>
      <c r="Z1018" s="133" t="s">
        <v>60</v>
      </c>
      <c r="AA1018" s="133"/>
      <c r="AB1018" s="241">
        <v>110</v>
      </c>
      <c r="AC1018" s="134">
        <v>359</v>
      </c>
      <c r="AD1018" s="134"/>
      <c r="AE1018" s="403">
        <f t="shared" si="55"/>
        <v>39490</v>
      </c>
      <c r="AF1018" s="132">
        <v>5</v>
      </c>
      <c r="AG1018" s="130" t="s">
        <v>5</v>
      </c>
      <c r="AH1018" s="130"/>
      <c r="AI1018" s="130" t="s">
        <v>47</v>
      </c>
      <c r="AJ1018" s="130"/>
      <c r="AK1018" s="130"/>
      <c r="AL1018" s="135" t="s">
        <v>3961</v>
      </c>
      <c r="AM1018" s="314"/>
      <c r="AN1018" s="26"/>
      <c r="AO1018" s="26"/>
      <c r="AP1018" s="26"/>
      <c r="AQ1018" s="26">
        <v>44035</v>
      </c>
      <c r="AR1018" s="24"/>
      <c r="AS1018" s="24"/>
      <c r="AT1018" s="26">
        <v>44039</v>
      </c>
      <c r="AU1018" s="418">
        <f t="shared" si="56"/>
        <v>7</v>
      </c>
      <c r="AV1018" s="418">
        <f t="shared" si="57"/>
        <v>2020</v>
      </c>
      <c r="AW1018" s="26"/>
      <c r="AX1018" s="28"/>
      <c r="AY1018" s="28" t="s">
        <v>3415</v>
      </c>
      <c r="AZ1018" s="132" t="s">
        <v>37</v>
      </c>
      <c r="BA1018" s="132"/>
      <c r="BB1018" s="24" t="s">
        <v>3291</v>
      </c>
      <c r="BC1018" s="135" t="s">
        <v>4011</v>
      </c>
      <c r="BD1018" s="24">
        <v>44027</v>
      </c>
      <c r="BE1018" s="135" t="s">
        <v>2329</v>
      </c>
      <c r="BF1018" s="135" t="s">
        <v>2329</v>
      </c>
      <c r="BG1018" s="135" t="s">
        <v>64</v>
      </c>
      <c r="BH1018" s="135"/>
      <c r="BI1018" s="314" t="s">
        <v>124</v>
      </c>
      <c r="BJ1018" s="314"/>
      <c r="BK1018" s="24"/>
      <c r="BL1018" s="24"/>
      <c r="BM1018" s="24"/>
      <c r="BN1018" s="24"/>
      <c r="BO1018" s="24"/>
      <c r="BP1018" s="24"/>
      <c r="BQ1018" s="24"/>
      <c r="BR1018" s="43"/>
      <c r="BS1018" s="24"/>
      <c r="BT1018" s="24"/>
      <c r="BU1018" s="24"/>
      <c r="BV1018" s="132" t="e">
        <f>IF(#REF!="COMPLETO","OK","PENDIENTES")</f>
        <v>#REF!</v>
      </c>
      <c r="BW1018" s="325"/>
      <c r="BX1018" s="325"/>
      <c r="BY1018" s="325"/>
      <c r="BZ1018" s="325"/>
      <c r="CA1018" s="325"/>
      <c r="CB1018" s="325"/>
      <c r="CC1018" s="258" t="s">
        <v>4012</v>
      </c>
      <c r="CG1018" s="24" t="s">
        <v>105</v>
      </c>
      <c r="CH1018" s="24"/>
      <c r="CI1018" s="26"/>
      <c r="CJ1018" s="26"/>
    </row>
    <row r="1019" spans="1:88" ht="15" customHeight="1">
      <c r="A1019" s="18">
        <v>2020</v>
      </c>
      <c r="B1019" s="18" t="str">
        <f>+INDEX(BDD!F:F,MATCH(P1019,BDD!D:D,0))&amp;"-"&amp;INDEX(BDD!E:E,MATCH(P1019,BDD!D:D,0))</f>
        <v>O-S</v>
      </c>
      <c r="C1019" s="125" t="s">
        <v>484</v>
      </c>
      <c r="D1019" s="150" t="s">
        <v>77</v>
      </c>
      <c r="E1019" s="132"/>
      <c r="F1019" s="24"/>
      <c r="G1019" s="346">
        <v>8000000881</v>
      </c>
      <c r="H1019" s="125" t="s">
        <v>4013</v>
      </c>
      <c r="I1019" s="329"/>
      <c r="J1019" s="346">
        <v>8000000881</v>
      </c>
      <c r="K1019" s="24"/>
      <c r="L1019" s="24"/>
      <c r="M1019" s="24"/>
      <c r="N1019" s="340" t="s">
        <v>486</v>
      </c>
      <c r="O1019" s="334">
        <v>208058</v>
      </c>
      <c r="P1019" s="25" t="s">
        <v>392</v>
      </c>
      <c r="Q1019" s="127" t="s">
        <v>303</v>
      </c>
      <c r="R1019" s="232" t="s">
        <v>4014</v>
      </c>
      <c r="S1019" s="89" t="s">
        <v>582</v>
      </c>
      <c r="T1019" s="36" t="s">
        <v>19</v>
      </c>
      <c r="U1019" s="125"/>
      <c r="V1019" s="147" t="s">
        <v>4015</v>
      </c>
      <c r="W1019" s="129"/>
      <c r="X1019" s="222">
        <v>44027</v>
      </c>
      <c r="Y1019" s="130" t="s">
        <v>20</v>
      </c>
      <c r="Z1019" s="133" t="s">
        <v>60</v>
      </c>
      <c r="AA1019" s="133"/>
      <c r="AB1019" s="241">
        <v>308</v>
      </c>
      <c r="AC1019" s="134">
        <v>354</v>
      </c>
      <c r="AD1019" s="134"/>
      <c r="AE1019" s="403">
        <f t="shared" si="55"/>
        <v>109032</v>
      </c>
      <c r="AF1019" s="132">
        <v>14</v>
      </c>
      <c r="AG1019" s="130" t="s">
        <v>5</v>
      </c>
      <c r="AH1019" s="130"/>
      <c r="AI1019" s="130" t="s">
        <v>47</v>
      </c>
      <c r="AJ1019" s="130"/>
      <c r="AK1019" s="130"/>
      <c r="AL1019" s="135" t="s">
        <v>3779</v>
      </c>
      <c r="AM1019" s="314"/>
      <c r="AN1019" s="26"/>
      <c r="AO1019" s="26"/>
      <c r="AP1019" s="26"/>
      <c r="AQ1019" s="26">
        <v>44029</v>
      </c>
      <c r="AR1019" s="41"/>
      <c r="AS1019" s="41"/>
      <c r="AT1019" s="26">
        <v>44033</v>
      </c>
      <c r="AU1019" s="418">
        <f t="shared" si="56"/>
        <v>7</v>
      </c>
      <c r="AV1019" s="418">
        <f t="shared" si="57"/>
        <v>2020</v>
      </c>
      <c r="AW1019" s="26"/>
      <c r="AX1019" s="28"/>
      <c r="AY1019" s="28" t="s">
        <v>3415</v>
      </c>
      <c r="AZ1019" s="132" t="s">
        <v>37</v>
      </c>
      <c r="BA1019" s="132"/>
      <c r="BB1019" s="24" t="s">
        <v>3593</v>
      </c>
      <c r="BC1019" s="135" t="s">
        <v>4016</v>
      </c>
      <c r="BD1019" s="24">
        <v>44020</v>
      </c>
      <c r="BE1019" s="135" t="s">
        <v>756</v>
      </c>
      <c r="BF1019" s="135" t="s">
        <v>756</v>
      </c>
      <c r="BG1019" s="135" t="s">
        <v>64</v>
      </c>
      <c r="BH1019" s="135"/>
      <c r="BI1019" s="314" t="s">
        <v>124</v>
      </c>
      <c r="BJ1019" s="314"/>
      <c r="BK1019" s="24"/>
      <c r="BL1019" s="24"/>
      <c r="BM1019" s="24"/>
      <c r="BN1019" s="24"/>
      <c r="BO1019" s="41"/>
      <c r="BP1019" s="41"/>
      <c r="BQ1019" s="41"/>
      <c r="BR1019" s="43"/>
      <c r="BS1019" s="41"/>
      <c r="BT1019" s="41"/>
      <c r="BU1019" s="41"/>
      <c r="BV1019" s="132" t="e">
        <f>IF(#REF!="COMPLETO","OK","PENDIENTES")</f>
        <v>#REF!</v>
      </c>
      <c r="BW1019" s="325"/>
      <c r="BX1019" s="325"/>
      <c r="BY1019" s="325"/>
      <c r="BZ1019" s="325"/>
      <c r="CA1019" s="325"/>
      <c r="CB1019" s="325"/>
      <c r="CC1019" s="258" t="s">
        <v>4017</v>
      </c>
      <c r="CG1019" s="24" t="s">
        <v>105</v>
      </c>
      <c r="CH1019" s="24"/>
      <c r="CI1019" s="26"/>
      <c r="CJ1019" s="26"/>
    </row>
    <row r="1020" spans="1:88" ht="15" customHeight="1">
      <c r="A1020" s="18">
        <v>2020</v>
      </c>
      <c r="B1020" s="18" t="str">
        <f>+INDEX(BDD!F:F,MATCH(P1020,BDD!D:D,0))&amp;"-"&amp;INDEX(BDD!E:E,MATCH(P1020,BDD!D:D,0))</f>
        <v>T-S</v>
      </c>
      <c r="C1020" s="125" t="s">
        <v>484</v>
      </c>
      <c r="D1020" s="150" t="s">
        <v>77</v>
      </c>
      <c r="E1020" s="132"/>
      <c r="F1020" s="24"/>
      <c r="G1020" s="346">
        <v>8000000866</v>
      </c>
      <c r="H1020" s="125" t="s">
        <v>4018</v>
      </c>
      <c r="I1020" s="329"/>
      <c r="J1020" s="346">
        <v>8000000866</v>
      </c>
      <c r="K1020" s="24"/>
      <c r="L1020" s="24"/>
      <c r="M1020" s="24"/>
      <c r="N1020" s="340" t="s">
        <v>486</v>
      </c>
      <c r="O1020" s="334">
        <v>208057</v>
      </c>
      <c r="P1020" s="25" t="s">
        <v>391</v>
      </c>
      <c r="Q1020" s="127" t="s">
        <v>303</v>
      </c>
      <c r="R1020" s="232" t="s">
        <v>4019</v>
      </c>
      <c r="S1020" s="89" t="s">
        <v>582</v>
      </c>
      <c r="T1020" s="36" t="s">
        <v>19</v>
      </c>
      <c r="U1020" s="125"/>
      <c r="V1020" s="147" t="s">
        <v>4020</v>
      </c>
      <c r="W1020" s="129"/>
      <c r="X1020" s="88">
        <v>44033</v>
      </c>
      <c r="Y1020" s="130" t="s">
        <v>20</v>
      </c>
      <c r="Z1020" s="133" t="s">
        <v>60</v>
      </c>
      <c r="AA1020" s="133"/>
      <c r="AB1020" s="241">
        <v>154</v>
      </c>
      <c r="AC1020" s="134">
        <v>347</v>
      </c>
      <c r="AD1020" s="134"/>
      <c r="AE1020" s="403">
        <f t="shared" si="55"/>
        <v>53438</v>
      </c>
      <c r="AF1020" s="132">
        <v>7</v>
      </c>
      <c r="AG1020" s="130" t="s">
        <v>5</v>
      </c>
      <c r="AH1020" s="130"/>
      <c r="AI1020" s="130" t="s">
        <v>47</v>
      </c>
      <c r="AJ1020" s="130"/>
      <c r="AK1020" s="130"/>
      <c r="AL1020" s="135" t="s">
        <v>3779</v>
      </c>
      <c r="AM1020" s="314"/>
      <c r="AN1020" s="26"/>
      <c r="AO1020" s="26"/>
      <c r="AP1020" s="26"/>
      <c r="AQ1020" s="26">
        <v>44035</v>
      </c>
      <c r="AR1020" s="24"/>
      <c r="AS1020" s="24"/>
      <c r="AT1020" s="26">
        <v>44037</v>
      </c>
      <c r="AU1020" s="418">
        <f t="shared" si="56"/>
        <v>7</v>
      </c>
      <c r="AV1020" s="418">
        <f t="shared" si="57"/>
        <v>2020</v>
      </c>
      <c r="AW1020" s="26"/>
      <c r="AX1020" s="28"/>
      <c r="AY1020" s="28" t="s">
        <v>3415</v>
      </c>
      <c r="AZ1020" s="132" t="s">
        <v>37</v>
      </c>
      <c r="BA1020" s="132"/>
      <c r="BB1020" s="24" t="s">
        <v>3291</v>
      </c>
      <c r="BC1020" s="135" t="s">
        <v>4021</v>
      </c>
      <c r="BD1020" s="24">
        <v>44026</v>
      </c>
      <c r="BE1020" s="135" t="s">
        <v>4022</v>
      </c>
      <c r="BF1020" s="135" t="s">
        <v>4022</v>
      </c>
      <c r="BG1020" s="135" t="s">
        <v>3989</v>
      </c>
      <c r="BH1020" s="135"/>
      <c r="BI1020" s="314" t="s">
        <v>124</v>
      </c>
      <c r="BJ1020" s="314"/>
      <c r="BK1020" s="24"/>
      <c r="BL1020" s="24"/>
      <c r="BM1020" s="24"/>
      <c r="BN1020" s="24"/>
      <c r="BO1020" s="24"/>
      <c r="BP1020" s="24"/>
      <c r="BQ1020" s="24"/>
      <c r="BR1020" s="43"/>
      <c r="BS1020" s="24"/>
      <c r="BT1020" s="24"/>
      <c r="BU1020" s="24"/>
      <c r="BV1020" s="132" t="e">
        <f>IF(#REF!="COMPLETO","OK","PENDIENTES")</f>
        <v>#REF!</v>
      </c>
      <c r="BW1020" s="325"/>
      <c r="BX1020" s="325"/>
      <c r="BY1020" s="325"/>
      <c r="BZ1020" s="325"/>
      <c r="CA1020" s="325"/>
      <c r="CB1020" s="325"/>
      <c r="CC1020" s="258" t="s">
        <v>4023</v>
      </c>
      <c r="CG1020" s="24" t="s">
        <v>105</v>
      </c>
      <c r="CH1020" s="24"/>
      <c r="CI1020" s="26"/>
      <c r="CJ1020" s="26"/>
    </row>
    <row r="1021" spans="1:88" ht="15" customHeight="1">
      <c r="A1021" s="18">
        <v>2020</v>
      </c>
      <c r="B1021" s="18" t="str">
        <f>+INDEX(BDD!F:F,MATCH(P1021,BDD!D:D,0))&amp;"-"&amp;INDEX(BDD!E:E,MATCH(P1021,BDD!D:D,0))</f>
        <v>O-S</v>
      </c>
      <c r="C1021" s="125" t="s">
        <v>484</v>
      </c>
      <c r="D1021" s="150" t="s">
        <v>77</v>
      </c>
      <c r="E1021" s="132"/>
      <c r="F1021" s="24"/>
      <c r="G1021" s="346">
        <v>8000000925</v>
      </c>
      <c r="H1021" s="125" t="s">
        <v>4024</v>
      </c>
      <c r="I1021" s="329"/>
      <c r="J1021" s="346">
        <v>8000000925</v>
      </c>
      <c r="K1021" s="24"/>
      <c r="L1021" s="24"/>
      <c r="M1021" s="24"/>
      <c r="N1021" s="340" t="s">
        <v>486</v>
      </c>
      <c r="O1021" s="334">
        <v>204749</v>
      </c>
      <c r="P1021" s="25" t="s">
        <v>390</v>
      </c>
      <c r="Q1021" s="127" t="s">
        <v>303</v>
      </c>
      <c r="R1021" s="232" t="s">
        <v>4025</v>
      </c>
      <c r="S1021" s="89" t="s">
        <v>582</v>
      </c>
      <c r="T1021" s="36" t="s">
        <v>19</v>
      </c>
      <c r="U1021" s="125"/>
      <c r="V1021" s="147" t="s">
        <v>4026</v>
      </c>
      <c r="W1021" s="129"/>
      <c r="X1021" s="222">
        <v>44036</v>
      </c>
      <c r="Y1021" s="130" t="s">
        <v>20</v>
      </c>
      <c r="Z1021" s="133" t="s">
        <v>60</v>
      </c>
      <c r="AA1021" s="133"/>
      <c r="AB1021" s="241">
        <v>396</v>
      </c>
      <c r="AC1021" s="134">
        <v>360</v>
      </c>
      <c r="AD1021" s="134"/>
      <c r="AE1021" s="403">
        <f t="shared" si="55"/>
        <v>142560</v>
      </c>
      <c r="AF1021" s="132">
        <v>18</v>
      </c>
      <c r="AG1021" s="130" t="s">
        <v>5</v>
      </c>
      <c r="AH1021" s="130"/>
      <c r="AI1021" s="130" t="s">
        <v>47</v>
      </c>
      <c r="AJ1021" s="130"/>
      <c r="AK1021" s="130"/>
      <c r="AL1021" s="135" t="s">
        <v>3961</v>
      </c>
      <c r="AM1021" s="314"/>
      <c r="AN1021" s="26"/>
      <c r="AO1021" s="26"/>
      <c r="AP1021" s="26"/>
      <c r="AQ1021" s="26">
        <v>44034</v>
      </c>
      <c r="AR1021" s="24"/>
      <c r="AS1021" s="24"/>
      <c r="AT1021" s="26">
        <v>44043</v>
      </c>
      <c r="AU1021" s="418">
        <f t="shared" si="56"/>
        <v>7</v>
      </c>
      <c r="AV1021" s="418">
        <f t="shared" si="57"/>
        <v>2020</v>
      </c>
      <c r="AW1021" s="26"/>
      <c r="AX1021" s="28"/>
      <c r="AY1021" s="28" t="s">
        <v>3415</v>
      </c>
      <c r="AZ1021" s="132" t="s">
        <v>9</v>
      </c>
      <c r="BA1021" s="132"/>
      <c r="BB1021" s="24" t="s">
        <v>2956</v>
      </c>
      <c r="BC1021" s="135" t="s">
        <v>4027</v>
      </c>
      <c r="BD1021" s="24">
        <v>44029</v>
      </c>
      <c r="BE1021" s="135" t="s">
        <v>3640</v>
      </c>
      <c r="BF1021" s="135" t="s">
        <v>3640</v>
      </c>
      <c r="BG1021" s="135" t="s">
        <v>64</v>
      </c>
      <c r="BH1021" s="135"/>
      <c r="BI1021" s="314" t="s">
        <v>124</v>
      </c>
      <c r="BJ1021" s="314"/>
      <c r="BK1021" s="24"/>
      <c r="BL1021" s="24"/>
      <c r="BM1021" s="24"/>
      <c r="BN1021" s="24"/>
      <c r="BO1021" s="24"/>
      <c r="BP1021" s="24"/>
      <c r="BQ1021" s="24"/>
      <c r="BR1021" s="43"/>
      <c r="BS1021" s="24"/>
      <c r="BT1021" s="24"/>
      <c r="BU1021" s="24"/>
      <c r="BV1021" s="132" t="e">
        <f>IF(#REF!="COMPLETO","OK","PENDIENTES")</f>
        <v>#REF!</v>
      </c>
      <c r="BW1021" s="325"/>
      <c r="BX1021" s="325"/>
      <c r="BY1021" s="325"/>
      <c r="BZ1021" s="325"/>
      <c r="CA1021" s="325"/>
      <c r="CB1021" s="325"/>
      <c r="CC1021" s="258" t="s">
        <v>4028</v>
      </c>
      <c r="CG1021" s="24" t="s">
        <v>105</v>
      </c>
      <c r="CH1021" s="24"/>
      <c r="CI1021" s="26"/>
      <c r="CJ1021" s="26"/>
    </row>
    <row r="1022" spans="1:88" ht="15" customHeight="1">
      <c r="A1022" s="18">
        <v>2020</v>
      </c>
      <c r="B1022" s="18" t="str">
        <f>+INDEX(BDD!F:F,MATCH(P1022,BDD!D:D,0))&amp;"-"&amp;INDEX(BDD!E:E,MATCH(P1022,BDD!D:D,0))</f>
        <v>T-S</v>
      </c>
      <c r="C1022" s="125" t="s">
        <v>484</v>
      </c>
      <c r="D1022" s="150" t="s">
        <v>77</v>
      </c>
      <c r="E1022" s="132"/>
      <c r="F1022" s="24"/>
      <c r="G1022" s="346">
        <v>8000000932</v>
      </c>
      <c r="H1022" s="125" t="s">
        <v>4029</v>
      </c>
      <c r="I1022" s="329"/>
      <c r="J1022" s="346">
        <v>8000000932</v>
      </c>
      <c r="K1022" s="24"/>
      <c r="L1022" s="24"/>
      <c r="M1022" s="24"/>
      <c r="N1022" s="340" t="s">
        <v>486</v>
      </c>
      <c r="O1022" s="334">
        <v>208057</v>
      </c>
      <c r="P1022" s="25" t="s">
        <v>391</v>
      </c>
      <c r="Q1022" s="127" t="s">
        <v>303</v>
      </c>
      <c r="R1022" s="232" t="s">
        <v>4030</v>
      </c>
      <c r="S1022" s="89" t="s">
        <v>582</v>
      </c>
      <c r="T1022" s="36" t="s">
        <v>19</v>
      </c>
      <c r="U1022" s="125"/>
      <c r="V1022" s="147" t="s">
        <v>4031</v>
      </c>
      <c r="W1022" s="129"/>
      <c r="X1022" s="222">
        <v>44027</v>
      </c>
      <c r="Y1022" s="130" t="s">
        <v>20</v>
      </c>
      <c r="Z1022" s="133" t="s">
        <v>60</v>
      </c>
      <c r="AA1022" s="133"/>
      <c r="AB1022" s="241">
        <v>154</v>
      </c>
      <c r="AC1022" s="134">
        <v>347</v>
      </c>
      <c r="AD1022" s="134"/>
      <c r="AE1022" s="403">
        <f t="shared" si="55"/>
        <v>53438</v>
      </c>
      <c r="AF1022" s="132">
        <v>7</v>
      </c>
      <c r="AG1022" s="130" t="s">
        <v>5</v>
      </c>
      <c r="AH1022" s="130"/>
      <c r="AI1022" s="130" t="s">
        <v>47</v>
      </c>
      <c r="AJ1022" s="130"/>
      <c r="AK1022" s="130"/>
      <c r="AL1022" s="135" t="s">
        <v>3779</v>
      </c>
      <c r="AM1022" s="314"/>
      <c r="AN1022" s="26"/>
      <c r="AO1022" s="26"/>
      <c r="AP1022" s="26"/>
      <c r="AQ1022" s="26">
        <v>44027</v>
      </c>
      <c r="AR1022" s="24"/>
      <c r="AS1022" s="24"/>
      <c r="AT1022" s="26">
        <v>44037</v>
      </c>
      <c r="AU1022" s="418">
        <f t="shared" si="56"/>
        <v>7</v>
      </c>
      <c r="AV1022" s="418">
        <f t="shared" si="57"/>
        <v>2020</v>
      </c>
      <c r="AW1022" s="26"/>
      <c r="AX1022" s="28"/>
      <c r="AY1022" s="28" t="s">
        <v>3415</v>
      </c>
      <c r="AZ1022" s="132" t="s">
        <v>9</v>
      </c>
      <c r="BA1022" s="132"/>
      <c r="BB1022" s="24" t="s">
        <v>3264</v>
      </c>
      <c r="BC1022" s="135" t="s">
        <v>4032</v>
      </c>
      <c r="BD1022" s="24">
        <v>44022</v>
      </c>
      <c r="BE1022" s="135" t="s">
        <v>1807</v>
      </c>
      <c r="BF1022" s="135" t="s">
        <v>1807</v>
      </c>
      <c r="BG1022" s="135" t="s">
        <v>64</v>
      </c>
      <c r="BH1022" s="135"/>
      <c r="BI1022" s="314" t="s">
        <v>124</v>
      </c>
      <c r="BJ1022" s="314"/>
      <c r="BK1022" s="24"/>
      <c r="BL1022" s="24"/>
      <c r="BM1022" s="24"/>
      <c r="BN1022" s="24"/>
      <c r="BO1022" s="24">
        <v>44047</v>
      </c>
      <c r="BP1022" s="24"/>
      <c r="BQ1022" s="24"/>
      <c r="BR1022" s="43"/>
      <c r="BS1022" s="24"/>
      <c r="BT1022" s="24"/>
      <c r="BU1022" s="24"/>
      <c r="BV1022" s="132" t="e">
        <f>IF(#REF!="COMPLETO","OK","PENDIENTES")</f>
        <v>#REF!</v>
      </c>
      <c r="BW1022" s="325"/>
      <c r="BX1022" s="325"/>
      <c r="BY1022" s="325"/>
      <c r="BZ1022" s="325"/>
      <c r="CA1022" s="325"/>
      <c r="CB1022" s="325"/>
      <c r="CC1022" s="258" t="s">
        <v>4033</v>
      </c>
      <c r="CG1022" s="24" t="s">
        <v>105</v>
      </c>
      <c r="CH1022" s="24"/>
      <c r="CI1022" s="26"/>
      <c r="CJ1022" s="26"/>
    </row>
    <row r="1023" spans="1:88" ht="15" customHeight="1">
      <c r="A1023" s="18">
        <v>2020</v>
      </c>
      <c r="B1023" s="18" t="str">
        <f>+INDEX(BDD!F:F,MATCH(P1023,BDD!D:D,0))&amp;"-"&amp;INDEX(BDD!E:E,MATCH(P1023,BDD!D:D,0))</f>
        <v>B-S</v>
      </c>
      <c r="C1023" s="125" t="s">
        <v>484</v>
      </c>
      <c r="D1023" s="150" t="s">
        <v>77</v>
      </c>
      <c r="E1023" s="132"/>
      <c r="F1023" s="24"/>
      <c r="G1023" s="346">
        <v>8000000815</v>
      </c>
      <c r="H1023" s="125" t="s">
        <v>4034</v>
      </c>
      <c r="I1023" s="329"/>
      <c r="J1023" s="346">
        <v>8000000815</v>
      </c>
      <c r="K1023" s="24"/>
      <c r="L1023" s="24"/>
      <c r="M1023" s="24"/>
      <c r="N1023" s="340" t="s">
        <v>486</v>
      </c>
      <c r="O1023" s="334">
        <v>203621</v>
      </c>
      <c r="P1023" s="25" t="s">
        <v>370</v>
      </c>
      <c r="Q1023" s="127" t="s">
        <v>191</v>
      </c>
      <c r="R1023" s="232" t="s">
        <v>944</v>
      </c>
      <c r="S1023" s="89" t="s">
        <v>582</v>
      </c>
      <c r="T1023" s="36">
        <v>180</v>
      </c>
      <c r="U1023" s="125" t="s">
        <v>118</v>
      </c>
      <c r="V1023" s="147" t="s">
        <v>4035</v>
      </c>
      <c r="W1023" s="129"/>
      <c r="X1023" s="88">
        <v>44186</v>
      </c>
      <c r="Y1023" s="130" t="s">
        <v>20</v>
      </c>
      <c r="Z1023" s="133" t="s">
        <v>81</v>
      </c>
      <c r="AA1023" s="133"/>
      <c r="AB1023" s="241">
        <v>4.45</v>
      </c>
      <c r="AC1023" s="134">
        <v>39097.815699999999</v>
      </c>
      <c r="AD1023" s="134"/>
      <c r="AE1023" s="403">
        <f t="shared" si="55"/>
        <v>173985.27986499999</v>
      </c>
      <c r="AF1023" s="145" t="s">
        <v>2822</v>
      </c>
      <c r="AG1023" s="130" t="s">
        <v>5</v>
      </c>
      <c r="AH1023" s="130"/>
      <c r="AI1023" s="130" t="s">
        <v>126</v>
      </c>
      <c r="AJ1023" s="130"/>
      <c r="AK1023" s="130"/>
      <c r="AL1023" s="135" t="s">
        <v>3961</v>
      </c>
      <c r="AM1023" s="314"/>
      <c r="AN1023" s="26"/>
      <c r="AO1023" s="26"/>
      <c r="AP1023" s="26"/>
      <c r="AQ1023" s="26">
        <v>44041</v>
      </c>
      <c r="AR1023" s="24"/>
      <c r="AS1023" s="24"/>
      <c r="AT1023" s="24">
        <v>44047</v>
      </c>
      <c r="AU1023" s="418">
        <f t="shared" si="56"/>
        <v>8</v>
      </c>
      <c r="AV1023" s="418">
        <f t="shared" si="57"/>
        <v>2020</v>
      </c>
      <c r="AW1023" s="24"/>
      <c r="AX1023" s="28"/>
      <c r="AY1023" s="28" t="s">
        <v>299</v>
      </c>
      <c r="AZ1023" s="132" t="s">
        <v>37</v>
      </c>
      <c r="BA1023" s="132"/>
      <c r="BB1023" s="24" t="s">
        <v>2956</v>
      </c>
      <c r="BC1023" s="135" t="s">
        <v>4036</v>
      </c>
      <c r="BD1023" s="24">
        <v>44017</v>
      </c>
      <c r="BE1023" s="135" t="s">
        <v>4037</v>
      </c>
      <c r="BF1023" s="135" t="s">
        <v>4037</v>
      </c>
      <c r="BG1023" s="135" t="s">
        <v>4038</v>
      </c>
      <c r="BH1023" s="135"/>
      <c r="BI1023" s="314" t="s">
        <v>117</v>
      </c>
      <c r="BJ1023" s="314"/>
      <c r="BK1023" s="24"/>
      <c r="BL1023" s="24"/>
      <c r="BM1023" s="24"/>
      <c r="BN1023" s="24"/>
      <c r="BO1023" s="24"/>
      <c r="BP1023" s="24"/>
      <c r="BQ1023" s="24"/>
      <c r="BR1023" s="43"/>
      <c r="BS1023" s="24"/>
      <c r="BT1023" s="24"/>
      <c r="BU1023" s="24"/>
      <c r="BV1023" s="132" t="e">
        <f>IF(#REF!="COMPLETO","OK","PENDIENTES")</f>
        <v>#REF!</v>
      </c>
      <c r="BW1023" s="325"/>
      <c r="BX1023" s="325"/>
      <c r="BY1023" s="325"/>
      <c r="BZ1023" s="325"/>
      <c r="CA1023" s="325"/>
      <c r="CB1023" s="325"/>
      <c r="CC1023" s="258"/>
      <c r="CG1023" s="24" t="s">
        <v>105</v>
      </c>
      <c r="CH1023" s="24"/>
      <c r="CI1023" s="24"/>
      <c r="CJ1023" s="24"/>
    </row>
    <row r="1024" spans="1:88" ht="15" customHeight="1">
      <c r="A1024" s="18">
        <v>2020</v>
      </c>
      <c r="B1024" s="18" t="str">
        <f>+INDEX(BDD!F:F,MATCH(P1024,BDD!D:D,0))&amp;"-"&amp;INDEX(BDD!E:E,MATCH(P1024,BDD!D:D,0))</f>
        <v>S-P</v>
      </c>
      <c r="C1024" s="125" t="s">
        <v>484</v>
      </c>
      <c r="D1024" s="150" t="s">
        <v>77</v>
      </c>
      <c r="E1024" s="132"/>
      <c r="F1024" s="24"/>
      <c r="G1024" s="346">
        <v>8000000977</v>
      </c>
      <c r="H1024" s="125" t="s">
        <v>4039</v>
      </c>
      <c r="I1024" s="329"/>
      <c r="J1024" s="346">
        <v>8000000977</v>
      </c>
      <c r="K1024" s="24"/>
      <c r="L1024" s="24"/>
      <c r="M1024" s="24"/>
      <c r="N1024" s="340" t="s">
        <v>486</v>
      </c>
      <c r="O1024" s="334">
        <v>208510</v>
      </c>
      <c r="P1024" s="25" t="s">
        <v>2</v>
      </c>
      <c r="Q1024" s="127" t="s">
        <v>231</v>
      </c>
      <c r="R1024" s="268" t="s">
        <v>4040</v>
      </c>
      <c r="S1024" s="89">
        <v>44000</v>
      </c>
      <c r="T1024" s="36">
        <v>150</v>
      </c>
      <c r="U1024" s="125" t="s">
        <v>118</v>
      </c>
      <c r="V1024" s="232" t="s">
        <v>4041</v>
      </c>
      <c r="W1024" s="151"/>
      <c r="X1024" s="88">
        <v>44186</v>
      </c>
      <c r="Y1024" s="130" t="s">
        <v>20</v>
      </c>
      <c r="Z1024" s="133" t="s">
        <v>60</v>
      </c>
      <c r="AA1024" s="133"/>
      <c r="AB1024" s="241">
        <v>292.60000000000002</v>
      </c>
      <c r="AC1024" s="134">
        <v>837</v>
      </c>
      <c r="AD1024" s="134"/>
      <c r="AE1024" s="403">
        <f t="shared" si="55"/>
        <v>244906.2</v>
      </c>
      <c r="AF1024" s="132">
        <v>11</v>
      </c>
      <c r="AG1024" s="130" t="s">
        <v>5</v>
      </c>
      <c r="AH1024" s="130"/>
      <c r="AI1024" s="130" t="s">
        <v>80</v>
      </c>
      <c r="AJ1024" s="130"/>
      <c r="AK1024" s="130"/>
      <c r="AL1024" s="135" t="s">
        <v>4042</v>
      </c>
      <c r="AM1024" s="314"/>
      <c r="AN1024" s="26"/>
      <c r="AO1024" s="26"/>
      <c r="AP1024" s="26"/>
      <c r="AQ1024" s="26">
        <v>44080</v>
      </c>
      <c r="AR1024" s="24"/>
      <c r="AS1024" s="24"/>
      <c r="AT1024" s="24">
        <v>44083</v>
      </c>
      <c r="AU1024" s="418">
        <f t="shared" si="56"/>
        <v>9</v>
      </c>
      <c r="AV1024" s="418">
        <f t="shared" si="57"/>
        <v>2020</v>
      </c>
      <c r="AW1024" s="24"/>
      <c r="AX1024" s="28"/>
      <c r="AY1024" s="28" t="s">
        <v>254</v>
      </c>
      <c r="AZ1024" s="132" t="s">
        <v>37</v>
      </c>
      <c r="BA1024" s="132"/>
      <c r="BB1024" s="24" t="s">
        <v>3291</v>
      </c>
      <c r="BC1024" s="135" t="s">
        <v>4043</v>
      </c>
      <c r="BD1024" s="24">
        <v>44037</v>
      </c>
      <c r="BE1024" s="135" t="s">
        <v>4044</v>
      </c>
      <c r="BF1024" s="135" t="s">
        <v>3514</v>
      </c>
      <c r="BG1024" s="135" t="s">
        <v>64</v>
      </c>
      <c r="BH1024" s="135"/>
      <c r="BI1024" s="314" t="s">
        <v>124</v>
      </c>
      <c r="BJ1024" s="314" t="s">
        <v>148</v>
      </c>
      <c r="BK1024" s="24"/>
      <c r="BL1024" s="24"/>
      <c r="BM1024" s="24"/>
      <c r="BN1024" s="24"/>
      <c r="BO1024" s="24"/>
      <c r="BP1024" s="24"/>
      <c r="BQ1024" s="24"/>
      <c r="BR1024" s="43"/>
      <c r="BS1024" s="24"/>
      <c r="BT1024" s="24"/>
      <c r="BU1024" s="24"/>
      <c r="BV1024" s="132" t="e">
        <f>IF(#REF!="COMPLETO","OK","PENDIENTES")</f>
        <v>#REF!</v>
      </c>
      <c r="BW1024" s="325"/>
      <c r="BX1024" s="325"/>
      <c r="BY1024" s="325"/>
      <c r="BZ1024" s="325"/>
      <c r="CA1024" s="325"/>
      <c r="CB1024" s="325"/>
      <c r="CC1024" s="258"/>
      <c r="CG1024" s="24" t="s">
        <v>105</v>
      </c>
      <c r="CH1024" s="24"/>
      <c r="CI1024" s="24"/>
      <c r="CJ1024" s="24"/>
    </row>
    <row r="1025" spans="1:88" ht="15" customHeight="1">
      <c r="A1025" s="18">
        <v>2020</v>
      </c>
      <c r="B1025" s="18" t="str">
        <f>+INDEX(BDD!F:F,MATCH(P1025,BDD!D:D,0))&amp;"-"&amp;INDEX(BDD!E:E,MATCH(P1025,BDD!D:D,0))</f>
        <v>S-P</v>
      </c>
      <c r="C1025" s="125" t="s">
        <v>484</v>
      </c>
      <c r="D1025" s="150" t="s">
        <v>77</v>
      </c>
      <c r="E1025" s="132"/>
      <c r="F1025" s="24"/>
      <c r="G1025" s="346">
        <v>8000001024</v>
      </c>
      <c r="H1025" s="125" t="s">
        <v>4045</v>
      </c>
      <c r="I1025" s="329"/>
      <c r="J1025" s="346">
        <v>8000001024</v>
      </c>
      <c r="K1025" s="24"/>
      <c r="L1025" s="24"/>
      <c r="M1025" s="24"/>
      <c r="N1025" s="340" t="s">
        <v>486</v>
      </c>
      <c r="O1025" s="334">
        <v>208510</v>
      </c>
      <c r="P1025" s="25" t="s">
        <v>2</v>
      </c>
      <c r="Q1025" s="127" t="s">
        <v>231</v>
      </c>
      <c r="R1025" s="232" t="s">
        <v>4040</v>
      </c>
      <c r="S1025" s="89">
        <v>44000</v>
      </c>
      <c r="T1025" s="36">
        <v>150</v>
      </c>
      <c r="U1025" s="125" t="s">
        <v>118</v>
      </c>
      <c r="V1025" s="232" t="s">
        <v>4046</v>
      </c>
      <c r="W1025" s="151"/>
      <c r="X1025" s="88">
        <f>+BD1025+T1025</f>
        <v>44217</v>
      </c>
      <c r="Y1025" s="130" t="s">
        <v>20</v>
      </c>
      <c r="Z1025" s="133" t="s">
        <v>60</v>
      </c>
      <c r="AA1025" s="133"/>
      <c r="AB1025" s="241">
        <v>319.2</v>
      </c>
      <c r="AC1025" s="134">
        <v>837</v>
      </c>
      <c r="AD1025" s="134"/>
      <c r="AE1025" s="403">
        <f t="shared" si="55"/>
        <v>267170.39999999997</v>
      </c>
      <c r="AF1025" s="132">
        <v>12</v>
      </c>
      <c r="AG1025" s="130" t="s">
        <v>5</v>
      </c>
      <c r="AH1025" s="130"/>
      <c r="AI1025" s="130" t="s">
        <v>80</v>
      </c>
      <c r="AJ1025" s="130"/>
      <c r="AK1025" s="130"/>
      <c r="AL1025" s="135" t="s">
        <v>4042</v>
      </c>
      <c r="AM1025" s="314"/>
      <c r="AN1025" s="26"/>
      <c r="AO1025" s="26"/>
      <c r="AP1025" s="26"/>
      <c r="AQ1025" s="26">
        <v>44114</v>
      </c>
      <c r="AR1025" s="24"/>
      <c r="AS1025" s="24"/>
      <c r="AT1025" s="24">
        <v>44119</v>
      </c>
      <c r="AU1025" s="418">
        <f t="shared" si="56"/>
        <v>10</v>
      </c>
      <c r="AV1025" s="418">
        <f t="shared" si="57"/>
        <v>2020</v>
      </c>
      <c r="AW1025" s="24"/>
      <c r="AX1025" s="28"/>
      <c r="AY1025" s="28" t="s">
        <v>254</v>
      </c>
      <c r="AZ1025" s="132" t="s">
        <v>37</v>
      </c>
      <c r="BA1025" s="132"/>
      <c r="BB1025" s="24" t="s">
        <v>3593</v>
      </c>
      <c r="BC1025" s="135" t="s">
        <v>4047</v>
      </c>
      <c r="BD1025" s="24">
        <v>44067</v>
      </c>
      <c r="BE1025" s="135" t="s">
        <v>4048</v>
      </c>
      <c r="BF1025" s="135" t="s">
        <v>3820</v>
      </c>
      <c r="BG1025" s="135" t="s">
        <v>53</v>
      </c>
      <c r="BH1025" s="135"/>
      <c r="BI1025" s="314" t="s">
        <v>124</v>
      </c>
      <c r="BJ1025" s="314" t="s">
        <v>148</v>
      </c>
      <c r="BK1025" s="24"/>
      <c r="BL1025" s="24"/>
      <c r="BM1025" s="24"/>
      <c r="BN1025" s="24"/>
      <c r="BO1025" s="24">
        <v>44131</v>
      </c>
      <c r="BP1025" s="24"/>
      <c r="BQ1025" s="24"/>
      <c r="BR1025" s="43"/>
      <c r="BS1025" s="24"/>
      <c r="BT1025" s="24"/>
      <c r="BU1025" s="24"/>
      <c r="BV1025" s="132" t="e">
        <f>IF(#REF!="COMPLETO","OK","PENDIENTES")</f>
        <v>#REF!</v>
      </c>
      <c r="BW1025" s="325"/>
      <c r="BX1025" s="325"/>
      <c r="BY1025" s="325"/>
      <c r="BZ1025" s="325"/>
      <c r="CA1025" s="325"/>
      <c r="CB1025" s="325"/>
      <c r="CC1025" s="258"/>
      <c r="CG1025" s="24" t="s">
        <v>105</v>
      </c>
      <c r="CH1025" s="24"/>
      <c r="CI1025" s="24"/>
      <c r="CJ1025" s="24"/>
    </row>
    <row r="1026" spans="1:88" ht="16.899999999999999" customHeight="1">
      <c r="A1026" s="18">
        <v>2020</v>
      </c>
      <c r="B1026" s="18" t="str">
        <f>+INDEX(BDD!F:F,MATCH(P1026,BDD!D:D,0))&amp;"-"&amp;INDEX(BDD!E:E,MATCH(P1026,BDD!D:D,0))</f>
        <v>S-P</v>
      </c>
      <c r="C1026" s="125" t="s">
        <v>484</v>
      </c>
      <c r="D1026" s="150" t="s">
        <v>77</v>
      </c>
      <c r="E1026" s="132"/>
      <c r="F1026" s="24"/>
      <c r="G1026" s="346">
        <v>8000001010</v>
      </c>
      <c r="H1026" s="125" t="s">
        <v>4049</v>
      </c>
      <c r="I1026" s="329"/>
      <c r="J1026" s="346">
        <v>8000001010</v>
      </c>
      <c r="K1026" s="24"/>
      <c r="L1026" s="24"/>
      <c r="M1026" s="24"/>
      <c r="N1026" s="340" t="s">
        <v>486</v>
      </c>
      <c r="O1026" s="334">
        <v>208510</v>
      </c>
      <c r="P1026" s="25" t="s">
        <v>2</v>
      </c>
      <c r="Q1026" s="127" t="s">
        <v>231</v>
      </c>
      <c r="R1026" s="232" t="s">
        <v>4040</v>
      </c>
      <c r="S1026" s="89">
        <v>44000</v>
      </c>
      <c r="T1026" s="36">
        <v>150</v>
      </c>
      <c r="U1026" s="125" t="s">
        <v>118</v>
      </c>
      <c r="V1026" s="232" t="s">
        <v>4050</v>
      </c>
      <c r="W1026" s="151"/>
      <c r="X1026" s="88">
        <f>+BD1026+T1026</f>
        <v>44198</v>
      </c>
      <c r="Y1026" s="130" t="s">
        <v>20</v>
      </c>
      <c r="Z1026" s="133" t="s">
        <v>60</v>
      </c>
      <c r="AA1026" s="133"/>
      <c r="AB1026" s="241">
        <v>292.60000000000002</v>
      </c>
      <c r="AC1026" s="134">
        <v>847</v>
      </c>
      <c r="AD1026" s="134"/>
      <c r="AE1026" s="403">
        <f t="shared" ref="AE1026:AE1089" si="58">AB1026*AC1026</f>
        <v>247832.2</v>
      </c>
      <c r="AF1026" s="132">
        <v>11</v>
      </c>
      <c r="AG1026" s="130" t="s">
        <v>5</v>
      </c>
      <c r="AH1026" s="130"/>
      <c r="AI1026" s="130" t="s">
        <v>80</v>
      </c>
      <c r="AJ1026" s="130"/>
      <c r="AK1026" s="130"/>
      <c r="AL1026" s="135" t="s">
        <v>4042</v>
      </c>
      <c r="AM1026" s="314"/>
      <c r="AN1026" s="26"/>
      <c r="AO1026" s="26"/>
      <c r="AP1026" s="26"/>
      <c r="AQ1026" s="26">
        <v>44097</v>
      </c>
      <c r="AR1026" s="24"/>
      <c r="AS1026" s="24"/>
      <c r="AT1026" s="24">
        <v>44103</v>
      </c>
      <c r="AU1026" s="418">
        <f t="shared" si="56"/>
        <v>9</v>
      </c>
      <c r="AV1026" s="418">
        <f t="shared" si="57"/>
        <v>2020</v>
      </c>
      <c r="AW1026" s="24"/>
      <c r="AX1026" s="28"/>
      <c r="AY1026" s="28" t="s">
        <v>254</v>
      </c>
      <c r="AZ1026" s="132" t="s">
        <v>9</v>
      </c>
      <c r="BA1026" s="132"/>
      <c r="BB1026" s="164" t="s">
        <v>3519</v>
      </c>
      <c r="BC1026" s="135" t="s">
        <v>4051</v>
      </c>
      <c r="BD1026" s="24">
        <v>44048</v>
      </c>
      <c r="BE1026" s="135" t="s">
        <v>4052</v>
      </c>
      <c r="BF1026" s="135" t="s">
        <v>1806</v>
      </c>
      <c r="BG1026" s="135" t="s">
        <v>29</v>
      </c>
      <c r="BH1026" s="135"/>
      <c r="BI1026" s="314" t="s">
        <v>124</v>
      </c>
      <c r="BJ1026" s="314" t="s">
        <v>148</v>
      </c>
      <c r="BK1026" s="24"/>
      <c r="BL1026" s="24"/>
      <c r="BM1026" s="24"/>
      <c r="BN1026" s="24"/>
      <c r="BO1026" s="24"/>
      <c r="BP1026" s="24"/>
      <c r="BQ1026" s="24"/>
      <c r="BR1026" s="43"/>
      <c r="BS1026" s="24"/>
      <c r="BT1026" s="24"/>
      <c r="BU1026" s="24"/>
      <c r="BV1026" s="132" t="e">
        <f>IF(#REF!="COMPLETO","OK","PENDIENTES")</f>
        <v>#REF!</v>
      </c>
      <c r="BW1026" s="325"/>
      <c r="BX1026" s="325"/>
      <c r="BY1026" s="325"/>
      <c r="BZ1026" s="325"/>
      <c r="CA1026" s="325"/>
      <c r="CB1026" s="325"/>
      <c r="CC1026" s="258"/>
      <c r="CG1026" s="24" t="s">
        <v>105</v>
      </c>
      <c r="CH1026" s="24"/>
      <c r="CI1026" s="24"/>
      <c r="CJ1026" s="24"/>
    </row>
    <row r="1027" spans="1:88" ht="15" customHeight="1">
      <c r="A1027" s="18">
        <v>2020</v>
      </c>
      <c r="B1027" s="18" t="str">
        <f>+INDEX(BDD!F:F,MATCH(P1027,BDD!D:D,0))&amp;"-"&amp;INDEX(BDD!E:E,MATCH(P1027,BDD!D:D,0))</f>
        <v>S-P</v>
      </c>
      <c r="C1027" s="125" t="s">
        <v>484</v>
      </c>
      <c r="D1027" s="150" t="s">
        <v>77</v>
      </c>
      <c r="E1027" s="132"/>
      <c r="F1027" s="24"/>
      <c r="G1027" s="346">
        <v>8000001061</v>
      </c>
      <c r="H1027" s="125" t="s">
        <v>4053</v>
      </c>
      <c r="I1027" s="329"/>
      <c r="J1027" s="346">
        <v>8000001061</v>
      </c>
      <c r="K1027" s="24"/>
      <c r="L1027" s="24"/>
      <c r="M1027" s="24"/>
      <c r="N1027" s="340" t="s">
        <v>486</v>
      </c>
      <c r="O1027" s="334">
        <v>208510</v>
      </c>
      <c r="P1027" s="25" t="s">
        <v>2</v>
      </c>
      <c r="Q1027" s="127" t="s">
        <v>231</v>
      </c>
      <c r="R1027" s="232" t="s">
        <v>4040</v>
      </c>
      <c r="S1027" s="89">
        <v>44000</v>
      </c>
      <c r="T1027" s="36">
        <v>150</v>
      </c>
      <c r="U1027" s="125" t="s">
        <v>118</v>
      </c>
      <c r="V1027" s="232" t="s">
        <v>4054</v>
      </c>
      <c r="W1027" s="151"/>
      <c r="X1027" s="88">
        <f>+BD1027+T1027</f>
        <v>44222</v>
      </c>
      <c r="Y1027" s="130" t="s">
        <v>20</v>
      </c>
      <c r="Z1027" s="133" t="s">
        <v>60</v>
      </c>
      <c r="AA1027" s="133"/>
      <c r="AB1027" s="241">
        <v>319.2</v>
      </c>
      <c r="AC1027" s="134">
        <v>847</v>
      </c>
      <c r="AD1027" s="134"/>
      <c r="AE1027" s="403">
        <f t="shared" si="58"/>
        <v>270362.39999999997</v>
      </c>
      <c r="AF1027" s="132">
        <v>12</v>
      </c>
      <c r="AG1027" s="130" t="s">
        <v>5</v>
      </c>
      <c r="AH1027" s="130"/>
      <c r="AI1027" s="130" t="s">
        <v>80</v>
      </c>
      <c r="AJ1027" s="130"/>
      <c r="AK1027" s="130"/>
      <c r="AL1027" s="135" t="s">
        <v>4042</v>
      </c>
      <c r="AM1027" s="314"/>
      <c r="AN1027" s="26"/>
      <c r="AO1027" s="26"/>
      <c r="AP1027" s="26"/>
      <c r="AQ1027" s="26">
        <v>44127</v>
      </c>
      <c r="AR1027" s="24"/>
      <c r="AS1027" s="24"/>
      <c r="AT1027" s="24">
        <v>44134</v>
      </c>
      <c r="AU1027" s="418">
        <f t="shared" ref="AU1027:AU1090" si="59">MONTH(AT1027)</f>
        <v>10</v>
      </c>
      <c r="AV1027" s="418">
        <f t="shared" ref="AV1027:AV1090" si="60">YEAR(AT1027)</f>
        <v>2020</v>
      </c>
      <c r="AW1027" s="24"/>
      <c r="AX1027" s="28"/>
      <c r="AY1027" s="28" t="s">
        <v>254</v>
      </c>
      <c r="AZ1027" s="132" t="s">
        <v>9</v>
      </c>
      <c r="BA1027" s="132"/>
      <c r="BB1027" s="24" t="s">
        <v>2956</v>
      </c>
      <c r="BC1027" s="135" t="s">
        <v>4055</v>
      </c>
      <c r="BD1027" s="24">
        <v>44072</v>
      </c>
      <c r="BE1027" s="135" t="s">
        <v>4056</v>
      </c>
      <c r="BF1027" s="135" t="s">
        <v>3276</v>
      </c>
      <c r="BG1027" s="135" t="s">
        <v>41</v>
      </c>
      <c r="BH1027" s="135"/>
      <c r="BI1027" s="314" t="s">
        <v>124</v>
      </c>
      <c r="BJ1027" s="314" t="s">
        <v>148</v>
      </c>
      <c r="BK1027" s="24"/>
      <c r="BL1027" s="24"/>
      <c r="BM1027" s="24"/>
      <c r="BN1027" s="24"/>
      <c r="BO1027" s="24"/>
      <c r="BP1027" s="24"/>
      <c r="BQ1027" s="24"/>
      <c r="BR1027" s="43"/>
      <c r="BS1027" s="24"/>
      <c r="BT1027" s="24"/>
      <c r="BU1027" s="24"/>
      <c r="BV1027" s="132" t="e">
        <f>IF(#REF!="COMPLETO","OK","PENDIENTES")</f>
        <v>#REF!</v>
      </c>
      <c r="BW1027" s="325"/>
      <c r="BX1027" s="325"/>
      <c r="BY1027" s="325"/>
      <c r="BZ1027" s="325"/>
      <c r="CA1027" s="325"/>
      <c r="CB1027" s="325"/>
      <c r="CC1027" s="258"/>
      <c r="CG1027" s="24" t="s">
        <v>105</v>
      </c>
      <c r="CH1027" s="24"/>
      <c r="CI1027" s="24"/>
      <c r="CJ1027" s="24"/>
    </row>
    <row r="1028" spans="1:88" ht="15" customHeight="1">
      <c r="A1028" s="18">
        <v>2020</v>
      </c>
      <c r="B1028" s="18" t="str">
        <f>+INDEX(BDD!F:F,MATCH(P1028,BDD!D:D,0))&amp;"-"&amp;INDEX(BDD!E:E,MATCH(P1028,BDD!D:D,0))</f>
        <v>S-S</v>
      </c>
      <c r="C1028" s="125" t="s">
        <v>484</v>
      </c>
      <c r="D1028" s="150" t="s">
        <v>77</v>
      </c>
      <c r="E1028" s="132"/>
      <c r="F1028" s="24"/>
      <c r="G1028" s="346">
        <v>8000001053</v>
      </c>
      <c r="H1028" s="125" t="s">
        <v>4057</v>
      </c>
      <c r="I1028" s="329"/>
      <c r="J1028" s="346">
        <v>8000001053</v>
      </c>
      <c r="K1028" s="24"/>
      <c r="L1028" s="24"/>
      <c r="M1028" s="24"/>
      <c r="N1028" s="340" t="s">
        <v>486</v>
      </c>
      <c r="O1028" s="334">
        <v>206966</v>
      </c>
      <c r="P1028" s="25" t="s">
        <v>152</v>
      </c>
      <c r="Q1028" s="127" t="s">
        <v>297</v>
      </c>
      <c r="R1028" s="232" t="s">
        <v>4058</v>
      </c>
      <c r="S1028" s="89">
        <v>43999</v>
      </c>
      <c r="T1028" s="36">
        <v>90</v>
      </c>
      <c r="U1028" s="125" t="s">
        <v>118</v>
      </c>
      <c r="V1028" s="147" t="s">
        <v>4059</v>
      </c>
      <c r="W1028" s="129"/>
      <c r="X1028" s="88">
        <v>44126</v>
      </c>
      <c r="Y1028" s="130" t="s">
        <v>20</v>
      </c>
      <c r="Z1028" s="133" t="s">
        <v>60</v>
      </c>
      <c r="AA1028" s="133"/>
      <c r="AB1028" s="241">
        <v>200</v>
      </c>
      <c r="AC1028" s="134">
        <v>593.5</v>
      </c>
      <c r="AD1028" s="134"/>
      <c r="AE1028" s="403">
        <f t="shared" si="58"/>
        <v>118700</v>
      </c>
      <c r="AF1028" s="132"/>
      <c r="AG1028" s="130" t="s">
        <v>58</v>
      </c>
      <c r="AH1028" s="130"/>
      <c r="AI1028" s="130" t="s">
        <v>34</v>
      </c>
      <c r="AJ1028" s="130"/>
      <c r="AK1028" s="130"/>
      <c r="AL1028" s="135" t="s">
        <v>4042</v>
      </c>
      <c r="AM1028" s="314"/>
      <c r="AN1028" s="26"/>
      <c r="AO1028" s="26"/>
      <c r="AP1028" s="26"/>
      <c r="AQ1028" s="26">
        <v>44093</v>
      </c>
      <c r="AR1028" s="24"/>
      <c r="AS1028" s="24"/>
      <c r="AT1028" s="24">
        <v>44105</v>
      </c>
      <c r="AU1028" s="418">
        <f t="shared" si="59"/>
        <v>10</v>
      </c>
      <c r="AV1028" s="418">
        <f t="shared" si="60"/>
        <v>2020</v>
      </c>
      <c r="AW1028" s="24"/>
      <c r="AX1028" s="28"/>
      <c r="AY1028" s="28" t="s">
        <v>2889</v>
      </c>
      <c r="AZ1028" s="132" t="s">
        <v>62</v>
      </c>
      <c r="BA1028" s="132"/>
      <c r="BB1028" s="24" t="s">
        <v>3334</v>
      </c>
      <c r="BC1028" s="135" t="s">
        <v>4060</v>
      </c>
      <c r="BD1028" s="26">
        <v>44037</v>
      </c>
      <c r="BE1028" s="135" t="s">
        <v>4061</v>
      </c>
      <c r="BF1028" s="135" t="s">
        <v>4061</v>
      </c>
      <c r="BG1028" s="135" t="s">
        <v>52</v>
      </c>
      <c r="BH1028" s="135"/>
      <c r="BI1028" s="314" t="s">
        <v>124</v>
      </c>
      <c r="BJ1028" s="314" t="s">
        <v>148</v>
      </c>
      <c r="BK1028" s="24"/>
      <c r="BL1028" s="24"/>
      <c r="BM1028" s="24"/>
      <c r="BN1028" s="24"/>
      <c r="BO1028" s="24"/>
      <c r="BP1028" s="24"/>
      <c r="BQ1028" s="24"/>
      <c r="BR1028" s="43"/>
      <c r="BS1028" s="24"/>
      <c r="BT1028" s="24"/>
      <c r="BU1028" s="24"/>
      <c r="BV1028" s="132" t="e">
        <f>IF(#REF!="COMPLETO","OK","PENDIENTES")</f>
        <v>#REF!</v>
      </c>
      <c r="BW1028" s="325"/>
      <c r="BX1028" s="325"/>
      <c r="BY1028" s="325"/>
      <c r="BZ1028" s="325"/>
      <c r="CA1028" s="325"/>
      <c r="CB1028" s="325"/>
      <c r="CC1028" s="258"/>
      <c r="CG1028" s="24" t="s">
        <v>105</v>
      </c>
      <c r="CH1028" s="24"/>
      <c r="CI1028" s="24"/>
      <c r="CJ1028" s="24"/>
    </row>
    <row r="1029" spans="1:88" ht="15" customHeight="1">
      <c r="A1029" s="18">
        <v>2020</v>
      </c>
      <c r="B1029" s="18" t="str">
        <f>+INDEX(BDD!F:F,MATCH(P1029,BDD!D:D,0))&amp;"-"&amp;INDEX(BDD!E:E,MATCH(P1029,BDD!D:D,0))</f>
        <v>S-S</v>
      </c>
      <c r="C1029" s="125" t="s">
        <v>484</v>
      </c>
      <c r="D1029" s="152" t="s">
        <v>20</v>
      </c>
      <c r="E1029" s="132"/>
      <c r="F1029" s="24"/>
      <c r="G1029" s="346"/>
      <c r="H1029" s="125" t="s">
        <v>4062</v>
      </c>
      <c r="I1029" s="329"/>
      <c r="J1029" s="346"/>
      <c r="K1029" s="24"/>
      <c r="L1029" s="24"/>
      <c r="M1029" s="24"/>
      <c r="N1029" s="340"/>
      <c r="O1029" s="334"/>
      <c r="P1029" s="25" t="s">
        <v>340</v>
      </c>
      <c r="Q1029" s="127" t="s">
        <v>231</v>
      </c>
      <c r="R1029" s="232"/>
      <c r="S1029" s="89"/>
      <c r="T1029" s="36"/>
      <c r="U1029" s="125"/>
      <c r="V1029" s="147"/>
      <c r="W1029" s="129"/>
      <c r="X1029" s="88"/>
      <c r="Y1029" s="130"/>
      <c r="Z1029" s="133"/>
      <c r="AA1029" s="133"/>
      <c r="AB1029" s="241"/>
      <c r="AC1029" s="134"/>
      <c r="AD1029" s="134"/>
      <c r="AE1029" s="403">
        <f t="shared" si="58"/>
        <v>0</v>
      </c>
      <c r="AF1029" s="132"/>
      <c r="AG1029" s="130"/>
      <c r="AH1029" s="130"/>
      <c r="AI1029" s="130"/>
      <c r="AJ1029" s="130"/>
      <c r="AK1029" s="130"/>
      <c r="AL1029" s="135"/>
      <c r="AM1029" s="314"/>
      <c r="AN1029" s="26"/>
      <c r="AO1029" s="26"/>
      <c r="AP1029" s="26"/>
      <c r="AQ1029" s="26"/>
      <c r="AR1029" s="24"/>
      <c r="AS1029" s="24"/>
      <c r="AT1029" s="24"/>
      <c r="AU1029" s="418">
        <f t="shared" si="59"/>
        <v>1</v>
      </c>
      <c r="AV1029" s="418">
        <f t="shared" si="60"/>
        <v>1900</v>
      </c>
      <c r="AW1029" s="24"/>
      <c r="AX1029" s="24"/>
      <c r="AY1029" s="24"/>
      <c r="AZ1029" s="132"/>
      <c r="BA1029" s="132"/>
      <c r="BB1029" s="24"/>
      <c r="BC1029" s="135"/>
      <c r="BD1029" s="24"/>
      <c r="BE1029" s="135"/>
      <c r="BF1029" s="135"/>
      <c r="BG1029" s="135"/>
      <c r="BH1029" s="135"/>
      <c r="BI1029" s="314"/>
      <c r="BJ1029" s="314"/>
      <c r="BK1029" s="24"/>
      <c r="BL1029" s="24"/>
      <c r="BM1029" s="24"/>
      <c r="BN1029" s="24"/>
      <c r="BO1029" s="24"/>
      <c r="BP1029" s="24"/>
      <c r="BQ1029" s="24"/>
      <c r="BR1029" s="43"/>
      <c r="BS1029" s="24"/>
      <c r="BT1029" s="24"/>
      <c r="BU1029" s="24"/>
      <c r="BV1029" s="132"/>
      <c r="BW1029" s="325"/>
      <c r="BX1029" s="325"/>
      <c r="BY1029" s="325"/>
      <c r="BZ1029" s="325"/>
      <c r="CA1029" s="325"/>
      <c r="CB1029" s="325"/>
      <c r="CC1029" s="258"/>
      <c r="CD1029" s="22"/>
      <c r="CE1029" s="22"/>
      <c r="CF1029" s="22"/>
      <c r="CG1029" s="24"/>
      <c r="CH1029" s="24"/>
      <c r="CI1029" s="24"/>
      <c r="CJ1029" s="24"/>
    </row>
    <row r="1030" spans="1:88" ht="15" customHeight="1">
      <c r="A1030" s="18">
        <v>2020</v>
      </c>
      <c r="B1030" s="18" t="str">
        <f>+INDEX(BDD!F:F,MATCH(P1030,BDD!D:D,0))&amp;"-"&amp;INDEX(BDD!E:E,MATCH(P1030,BDD!D:D,0))</f>
        <v>G-S</v>
      </c>
      <c r="C1030" s="125" t="s">
        <v>484</v>
      </c>
      <c r="D1030" s="150" t="s">
        <v>77</v>
      </c>
      <c r="E1030" s="132"/>
      <c r="F1030" s="24"/>
      <c r="G1030" s="346">
        <v>8000000981</v>
      </c>
      <c r="H1030" s="125" t="s">
        <v>4063</v>
      </c>
      <c r="I1030" s="329"/>
      <c r="J1030" s="346">
        <v>8000000981</v>
      </c>
      <c r="K1030" s="24"/>
      <c r="L1030" s="24"/>
      <c r="M1030" s="24"/>
      <c r="N1030" s="340" t="s">
        <v>486</v>
      </c>
      <c r="O1030" s="334">
        <v>206599</v>
      </c>
      <c r="P1030" s="25" t="s">
        <v>339</v>
      </c>
      <c r="Q1030" s="127" t="s">
        <v>136</v>
      </c>
      <c r="R1030" s="232" t="s">
        <v>4064</v>
      </c>
      <c r="S1030" s="89">
        <v>43999</v>
      </c>
      <c r="T1030" s="36">
        <v>90</v>
      </c>
      <c r="U1030" s="125" t="s">
        <v>118</v>
      </c>
      <c r="V1030" s="147" t="s">
        <v>4065</v>
      </c>
      <c r="W1030" s="129"/>
      <c r="X1030" s="88">
        <v>44123</v>
      </c>
      <c r="Y1030" s="130" t="s">
        <v>20</v>
      </c>
      <c r="Z1030" s="133" t="s">
        <v>60</v>
      </c>
      <c r="AA1030" s="133"/>
      <c r="AB1030" s="241">
        <v>192.5</v>
      </c>
      <c r="AC1030" s="134">
        <v>431</v>
      </c>
      <c r="AD1030" s="134"/>
      <c r="AE1030" s="403">
        <f t="shared" si="58"/>
        <v>82967.5</v>
      </c>
      <c r="AF1030" s="132">
        <v>7</v>
      </c>
      <c r="AG1030" s="130" t="s">
        <v>21</v>
      </c>
      <c r="AH1030" s="130"/>
      <c r="AI1030" s="130" t="s">
        <v>71</v>
      </c>
      <c r="AJ1030" s="130"/>
      <c r="AK1030" s="130"/>
      <c r="AL1030" s="135" t="s">
        <v>4042</v>
      </c>
      <c r="AM1030" s="314"/>
      <c r="AN1030" s="26"/>
      <c r="AO1030" s="26"/>
      <c r="AP1030" s="26"/>
      <c r="AQ1030" s="26">
        <v>44078</v>
      </c>
      <c r="AR1030" s="24"/>
      <c r="AS1030" s="24"/>
      <c r="AT1030" s="164">
        <v>44088</v>
      </c>
      <c r="AU1030" s="418">
        <f t="shared" si="59"/>
        <v>9</v>
      </c>
      <c r="AV1030" s="418">
        <f t="shared" si="60"/>
        <v>2020</v>
      </c>
      <c r="AW1030" s="164"/>
      <c r="AX1030" s="28"/>
      <c r="AY1030" s="28" t="s">
        <v>139</v>
      </c>
      <c r="AZ1030" s="132" t="s">
        <v>9</v>
      </c>
      <c r="BA1030" s="132"/>
      <c r="BB1030" s="24" t="s">
        <v>3519</v>
      </c>
      <c r="BC1030" s="135" t="s">
        <v>4066</v>
      </c>
      <c r="BD1030" s="24">
        <v>44032</v>
      </c>
      <c r="BE1030" s="135" t="s">
        <v>4067</v>
      </c>
      <c r="BF1030" s="154" t="s">
        <v>994</v>
      </c>
      <c r="BG1030" s="135" t="s">
        <v>41</v>
      </c>
      <c r="BH1030" s="135"/>
      <c r="BI1030" s="314" t="s">
        <v>124</v>
      </c>
      <c r="BJ1030" s="314" t="s">
        <v>143</v>
      </c>
      <c r="BK1030" s="24"/>
      <c r="BL1030" s="24"/>
      <c r="BM1030" s="24"/>
      <c r="BN1030" s="24"/>
      <c r="BO1030" s="24"/>
      <c r="BP1030" s="24"/>
      <c r="BQ1030" s="24"/>
      <c r="BR1030" s="43"/>
      <c r="BS1030" s="24"/>
      <c r="BT1030" s="24"/>
      <c r="BU1030" s="24"/>
      <c r="BV1030" s="132" t="e">
        <f>IF(#REF!="COMPLETO","OK","PENDIENTES")</f>
        <v>#REF!</v>
      </c>
      <c r="BW1030" s="325"/>
      <c r="BX1030" s="325"/>
      <c r="BY1030" s="325"/>
      <c r="BZ1030" s="325"/>
      <c r="CA1030" s="325"/>
      <c r="CB1030" s="325"/>
      <c r="CC1030" s="258"/>
      <c r="CG1030" s="24" t="s">
        <v>105</v>
      </c>
      <c r="CH1030" s="24"/>
      <c r="CI1030" s="164"/>
      <c r="CJ1030" s="164"/>
    </row>
    <row r="1031" spans="1:88" ht="15" customHeight="1">
      <c r="A1031" s="18">
        <v>2020</v>
      </c>
      <c r="B1031" s="18" t="str">
        <f>+INDEX(BDD!F:F,MATCH(P1031,BDD!D:D,0))&amp;"-"&amp;INDEX(BDD!E:E,MATCH(P1031,BDD!D:D,0))</f>
        <v>O-S</v>
      </c>
      <c r="C1031" s="125" t="s">
        <v>484</v>
      </c>
      <c r="D1031" s="150" t="s">
        <v>77</v>
      </c>
      <c r="E1031" s="132"/>
      <c r="F1031" s="24"/>
      <c r="G1031" s="346">
        <v>8000000930</v>
      </c>
      <c r="H1031" s="125" t="s">
        <v>4068</v>
      </c>
      <c r="I1031" s="329"/>
      <c r="J1031" s="346">
        <v>8000000930</v>
      </c>
      <c r="K1031" s="24"/>
      <c r="L1031" s="24"/>
      <c r="M1031" s="24"/>
      <c r="N1031" s="340" t="s">
        <v>486</v>
      </c>
      <c r="O1031" s="334">
        <v>203553</v>
      </c>
      <c r="P1031" s="25" t="s">
        <v>386</v>
      </c>
      <c r="Q1031" s="127" t="s">
        <v>303</v>
      </c>
      <c r="R1031" s="232" t="s">
        <v>4069</v>
      </c>
      <c r="S1031" s="89" t="s">
        <v>582</v>
      </c>
      <c r="T1031" s="36" t="s">
        <v>19</v>
      </c>
      <c r="U1031" s="125"/>
      <c r="V1031" s="147" t="s">
        <v>4070</v>
      </c>
      <c r="W1031" s="129"/>
      <c r="X1031" s="88">
        <v>44036</v>
      </c>
      <c r="Y1031" s="130" t="s">
        <v>20</v>
      </c>
      <c r="Z1031" s="133" t="s">
        <v>60</v>
      </c>
      <c r="AA1031" s="133"/>
      <c r="AB1031" s="241">
        <v>240.13499999999999</v>
      </c>
      <c r="AC1031" s="134">
        <v>288</v>
      </c>
      <c r="AD1031" s="134"/>
      <c r="AE1031" s="403">
        <f t="shared" si="58"/>
        <v>69158.880000000005</v>
      </c>
      <c r="AF1031" s="132">
        <v>9</v>
      </c>
      <c r="AG1031" s="130" t="s">
        <v>5</v>
      </c>
      <c r="AH1031" s="130"/>
      <c r="AI1031" s="130" t="s">
        <v>100</v>
      </c>
      <c r="AJ1031" s="130"/>
      <c r="AK1031" s="130"/>
      <c r="AL1031" s="135" t="s">
        <v>3779</v>
      </c>
      <c r="AM1031" s="314"/>
      <c r="AN1031" s="26"/>
      <c r="AO1031" s="26"/>
      <c r="AP1031" s="26"/>
      <c r="AQ1031" s="26">
        <v>44043</v>
      </c>
      <c r="AR1031" s="24"/>
      <c r="AS1031" s="24"/>
      <c r="AT1031" s="24">
        <v>44046</v>
      </c>
      <c r="AU1031" s="418">
        <f t="shared" si="59"/>
        <v>8</v>
      </c>
      <c r="AV1031" s="418">
        <f t="shared" si="60"/>
        <v>2020</v>
      </c>
      <c r="AW1031" s="24"/>
      <c r="AX1031" s="28"/>
      <c r="AY1031" s="28" t="s">
        <v>4072</v>
      </c>
      <c r="AZ1031" s="132" t="s">
        <v>37</v>
      </c>
      <c r="BA1031" s="132"/>
      <c r="BB1031" s="24" t="s">
        <v>3593</v>
      </c>
      <c r="BC1031" s="135" t="s">
        <v>4071</v>
      </c>
      <c r="BD1031" s="24">
        <v>44008</v>
      </c>
      <c r="BE1031" s="135" t="s">
        <v>4073</v>
      </c>
      <c r="BF1031" s="135" t="s">
        <v>579</v>
      </c>
      <c r="BG1031" s="135" t="s">
        <v>64</v>
      </c>
      <c r="BH1031" s="135"/>
      <c r="BI1031" s="314" t="s">
        <v>124</v>
      </c>
      <c r="BJ1031" s="314"/>
      <c r="BK1031" s="24"/>
      <c r="BL1031" s="24"/>
      <c r="BM1031" s="24"/>
      <c r="BN1031" s="24"/>
      <c r="BO1031" s="24"/>
      <c r="BP1031" s="24"/>
      <c r="BQ1031" s="24"/>
      <c r="BR1031" s="43"/>
      <c r="BS1031" s="24"/>
      <c r="BT1031" s="24"/>
      <c r="BU1031" s="24"/>
      <c r="BV1031" s="132" t="e">
        <f>IF(#REF!="COMPLETO","OK","PENDIENTES")</f>
        <v>#REF!</v>
      </c>
      <c r="BW1031" s="325"/>
      <c r="BX1031" s="325"/>
      <c r="BY1031" s="325"/>
      <c r="BZ1031" s="325"/>
      <c r="CA1031" s="325"/>
      <c r="CB1031" s="325"/>
      <c r="CC1031" s="258" t="s">
        <v>4074</v>
      </c>
      <c r="CG1031" s="24" t="s">
        <v>105</v>
      </c>
      <c r="CH1031" s="24"/>
      <c r="CI1031" s="24"/>
      <c r="CJ1031" s="24"/>
    </row>
    <row r="1032" spans="1:88" ht="15" customHeight="1">
      <c r="A1032" s="18">
        <v>2020</v>
      </c>
      <c r="B1032" s="18" t="str">
        <f>+INDEX(BDD!F:F,MATCH(P1032,BDD!D:D,0))&amp;"-"&amp;INDEX(BDD!E:E,MATCH(P1032,BDD!D:D,0))</f>
        <v>O-S</v>
      </c>
      <c r="C1032" s="125" t="s">
        <v>484</v>
      </c>
      <c r="D1032" s="150" t="s">
        <v>77</v>
      </c>
      <c r="E1032" s="132"/>
      <c r="F1032" s="24"/>
      <c r="G1032" s="346">
        <v>8000000931</v>
      </c>
      <c r="H1032" s="125" t="s">
        <v>4075</v>
      </c>
      <c r="I1032" s="329"/>
      <c r="J1032" s="346">
        <v>8000000931</v>
      </c>
      <c r="K1032" s="24"/>
      <c r="L1032" s="24"/>
      <c r="M1032" s="24"/>
      <c r="N1032" s="340" t="s">
        <v>486</v>
      </c>
      <c r="O1032" s="334">
        <v>203553</v>
      </c>
      <c r="P1032" s="25" t="s">
        <v>386</v>
      </c>
      <c r="Q1032" s="127" t="s">
        <v>303</v>
      </c>
      <c r="R1032" s="232" t="s">
        <v>4076</v>
      </c>
      <c r="S1032" s="89" t="s">
        <v>582</v>
      </c>
      <c r="T1032" s="36" t="s">
        <v>19</v>
      </c>
      <c r="U1032" s="125"/>
      <c r="V1032" s="147" t="s">
        <v>4077</v>
      </c>
      <c r="W1032" s="129"/>
      <c r="X1032" s="88">
        <v>44036</v>
      </c>
      <c r="Y1032" s="130" t="s">
        <v>20</v>
      </c>
      <c r="Z1032" s="133" t="s">
        <v>60</v>
      </c>
      <c r="AA1032" s="133"/>
      <c r="AB1032" s="241">
        <v>425.06</v>
      </c>
      <c r="AC1032" s="134">
        <v>288</v>
      </c>
      <c r="AD1032" s="134"/>
      <c r="AE1032" s="403">
        <f t="shared" si="58"/>
        <v>122417.28</v>
      </c>
      <c r="AF1032" s="132">
        <v>16</v>
      </c>
      <c r="AG1032" s="130" t="s">
        <v>5</v>
      </c>
      <c r="AH1032" s="130"/>
      <c r="AI1032" s="130" t="s">
        <v>100</v>
      </c>
      <c r="AJ1032" s="130"/>
      <c r="AK1032" s="130"/>
      <c r="AL1032" s="135" t="s">
        <v>3779</v>
      </c>
      <c r="AM1032" s="314"/>
      <c r="AN1032" s="26"/>
      <c r="AO1032" s="26"/>
      <c r="AP1032" s="26"/>
      <c r="AQ1032" s="26">
        <v>44041</v>
      </c>
      <c r="AR1032" s="24"/>
      <c r="AS1032" s="24"/>
      <c r="AT1032" s="24">
        <v>44046</v>
      </c>
      <c r="AU1032" s="418">
        <f t="shared" si="59"/>
        <v>8</v>
      </c>
      <c r="AV1032" s="418">
        <f t="shared" si="60"/>
        <v>2020</v>
      </c>
      <c r="AW1032" s="24"/>
      <c r="AX1032" s="28"/>
      <c r="AY1032" s="28" t="s">
        <v>4072</v>
      </c>
      <c r="AZ1032" s="132" t="s">
        <v>9</v>
      </c>
      <c r="BA1032" s="132"/>
      <c r="BB1032" s="24" t="s">
        <v>3519</v>
      </c>
      <c r="BC1032" s="135" t="s">
        <v>4078</v>
      </c>
      <c r="BD1032" s="24">
        <v>44008</v>
      </c>
      <c r="BE1032" s="135" t="s">
        <v>4079</v>
      </c>
      <c r="BF1032" s="135" t="s">
        <v>1807</v>
      </c>
      <c r="BG1032" s="135" t="s">
        <v>64</v>
      </c>
      <c r="BH1032" s="135"/>
      <c r="BI1032" s="314" t="s">
        <v>124</v>
      </c>
      <c r="BJ1032" s="314"/>
      <c r="BK1032" s="24"/>
      <c r="BL1032" s="24"/>
      <c r="BM1032" s="24"/>
      <c r="BN1032" s="24"/>
      <c r="BO1032" s="24"/>
      <c r="BP1032" s="24"/>
      <c r="BQ1032" s="24"/>
      <c r="BR1032" s="43"/>
      <c r="BS1032" s="24"/>
      <c r="BT1032" s="24"/>
      <c r="BU1032" s="24"/>
      <c r="BV1032" s="132" t="e">
        <f>IF(#REF!="COMPLETO","OK","PENDIENTES")</f>
        <v>#REF!</v>
      </c>
      <c r="BW1032" s="325"/>
      <c r="BX1032" s="325"/>
      <c r="BY1032" s="325"/>
      <c r="BZ1032" s="325"/>
      <c r="CA1032" s="325"/>
      <c r="CB1032" s="325"/>
      <c r="CC1032" s="258" t="s">
        <v>4080</v>
      </c>
      <c r="CG1032" s="24" t="s">
        <v>105</v>
      </c>
      <c r="CH1032" s="24"/>
      <c r="CI1032" s="24"/>
      <c r="CJ1032" s="24"/>
    </row>
    <row r="1033" spans="1:88" ht="15" customHeight="1">
      <c r="A1033" s="18">
        <v>2020</v>
      </c>
      <c r="B1033" s="18" t="str">
        <f>+INDEX(BDD!F:F,MATCH(P1033,BDD!D:D,0))&amp;"-"&amp;INDEX(BDD!E:E,MATCH(P1033,BDD!D:D,0))</f>
        <v>O-S</v>
      </c>
      <c r="C1033" s="125" t="s">
        <v>484</v>
      </c>
      <c r="D1033" s="150" t="s">
        <v>77</v>
      </c>
      <c r="E1033" s="132"/>
      <c r="F1033" s="24"/>
      <c r="G1033" s="346">
        <v>8000000964</v>
      </c>
      <c r="H1033" s="125" t="s">
        <v>4081</v>
      </c>
      <c r="I1033" s="329"/>
      <c r="J1033" s="346">
        <v>8000000964</v>
      </c>
      <c r="K1033" s="24"/>
      <c r="L1033" s="24"/>
      <c r="M1033" s="24"/>
      <c r="N1033" s="340" t="s">
        <v>486</v>
      </c>
      <c r="O1033" s="334">
        <v>203554</v>
      </c>
      <c r="P1033" s="25" t="s">
        <v>386</v>
      </c>
      <c r="Q1033" s="127" t="s">
        <v>303</v>
      </c>
      <c r="R1033" s="232" t="s">
        <v>4082</v>
      </c>
      <c r="S1033" s="89" t="s">
        <v>582</v>
      </c>
      <c r="T1033" s="36" t="s">
        <v>19</v>
      </c>
      <c r="U1033" s="125"/>
      <c r="V1033" s="147" t="s">
        <v>4083</v>
      </c>
      <c r="W1033" s="129"/>
      <c r="X1033" s="88">
        <v>44036</v>
      </c>
      <c r="Y1033" s="130" t="s">
        <v>20</v>
      </c>
      <c r="Z1033" s="133" t="s">
        <v>60</v>
      </c>
      <c r="AA1033" s="133"/>
      <c r="AB1033" s="241">
        <v>106.34</v>
      </c>
      <c r="AC1033" s="134">
        <v>288</v>
      </c>
      <c r="AD1033" s="134"/>
      <c r="AE1033" s="403">
        <f t="shared" si="58"/>
        <v>30625.920000000002</v>
      </c>
      <c r="AF1033" s="132">
        <v>4</v>
      </c>
      <c r="AG1033" s="130" t="s">
        <v>5</v>
      </c>
      <c r="AH1033" s="130"/>
      <c r="AI1033" s="130" t="s">
        <v>100</v>
      </c>
      <c r="AJ1033" s="130"/>
      <c r="AK1033" s="130"/>
      <c r="AL1033" s="135" t="s">
        <v>3779</v>
      </c>
      <c r="AM1033" s="314"/>
      <c r="AN1033" s="26"/>
      <c r="AO1033" s="26"/>
      <c r="AP1033" s="26"/>
      <c r="AQ1033" s="26">
        <v>44056</v>
      </c>
      <c r="AR1033" s="26"/>
      <c r="AS1033" s="26"/>
      <c r="AT1033" s="26">
        <v>44068</v>
      </c>
      <c r="AU1033" s="418">
        <f t="shared" si="59"/>
        <v>8</v>
      </c>
      <c r="AV1033" s="418">
        <f t="shared" si="60"/>
        <v>2020</v>
      </c>
      <c r="AW1033" s="26"/>
      <c r="AX1033" s="28"/>
      <c r="AY1033" s="28" t="s">
        <v>4072</v>
      </c>
      <c r="AZ1033" s="132" t="s">
        <v>62</v>
      </c>
      <c r="BA1033" s="132"/>
      <c r="BB1033" s="24" t="s">
        <v>3334</v>
      </c>
      <c r="BC1033" s="135" t="s">
        <v>4084</v>
      </c>
      <c r="BD1033" s="24">
        <v>44008</v>
      </c>
      <c r="BE1033" s="135" t="s">
        <v>4079</v>
      </c>
      <c r="BF1033" s="135" t="s">
        <v>1938</v>
      </c>
      <c r="BG1033" s="135" t="s">
        <v>29</v>
      </c>
      <c r="BH1033" s="135"/>
      <c r="BI1033" s="314" t="s">
        <v>124</v>
      </c>
      <c r="BJ1033" s="314"/>
      <c r="BK1033" s="24"/>
      <c r="BL1033" s="24"/>
      <c r="BM1033" s="24"/>
      <c r="BN1033" s="24"/>
      <c r="BO1033" s="26">
        <f>+AQ1033+13</f>
        <v>44069</v>
      </c>
      <c r="BP1033" s="26"/>
      <c r="BQ1033" s="26"/>
      <c r="BR1033" s="156"/>
      <c r="BS1033" s="26"/>
      <c r="BT1033" s="26"/>
      <c r="BU1033" s="26"/>
      <c r="BV1033" s="132" t="e">
        <f>IF(#REF!="COMPLETO","OK","PENDIENTES")</f>
        <v>#REF!</v>
      </c>
      <c r="BW1033" s="325"/>
      <c r="BX1033" s="325"/>
      <c r="BY1033" s="325"/>
      <c r="BZ1033" s="325"/>
      <c r="CA1033" s="325"/>
      <c r="CB1033" s="325"/>
      <c r="CC1033" s="258" t="s">
        <v>4085</v>
      </c>
      <c r="CG1033" s="24" t="s">
        <v>4086</v>
      </c>
      <c r="CH1033" s="24"/>
      <c r="CI1033" s="26"/>
      <c r="CJ1033" s="26"/>
    </row>
    <row r="1034" spans="1:88" ht="15" customHeight="1">
      <c r="A1034" s="18">
        <v>2020</v>
      </c>
      <c r="B1034" s="18" t="str">
        <f>+INDEX(BDD!F:F,MATCH(P1034,BDD!D:D,0))&amp;"-"&amp;INDEX(BDD!E:E,MATCH(P1034,BDD!D:D,0))</f>
        <v>E-S</v>
      </c>
      <c r="C1034" s="125" t="s">
        <v>484</v>
      </c>
      <c r="D1034" s="150" t="s">
        <v>77</v>
      </c>
      <c r="E1034" s="132"/>
      <c r="F1034" s="24"/>
      <c r="G1034" s="346">
        <v>8000000819</v>
      </c>
      <c r="H1034" s="125" t="s">
        <v>4087</v>
      </c>
      <c r="I1034" s="329"/>
      <c r="J1034" s="346">
        <v>8000000819</v>
      </c>
      <c r="K1034" s="24"/>
      <c r="L1034" s="24"/>
      <c r="M1034" s="24"/>
      <c r="N1034" s="340" t="s">
        <v>486</v>
      </c>
      <c r="O1034" s="334">
        <v>209986</v>
      </c>
      <c r="P1034" s="25" t="s">
        <v>208</v>
      </c>
      <c r="Q1034" s="127" t="s">
        <v>222</v>
      </c>
      <c r="R1034" s="232"/>
      <c r="S1034" s="89" t="s">
        <v>582</v>
      </c>
      <c r="T1034" s="36">
        <v>30</v>
      </c>
      <c r="U1034" s="125" t="s">
        <v>118</v>
      </c>
      <c r="V1034" s="147" t="s">
        <v>4088</v>
      </c>
      <c r="W1034" s="129"/>
      <c r="X1034" s="88">
        <f>+BD1034+T1034</f>
        <v>44089</v>
      </c>
      <c r="Y1034" s="130" t="s">
        <v>20</v>
      </c>
      <c r="Z1034" s="133" t="s">
        <v>60</v>
      </c>
      <c r="AA1034" s="133"/>
      <c r="AB1034" s="241">
        <v>52</v>
      </c>
      <c r="AC1034" s="134">
        <v>280</v>
      </c>
      <c r="AD1034" s="134"/>
      <c r="AE1034" s="403">
        <f t="shared" si="58"/>
        <v>14560</v>
      </c>
      <c r="AF1034" s="132">
        <v>2</v>
      </c>
      <c r="AG1034" s="130" t="s">
        <v>5</v>
      </c>
      <c r="AH1034" s="130"/>
      <c r="AI1034" s="130" t="s">
        <v>47</v>
      </c>
      <c r="AJ1034" s="130"/>
      <c r="AK1034" s="130"/>
      <c r="AL1034" s="135" t="s">
        <v>4089</v>
      </c>
      <c r="AM1034" s="314"/>
      <c r="AN1034" s="26"/>
      <c r="AO1034" s="26"/>
      <c r="AP1034" s="26"/>
      <c r="AQ1034" s="26">
        <v>44065</v>
      </c>
      <c r="AR1034" s="24"/>
      <c r="AS1034" s="24"/>
      <c r="AT1034" s="24">
        <v>44068</v>
      </c>
      <c r="AU1034" s="418">
        <f t="shared" si="59"/>
        <v>8</v>
      </c>
      <c r="AV1034" s="418">
        <f t="shared" si="60"/>
        <v>2020</v>
      </c>
      <c r="AW1034" s="24"/>
      <c r="AX1034" s="28"/>
      <c r="AY1034" s="28" t="s">
        <v>263</v>
      </c>
      <c r="AZ1034" s="132" t="s">
        <v>37</v>
      </c>
      <c r="BA1034" s="132"/>
      <c r="BB1034" s="24" t="s">
        <v>2956</v>
      </c>
      <c r="BC1034" s="135" t="s">
        <v>4090</v>
      </c>
      <c r="BD1034" s="24">
        <v>44059</v>
      </c>
      <c r="BE1034" s="135" t="s">
        <v>4091</v>
      </c>
      <c r="BF1034" s="135" t="s">
        <v>4091</v>
      </c>
      <c r="BG1034" s="135" t="s">
        <v>74</v>
      </c>
      <c r="BH1034" s="135"/>
      <c r="BI1034" s="314" t="s">
        <v>124</v>
      </c>
      <c r="BJ1034" s="314"/>
      <c r="BK1034" s="24"/>
      <c r="BL1034" s="24"/>
      <c r="BM1034" s="24"/>
      <c r="BN1034" s="24"/>
      <c r="BO1034" s="24"/>
      <c r="BP1034" s="24"/>
      <c r="BQ1034" s="24"/>
      <c r="BR1034" s="43"/>
      <c r="BS1034" s="24"/>
      <c r="BT1034" s="24"/>
      <c r="BU1034" s="24"/>
      <c r="BV1034" s="132" t="e">
        <f>IF(#REF!="COMPLETO","OK","PENDIENTES")</f>
        <v>#REF!</v>
      </c>
      <c r="BW1034" s="325"/>
      <c r="BX1034" s="325"/>
      <c r="BY1034" s="325"/>
      <c r="BZ1034" s="325"/>
      <c r="CA1034" s="325"/>
      <c r="CB1034" s="325"/>
      <c r="CC1034" s="258"/>
      <c r="CG1034" s="24" t="s">
        <v>105</v>
      </c>
      <c r="CH1034" s="24"/>
      <c r="CI1034" s="24"/>
      <c r="CJ1034" s="24"/>
    </row>
    <row r="1035" spans="1:88" ht="15" customHeight="1">
      <c r="A1035" s="18">
        <v>2020</v>
      </c>
      <c r="B1035" s="18" t="str">
        <f>+INDEX(BDD!F:F,MATCH(P1035,BDD!D:D,0))&amp;"-"&amp;INDEX(BDD!E:E,MATCH(P1035,BDD!D:D,0))</f>
        <v>S-C</v>
      </c>
      <c r="C1035" s="125" t="s">
        <v>484</v>
      </c>
      <c r="D1035" s="150" t="s">
        <v>77</v>
      </c>
      <c r="E1035" s="132"/>
      <c r="F1035" s="24"/>
      <c r="G1035" s="346">
        <v>8000000947</v>
      </c>
      <c r="H1035" s="125" t="s">
        <v>4092</v>
      </c>
      <c r="I1035" s="329"/>
      <c r="J1035" s="346">
        <v>8000000947</v>
      </c>
      <c r="K1035" s="24"/>
      <c r="L1035" s="24"/>
      <c r="M1035" s="24"/>
      <c r="N1035" s="340" t="s">
        <v>486</v>
      </c>
      <c r="O1035" s="334">
        <v>207580</v>
      </c>
      <c r="P1035" s="25" t="s">
        <v>241</v>
      </c>
      <c r="Q1035" s="127" t="s">
        <v>297</v>
      </c>
      <c r="R1035" s="232" t="s">
        <v>4093</v>
      </c>
      <c r="S1035" s="89">
        <v>43999</v>
      </c>
      <c r="T1035" s="36">
        <v>90</v>
      </c>
      <c r="U1035" s="125" t="s">
        <v>118</v>
      </c>
      <c r="V1035" s="147" t="s">
        <v>4094</v>
      </c>
      <c r="W1035" s="129"/>
      <c r="X1035" s="88">
        <v>44123</v>
      </c>
      <c r="Y1035" s="130" t="s">
        <v>20</v>
      </c>
      <c r="Z1035" s="133" t="s">
        <v>72</v>
      </c>
      <c r="AA1035" s="133"/>
      <c r="AB1035" s="241">
        <v>96</v>
      </c>
      <c r="AC1035" s="134">
        <v>655</v>
      </c>
      <c r="AD1035" s="134"/>
      <c r="AE1035" s="403">
        <f t="shared" si="58"/>
        <v>62880</v>
      </c>
      <c r="AF1035" s="132">
        <v>4</v>
      </c>
      <c r="AG1035" s="130" t="s">
        <v>5</v>
      </c>
      <c r="AH1035" s="130"/>
      <c r="AI1035" s="130" t="s">
        <v>34</v>
      </c>
      <c r="AJ1035" s="130"/>
      <c r="AK1035" s="130"/>
      <c r="AL1035" s="135" t="s">
        <v>4095</v>
      </c>
      <c r="AM1035" s="314"/>
      <c r="AN1035" s="26"/>
      <c r="AO1035" s="26"/>
      <c r="AP1035" s="26"/>
      <c r="AQ1035" s="26">
        <v>44063</v>
      </c>
      <c r="AR1035" s="24"/>
      <c r="AS1035" s="24"/>
      <c r="AT1035" s="24">
        <v>44065</v>
      </c>
      <c r="AU1035" s="418">
        <f t="shared" si="59"/>
        <v>8</v>
      </c>
      <c r="AV1035" s="418">
        <f t="shared" si="60"/>
        <v>2020</v>
      </c>
      <c r="AW1035" s="24"/>
      <c r="AX1035" s="28"/>
      <c r="AY1035" s="28" t="s">
        <v>201</v>
      </c>
      <c r="AZ1035" s="132" t="s">
        <v>37</v>
      </c>
      <c r="BA1035" s="132"/>
      <c r="BB1035" s="24" t="s">
        <v>2956</v>
      </c>
      <c r="BC1035" s="135" t="s">
        <v>4096</v>
      </c>
      <c r="BD1035" s="24">
        <v>44032</v>
      </c>
      <c r="BE1035" s="135" t="s">
        <v>4097</v>
      </c>
      <c r="BF1035" s="135" t="s">
        <v>870</v>
      </c>
      <c r="BG1035" s="135" t="s">
        <v>64</v>
      </c>
      <c r="BH1035" s="135"/>
      <c r="BI1035" s="314" t="s">
        <v>124</v>
      </c>
      <c r="BJ1035" s="314"/>
      <c r="BK1035" s="24"/>
      <c r="BL1035" s="24"/>
      <c r="BM1035" s="24"/>
      <c r="BN1035" s="24"/>
      <c r="BO1035" s="24"/>
      <c r="BP1035" s="24"/>
      <c r="BQ1035" s="24"/>
      <c r="BR1035" s="43"/>
      <c r="BS1035" s="24"/>
      <c r="BT1035" s="24"/>
      <c r="BU1035" s="24"/>
      <c r="BV1035" s="132" t="e">
        <f>IF(#REF!="COMPLETO","OK","PENDIENTES")</f>
        <v>#REF!</v>
      </c>
      <c r="BW1035" s="325"/>
      <c r="BX1035" s="325"/>
      <c r="BY1035" s="325"/>
      <c r="BZ1035" s="325"/>
      <c r="CA1035" s="325"/>
      <c r="CB1035" s="325"/>
      <c r="CC1035" s="258"/>
      <c r="CG1035" s="24" t="s">
        <v>105</v>
      </c>
      <c r="CH1035" s="24"/>
      <c r="CI1035" s="24"/>
      <c r="CJ1035" s="24"/>
    </row>
    <row r="1036" spans="1:88" ht="15" customHeight="1">
      <c r="A1036" s="18">
        <v>2020</v>
      </c>
      <c r="B1036" s="18" t="str">
        <f>+INDEX(BDD!F:F,MATCH(P1036,BDD!D:D,0))&amp;"-"&amp;INDEX(BDD!E:E,MATCH(P1036,BDD!D:D,0))</f>
        <v>E-S</v>
      </c>
      <c r="C1036" s="125" t="s">
        <v>484</v>
      </c>
      <c r="D1036" s="150" t="s">
        <v>77</v>
      </c>
      <c r="E1036" s="132"/>
      <c r="F1036" s="24"/>
      <c r="G1036" s="346">
        <v>8000000943</v>
      </c>
      <c r="H1036" s="125" t="s">
        <v>4098</v>
      </c>
      <c r="I1036" s="329"/>
      <c r="J1036" s="346">
        <v>8000000943</v>
      </c>
      <c r="K1036" s="24"/>
      <c r="L1036" s="24"/>
      <c r="M1036" s="24"/>
      <c r="N1036" s="340" t="s">
        <v>486</v>
      </c>
      <c r="O1036" s="334">
        <v>206613</v>
      </c>
      <c r="P1036" s="25" t="s">
        <v>304</v>
      </c>
      <c r="Q1036" s="127" t="s">
        <v>183</v>
      </c>
      <c r="R1036" s="232" t="s">
        <v>4099</v>
      </c>
      <c r="S1036" s="89">
        <v>44006</v>
      </c>
      <c r="T1036" s="36">
        <v>120</v>
      </c>
      <c r="U1036" s="125" t="s">
        <v>118</v>
      </c>
      <c r="V1036" s="147" t="s">
        <v>4100</v>
      </c>
      <c r="W1036" s="129"/>
      <c r="X1036" s="88">
        <f>+BD1036+T1036</f>
        <v>44158</v>
      </c>
      <c r="Y1036" s="130" t="s">
        <v>20</v>
      </c>
      <c r="Z1036" s="133" t="s">
        <v>60</v>
      </c>
      <c r="AA1036" s="133"/>
      <c r="AB1036" s="241">
        <v>167.8</v>
      </c>
      <c r="AC1036" s="134">
        <v>235</v>
      </c>
      <c r="AD1036" s="134"/>
      <c r="AE1036" s="403">
        <f t="shared" si="58"/>
        <v>39433</v>
      </c>
      <c r="AF1036" s="132">
        <v>6</v>
      </c>
      <c r="AG1036" s="130" t="s">
        <v>5</v>
      </c>
      <c r="AH1036" s="130"/>
      <c r="AI1036" s="130" t="s">
        <v>100</v>
      </c>
      <c r="AJ1036" s="130"/>
      <c r="AK1036" s="130"/>
      <c r="AL1036" s="135" t="s">
        <v>3961</v>
      </c>
      <c r="AM1036" s="314"/>
      <c r="AN1036" s="26"/>
      <c r="AO1036" s="26"/>
      <c r="AP1036" s="26"/>
      <c r="AQ1036" s="26">
        <v>44064</v>
      </c>
      <c r="AR1036" s="24"/>
      <c r="AS1036" s="24"/>
      <c r="AT1036" s="26">
        <v>44067</v>
      </c>
      <c r="AU1036" s="418">
        <f t="shared" si="59"/>
        <v>8</v>
      </c>
      <c r="AV1036" s="418">
        <f t="shared" si="60"/>
        <v>2020</v>
      </c>
      <c r="AW1036" s="26"/>
      <c r="AX1036" s="28"/>
      <c r="AY1036" s="28" t="s">
        <v>8</v>
      </c>
      <c r="AZ1036" s="132" t="s">
        <v>37</v>
      </c>
      <c r="BA1036" s="132"/>
      <c r="BB1036" s="24" t="s">
        <v>3593</v>
      </c>
      <c r="BC1036" s="135" t="s">
        <v>4101</v>
      </c>
      <c r="BD1036" s="24">
        <v>44038</v>
      </c>
      <c r="BE1036" s="135" t="s">
        <v>4102</v>
      </c>
      <c r="BF1036" s="135" t="s">
        <v>4102</v>
      </c>
      <c r="BG1036" s="135" t="s">
        <v>41</v>
      </c>
      <c r="BH1036" s="135"/>
      <c r="BI1036" s="314" t="s">
        <v>124</v>
      </c>
      <c r="BJ1036" s="314"/>
      <c r="BK1036" s="24"/>
      <c r="BL1036" s="24"/>
      <c r="BM1036" s="24"/>
      <c r="BN1036" s="24"/>
      <c r="BO1036" s="24"/>
      <c r="BP1036" s="24"/>
      <c r="BQ1036" s="24"/>
      <c r="BR1036" s="43"/>
      <c r="BS1036" s="24"/>
      <c r="BT1036" s="24"/>
      <c r="BU1036" s="24"/>
      <c r="BV1036" s="132" t="e">
        <f>IF(#REF!="COMPLETO","OK","PENDIENTES")</f>
        <v>#REF!</v>
      </c>
      <c r="BW1036" s="325"/>
      <c r="BX1036" s="325"/>
      <c r="BY1036" s="325"/>
      <c r="BZ1036" s="325"/>
      <c r="CA1036" s="325"/>
      <c r="CB1036" s="325"/>
      <c r="CC1036" s="258"/>
      <c r="CG1036" s="24" t="s">
        <v>105</v>
      </c>
      <c r="CH1036" s="24"/>
      <c r="CI1036" s="26"/>
      <c r="CJ1036" s="26"/>
    </row>
    <row r="1037" spans="1:88" ht="15" customHeight="1">
      <c r="A1037" s="18">
        <v>2020</v>
      </c>
      <c r="B1037" s="18" t="str">
        <f>+INDEX(BDD!F:F,MATCH(P1037,BDD!D:D,0))&amp;"-"&amp;INDEX(BDD!E:E,MATCH(P1037,BDD!D:D,0))</f>
        <v>E-S</v>
      </c>
      <c r="C1037" s="125" t="s">
        <v>484</v>
      </c>
      <c r="D1037" s="150" t="s">
        <v>77</v>
      </c>
      <c r="E1037" s="132"/>
      <c r="F1037" s="24"/>
      <c r="G1037" s="346">
        <v>8000000971</v>
      </c>
      <c r="H1037" s="125" t="s">
        <v>4103</v>
      </c>
      <c r="I1037" s="329"/>
      <c r="J1037" s="346">
        <v>8000000971</v>
      </c>
      <c r="K1037" s="24"/>
      <c r="L1037" s="24"/>
      <c r="M1037" s="24"/>
      <c r="N1037" s="340" t="s">
        <v>486</v>
      </c>
      <c r="O1037" s="334">
        <v>206613</v>
      </c>
      <c r="P1037" s="25" t="s">
        <v>304</v>
      </c>
      <c r="Q1037" s="127" t="s">
        <v>183</v>
      </c>
      <c r="R1037" s="232" t="s">
        <v>4099</v>
      </c>
      <c r="S1037" s="89">
        <v>44006</v>
      </c>
      <c r="T1037" s="36">
        <v>120</v>
      </c>
      <c r="U1037" s="125" t="s">
        <v>118</v>
      </c>
      <c r="V1037" s="147" t="s">
        <v>4104</v>
      </c>
      <c r="W1037" s="129"/>
      <c r="X1037" s="88">
        <f>+BD1037+T1037</f>
        <v>44158</v>
      </c>
      <c r="Y1037" s="130" t="s">
        <v>20</v>
      </c>
      <c r="Z1037" s="133" t="s">
        <v>60</v>
      </c>
      <c r="AA1037" s="133"/>
      <c r="AB1037" s="241">
        <v>251.5</v>
      </c>
      <c r="AC1037" s="134">
        <v>235</v>
      </c>
      <c r="AD1037" s="134"/>
      <c r="AE1037" s="403">
        <f t="shared" si="58"/>
        <v>59102.5</v>
      </c>
      <c r="AF1037" s="132">
        <v>9</v>
      </c>
      <c r="AG1037" s="130" t="s">
        <v>5</v>
      </c>
      <c r="AH1037" s="130"/>
      <c r="AI1037" s="130" t="s">
        <v>100</v>
      </c>
      <c r="AJ1037" s="130"/>
      <c r="AK1037" s="130"/>
      <c r="AL1037" s="135" t="s">
        <v>3961</v>
      </c>
      <c r="AM1037" s="314"/>
      <c r="AN1037" s="26"/>
      <c r="AO1037" s="26"/>
      <c r="AP1037" s="26"/>
      <c r="AQ1037" s="26">
        <v>44071</v>
      </c>
      <c r="AR1037" s="24"/>
      <c r="AS1037" s="24"/>
      <c r="AT1037" s="24">
        <v>44075</v>
      </c>
      <c r="AU1037" s="418">
        <f t="shared" si="59"/>
        <v>9</v>
      </c>
      <c r="AV1037" s="418">
        <f t="shared" si="60"/>
        <v>2020</v>
      </c>
      <c r="AW1037" s="24"/>
      <c r="AX1037" s="28"/>
      <c r="AY1037" s="28" t="s">
        <v>8</v>
      </c>
      <c r="AZ1037" s="132" t="s">
        <v>9</v>
      </c>
      <c r="BA1037" s="132"/>
      <c r="BB1037" s="24" t="s">
        <v>3519</v>
      </c>
      <c r="BC1037" s="135" t="s">
        <v>4105</v>
      </c>
      <c r="BD1037" s="24">
        <v>44038</v>
      </c>
      <c r="BE1037" s="135" t="s">
        <v>4102</v>
      </c>
      <c r="BF1037" s="135" t="s">
        <v>3276</v>
      </c>
      <c r="BG1037" s="135" t="s">
        <v>41</v>
      </c>
      <c r="BH1037" s="135"/>
      <c r="BI1037" s="314" t="s">
        <v>124</v>
      </c>
      <c r="BJ1037" s="314"/>
      <c r="BK1037" s="24"/>
      <c r="BL1037" s="24"/>
      <c r="BM1037" s="24"/>
      <c r="BN1037" s="24"/>
      <c r="BO1037" s="24"/>
      <c r="BP1037" s="24"/>
      <c r="BQ1037" s="24"/>
      <c r="BR1037" s="43"/>
      <c r="BS1037" s="24"/>
      <c r="BT1037" s="24"/>
      <c r="BU1037" s="24"/>
      <c r="BV1037" s="132" t="e">
        <f>IF(#REF!="COMPLETO","OK","PENDIENTES")</f>
        <v>#REF!</v>
      </c>
      <c r="BW1037" s="325"/>
      <c r="BX1037" s="325"/>
      <c r="BY1037" s="325"/>
      <c r="BZ1037" s="325"/>
      <c r="CA1037" s="325"/>
      <c r="CB1037" s="325"/>
      <c r="CC1037" s="258"/>
      <c r="CG1037" s="24" t="s">
        <v>105</v>
      </c>
      <c r="CH1037" s="24"/>
      <c r="CI1037" s="24"/>
      <c r="CJ1037" s="24"/>
    </row>
    <row r="1038" spans="1:88" ht="15" customHeight="1">
      <c r="A1038" s="18">
        <v>2020</v>
      </c>
      <c r="B1038" s="18" t="str">
        <f>+INDEX(BDD!F:F,MATCH(P1038,BDD!D:D,0))&amp;"-"&amp;INDEX(BDD!E:E,MATCH(P1038,BDD!D:D,0))</f>
        <v>G-S</v>
      </c>
      <c r="C1038" s="125" t="s">
        <v>484</v>
      </c>
      <c r="D1038" s="150" t="s">
        <v>77</v>
      </c>
      <c r="E1038" s="132"/>
      <c r="F1038" s="24"/>
      <c r="G1038" s="346">
        <v>8000000876</v>
      </c>
      <c r="H1038" s="125" t="s">
        <v>4106</v>
      </c>
      <c r="I1038" s="329"/>
      <c r="J1038" s="346">
        <v>8000000876</v>
      </c>
      <c r="K1038" s="24"/>
      <c r="L1038" s="24"/>
      <c r="M1038" s="24"/>
      <c r="N1038" s="340" t="s">
        <v>486</v>
      </c>
      <c r="O1038" s="334">
        <v>203616</v>
      </c>
      <c r="P1038" s="25" t="s">
        <v>357</v>
      </c>
      <c r="Q1038" s="127" t="s">
        <v>273</v>
      </c>
      <c r="R1038" s="232" t="s">
        <v>4107</v>
      </c>
      <c r="S1038" s="89">
        <v>44015</v>
      </c>
      <c r="T1038" s="36">
        <v>120</v>
      </c>
      <c r="U1038" s="125" t="s">
        <v>118</v>
      </c>
      <c r="V1038" s="147" t="s">
        <v>4108</v>
      </c>
      <c r="W1038" s="129"/>
      <c r="X1038" s="88">
        <v>44104</v>
      </c>
      <c r="Y1038" s="130" t="s">
        <v>20</v>
      </c>
      <c r="Z1038" s="133" t="s">
        <v>60</v>
      </c>
      <c r="AA1038" s="133"/>
      <c r="AB1038" s="241">
        <v>400</v>
      </c>
      <c r="AC1038" s="134">
        <v>123.22</v>
      </c>
      <c r="AD1038" s="134"/>
      <c r="AE1038" s="403">
        <f t="shared" si="58"/>
        <v>49288</v>
      </c>
      <c r="AF1038" s="145" t="s">
        <v>2822</v>
      </c>
      <c r="AG1038" s="130" t="s">
        <v>4109</v>
      </c>
      <c r="AH1038" s="130"/>
      <c r="AI1038" s="130" t="s">
        <v>100</v>
      </c>
      <c r="AJ1038" s="130"/>
      <c r="AK1038" s="130"/>
      <c r="AL1038" s="135" t="s">
        <v>3779</v>
      </c>
      <c r="AM1038" s="314"/>
      <c r="AN1038" s="26"/>
      <c r="AO1038" s="26"/>
      <c r="AP1038" s="26"/>
      <c r="AQ1038" s="26">
        <v>44029</v>
      </c>
      <c r="AR1038" s="24"/>
      <c r="AS1038" s="24"/>
      <c r="AT1038" s="24">
        <v>44030</v>
      </c>
      <c r="AU1038" s="418">
        <f t="shared" si="59"/>
        <v>7</v>
      </c>
      <c r="AV1038" s="418">
        <f t="shared" si="60"/>
        <v>2020</v>
      </c>
      <c r="AW1038" s="24"/>
      <c r="AX1038" s="28"/>
      <c r="AY1038" s="28" t="s">
        <v>3437</v>
      </c>
      <c r="AZ1038" s="132" t="s">
        <v>9</v>
      </c>
      <c r="BA1038" s="132"/>
      <c r="BB1038" s="24" t="s">
        <v>3264</v>
      </c>
      <c r="BC1038" s="135" t="s">
        <v>4110</v>
      </c>
      <c r="BD1038" s="24">
        <v>43990</v>
      </c>
      <c r="BE1038" s="135" t="s">
        <v>3852</v>
      </c>
      <c r="BF1038" s="135" t="s">
        <v>3852</v>
      </c>
      <c r="BG1038" s="135" t="s">
        <v>52</v>
      </c>
      <c r="BH1038" s="135"/>
      <c r="BI1038" s="314" t="s">
        <v>117</v>
      </c>
      <c r="BJ1038" s="314"/>
      <c r="BK1038" s="24"/>
      <c r="BL1038" s="24"/>
      <c r="BM1038" s="24"/>
      <c r="BN1038" s="24"/>
      <c r="BO1038" s="24"/>
      <c r="BP1038" s="24"/>
      <c r="BQ1038" s="24"/>
      <c r="BR1038" s="43"/>
      <c r="BS1038" s="24"/>
      <c r="BT1038" s="24"/>
      <c r="BU1038" s="24"/>
      <c r="BV1038" s="132" t="e">
        <f>IF(#REF!="COMPLETO","OK","PENDIENTES")</f>
        <v>#REF!</v>
      </c>
      <c r="BW1038" s="325"/>
      <c r="BX1038" s="325"/>
      <c r="BY1038" s="325"/>
      <c r="BZ1038" s="325"/>
      <c r="CA1038" s="325"/>
      <c r="CB1038" s="325"/>
      <c r="CC1038" s="258"/>
      <c r="CG1038" s="24" t="s">
        <v>105</v>
      </c>
      <c r="CH1038" s="24"/>
      <c r="CI1038" s="24"/>
      <c r="CJ1038" s="24"/>
    </row>
    <row r="1039" spans="1:88" ht="15" customHeight="1">
      <c r="A1039" s="18">
        <v>2020</v>
      </c>
      <c r="B1039" s="18" t="str">
        <f>+INDEX(BDD!F:F,MATCH(P1039,BDD!D:D,0))&amp;"-"&amp;INDEX(BDD!E:E,MATCH(P1039,BDD!D:D,0))</f>
        <v>G-S</v>
      </c>
      <c r="C1039" s="125" t="s">
        <v>484</v>
      </c>
      <c r="D1039" s="150" t="s">
        <v>77</v>
      </c>
      <c r="E1039" s="132"/>
      <c r="F1039" s="24"/>
      <c r="G1039" s="346">
        <v>8000000894</v>
      </c>
      <c r="H1039" s="125" t="s">
        <v>4111</v>
      </c>
      <c r="I1039" s="329"/>
      <c r="J1039" s="346">
        <v>8000000894</v>
      </c>
      <c r="K1039" s="24"/>
      <c r="L1039" s="24"/>
      <c r="M1039" s="24"/>
      <c r="N1039" s="340" t="s">
        <v>486</v>
      </c>
      <c r="O1039" s="334">
        <v>203616</v>
      </c>
      <c r="P1039" s="25" t="s">
        <v>357</v>
      </c>
      <c r="Q1039" s="127" t="s">
        <v>273</v>
      </c>
      <c r="R1039" s="232" t="s">
        <v>4107</v>
      </c>
      <c r="S1039" s="89">
        <v>44015</v>
      </c>
      <c r="T1039" s="36">
        <v>120</v>
      </c>
      <c r="U1039" s="125" t="s">
        <v>118</v>
      </c>
      <c r="V1039" s="147" t="s">
        <v>4112</v>
      </c>
      <c r="W1039" s="129"/>
      <c r="X1039" s="88">
        <v>44104</v>
      </c>
      <c r="Y1039" s="130" t="s">
        <v>20</v>
      </c>
      <c r="Z1039" s="133" t="s">
        <v>60</v>
      </c>
      <c r="AA1039" s="133"/>
      <c r="AB1039" s="241">
        <v>1000</v>
      </c>
      <c r="AC1039" s="134">
        <v>123.22</v>
      </c>
      <c r="AD1039" s="134"/>
      <c r="AE1039" s="403">
        <f t="shared" si="58"/>
        <v>123220</v>
      </c>
      <c r="AF1039" s="145" t="s">
        <v>2822</v>
      </c>
      <c r="AG1039" s="130" t="s">
        <v>4109</v>
      </c>
      <c r="AH1039" s="130"/>
      <c r="AI1039" s="130" t="s">
        <v>100</v>
      </c>
      <c r="AJ1039" s="130"/>
      <c r="AK1039" s="130"/>
      <c r="AL1039" s="135" t="s">
        <v>3779</v>
      </c>
      <c r="AM1039" s="314"/>
      <c r="AN1039" s="26"/>
      <c r="AO1039" s="26"/>
      <c r="AP1039" s="26"/>
      <c r="AQ1039" s="26">
        <v>44035</v>
      </c>
      <c r="AR1039" s="24"/>
      <c r="AS1039" s="24"/>
      <c r="AT1039" s="26">
        <v>44036</v>
      </c>
      <c r="AU1039" s="418">
        <f t="shared" si="59"/>
        <v>7</v>
      </c>
      <c r="AV1039" s="418">
        <f t="shared" si="60"/>
        <v>2020</v>
      </c>
      <c r="AW1039" s="26"/>
      <c r="AX1039" s="28"/>
      <c r="AY1039" s="28" t="s">
        <v>3437</v>
      </c>
      <c r="AZ1039" s="132" t="s">
        <v>37</v>
      </c>
      <c r="BA1039" s="132"/>
      <c r="BB1039" s="24" t="s">
        <v>2956</v>
      </c>
      <c r="BC1039" s="135" t="s">
        <v>4113</v>
      </c>
      <c r="BD1039" s="24">
        <v>43990</v>
      </c>
      <c r="BE1039" s="135" t="s">
        <v>3852</v>
      </c>
      <c r="BF1039" s="135" t="s">
        <v>3852</v>
      </c>
      <c r="BG1039" s="135" t="s">
        <v>52</v>
      </c>
      <c r="BH1039" s="135"/>
      <c r="BI1039" s="314" t="s">
        <v>117</v>
      </c>
      <c r="BJ1039" s="314"/>
      <c r="BK1039" s="24"/>
      <c r="BL1039" s="24"/>
      <c r="BM1039" s="24"/>
      <c r="BN1039" s="24"/>
      <c r="BO1039" s="24"/>
      <c r="BP1039" s="24"/>
      <c r="BQ1039" s="24"/>
      <c r="BR1039" s="43"/>
      <c r="BS1039" s="24"/>
      <c r="BT1039" s="24"/>
      <c r="BU1039" s="24"/>
      <c r="BV1039" s="132" t="e">
        <f>IF(#REF!="COMPLETO","OK","PENDIENTES")</f>
        <v>#REF!</v>
      </c>
      <c r="BW1039" s="325"/>
      <c r="BX1039" s="325"/>
      <c r="BY1039" s="325"/>
      <c r="BZ1039" s="325"/>
      <c r="CA1039" s="325"/>
      <c r="CB1039" s="325"/>
      <c r="CC1039" s="258"/>
      <c r="CG1039" s="24" t="s">
        <v>105</v>
      </c>
      <c r="CH1039" s="24"/>
      <c r="CI1039" s="26"/>
      <c r="CJ1039" s="26"/>
    </row>
    <row r="1040" spans="1:88" ht="15" customHeight="1">
      <c r="A1040" s="18">
        <v>2020</v>
      </c>
      <c r="B1040" s="18" t="str">
        <f>+INDEX(BDD!F:F,MATCH(P1040,BDD!D:D,0))&amp;"-"&amp;INDEX(BDD!E:E,MATCH(P1040,BDD!D:D,0))</f>
        <v>G-S</v>
      </c>
      <c r="C1040" s="125" t="s">
        <v>484</v>
      </c>
      <c r="D1040" s="150" t="s">
        <v>77</v>
      </c>
      <c r="E1040" s="132"/>
      <c r="F1040" s="24"/>
      <c r="G1040" s="346">
        <v>8000000904</v>
      </c>
      <c r="H1040" s="125" t="s">
        <v>4114</v>
      </c>
      <c r="I1040" s="329"/>
      <c r="J1040" s="346">
        <v>8000000904</v>
      </c>
      <c r="K1040" s="24"/>
      <c r="L1040" s="24"/>
      <c r="M1040" s="24"/>
      <c r="N1040" s="340" t="s">
        <v>486</v>
      </c>
      <c r="O1040" s="334">
        <v>203616</v>
      </c>
      <c r="P1040" s="25" t="s">
        <v>357</v>
      </c>
      <c r="Q1040" s="127" t="s">
        <v>273</v>
      </c>
      <c r="R1040" s="232" t="s">
        <v>4107</v>
      </c>
      <c r="S1040" s="89">
        <v>44015</v>
      </c>
      <c r="T1040" s="36">
        <v>120</v>
      </c>
      <c r="U1040" s="125" t="s">
        <v>118</v>
      </c>
      <c r="V1040" s="147" t="s">
        <v>4115</v>
      </c>
      <c r="W1040" s="129"/>
      <c r="X1040" s="88">
        <v>44104</v>
      </c>
      <c r="Y1040" s="130" t="s">
        <v>20</v>
      </c>
      <c r="Z1040" s="133" t="s">
        <v>60</v>
      </c>
      <c r="AA1040" s="133"/>
      <c r="AB1040" s="241">
        <v>200</v>
      </c>
      <c r="AC1040" s="134">
        <v>123.22</v>
      </c>
      <c r="AD1040" s="134"/>
      <c r="AE1040" s="403">
        <f t="shared" si="58"/>
        <v>24644</v>
      </c>
      <c r="AF1040" s="145" t="s">
        <v>2822</v>
      </c>
      <c r="AG1040" s="130" t="s">
        <v>4109</v>
      </c>
      <c r="AH1040" s="130"/>
      <c r="AI1040" s="130" t="s">
        <v>100</v>
      </c>
      <c r="AJ1040" s="130"/>
      <c r="AK1040" s="130"/>
      <c r="AL1040" s="135" t="s">
        <v>3779</v>
      </c>
      <c r="AM1040" s="314"/>
      <c r="AN1040" s="26"/>
      <c r="AO1040" s="26"/>
      <c r="AP1040" s="26"/>
      <c r="AQ1040" s="26">
        <v>44037</v>
      </c>
      <c r="AR1040" s="24"/>
      <c r="AS1040" s="24"/>
      <c r="AT1040" s="24">
        <v>44038</v>
      </c>
      <c r="AU1040" s="418">
        <f t="shared" si="59"/>
        <v>7</v>
      </c>
      <c r="AV1040" s="418">
        <f t="shared" si="60"/>
        <v>2020</v>
      </c>
      <c r="AW1040" s="24"/>
      <c r="AX1040" s="28"/>
      <c r="AY1040" s="28" t="s">
        <v>3437</v>
      </c>
      <c r="AZ1040" s="132" t="s">
        <v>50</v>
      </c>
      <c r="BA1040" s="132"/>
      <c r="BB1040" s="24" t="s">
        <v>2956</v>
      </c>
      <c r="BC1040" s="135" t="s">
        <v>4116</v>
      </c>
      <c r="BD1040" s="24">
        <v>43990</v>
      </c>
      <c r="BE1040" s="135" t="s">
        <v>3852</v>
      </c>
      <c r="BF1040" s="135" t="s">
        <v>3852</v>
      </c>
      <c r="BG1040" s="135" t="s">
        <v>52</v>
      </c>
      <c r="BH1040" s="135"/>
      <c r="BI1040" s="314" t="s">
        <v>117</v>
      </c>
      <c r="BJ1040" s="314"/>
      <c r="BK1040" s="24"/>
      <c r="BL1040" s="24"/>
      <c r="BM1040" s="24"/>
      <c r="BN1040" s="24"/>
      <c r="BO1040" s="24"/>
      <c r="BP1040" s="24"/>
      <c r="BQ1040" s="24"/>
      <c r="BR1040" s="43"/>
      <c r="BS1040" s="24"/>
      <c r="BT1040" s="24"/>
      <c r="BU1040" s="24"/>
      <c r="BV1040" s="132" t="e">
        <f>IF(#REF!="COMPLETO","OK","PENDIENTES")</f>
        <v>#REF!</v>
      </c>
      <c r="BW1040" s="325"/>
      <c r="BX1040" s="325"/>
      <c r="BY1040" s="325"/>
      <c r="BZ1040" s="325"/>
      <c r="CA1040" s="325"/>
      <c r="CB1040" s="325"/>
      <c r="CC1040" s="258"/>
      <c r="CG1040" s="24" t="s">
        <v>105</v>
      </c>
      <c r="CH1040" s="24"/>
      <c r="CI1040" s="24"/>
      <c r="CJ1040" s="24"/>
    </row>
    <row r="1041" spans="1:88" ht="15" customHeight="1">
      <c r="A1041" s="18">
        <v>2020</v>
      </c>
      <c r="B1041" s="18" t="str">
        <f>+INDEX(BDD!F:F,MATCH(P1041,BDD!D:D,0))&amp;"-"&amp;INDEX(BDD!E:E,MATCH(P1041,BDD!D:D,0))</f>
        <v>G-S</v>
      </c>
      <c r="C1041" s="125" t="s">
        <v>484</v>
      </c>
      <c r="D1041" s="150" t="s">
        <v>77</v>
      </c>
      <c r="E1041" s="132"/>
      <c r="F1041" s="24"/>
      <c r="G1041" s="346">
        <v>8000000877</v>
      </c>
      <c r="H1041" s="125" t="s">
        <v>4117</v>
      </c>
      <c r="I1041" s="329"/>
      <c r="J1041" s="346">
        <v>8000000877</v>
      </c>
      <c r="K1041" s="24"/>
      <c r="L1041" s="24"/>
      <c r="M1041" s="24"/>
      <c r="N1041" s="340" t="s">
        <v>486</v>
      </c>
      <c r="O1041" s="334">
        <v>206569</v>
      </c>
      <c r="P1041" s="25" t="s">
        <v>142</v>
      </c>
      <c r="Q1041" s="127" t="s">
        <v>273</v>
      </c>
      <c r="R1041" s="232" t="s">
        <v>4107</v>
      </c>
      <c r="S1041" s="89">
        <v>44015</v>
      </c>
      <c r="T1041" s="36">
        <v>120</v>
      </c>
      <c r="U1041" s="125" t="s">
        <v>118</v>
      </c>
      <c r="V1041" s="147" t="s">
        <v>4118</v>
      </c>
      <c r="W1041" s="129"/>
      <c r="X1041" s="88">
        <v>44104</v>
      </c>
      <c r="Y1041" s="130" t="s">
        <v>20</v>
      </c>
      <c r="Z1041" s="133" t="s">
        <v>60</v>
      </c>
      <c r="AA1041" s="133"/>
      <c r="AB1041" s="241">
        <v>300</v>
      </c>
      <c r="AC1041" s="134">
        <v>338.6</v>
      </c>
      <c r="AD1041" s="134"/>
      <c r="AE1041" s="403">
        <f t="shared" si="58"/>
        <v>101580</v>
      </c>
      <c r="AF1041" s="145" t="s">
        <v>2822</v>
      </c>
      <c r="AG1041" s="130" t="s">
        <v>4109</v>
      </c>
      <c r="AH1041" s="130"/>
      <c r="AI1041" s="130" t="s">
        <v>100</v>
      </c>
      <c r="AJ1041" s="130"/>
      <c r="AK1041" s="130"/>
      <c r="AL1041" s="135" t="s">
        <v>3779</v>
      </c>
      <c r="AM1041" s="314"/>
      <c r="AN1041" s="26"/>
      <c r="AO1041" s="26"/>
      <c r="AP1041" s="26"/>
      <c r="AQ1041" s="26">
        <v>44029</v>
      </c>
      <c r="AR1041" s="24"/>
      <c r="AS1041" s="24"/>
      <c r="AT1041" s="24">
        <v>44030</v>
      </c>
      <c r="AU1041" s="418">
        <f t="shared" si="59"/>
        <v>7</v>
      </c>
      <c r="AV1041" s="418">
        <f t="shared" si="60"/>
        <v>2020</v>
      </c>
      <c r="AW1041" s="24"/>
      <c r="AX1041" s="28"/>
      <c r="AY1041" s="28" t="s">
        <v>3437</v>
      </c>
      <c r="AZ1041" s="132" t="s">
        <v>9</v>
      </c>
      <c r="BA1041" s="132"/>
      <c r="BB1041" s="24" t="s">
        <v>3519</v>
      </c>
      <c r="BC1041" s="135">
        <v>10</v>
      </c>
      <c r="BD1041" s="24">
        <v>43990</v>
      </c>
      <c r="BE1041" s="135" t="s">
        <v>3852</v>
      </c>
      <c r="BF1041" s="135" t="s">
        <v>3852</v>
      </c>
      <c r="BG1041" s="135" t="s">
        <v>52</v>
      </c>
      <c r="BH1041" s="135"/>
      <c r="BI1041" s="314" t="s">
        <v>117</v>
      </c>
      <c r="BJ1041" s="314"/>
      <c r="BK1041" s="24"/>
      <c r="BL1041" s="24"/>
      <c r="BM1041" s="24"/>
      <c r="BN1041" s="24"/>
      <c r="BO1041" s="24"/>
      <c r="BP1041" s="24"/>
      <c r="BQ1041" s="24"/>
      <c r="BR1041" s="43"/>
      <c r="BS1041" s="24"/>
      <c r="BT1041" s="24"/>
      <c r="BU1041" s="24"/>
      <c r="BV1041" s="132" t="e">
        <f>IF(#REF!="COMPLETO","OK","PENDIENTES")</f>
        <v>#REF!</v>
      </c>
      <c r="BW1041" s="325"/>
      <c r="BX1041" s="325"/>
      <c r="BY1041" s="325"/>
      <c r="BZ1041" s="325"/>
      <c r="CA1041" s="325"/>
      <c r="CB1041" s="325"/>
      <c r="CC1041" s="258"/>
      <c r="CG1041" s="24" t="s">
        <v>105</v>
      </c>
      <c r="CH1041" s="24"/>
      <c r="CI1041" s="24"/>
      <c r="CJ1041" s="24"/>
    </row>
    <row r="1042" spans="1:88" ht="15" customHeight="1">
      <c r="A1042" s="18">
        <v>2020</v>
      </c>
      <c r="B1042" s="18" t="str">
        <f>+INDEX(BDD!F:F,MATCH(P1042,BDD!D:D,0))&amp;"-"&amp;INDEX(BDD!E:E,MATCH(P1042,BDD!D:D,0))</f>
        <v>G-S</v>
      </c>
      <c r="C1042" s="125" t="s">
        <v>484</v>
      </c>
      <c r="D1042" s="150" t="s">
        <v>77</v>
      </c>
      <c r="E1042" s="132"/>
      <c r="F1042" s="24"/>
      <c r="G1042" s="346">
        <v>8000000895</v>
      </c>
      <c r="H1042" s="125" t="s">
        <v>4119</v>
      </c>
      <c r="I1042" s="329"/>
      <c r="J1042" s="346">
        <v>8000000895</v>
      </c>
      <c r="K1042" s="24"/>
      <c r="L1042" s="24"/>
      <c r="M1042" s="24"/>
      <c r="N1042" s="340" t="s">
        <v>486</v>
      </c>
      <c r="O1042" s="334">
        <v>206569</v>
      </c>
      <c r="P1042" s="25" t="s">
        <v>142</v>
      </c>
      <c r="Q1042" s="127" t="s">
        <v>273</v>
      </c>
      <c r="R1042" s="232" t="s">
        <v>4107</v>
      </c>
      <c r="S1042" s="89">
        <v>44015</v>
      </c>
      <c r="T1042" s="36">
        <v>120</v>
      </c>
      <c r="U1042" s="125" t="s">
        <v>118</v>
      </c>
      <c r="V1042" s="147" t="s">
        <v>4120</v>
      </c>
      <c r="W1042" s="129"/>
      <c r="X1042" s="88">
        <v>44104</v>
      </c>
      <c r="Y1042" s="130" t="s">
        <v>20</v>
      </c>
      <c r="Z1042" s="133" t="s">
        <v>60</v>
      </c>
      <c r="AA1042" s="133"/>
      <c r="AB1042" s="241">
        <v>400</v>
      </c>
      <c r="AC1042" s="134">
        <v>338.6</v>
      </c>
      <c r="AD1042" s="134"/>
      <c r="AE1042" s="403">
        <f t="shared" si="58"/>
        <v>135440</v>
      </c>
      <c r="AF1042" s="145" t="s">
        <v>2822</v>
      </c>
      <c r="AG1042" s="130" t="s">
        <v>4109</v>
      </c>
      <c r="AH1042" s="130"/>
      <c r="AI1042" s="130" t="s">
        <v>100</v>
      </c>
      <c r="AJ1042" s="130"/>
      <c r="AK1042" s="130"/>
      <c r="AL1042" s="135" t="s">
        <v>3779</v>
      </c>
      <c r="AM1042" s="314"/>
      <c r="AN1042" s="26"/>
      <c r="AO1042" s="26"/>
      <c r="AP1042" s="26"/>
      <c r="AQ1042" s="26">
        <v>44035</v>
      </c>
      <c r="AR1042" s="24"/>
      <c r="AS1042" s="24"/>
      <c r="AT1042" s="26">
        <v>44036</v>
      </c>
      <c r="AU1042" s="418">
        <f t="shared" si="59"/>
        <v>7</v>
      </c>
      <c r="AV1042" s="418">
        <f t="shared" si="60"/>
        <v>2020</v>
      </c>
      <c r="AW1042" s="26"/>
      <c r="AX1042" s="28"/>
      <c r="AY1042" s="28" t="s">
        <v>3437</v>
      </c>
      <c r="AZ1042" s="132" t="s">
        <v>37</v>
      </c>
      <c r="BA1042" s="132"/>
      <c r="BB1042" s="24" t="s">
        <v>2956</v>
      </c>
      <c r="BC1042" s="135">
        <v>11</v>
      </c>
      <c r="BD1042" s="24">
        <v>43990</v>
      </c>
      <c r="BE1042" s="135" t="s">
        <v>3852</v>
      </c>
      <c r="BF1042" s="135" t="s">
        <v>3852</v>
      </c>
      <c r="BG1042" s="135" t="s">
        <v>52</v>
      </c>
      <c r="BH1042" s="135"/>
      <c r="BI1042" s="314" t="s">
        <v>117</v>
      </c>
      <c r="BJ1042" s="314"/>
      <c r="BK1042" s="24"/>
      <c r="BL1042" s="24"/>
      <c r="BM1042" s="24"/>
      <c r="BN1042" s="24"/>
      <c r="BO1042" s="24"/>
      <c r="BP1042" s="24"/>
      <c r="BQ1042" s="24"/>
      <c r="BR1042" s="43"/>
      <c r="BS1042" s="24"/>
      <c r="BT1042" s="24"/>
      <c r="BU1042" s="24"/>
      <c r="BV1042" s="132" t="e">
        <f>IF(#REF!="COMPLETO","OK","PENDIENTES")</f>
        <v>#REF!</v>
      </c>
      <c r="BW1042" s="325"/>
      <c r="BX1042" s="325"/>
      <c r="BY1042" s="325"/>
      <c r="BZ1042" s="325"/>
      <c r="CA1042" s="325"/>
      <c r="CB1042" s="325"/>
      <c r="CC1042" s="258"/>
      <c r="CG1042" s="24" t="s">
        <v>105</v>
      </c>
      <c r="CH1042" s="24"/>
      <c r="CI1042" s="26"/>
      <c r="CJ1042" s="26"/>
    </row>
    <row r="1043" spans="1:88" ht="15" customHeight="1">
      <c r="A1043" s="18">
        <v>2020</v>
      </c>
      <c r="B1043" s="18" t="str">
        <f>+INDEX(BDD!F:F,MATCH(P1043,BDD!D:D,0))&amp;"-"&amp;INDEX(BDD!E:E,MATCH(P1043,BDD!D:D,0))</f>
        <v>G-S</v>
      </c>
      <c r="C1043" s="125" t="s">
        <v>484</v>
      </c>
      <c r="D1043" s="150" t="s">
        <v>77</v>
      </c>
      <c r="E1043" s="132"/>
      <c r="F1043" s="24"/>
      <c r="G1043" s="346">
        <v>8000000905</v>
      </c>
      <c r="H1043" s="125" t="s">
        <v>4121</v>
      </c>
      <c r="I1043" s="329"/>
      <c r="J1043" s="346">
        <v>8000000905</v>
      </c>
      <c r="K1043" s="24"/>
      <c r="L1043" s="24"/>
      <c r="M1043" s="24"/>
      <c r="N1043" s="340" t="s">
        <v>486</v>
      </c>
      <c r="O1043" s="334">
        <v>206569</v>
      </c>
      <c r="P1043" s="25" t="s">
        <v>142</v>
      </c>
      <c r="Q1043" s="127" t="s">
        <v>273</v>
      </c>
      <c r="R1043" s="232" t="s">
        <v>4107</v>
      </c>
      <c r="S1043" s="89">
        <v>44015</v>
      </c>
      <c r="T1043" s="36">
        <v>120</v>
      </c>
      <c r="U1043" s="125" t="s">
        <v>118</v>
      </c>
      <c r="V1043" s="147" t="s">
        <v>4122</v>
      </c>
      <c r="W1043" s="129"/>
      <c r="X1043" s="88">
        <v>44104</v>
      </c>
      <c r="Y1043" s="130" t="s">
        <v>20</v>
      </c>
      <c r="Z1043" s="133" t="s">
        <v>60</v>
      </c>
      <c r="AA1043" s="133"/>
      <c r="AB1043" s="241">
        <v>350</v>
      </c>
      <c r="AC1043" s="134">
        <v>338.6</v>
      </c>
      <c r="AD1043" s="134"/>
      <c r="AE1043" s="403">
        <f t="shared" si="58"/>
        <v>118510.00000000001</v>
      </c>
      <c r="AF1043" s="145" t="s">
        <v>2822</v>
      </c>
      <c r="AG1043" s="130" t="s">
        <v>4109</v>
      </c>
      <c r="AH1043" s="130"/>
      <c r="AI1043" s="130" t="s">
        <v>100</v>
      </c>
      <c r="AJ1043" s="130"/>
      <c r="AK1043" s="130"/>
      <c r="AL1043" s="135" t="s">
        <v>3779</v>
      </c>
      <c r="AM1043" s="314"/>
      <c r="AN1043" s="26"/>
      <c r="AO1043" s="26"/>
      <c r="AP1043" s="26"/>
      <c r="AQ1043" s="26">
        <v>44037</v>
      </c>
      <c r="AR1043" s="24"/>
      <c r="AS1043" s="24"/>
      <c r="AT1043" s="24">
        <v>44038</v>
      </c>
      <c r="AU1043" s="418">
        <f t="shared" si="59"/>
        <v>7</v>
      </c>
      <c r="AV1043" s="418">
        <f t="shared" si="60"/>
        <v>2020</v>
      </c>
      <c r="AW1043" s="24"/>
      <c r="AX1043" s="28"/>
      <c r="AY1043" s="28" t="s">
        <v>3437</v>
      </c>
      <c r="AZ1043" s="132" t="s">
        <v>50</v>
      </c>
      <c r="BA1043" s="132"/>
      <c r="BB1043" s="24" t="s">
        <v>2956</v>
      </c>
      <c r="BC1043" s="135">
        <v>12</v>
      </c>
      <c r="BD1043" s="24">
        <v>43990</v>
      </c>
      <c r="BE1043" s="135" t="s">
        <v>3852</v>
      </c>
      <c r="BF1043" s="135" t="s">
        <v>3852</v>
      </c>
      <c r="BG1043" s="135" t="s">
        <v>52</v>
      </c>
      <c r="BH1043" s="135"/>
      <c r="BI1043" s="314" t="s">
        <v>117</v>
      </c>
      <c r="BJ1043" s="314"/>
      <c r="BK1043" s="24"/>
      <c r="BL1043" s="24"/>
      <c r="BM1043" s="24"/>
      <c r="BN1043" s="24"/>
      <c r="BO1043" s="24"/>
      <c r="BP1043" s="24"/>
      <c r="BQ1043" s="24"/>
      <c r="BR1043" s="43"/>
      <c r="BS1043" s="24"/>
      <c r="BT1043" s="24"/>
      <c r="BU1043" s="24"/>
      <c r="BV1043" s="132" t="e">
        <f>IF(#REF!="COMPLETO","OK","PENDIENTES")</f>
        <v>#REF!</v>
      </c>
      <c r="BW1043" s="325"/>
      <c r="BX1043" s="325"/>
      <c r="BY1043" s="325"/>
      <c r="BZ1043" s="325"/>
      <c r="CA1043" s="325"/>
      <c r="CB1043" s="325"/>
      <c r="CC1043" s="258"/>
      <c r="CG1043" s="24" t="s">
        <v>105</v>
      </c>
      <c r="CH1043" s="24"/>
      <c r="CI1043" s="24"/>
      <c r="CJ1043" s="24"/>
    </row>
    <row r="1044" spans="1:88" ht="15" customHeight="1">
      <c r="A1044" s="18">
        <v>2020</v>
      </c>
      <c r="B1044" s="18" t="str">
        <f>+INDEX(BDD!F:F,MATCH(P1044,BDD!D:D,0))&amp;"-"&amp;INDEX(BDD!E:E,MATCH(P1044,BDD!D:D,0))</f>
        <v>G-S</v>
      </c>
      <c r="C1044" s="125" t="s">
        <v>484</v>
      </c>
      <c r="D1044" s="150" t="s">
        <v>77</v>
      </c>
      <c r="E1044" s="132"/>
      <c r="F1044" s="24"/>
      <c r="G1044" s="346">
        <v>8000000901</v>
      </c>
      <c r="H1044" s="125" t="s">
        <v>4123</v>
      </c>
      <c r="I1044" s="329"/>
      <c r="J1044" s="346">
        <v>8000000901</v>
      </c>
      <c r="K1044" s="24"/>
      <c r="L1044" s="24"/>
      <c r="M1044" s="24"/>
      <c r="N1044" s="340" t="s">
        <v>486</v>
      </c>
      <c r="O1044" s="334">
        <v>206569</v>
      </c>
      <c r="P1044" s="25" t="s">
        <v>142</v>
      </c>
      <c r="Q1044" s="127" t="s">
        <v>273</v>
      </c>
      <c r="R1044" s="232" t="s">
        <v>4107</v>
      </c>
      <c r="S1044" s="89">
        <v>44015</v>
      </c>
      <c r="T1044" s="36">
        <v>120</v>
      </c>
      <c r="U1044" s="125" t="s">
        <v>118</v>
      </c>
      <c r="V1044" s="147" t="s">
        <v>4124</v>
      </c>
      <c r="W1044" s="129"/>
      <c r="X1044" s="88">
        <v>44104</v>
      </c>
      <c r="Y1044" s="130" t="s">
        <v>20</v>
      </c>
      <c r="Z1044" s="133" t="s">
        <v>60</v>
      </c>
      <c r="AA1044" s="133"/>
      <c r="AB1044" s="241">
        <v>450</v>
      </c>
      <c r="AC1044" s="134">
        <v>338.6</v>
      </c>
      <c r="AD1044" s="134"/>
      <c r="AE1044" s="403">
        <f t="shared" si="58"/>
        <v>152370</v>
      </c>
      <c r="AF1044" s="145" t="s">
        <v>2822</v>
      </c>
      <c r="AG1044" s="130" t="s">
        <v>4109</v>
      </c>
      <c r="AH1044" s="130"/>
      <c r="AI1044" s="130" t="s">
        <v>100</v>
      </c>
      <c r="AJ1044" s="130"/>
      <c r="AK1044" s="130"/>
      <c r="AL1044" s="135" t="s">
        <v>3779</v>
      </c>
      <c r="AM1044" s="314"/>
      <c r="AN1044" s="26"/>
      <c r="AO1044" s="26"/>
      <c r="AP1044" s="26"/>
      <c r="AQ1044" s="26">
        <v>44039</v>
      </c>
      <c r="AR1044" s="24"/>
      <c r="AS1044" s="24"/>
      <c r="AT1044" s="24">
        <v>44041</v>
      </c>
      <c r="AU1044" s="418">
        <f t="shared" si="59"/>
        <v>7</v>
      </c>
      <c r="AV1044" s="418">
        <f t="shared" si="60"/>
        <v>2020</v>
      </c>
      <c r="AW1044" s="24"/>
      <c r="AX1044" s="28"/>
      <c r="AY1044" s="28" t="s">
        <v>3437</v>
      </c>
      <c r="AZ1044" s="132" t="s">
        <v>62</v>
      </c>
      <c r="BA1044" s="132"/>
      <c r="BB1044" s="24" t="s">
        <v>3264</v>
      </c>
      <c r="BC1044" s="135">
        <v>13</v>
      </c>
      <c r="BD1044" s="24">
        <v>43990</v>
      </c>
      <c r="BE1044" s="135" t="s">
        <v>3852</v>
      </c>
      <c r="BF1044" s="135" t="s">
        <v>3852</v>
      </c>
      <c r="BG1044" s="135" t="s">
        <v>52</v>
      </c>
      <c r="BH1044" s="135"/>
      <c r="BI1044" s="314" t="s">
        <v>117</v>
      </c>
      <c r="BJ1044" s="314"/>
      <c r="BK1044" s="24"/>
      <c r="BL1044" s="24"/>
      <c r="BM1044" s="24"/>
      <c r="BN1044" s="24"/>
      <c r="BO1044" s="24"/>
      <c r="BP1044" s="24"/>
      <c r="BQ1044" s="24"/>
      <c r="BR1044" s="43"/>
      <c r="BS1044" s="24"/>
      <c r="BT1044" s="24"/>
      <c r="BU1044" s="24"/>
      <c r="BV1044" s="132" t="e">
        <f>IF(#REF!="COMPLETO","OK","PENDIENTES")</f>
        <v>#REF!</v>
      </c>
      <c r="BW1044" s="325"/>
      <c r="BX1044" s="325"/>
      <c r="BY1044" s="325"/>
      <c r="BZ1044" s="325"/>
      <c r="CA1044" s="325"/>
      <c r="CB1044" s="325"/>
      <c r="CC1044" s="258"/>
      <c r="CG1044" s="24" t="s">
        <v>105</v>
      </c>
      <c r="CH1044" s="24"/>
      <c r="CI1044" s="24"/>
      <c r="CJ1044" s="24"/>
    </row>
    <row r="1045" spans="1:88" ht="15" customHeight="1">
      <c r="A1045" s="18">
        <v>2020</v>
      </c>
      <c r="B1045" s="18" t="str">
        <f>+INDEX(BDD!F:F,MATCH(P1045,BDD!D:D,0))&amp;"-"&amp;INDEX(BDD!E:E,MATCH(P1045,BDD!D:D,0))</f>
        <v>G-C</v>
      </c>
      <c r="C1045" s="125" t="s">
        <v>484</v>
      </c>
      <c r="D1045" s="150" t="s">
        <v>77</v>
      </c>
      <c r="E1045" s="132"/>
      <c r="F1045" s="24"/>
      <c r="G1045" s="346">
        <v>8000000982</v>
      </c>
      <c r="H1045" s="125" t="s">
        <v>4125</v>
      </c>
      <c r="I1045" s="329"/>
      <c r="J1045" s="346">
        <v>8000000982</v>
      </c>
      <c r="K1045" s="24"/>
      <c r="L1045" s="24"/>
      <c r="M1045" s="24"/>
      <c r="N1045" s="340" t="s">
        <v>486</v>
      </c>
      <c r="O1045" s="334">
        <v>206573</v>
      </c>
      <c r="P1045" s="25" t="s">
        <v>226</v>
      </c>
      <c r="Q1045" s="127" t="s">
        <v>291</v>
      </c>
      <c r="R1045" s="232" t="s">
        <v>4126</v>
      </c>
      <c r="S1045" s="89">
        <v>44028</v>
      </c>
      <c r="T1045" s="36">
        <v>150</v>
      </c>
      <c r="U1045" s="125" t="s">
        <v>118</v>
      </c>
      <c r="V1045" s="147" t="s">
        <v>4127</v>
      </c>
      <c r="W1045" s="129"/>
      <c r="X1045" s="88">
        <f t="shared" ref="X1045:X1053" si="61">+BD1045+T1045</f>
        <v>44202</v>
      </c>
      <c r="Y1045" s="130" t="s">
        <v>20</v>
      </c>
      <c r="Z1045" s="133" t="s">
        <v>60</v>
      </c>
      <c r="AA1045" s="133"/>
      <c r="AB1045" s="241">
        <v>1130</v>
      </c>
      <c r="AC1045" s="134">
        <v>218.6</v>
      </c>
      <c r="AD1045" s="134"/>
      <c r="AE1045" s="403">
        <f t="shared" si="58"/>
        <v>247018</v>
      </c>
      <c r="AF1045" s="145" t="s">
        <v>2822</v>
      </c>
      <c r="AG1045" s="130" t="s">
        <v>4109</v>
      </c>
      <c r="AH1045" s="130"/>
      <c r="AI1045" s="130" t="s">
        <v>100</v>
      </c>
      <c r="AJ1045" s="130"/>
      <c r="AK1045" s="130"/>
      <c r="AL1045" s="135" t="s">
        <v>3961</v>
      </c>
      <c r="AM1045" s="314"/>
      <c r="AN1045" s="26"/>
      <c r="AO1045" s="26"/>
      <c r="AP1045" s="26"/>
      <c r="AQ1045" s="26">
        <v>44084</v>
      </c>
      <c r="AR1045" s="41"/>
      <c r="AS1045" s="41"/>
      <c r="AT1045" s="24">
        <v>44085</v>
      </c>
      <c r="AU1045" s="418">
        <f t="shared" si="59"/>
        <v>9</v>
      </c>
      <c r="AV1045" s="418">
        <f t="shared" si="60"/>
        <v>2020</v>
      </c>
      <c r="AW1045" s="24"/>
      <c r="AX1045" s="28"/>
      <c r="AY1045" s="28" t="s">
        <v>269</v>
      </c>
      <c r="AZ1045" s="132" t="s">
        <v>9</v>
      </c>
      <c r="BA1045" s="132"/>
      <c r="BB1045" s="24" t="s">
        <v>2956</v>
      </c>
      <c r="BC1045" s="135">
        <v>6</v>
      </c>
      <c r="BD1045" s="24">
        <v>44052</v>
      </c>
      <c r="BE1045" s="135" t="s">
        <v>546</v>
      </c>
      <c r="BF1045" s="135" t="s">
        <v>546</v>
      </c>
      <c r="BG1045" s="135" t="s">
        <v>52</v>
      </c>
      <c r="BH1045" s="135"/>
      <c r="BI1045" s="314" t="s">
        <v>117</v>
      </c>
      <c r="BJ1045" s="314" t="s">
        <v>143</v>
      </c>
      <c r="BK1045" s="24"/>
      <c r="BL1045" s="24"/>
      <c r="BM1045" s="24"/>
      <c r="BN1045" s="24"/>
      <c r="BO1045" s="41">
        <f>AQ1045-BD1045</f>
        <v>32</v>
      </c>
      <c r="BP1045" s="41"/>
      <c r="BQ1045" s="41"/>
      <c r="BR1045" s="43"/>
      <c r="BS1045" s="41"/>
      <c r="BT1045" s="41"/>
      <c r="BU1045" s="41"/>
      <c r="BV1045" s="132" t="e">
        <f>IF(#REF!="COMPLETO","OK","PENDIENTES")</f>
        <v>#REF!</v>
      </c>
      <c r="BW1045" s="325"/>
      <c r="BX1045" s="325"/>
      <c r="BY1045" s="325"/>
      <c r="BZ1045" s="325"/>
      <c r="CA1045" s="325"/>
      <c r="CB1045" s="325"/>
      <c r="CC1045" s="258"/>
      <c r="CG1045" s="24" t="s">
        <v>105</v>
      </c>
      <c r="CH1045" s="24"/>
      <c r="CI1045" s="24"/>
      <c r="CJ1045" s="24"/>
    </row>
    <row r="1046" spans="1:88" ht="15" customHeight="1">
      <c r="A1046" s="18">
        <v>2020</v>
      </c>
      <c r="B1046" s="18" t="str">
        <f>+INDEX(BDD!F:F,MATCH(P1046,BDD!D:D,0))&amp;"-"&amp;INDEX(BDD!E:E,MATCH(P1046,BDD!D:D,0))</f>
        <v>G-C</v>
      </c>
      <c r="C1046" s="125" t="s">
        <v>484</v>
      </c>
      <c r="D1046" s="150" t="s">
        <v>77</v>
      </c>
      <c r="E1046" s="132"/>
      <c r="F1046" s="24"/>
      <c r="G1046" s="346">
        <v>8000000983</v>
      </c>
      <c r="H1046" s="125" t="s">
        <v>4128</v>
      </c>
      <c r="I1046" s="329"/>
      <c r="J1046" s="346">
        <v>8000000983</v>
      </c>
      <c r="K1046" s="24"/>
      <c r="L1046" s="24"/>
      <c r="M1046" s="24"/>
      <c r="N1046" s="340" t="s">
        <v>486</v>
      </c>
      <c r="O1046" s="334">
        <v>206573</v>
      </c>
      <c r="P1046" s="25" t="s">
        <v>226</v>
      </c>
      <c r="Q1046" s="127" t="s">
        <v>291</v>
      </c>
      <c r="R1046" s="232" t="s">
        <v>4126</v>
      </c>
      <c r="S1046" s="89">
        <v>44028</v>
      </c>
      <c r="T1046" s="36">
        <v>150</v>
      </c>
      <c r="U1046" s="125" t="s">
        <v>118</v>
      </c>
      <c r="V1046" s="147" t="s">
        <v>4129</v>
      </c>
      <c r="W1046" s="129"/>
      <c r="X1046" s="88">
        <f t="shared" si="61"/>
        <v>44202</v>
      </c>
      <c r="Y1046" s="130" t="s">
        <v>20</v>
      </c>
      <c r="Z1046" s="133" t="s">
        <v>60</v>
      </c>
      <c r="AA1046" s="133"/>
      <c r="AB1046" s="241">
        <v>2880</v>
      </c>
      <c r="AC1046" s="134">
        <v>218.6</v>
      </c>
      <c r="AD1046" s="134"/>
      <c r="AE1046" s="403">
        <f t="shared" si="58"/>
        <v>629568</v>
      </c>
      <c r="AF1046" s="145" t="s">
        <v>2822</v>
      </c>
      <c r="AG1046" s="130" t="s">
        <v>4109</v>
      </c>
      <c r="AH1046" s="130"/>
      <c r="AI1046" s="130" t="s">
        <v>100</v>
      </c>
      <c r="AJ1046" s="130"/>
      <c r="AK1046" s="130"/>
      <c r="AL1046" s="135" t="s">
        <v>3961</v>
      </c>
      <c r="AM1046" s="314"/>
      <c r="AN1046" s="26"/>
      <c r="AO1046" s="26"/>
      <c r="AP1046" s="26"/>
      <c r="AQ1046" s="26">
        <v>44087</v>
      </c>
      <c r="AR1046" s="41"/>
      <c r="AS1046" s="41"/>
      <c r="AT1046" s="24">
        <v>44087</v>
      </c>
      <c r="AU1046" s="418">
        <f t="shared" si="59"/>
        <v>9</v>
      </c>
      <c r="AV1046" s="418">
        <f t="shared" si="60"/>
        <v>2020</v>
      </c>
      <c r="AW1046" s="24"/>
      <c r="AX1046" s="28"/>
      <c r="AY1046" s="28" t="s">
        <v>269</v>
      </c>
      <c r="AZ1046" s="132" t="s">
        <v>25</v>
      </c>
      <c r="BA1046" s="132"/>
      <c r="BB1046" s="24" t="s">
        <v>2956</v>
      </c>
      <c r="BC1046" s="135">
        <v>7</v>
      </c>
      <c r="BD1046" s="24">
        <v>44052</v>
      </c>
      <c r="BE1046" s="135" t="s">
        <v>546</v>
      </c>
      <c r="BF1046" s="135" t="s">
        <v>546</v>
      </c>
      <c r="BG1046" s="135" t="s">
        <v>52</v>
      </c>
      <c r="BH1046" s="135"/>
      <c r="BI1046" s="314" t="s">
        <v>117</v>
      </c>
      <c r="BJ1046" s="314" t="s">
        <v>143</v>
      </c>
      <c r="BK1046" s="24"/>
      <c r="BL1046" s="24"/>
      <c r="BM1046" s="24"/>
      <c r="BN1046" s="24"/>
      <c r="BO1046" s="41">
        <f>AQ1046-BD1046</f>
        <v>35</v>
      </c>
      <c r="BP1046" s="41"/>
      <c r="BQ1046" s="41"/>
      <c r="BR1046" s="43"/>
      <c r="BS1046" s="41"/>
      <c r="BT1046" s="41"/>
      <c r="BU1046" s="41"/>
      <c r="BV1046" s="132" t="e">
        <f>IF(#REF!="COMPLETO","OK","PENDIENTES")</f>
        <v>#REF!</v>
      </c>
      <c r="BW1046" s="325"/>
      <c r="BX1046" s="325"/>
      <c r="BY1046" s="325"/>
      <c r="BZ1046" s="325"/>
      <c r="CA1046" s="325"/>
      <c r="CB1046" s="325"/>
      <c r="CC1046" s="258"/>
      <c r="CG1046" s="24" t="s">
        <v>105</v>
      </c>
      <c r="CH1046" s="24"/>
      <c r="CI1046" s="24"/>
      <c r="CJ1046" s="24"/>
    </row>
    <row r="1047" spans="1:88" ht="15" customHeight="1">
      <c r="A1047" s="18">
        <v>2020</v>
      </c>
      <c r="B1047" s="18" t="str">
        <f>+INDEX(BDD!F:F,MATCH(P1047,BDD!D:D,0))&amp;"-"&amp;INDEX(BDD!E:E,MATCH(P1047,BDD!D:D,0))</f>
        <v>G-C</v>
      </c>
      <c r="C1047" s="125" t="s">
        <v>484</v>
      </c>
      <c r="D1047" s="150" t="s">
        <v>77</v>
      </c>
      <c r="E1047" s="132"/>
      <c r="F1047" s="24"/>
      <c r="G1047" s="346">
        <v>8000000990</v>
      </c>
      <c r="H1047" s="125" t="s">
        <v>4130</v>
      </c>
      <c r="I1047" s="329"/>
      <c r="J1047" s="346">
        <v>8000000990</v>
      </c>
      <c r="K1047" s="24"/>
      <c r="L1047" s="24"/>
      <c r="M1047" s="24"/>
      <c r="N1047" s="340" t="s">
        <v>486</v>
      </c>
      <c r="O1047" s="334">
        <v>206573</v>
      </c>
      <c r="P1047" s="25" t="s">
        <v>226</v>
      </c>
      <c r="Q1047" s="127" t="s">
        <v>291</v>
      </c>
      <c r="R1047" s="232" t="s">
        <v>4126</v>
      </c>
      <c r="S1047" s="89">
        <v>44028</v>
      </c>
      <c r="T1047" s="36">
        <v>150</v>
      </c>
      <c r="U1047" s="125" t="s">
        <v>118</v>
      </c>
      <c r="V1047" s="147" t="s">
        <v>4131</v>
      </c>
      <c r="W1047" s="129"/>
      <c r="X1047" s="88">
        <f t="shared" si="61"/>
        <v>44202</v>
      </c>
      <c r="Y1047" s="130" t="s">
        <v>20</v>
      </c>
      <c r="Z1047" s="133" t="s">
        <v>60</v>
      </c>
      <c r="AA1047" s="133"/>
      <c r="AB1047" s="241">
        <v>2280</v>
      </c>
      <c r="AC1047" s="134">
        <v>218.6</v>
      </c>
      <c r="AD1047" s="134"/>
      <c r="AE1047" s="403">
        <f t="shared" si="58"/>
        <v>498408</v>
      </c>
      <c r="AF1047" s="145" t="s">
        <v>2822</v>
      </c>
      <c r="AG1047" s="130" t="s">
        <v>4109</v>
      </c>
      <c r="AH1047" s="130"/>
      <c r="AI1047" s="130" t="s">
        <v>100</v>
      </c>
      <c r="AJ1047" s="130"/>
      <c r="AK1047" s="130"/>
      <c r="AL1047" s="135" t="s">
        <v>3961</v>
      </c>
      <c r="AM1047" s="314"/>
      <c r="AN1047" s="26"/>
      <c r="AO1047" s="26"/>
      <c r="AP1047" s="26"/>
      <c r="AQ1047" s="26">
        <v>44089</v>
      </c>
      <c r="AR1047" s="41"/>
      <c r="AS1047" s="41"/>
      <c r="AT1047" s="24">
        <v>44092</v>
      </c>
      <c r="AU1047" s="418">
        <f t="shared" si="59"/>
        <v>9</v>
      </c>
      <c r="AV1047" s="418">
        <f t="shared" si="60"/>
        <v>2020</v>
      </c>
      <c r="AW1047" s="24"/>
      <c r="AX1047" s="28"/>
      <c r="AY1047" s="28" t="s">
        <v>269</v>
      </c>
      <c r="AZ1047" s="132" t="s">
        <v>37</v>
      </c>
      <c r="BA1047" s="132"/>
      <c r="BB1047" s="24" t="s">
        <v>2956</v>
      </c>
      <c r="BC1047" s="135">
        <v>8</v>
      </c>
      <c r="BD1047" s="24">
        <v>44052</v>
      </c>
      <c r="BE1047" s="135" t="s">
        <v>546</v>
      </c>
      <c r="BF1047" s="135" t="s">
        <v>546</v>
      </c>
      <c r="BG1047" s="135" t="s">
        <v>52</v>
      </c>
      <c r="BH1047" s="135"/>
      <c r="BI1047" s="314" t="s">
        <v>117</v>
      </c>
      <c r="BJ1047" s="314" t="s">
        <v>143</v>
      </c>
      <c r="BK1047" s="24"/>
      <c r="BL1047" s="24"/>
      <c r="BM1047" s="24"/>
      <c r="BN1047" s="24"/>
      <c r="BO1047" s="41">
        <f>AQ1047-BD1047</f>
        <v>37</v>
      </c>
      <c r="BP1047" s="41"/>
      <c r="BQ1047" s="41"/>
      <c r="BR1047" s="43"/>
      <c r="BS1047" s="41"/>
      <c r="BT1047" s="41"/>
      <c r="BU1047" s="41"/>
      <c r="BV1047" s="132" t="e">
        <f>IF(#REF!="COMPLETO","OK","PENDIENTES")</f>
        <v>#REF!</v>
      </c>
      <c r="BW1047" s="325"/>
      <c r="BX1047" s="325"/>
      <c r="BY1047" s="325"/>
      <c r="BZ1047" s="325"/>
      <c r="CA1047" s="325"/>
      <c r="CB1047" s="325"/>
      <c r="CC1047" s="258"/>
      <c r="CG1047" s="24" t="s">
        <v>105</v>
      </c>
      <c r="CH1047" s="24"/>
      <c r="CI1047" s="24"/>
      <c r="CJ1047" s="24"/>
    </row>
    <row r="1048" spans="1:88" ht="15" customHeight="1">
      <c r="A1048" s="18">
        <v>2020</v>
      </c>
      <c r="B1048" s="18" t="str">
        <f>+INDEX(BDD!F:F,MATCH(P1048,BDD!D:D,0))&amp;"-"&amp;INDEX(BDD!E:E,MATCH(P1048,BDD!D:D,0))</f>
        <v>G-C</v>
      </c>
      <c r="C1048" s="125" t="s">
        <v>484</v>
      </c>
      <c r="D1048" s="150" t="s">
        <v>77</v>
      </c>
      <c r="E1048" s="132"/>
      <c r="F1048" s="24"/>
      <c r="G1048" s="346">
        <v>8000000991</v>
      </c>
      <c r="H1048" s="125" t="s">
        <v>4132</v>
      </c>
      <c r="I1048" s="329"/>
      <c r="J1048" s="346">
        <v>8000000991</v>
      </c>
      <c r="K1048" s="24"/>
      <c r="L1048" s="24"/>
      <c r="M1048" s="24"/>
      <c r="N1048" s="340" t="s">
        <v>486</v>
      </c>
      <c r="O1048" s="334">
        <v>206573</v>
      </c>
      <c r="P1048" s="25" t="s">
        <v>226</v>
      </c>
      <c r="Q1048" s="127" t="s">
        <v>291</v>
      </c>
      <c r="R1048" s="232" t="s">
        <v>4126</v>
      </c>
      <c r="S1048" s="89">
        <v>44028</v>
      </c>
      <c r="T1048" s="36">
        <v>150</v>
      </c>
      <c r="U1048" s="125" t="s">
        <v>118</v>
      </c>
      <c r="V1048" s="147" t="s">
        <v>4133</v>
      </c>
      <c r="W1048" s="129"/>
      <c r="X1048" s="88">
        <f t="shared" si="61"/>
        <v>44202</v>
      </c>
      <c r="Y1048" s="130" t="s">
        <v>20</v>
      </c>
      <c r="Z1048" s="133" t="s">
        <v>60</v>
      </c>
      <c r="AA1048" s="133"/>
      <c r="AB1048" s="241">
        <v>960</v>
      </c>
      <c r="AC1048" s="134">
        <v>218.6</v>
      </c>
      <c r="AD1048" s="134"/>
      <c r="AE1048" s="403">
        <f t="shared" si="58"/>
        <v>209856</v>
      </c>
      <c r="AF1048" s="145" t="s">
        <v>2822</v>
      </c>
      <c r="AG1048" s="130" t="s">
        <v>4109</v>
      </c>
      <c r="AH1048" s="130"/>
      <c r="AI1048" s="130" t="s">
        <v>100</v>
      </c>
      <c r="AJ1048" s="130"/>
      <c r="AK1048" s="130"/>
      <c r="AL1048" s="135" t="s">
        <v>3961</v>
      </c>
      <c r="AM1048" s="314"/>
      <c r="AN1048" s="26"/>
      <c r="AO1048" s="26"/>
      <c r="AP1048" s="26"/>
      <c r="AQ1048" s="26">
        <v>44093</v>
      </c>
      <c r="AR1048" s="41"/>
      <c r="AS1048" s="41"/>
      <c r="AT1048" s="24">
        <v>44093</v>
      </c>
      <c r="AU1048" s="418">
        <f t="shared" si="59"/>
        <v>9</v>
      </c>
      <c r="AV1048" s="418">
        <f t="shared" si="60"/>
        <v>2020</v>
      </c>
      <c r="AW1048" s="24"/>
      <c r="AX1048" s="28"/>
      <c r="AY1048" s="28" t="s">
        <v>269</v>
      </c>
      <c r="AZ1048" s="132" t="s">
        <v>50</v>
      </c>
      <c r="BA1048" s="132"/>
      <c r="BB1048" s="24" t="s">
        <v>2956</v>
      </c>
      <c r="BC1048" s="135">
        <v>9</v>
      </c>
      <c r="BD1048" s="24">
        <v>44052</v>
      </c>
      <c r="BE1048" s="135" t="s">
        <v>546</v>
      </c>
      <c r="BF1048" s="135" t="s">
        <v>546</v>
      </c>
      <c r="BG1048" s="135" t="s">
        <v>52</v>
      </c>
      <c r="BH1048" s="135"/>
      <c r="BI1048" s="314" t="s">
        <v>117</v>
      </c>
      <c r="BJ1048" s="314" t="s">
        <v>143</v>
      </c>
      <c r="BK1048" s="24"/>
      <c r="BL1048" s="24"/>
      <c r="BM1048" s="24"/>
      <c r="BN1048" s="24"/>
      <c r="BO1048" s="41">
        <f>AQ1048-BD1048</f>
        <v>41</v>
      </c>
      <c r="BP1048" s="41"/>
      <c r="BQ1048" s="41"/>
      <c r="BR1048" s="43"/>
      <c r="BS1048" s="41"/>
      <c r="BT1048" s="41"/>
      <c r="BU1048" s="41"/>
      <c r="BV1048" s="132" t="e">
        <f>IF(#REF!="COMPLETO","OK","PENDIENTES")</f>
        <v>#REF!</v>
      </c>
      <c r="BW1048" s="325"/>
      <c r="BX1048" s="325"/>
      <c r="BY1048" s="325"/>
      <c r="BZ1048" s="325"/>
      <c r="CA1048" s="325"/>
      <c r="CB1048" s="325"/>
      <c r="CC1048" s="258"/>
      <c r="CG1048" s="24" t="s">
        <v>105</v>
      </c>
      <c r="CH1048" s="24"/>
      <c r="CI1048" s="24"/>
      <c r="CJ1048" s="24"/>
    </row>
    <row r="1049" spans="1:88" ht="15" customHeight="1">
      <c r="A1049" s="18">
        <v>2020</v>
      </c>
      <c r="B1049" s="18" t="str">
        <f>+INDEX(BDD!F:F,MATCH(P1049,BDD!D:D,0))&amp;"-"&amp;INDEX(BDD!E:E,MATCH(P1049,BDD!D:D,0))</f>
        <v>G-C</v>
      </c>
      <c r="C1049" s="125" t="s">
        <v>484</v>
      </c>
      <c r="D1049" s="150" t="s">
        <v>77</v>
      </c>
      <c r="E1049" s="132"/>
      <c r="F1049" s="24"/>
      <c r="G1049" s="346">
        <v>8000000999</v>
      </c>
      <c r="H1049" s="125" t="s">
        <v>4134</v>
      </c>
      <c r="I1049" s="329"/>
      <c r="J1049" s="346">
        <v>8000000999</v>
      </c>
      <c r="K1049" s="24"/>
      <c r="L1049" s="24"/>
      <c r="M1049" s="24"/>
      <c r="N1049" s="340" t="s">
        <v>486</v>
      </c>
      <c r="O1049" s="334">
        <v>206573</v>
      </c>
      <c r="P1049" s="25" t="s">
        <v>226</v>
      </c>
      <c r="Q1049" s="127" t="s">
        <v>291</v>
      </c>
      <c r="R1049" s="232" t="s">
        <v>4126</v>
      </c>
      <c r="S1049" s="89">
        <v>44028</v>
      </c>
      <c r="T1049" s="36">
        <v>150</v>
      </c>
      <c r="U1049" s="125" t="s">
        <v>118</v>
      </c>
      <c r="V1049" s="147" t="s">
        <v>4135</v>
      </c>
      <c r="W1049" s="129"/>
      <c r="X1049" s="88">
        <f t="shared" si="61"/>
        <v>44202</v>
      </c>
      <c r="Y1049" s="130" t="s">
        <v>20</v>
      </c>
      <c r="Z1049" s="133" t="s">
        <v>60</v>
      </c>
      <c r="AA1049" s="133"/>
      <c r="AB1049" s="241">
        <v>1925</v>
      </c>
      <c r="AC1049" s="134">
        <v>218.6</v>
      </c>
      <c r="AD1049" s="134"/>
      <c r="AE1049" s="403">
        <f t="shared" si="58"/>
        <v>420805</v>
      </c>
      <c r="AF1049" s="145" t="s">
        <v>2822</v>
      </c>
      <c r="AG1049" s="130" t="s">
        <v>4109</v>
      </c>
      <c r="AH1049" s="130"/>
      <c r="AI1049" s="130" t="s">
        <v>100</v>
      </c>
      <c r="AJ1049" s="130"/>
      <c r="AK1049" s="130"/>
      <c r="AL1049" s="135" t="s">
        <v>3961</v>
      </c>
      <c r="AM1049" s="314"/>
      <c r="AN1049" s="26"/>
      <c r="AO1049" s="26"/>
      <c r="AP1049" s="26"/>
      <c r="AQ1049" s="26">
        <v>44095</v>
      </c>
      <c r="AR1049" s="41"/>
      <c r="AS1049" s="41"/>
      <c r="AT1049" s="26">
        <v>44097</v>
      </c>
      <c r="AU1049" s="418">
        <f t="shared" si="59"/>
        <v>9</v>
      </c>
      <c r="AV1049" s="418">
        <f t="shared" si="60"/>
        <v>2020</v>
      </c>
      <c r="AW1049" s="26"/>
      <c r="AX1049" s="28"/>
      <c r="AY1049" s="28" t="s">
        <v>269</v>
      </c>
      <c r="AZ1049" s="132" t="s">
        <v>62</v>
      </c>
      <c r="BA1049" s="132"/>
      <c r="BB1049" s="24" t="s">
        <v>3264</v>
      </c>
      <c r="BC1049" s="135">
        <v>10</v>
      </c>
      <c r="BD1049" s="24">
        <v>44052</v>
      </c>
      <c r="BE1049" s="135" t="s">
        <v>546</v>
      </c>
      <c r="BF1049" s="135" t="s">
        <v>546</v>
      </c>
      <c r="BG1049" s="135" t="s">
        <v>52</v>
      </c>
      <c r="BH1049" s="135"/>
      <c r="BI1049" s="314" t="s">
        <v>117</v>
      </c>
      <c r="BJ1049" s="314" t="s">
        <v>143</v>
      </c>
      <c r="BK1049" s="24"/>
      <c r="BL1049" s="24"/>
      <c r="BM1049" s="24"/>
      <c r="BN1049" s="24"/>
      <c r="BO1049" s="41">
        <f>AQ1049-BD1049</f>
        <v>43</v>
      </c>
      <c r="BP1049" s="41"/>
      <c r="BQ1049" s="41"/>
      <c r="BR1049" s="43"/>
      <c r="BS1049" s="41"/>
      <c r="BT1049" s="41"/>
      <c r="BU1049" s="41"/>
      <c r="BV1049" s="132" t="e">
        <f>IF(#REF!="COMPLETO","OK","PENDIENTES")</f>
        <v>#REF!</v>
      </c>
      <c r="BW1049" s="325"/>
      <c r="BX1049" s="325"/>
      <c r="BY1049" s="325"/>
      <c r="BZ1049" s="325"/>
      <c r="CA1049" s="325"/>
      <c r="CB1049" s="325"/>
      <c r="CC1049" s="258"/>
      <c r="CG1049" s="24" t="s">
        <v>105</v>
      </c>
      <c r="CH1049" s="24"/>
      <c r="CI1049" s="26"/>
      <c r="CJ1049" s="26"/>
    </row>
    <row r="1050" spans="1:88" ht="15" customHeight="1">
      <c r="A1050" s="18">
        <v>2020</v>
      </c>
      <c r="B1050" s="18" t="str">
        <f>+INDEX(BDD!F:F,MATCH(P1050,BDD!D:D,0))&amp;"-"&amp;INDEX(BDD!E:E,MATCH(P1050,BDD!D:D,0))</f>
        <v>G-S</v>
      </c>
      <c r="C1050" s="125" t="s">
        <v>484</v>
      </c>
      <c r="D1050" s="150" t="s">
        <v>77</v>
      </c>
      <c r="E1050" s="132"/>
      <c r="F1050" s="24"/>
      <c r="G1050" s="346">
        <v>8000000984</v>
      </c>
      <c r="H1050" s="125" t="s">
        <v>4136</v>
      </c>
      <c r="I1050" s="329"/>
      <c r="J1050" s="346">
        <v>8000000984</v>
      </c>
      <c r="K1050" s="24"/>
      <c r="L1050" s="24"/>
      <c r="M1050" s="24"/>
      <c r="N1050" s="340" t="s">
        <v>486</v>
      </c>
      <c r="O1050" s="334">
        <v>206597</v>
      </c>
      <c r="P1050" s="25" t="s">
        <v>104</v>
      </c>
      <c r="Q1050" s="127" t="s">
        <v>285</v>
      </c>
      <c r="R1050" s="232" t="s">
        <v>4137</v>
      </c>
      <c r="S1050" s="89">
        <v>44027</v>
      </c>
      <c r="T1050" s="36">
        <v>180</v>
      </c>
      <c r="U1050" s="125" t="s">
        <v>118</v>
      </c>
      <c r="V1050" s="147" t="s">
        <v>4138</v>
      </c>
      <c r="W1050" s="129"/>
      <c r="X1050" s="88">
        <f t="shared" si="61"/>
        <v>44225</v>
      </c>
      <c r="Y1050" s="130" t="s">
        <v>20</v>
      </c>
      <c r="Z1050" s="133" t="s">
        <v>60</v>
      </c>
      <c r="AA1050" s="133"/>
      <c r="AB1050" s="241">
        <v>270</v>
      </c>
      <c r="AC1050" s="134">
        <v>235</v>
      </c>
      <c r="AD1050" s="134"/>
      <c r="AE1050" s="403">
        <f t="shared" si="58"/>
        <v>63450</v>
      </c>
      <c r="AF1050" s="145" t="s">
        <v>2822</v>
      </c>
      <c r="AG1050" s="130" t="s">
        <v>4109</v>
      </c>
      <c r="AH1050" s="130"/>
      <c r="AI1050" s="130" t="s">
        <v>100</v>
      </c>
      <c r="AJ1050" s="130"/>
      <c r="AK1050" s="130"/>
      <c r="AL1050" s="135" t="s">
        <v>3961</v>
      </c>
      <c r="AM1050" s="314"/>
      <c r="AN1050" s="26"/>
      <c r="AO1050" s="26"/>
      <c r="AP1050" s="26"/>
      <c r="AQ1050" s="26">
        <v>44084</v>
      </c>
      <c r="AR1050" s="24"/>
      <c r="AS1050" s="24"/>
      <c r="AT1050" s="24">
        <v>44085</v>
      </c>
      <c r="AU1050" s="418">
        <f t="shared" si="59"/>
        <v>9</v>
      </c>
      <c r="AV1050" s="418">
        <f t="shared" si="60"/>
        <v>2020</v>
      </c>
      <c r="AW1050" s="24"/>
      <c r="AX1050" s="28"/>
      <c r="AY1050" s="28" t="s">
        <v>281</v>
      </c>
      <c r="AZ1050" s="132" t="s">
        <v>9</v>
      </c>
      <c r="BA1050" s="132"/>
      <c r="BB1050" s="24" t="s">
        <v>2956</v>
      </c>
      <c r="BC1050" s="135" t="s">
        <v>4139</v>
      </c>
      <c r="BD1050" s="24">
        <v>44045</v>
      </c>
      <c r="BE1050" s="135" t="s">
        <v>546</v>
      </c>
      <c r="BF1050" s="135" t="s">
        <v>546</v>
      </c>
      <c r="BG1050" s="135" t="s">
        <v>52</v>
      </c>
      <c r="BH1050" s="135"/>
      <c r="BI1050" s="314" t="s">
        <v>117</v>
      </c>
      <c r="BJ1050" s="314" t="s">
        <v>143</v>
      </c>
      <c r="BK1050" s="24"/>
      <c r="BL1050" s="24"/>
      <c r="BM1050" s="24"/>
      <c r="BN1050" s="24"/>
      <c r="BO1050" s="24"/>
      <c r="BP1050" s="24"/>
      <c r="BQ1050" s="24"/>
      <c r="BR1050" s="43"/>
      <c r="BS1050" s="24"/>
      <c r="BT1050" s="24"/>
      <c r="BU1050" s="24"/>
      <c r="BV1050" s="132" t="e">
        <f>IF(#REF!="COMPLETO","OK","PENDIENTES")</f>
        <v>#REF!</v>
      </c>
      <c r="BW1050" s="325"/>
      <c r="BX1050" s="325"/>
      <c r="BY1050" s="325"/>
      <c r="BZ1050" s="325"/>
      <c r="CA1050" s="325"/>
      <c r="CB1050" s="325"/>
      <c r="CC1050" s="258"/>
      <c r="CG1050" s="24" t="s">
        <v>105</v>
      </c>
      <c r="CH1050" s="24"/>
      <c r="CI1050" s="24"/>
      <c r="CJ1050" s="24"/>
    </row>
    <row r="1051" spans="1:88" ht="15" customHeight="1">
      <c r="A1051" s="18">
        <v>2020</v>
      </c>
      <c r="B1051" s="18" t="str">
        <f>+INDEX(BDD!F:F,MATCH(P1051,BDD!D:D,0))&amp;"-"&amp;INDEX(BDD!E:E,MATCH(P1051,BDD!D:D,0))</f>
        <v>G-S</v>
      </c>
      <c r="C1051" s="125" t="s">
        <v>484</v>
      </c>
      <c r="D1051" s="150" t="s">
        <v>77</v>
      </c>
      <c r="E1051" s="132"/>
      <c r="F1051" s="24"/>
      <c r="G1051" s="346">
        <v>8000000992</v>
      </c>
      <c r="H1051" s="125" t="s">
        <v>4140</v>
      </c>
      <c r="I1051" s="329"/>
      <c r="J1051" s="346">
        <v>8000000992</v>
      </c>
      <c r="K1051" s="24"/>
      <c r="L1051" s="24"/>
      <c r="M1051" s="24"/>
      <c r="N1051" s="340" t="s">
        <v>486</v>
      </c>
      <c r="O1051" s="334">
        <v>206597</v>
      </c>
      <c r="P1051" s="25" t="s">
        <v>104</v>
      </c>
      <c r="Q1051" s="127" t="s">
        <v>285</v>
      </c>
      <c r="R1051" s="232" t="s">
        <v>4137</v>
      </c>
      <c r="S1051" s="89">
        <v>44027</v>
      </c>
      <c r="T1051" s="36">
        <v>180</v>
      </c>
      <c r="U1051" s="125" t="s">
        <v>118</v>
      </c>
      <c r="V1051" s="147" t="s">
        <v>4141</v>
      </c>
      <c r="W1051" s="129"/>
      <c r="X1051" s="88">
        <f t="shared" si="61"/>
        <v>44225</v>
      </c>
      <c r="Y1051" s="130" t="s">
        <v>20</v>
      </c>
      <c r="Z1051" s="133" t="s">
        <v>60</v>
      </c>
      <c r="AA1051" s="133"/>
      <c r="AB1051" s="241">
        <v>2600</v>
      </c>
      <c r="AC1051" s="134">
        <v>235</v>
      </c>
      <c r="AD1051" s="134"/>
      <c r="AE1051" s="403">
        <f t="shared" si="58"/>
        <v>611000</v>
      </c>
      <c r="AF1051" s="145" t="s">
        <v>2822</v>
      </c>
      <c r="AG1051" s="130" t="s">
        <v>4109</v>
      </c>
      <c r="AH1051" s="130"/>
      <c r="AI1051" s="130" t="s">
        <v>100</v>
      </c>
      <c r="AJ1051" s="130"/>
      <c r="AK1051" s="130"/>
      <c r="AL1051" s="135" t="s">
        <v>3961</v>
      </c>
      <c r="AM1051" s="314"/>
      <c r="AN1051" s="26"/>
      <c r="AO1051" s="26"/>
      <c r="AP1051" s="26"/>
      <c r="AQ1051" s="26">
        <f>+AQ1047</f>
        <v>44089</v>
      </c>
      <c r="AR1051" s="24"/>
      <c r="AS1051" s="24"/>
      <c r="AT1051" s="24">
        <v>44092</v>
      </c>
      <c r="AU1051" s="418">
        <f t="shared" si="59"/>
        <v>9</v>
      </c>
      <c r="AV1051" s="418">
        <f t="shared" si="60"/>
        <v>2020</v>
      </c>
      <c r="AW1051" s="24"/>
      <c r="AX1051" s="28"/>
      <c r="AY1051" s="28" t="s">
        <v>281</v>
      </c>
      <c r="AZ1051" s="132" t="s">
        <v>37</v>
      </c>
      <c r="BA1051" s="132"/>
      <c r="BB1051" s="24" t="s">
        <v>3593</v>
      </c>
      <c r="BC1051" s="135" t="s">
        <v>4142</v>
      </c>
      <c r="BD1051" s="24">
        <v>44045</v>
      </c>
      <c r="BE1051" s="135" t="s">
        <v>546</v>
      </c>
      <c r="BF1051" s="135" t="s">
        <v>546</v>
      </c>
      <c r="BG1051" s="135" t="s">
        <v>52</v>
      </c>
      <c r="BH1051" s="135"/>
      <c r="BI1051" s="314" t="s">
        <v>117</v>
      </c>
      <c r="BJ1051" s="314" t="s">
        <v>143</v>
      </c>
      <c r="BK1051" s="24"/>
      <c r="BL1051" s="24"/>
      <c r="BM1051" s="24"/>
      <c r="BN1051" s="24"/>
      <c r="BO1051" s="24"/>
      <c r="BP1051" s="24"/>
      <c r="BQ1051" s="24"/>
      <c r="BR1051" s="43"/>
      <c r="BS1051" s="24"/>
      <c r="BT1051" s="24"/>
      <c r="BU1051" s="24"/>
      <c r="BV1051" s="132" t="e">
        <f>IF(#REF!="COMPLETO","OK","PENDIENTES")</f>
        <v>#REF!</v>
      </c>
      <c r="BW1051" s="325"/>
      <c r="BX1051" s="325"/>
      <c r="BY1051" s="325"/>
      <c r="BZ1051" s="325"/>
      <c r="CA1051" s="325"/>
      <c r="CB1051" s="325"/>
      <c r="CC1051" s="258"/>
      <c r="CG1051" s="24" t="s">
        <v>105</v>
      </c>
      <c r="CH1051" s="24"/>
      <c r="CI1051" s="24"/>
      <c r="CJ1051" s="24"/>
    </row>
    <row r="1052" spans="1:88" ht="15" customHeight="1">
      <c r="A1052" s="18">
        <v>2020</v>
      </c>
      <c r="B1052" s="18" t="str">
        <f>+INDEX(BDD!F:F,MATCH(P1052,BDD!D:D,0))&amp;"-"&amp;INDEX(BDD!E:E,MATCH(P1052,BDD!D:D,0))</f>
        <v>G-S</v>
      </c>
      <c r="C1052" s="125" t="s">
        <v>484</v>
      </c>
      <c r="D1052" s="150" t="s">
        <v>77</v>
      </c>
      <c r="E1052" s="132"/>
      <c r="F1052" s="24"/>
      <c r="G1052" s="346">
        <v>8000000993</v>
      </c>
      <c r="H1052" s="125" t="s">
        <v>4143</v>
      </c>
      <c r="I1052" s="329"/>
      <c r="J1052" s="346">
        <v>8000000993</v>
      </c>
      <c r="K1052" s="24"/>
      <c r="L1052" s="24"/>
      <c r="M1052" s="24"/>
      <c r="N1052" s="340" t="s">
        <v>486</v>
      </c>
      <c r="O1052" s="334">
        <v>206597</v>
      </c>
      <c r="P1052" s="25" t="s">
        <v>104</v>
      </c>
      <c r="Q1052" s="127" t="s">
        <v>285</v>
      </c>
      <c r="R1052" s="232" t="s">
        <v>4137</v>
      </c>
      <c r="S1052" s="89">
        <v>44027</v>
      </c>
      <c r="T1052" s="36">
        <v>180</v>
      </c>
      <c r="U1052" s="125" t="s">
        <v>118</v>
      </c>
      <c r="V1052" s="147" t="s">
        <v>4144</v>
      </c>
      <c r="W1052" s="129"/>
      <c r="X1052" s="88">
        <f t="shared" si="61"/>
        <v>44225</v>
      </c>
      <c r="Y1052" s="130" t="s">
        <v>20</v>
      </c>
      <c r="Z1052" s="133" t="s">
        <v>60</v>
      </c>
      <c r="AA1052" s="133"/>
      <c r="AB1052" s="241">
        <v>220</v>
      </c>
      <c r="AC1052" s="134">
        <v>235</v>
      </c>
      <c r="AD1052" s="134"/>
      <c r="AE1052" s="403">
        <f t="shared" si="58"/>
        <v>51700</v>
      </c>
      <c r="AF1052" s="145" t="s">
        <v>2822</v>
      </c>
      <c r="AG1052" s="130" t="s">
        <v>4109</v>
      </c>
      <c r="AH1052" s="130"/>
      <c r="AI1052" s="130" t="s">
        <v>100</v>
      </c>
      <c r="AJ1052" s="130"/>
      <c r="AK1052" s="130"/>
      <c r="AL1052" s="135" t="s">
        <v>3961</v>
      </c>
      <c r="AM1052" s="314"/>
      <c r="AN1052" s="26"/>
      <c r="AO1052" s="26"/>
      <c r="AP1052" s="26"/>
      <c r="AQ1052" s="26">
        <v>44093</v>
      </c>
      <c r="AR1052" s="24"/>
      <c r="AS1052" s="24"/>
      <c r="AT1052" s="24">
        <v>44093</v>
      </c>
      <c r="AU1052" s="418">
        <f t="shared" si="59"/>
        <v>9</v>
      </c>
      <c r="AV1052" s="418">
        <f t="shared" si="60"/>
        <v>2020</v>
      </c>
      <c r="AW1052" s="24"/>
      <c r="AX1052" s="28"/>
      <c r="AY1052" s="28" t="s">
        <v>281</v>
      </c>
      <c r="AZ1052" s="132" t="s">
        <v>50</v>
      </c>
      <c r="BA1052" s="132"/>
      <c r="BB1052" s="24" t="s">
        <v>2956</v>
      </c>
      <c r="BC1052" s="135" t="s">
        <v>4145</v>
      </c>
      <c r="BD1052" s="24">
        <v>44045</v>
      </c>
      <c r="BE1052" s="135" t="s">
        <v>546</v>
      </c>
      <c r="BF1052" s="135" t="s">
        <v>546</v>
      </c>
      <c r="BG1052" s="135" t="s">
        <v>52</v>
      </c>
      <c r="BH1052" s="135"/>
      <c r="BI1052" s="314" t="s">
        <v>117</v>
      </c>
      <c r="BJ1052" s="314" t="s">
        <v>143</v>
      </c>
      <c r="BK1052" s="24"/>
      <c r="BL1052" s="24"/>
      <c r="BM1052" s="24"/>
      <c r="BN1052" s="24"/>
      <c r="BO1052" s="24"/>
      <c r="BP1052" s="24"/>
      <c r="BQ1052" s="24"/>
      <c r="BR1052" s="43"/>
      <c r="BS1052" s="24"/>
      <c r="BT1052" s="24"/>
      <c r="BU1052" s="24"/>
      <c r="BV1052" s="132" t="e">
        <f>IF(#REF!="COMPLETO","OK","PENDIENTES")</f>
        <v>#REF!</v>
      </c>
      <c r="BW1052" s="325"/>
      <c r="BX1052" s="325"/>
      <c r="BY1052" s="325"/>
      <c r="BZ1052" s="325"/>
      <c r="CA1052" s="325"/>
      <c r="CB1052" s="325"/>
      <c r="CC1052" s="258"/>
      <c r="CG1052" s="24" t="s">
        <v>105</v>
      </c>
      <c r="CH1052" s="24"/>
      <c r="CI1052" s="24"/>
      <c r="CJ1052" s="24"/>
    </row>
    <row r="1053" spans="1:88" ht="15" customHeight="1">
      <c r="A1053" s="18">
        <v>2020</v>
      </c>
      <c r="B1053" s="18" t="str">
        <f>+INDEX(BDD!F:F,MATCH(P1053,BDD!D:D,0))&amp;"-"&amp;INDEX(BDD!E:E,MATCH(P1053,BDD!D:D,0))</f>
        <v>G-S</v>
      </c>
      <c r="C1053" s="125" t="s">
        <v>484</v>
      </c>
      <c r="D1053" s="150" t="s">
        <v>77</v>
      </c>
      <c r="E1053" s="132"/>
      <c r="F1053" s="24"/>
      <c r="G1053" s="346">
        <v>8000000998</v>
      </c>
      <c r="H1053" s="125" t="s">
        <v>4146</v>
      </c>
      <c r="I1053" s="329"/>
      <c r="J1053" s="346">
        <v>8000000998</v>
      </c>
      <c r="K1053" s="24"/>
      <c r="L1053" s="24"/>
      <c r="M1053" s="24"/>
      <c r="N1053" s="340" t="s">
        <v>486</v>
      </c>
      <c r="O1053" s="334">
        <v>206597</v>
      </c>
      <c r="P1053" s="25" t="s">
        <v>104</v>
      </c>
      <c r="Q1053" s="127" t="s">
        <v>285</v>
      </c>
      <c r="R1053" s="232" t="s">
        <v>4137</v>
      </c>
      <c r="S1053" s="89">
        <v>44027</v>
      </c>
      <c r="T1053" s="36">
        <v>180</v>
      </c>
      <c r="U1053" s="125" t="s">
        <v>118</v>
      </c>
      <c r="V1053" s="147" t="s">
        <v>4147</v>
      </c>
      <c r="W1053" s="129"/>
      <c r="X1053" s="88">
        <f t="shared" si="61"/>
        <v>44225</v>
      </c>
      <c r="Y1053" s="130" t="s">
        <v>20</v>
      </c>
      <c r="Z1053" s="133" t="s">
        <v>60</v>
      </c>
      <c r="AA1053" s="133"/>
      <c r="AB1053" s="241">
        <v>760</v>
      </c>
      <c r="AC1053" s="134">
        <v>235</v>
      </c>
      <c r="AD1053" s="134"/>
      <c r="AE1053" s="403">
        <f t="shared" si="58"/>
        <v>178600</v>
      </c>
      <c r="AF1053" s="145" t="s">
        <v>2822</v>
      </c>
      <c r="AG1053" s="130" t="s">
        <v>4109</v>
      </c>
      <c r="AH1053" s="130"/>
      <c r="AI1053" s="130" t="s">
        <v>100</v>
      </c>
      <c r="AJ1053" s="130"/>
      <c r="AK1053" s="130"/>
      <c r="AL1053" s="135" t="s">
        <v>3961</v>
      </c>
      <c r="AM1053" s="314"/>
      <c r="AN1053" s="26"/>
      <c r="AO1053" s="26"/>
      <c r="AP1053" s="26"/>
      <c r="AQ1053" s="26">
        <v>44095</v>
      </c>
      <c r="AR1053" s="24"/>
      <c r="AS1053" s="24"/>
      <c r="AT1053" s="26">
        <v>44097</v>
      </c>
      <c r="AU1053" s="418">
        <f t="shared" si="59"/>
        <v>9</v>
      </c>
      <c r="AV1053" s="418">
        <f t="shared" si="60"/>
        <v>2020</v>
      </c>
      <c r="AW1053" s="26"/>
      <c r="AX1053" s="28"/>
      <c r="AY1053" s="28" t="s">
        <v>281</v>
      </c>
      <c r="AZ1053" s="132" t="s">
        <v>62</v>
      </c>
      <c r="BA1053" s="132"/>
      <c r="BB1053" s="24" t="s">
        <v>3264</v>
      </c>
      <c r="BC1053" s="135" t="s">
        <v>4148</v>
      </c>
      <c r="BD1053" s="24">
        <v>44045</v>
      </c>
      <c r="BE1053" s="135" t="s">
        <v>546</v>
      </c>
      <c r="BF1053" s="135" t="s">
        <v>546</v>
      </c>
      <c r="BG1053" s="135" t="s">
        <v>52</v>
      </c>
      <c r="BH1053" s="135"/>
      <c r="BI1053" s="314" t="s">
        <v>117</v>
      </c>
      <c r="BJ1053" s="314" t="s">
        <v>143</v>
      </c>
      <c r="BK1053" s="24"/>
      <c r="BL1053" s="24"/>
      <c r="BM1053" s="24"/>
      <c r="BN1053" s="24"/>
      <c r="BO1053" s="24"/>
      <c r="BP1053" s="24"/>
      <c r="BQ1053" s="24"/>
      <c r="BR1053" s="43"/>
      <c r="BS1053" s="24"/>
      <c r="BT1053" s="24"/>
      <c r="BU1053" s="24"/>
      <c r="BV1053" s="132" t="e">
        <f>IF(#REF!="COMPLETO","OK","PENDIENTES")</f>
        <v>#REF!</v>
      </c>
      <c r="BW1053" s="326"/>
      <c r="BX1053" s="326"/>
      <c r="BY1053" s="326"/>
      <c r="BZ1053" s="326"/>
      <c r="CA1053" s="326"/>
      <c r="CB1053" s="326"/>
      <c r="CC1053" s="269"/>
      <c r="CG1053" s="24" t="s">
        <v>105</v>
      </c>
      <c r="CH1053" s="24"/>
      <c r="CI1053" s="26"/>
      <c r="CJ1053" s="26"/>
    </row>
    <row r="1054" spans="1:88" ht="15" customHeight="1">
      <c r="A1054" s="18">
        <v>2020</v>
      </c>
      <c r="B1054" s="18" t="str">
        <f>+INDEX(BDD!F:F,MATCH(P1054,BDD!D:D,0))&amp;"-"&amp;INDEX(BDD!E:E,MATCH(P1054,BDD!D:D,0))</f>
        <v>G-S</v>
      </c>
      <c r="C1054" s="125" t="s">
        <v>484</v>
      </c>
      <c r="D1054" s="150" t="s">
        <v>77</v>
      </c>
      <c r="E1054" s="132"/>
      <c r="F1054" s="24"/>
      <c r="G1054" s="346">
        <v>8000000985</v>
      </c>
      <c r="H1054" s="125" t="s">
        <v>4149</v>
      </c>
      <c r="I1054" s="329"/>
      <c r="J1054" s="346">
        <v>8000000985</v>
      </c>
      <c r="K1054" s="24"/>
      <c r="L1054" s="24"/>
      <c r="M1054" s="24"/>
      <c r="N1054" s="340" t="s">
        <v>486</v>
      </c>
      <c r="O1054" s="334">
        <v>207951</v>
      </c>
      <c r="P1054" s="25" t="s">
        <v>354</v>
      </c>
      <c r="Q1054" s="127" t="s">
        <v>133</v>
      </c>
      <c r="R1054" s="232" t="s">
        <v>4150</v>
      </c>
      <c r="S1054" s="89">
        <v>44021</v>
      </c>
      <c r="T1054" s="36" t="s">
        <v>19</v>
      </c>
      <c r="U1054" s="125"/>
      <c r="V1054" s="147" t="s">
        <v>4151</v>
      </c>
      <c r="W1054" s="129"/>
      <c r="X1054" s="88">
        <v>44060</v>
      </c>
      <c r="Y1054" s="130" t="s">
        <v>20</v>
      </c>
      <c r="Z1054" s="133" t="s">
        <v>60</v>
      </c>
      <c r="AA1054" s="133"/>
      <c r="AB1054" s="241">
        <v>1100</v>
      </c>
      <c r="AC1054" s="134">
        <v>254</v>
      </c>
      <c r="AD1054" s="134"/>
      <c r="AE1054" s="403">
        <f t="shared" si="58"/>
        <v>279400</v>
      </c>
      <c r="AF1054" s="145" t="s">
        <v>2822</v>
      </c>
      <c r="AG1054" s="130" t="s">
        <v>4109</v>
      </c>
      <c r="AH1054" s="130"/>
      <c r="AI1054" s="130" t="s">
        <v>100</v>
      </c>
      <c r="AJ1054" s="130"/>
      <c r="AK1054" s="130"/>
      <c r="AL1054" s="135" t="s">
        <v>4152</v>
      </c>
      <c r="AM1054" s="314"/>
      <c r="AN1054" s="26"/>
      <c r="AO1054" s="26"/>
      <c r="AP1054" s="26"/>
      <c r="AQ1054" s="26">
        <v>44084</v>
      </c>
      <c r="AR1054" s="24"/>
      <c r="AS1054" s="24"/>
      <c r="AT1054" s="24">
        <v>44085</v>
      </c>
      <c r="AU1054" s="418">
        <f t="shared" si="59"/>
        <v>9</v>
      </c>
      <c r="AV1054" s="418">
        <f t="shared" si="60"/>
        <v>2020</v>
      </c>
      <c r="AW1054" s="24"/>
      <c r="AX1054" s="28"/>
      <c r="AY1054" s="28" t="s">
        <v>281</v>
      </c>
      <c r="AZ1054" s="132" t="s">
        <v>9</v>
      </c>
      <c r="BA1054" s="132"/>
      <c r="BB1054" s="24" t="s">
        <v>3264</v>
      </c>
      <c r="BC1054" s="135">
        <v>1</v>
      </c>
      <c r="BD1054" s="24">
        <v>44050</v>
      </c>
      <c r="BE1054" s="135" t="s">
        <v>546</v>
      </c>
      <c r="BF1054" s="135" t="s">
        <v>546</v>
      </c>
      <c r="BG1054" s="135" t="s">
        <v>52</v>
      </c>
      <c r="BH1054" s="135"/>
      <c r="BI1054" s="314" t="s">
        <v>117</v>
      </c>
      <c r="BJ1054" s="314" t="s">
        <v>143</v>
      </c>
      <c r="BK1054" s="24"/>
      <c r="BL1054" s="24"/>
      <c r="BM1054" s="24"/>
      <c r="BN1054" s="24"/>
      <c r="BO1054" s="24"/>
      <c r="BP1054" s="24"/>
      <c r="BQ1054" s="24"/>
      <c r="BR1054" s="43"/>
      <c r="BS1054" s="24"/>
      <c r="BT1054" s="24"/>
      <c r="BU1054" s="24"/>
      <c r="BV1054" s="132" t="e">
        <f>IF(#REF!="COMPLETO","OK","PENDIENTES")</f>
        <v>#REF!</v>
      </c>
      <c r="BW1054" s="325"/>
      <c r="BX1054" s="325"/>
      <c r="BY1054" s="325"/>
      <c r="BZ1054" s="325"/>
      <c r="CA1054" s="325"/>
      <c r="CB1054" s="325"/>
      <c r="CC1054" s="258"/>
      <c r="CG1054" s="24" t="s">
        <v>105</v>
      </c>
      <c r="CH1054" s="24"/>
      <c r="CI1054" s="24"/>
      <c r="CJ1054" s="24"/>
    </row>
    <row r="1055" spans="1:88" ht="15" customHeight="1">
      <c r="A1055" s="18">
        <v>2020</v>
      </c>
      <c r="B1055" s="18" t="str">
        <f>+INDEX(BDD!F:F,MATCH(P1055,BDD!D:D,0))&amp;"-"&amp;INDEX(BDD!E:E,MATCH(P1055,BDD!D:D,0))</f>
        <v>G-S</v>
      </c>
      <c r="C1055" s="125" t="s">
        <v>484</v>
      </c>
      <c r="D1055" s="150" t="s">
        <v>77</v>
      </c>
      <c r="E1055" s="132"/>
      <c r="F1055" s="24"/>
      <c r="G1055" s="346">
        <v>8000000994</v>
      </c>
      <c r="H1055" s="125" t="s">
        <v>4153</v>
      </c>
      <c r="I1055" s="329"/>
      <c r="J1055" s="346">
        <v>8000000994</v>
      </c>
      <c r="K1055" s="24"/>
      <c r="L1055" s="24"/>
      <c r="M1055" s="24"/>
      <c r="N1055" s="340" t="s">
        <v>486</v>
      </c>
      <c r="O1055" s="334">
        <v>207951</v>
      </c>
      <c r="P1055" s="25" t="s">
        <v>354</v>
      </c>
      <c r="Q1055" s="127" t="s">
        <v>133</v>
      </c>
      <c r="R1055" s="232" t="s">
        <v>4150</v>
      </c>
      <c r="S1055" s="89">
        <v>44021</v>
      </c>
      <c r="T1055" s="36" t="s">
        <v>19</v>
      </c>
      <c r="U1055" s="125"/>
      <c r="V1055" s="147" t="s">
        <v>4154</v>
      </c>
      <c r="W1055" s="129"/>
      <c r="X1055" s="88">
        <v>44060</v>
      </c>
      <c r="Y1055" s="130" t="s">
        <v>20</v>
      </c>
      <c r="Z1055" s="133" t="s">
        <v>60</v>
      </c>
      <c r="AA1055" s="133"/>
      <c r="AB1055" s="241">
        <v>1493</v>
      </c>
      <c r="AC1055" s="134">
        <v>254</v>
      </c>
      <c r="AD1055" s="134"/>
      <c r="AE1055" s="403">
        <f t="shared" si="58"/>
        <v>379222</v>
      </c>
      <c r="AF1055" s="145" t="s">
        <v>2822</v>
      </c>
      <c r="AG1055" s="130" t="s">
        <v>4109</v>
      </c>
      <c r="AH1055" s="130"/>
      <c r="AI1055" s="130" t="s">
        <v>100</v>
      </c>
      <c r="AJ1055" s="130"/>
      <c r="AK1055" s="130"/>
      <c r="AL1055" s="135" t="s">
        <v>4152</v>
      </c>
      <c r="AM1055" s="314"/>
      <c r="AN1055" s="26"/>
      <c r="AO1055" s="26"/>
      <c r="AP1055" s="26"/>
      <c r="AQ1055" s="26">
        <f>+AQ1051</f>
        <v>44089</v>
      </c>
      <c r="AR1055" s="24"/>
      <c r="AS1055" s="24"/>
      <c r="AT1055" s="24">
        <v>44092</v>
      </c>
      <c r="AU1055" s="418">
        <f t="shared" si="59"/>
        <v>9</v>
      </c>
      <c r="AV1055" s="418">
        <f t="shared" si="60"/>
        <v>2020</v>
      </c>
      <c r="AW1055" s="24"/>
      <c r="AX1055" s="28"/>
      <c r="AY1055" s="28" t="s">
        <v>281</v>
      </c>
      <c r="AZ1055" s="132" t="s">
        <v>37</v>
      </c>
      <c r="BA1055" s="132"/>
      <c r="BB1055" s="24" t="s">
        <v>3593</v>
      </c>
      <c r="BC1055" s="135">
        <v>2</v>
      </c>
      <c r="BD1055" s="24">
        <v>44050</v>
      </c>
      <c r="BE1055" s="135" t="s">
        <v>546</v>
      </c>
      <c r="BF1055" s="135" t="s">
        <v>546</v>
      </c>
      <c r="BG1055" s="135" t="s">
        <v>52</v>
      </c>
      <c r="BH1055" s="135"/>
      <c r="BI1055" s="314" t="s">
        <v>117</v>
      </c>
      <c r="BJ1055" s="314" t="s">
        <v>143</v>
      </c>
      <c r="BK1055" s="24"/>
      <c r="BL1055" s="24"/>
      <c r="BM1055" s="24"/>
      <c r="BN1055" s="24"/>
      <c r="BO1055" s="24"/>
      <c r="BP1055" s="24"/>
      <c r="BQ1055" s="24"/>
      <c r="BR1055" s="43"/>
      <c r="BS1055" s="24"/>
      <c r="BT1055" s="24"/>
      <c r="BU1055" s="24"/>
      <c r="BV1055" s="132" t="e">
        <f>IF(#REF!="COMPLETO","OK","PENDIENTES")</f>
        <v>#REF!</v>
      </c>
      <c r="BW1055" s="325"/>
      <c r="BX1055" s="325"/>
      <c r="BY1055" s="325"/>
      <c r="BZ1055" s="325"/>
      <c r="CA1055" s="325"/>
      <c r="CB1055" s="325"/>
      <c r="CC1055" s="258"/>
      <c r="CG1055" s="24" t="s">
        <v>105</v>
      </c>
      <c r="CH1055" s="24"/>
      <c r="CI1055" s="24"/>
      <c r="CJ1055" s="24"/>
    </row>
    <row r="1056" spans="1:88" ht="15" customHeight="1">
      <c r="A1056" s="18">
        <v>2020</v>
      </c>
      <c r="B1056" s="18" t="str">
        <f>+INDEX(BDD!F:F,MATCH(P1056,BDD!D:D,0))&amp;"-"&amp;INDEX(BDD!E:E,MATCH(P1056,BDD!D:D,0))</f>
        <v>G-S</v>
      </c>
      <c r="C1056" s="125" t="s">
        <v>484</v>
      </c>
      <c r="D1056" s="150" t="s">
        <v>77</v>
      </c>
      <c r="E1056" s="132"/>
      <c r="F1056" s="24"/>
      <c r="G1056" s="346">
        <v>8000000995</v>
      </c>
      <c r="H1056" s="125" t="s">
        <v>4155</v>
      </c>
      <c r="I1056" s="329"/>
      <c r="J1056" s="346">
        <v>8000000995</v>
      </c>
      <c r="K1056" s="24"/>
      <c r="L1056" s="24"/>
      <c r="M1056" s="24"/>
      <c r="N1056" s="340" t="s">
        <v>486</v>
      </c>
      <c r="O1056" s="334">
        <v>207951</v>
      </c>
      <c r="P1056" s="25" t="s">
        <v>354</v>
      </c>
      <c r="Q1056" s="127" t="s">
        <v>133</v>
      </c>
      <c r="R1056" s="232" t="s">
        <v>4150</v>
      </c>
      <c r="S1056" s="89">
        <v>44021</v>
      </c>
      <c r="T1056" s="36" t="s">
        <v>19</v>
      </c>
      <c r="U1056" s="125"/>
      <c r="V1056" s="147" t="s">
        <v>4156</v>
      </c>
      <c r="W1056" s="129"/>
      <c r="X1056" s="88">
        <v>44060</v>
      </c>
      <c r="Y1056" s="130" t="s">
        <v>20</v>
      </c>
      <c r="Z1056" s="133" t="s">
        <v>60</v>
      </c>
      <c r="AA1056" s="133"/>
      <c r="AB1056" s="241">
        <v>300</v>
      </c>
      <c r="AC1056" s="134">
        <v>254</v>
      </c>
      <c r="AD1056" s="134"/>
      <c r="AE1056" s="403">
        <f t="shared" si="58"/>
        <v>76200</v>
      </c>
      <c r="AF1056" s="145" t="s">
        <v>2822</v>
      </c>
      <c r="AG1056" s="130" t="s">
        <v>4109</v>
      </c>
      <c r="AH1056" s="130"/>
      <c r="AI1056" s="130" t="s">
        <v>100</v>
      </c>
      <c r="AJ1056" s="130"/>
      <c r="AK1056" s="130"/>
      <c r="AL1056" s="135" t="s">
        <v>4152</v>
      </c>
      <c r="AM1056" s="314"/>
      <c r="AN1056" s="26"/>
      <c r="AO1056" s="26"/>
      <c r="AP1056" s="26"/>
      <c r="AQ1056" s="26">
        <v>44093</v>
      </c>
      <c r="AR1056" s="24"/>
      <c r="AS1056" s="24"/>
      <c r="AT1056" s="24">
        <v>44093</v>
      </c>
      <c r="AU1056" s="418">
        <f t="shared" si="59"/>
        <v>9</v>
      </c>
      <c r="AV1056" s="418">
        <f t="shared" si="60"/>
        <v>2020</v>
      </c>
      <c r="AW1056" s="24"/>
      <c r="AX1056" s="28"/>
      <c r="AY1056" s="28" t="s">
        <v>281</v>
      </c>
      <c r="AZ1056" s="132" t="s">
        <v>50</v>
      </c>
      <c r="BA1056" s="132"/>
      <c r="BB1056" s="24" t="s">
        <v>2956</v>
      </c>
      <c r="BC1056" s="135">
        <v>4</v>
      </c>
      <c r="BD1056" s="24">
        <v>44050</v>
      </c>
      <c r="BE1056" s="135" t="s">
        <v>546</v>
      </c>
      <c r="BF1056" s="135" t="s">
        <v>546</v>
      </c>
      <c r="BG1056" s="135" t="s">
        <v>52</v>
      </c>
      <c r="BH1056" s="135"/>
      <c r="BI1056" s="314" t="s">
        <v>117</v>
      </c>
      <c r="BJ1056" s="314" t="s">
        <v>143</v>
      </c>
      <c r="BK1056" s="24"/>
      <c r="BL1056" s="24"/>
      <c r="BM1056" s="24"/>
      <c r="BN1056" s="24"/>
      <c r="BO1056" s="24"/>
      <c r="BP1056" s="24"/>
      <c r="BQ1056" s="24"/>
      <c r="BR1056" s="43"/>
      <c r="BS1056" s="24"/>
      <c r="BT1056" s="24"/>
      <c r="BU1056" s="24"/>
      <c r="BV1056" s="132" t="e">
        <f>IF(#REF!="COMPLETO","OK","PENDIENTES")</f>
        <v>#REF!</v>
      </c>
      <c r="BW1056" s="325"/>
      <c r="BX1056" s="325"/>
      <c r="BY1056" s="325"/>
      <c r="BZ1056" s="325"/>
      <c r="CA1056" s="325"/>
      <c r="CB1056" s="325"/>
      <c r="CC1056" s="258"/>
      <c r="CG1056" s="24" t="s">
        <v>105</v>
      </c>
      <c r="CH1056" s="24"/>
      <c r="CI1056" s="24"/>
      <c r="CJ1056" s="24"/>
    </row>
    <row r="1057" spans="1:88" ht="15" customHeight="1">
      <c r="A1057" s="18">
        <v>2020</v>
      </c>
      <c r="B1057" s="18" t="str">
        <f>+INDEX(BDD!F:F,MATCH(P1057,BDD!D:D,0))&amp;"-"&amp;INDEX(BDD!E:E,MATCH(P1057,BDD!D:D,0))</f>
        <v>G-S</v>
      </c>
      <c r="C1057" s="125" t="s">
        <v>484</v>
      </c>
      <c r="D1057" s="150" t="s">
        <v>77</v>
      </c>
      <c r="E1057" s="132"/>
      <c r="F1057" s="24"/>
      <c r="G1057" s="346">
        <v>8000001000</v>
      </c>
      <c r="H1057" s="125" t="s">
        <v>4157</v>
      </c>
      <c r="I1057" s="329"/>
      <c r="J1057" s="346">
        <v>8000001000</v>
      </c>
      <c r="K1057" s="24"/>
      <c r="L1057" s="24"/>
      <c r="M1057" s="24"/>
      <c r="N1057" s="340" t="s">
        <v>486</v>
      </c>
      <c r="O1057" s="334">
        <v>207951</v>
      </c>
      <c r="P1057" s="25" t="s">
        <v>354</v>
      </c>
      <c r="Q1057" s="127" t="s">
        <v>133</v>
      </c>
      <c r="R1057" s="232" t="s">
        <v>4150</v>
      </c>
      <c r="S1057" s="89">
        <v>44021</v>
      </c>
      <c r="T1057" s="36" t="s">
        <v>19</v>
      </c>
      <c r="U1057" s="125"/>
      <c r="V1057" s="147" t="s">
        <v>4158</v>
      </c>
      <c r="W1057" s="129"/>
      <c r="X1057" s="88">
        <v>44060</v>
      </c>
      <c r="Y1057" s="130" t="s">
        <v>20</v>
      </c>
      <c r="Z1057" s="133" t="s">
        <v>60</v>
      </c>
      <c r="AA1057" s="133"/>
      <c r="AB1057" s="241">
        <v>350</v>
      </c>
      <c r="AC1057" s="134">
        <v>254</v>
      </c>
      <c r="AD1057" s="134"/>
      <c r="AE1057" s="403">
        <f t="shared" si="58"/>
        <v>88900</v>
      </c>
      <c r="AF1057" s="132" t="s">
        <v>944</v>
      </c>
      <c r="AG1057" s="130" t="s">
        <v>4109</v>
      </c>
      <c r="AH1057" s="130"/>
      <c r="AI1057" s="130" t="s">
        <v>100</v>
      </c>
      <c r="AJ1057" s="130"/>
      <c r="AK1057" s="130"/>
      <c r="AL1057" s="135" t="s">
        <v>4152</v>
      </c>
      <c r="AM1057" s="314"/>
      <c r="AN1057" s="26"/>
      <c r="AO1057" s="26"/>
      <c r="AP1057" s="26"/>
      <c r="AQ1057" s="26">
        <v>44095</v>
      </c>
      <c r="AR1057" s="24"/>
      <c r="AS1057" s="24"/>
      <c r="AT1057" s="26">
        <v>44097</v>
      </c>
      <c r="AU1057" s="418">
        <f t="shared" si="59"/>
        <v>9</v>
      </c>
      <c r="AV1057" s="418">
        <f t="shared" si="60"/>
        <v>2020</v>
      </c>
      <c r="AW1057" s="26"/>
      <c r="AX1057" s="28"/>
      <c r="AY1057" s="28" t="s">
        <v>281</v>
      </c>
      <c r="AZ1057" s="132" t="s">
        <v>62</v>
      </c>
      <c r="BA1057" s="132"/>
      <c r="BB1057" s="24" t="s">
        <v>3264</v>
      </c>
      <c r="BC1057" s="135">
        <v>3</v>
      </c>
      <c r="BD1057" s="24">
        <v>44050</v>
      </c>
      <c r="BE1057" s="135" t="s">
        <v>546</v>
      </c>
      <c r="BF1057" s="135" t="s">
        <v>546</v>
      </c>
      <c r="BG1057" s="135" t="s">
        <v>52</v>
      </c>
      <c r="BH1057" s="135"/>
      <c r="BI1057" s="314" t="s">
        <v>117</v>
      </c>
      <c r="BJ1057" s="314" t="s">
        <v>143</v>
      </c>
      <c r="BK1057" s="24"/>
      <c r="BL1057" s="24"/>
      <c r="BM1057" s="24"/>
      <c r="BN1057" s="24"/>
      <c r="BO1057" s="24"/>
      <c r="BP1057" s="24"/>
      <c r="BQ1057" s="24"/>
      <c r="BR1057" s="43"/>
      <c r="BS1057" s="24"/>
      <c r="BT1057" s="24"/>
      <c r="BU1057" s="24"/>
      <c r="BV1057" s="132" t="e">
        <f>IF(#REF!="COMPLETO","OK","PENDIENTES")</f>
        <v>#REF!</v>
      </c>
      <c r="BW1057" s="325"/>
      <c r="BX1057" s="325"/>
      <c r="BY1057" s="325"/>
      <c r="BZ1057" s="325"/>
      <c r="CA1057" s="325"/>
      <c r="CB1057" s="325"/>
      <c r="CC1057" s="258"/>
      <c r="CG1057" s="24" t="s">
        <v>105</v>
      </c>
      <c r="CH1057" s="24"/>
      <c r="CI1057" s="26"/>
      <c r="CJ1057" s="26"/>
    </row>
    <row r="1058" spans="1:88" ht="13.15" customHeight="1">
      <c r="A1058" s="18">
        <v>2020</v>
      </c>
      <c r="B1058" s="18" t="str">
        <f>+INDEX(BDD!F:F,MATCH(P1058,BDD!D:D,0))&amp;"-"&amp;INDEX(BDD!E:E,MATCH(P1058,BDD!D:D,0))</f>
        <v>G-S</v>
      </c>
      <c r="C1058" s="125" t="s">
        <v>484</v>
      </c>
      <c r="D1058" s="150" t="s">
        <v>77</v>
      </c>
      <c r="E1058" s="132"/>
      <c r="F1058" s="24"/>
      <c r="G1058" s="346">
        <v>8000000935</v>
      </c>
      <c r="H1058" s="125" t="s">
        <v>4159</v>
      </c>
      <c r="I1058" s="329"/>
      <c r="J1058" s="346">
        <v>8000000935</v>
      </c>
      <c r="K1058" s="24"/>
      <c r="L1058" s="24"/>
      <c r="M1058" s="24"/>
      <c r="N1058" s="340" t="s">
        <v>486</v>
      </c>
      <c r="O1058" s="334">
        <v>206597</v>
      </c>
      <c r="P1058" s="25" t="s">
        <v>104</v>
      </c>
      <c r="Q1058" s="127" t="s">
        <v>237</v>
      </c>
      <c r="R1058" s="232" t="s">
        <v>4160</v>
      </c>
      <c r="S1058" s="89">
        <v>44021</v>
      </c>
      <c r="T1058" s="36">
        <v>150</v>
      </c>
      <c r="U1058" s="125" t="s">
        <v>118</v>
      </c>
      <c r="V1058" s="232" t="s">
        <v>4161</v>
      </c>
      <c r="W1058" s="151"/>
      <c r="X1058" s="88">
        <v>44148</v>
      </c>
      <c r="Y1058" s="130" t="s">
        <v>20</v>
      </c>
      <c r="Z1058" s="133" t="s">
        <v>60</v>
      </c>
      <c r="AA1058" s="133"/>
      <c r="AB1058" s="241">
        <v>330</v>
      </c>
      <c r="AC1058" s="134">
        <v>240</v>
      </c>
      <c r="AD1058" s="134"/>
      <c r="AE1058" s="403">
        <f t="shared" si="58"/>
        <v>79200</v>
      </c>
      <c r="AF1058" s="145" t="s">
        <v>2822</v>
      </c>
      <c r="AG1058" s="130" t="s">
        <v>4109</v>
      </c>
      <c r="AH1058" s="130"/>
      <c r="AI1058" s="130" t="s">
        <v>100</v>
      </c>
      <c r="AJ1058" s="130"/>
      <c r="AK1058" s="130"/>
      <c r="AL1058" s="135" t="s">
        <v>4095</v>
      </c>
      <c r="AM1058" s="314"/>
      <c r="AN1058" s="26"/>
      <c r="AO1058" s="26"/>
      <c r="AP1058" s="26"/>
      <c r="AQ1058" s="26">
        <v>44050</v>
      </c>
      <c r="AR1058" s="24"/>
      <c r="AS1058" s="24"/>
      <c r="AT1058" s="24">
        <v>44052</v>
      </c>
      <c r="AU1058" s="418">
        <f t="shared" si="59"/>
        <v>8</v>
      </c>
      <c r="AV1058" s="418">
        <f t="shared" si="60"/>
        <v>2020</v>
      </c>
      <c r="AW1058" s="24"/>
      <c r="AX1058" s="28"/>
      <c r="AY1058" s="28" t="s">
        <v>201</v>
      </c>
      <c r="AZ1058" s="132" t="s">
        <v>9</v>
      </c>
      <c r="BA1058" s="132"/>
      <c r="BB1058" s="24" t="s">
        <v>3264</v>
      </c>
      <c r="BC1058" s="135">
        <v>19</v>
      </c>
      <c r="BD1058" s="24">
        <v>44000</v>
      </c>
      <c r="BE1058" s="135" t="s">
        <v>4162</v>
      </c>
      <c r="BF1058" s="135" t="s">
        <v>4162</v>
      </c>
      <c r="BG1058" s="135" t="s">
        <v>52</v>
      </c>
      <c r="BH1058" s="135"/>
      <c r="BI1058" s="314" t="s">
        <v>117</v>
      </c>
      <c r="BJ1058" s="314"/>
      <c r="BK1058" s="24"/>
      <c r="BL1058" s="24"/>
      <c r="BM1058" s="24"/>
      <c r="BN1058" s="24"/>
      <c r="BO1058" s="24"/>
      <c r="BP1058" s="24"/>
      <c r="BQ1058" s="24"/>
      <c r="BR1058" s="43"/>
      <c r="BS1058" s="24"/>
      <c r="BT1058" s="24"/>
      <c r="BU1058" s="24"/>
      <c r="BV1058" s="132" t="e">
        <f>IF(#REF!="COMPLETO","OK","PENDIENTES")</f>
        <v>#REF!</v>
      </c>
      <c r="BW1058" s="326"/>
      <c r="BX1058" s="326"/>
      <c r="BY1058" s="326"/>
      <c r="BZ1058" s="326"/>
      <c r="CA1058" s="326"/>
      <c r="CB1058" s="326"/>
      <c r="CC1058" s="269"/>
      <c r="CG1058" s="24" t="s">
        <v>105</v>
      </c>
      <c r="CH1058" s="24"/>
      <c r="CI1058" s="24"/>
      <c r="CJ1058" s="24"/>
    </row>
    <row r="1059" spans="1:88" ht="15" customHeight="1">
      <c r="A1059" s="18">
        <v>2020</v>
      </c>
      <c r="B1059" s="18" t="str">
        <f>+INDEX(BDD!F:F,MATCH(P1059,BDD!D:D,0))&amp;"-"&amp;INDEX(BDD!E:E,MATCH(P1059,BDD!D:D,0))</f>
        <v>T-S</v>
      </c>
      <c r="C1059" s="125" t="s">
        <v>484</v>
      </c>
      <c r="D1059" s="150" t="s">
        <v>77</v>
      </c>
      <c r="E1059" s="132"/>
      <c r="F1059" s="24"/>
      <c r="G1059" s="346">
        <v>8000000935</v>
      </c>
      <c r="H1059" s="125" t="s">
        <v>4163</v>
      </c>
      <c r="I1059" s="329"/>
      <c r="J1059" s="346">
        <v>8000000935</v>
      </c>
      <c r="K1059" s="24"/>
      <c r="L1059" s="24"/>
      <c r="M1059" s="24"/>
      <c r="N1059" s="340" t="s">
        <v>486</v>
      </c>
      <c r="O1059" s="334">
        <v>206597</v>
      </c>
      <c r="P1059" s="25" t="s">
        <v>383</v>
      </c>
      <c r="Q1059" s="127" t="s">
        <v>303</v>
      </c>
      <c r="R1059" s="232" t="s">
        <v>4164</v>
      </c>
      <c r="S1059" s="89" t="s">
        <v>743</v>
      </c>
      <c r="T1059" s="36">
        <v>30</v>
      </c>
      <c r="U1059" s="125" t="s">
        <v>118</v>
      </c>
      <c r="V1059" s="147" t="s">
        <v>4165</v>
      </c>
      <c r="W1059" s="129"/>
      <c r="X1059" s="88">
        <v>44085</v>
      </c>
      <c r="Y1059" s="130" t="s">
        <v>20</v>
      </c>
      <c r="Z1059" s="133" t="s">
        <v>60</v>
      </c>
      <c r="AA1059" s="133"/>
      <c r="AB1059" s="241">
        <v>475</v>
      </c>
      <c r="AC1059" s="134">
        <v>249.9</v>
      </c>
      <c r="AD1059" s="134"/>
      <c r="AE1059" s="403">
        <f t="shared" si="58"/>
        <v>118702.5</v>
      </c>
      <c r="AF1059" s="132">
        <v>19</v>
      </c>
      <c r="AG1059" s="130" t="s">
        <v>5</v>
      </c>
      <c r="AH1059" s="130"/>
      <c r="AI1059" s="130" t="s">
        <v>34</v>
      </c>
      <c r="AJ1059" s="130"/>
      <c r="AK1059" s="130"/>
      <c r="AL1059" s="135" t="s">
        <v>4166</v>
      </c>
      <c r="AM1059" s="314"/>
      <c r="AN1059" s="26"/>
      <c r="AO1059" s="26"/>
      <c r="AP1059" s="26"/>
      <c r="AQ1059" s="26">
        <v>44062</v>
      </c>
      <c r="AR1059" s="24"/>
      <c r="AS1059" s="24"/>
      <c r="AT1059" s="24">
        <v>44071</v>
      </c>
      <c r="AU1059" s="418">
        <f t="shared" si="59"/>
        <v>8</v>
      </c>
      <c r="AV1059" s="418">
        <f t="shared" si="60"/>
        <v>2020</v>
      </c>
      <c r="AW1059" s="24"/>
      <c r="AX1059" s="28"/>
      <c r="AY1059" s="28" t="s">
        <v>3415</v>
      </c>
      <c r="AZ1059" s="132" t="s">
        <v>9</v>
      </c>
      <c r="BA1059" s="132"/>
      <c r="BB1059" s="24" t="s">
        <v>3264</v>
      </c>
      <c r="BC1059" s="135" t="s">
        <v>4167</v>
      </c>
      <c r="BD1059" s="24">
        <v>44056</v>
      </c>
      <c r="BE1059" s="135" t="s">
        <v>3640</v>
      </c>
      <c r="BF1059" s="135" t="s">
        <v>3640</v>
      </c>
      <c r="BG1059" s="135" t="s">
        <v>64</v>
      </c>
      <c r="BH1059" s="135"/>
      <c r="BI1059" s="314" t="s">
        <v>124</v>
      </c>
      <c r="BJ1059" s="314"/>
      <c r="BK1059" s="24"/>
      <c r="BL1059" s="24"/>
      <c r="BM1059" s="24"/>
      <c r="BN1059" s="24"/>
      <c r="BO1059" s="24"/>
      <c r="BP1059" s="24"/>
      <c r="BQ1059" s="24"/>
      <c r="BR1059" s="43"/>
      <c r="BS1059" s="24"/>
      <c r="BT1059" s="24"/>
      <c r="BU1059" s="24"/>
      <c r="BV1059" s="132" t="e">
        <f>IF(#REF!="COMPLETO","OK","PENDIENTES")</f>
        <v>#REF!</v>
      </c>
      <c r="BW1059" s="325"/>
      <c r="BX1059" s="325"/>
      <c r="BY1059" s="325"/>
      <c r="BZ1059" s="325"/>
      <c r="CA1059" s="325"/>
      <c r="CB1059" s="325"/>
      <c r="CC1059" s="258"/>
      <c r="CG1059" s="24" t="s">
        <v>105</v>
      </c>
      <c r="CH1059" s="24"/>
      <c r="CI1059" s="24"/>
      <c r="CJ1059" s="24"/>
    </row>
    <row r="1060" spans="1:88" ht="15" customHeight="1">
      <c r="A1060" s="18">
        <v>2020</v>
      </c>
      <c r="B1060" s="18" t="str">
        <f>+INDEX(BDD!F:F,MATCH(P1060,BDD!D:D,0))&amp;"-"&amp;INDEX(BDD!E:E,MATCH(P1060,BDD!D:D,0))</f>
        <v>T-S</v>
      </c>
      <c r="C1060" s="125" t="s">
        <v>484</v>
      </c>
      <c r="D1060" s="150" t="s">
        <v>77</v>
      </c>
      <c r="E1060" s="132"/>
      <c r="F1060" s="24"/>
      <c r="G1060" s="346">
        <v>8000000936</v>
      </c>
      <c r="H1060" s="125" t="s">
        <v>4168</v>
      </c>
      <c r="I1060" s="329"/>
      <c r="J1060" s="346">
        <v>8000000936</v>
      </c>
      <c r="K1060" s="24"/>
      <c r="L1060" s="24"/>
      <c r="M1060" s="24"/>
      <c r="N1060" s="340" t="s">
        <v>486</v>
      </c>
      <c r="O1060" s="334">
        <v>208067</v>
      </c>
      <c r="P1060" s="25" t="s">
        <v>383</v>
      </c>
      <c r="Q1060" s="127" t="s">
        <v>303</v>
      </c>
      <c r="R1060" s="232" t="s">
        <v>4169</v>
      </c>
      <c r="S1060" s="89" t="s">
        <v>743</v>
      </c>
      <c r="T1060" s="36">
        <v>30</v>
      </c>
      <c r="U1060" s="125" t="s">
        <v>118</v>
      </c>
      <c r="V1060" s="147" t="s">
        <v>4170</v>
      </c>
      <c r="W1060" s="129"/>
      <c r="X1060" s="88">
        <v>44085</v>
      </c>
      <c r="Y1060" s="130" t="s">
        <v>20</v>
      </c>
      <c r="Z1060" s="133" t="s">
        <v>60</v>
      </c>
      <c r="AA1060" s="133"/>
      <c r="AB1060" s="241">
        <v>475</v>
      </c>
      <c r="AC1060" s="134">
        <v>249.9</v>
      </c>
      <c r="AD1060" s="134"/>
      <c r="AE1060" s="403">
        <f t="shared" si="58"/>
        <v>118702.5</v>
      </c>
      <c r="AF1060" s="132">
        <v>19</v>
      </c>
      <c r="AG1060" s="130" t="s">
        <v>5</v>
      </c>
      <c r="AH1060" s="130"/>
      <c r="AI1060" s="130" t="s">
        <v>34</v>
      </c>
      <c r="AJ1060" s="130"/>
      <c r="AK1060" s="130"/>
      <c r="AL1060" s="135" t="s">
        <v>4166</v>
      </c>
      <c r="AM1060" s="314"/>
      <c r="AN1060" s="26"/>
      <c r="AO1060" s="26"/>
      <c r="AP1060" s="26"/>
      <c r="AQ1060" s="26">
        <v>44062</v>
      </c>
      <c r="AR1060" s="24"/>
      <c r="AS1060" s="24"/>
      <c r="AT1060" s="164">
        <v>44065</v>
      </c>
      <c r="AU1060" s="418">
        <f t="shared" si="59"/>
        <v>8</v>
      </c>
      <c r="AV1060" s="418">
        <f t="shared" si="60"/>
        <v>2020</v>
      </c>
      <c r="AW1060" s="164"/>
      <c r="AX1060" s="28"/>
      <c r="AY1060" s="28" t="s">
        <v>3415</v>
      </c>
      <c r="AZ1060" s="132" t="s">
        <v>9</v>
      </c>
      <c r="BA1060" s="132"/>
      <c r="BB1060" s="24" t="s">
        <v>2956</v>
      </c>
      <c r="BC1060" s="135" t="s">
        <v>4171</v>
      </c>
      <c r="BD1060" s="24">
        <v>44056</v>
      </c>
      <c r="BE1060" s="135" t="s">
        <v>3640</v>
      </c>
      <c r="BF1060" s="135" t="s">
        <v>3640</v>
      </c>
      <c r="BG1060" s="135" t="s">
        <v>64</v>
      </c>
      <c r="BH1060" s="135"/>
      <c r="BI1060" s="314" t="s">
        <v>124</v>
      </c>
      <c r="BJ1060" s="314"/>
      <c r="BK1060" s="24"/>
      <c r="BL1060" s="24"/>
      <c r="BM1060" s="24"/>
      <c r="BN1060" s="24"/>
      <c r="BO1060" s="24"/>
      <c r="BP1060" s="24"/>
      <c r="BQ1060" s="24"/>
      <c r="BR1060" s="43"/>
      <c r="BS1060" s="24"/>
      <c r="BT1060" s="24"/>
      <c r="BU1060" s="24"/>
      <c r="BV1060" s="132" t="e">
        <f>IF(#REF!="COMPLETO","OK","PENDIENTES")</f>
        <v>#REF!</v>
      </c>
      <c r="BW1060" s="325"/>
      <c r="BX1060" s="325"/>
      <c r="BY1060" s="325"/>
      <c r="BZ1060" s="325"/>
      <c r="CA1060" s="325"/>
      <c r="CB1060" s="325"/>
      <c r="CC1060" s="258"/>
      <c r="CG1060" s="24" t="s">
        <v>105</v>
      </c>
      <c r="CH1060" s="24"/>
      <c r="CI1060" s="164"/>
      <c r="CJ1060" s="164"/>
    </row>
    <row r="1061" spans="1:88" ht="15" customHeight="1">
      <c r="A1061" s="18">
        <v>2020</v>
      </c>
      <c r="B1061" s="18" t="str">
        <f>+INDEX(BDD!F:F,MATCH(P1061,BDD!D:D,0))&amp;"-"&amp;INDEX(BDD!E:E,MATCH(P1061,BDD!D:D,0))</f>
        <v>S-P</v>
      </c>
      <c r="C1061" s="125" t="s">
        <v>484</v>
      </c>
      <c r="D1061" s="150" t="s">
        <v>77</v>
      </c>
      <c r="E1061" s="132"/>
      <c r="F1061" s="24"/>
      <c r="G1061" s="346">
        <v>8000001026</v>
      </c>
      <c r="H1061" s="125" t="s">
        <v>4172</v>
      </c>
      <c r="I1061" s="329"/>
      <c r="J1061" s="346">
        <v>8000001026</v>
      </c>
      <c r="K1061" s="24"/>
      <c r="L1061" s="24"/>
      <c r="M1061" s="24"/>
      <c r="N1061" s="340" t="s">
        <v>486</v>
      </c>
      <c r="O1061" s="334">
        <v>208510</v>
      </c>
      <c r="P1061" s="25" t="s">
        <v>2</v>
      </c>
      <c r="Q1061" s="127" t="s">
        <v>234</v>
      </c>
      <c r="R1061" s="232" t="s">
        <v>4173</v>
      </c>
      <c r="S1061" s="89">
        <v>44035</v>
      </c>
      <c r="T1061" s="36">
        <v>90</v>
      </c>
      <c r="U1061" s="125" t="s">
        <v>118</v>
      </c>
      <c r="V1061" s="232" t="s">
        <v>4173</v>
      </c>
      <c r="W1061" s="151"/>
      <c r="X1061" s="88">
        <f>+BD1061+T1061</f>
        <v>44151</v>
      </c>
      <c r="Y1061" s="130" t="s">
        <v>20</v>
      </c>
      <c r="Z1061" s="133" t="s">
        <v>81</v>
      </c>
      <c r="AA1061" s="133"/>
      <c r="AB1061" s="241">
        <v>336.7</v>
      </c>
      <c r="AC1061" s="134">
        <v>825</v>
      </c>
      <c r="AD1061" s="134"/>
      <c r="AE1061" s="403">
        <f t="shared" si="58"/>
        <v>277777.5</v>
      </c>
      <c r="AF1061" s="132">
        <v>13</v>
      </c>
      <c r="AG1061" s="130" t="s">
        <v>5</v>
      </c>
      <c r="AH1061" s="130"/>
      <c r="AI1061" s="130" t="s">
        <v>80</v>
      </c>
      <c r="AJ1061" s="130"/>
      <c r="AK1061" s="130"/>
      <c r="AL1061" s="135" t="s">
        <v>4174</v>
      </c>
      <c r="AM1061" s="314"/>
      <c r="AN1061" s="26"/>
      <c r="AO1061" s="26"/>
      <c r="AP1061" s="26"/>
      <c r="AQ1061" s="26">
        <v>44106</v>
      </c>
      <c r="AR1061" s="24"/>
      <c r="AS1061" s="24"/>
      <c r="AT1061" s="164">
        <v>44117</v>
      </c>
      <c r="AU1061" s="418">
        <f t="shared" si="59"/>
        <v>10</v>
      </c>
      <c r="AV1061" s="418">
        <f t="shared" si="60"/>
        <v>2020</v>
      </c>
      <c r="AW1061" s="164"/>
      <c r="AX1061" s="28"/>
      <c r="AY1061" s="28" t="s">
        <v>308</v>
      </c>
      <c r="AZ1061" s="132" t="s">
        <v>9</v>
      </c>
      <c r="BA1061" s="132"/>
      <c r="BB1061" s="24" t="s">
        <v>3519</v>
      </c>
      <c r="BC1061" s="135" t="s">
        <v>4175</v>
      </c>
      <c r="BD1061" s="24">
        <v>44061</v>
      </c>
      <c r="BE1061" s="135" t="s">
        <v>4176</v>
      </c>
      <c r="BF1061" s="135" t="s">
        <v>994</v>
      </c>
      <c r="BG1061" s="135" t="s">
        <v>41</v>
      </c>
      <c r="BH1061" s="135"/>
      <c r="BI1061" s="314" t="s">
        <v>124</v>
      </c>
      <c r="BJ1061" s="314" t="s">
        <v>143</v>
      </c>
      <c r="BK1061" s="24"/>
      <c r="BL1061" s="24"/>
      <c r="BM1061" s="24"/>
      <c r="BN1061" s="24"/>
      <c r="BO1061" s="24">
        <v>44119</v>
      </c>
      <c r="BP1061" s="24"/>
      <c r="BQ1061" s="24"/>
      <c r="BR1061" s="43"/>
      <c r="BS1061" s="24"/>
      <c r="BT1061" s="24"/>
      <c r="BU1061" s="24"/>
      <c r="BV1061" s="132" t="e">
        <f>IF(#REF!="COMPLETO","OK","PENDIENTES")</f>
        <v>#REF!</v>
      </c>
      <c r="BW1061" s="325"/>
      <c r="BX1061" s="325"/>
      <c r="BY1061" s="325"/>
      <c r="BZ1061" s="325"/>
      <c r="CA1061" s="325"/>
      <c r="CB1061" s="325"/>
      <c r="CC1061" s="258" t="s">
        <v>4177</v>
      </c>
      <c r="CG1061" s="24" t="s">
        <v>105</v>
      </c>
      <c r="CH1061" s="24"/>
      <c r="CI1061" s="164"/>
      <c r="CJ1061" s="164"/>
    </row>
    <row r="1062" spans="1:88" ht="14.65" customHeight="1">
      <c r="A1062" s="18">
        <v>2020</v>
      </c>
      <c r="B1062" s="18" t="str">
        <f>+INDEX(BDD!F:F,MATCH(P1062,BDD!D:D,0))&amp;"-"&amp;INDEX(BDD!E:E,MATCH(P1062,BDD!D:D,0))</f>
        <v>S-P</v>
      </c>
      <c r="C1062" s="125" t="s">
        <v>484</v>
      </c>
      <c r="D1062" s="150" t="s">
        <v>77</v>
      </c>
      <c r="E1062" s="132"/>
      <c r="F1062" s="24"/>
      <c r="G1062" s="346">
        <v>8000001047</v>
      </c>
      <c r="H1062" s="125" t="s">
        <v>4178</v>
      </c>
      <c r="I1062" s="329"/>
      <c r="J1062" s="346">
        <v>8000001047</v>
      </c>
      <c r="K1062" s="24"/>
      <c r="L1062" s="24"/>
      <c r="M1062" s="24"/>
      <c r="N1062" s="340" t="s">
        <v>486</v>
      </c>
      <c r="O1062" s="334">
        <v>208510</v>
      </c>
      <c r="P1062" s="25" t="s">
        <v>2</v>
      </c>
      <c r="Q1062" s="127" t="s">
        <v>234</v>
      </c>
      <c r="R1062" s="232" t="s">
        <v>4179</v>
      </c>
      <c r="S1062" s="89">
        <v>44035</v>
      </c>
      <c r="T1062" s="36">
        <v>90</v>
      </c>
      <c r="U1062" s="125" t="s">
        <v>118</v>
      </c>
      <c r="V1062" s="232" t="s">
        <v>4179</v>
      </c>
      <c r="W1062" s="151"/>
      <c r="X1062" s="88">
        <f>+BD1062+T1062</f>
        <v>44156</v>
      </c>
      <c r="Y1062" s="130" t="s">
        <v>20</v>
      </c>
      <c r="Z1062" s="133" t="s">
        <v>81</v>
      </c>
      <c r="AA1062" s="133"/>
      <c r="AB1062" s="241">
        <v>362.6</v>
      </c>
      <c r="AC1062" s="134">
        <v>825</v>
      </c>
      <c r="AD1062" s="134"/>
      <c r="AE1062" s="403">
        <f t="shared" si="58"/>
        <v>299145</v>
      </c>
      <c r="AF1062" s="132">
        <v>14</v>
      </c>
      <c r="AG1062" s="130" t="s">
        <v>5</v>
      </c>
      <c r="AH1062" s="130"/>
      <c r="AI1062" s="130" t="s">
        <v>80</v>
      </c>
      <c r="AJ1062" s="130"/>
      <c r="AK1062" s="130"/>
      <c r="AL1062" s="135" t="s">
        <v>4180</v>
      </c>
      <c r="AM1062" s="314"/>
      <c r="AN1062" s="26"/>
      <c r="AO1062" s="26"/>
      <c r="AP1062" s="26"/>
      <c r="AQ1062" s="26">
        <v>44120</v>
      </c>
      <c r="AR1062" s="24"/>
      <c r="AS1062" s="24"/>
      <c r="AT1062" s="24">
        <v>44125</v>
      </c>
      <c r="AU1062" s="418">
        <f t="shared" si="59"/>
        <v>10</v>
      </c>
      <c r="AV1062" s="418">
        <f t="shared" si="60"/>
        <v>2020</v>
      </c>
      <c r="AW1062" s="24"/>
      <c r="AX1062" s="28"/>
      <c r="AY1062" s="28" t="s">
        <v>308</v>
      </c>
      <c r="AZ1062" s="132" t="s">
        <v>9</v>
      </c>
      <c r="BA1062" s="132"/>
      <c r="BB1062" s="24" t="s">
        <v>3519</v>
      </c>
      <c r="BC1062" s="135" t="s">
        <v>4181</v>
      </c>
      <c r="BD1062" s="24">
        <v>44066</v>
      </c>
      <c r="BE1062" s="135" t="s">
        <v>4182</v>
      </c>
      <c r="BF1062" s="135" t="s">
        <v>994</v>
      </c>
      <c r="BG1062" s="135" t="s">
        <v>41</v>
      </c>
      <c r="BH1062" s="135"/>
      <c r="BI1062" s="314" t="s">
        <v>124</v>
      </c>
      <c r="BJ1062" s="314" t="s">
        <v>143</v>
      </c>
      <c r="BK1062" s="24"/>
      <c r="BL1062" s="24"/>
      <c r="BM1062" s="24"/>
      <c r="BN1062" s="24"/>
      <c r="BO1062" s="24">
        <v>44133</v>
      </c>
      <c r="BP1062" s="24"/>
      <c r="BQ1062" s="24"/>
      <c r="BR1062" s="43"/>
      <c r="BS1062" s="24"/>
      <c r="BT1062" s="24"/>
      <c r="BU1062" s="24"/>
      <c r="BV1062" s="132" t="e">
        <f>IF(#REF!="COMPLETO","OK","PENDIENTES")</f>
        <v>#REF!</v>
      </c>
      <c r="BW1062" s="325"/>
      <c r="BX1062" s="325"/>
      <c r="BY1062" s="325"/>
      <c r="BZ1062" s="325"/>
      <c r="CA1062" s="325"/>
      <c r="CB1062" s="325"/>
      <c r="CC1062" s="258"/>
      <c r="CG1062" s="24" t="s">
        <v>105</v>
      </c>
      <c r="CH1062" s="24"/>
      <c r="CI1062" s="24"/>
      <c r="CJ1062" s="24"/>
    </row>
    <row r="1063" spans="1:88" ht="15" customHeight="1">
      <c r="A1063" s="18">
        <v>2020</v>
      </c>
      <c r="B1063" s="18" t="str">
        <f>+INDEX(BDD!F:F,MATCH(P1063,BDD!D:D,0))&amp;"-"&amp;INDEX(BDD!E:E,MATCH(P1063,BDD!D:D,0))</f>
        <v>T-S</v>
      </c>
      <c r="C1063" s="125" t="s">
        <v>484</v>
      </c>
      <c r="D1063" s="150" t="s">
        <v>77</v>
      </c>
      <c r="E1063" s="132"/>
      <c r="F1063" s="24"/>
      <c r="G1063" s="346">
        <v>8000000906</v>
      </c>
      <c r="H1063" s="125" t="s">
        <v>4183</v>
      </c>
      <c r="I1063" s="329"/>
      <c r="J1063" s="346">
        <v>8000000906</v>
      </c>
      <c r="K1063" s="24"/>
      <c r="L1063" s="24"/>
      <c r="M1063" s="24"/>
      <c r="N1063" s="340" t="s">
        <v>486</v>
      </c>
      <c r="O1063" s="334">
        <v>208510</v>
      </c>
      <c r="P1063" s="25" t="s">
        <v>382</v>
      </c>
      <c r="Q1063" s="127" t="s">
        <v>303</v>
      </c>
      <c r="R1063" s="232" t="s">
        <v>4184</v>
      </c>
      <c r="S1063" s="89">
        <v>44392</v>
      </c>
      <c r="T1063" s="36">
        <v>30</v>
      </c>
      <c r="U1063" s="125" t="s">
        <v>118</v>
      </c>
      <c r="V1063" s="147" t="s">
        <v>4185</v>
      </c>
      <c r="W1063" s="129"/>
      <c r="X1063" s="88">
        <v>44071</v>
      </c>
      <c r="Y1063" s="130" t="s">
        <v>20</v>
      </c>
      <c r="Z1063" s="133" t="s">
        <v>60</v>
      </c>
      <c r="AA1063" s="133"/>
      <c r="AB1063" s="241">
        <v>432</v>
      </c>
      <c r="AC1063" s="134">
        <v>220.34</v>
      </c>
      <c r="AD1063" s="134"/>
      <c r="AE1063" s="403">
        <f t="shared" si="58"/>
        <v>95186.880000000005</v>
      </c>
      <c r="AF1063" s="132">
        <v>18</v>
      </c>
      <c r="AG1063" s="130" t="s">
        <v>5</v>
      </c>
      <c r="AH1063" s="130"/>
      <c r="AI1063" s="130" t="s">
        <v>71</v>
      </c>
      <c r="AJ1063" s="130"/>
      <c r="AK1063" s="130"/>
      <c r="AL1063" s="135" t="s">
        <v>3961</v>
      </c>
      <c r="AM1063" s="314"/>
      <c r="AN1063" s="26"/>
      <c r="AO1063" s="26"/>
      <c r="AP1063" s="26"/>
      <c r="AQ1063" s="26">
        <v>44048</v>
      </c>
      <c r="AR1063" s="24"/>
      <c r="AS1063" s="24"/>
      <c r="AT1063" s="24">
        <v>44054</v>
      </c>
      <c r="AU1063" s="418">
        <f t="shared" si="59"/>
        <v>8</v>
      </c>
      <c r="AV1063" s="418">
        <f t="shared" si="60"/>
        <v>2020</v>
      </c>
      <c r="AW1063" s="24"/>
      <c r="AX1063" s="28"/>
      <c r="AY1063" s="28" t="s">
        <v>3415</v>
      </c>
      <c r="AZ1063" s="132" t="s">
        <v>9</v>
      </c>
      <c r="BA1063" s="132"/>
      <c r="BB1063" s="24" t="s">
        <v>2956</v>
      </c>
      <c r="BC1063" s="135" t="s">
        <v>4186</v>
      </c>
      <c r="BD1063" s="24">
        <v>44043</v>
      </c>
      <c r="BE1063" s="135" t="s">
        <v>3640</v>
      </c>
      <c r="BF1063" s="135" t="s">
        <v>3640</v>
      </c>
      <c r="BG1063" s="135" t="s">
        <v>64</v>
      </c>
      <c r="BH1063" s="135"/>
      <c r="BI1063" s="314" t="s">
        <v>124</v>
      </c>
      <c r="BJ1063" s="314"/>
      <c r="BK1063" s="24"/>
      <c r="BL1063" s="24"/>
      <c r="BM1063" s="24"/>
      <c r="BN1063" s="24"/>
      <c r="BO1063" s="24"/>
      <c r="BP1063" s="24"/>
      <c r="BQ1063" s="24"/>
      <c r="BR1063" s="43"/>
      <c r="BS1063" s="24"/>
      <c r="BT1063" s="24"/>
      <c r="BU1063" s="24"/>
      <c r="BV1063" s="132" t="e">
        <f>IF(#REF!="COMPLETO","OK","PENDIENTES")</f>
        <v>#REF!</v>
      </c>
      <c r="BW1063" s="325"/>
      <c r="BX1063" s="325"/>
      <c r="BY1063" s="325"/>
      <c r="BZ1063" s="325"/>
      <c r="CA1063" s="325"/>
      <c r="CB1063" s="325"/>
      <c r="CC1063" s="258"/>
      <c r="CG1063" s="24" t="s">
        <v>105</v>
      </c>
      <c r="CH1063" s="24"/>
      <c r="CI1063" s="24"/>
      <c r="CJ1063" s="24"/>
    </row>
    <row r="1064" spans="1:88" ht="15" customHeight="1">
      <c r="A1064" s="18">
        <v>2020</v>
      </c>
      <c r="B1064" s="18" t="str">
        <f>+INDEX(BDD!F:F,MATCH(P1064,BDD!D:D,0))&amp;"-"&amp;INDEX(BDD!E:E,MATCH(P1064,BDD!D:D,0))</f>
        <v>T-S</v>
      </c>
      <c r="C1064" s="125" t="s">
        <v>484</v>
      </c>
      <c r="D1064" s="150" t="s">
        <v>77</v>
      </c>
      <c r="E1064" s="132"/>
      <c r="F1064" s="24"/>
      <c r="G1064" s="346">
        <v>8000000907</v>
      </c>
      <c r="H1064" s="125" t="s">
        <v>4187</v>
      </c>
      <c r="I1064" s="329"/>
      <c r="J1064" s="346">
        <v>8000000907</v>
      </c>
      <c r="K1064" s="24"/>
      <c r="L1064" s="24"/>
      <c r="M1064" s="24"/>
      <c r="N1064" s="340" t="s">
        <v>486</v>
      </c>
      <c r="O1064" s="334">
        <v>208073</v>
      </c>
      <c r="P1064" s="25" t="s">
        <v>383</v>
      </c>
      <c r="Q1064" s="127" t="s">
        <v>303</v>
      </c>
      <c r="R1064" s="232" t="s">
        <v>4188</v>
      </c>
      <c r="S1064" s="89" t="s">
        <v>671</v>
      </c>
      <c r="T1064" s="36">
        <v>30</v>
      </c>
      <c r="U1064" s="125" t="s">
        <v>118</v>
      </c>
      <c r="V1064" s="147" t="s">
        <v>4189</v>
      </c>
      <c r="W1064" s="129"/>
      <c r="X1064" s="88">
        <v>44071</v>
      </c>
      <c r="Y1064" s="130" t="s">
        <v>20</v>
      </c>
      <c r="Z1064" s="133" t="s">
        <v>60</v>
      </c>
      <c r="AA1064" s="133"/>
      <c r="AB1064" s="241">
        <v>125</v>
      </c>
      <c r="AC1064" s="134">
        <v>220.34</v>
      </c>
      <c r="AD1064" s="134"/>
      <c r="AE1064" s="403">
        <f t="shared" si="58"/>
        <v>27542.5</v>
      </c>
      <c r="AF1064" s="132">
        <v>5</v>
      </c>
      <c r="AG1064" s="130" t="s">
        <v>5</v>
      </c>
      <c r="AH1064" s="130"/>
      <c r="AI1064" s="130" t="s">
        <v>34</v>
      </c>
      <c r="AJ1064" s="130"/>
      <c r="AK1064" s="130"/>
      <c r="AL1064" s="135" t="s">
        <v>3961</v>
      </c>
      <c r="AM1064" s="314"/>
      <c r="AN1064" s="26"/>
      <c r="AO1064" s="26"/>
      <c r="AP1064" s="26"/>
      <c r="AQ1064" s="26">
        <v>44048</v>
      </c>
      <c r="AR1064" s="24"/>
      <c r="AS1064" s="24"/>
      <c r="AT1064" s="24">
        <v>44055</v>
      </c>
      <c r="AU1064" s="418">
        <f t="shared" si="59"/>
        <v>8</v>
      </c>
      <c r="AV1064" s="418">
        <f t="shared" si="60"/>
        <v>2020</v>
      </c>
      <c r="AW1064" s="24"/>
      <c r="AX1064" s="28"/>
      <c r="AY1064" s="28" t="s">
        <v>3415</v>
      </c>
      <c r="AZ1064" s="132" t="s">
        <v>9</v>
      </c>
      <c r="BA1064" s="132"/>
      <c r="BB1064" s="24" t="s">
        <v>3264</v>
      </c>
      <c r="BC1064" s="135" t="s">
        <v>4190</v>
      </c>
      <c r="BD1064" s="24">
        <v>44043</v>
      </c>
      <c r="BE1064" s="135" t="s">
        <v>3640</v>
      </c>
      <c r="BF1064" s="135" t="s">
        <v>3640</v>
      </c>
      <c r="BG1064" s="135" t="s">
        <v>29</v>
      </c>
      <c r="BH1064" s="135"/>
      <c r="BI1064" s="314" t="s">
        <v>124</v>
      </c>
      <c r="BJ1064" s="314"/>
      <c r="BK1064" s="24"/>
      <c r="BL1064" s="24"/>
      <c r="BM1064" s="24"/>
      <c r="BN1064" s="24"/>
      <c r="BO1064" s="24"/>
      <c r="BP1064" s="24"/>
      <c r="BQ1064" s="24"/>
      <c r="BR1064" s="43"/>
      <c r="BS1064" s="24"/>
      <c r="BT1064" s="24"/>
      <c r="BU1064" s="24"/>
      <c r="BV1064" s="132" t="e">
        <f>IF(#REF!="COMPLETO","OK","PENDIENTES")</f>
        <v>#REF!</v>
      </c>
      <c r="BW1064" s="325"/>
      <c r="BX1064" s="325"/>
      <c r="BY1064" s="325"/>
      <c r="BZ1064" s="325"/>
      <c r="CA1064" s="325"/>
      <c r="CB1064" s="325"/>
      <c r="CC1064" s="258"/>
      <c r="CG1064" s="24" t="s">
        <v>105</v>
      </c>
      <c r="CH1064" s="24"/>
      <c r="CI1064" s="24"/>
      <c r="CJ1064" s="24"/>
    </row>
    <row r="1065" spans="1:88" ht="15" customHeight="1">
      <c r="A1065" s="18">
        <v>2020</v>
      </c>
      <c r="B1065" s="18" t="str">
        <f>+INDEX(BDD!F:F,MATCH(P1065,BDD!D:D,0))&amp;"-"&amp;INDEX(BDD!E:E,MATCH(P1065,BDD!D:D,0))</f>
        <v>T-S</v>
      </c>
      <c r="C1065" s="125" t="s">
        <v>484</v>
      </c>
      <c r="D1065" s="150" t="s">
        <v>77</v>
      </c>
      <c r="E1065" s="132"/>
      <c r="F1065" s="24"/>
      <c r="G1065" s="346">
        <v>8000000896</v>
      </c>
      <c r="H1065" s="125" t="s">
        <v>4191</v>
      </c>
      <c r="I1065" s="329"/>
      <c r="J1065" s="346">
        <v>8000000896</v>
      </c>
      <c r="K1065" s="24"/>
      <c r="L1065" s="24"/>
      <c r="M1065" s="24"/>
      <c r="N1065" s="340" t="s">
        <v>486</v>
      </c>
      <c r="O1065" s="334">
        <v>208067</v>
      </c>
      <c r="P1065" s="25" t="s">
        <v>383</v>
      </c>
      <c r="Q1065" s="127" t="s">
        <v>303</v>
      </c>
      <c r="R1065" s="232" t="s">
        <v>4192</v>
      </c>
      <c r="S1065" s="89" t="s">
        <v>671</v>
      </c>
      <c r="T1065" s="36">
        <v>30</v>
      </c>
      <c r="U1065" s="125" t="s">
        <v>118</v>
      </c>
      <c r="V1065" s="147" t="s">
        <v>4193</v>
      </c>
      <c r="W1065" s="129"/>
      <c r="X1065" s="88">
        <v>44071</v>
      </c>
      <c r="Y1065" s="130" t="s">
        <v>20</v>
      </c>
      <c r="Z1065" s="133" t="s">
        <v>60</v>
      </c>
      <c r="AA1065" s="133"/>
      <c r="AB1065" s="241">
        <v>625</v>
      </c>
      <c r="AC1065" s="134">
        <v>220.34</v>
      </c>
      <c r="AD1065" s="134"/>
      <c r="AE1065" s="403">
        <f t="shared" si="58"/>
        <v>137712.5</v>
      </c>
      <c r="AF1065" s="132">
        <v>25</v>
      </c>
      <c r="AG1065" s="130" t="s">
        <v>5</v>
      </c>
      <c r="AH1065" s="130"/>
      <c r="AI1065" s="130" t="s">
        <v>34</v>
      </c>
      <c r="AJ1065" s="130"/>
      <c r="AK1065" s="130"/>
      <c r="AL1065" s="135" t="s">
        <v>3961</v>
      </c>
      <c r="AM1065" s="314"/>
      <c r="AN1065" s="26"/>
      <c r="AO1065" s="26"/>
      <c r="AP1065" s="26"/>
      <c r="AQ1065" s="26">
        <v>44050</v>
      </c>
      <c r="AR1065" s="24"/>
      <c r="AS1065" s="24"/>
      <c r="AT1065" s="24">
        <v>44055</v>
      </c>
      <c r="AU1065" s="418">
        <f t="shared" si="59"/>
        <v>8</v>
      </c>
      <c r="AV1065" s="418">
        <f t="shared" si="60"/>
        <v>2020</v>
      </c>
      <c r="AW1065" s="24"/>
      <c r="AX1065" s="28"/>
      <c r="AY1065" s="28" t="s">
        <v>3415</v>
      </c>
      <c r="AZ1065" s="132" t="s">
        <v>37</v>
      </c>
      <c r="BA1065" s="132"/>
      <c r="BB1065" s="24" t="s">
        <v>2956</v>
      </c>
      <c r="BC1065" s="135" t="s">
        <v>4194</v>
      </c>
      <c r="BD1065" s="24">
        <v>44041</v>
      </c>
      <c r="BE1065" s="135" t="s">
        <v>2668</v>
      </c>
      <c r="BF1065" s="135" t="s">
        <v>2668</v>
      </c>
      <c r="BG1065" s="135" t="s">
        <v>64</v>
      </c>
      <c r="BH1065" s="135"/>
      <c r="BI1065" s="314" t="s">
        <v>124</v>
      </c>
      <c r="BJ1065" s="314"/>
      <c r="BK1065" s="24"/>
      <c r="BL1065" s="24"/>
      <c r="BM1065" s="24"/>
      <c r="BN1065" s="24"/>
      <c r="BO1065" s="24"/>
      <c r="BP1065" s="24"/>
      <c r="BQ1065" s="24"/>
      <c r="BR1065" s="43"/>
      <c r="BS1065" s="24"/>
      <c r="BT1065" s="24"/>
      <c r="BU1065" s="24"/>
      <c r="BV1065" s="132" t="e">
        <f>IF(#REF!="COMPLETO","OK","PENDIENTES")</f>
        <v>#REF!</v>
      </c>
      <c r="BW1065" s="325"/>
      <c r="BX1065" s="325"/>
      <c r="BY1065" s="325"/>
      <c r="BZ1065" s="325"/>
      <c r="CA1065" s="325"/>
      <c r="CB1065" s="325"/>
      <c r="CC1065" s="258"/>
      <c r="CG1065" s="24" t="s">
        <v>105</v>
      </c>
      <c r="CH1065" s="24"/>
      <c r="CI1065" s="24"/>
      <c r="CJ1065" s="24"/>
    </row>
    <row r="1066" spans="1:88" ht="15" customHeight="1">
      <c r="A1066" s="18">
        <v>2020</v>
      </c>
      <c r="B1066" s="18" t="str">
        <f>+INDEX(BDD!F:F,MATCH(P1066,BDD!D:D,0))&amp;"-"&amp;INDEX(BDD!E:E,MATCH(P1066,BDD!D:D,0))</f>
        <v>T-S</v>
      </c>
      <c r="C1066" s="125" t="s">
        <v>484</v>
      </c>
      <c r="D1066" s="150" t="s">
        <v>77</v>
      </c>
      <c r="E1066" s="132"/>
      <c r="F1066" s="24"/>
      <c r="G1066" s="346">
        <v>8000000897</v>
      </c>
      <c r="H1066" s="125" t="s">
        <v>4195</v>
      </c>
      <c r="I1066" s="329"/>
      <c r="J1066" s="346">
        <v>8000000897</v>
      </c>
      <c r="K1066" s="24"/>
      <c r="L1066" s="24"/>
      <c r="M1066" s="24"/>
      <c r="N1066" s="340" t="s">
        <v>486</v>
      </c>
      <c r="O1066" s="334">
        <v>208067</v>
      </c>
      <c r="P1066" s="25" t="s">
        <v>383</v>
      </c>
      <c r="Q1066" s="127" t="s">
        <v>303</v>
      </c>
      <c r="R1066" s="232" t="s">
        <v>4196</v>
      </c>
      <c r="S1066" s="89" t="s">
        <v>671</v>
      </c>
      <c r="T1066" s="36">
        <v>30</v>
      </c>
      <c r="U1066" s="125" t="s">
        <v>118</v>
      </c>
      <c r="V1066" s="147" t="s">
        <v>4197</v>
      </c>
      <c r="W1066" s="129"/>
      <c r="X1066" s="88">
        <v>44071</v>
      </c>
      <c r="Y1066" s="130" t="s">
        <v>20</v>
      </c>
      <c r="Z1066" s="133" t="s">
        <v>60</v>
      </c>
      <c r="AA1066" s="133"/>
      <c r="AB1066" s="241">
        <v>625</v>
      </c>
      <c r="AC1066" s="134">
        <v>220.34</v>
      </c>
      <c r="AD1066" s="134"/>
      <c r="AE1066" s="403">
        <f t="shared" si="58"/>
        <v>137712.5</v>
      </c>
      <c r="AF1066" s="132">
        <v>25</v>
      </c>
      <c r="AG1066" s="130" t="s">
        <v>5</v>
      </c>
      <c r="AH1066" s="130"/>
      <c r="AI1066" s="130" t="s">
        <v>34</v>
      </c>
      <c r="AJ1066" s="130"/>
      <c r="AK1066" s="130"/>
      <c r="AL1066" s="135" t="s">
        <v>3961</v>
      </c>
      <c r="AM1066" s="314"/>
      <c r="AN1066" s="26"/>
      <c r="AO1066" s="26"/>
      <c r="AP1066" s="26"/>
      <c r="AQ1066" s="26">
        <v>44050</v>
      </c>
      <c r="AR1066" s="24"/>
      <c r="AS1066" s="24"/>
      <c r="AT1066" s="24">
        <v>44055</v>
      </c>
      <c r="AU1066" s="418">
        <f t="shared" si="59"/>
        <v>8</v>
      </c>
      <c r="AV1066" s="418">
        <f t="shared" si="60"/>
        <v>2020</v>
      </c>
      <c r="AW1066" s="24"/>
      <c r="AX1066" s="28"/>
      <c r="AY1066" s="28" t="s">
        <v>3415</v>
      </c>
      <c r="AZ1066" s="132" t="s">
        <v>37</v>
      </c>
      <c r="BA1066" s="132"/>
      <c r="BB1066" s="24" t="s">
        <v>3593</v>
      </c>
      <c r="BC1066" s="135" t="s">
        <v>4198</v>
      </c>
      <c r="BD1066" s="24">
        <v>44041</v>
      </c>
      <c r="BE1066" s="135" t="s">
        <v>2668</v>
      </c>
      <c r="BF1066" s="135" t="s">
        <v>2668</v>
      </c>
      <c r="BG1066" s="135" t="s">
        <v>29</v>
      </c>
      <c r="BH1066" s="135"/>
      <c r="BI1066" s="314" t="s">
        <v>124</v>
      </c>
      <c r="BJ1066" s="314"/>
      <c r="BK1066" s="24"/>
      <c r="BL1066" s="24"/>
      <c r="BM1066" s="24"/>
      <c r="BN1066" s="24"/>
      <c r="BO1066" s="24"/>
      <c r="BP1066" s="24"/>
      <c r="BQ1066" s="24"/>
      <c r="BR1066" s="43"/>
      <c r="BS1066" s="24"/>
      <c r="BT1066" s="24"/>
      <c r="BU1066" s="24"/>
      <c r="BV1066" s="132" t="e">
        <f>IF(#REF!="COMPLETO","OK","PENDIENTES")</f>
        <v>#REF!</v>
      </c>
      <c r="BW1066" s="325"/>
      <c r="BX1066" s="325"/>
      <c r="BY1066" s="325"/>
      <c r="BZ1066" s="325"/>
      <c r="CA1066" s="325"/>
      <c r="CB1066" s="325"/>
      <c r="CC1066" s="258"/>
      <c r="CG1066" s="24" t="s">
        <v>105</v>
      </c>
      <c r="CH1066" s="24"/>
      <c r="CI1066" s="24"/>
      <c r="CJ1066" s="24"/>
    </row>
    <row r="1067" spans="1:88" ht="15" customHeight="1">
      <c r="A1067" s="18">
        <v>2020</v>
      </c>
      <c r="B1067" s="18" t="str">
        <f>+INDEX(BDD!F:F,MATCH(P1067,BDD!D:D,0))&amp;"-"&amp;INDEX(BDD!E:E,MATCH(P1067,BDD!D:D,0))</f>
        <v>T-S</v>
      </c>
      <c r="C1067" s="125" t="s">
        <v>484</v>
      </c>
      <c r="D1067" s="150" t="s">
        <v>77</v>
      </c>
      <c r="E1067" s="132"/>
      <c r="F1067" s="24"/>
      <c r="G1067" s="346">
        <v>8000000898</v>
      </c>
      <c r="H1067" s="125" t="s">
        <v>4199</v>
      </c>
      <c r="I1067" s="329"/>
      <c r="J1067" s="346">
        <v>8000000898</v>
      </c>
      <c r="K1067" s="24"/>
      <c r="L1067" s="24"/>
      <c r="M1067" s="24"/>
      <c r="N1067" s="340" t="s">
        <v>486</v>
      </c>
      <c r="O1067" s="334">
        <v>208067</v>
      </c>
      <c r="P1067" s="25" t="s">
        <v>383</v>
      </c>
      <c r="Q1067" s="127" t="s">
        <v>303</v>
      </c>
      <c r="R1067" s="232" t="s">
        <v>4200</v>
      </c>
      <c r="S1067" s="89" t="s">
        <v>671</v>
      </c>
      <c r="T1067" s="36">
        <v>30</v>
      </c>
      <c r="U1067" s="125" t="s">
        <v>118</v>
      </c>
      <c r="V1067" s="147" t="s">
        <v>4201</v>
      </c>
      <c r="W1067" s="129"/>
      <c r="X1067" s="88">
        <v>44071</v>
      </c>
      <c r="Y1067" s="130" t="s">
        <v>20</v>
      </c>
      <c r="Z1067" s="133" t="s">
        <v>60</v>
      </c>
      <c r="AA1067" s="133"/>
      <c r="AB1067" s="241">
        <v>600</v>
      </c>
      <c r="AC1067" s="134">
        <v>220.34</v>
      </c>
      <c r="AD1067" s="134"/>
      <c r="AE1067" s="403">
        <f t="shared" si="58"/>
        <v>132204</v>
      </c>
      <c r="AF1067" s="132">
        <v>24</v>
      </c>
      <c r="AG1067" s="130" t="s">
        <v>5</v>
      </c>
      <c r="AH1067" s="130"/>
      <c r="AI1067" s="130" t="s">
        <v>34</v>
      </c>
      <c r="AJ1067" s="130"/>
      <c r="AK1067" s="130"/>
      <c r="AL1067" s="135" t="s">
        <v>3961</v>
      </c>
      <c r="AM1067" s="314"/>
      <c r="AN1067" s="26"/>
      <c r="AO1067" s="26"/>
      <c r="AP1067" s="26"/>
      <c r="AQ1067" s="26">
        <v>44050</v>
      </c>
      <c r="AR1067" s="24"/>
      <c r="AS1067" s="24"/>
      <c r="AT1067" s="24">
        <v>44055</v>
      </c>
      <c r="AU1067" s="418">
        <f t="shared" si="59"/>
        <v>8</v>
      </c>
      <c r="AV1067" s="418">
        <f t="shared" si="60"/>
        <v>2020</v>
      </c>
      <c r="AW1067" s="24"/>
      <c r="AX1067" s="28"/>
      <c r="AY1067" s="28" t="s">
        <v>3415</v>
      </c>
      <c r="AZ1067" s="132" t="s">
        <v>37</v>
      </c>
      <c r="BA1067" s="132"/>
      <c r="BB1067" s="24" t="s">
        <v>3291</v>
      </c>
      <c r="BC1067" s="135" t="s">
        <v>4202</v>
      </c>
      <c r="BD1067" s="24">
        <v>44041</v>
      </c>
      <c r="BE1067" s="135" t="s">
        <v>2668</v>
      </c>
      <c r="BF1067" s="135" t="s">
        <v>2668</v>
      </c>
      <c r="BG1067" s="135" t="s">
        <v>29</v>
      </c>
      <c r="BH1067" s="135"/>
      <c r="BI1067" s="314" t="s">
        <v>124</v>
      </c>
      <c r="BJ1067" s="314"/>
      <c r="BK1067" s="24"/>
      <c r="BL1067" s="24"/>
      <c r="BM1067" s="24"/>
      <c r="BN1067" s="24"/>
      <c r="BO1067" s="24"/>
      <c r="BP1067" s="24"/>
      <c r="BQ1067" s="24"/>
      <c r="BR1067" s="43"/>
      <c r="BS1067" s="24"/>
      <c r="BT1067" s="24"/>
      <c r="BU1067" s="24"/>
      <c r="BV1067" s="132" t="e">
        <f>IF(#REF!="COMPLETO","OK","PENDIENTES")</f>
        <v>#REF!</v>
      </c>
      <c r="BW1067" s="325"/>
      <c r="BX1067" s="325"/>
      <c r="BY1067" s="325"/>
      <c r="BZ1067" s="325"/>
      <c r="CA1067" s="325"/>
      <c r="CB1067" s="325"/>
      <c r="CC1067" s="258"/>
      <c r="CG1067" s="24" t="s">
        <v>105</v>
      </c>
      <c r="CH1067" s="24"/>
      <c r="CI1067" s="24"/>
      <c r="CJ1067" s="24"/>
    </row>
    <row r="1068" spans="1:88" ht="15" customHeight="1">
      <c r="A1068" s="18">
        <v>2020</v>
      </c>
      <c r="B1068" s="18" t="str">
        <f>+INDEX(BDD!F:F,MATCH(P1068,BDD!D:D,0))&amp;"-"&amp;INDEX(BDD!E:E,MATCH(P1068,BDD!D:D,0))</f>
        <v>T-S</v>
      </c>
      <c r="C1068" s="125" t="s">
        <v>484</v>
      </c>
      <c r="D1068" s="150" t="s">
        <v>77</v>
      </c>
      <c r="E1068" s="132"/>
      <c r="F1068" s="24"/>
      <c r="G1068" s="346">
        <v>8000000937</v>
      </c>
      <c r="H1068" s="125" t="s">
        <v>4203</v>
      </c>
      <c r="I1068" s="329"/>
      <c r="J1068" s="346">
        <v>8000000937</v>
      </c>
      <c r="K1068" s="24"/>
      <c r="L1068" s="24"/>
      <c r="M1068" s="24"/>
      <c r="N1068" s="340" t="s">
        <v>486</v>
      </c>
      <c r="O1068" s="334">
        <v>208067</v>
      </c>
      <c r="P1068" s="25" t="s">
        <v>383</v>
      </c>
      <c r="Q1068" s="127" t="s">
        <v>303</v>
      </c>
      <c r="R1068" s="232" t="s">
        <v>4204</v>
      </c>
      <c r="S1068" s="89" t="s">
        <v>671</v>
      </c>
      <c r="T1068" s="36">
        <v>30</v>
      </c>
      <c r="U1068" s="125" t="s">
        <v>118</v>
      </c>
      <c r="V1068" s="147" t="s">
        <v>4205</v>
      </c>
      <c r="W1068" s="129"/>
      <c r="X1068" s="88">
        <f>+BD1068+T1068</f>
        <v>44087</v>
      </c>
      <c r="Y1068" s="130" t="s">
        <v>20</v>
      </c>
      <c r="Z1068" s="133" t="s">
        <v>60</v>
      </c>
      <c r="AA1068" s="133"/>
      <c r="AB1068" s="241">
        <v>100</v>
      </c>
      <c r="AC1068" s="134">
        <v>220.34</v>
      </c>
      <c r="AD1068" s="134"/>
      <c r="AE1068" s="403">
        <f t="shared" si="58"/>
        <v>22034</v>
      </c>
      <c r="AF1068" s="132">
        <v>4</v>
      </c>
      <c r="AG1068" s="130" t="s">
        <v>5</v>
      </c>
      <c r="AH1068" s="130"/>
      <c r="AI1068" s="130" t="s">
        <v>34</v>
      </c>
      <c r="AJ1068" s="130"/>
      <c r="AK1068" s="130"/>
      <c r="AL1068" s="135" t="s">
        <v>3961</v>
      </c>
      <c r="AM1068" s="314"/>
      <c r="AN1068" s="26"/>
      <c r="AO1068" s="26"/>
      <c r="AP1068" s="26"/>
      <c r="AQ1068" s="26">
        <v>44092</v>
      </c>
      <c r="AR1068" s="24"/>
      <c r="AS1068" s="24"/>
      <c r="AT1068" s="24">
        <v>44103</v>
      </c>
      <c r="AU1068" s="418">
        <f t="shared" si="59"/>
        <v>9</v>
      </c>
      <c r="AV1068" s="418">
        <f t="shared" si="60"/>
        <v>2020</v>
      </c>
      <c r="AW1068" s="24"/>
      <c r="AX1068" s="28"/>
      <c r="AY1068" s="28" t="s">
        <v>3415</v>
      </c>
      <c r="AZ1068" s="132" t="s">
        <v>62</v>
      </c>
      <c r="BA1068" s="132"/>
      <c r="BB1068" s="24" t="s">
        <v>3264</v>
      </c>
      <c r="BC1068" s="135" t="s">
        <v>4206</v>
      </c>
      <c r="BD1068" s="24">
        <v>44057</v>
      </c>
      <c r="BE1068" s="135" t="s">
        <v>3640</v>
      </c>
      <c r="BF1068" s="135" t="s">
        <v>1938</v>
      </c>
      <c r="BG1068" s="135" t="s">
        <v>29</v>
      </c>
      <c r="BH1068" s="135"/>
      <c r="BI1068" s="314" t="s">
        <v>124</v>
      </c>
      <c r="BJ1068" s="314" t="s">
        <v>148</v>
      </c>
      <c r="BK1068" s="24"/>
      <c r="BL1068" s="24"/>
      <c r="BM1068" s="24"/>
      <c r="BN1068" s="24"/>
      <c r="BO1068" s="24">
        <v>44113</v>
      </c>
      <c r="BP1068" s="24"/>
      <c r="BQ1068" s="24"/>
      <c r="BR1068" s="43"/>
      <c r="BS1068" s="24"/>
      <c r="BT1068" s="24"/>
      <c r="BU1068" s="24"/>
      <c r="BV1068" s="132" t="e">
        <f>IF(#REF!="COMPLETO","OK","PENDIENTES")</f>
        <v>#REF!</v>
      </c>
      <c r="BW1068" s="325"/>
      <c r="BX1068" s="325"/>
      <c r="BY1068" s="325"/>
      <c r="BZ1068" s="325"/>
      <c r="CA1068" s="325"/>
      <c r="CB1068" s="325"/>
      <c r="CC1068" s="258"/>
      <c r="CG1068" s="24" t="s">
        <v>105</v>
      </c>
      <c r="CH1068" s="24"/>
      <c r="CI1068" s="24"/>
      <c r="CJ1068" s="24"/>
    </row>
    <row r="1069" spans="1:88" ht="14.65" customHeight="1">
      <c r="A1069" s="18">
        <v>2020</v>
      </c>
      <c r="B1069" s="18" t="str">
        <f>+INDEX(BDD!F:F,MATCH(P1069,BDD!D:D,0))&amp;"-"&amp;INDEX(BDD!E:E,MATCH(P1069,BDD!D:D,0))</f>
        <v>S-S</v>
      </c>
      <c r="C1069" s="125" t="s">
        <v>484</v>
      </c>
      <c r="D1069" s="150" t="s">
        <v>77</v>
      </c>
      <c r="E1069" s="132"/>
      <c r="F1069" s="24"/>
      <c r="G1069" s="346">
        <v>8000001009</v>
      </c>
      <c r="H1069" s="125" t="s">
        <v>4207</v>
      </c>
      <c r="I1069" s="329"/>
      <c r="J1069" s="346">
        <v>8000001009</v>
      </c>
      <c r="K1069" s="24"/>
      <c r="L1069" s="24"/>
      <c r="M1069" s="24"/>
      <c r="N1069" s="340" t="s">
        <v>486</v>
      </c>
      <c r="O1069" s="334">
        <v>206914</v>
      </c>
      <c r="P1069" s="25" t="s">
        <v>335</v>
      </c>
      <c r="Q1069" s="127" t="s">
        <v>264</v>
      </c>
      <c r="R1069" s="232" t="s">
        <v>4208</v>
      </c>
      <c r="S1069" s="89">
        <v>44035</v>
      </c>
      <c r="T1069" s="36">
        <v>90</v>
      </c>
      <c r="U1069" s="125" t="s">
        <v>118</v>
      </c>
      <c r="V1069" s="147" t="s">
        <v>4209</v>
      </c>
      <c r="W1069" s="129"/>
      <c r="X1069" s="88">
        <v>44148</v>
      </c>
      <c r="Y1069" s="130" t="s">
        <v>20</v>
      </c>
      <c r="Z1069" s="133" t="s">
        <v>60</v>
      </c>
      <c r="AA1069" s="133"/>
      <c r="AB1069" s="241">
        <v>400.4</v>
      </c>
      <c r="AC1069" s="134">
        <v>107</v>
      </c>
      <c r="AD1069" s="134"/>
      <c r="AE1069" s="403">
        <f t="shared" si="58"/>
        <v>42842.799999999996</v>
      </c>
      <c r="AF1069" s="132">
        <v>14</v>
      </c>
      <c r="AG1069" s="130" t="s">
        <v>21</v>
      </c>
      <c r="AH1069" s="130"/>
      <c r="AI1069" s="130" t="s">
        <v>34</v>
      </c>
      <c r="AJ1069" s="130"/>
      <c r="AK1069" s="130"/>
      <c r="AL1069" s="135" t="s">
        <v>4174</v>
      </c>
      <c r="AM1069" s="314"/>
      <c r="AN1069" s="26"/>
      <c r="AO1069" s="26"/>
      <c r="AP1069" s="26"/>
      <c r="AQ1069" s="26">
        <v>44092</v>
      </c>
      <c r="AR1069" s="41"/>
      <c r="AS1069" s="41"/>
      <c r="AT1069" s="24">
        <v>44100</v>
      </c>
      <c r="AU1069" s="418">
        <f t="shared" si="59"/>
        <v>9</v>
      </c>
      <c r="AV1069" s="418">
        <f t="shared" si="60"/>
        <v>2020</v>
      </c>
      <c r="AW1069" s="24"/>
      <c r="AX1069" s="28"/>
      <c r="AY1069" s="28" t="s">
        <v>257</v>
      </c>
      <c r="AZ1069" s="132" t="s">
        <v>9</v>
      </c>
      <c r="BA1069" s="132"/>
      <c r="BB1069" s="24" t="s">
        <v>3519</v>
      </c>
      <c r="BC1069" s="135" t="s">
        <v>4210</v>
      </c>
      <c r="BD1069" s="24">
        <v>44058</v>
      </c>
      <c r="BE1069" s="135" t="s">
        <v>1313</v>
      </c>
      <c r="BF1069" s="135" t="s">
        <v>994</v>
      </c>
      <c r="BG1069" s="135" t="s">
        <v>41</v>
      </c>
      <c r="BH1069" s="135"/>
      <c r="BI1069" s="314" t="s">
        <v>124</v>
      </c>
      <c r="BJ1069" s="314" t="s">
        <v>143</v>
      </c>
      <c r="BK1069" s="24"/>
      <c r="BL1069" s="24"/>
      <c r="BM1069" s="24"/>
      <c r="BN1069" s="24"/>
      <c r="BO1069" s="41"/>
      <c r="BP1069" s="41"/>
      <c r="BQ1069" s="41"/>
      <c r="BR1069" s="43"/>
      <c r="BS1069" s="41"/>
      <c r="BT1069" s="41"/>
      <c r="BU1069" s="41"/>
      <c r="BV1069" s="132" t="e">
        <f>IF(#REF!="COMPLETO","OK","PENDIENTES")</f>
        <v>#REF!</v>
      </c>
      <c r="BW1069" s="325"/>
      <c r="BX1069" s="325"/>
      <c r="BY1069" s="325"/>
      <c r="BZ1069" s="325"/>
      <c r="CA1069" s="325"/>
      <c r="CB1069" s="325"/>
      <c r="CC1069" s="258"/>
      <c r="CG1069" s="24" t="s">
        <v>105</v>
      </c>
      <c r="CH1069" s="24"/>
      <c r="CI1069" s="24"/>
      <c r="CJ1069" s="24"/>
    </row>
    <row r="1070" spans="1:88" ht="15" customHeight="1">
      <c r="A1070" s="18">
        <v>2020</v>
      </c>
      <c r="B1070" s="18" t="str">
        <f>+INDEX(BDD!F:F,MATCH(P1070,BDD!D:D,0))&amp;"-"&amp;INDEX(BDD!E:E,MATCH(P1070,BDD!D:D,0))</f>
        <v>S-S</v>
      </c>
      <c r="C1070" s="125" t="s">
        <v>484</v>
      </c>
      <c r="D1070" s="150" t="s">
        <v>77</v>
      </c>
      <c r="E1070" s="132"/>
      <c r="F1070" s="24"/>
      <c r="G1070" s="346">
        <v>8000001018</v>
      </c>
      <c r="H1070" s="125" t="s">
        <v>4211</v>
      </c>
      <c r="I1070" s="329"/>
      <c r="J1070" s="346">
        <v>8000001018</v>
      </c>
      <c r="K1070" s="24"/>
      <c r="L1070" s="24"/>
      <c r="M1070" s="24"/>
      <c r="N1070" s="340" t="s">
        <v>486</v>
      </c>
      <c r="O1070" s="334">
        <v>206914</v>
      </c>
      <c r="P1070" s="25" t="s">
        <v>335</v>
      </c>
      <c r="Q1070" s="127" t="s">
        <v>264</v>
      </c>
      <c r="R1070" s="232" t="s">
        <v>4208</v>
      </c>
      <c r="S1070" s="89">
        <v>44035</v>
      </c>
      <c r="T1070" s="36">
        <v>90</v>
      </c>
      <c r="U1070" s="125" t="s">
        <v>118</v>
      </c>
      <c r="V1070" s="147" t="s">
        <v>4212</v>
      </c>
      <c r="W1070" s="129"/>
      <c r="X1070" s="88">
        <v>44155</v>
      </c>
      <c r="Y1070" s="130" t="s">
        <v>20</v>
      </c>
      <c r="Z1070" s="133" t="s">
        <v>60</v>
      </c>
      <c r="AA1070" s="133"/>
      <c r="AB1070" s="241">
        <v>314.60000000000002</v>
      </c>
      <c r="AC1070" s="134">
        <v>107</v>
      </c>
      <c r="AD1070" s="134"/>
      <c r="AE1070" s="403">
        <f t="shared" si="58"/>
        <v>33662.200000000004</v>
      </c>
      <c r="AF1070" s="132">
        <v>11</v>
      </c>
      <c r="AG1070" s="130" t="s">
        <v>21</v>
      </c>
      <c r="AH1070" s="130"/>
      <c r="AI1070" s="130" t="s">
        <v>34</v>
      </c>
      <c r="AJ1070" s="130"/>
      <c r="AK1070" s="130"/>
      <c r="AL1070" s="135" t="s">
        <v>4180</v>
      </c>
      <c r="AM1070" s="314"/>
      <c r="AN1070" s="26"/>
      <c r="AO1070" s="26"/>
      <c r="AP1070" s="26"/>
      <c r="AQ1070" s="26">
        <v>44099</v>
      </c>
      <c r="AR1070" s="41"/>
      <c r="AS1070" s="41"/>
      <c r="AT1070" s="164">
        <v>44109</v>
      </c>
      <c r="AU1070" s="418">
        <f t="shared" si="59"/>
        <v>10</v>
      </c>
      <c r="AV1070" s="418">
        <f t="shared" si="60"/>
        <v>2020</v>
      </c>
      <c r="AW1070" s="164"/>
      <c r="AX1070" s="28"/>
      <c r="AY1070" s="28" t="s">
        <v>257</v>
      </c>
      <c r="AZ1070" s="132" t="s">
        <v>9</v>
      </c>
      <c r="BA1070" s="132"/>
      <c r="BB1070" s="24" t="s">
        <v>3264</v>
      </c>
      <c r="BC1070" s="135" t="s">
        <v>4213</v>
      </c>
      <c r="BD1070" s="24">
        <v>44062</v>
      </c>
      <c r="BE1070" s="135" t="s">
        <v>1597</v>
      </c>
      <c r="BF1070" s="135" t="s">
        <v>3276</v>
      </c>
      <c r="BG1070" s="135" t="s">
        <v>41</v>
      </c>
      <c r="BH1070" s="135"/>
      <c r="BI1070" s="314" t="s">
        <v>124</v>
      </c>
      <c r="BJ1070" s="314" t="s">
        <v>143</v>
      </c>
      <c r="BK1070" s="24"/>
      <c r="BL1070" s="24"/>
      <c r="BM1070" s="24"/>
      <c r="BN1070" s="24"/>
      <c r="BO1070" s="41"/>
      <c r="BP1070" s="41"/>
      <c r="BQ1070" s="41"/>
      <c r="BR1070" s="43"/>
      <c r="BS1070" s="41"/>
      <c r="BT1070" s="41"/>
      <c r="BU1070" s="41"/>
      <c r="BV1070" s="132" t="e">
        <f>IF(#REF!="COMPLETO","OK","PENDIENTES")</f>
        <v>#REF!</v>
      </c>
      <c r="BW1070" s="325"/>
      <c r="BX1070" s="325"/>
      <c r="BY1070" s="325"/>
      <c r="BZ1070" s="325"/>
      <c r="CA1070" s="325"/>
      <c r="CB1070" s="325"/>
      <c r="CC1070" s="258"/>
      <c r="CG1070" s="24" t="s">
        <v>105</v>
      </c>
      <c r="CH1070" s="24"/>
      <c r="CI1070" s="164"/>
      <c r="CJ1070" s="164"/>
    </row>
    <row r="1071" spans="1:88" ht="15" customHeight="1">
      <c r="A1071" s="18">
        <v>2020</v>
      </c>
      <c r="B1071" s="18" t="str">
        <f>+INDEX(BDD!F:F,MATCH(P1071,BDD!D:D,0))&amp;"-"&amp;INDEX(BDD!E:E,MATCH(P1071,BDD!D:D,0))</f>
        <v>S-S</v>
      </c>
      <c r="C1071" s="125" t="s">
        <v>484</v>
      </c>
      <c r="D1071" s="150" t="s">
        <v>77</v>
      </c>
      <c r="E1071" s="132"/>
      <c r="F1071" s="24"/>
      <c r="G1071" s="346">
        <v>8000001046</v>
      </c>
      <c r="H1071" s="125" t="s">
        <v>4214</v>
      </c>
      <c r="I1071" s="329"/>
      <c r="J1071" s="346">
        <v>8000001046</v>
      </c>
      <c r="K1071" s="24"/>
      <c r="L1071" s="24"/>
      <c r="M1071" s="24"/>
      <c r="N1071" s="340" t="s">
        <v>486</v>
      </c>
      <c r="O1071" s="334">
        <v>206914</v>
      </c>
      <c r="P1071" s="25" t="s">
        <v>335</v>
      </c>
      <c r="Q1071" s="127" t="s">
        <v>264</v>
      </c>
      <c r="R1071" s="232" t="s">
        <v>4208</v>
      </c>
      <c r="S1071" s="89">
        <v>44035</v>
      </c>
      <c r="T1071" s="36">
        <v>90</v>
      </c>
      <c r="U1071" s="125" t="s">
        <v>118</v>
      </c>
      <c r="V1071" s="147" t="s">
        <v>4215</v>
      </c>
      <c r="W1071" s="129"/>
      <c r="X1071" s="88">
        <v>44162</v>
      </c>
      <c r="Y1071" s="130" t="s">
        <v>20</v>
      </c>
      <c r="Z1071" s="133" t="s">
        <v>60</v>
      </c>
      <c r="AA1071" s="133"/>
      <c r="AB1071" s="241">
        <v>143</v>
      </c>
      <c r="AC1071" s="134">
        <v>107</v>
      </c>
      <c r="AD1071" s="134"/>
      <c r="AE1071" s="403">
        <f t="shared" si="58"/>
        <v>15301</v>
      </c>
      <c r="AF1071" s="132">
        <v>5</v>
      </c>
      <c r="AG1071" s="130" t="s">
        <v>21</v>
      </c>
      <c r="AH1071" s="130"/>
      <c r="AI1071" s="130" t="s">
        <v>34</v>
      </c>
      <c r="AJ1071" s="130"/>
      <c r="AK1071" s="130"/>
      <c r="AL1071" s="135" t="s">
        <v>4216</v>
      </c>
      <c r="AM1071" s="314"/>
      <c r="AN1071" s="26"/>
      <c r="AO1071" s="26"/>
      <c r="AP1071" s="26"/>
      <c r="AQ1071" s="26">
        <v>44120</v>
      </c>
      <c r="AR1071" s="24"/>
      <c r="AS1071" s="24"/>
      <c r="AT1071" s="24">
        <v>44125</v>
      </c>
      <c r="AU1071" s="418">
        <f t="shared" si="59"/>
        <v>10</v>
      </c>
      <c r="AV1071" s="418">
        <f t="shared" si="60"/>
        <v>2020</v>
      </c>
      <c r="AW1071" s="24"/>
      <c r="AX1071" s="28"/>
      <c r="AY1071" s="28" t="s">
        <v>257</v>
      </c>
      <c r="AZ1071" s="132" t="s">
        <v>9</v>
      </c>
      <c r="BA1071" s="132"/>
      <c r="BB1071" s="24" t="s">
        <v>2956</v>
      </c>
      <c r="BC1071" s="135" t="s">
        <v>4217</v>
      </c>
      <c r="BD1071" s="24">
        <v>44073</v>
      </c>
      <c r="BE1071" s="135" t="s">
        <v>4218</v>
      </c>
      <c r="BF1071" s="135" t="s">
        <v>994</v>
      </c>
      <c r="BG1071" s="135" t="s">
        <v>41</v>
      </c>
      <c r="BH1071" s="135"/>
      <c r="BI1071" s="314" t="s">
        <v>124</v>
      </c>
      <c r="BJ1071" s="314" t="s">
        <v>143</v>
      </c>
      <c r="BK1071" s="24"/>
      <c r="BL1071" s="24"/>
      <c r="BM1071" s="24"/>
      <c r="BN1071" s="24"/>
      <c r="BO1071" s="24">
        <v>44133</v>
      </c>
      <c r="BP1071" s="24"/>
      <c r="BQ1071" s="24"/>
      <c r="BR1071" s="43"/>
      <c r="BS1071" s="24"/>
      <c r="BT1071" s="24"/>
      <c r="BU1071" s="24"/>
      <c r="BV1071" s="132" t="e">
        <f>IF(#REF!="COMPLETO","OK","PENDIENTES")</f>
        <v>#REF!</v>
      </c>
      <c r="BW1071" s="325"/>
      <c r="BX1071" s="325"/>
      <c r="BY1071" s="325"/>
      <c r="BZ1071" s="325"/>
      <c r="CA1071" s="325"/>
      <c r="CB1071" s="325"/>
      <c r="CC1071" s="258"/>
      <c r="CG1071" s="24" t="s">
        <v>105</v>
      </c>
      <c r="CH1071" s="24"/>
      <c r="CI1071" s="24"/>
      <c r="CJ1071" s="24"/>
    </row>
    <row r="1072" spans="1:88" ht="15" customHeight="1">
      <c r="A1072" s="18">
        <v>2020</v>
      </c>
      <c r="B1072" s="18" t="str">
        <f>+INDEX(BDD!F:F,MATCH(P1072,BDD!D:D,0))&amp;"-"&amp;INDEX(BDD!E:E,MATCH(P1072,BDD!D:D,0))</f>
        <v>S-S</v>
      </c>
      <c r="C1072" s="125" t="s">
        <v>484</v>
      </c>
      <c r="D1072" s="150" t="s">
        <v>77</v>
      </c>
      <c r="E1072" s="132"/>
      <c r="F1072" s="24"/>
      <c r="G1072" s="346">
        <v>8000001070</v>
      </c>
      <c r="H1072" s="125" t="s">
        <v>4219</v>
      </c>
      <c r="I1072" s="329"/>
      <c r="J1072" s="346">
        <v>8000001070</v>
      </c>
      <c r="K1072" s="24"/>
      <c r="L1072" s="24"/>
      <c r="M1072" s="24"/>
      <c r="N1072" s="340" t="s">
        <v>486</v>
      </c>
      <c r="O1072" s="334">
        <v>206914</v>
      </c>
      <c r="P1072" s="25" t="s">
        <v>335</v>
      </c>
      <c r="Q1072" s="127" t="s">
        <v>264</v>
      </c>
      <c r="R1072" s="232" t="s">
        <v>4208</v>
      </c>
      <c r="S1072" s="89">
        <v>44035</v>
      </c>
      <c r="T1072" s="36">
        <v>90</v>
      </c>
      <c r="U1072" s="125" t="s">
        <v>118</v>
      </c>
      <c r="V1072" s="147" t="s">
        <v>4220</v>
      </c>
      <c r="W1072" s="129"/>
      <c r="X1072" s="88">
        <v>44168</v>
      </c>
      <c r="Y1072" s="130" t="s">
        <v>20</v>
      </c>
      <c r="Z1072" s="133" t="s">
        <v>60</v>
      </c>
      <c r="AA1072" s="133"/>
      <c r="AB1072" s="241">
        <v>143</v>
      </c>
      <c r="AC1072" s="134">
        <v>107</v>
      </c>
      <c r="AD1072" s="134"/>
      <c r="AE1072" s="403">
        <f t="shared" si="58"/>
        <v>15301</v>
      </c>
      <c r="AF1072" s="132">
        <v>5</v>
      </c>
      <c r="AG1072" s="130" t="s">
        <v>21</v>
      </c>
      <c r="AH1072" s="130"/>
      <c r="AI1072" s="130" t="s">
        <v>34</v>
      </c>
      <c r="AJ1072" s="130"/>
      <c r="AK1072" s="130"/>
      <c r="AL1072" s="135" t="s">
        <v>4216</v>
      </c>
      <c r="AM1072" s="314"/>
      <c r="AN1072" s="26"/>
      <c r="AO1072" s="26"/>
      <c r="AP1072" s="26"/>
      <c r="AQ1072" s="26">
        <v>44138</v>
      </c>
      <c r="AR1072" s="41"/>
      <c r="AS1072" s="41"/>
      <c r="AT1072" s="24">
        <v>44146</v>
      </c>
      <c r="AU1072" s="418">
        <f t="shared" si="59"/>
        <v>11</v>
      </c>
      <c r="AV1072" s="418">
        <f t="shared" si="60"/>
        <v>2020</v>
      </c>
      <c r="AW1072" s="24"/>
      <c r="AX1072" s="28"/>
      <c r="AY1072" s="28" t="s">
        <v>257</v>
      </c>
      <c r="AZ1072" s="132" t="s">
        <v>9</v>
      </c>
      <c r="BA1072" s="132"/>
      <c r="BB1072" s="24" t="s">
        <v>3264</v>
      </c>
      <c r="BC1072" s="135" t="s">
        <v>4221</v>
      </c>
      <c r="BD1072" s="24">
        <v>44077</v>
      </c>
      <c r="BE1072" s="135" t="s">
        <v>4222</v>
      </c>
      <c r="BF1072" s="135" t="s">
        <v>932</v>
      </c>
      <c r="BG1072" s="135" t="s">
        <v>174</v>
      </c>
      <c r="BH1072" s="135"/>
      <c r="BI1072" s="314" t="s">
        <v>124</v>
      </c>
      <c r="BJ1072" s="314" t="s">
        <v>143</v>
      </c>
      <c r="BK1072" s="24"/>
      <c r="BL1072" s="24"/>
      <c r="BM1072" s="24"/>
      <c r="BN1072" s="24"/>
      <c r="BO1072" s="41"/>
      <c r="BP1072" s="41"/>
      <c r="BQ1072" s="41"/>
      <c r="BR1072" s="43"/>
      <c r="BS1072" s="41"/>
      <c r="BT1072" s="41"/>
      <c r="BU1072" s="41"/>
      <c r="BV1072" s="132" t="e">
        <f>IF(#REF!="COMPLETO","OK","PENDIENTES")</f>
        <v>#REF!</v>
      </c>
      <c r="BW1072" s="325"/>
      <c r="BX1072" s="325"/>
      <c r="BY1072" s="325"/>
      <c r="BZ1072" s="325"/>
      <c r="CA1072" s="325"/>
      <c r="CB1072" s="325"/>
      <c r="CC1072" s="258"/>
      <c r="CG1072" s="24" t="s">
        <v>105</v>
      </c>
      <c r="CH1072" s="24"/>
      <c r="CI1072" s="24"/>
      <c r="CJ1072" s="24"/>
    </row>
    <row r="1073" spans="1:88" ht="15" customHeight="1">
      <c r="A1073" s="18">
        <v>2020</v>
      </c>
      <c r="B1073" s="18" t="str">
        <f>+INDEX(BDD!F:F,MATCH(P1073,BDD!D:D,0))&amp;"-"&amp;INDEX(BDD!E:E,MATCH(P1073,BDD!D:D,0))</f>
        <v>G-S</v>
      </c>
      <c r="C1073" s="125" t="s">
        <v>484</v>
      </c>
      <c r="D1073" s="150" t="s">
        <v>77</v>
      </c>
      <c r="E1073" s="132"/>
      <c r="F1073" s="24"/>
      <c r="G1073" s="346">
        <v>8000001016</v>
      </c>
      <c r="H1073" s="125" t="s">
        <v>4223</v>
      </c>
      <c r="I1073" s="329"/>
      <c r="J1073" s="346">
        <v>8000001016</v>
      </c>
      <c r="K1073" s="24"/>
      <c r="L1073" s="24"/>
      <c r="M1073" s="24"/>
      <c r="N1073" s="340" t="s">
        <v>486</v>
      </c>
      <c r="O1073" s="334">
        <v>205259</v>
      </c>
      <c r="P1073" s="25" t="s">
        <v>338</v>
      </c>
      <c r="Q1073" s="127" t="s">
        <v>210</v>
      </c>
      <c r="R1073" s="232" t="s">
        <v>4224</v>
      </c>
      <c r="S1073" s="89">
        <v>44042</v>
      </c>
      <c r="T1073" s="36">
        <v>120</v>
      </c>
      <c r="U1073" s="125" t="s">
        <v>118</v>
      </c>
      <c r="V1073" s="147" t="s">
        <v>4225</v>
      </c>
      <c r="W1073" s="129"/>
      <c r="X1073" s="88">
        <f>+BD1073+T1073</f>
        <v>44207</v>
      </c>
      <c r="Y1073" s="130" t="s">
        <v>20</v>
      </c>
      <c r="Z1073" s="133" t="s">
        <v>60</v>
      </c>
      <c r="AA1073" s="133"/>
      <c r="AB1073" s="241">
        <v>252.7</v>
      </c>
      <c r="AC1073" s="134">
        <f>450-32</f>
        <v>418</v>
      </c>
      <c r="AD1073" s="134"/>
      <c r="AE1073" s="403">
        <f t="shared" si="58"/>
        <v>105628.59999999999</v>
      </c>
      <c r="AF1073" s="132">
        <v>9</v>
      </c>
      <c r="AG1073" s="130" t="s">
        <v>5</v>
      </c>
      <c r="AH1073" s="130"/>
      <c r="AI1073" s="130" t="s">
        <v>100</v>
      </c>
      <c r="AJ1073" s="130"/>
      <c r="AK1073" s="130"/>
      <c r="AL1073" s="135" t="s">
        <v>4226</v>
      </c>
      <c r="AM1073" s="314"/>
      <c r="AN1073" s="26"/>
      <c r="AO1073" s="26"/>
      <c r="AP1073" s="26"/>
      <c r="AQ1073" s="26">
        <v>44112</v>
      </c>
      <c r="AR1073" s="24"/>
      <c r="AS1073" s="24"/>
      <c r="AT1073" s="24">
        <v>44116</v>
      </c>
      <c r="AU1073" s="418">
        <f t="shared" si="59"/>
        <v>10</v>
      </c>
      <c r="AV1073" s="418">
        <f t="shared" si="60"/>
        <v>2020</v>
      </c>
      <c r="AW1073" s="24"/>
      <c r="AX1073" s="28"/>
      <c r="AY1073" s="28" t="s">
        <v>162</v>
      </c>
      <c r="AZ1073" s="132" t="s">
        <v>37</v>
      </c>
      <c r="BA1073" s="132"/>
      <c r="BB1073" s="24" t="s">
        <v>3291</v>
      </c>
      <c r="BC1073" s="135" t="s">
        <v>4227</v>
      </c>
      <c r="BD1073" s="24">
        <v>44087</v>
      </c>
      <c r="BE1073" s="135" t="s">
        <v>2668</v>
      </c>
      <c r="BF1073" s="135" t="s">
        <v>2668</v>
      </c>
      <c r="BG1073" s="135" t="s">
        <v>64</v>
      </c>
      <c r="BH1073" s="135"/>
      <c r="BI1073" s="314" t="s">
        <v>124</v>
      </c>
      <c r="BJ1073" s="314" t="s">
        <v>138</v>
      </c>
      <c r="BK1073" s="24"/>
      <c r="BL1073" s="24"/>
      <c r="BM1073" s="24"/>
      <c r="BN1073" s="24"/>
      <c r="BO1073" s="24">
        <f>+AQ1025+14</f>
        <v>44128</v>
      </c>
      <c r="BP1073" s="24"/>
      <c r="BQ1073" s="24"/>
      <c r="BR1073" s="43"/>
      <c r="BS1073" s="24"/>
      <c r="BT1073" s="24"/>
      <c r="BU1073" s="24"/>
      <c r="BV1073" s="132" t="e">
        <f>IF(#REF!="COMPLETO","OK","PENDIENTES")</f>
        <v>#REF!</v>
      </c>
      <c r="BW1073" s="325"/>
      <c r="BX1073" s="325"/>
      <c r="BY1073" s="325"/>
      <c r="BZ1073" s="325"/>
      <c r="CA1073" s="325"/>
      <c r="CB1073" s="325"/>
      <c r="CC1073" s="258"/>
      <c r="CG1073" s="24" t="s">
        <v>105</v>
      </c>
      <c r="CH1073" s="24"/>
      <c r="CI1073" s="24"/>
      <c r="CJ1073" s="24"/>
    </row>
    <row r="1074" spans="1:88" ht="15" customHeight="1">
      <c r="A1074" s="18">
        <v>2020</v>
      </c>
      <c r="B1074" s="18" t="str">
        <f>+INDEX(BDD!F:F,MATCH(P1074,BDD!D:D,0))&amp;"-"&amp;INDEX(BDD!E:E,MATCH(P1074,BDD!D:D,0))</f>
        <v>G-S</v>
      </c>
      <c r="C1074" s="125" t="s">
        <v>484</v>
      </c>
      <c r="D1074" s="150" t="s">
        <v>77</v>
      </c>
      <c r="E1074" s="132"/>
      <c r="F1074" s="24"/>
      <c r="G1074" s="346">
        <v>8000001028</v>
      </c>
      <c r="H1074" s="125" t="s">
        <v>4228</v>
      </c>
      <c r="I1074" s="329"/>
      <c r="J1074" s="346">
        <v>8000001028</v>
      </c>
      <c r="K1074" s="24"/>
      <c r="L1074" s="24"/>
      <c r="M1074" s="24"/>
      <c r="N1074" s="340" t="s">
        <v>486</v>
      </c>
      <c r="O1074" s="334">
        <v>205259</v>
      </c>
      <c r="P1074" s="25" t="s">
        <v>338</v>
      </c>
      <c r="Q1074" s="127" t="s">
        <v>210</v>
      </c>
      <c r="R1074" s="232" t="s">
        <v>4229</v>
      </c>
      <c r="S1074" s="89">
        <v>44042</v>
      </c>
      <c r="T1074" s="36">
        <v>120</v>
      </c>
      <c r="U1074" s="125" t="s">
        <v>118</v>
      </c>
      <c r="V1074" s="147" t="s">
        <v>4230</v>
      </c>
      <c r="W1074" s="129"/>
      <c r="X1074" s="88">
        <f>+BD1074+T1074</f>
        <v>44207</v>
      </c>
      <c r="Y1074" s="130" t="s">
        <v>20</v>
      </c>
      <c r="Z1074" s="133" t="s">
        <v>60</v>
      </c>
      <c r="AA1074" s="133"/>
      <c r="AB1074" s="270">
        <v>56.17</v>
      </c>
      <c r="AC1074" s="134">
        <f>450-32</f>
        <v>418</v>
      </c>
      <c r="AD1074" s="134"/>
      <c r="AE1074" s="403">
        <f t="shared" si="58"/>
        <v>23479.06</v>
      </c>
      <c r="AF1074" s="132">
        <v>2</v>
      </c>
      <c r="AG1074" s="130" t="s">
        <v>5</v>
      </c>
      <c r="AH1074" s="130"/>
      <c r="AI1074" s="130" t="s">
        <v>100</v>
      </c>
      <c r="AJ1074" s="130"/>
      <c r="AK1074" s="130"/>
      <c r="AL1074" s="135" t="s">
        <v>4226</v>
      </c>
      <c r="AM1074" s="314"/>
      <c r="AN1074" s="26"/>
      <c r="AO1074" s="26"/>
      <c r="AP1074" s="26"/>
      <c r="AQ1074" s="26">
        <v>44111</v>
      </c>
      <c r="AR1074" s="24"/>
      <c r="AS1074" s="24"/>
      <c r="AT1074" s="24">
        <v>44120</v>
      </c>
      <c r="AU1074" s="418">
        <f t="shared" si="59"/>
        <v>10</v>
      </c>
      <c r="AV1074" s="418">
        <f t="shared" si="60"/>
        <v>2020</v>
      </c>
      <c r="AW1074" s="24"/>
      <c r="AX1074" s="28"/>
      <c r="AY1074" s="28" t="s">
        <v>162</v>
      </c>
      <c r="AZ1074" s="132" t="s">
        <v>9</v>
      </c>
      <c r="BA1074" s="132"/>
      <c r="BB1074" s="24" t="s">
        <v>3264</v>
      </c>
      <c r="BC1074" s="135" t="s">
        <v>4231</v>
      </c>
      <c r="BD1074" s="24">
        <v>44087</v>
      </c>
      <c r="BE1074" s="135" t="s">
        <v>2668</v>
      </c>
      <c r="BF1074" s="135" t="s">
        <v>1806</v>
      </c>
      <c r="BG1074" s="135" t="s">
        <v>64</v>
      </c>
      <c r="BH1074" s="135"/>
      <c r="BI1074" s="314" t="s">
        <v>124</v>
      </c>
      <c r="BJ1074" s="314" t="s">
        <v>138</v>
      </c>
      <c r="BK1074" s="24"/>
      <c r="BL1074" s="24"/>
      <c r="BM1074" s="24"/>
      <c r="BN1074" s="24"/>
      <c r="BO1074" s="24"/>
      <c r="BP1074" s="24"/>
      <c r="BQ1074" s="24"/>
      <c r="BR1074" s="43"/>
      <c r="BS1074" s="24"/>
      <c r="BT1074" s="24"/>
      <c r="BU1074" s="24"/>
      <c r="BV1074" s="132" t="e">
        <f>IF(#REF!="COMPLETO","OK","PENDIENTES")</f>
        <v>#REF!</v>
      </c>
      <c r="BW1074" s="325"/>
      <c r="BX1074" s="325"/>
      <c r="BY1074" s="325"/>
      <c r="BZ1074" s="325"/>
      <c r="CA1074" s="325"/>
      <c r="CB1074" s="325"/>
      <c r="CC1074" s="258"/>
      <c r="CG1074" s="24" t="s">
        <v>105</v>
      </c>
      <c r="CH1074" s="24"/>
      <c r="CI1074" s="24"/>
      <c r="CJ1074" s="24"/>
    </row>
    <row r="1075" spans="1:88" ht="15" customHeight="1">
      <c r="A1075" s="18">
        <v>2020</v>
      </c>
      <c r="B1075" s="18" t="str">
        <f>+INDEX(BDD!F:F,MATCH(P1075,BDD!D:D,0))&amp;"-"&amp;INDEX(BDD!E:E,MATCH(P1075,BDD!D:D,0))</f>
        <v>G-S</v>
      </c>
      <c r="C1075" s="360" t="s">
        <v>484</v>
      </c>
      <c r="D1075" s="150" t="s">
        <v>77</v>
      </c>
      <c r="E1075" s="132"/>
      <c r="F1075" s="24"/>
      <c r="G1075" s="346">
        <v>8000001045</v>
      </c>
      <c r="H1075" s="18" t="s">
        <v>4232</v>
      </c>
      <c r="I1075" s="329"/>
      <c r="J1075" s="346">
        <v>8000001045</v>
      </c>
      <c r="K1075" s="24"/>
      <c r="L1075" s="24"/>
      <c r="M1075" s="24"/>
      <c r="N1075" s="340" t="s">
        <v>486</v>
      </c>
      <c r="O1075" s="334">
        <v>205259</v>
      </c>
      <c r="P1075" s="25" t="s">
        <v>338</v>
      </c>
      <c r="Q1075" s="127" t="s">
        <v>210</v>
      </c>
      <c r="R1075" s="232" t="s">
        <v>4229</v>
      </c>
      <c r="S1075" s="89">
        <v>44042</v>
      </c>
      <c r="T1075" s="36">
        <v>120</v>
      </c>
      <c r="U1075" s="125" t="s">
        <v>118</v>
      </c>
      <c r="V1075" s="147" t="s">
        <v>4233</v>
      </c>
      <c r="W1075" s="129"/>
      <c r="X1075" s="88">
        <f>+BD1075+T1075</f>
        <v>44214</v>
      </c>
      <c r="Y1075" s="130" t="s">
        <v>20</v>
      </c>
      <c r="Z1075" s="133" t="s">
        <v>60</v>
      </c>
      <c r="AA1075" s="133"/>
      <c r="AB1075" s="241">
        <v>84.24</v>
      </c>
      <c r="AC1075" s="134">
        <f>450-32</f>
        <v>418</v>
      </c>
      <c r="AD1075" s="134"/>
      <c r="AE1075" s="403">
        <f t="shared" si="58"/>
        <v>35212.32</v>
      </c>
      <c r="AF1075" s="132">
        <v>3</v>
      </c>
      <c r="AG1075" s="130" t="s">
        <v>5</v>
      </c>
      <c r="AH1075" s="130"/>
      <c r="AI1075" s="130" t="s">
        <v>100</v>
      </c>
      <c r="AJ1075" s="130"/>
      <c r="AK1075" s="130"/>
      <c r="AL1075" s="135" t="s">
        <v>4226</v>
      </c>
      <c r="AM1075" s="314"/>
      <c r="AN1075" s="26"/>
      <c r="AO1075" s="26"/>
      <c r="AP1075" s="26"/>
      <c r="AQ1075" s="26">
        <v>44118</v>
      </c>
      <c r="AR1075" s="24"/>
      <c r="AS1075" s="24"/>
      <c r="AT1075" s="24">
        <v>44124</v>
      </c>
      <c r="AU1075" s="418">
        <f t="shared" si="59"/>
        <v>10</v>
      </c>
      <c r="AV1075" s="418">
        <f t="shared" si="60"/>
        <v>2020</v>
      </c>
      <c r="AW1075" s="24"/>
      <c r="AX1075" s="28"/>
      <c r="AY1075" s="28" t="s">
        <v>162</v>
      </c>
      <c r="AZ1075" s="132" t="s">
        <v>9</v>
      </c>
      <c r="BA1075" s="132"/>
      <c r="BB1075" s="24" t="s">
        <v>3264</v>
      </c>
      <c r="BC1075" s="135" t="s">
        <v>4234</v>
      </c>
      <c r="BD1075" s="24">
        <v>44094</v>
      </c>
      <c r="BE1075" s="135" t="s">
        <v>865</v>
      </c>
      <c r="BF1075" s="135" t="s">
        <v>3640</v>
      </c>
      <c r="BG1075" s="135" t="s">
        <v>64</v>
      </c>
      <c r="BH1075" s="135"/>
      <c r="BI1075" s="314" t="s">
        <v>124</v>
      </c>
      <c r="BJ1075" s="314" t="s">
        <v>138</v>
      </c>
      <c r="BK1075" s="24"/>
      <c r="BL1075" s="24"/>
      <c r="BM1075" s="24"/>
      <c r="BN1075" s="24"/>
      <c r="BO1075" s="24"/>
      <c r="BP1075" s="24"/>
      <c r="BQ1075" s="24"/>
      <c r="BR1075" s="43"/>
      <c r="BS1075" s="24"/>
      <c r="BT1075" s="24"/>
      <c r="BU1075" s="24"/>
      <c r="BV1075" s="132" t="e">
        <f>IF(#REF!="COMPLETO","OK","PENDIENTES")</f>
        <v>#REF!</v>
      </c>
      <c r="BW1075" s="325"/>
      <c r="BX1075" s="325"/>
      <c r="BY1075" s="325"/>
      <c r="BZ1075" s="325"/>
      <c r="CA1075" s="325"/>
      <c r="CB1075" s="325"/>
      <c r="CC1075" s="258"/>
      <c r="CG1075" s="24" t="s">
        <v>105</v>
      </c>
      <c r="CH1075" s="24"/>
      <c r="CI1075" s="24"/>
      <c r="CJ1075" s="24"/>
    </row>
    <row r="1076" spans="1:88" ht="15" customHeight="1">
      <c r="A1076" s="18">
        <v>2020</v>
      </c>
      <c r="B1076" s="18" t="str">
        <f>+INDEX(BDD!F:F,MATCH(P1076,BDD!D:D,0))&amp;"-"&amp;INDEX(BDD!E:E,MATCH(P1076,BDD!D:D,0))</f>
        <v>G-S</v>
      </c>
      <c r="C1076" s="360" t="s">
        <v>484</v>
      </c>
      <c r="D1076" s="150" t="s">
        <v>77</v>
      </c>
      <c r="E1076" s="132"/>
      <c r="F1076" s="24"/>
      <c r="G1076" s="346">
        <v>8000001017</v>
      </c>
      <c r="H1076" s="18" t="s">
        <v>4235</v>
      </c>
      <c r="I1076" s="329"/>
      <c r="J1076" s="346">
        <v>8000001017</v>
      </c>
      <c r="K1076" s="24"/>
      <c r="L1076" s="24"/>
      <c r="M1076" s="24"/>
      <c r="N1076" s="340" t="s">
        <v>486</v>
      </c>
      <c r="O1076" s="334">
        <v>205259</v>
      </c>
      <c r="P1076" s="25" t="s">
        <v>338</v>
      </c>
      <c r="Q1076" s="127" t="s">
        <v>210</v>
      </c>
      <c r="R1076" s="232" t="s">
        <v>4236</v>
      </c>
      <c r="S1076" s="89">
        <v>44042</v>
      </c>
      <c r="T1076" s="36">
        <v>120</v>
      </c>
      <c r="U1076" s="125" t="s">
        <v>118</v>
      </c>
      <c r="V1076" s="147" t="s">
        <v>4237</v>
      </c>
      <c r="W1076" s="129"/>
      <c r="X1076" s="88">
        <f>+BD1076+T1076</f>
        <v>44207</v>
      </c>
      <c r="Y1076" s="130" t="s">
        <v>20</v>
      </c>
      <c r="Z1076" s="133" t="s">
        <v>60</v>
      </c>
      <c r="AA1076" s="133"/>
      <c r="AB1076" s="241">
        <v>252.45</v>
      </c>
      <c r="AC1076" s="134">
        <f>450-32</f>
        <v>418</v>
      </c>
      <c r="AD1076" s="134"/>
      <c r="AE1076" s="403">
        <f t="shared" si="58"/>
        <v>105524.09999999999</v>
      </c>
      <c r="AF1076" s="132">
        <v>9</v>
      </c>
      <c r="AG1076" s="130" t="s">
        <v>5</v>
      </c>
      <c r="AH1076" s="130"/>
      <c r="AI1076" s="130" t="s">
        <v>100</v>
      </c>
      <c r="AJ1076" s="130"/>
      <c r="AK1076" s="130"/>
      <c r="AL1076" s="135" t="s">
        <v>4216</v>
      </c>
      <c r="AM1076" s="314"/>
      <c r="AN1076" s="26"/>
      <c r="AO1076" s="26"/>
      <c r="AP1076" s="26"/>
      <c r="AQ1076" s="26">
        <v>44112</v>
      </c>
      <c r="AR1076" s="24"/>
      <c r="AS1076" s="24"/>
      <c r="AT1076" s="24">
        <v>44116</v>
      </c>
      <c r="AU1076" s="418">
        <f t="shared" si="59"/>
        <v>10</v>
      </c>
      <c r="AV1076" s="418">
        <f t="shared" si="60"/>
        <v>2020</v>
      </c>
      <c r="AW1076" s="24"/>
      <c r="AX1076" s="28"/>
      <c r="AY1076" s="28" t="s">
        <v>162</v>
      </c>
      <c r="AZ1076" s="132" t="s">
        <v>37</v>
      </c>
      <c r="BA1076" s="132"/>
      <c r="BB1076" s="24" t="s">
        <v>3291</v>
      </c>
      <c r="BC1076" s="135" t="s">
        <v>4238</v>
      </c>
      <c r="BD1076" s="24">
        <v>44087</v>
      </c>
      <c r="BE1076" s="135" t="s">
        <v>2668</v>
      </c>
      <c r="BF1076" s="135" t="s">
        <v>2668</v>
      </c>
      <c r="BG1076" s="135" t="s">
        <v>64</v>
      </c>
      <c r="BH1076" s="135"/>
      <c r="BI1076" s="314" t="s">
        <v>124</v>
      </c>
      <c r="BJ1076" s="314" t="s">
        <v>138</v>
      </c>
      <c r="BK1076" s="24"/>
      <c r="BL1076" s="24"/>
      <c r="BM1076" s="24"/>
      <c r="BN1076" s="24"/>
      <c r="BO1076" s="24"/>
      <c r="BP1076" s="24"/>
      <c r="BQ1076" s="24"/>
      <c r="BR1076" s="43"/>
      <c r="BS1076" s="24"/>
      <c r="BT1076" s="24"/>
      <c r="BU1076" s="24"/>
      <c r="BV1076" s="132" t="e">
        <f>IF(#REF!="COMPLETO","OK","PENDIENTES")</f>
        <v>#REF!</v>
      </c>
      <c r="BW1076" s="325"/>
      <c r="BX1076" s="325"/>
      <c r="BY1076" s="325"/>
      <c r="BZ1076" s="325"/>
      <c r="CA1076" s="325"/>
      <c r="CB1076" s="325"/>
      <c r="CC1076" s="258"/>
      <c r="CG1076" s="24" t="s">
        <v>105</v>
      </c>
      <c r="CH1076" s="24"/>
      <c r="CI1076" s="24"/>
      <c r="CJ1076" s="24"/>
    </row>
    <row r="1077" spans="1:88" ht="15" customHeight="1">
      <c r="A1077" s="18">
        <v>2020</v>
      </c>
      <c r="B1077" s="18" t="str">
        <f>+INDEX(BDD!F:F,MATCH(P1077,BDD!D:D,0))&amp;"-"&amp;INDEX(BDD!E:E,MATCH(P1077,BDD!D:D,0))</f>
        <v>G-S</v>
      </c>
      <c r="C1077" s="360" t="s">
        <v>484</v>
      </c>
      <c r="D1077" s="150" t="s">
        <v>77</v>
      </c>
      <c r="E1077" s="132"/>
      <c r="F1077" s="24"/>
      <c r="G1077" s="346">
        <v>8000001031</v>
      </c>
      <c r="H1077" s="18" t="s">
        <v>4239</v>
      </c>
      <c r="I1077" s="329"/>
      <c r="J1077" s="346">
        <v>8000001031</v>
      </c>
      <c r="K1077" s="24"/>
      <c r="L1077" s="24"/>
      <c r="M1077" s="24"/>
      <c r="N1077" s="340" t="s">
        <v>486</v>
      </c>
      <c r="O1077" s="334">
        <v>205259</v>
      </c>
      <c r="P1077" s="25" t="s">
        <v>338</v>
      </c>
      <c r="Q1077" s="127" t="s">
        <v>210</v>
      </c>
      <c r="R1077" s="232" t="s">
        <v>4240</v>
      </c>
      <c r="S1077" s="89">
        <v>44042</v>
      </c>
      <c r="T1077" s="36">
        <v>120</v>
      </c>
      <c r="U1077" s="125" t="s">
        <v>118</v>
      </c>
      <c r="V1077" s="147" t="s">
        <v>4241</v>
      </c>
      <c r="W1077" s="129"/>
      <c r="X1077" s="88">
        <f>+BD1077+T1077</f>
        <v>44214</v>
      </c>
      <c r="Y1077" s="130" t="s">
        <v>20</v>
      </c>
      <c r="Z1077" s="133" t="s">
        <v>60</v>
      </c>
      <c r="AA1077" s="133"/>
      <c r="AB1077" s="241">
        <v>140.38999999999999</v>
      </c>
      <c r="AC1077" s="134">
        <f>450-32</f>
        <v>418</v>
      </c>
      <c r="AD1077" s="134"/>
      <c r="AE1077" s="403">
        <f t="shared" si="58"/>
        <v>58683.02</v>
      </c>
      <c r="AF1077" s="132">
        <v>5</v>
      </c>
      <c r="AG1077" s="130" t="s">
        <v>5</v>
      </c>
      <c r="AH1077" s="130"/>
      <c r="AI1077" s="130" t="s">
        <v>100</v>
      </c>
      <c r="AJ1077" s="130"/>
      <c r="AK1077" s="130"/>
      <c r="AL1077" s="135" t="s">
        <v>4216</v>
      </c>
      <c r="AM1077" s="314"/>
      <c r="AN1077" s="26"/>
      <c r="AO1077" s="26"/>
      <c r="AP1077" s="26"/>
      <c r="AQ1077" s="26">
        <v>44118</v>
      </c>
      <c r="AR1077" s="24"/>
      <c r="AS1077" s="24"/>
      <c r="AT1077" s="24">
        <v>44121</v>
      </c>
      <c r="AU1077" s="418">
        <f t="shared" si="59"/>
        <v>10</v>
      </c>
      <c r="AV1077" s="418">
        <f t="shared" si="60"/>
        <v>2020</v>
      </c>
      <c r="AW1077" s="24"/>
      <c r="AX1077" s="28"/>
      <c r="AY1077" s="28" t="s">
        <v>162</v>
      </c>
      <c r="AZ1077" s="132" t="s">
        <v>9</v>
      </c>
      <c r="BA1077" s="132"/>
      <c r="BB1077" s="24" t="s">
        <v>2956</v>
      </c>
      <c r="BC1077" s="135" t="s">
        <v>4242</v>
      </c>
      <c r="BD1077" s="24">
        <v>44094</v>
      </c>
      <c r="BE1077" s="135" t="s">
        <v>865</v>
      </c>
      <c r="BF1077" s="135" t="s">
        <v>3640</v>
      </c>
      <c r="BG1077" s="135" t="s">
        <v>64</v>
      </c>
      <c r="BH1077" s="135"/>
      <c r="BI1077" s="314" t="s">
        <v>124</v>
      </c>
      <c r="BJ1077" s="314" t="s">
        <v>138</v>
      </c>
      <c r="BK1077" s="24"/>
      <c r="BL1077" s="24"/>
      <c r="BM1077" s="24"/>
      <c r="BN1077" s="24"/>
      <c r="BO1077" s="24">
        <v>44140</v>
      </c>
      <c r="BP1077" s="24"/>
      <c r="BQ1077" s="24"/>
      <c r="BR1077" s="43"/>
      <c r="BS1077" s="24"/>
      <c r="BT1077" s="24"/>
      <c r="BU1077" s="24"/>
      <c r="BV1077" s="132" t="e">
        <f>IF(#REF!="COMPLETO","OK","PENDIENTES")</f>
        <v>#REF!</v>
      </c>
      <c r="BW1077" s="325"/>
      <c r="BX1077" s="325"/>
      <c r="BY1077" s="325"/>
      <c r="BZ1077" s="325"/>
      <c r="CA1077" s="325"/>
      <c r="CB1077" s="325"/>
      <c r="CC1077" s="258" t="s">
        <v>4243</v>
      </c>
      <c r="CG1077" s="24" t="s">
        <v>105</v>
      </c>
      <c r="CH1077" s="24"/>
      <c r="CI1077" s="24"/>
      <c r="CJ1077" s="24"/>
    </row>
    <row r="1078" spans="1:88" ht="15" customHeight="1">
      <c r="A1078" s="18">
        <v>2020</v>
      </c>
      <c r="B1078" s="18" t="str">
        <f>+INDEX(BDD!F:F,MATCH(P1078,BDD!D:D,0))&amp;"-"&amp;INDEX(BDD!E:E,MATCH(P1078,BDD!D:D,0))</f>
        <v>S-P</v>
      </c>
      <c r="C1078" s="360" t="s">
        <v>484</v>
      </c>
      <c r="D1078" s="150" t="s">
        <v>77</v>
      </c>
      <c r="E1078" s="132"/>
      <c r="F1078" s="24"/>
      <c r="G1078" s="346">
        <v>8000001071</v>
      </c>
      <c r="H1078" s="18" t="s">
        <v>4244</v>
      </c>
      <c r="I1078" s="329"/>
      <c r="J1078" s="346">
        <v>8000001071</v>
      </c>
      <c r="K1078" s="24"/>
      <c r="L1078" s="24"/>
      <c r="M1078" s="24"/>
      <c r="N1078" s="340" t="s">
        <v>486</v>
      </c>
      <c r="O1078" s="334">
        <v>208510</v>
      </c>
      <c r="P1078" s="25" t="s">
        <v>2</v>
      </c>
      <c r="Q1078" s="127" t="s">
        <v>234</v>
      </c>
      <c r="R1078" s="232" t="s">
        <v>4245</v>
      </c>
      <c r="S1078" s="89">
        <v>44040</v>
      </c>
      <c r="T1078" s="36" t="s">
        <v>19</v>
      </c>
      <c r="U1078" s="125"/>
      <c r="V1078" s="232" t="s">
        <v>4245</v>
      </c>
      <c r="W1078" s="151"/>
      <c r="X1078" s="88">
        <v>44123</v>
      </c>
      <c r="Y1078" s="130" t="s">
        <v>20</v>
      </c>
      <c r="Z1078" s="133" t="s">
        <v>81</v>
      </c>
      <c r="AA1078" s="133"/>
      <c r="AB1078" s="241">
        <v>212.8</v>
      </c>
      <c r="AC1078" s="134">
        <v>817</v>
      </c>
      <c r="AD1078" s="134"/>
      <c r="AE1078" s="403">
        <f t="shared" si="58"/>
        <v>173857.6</v>
      </c>
      <c r="AF1078" s="132">
        <v>8</v>
      </c>
      <c r="AG1078" s="130" t="s">
        <v>5</v>
      </c>
      <c r="AH1078" s="130"/>
      <c r="AI1078" s="130" t="s">
        <v>80</v>
      </c>
      <c r="AJ1078" s="130"/>
      <c r="AK1078" s="130"/>
      <c r="AL1078" s="135" t="s">
        <v>4216</v>
      </c>
      <c r="AM1078" s="314"/>
      <c r="AN1078" s="26"/>
      <c r="AO1078" s="26"/>
      <c r="AP1078" s="26"/>
      <c r="AQ1078" s="26">
        <v>44134</v>
      </c>
      <c r="AR1078" s="24"/>
      <c r="AS1078" s="24"/>
      <c r="AT1078" s="24">
        <v>44144</v>
      </c>
      <c r="AU1078" s="418">
        <f t="shared" si="59"/>
        <v>11</v>
      </c>
      <c r="AV1078" s="418">
        <f t="shared" si="60"/>
        <v>2020</v>
      </c>
      <c r="AW1078" s="24"/>
      <c r="AX1078" s="28"/>
      <c r="AY1078" s="28" t="s">
        <v>308</v>
      </c>
      <c r="AZ1078" s="132" t="s">
        <v>9</v>
      </c>
      <c r="BA1078" s="132"/>
      <c r="BB1078" s="24" t="s">
        <v>3264</v>
      </c>
      <c r="BC1078" s="135" t="s">
        <v>4246</v>
      </c>
      <c r="BD1078" s="24">
        <v>44090</v>
      </c>
      <c r="BE1078" s="135" t="s">
        <v>4247</v>
      </c>
      <c r="BF1078" s="135" t="s">
        <v>994</v>
      </c>
      <c r="BG1078" s="135" t="s">
        <v>41</v>
      </c>
      <c r="BH1078" s="135"/>
      <c r="BI1078" s="314" t="s">
        <v>124</v>
      </c>
      <c r="BJ1078" s="314" t="s">
        <v>143</v>
      </c>
      <c r="BK1078" s="24"/>
      <c r="BL1078" s="24"/>
      <c r="BM1078" s="24"/>
      <c r="BN1078" s="24"/>
      <c r="BO1078" s="24"/>
      <c r="BP1078" s="24"/>
      <c r="BQ1078" s="24"/>
      <c r="BR1078" s="43"/>
      <c r="BS1078" s="24"/>
      <c r="BT1078" s="24"/>
      <c r="BU1078" s="24"/>
      <c r="BV1078" s="132" t="e">
        <f>IF(#REF!="COMPLETO","OK","PENDIENTES")</f>
        <v>#REF!</v>
      </c>
      <c r="BW1078" s="325"/>
      <c r="BX1078" s="325"/>
      <c r="BY1078" s="325"/>
      <c r="BZ1078" s="325"/>
      <c r="CA1078" s="325"/>
      <c r="CB1078" s="325"/>
      <c r="CC1078" s="258"/>
      <c r="CG1078" s="24" t="s">
        <v>105</v>
      </c>
      <c r="CH1078" s="24"/>
      <c r="CI1078" s="24"/>
      <c r="CJ1078" s="24"/>
    </row>
    <row r="1079" spans="1:88" ht="15" customHeight="1">
      <c r="A1079" s="18">
        <v>2020</v>
      </c>
      <c r="B1079" s="18" t="str">
        <f>+INDEX(BDD!F:F,MATCH(P1079,BDD!D:D,0))&amp;"-"&amp;INDEX(BDD!E:E,MATCH(P1079,BDD!D:D,0))</f>
        <v>S-P</v>
      </c>
      <c r="C1079" s="360" t="s">
        <v>484</v>
      </c>
      <c r="D1079" s="150" t="s">
        <v>77</v>
      </c>
      <c r="E1079" s="132"/>
      <c r="F1079" s="24"/>
      <c r="G1079" s="346">
        <v>8000001094</v>
      </c>
      <c r="H1079" s="18" t="s">
        <v>4248</v>
      </c>
      <c r="I1079" s="329"/>
      <c r="J1079" s="346">
        <v>8000001094</v>
      </c>
      <c r="K1079" s="24"/>
      <c r="L1079" s="24"/>
      <c r="M1079" s="24"/>
      <c r="N1079" s="340" t="s">
        <v>486</v>
      </c>
      <c r="O1079" s="334">
        <v>208510</v>
      </c>
      <c r="P1079" s="25" t="s">
        <v>2</v>
      </c>
      <c r="Q1079" s="127" t="s">
        <v>234</v>
      </c>
      <c r="R1079" s="232" t="s">
        <v>4249</v>
      </c>
      <c r="S1079" s="89">
        <v>44040</v>
      </c>
      <c r="T1079" s="36" t="s">
        <v>19</v>
      </c>
      <c r="U1079" s="125"/>
      <c r="V1079" s="232" t="s">
        <v>4249</v>
      </c>
      <c r="W1079" s="151"/>
      <c r="X1079" s="88">
        <v>44126</v>
      </c>
      <c r="Y1079" s="130" t="s">
        <v>20</v>
      </c>
      <c r="Z1079" s="133" t="s">
        <v>81</v>
      </c>
      <c r="AA1079" s="133"/>
      <c r="AB1079" s="241">
        <v>212.8</v>
      </c>
      <c r="AC1079" s="134">
        <v>817</v>
      </c>
      <c r="AD1079" s="134"/>
      <c r="AE1079" s="403">
        <f t="shared" si="58"/>
        <v>173857.6</v>
      </c>
      <c r="AF1079" s="132">
        <v>8</v>
      </c>
      <c r="AG1079" s="130" t="s">
        <v>5</v>
      </c>
      <c r="AH1079" s="130"/>
      <c r="AI1079" s="130" t="s">
        <v>80</v>
      </c>
      <c r="AJ1079" s="130"/>
      <c r="AK1079" s="130"/>
      <c r="AL1079" s="135" t="s">
        <v>4250</v>
      </c>
      <c r="AM1079" s="314"/>
      <c r="AN1079" s="26"/>
      <c r="AO1079" s="26"/>
      <c r="AP1079" s="26"/>
      <c r="AQ1079" s="26">
        <v>44140</v>
      </c>
      <c r="AR1079" s="24"/>
      <c r="AS1079" s="24"/>
      <c r="AT1079" s="24">
        <v>44155</v>
      </c>
      <c r="AU1079" s="418">
        <f t="shared" si="59"/>
        <v>11</v>
      </c>
      <c r="AV1079" s="418">
        <f t="shared" si="60"/>
        <v>2020</v>
      </c>
      <c r="AW1079" s="24"/>
      <c r="AX1079" s="28"/>
      <c r="AY1079" s="28" t="s">
        <v>308</v>
      </c>
      <c r="AZ1079" s="132" t="s">
        <v>9</v>
      </c>
      <c r="BA1079" s="132"/>
      <c r="BB1079" s="24" t="s">
        <v>3264</v>
      </c>
      <c r="BC1079" s="135" t="s">
        <v>4251</v>
      </c>
      <c r="BD1079" s="24">
        <v>44096</v>
      </c>
      <c r="BE1079" s="135" t="s">
        <v>4252</v>
      </c>
      <c r="BF1079" s="135" t="s">
        <v>3276</v>
      </c>
      <c r="BG1079" s="135" t="s">
        <v>41</v>
      </c>
      <c r="BH1079" s="135"/>
      <c r="BI1079" s="314" t="s">
        <v>124</v>
      </c>
      <c r="BJ1079" s="314" t="s">
        <v>143</v>
      </c>
      <c r="BK1079" s="24"/>
      <c r="BL1079" s="24"/>
      <c r="BM1079" s="24"/>
      <c r="BN1079" s="24"/>
      <c r="BO1079" s="24"/>
      <c r="BP1079" s="24"/>
      <c r="BQ1079" s="24"/>
      <c r="BR1079" s="43"/>
      <c r="BS1079" s="24"/>
      <c r="BT1079" s="24"/>
      <c r="BU1079" s="24"/>
      <c r="BV1079" s="132" t="e">
        <f>IF(#REF!="COMPLETO","OK","PENDIENTES")</f>
        <v>#REF!</v>
      </c>
      <c r="BW1079" s="325"/>
      <c r="BX1079" s="325"/>
      <c r="BY1079" s="325"/>
      <c r="BZ1079" s="325"/>
      <c r="CA1079" s="325"/>
      <c r="CB1079" s="325"/>
      <c r="CC1079" s="258"/>
      <c r="CG1079" s="24" t="s">
        <v>105</v>
      </c>
      <c r="CH1079" s="24"/>
      <c r="CI1079" s="24"/>
      <c r="CJ1079" s="24"/>
    </row>
    <row r="1080" spans="1:88" ht="15" customHeight="1">
      <c r="A1080" s="18">
        <v>2020</v>
      </c>
      <c r="B1080" s="18" t="str">
        <f>+INDEX(BDD!F:F,MATCH(P1080,BDD!D:D,0))&amp;"-"&amp;INDEX(BDD!E:E,MATCH(P1080,BDD!D:D,0))</f>
        <v>S-P</v>
      </c>
      <c r="C1080" s="360" t="s">
        <v>484</v>
      </c>
      <c r="D1080" s="150" t="s">
        <v>77</v>
      </c>
      <c r="E1080" s="132"/>
      <c r="F1080" s="24"/>
      <c r="G1080" s="346">
        <v>8000001060</v>
      </c>
      <c r="H1080" s="18" t="s">
        <v>4253</v>
      </c>
      <c r="I1080" s="329"/>
      <c r="J1080" s="346">
        <v>8000001060</v>
      </c>
      <c r="K1080" s="24"/>
      <c r="L1080" s="24"/>
      <c r="M1080" s="24"/>
      <c r="N1080" s="340" t="s">
        <v>486</v>
      </c>
      <c r="O1080" s="334">
        <v>208510</v>
      </c>
      <c r="P1080" s="25" t="s">
        <v>2</v>
      </c>
      <c r="Q1080" s="127" t="s">
        <v>234</v>
      </c>
      <c r="R1080" s="232" t="s">
        <v>4254</v>
      </c>
      <c r="S1080" s="89">
        <v>44040</v>
      </c>
      <c r="T1080" s="36" t="s">
        <v>19</v>
      </c>
      <c r="U1080" s="125"/>
      <c r="V1080" s="232" t="s">
        <v>4254</v>
      </c>
      <c r="W1080" s="151"/>
      <c r="X1080" s="88">
        <v>44123</v>
      </c>
      <c r="Y1080" s="130" t="s">
        <v>20</v>
      </c>
      <c r="Z1080" s="133" t="s">
        <v>81</v>
      </c>
      <c r="AA1080" s="133"/>
      <c r="AB1080" s="241">
        <v>212.8</v>
      </c>
      <c r="AC1080" s="134">
        <v>807</v>
      </c>
      <c r="AD1080" s="134"/>
      <c r="AE1080" s="403">
        <f t="shared" si="58"/>
        <v>171729.6</v>
      </c>
      <c r="AF1080" s="132">
        <v>8</v>
      </c>
      <c r="AG1080" s="130" t="s">
        <v>5</v>
      </c>
      <c r="AH1080" s="130"/>
      <c r="AI1080" s="130" t="s">
        <v>80</v>
      </c>
      <c r="AJ1080" s="130"/>
      <c r="AK1080" s="130"/>
      <c r="AL1080" s="135" t="s">
        <v>4216</v>
      </c>
      <c r="AM1080" s="314"/>
      <c r="AN1080" s="26"/>
      <c r="AO1080" s="26"/>
      <c r="AP1080" s="26"/>
      <c r="AQ1080" s="26">
        <v>44121</v>
      </c>
      <c r="AR1080" s="24"/>
      <c r="AS1080" s="24"/>
      <c r="AT1080" s="24">
        <v>44124</v>
      </c>
      <c r="AU1080" s="418">
        <f t="shared" si="59"/>
        <v>10</v>
      </c>
      <c r="AV1080" s="418">
        <f t="shared" si="60"/>
        <v>2020</v>
      </c>
      <c r="AW1080" s="24"/>
      <c r="AX1080" s="28"/>
      <c r="AY1080" s="28" t="s">
        <v>308</v>
      </c>
      <c r="AZ1080" s="132" t="s">
        <v>37</v>
      </c>
      <c r="BA1080" s="132"/>
      <c r="BB1080" s="24" t="s">
        <v>3291</v>
      </c>
      <c r="BC1080" s="135" t="s">
        <v>4255</v>
      </c>
      <c r="BD1080" s="24">
        <v>44085</v>
      </c>
      <c r="BE1080" s="135" t="s">
        <v>4256</v>
      </c>
      <c r="BF1080" s="135" t="s">
        <v>4256</v>
      </c>
      <c r="BG1080" s="135" t="s">
        <v>29</v>
      </c>
      <c r="BH1080" s="135"/>
      <c r="BI1080" s="314" t="s">
        <v>124</v>
      </c>
      <c r="BJ1080" s="314" t="s">
        <v>143</v>
      </c>
      <c r="BK1080" s="24"/>
      <c r="BL1080" s="24"/>
      <c r="BM1080" s="24"/>
      <c r="BN1080" s="24"/>
      <c r="BO1080" s="24">
        <f>+AQ1080+15</f>
        <v>44136</v>
      </c>
      <c r="BP1080" s="24"/>
      <c r="BQ1080" s="24"/>
      <c r="BR1080" s="43"/>
      <c r="BS1080" s="24"/>
      <c r="BT1080" s="24"/>
      <c r="BU1080" s="24"/>
      <c r="BV1080" s="132" t="e">
        <f>IF(#REF!="COMPLETO","OK","PENDIENTES")</f>
        <v>#REF!</v>
      </c>
      <c r="BW1080" s="325"/>
      <c r="BX1080" s="325"/>
      <c r="BY1080" s="325"/>
      <c r="BZ1080" s="325"/>
      <c r="CA1080" s="325"/>
      <c r="CB1080" s="325"/>
      <c r="CC1080" s="258" t="s">
        <v>4257</v>
      </c>
      <c r="CG1080" s="24" t="s">
        <v>105</v>
      </c>
      <c r="CH1080" s="24"/>
      <c r="CI1080" s="24"/>
      <c r="CJ1080" s="24"/>
    </row>
    <row r="1081" spans="1:88" ht="15" customHeight="1">
      <c r="A1081" s="18">
        <v>2020</v>
      </c>
      <c r="B1081" s="18" t="str">
        <f>+INDEX(BDD!F:F,MATCH(P1081,BDD!D:D,0))&amp;"-"&amp;INDEX(BDD!E:E,MATCH(P1081,BDD!D:D,0))</f>
        <v>S-P</v>
      </c>
      <c r="C1081" s="360" t="s">
        <v>484</v>
      </c>
      <c r="D1081" s="150" t="s">
        <v>77</v>
      </c>
      <c r="E1081" s="132"/>
      <c r="F1081" s="24"/>
      <c r="G1081" s="346">
        <v>8000001086</v>
      </c>
      <c r="H1081" s="18" t="s">
        <v>4258</v>
      </c>
      <c r="I1081" s="329"/>
      <c r="J1081" s="346">
        <v>8000001086</v>
      </c>
      <c r="K1081" s="24"/>
      <c r="L1081" s="24"/>
      <c r="M1081" s="24"/>
      <c r="N1081" s="340" t="s">
        <v>486</v>
      </c>
      <c r="O1081" s="334">
        <v>208510</v>
      </c>
      <c r="P1081" s="25" t="s">
        <v>2</v>
      </c>
      <c r="Q1081" s="127" t="s">
        <v>234</v>
      </c>
      <c r="R1081" s="232" t="s">
        <v>4259</v>
      </c>
      <c r="S1081" s="89">
        <v>44040</v>
      </c>
      <c r="T1081" s="36" t="s">
        <v>19</v>
      </c>
      <c r="U1081" s="125"/>
      <c r="V1081" s="232" t="s">
        <v>4259</v>
      </c>
      <c r="W1081" s="151"/>
      <c r="X1081" s="88">
        <v>44148</v>
      </c>
      <c r="Y1081" s="130" t="s">
        <v>20</v>
      </c>
      <c r="Z1081" s="133" t="s">
        <v>81</v>
      </c>
      <c r="AA1081" s="133"/>
      <c r="AB1081" s="241">
        <v>212.8</v>
      </c>
      <c r="AC1081" s="134">
        <v>807</v>
      </c>
      <c r="AD1081" s="134"/>
      <c r="AE1081" s="403">
        <f t="shared" si="58"/>
        <v>171729.6</v>
      </c>
      <c r="AF1081" s="132">
        <v>8</v>
      </c>
      <c r="AG1081" s="130" t="s">
        <v>5</v>
      </c>
      <c r="AH1081" s="130"/>
      <c r="AI1081" s="130" t="s">
        <v>80</v>
      </c>
      <c r="AJ1081" s="130"/>
      <c r="AK1081" s="130"/>
      <c r="AL1081" s="135" t="s">
        <v>4250</v>
      </c>
      <c r="AM1081" s="314"/>
      <c r="AN1081" s="26"/>
      <c r="AO1081" s="26"/>
      <c r="AP1081" s="26"/>
      <c r="AQ1081" s="26">
        <v>44149</v>
      </c>
      <c r="AR1081" s="24"/>
      <c r="AS1081" s="24"/>
      <c r="AT1081" s="24">
        <v>44152</v>
      </c>
      <c r="AU1081" s="418">
        <f t="shared" si="59"/>
        <v>11</v>
      </c>
      <c r="AV1081" s="418">
        <f t="shared" si="60"/>
        <v>2020</v>
      </c>
      <c r="AW1081" s="24"/>
      <c r="AX1081" s="28"/>
      <c r="AY1081" s="28" t="s">
        <v>308</v>
      </c>
      <c r="AZ1081" s="132" t="s">
        <v>37</v>
      </c>
      <c r="BA1081" s="132"/>
      <c r="BB1081" s="24" t="s">
        <v>3593</v>
      </c>
      <c r="BC1081" s="135" t="s">
        <v>4260</v>
      </c>
      <c r="BD1081" s="24">
        <v>44113</v>
      </c>
      <c r="BE1081" s="135" t="s">
        <v>2544</v>
      </c>
      <c r="BF1081" s="135" t="s">
        <v>2544</v>
      </c>
      <c r="BG1081" s="135" t="s">
        <v>29</v>
      </c>
      <c r="BH1081" s="135"/>
      <c r="BI1081" s="314" t="s">
        <v>124</v>
      </c>
      <c r="BJ1081" s="314" t="s">
        <v>143</v>
      </c>
      <c r="BK1081" s="24"/>
      <c r="BL1081" s="24"/>
      <c r="BM1081" s="24"/>
      <c r="BN1081" s="24"/>
      <c r="BO1081" s="24"/>
      <c r="BP1081" s="24"/>
      <c r="BQ1081" s="24"/>
      <c r="BR1081" s="43"/>
      <c r="BS1081" s="24"/>
      <c r="BT1081" s="24"/>
      <c r="BU1081" s="24"/>
      <c r="BV1081" s="132" t="e">
        <f>IF(#REF!="COMPLETO","OK","PENDIENTES")</f>
        <v>#REF!</v>
      </c>
      <c r="BW1081" s="325"/>
      <c r="BX1081" s="325"/>
      <c r="BY1081" s="325"/>
      <c r="BZ1081" s="325"/>
      <c r="CA1081" s="325"/>
      <c r="CB1081" s="325"/>
      <c r="CC1081" s="258"/>
      <c r="CG1081" s="24" t="s">
        <v>105</v>
      </c>
      <c r="CH1081" s="24"/>
      <c r="CI1081" s="24"/>
      <c r="CJ1081" s="24"/>
    </row>
    <row r="1082" spans="1:88" ht="15" customHeight="1">
      <c r="A1082" s="18">
        <v>2020</v>
      </c>
      <c r="B1082" s="18" t="str">
        <f>+INDEX(BDD!F:F,MATCH(P1082,BDD!D:D,0))&amp;"-"&amp;INDEX(BDD!E:E,MATCH(P1082,BDD!D:D,0))</f>
        <v>S-S</v>
      </c>
      <c r="C1082" s="360" t="s">
        <v>484</v>
      </c>
      <c r="D1082" s="150" t="s">
        <v>77</v>
      </c>
      <c r="E1082" s="132"/>
      <c r="F1082" s="24"/>
      <c r="G1082" s="346">
        <v>8000001177</v>
      </c>
      <c r="H1082" s="18" t="s">
        <v>4261</v>
      </c>
      <c r="I1082" s="329"/>
      <c r="J1082" s="346">
        <v>8000001177</v>
      </c>
      <c r="K1082" s="24"/>
      <c r="L1082" s="24"/>
      <c r="M1082" s="24"/>
      <c r="N1082" s="340" t="s">
        <v>486</v>
      </c>
      <c r="O1082" s="334">
        <v>206971</v>
      </c>
      <c r="P1082" s="25" t="s">
        <v>340</v>
      </c>
      <c r="Q1082" s="127" t="s">
        <v>66</v>
      </c>
      <c r="R1082" s="232" t="s">
        <v>4262</v>
      </c>
      <c r="S1082" s="89">
        <v>44104</v>
      </c>
      <c r="T1082" s="36">
        <v>90</v>
      </c>
      <c r="U1082" s="125" t="s">
        <v>118</v>
      </c>
      <c r="V1082" s="147" t="s">
        <v>4263</v>
      </c>
      <c r="W1082" s="129"/>
      <c r="X1082" s="88">
        <f>+BD1082+T1082</f>
        <v>44193</v>
      </c>
      <c r="Y1082" s="130" t="s">
        <v>20</v>
      </c>
      <c r="Z1082" s="133" t="s">
        <v>60</v>
      </c>
      <c r="AA1082" s="133"/>
      <c r="AB1082" s="241">
        <v>500</v>
      </c>
      <c r="AC1082" s="134">
        <v>426.83</v>
      </c>
      <c r="AD1082" s="134"/>
      <c r="AE1082" s="403">
        <f t="shared" si="58"/>
        <v>213415</v>
      </c>
      <c r="AF1082" s="132">
        <v>20</v>
      </c>
      <c r="AG1082" s="130" t="s">
        <v>21</v>
      </c>
      <c r="AH1082" s="130"/>
      <c r="AI1082" s="130" t="s">
        <v>34</v>
      </c>
      <c r="AJ1082" s="130"/>
      <c r="AK1082" s="130"/>
      <c r="AL1082" s="135" t="s">
        <v>4264</v>
      </c>
      <c r="AM1082" s="314"/>
      <c r="AN1082" s="26"/>
      <c r="AO1082" s="26"/>
      <c r="AP1082" s="26"/>
      <c r="AQ1082" s="26">
        <v>44173</v>
      </c>
      <c r="AR1082" s="24"/>
      <c r="AS1082" s="24"/>
      <c r="AT1082" s="24">
        <v>44182</v>
      </c>
      <c r="AU1082" s="418">
        <f t="shared" si="59"/>
        <v>12</v>
      </c>
      <c r="AV1082" s="418">
        <f t="shared" si="60"/>
        <v>2020</v>
      </c>
      <c r="AW1082" s="24"/>
      <c r="AX1082" s="28"/>
      <c r="AY1082" s="28" t="s">
        <v>197</v>
      </c>
      <c r="AZ1082" s="132" t="s">
        <v>9</v>
      </c>
      <c r="BA1082" s="132"/>
      <c r="BB1082" s="24" t="s">
        <v>3519</v>
      </c>
      <c r="BC1082" s="135" t="s">
        <v>4265</v>
      </c>
      <c r="BD1082" s="24">
        <v>44103</v>
      </c>
      <c r="BE1082" s="135" t="s">
        <v>2505</v>
      </c>
      <c r="BF1082" s="135" t="s">
        <v>3922</v>
      </c>
      <c r="BG1082" s="135" t="s">
        <v>174</v>
      </c>
      <c r="BH1082" s="135"/>
      <c r="BI1082" s="314" t="s">
        <v>124</v>
      </c>
      <c r="BJ1082" s="314" t="s">
        <v>143</v>
      </c>
      <c r="BK1082" s="24"/>
      <c r="BL1082" s="24"/>
      <c r="BM1082" s="24"/>
      <c r="BN1082" s="24"/>
      <c r="BO1082" s="24">
        <v>44195</v>
      </c>
      <c r="BP1082" s="24"/>
      <c r="BQ1082" s="24"/>
      <c r="BR1082" s="43"/>
      <c r="BS1082" s="24"/>
      <c r="BT1082" s="24"/>
      <c r="BU1082" s="24"/>
      <c r="BV1082" s="132" t="e">
        <f>IF(#REF!="COMPLETO","OK","PENDIENTES")</f>
        <v>#REF!</v>
      </c>
      <c r="BW1082" s="325"/>
      <c r="BX1082" s="325"/>
      <c r="BY1082" s="325"/>
      <c r="BZ1082" s="325"/>
      <c r="CA1082" s="325"/>
      <c r="CB1082" s="325"/>
      <c r="CC1082" s="258" t="s">
        <v>4266</v>
      </c>
      <c r="CG1082" s="24" t="s">
        <v>105</v>
      </c>
      <c r="CH1082" s="24"/>
      <c r="CI1082" s="24"/>
      <c r="CJ1082" s="24"/>
    </row>
    <row r="1083" spans="1:88" ht="15" customHeight="1">
      <c r="A1083" s="18">
        <v>2020</v>
      </c>
      <c r="B1083" s="18" t="str">
        <f>+INDEX(BDD!F:F,MATCH(P1083,BDD!D:D,0))&amp;"-"&amp;INDEX(BDD!E:E,MATCH(P1083,BDD!D:D,0))</f>
        <v>S-S</v>
      </c>
      <c r="C1083" s="360" t="s">
        <v>484</v>
      </c>
      <c r="D1083" s="150" t="s">
        <v>77</v>
      </c>
      <c r="E1083" s="132"/>
      <c r="F1083" s="24"/>
      <c r="G1083" s="346">
        <v>8000001124</v>
      </c>
      <c r="H1083" s="18" t="s">
        <v>4267</v>
      </c>
      <c r="I1083" s="329"/>
      <c r="J1083" s="346">
        <v>8000001124</v>
      </c>
      <c r="K1083" s="24"/>
      <c r="L1083" s="24"/>
      <c r="M1083" s="24"/>
      <c r="N1083" s="340" t="s">
        <v>486</v>
      </c>
      <c r="O1083" s="334">
        <v>206971</v>
      </c>
      <c r="P1083" s="25" t="s">
        <v>340</v>
      </c>
      <c r="Q1083" s="127" t="s">
        <v>66</v>
      </c>
      <c r="R1083" s="232" t="s">
        <v>4262</v>
      </c>
      <c r="S1083" s="89">
        <v>44104</v>
      </c>
      <c r="T1083" s="36">
        <v>90</v>
      </c>
      <c r="U1083" s="125" t="s">
        <v>118</v>
      </c>
      <c r="V1083" s="147" t="s">
        <v>4268</v>
      </c>
      <c r="W1083" s="129"/>
      <c r="X1083" s="88">
        <f>+BD1083+T1083</f>
        <v>44193</v>
      </c>
      <c r="Y1083" s="130" t="s">
        <v>20</v>
      </c>
      <c r="Z1083" s="133" t="s">
        <v>60</v>
      </c>
      <c r="AA1083" s="133"/>
      <c r="AB1083" s="241">
        <v>850</v>
      </c>
      <c r="AC1083" s="134">
        <v>421.74</v>
      </c>
      <c r="AD1083" s="134"/>
      <c r="AE1083" s="403">
        <f t="shared" si="58"/>
        <v>358479</v>
      </c>
      <c r="AF1083" s="132">
        <v>34</v>
      </c>
      <c r="AG1083" s="130" t="s">
        <v>21</v>
      </c>
      <c r="AH1083" s="130"/>
      <c r="AI1083" s="130" t="s">
        <v>34</v>
      </c>
      <c r="AJ1083" s="130"/>
      <c r="AK1083" s="130"/>
      <c r="AL1083" s="135" t="s">
        <v>4264</v>
      </c>
      <c r="AM1083" s="314"/>
      <c r="AN1083" s="26"/>
      <c r="AO1083" s="26"/>
      <c r="AP1083" s="26"/>
      <c r="AQ1083" s="26">
        <v>44154</v>
      </c>
      <c r="AR1083" s="24"/>
      <c r="AS1083" s="24"/>
      <c r="AT1083" s="24">
        <v>44161</v>
      </c>
      <c r="AU1083" s="418">
        <f t="shared" si="59"/>
        <v>11</v>
      </c>
      <c r="AV1083" s="418">
        <f t="shared" si="60"/>
        <v>2020</v>
      </c>
      <c r="AW1083" s="24"/>
      <c r="AX1083" s="28"/>
      <c r="AY1083" s="28" t="s">
        <v>197</v>
      </c>
      <c r="AZ1083" s="132" t="s">
        <v>37</v>
      </c>
      <c r="BA1083" s="132"/>
      <c r="BB1083" s="24" t="s">
        <v>3593</v>
      </c>
      <c r="BC1083" s="135" t="s">
        <v>4269</v>
      </c>
      <c r="BD1083" s="24">
        <v>44103</v>
      </c>
      <c r="BE1083" s="135" t="s">
        <v>2505</v>
      </c>
      <c r="BF1083" s="135" t="s">
        <v>4270</v>
      </c>
      <c r="BG1083" s="135" t="s">
        <v>174</v>
      </c>
      <c r="BH1083" s="135"/>
      <c r="BI1083" s="314" t="s">
        <v>124</v>
      </c>
      <c r="BJ1083" s="314" t="s">
        <v>143</v>
      </c>
      <c r="BK1083" s="24"/>
      <c r="BL1083" s="24"/>
      <c r="BM1083" s="24"/>
      <c r="BN1083" s="24"/>
      <c r="BO1083" s="24">
        <f>+AQ1083+14</f>
        <v>44168</v>
      </c>
      <c r="BP1083" s="24"/>
      <c r="BQ1083" s="24"/>
      <c r="BR1083" s="43"/>
      <c r="BS1083" s="24"/>
      <c r="BT1083" s="24"/>
      <c r="BU1083" s="24"/>
      <c r="BV1083" s="132" t="e">
        <f>IF(#REF!="COMPLETO","OK","PENDIENTES")</f>
        <v>#REF!</v>
      </c>
      <c r="BW1083" s="325"/>
      <c r="BX1083" s="325"/>
      <c r="BY1083" s="325"/>
      <c r="BZ1083" s="325"/>
      <c r="CA1083" s="325"/>
      <c r="CB1083" s="325"/>
      <c r="CC1083" s="258" t="s">
        <v>4271</v>
      </c>
      <c r="CG1083" s="24" t="s">
        <v>105</v>
      </c>
      <c r="CH1083" s="24"/>
      <c r="CI1083" s="24"/>
      <c r="CJ1083" s="24"/>
    </row>
    <row r="1084" spans="1:88" ht="15" customHeight="1">
      <c r="A1084" s="18">
        <v>2020</v>
      </c>
      <c r="B1084" s="18" t="str">
        <f>+INDEX(BDD!F:F,MATCH(P1084,BDD!D:D,0))&amp;"-"&amp;INDEX(BDD!E:E,MATCH(P1084,BDD!D:D,0))</f>
        <v>S-S</v>
      </c>
      <c r="C1084" s="125" t="s">
        <v>484</v>
      </c>
      <c r="D1084" s="152" t="s">
        <v>92</v>
      </c>
      <c r="E1084" s="132"/>
      <c r="F1084" s="24"/>
      <c r="G1084" s="346"/>
      <c r="H1084" s="125" t="s">
        <v>4272</v>
      </c>
      <c r="I1084" s="330"/>
      <c r="J1084" s="346"/>
      <c r="K1084" s="24"/>
      <c r="L1084" s="24"/>
      <c r="M1084" s="24"/>
      <c r="N1084" s="340"/>
      <c r="O1084" s="334"/>
      <c r="P1084" s="25" t="s">
        <v>340</v>
      </c>
      <c r="Q1084" s="127" t="s">
        <v>66</v>
      </c>
      <c r="R1084" s="232"/>
      <c r="S1084" s="89"/>
      <c r="T1084" s="36"/>
      <c r="U1084" s="125"/>
      <c r="V1084" s="147"/>
      <c r="W1084" s="129"/>
      <c r="X1084" s="88"/>
      <c r="Y1084" s="130"/>
      <c r="Z1084" s="133"/>
      <c r="AA1084" s="133"/>
      <c r="AB1084" s="241"/>
      <c r="AC1084" s="134"/>
      <c r="AD1084" s="134"/>
      <c r="AE1084" s="403">
        <f t="shared" si="58"/>
        <v>0</v>
      </c>
      <c r="AF1084" s="132"/>
      <c r="AG1084" s="130"/>
      <c r="AH1084" s="130"/>
      <c r="AI1084" s="130"/>
      <c r="AJ1084" s="130"/>
      <c r="AK1084" s="130"/>
      <c r="AL1084" s="135"/>
      <c r="AM1084" s="314"/>
      <c r="AN1084" s="26"/>
      <c r="AO1084" s="26"/>
      <c r="AP1084" s="26"/>
      <c r="AQ1084" s="26"/>
      <c r="AR1084" s="24"/>
      <c r="AS1084" s="24"/>
      <c r="AT1084" s="24"/>
      <c r="AU1084" s="418">
        <f t="shared" si="59"/>
        <v>1</v>
      </c>
      <c r="AV1084" s="418">
        <f t="shared" si="60"/>
        <v>1900</v>
      </c>
      <c r="AW1084" s="24"/>
      <c r="AX1084" s="28"/>
      <c r="AY1084" s="28"/>
      <c r="AZ1084" s="132"/>
      <c r="BA1084" s="132"/>
      <c r="BB1084" s="24"/>
      <c r="BC1084" s="135"/>
      <c r="BD1084" s="24"/>
      <c r="BE1084" s="135"/>
      <c r="BF1084" s="135"/>
      <c r="BG1084" s="135"/>
      <c r="BH1084" s="135"/>
      <c r="BI1084" s="314"/>
      <c r="BJ1084" s="314"/>
      <c r="BK1084" s="24"/>
      <c r="BL1084" s="24"/>
      <c r="BM1084" s="24"/>
      <c r="BN1084" s="24"/>
      <c r="BO1084" s="24"/>
      <c r="BP1084" s="24"/>
      <c r="BQ1084" s="24"/>
      <c r="BR1084" s="43"/>
      <c r="BS1084" s="24"/>
      <c r="BT1084" s="24"/>
      <c r="BU1084" s="24"/>
      <c r="BV1084" s="132"/>
      <c r="BW1084" s="325"/>
      <c r="BX1084" s="325"/>
      <c r="BY1084" s="325"/>
      <c r="BZ1084" s="325"/>
      <c r="CA1084" s="325"/>
      <c r="CB1084" s="325"/>
      <c r="CC1084" s="258"/>
      <c r="CD1084" s="22"/>
      <c r="CE1084" s="22"/>
      <c r="CF1084" s="22"/>
      <c r="CG1084" s="24"/>
      <c r="CH1084" s="24"/>
      <c r="CI1084" s="24"/>
      <c r="CJ1084" s="24"/>
    </row>
    <row r="1085" spans="1:88" ht="15" customHeight="1">
      <c r="A1085" s="18">
        <v>2020</v>
      </c>
      <c r="B1085" s="18" t="str">
        <f>+INDEX(BDD!F:F,MATCH(P1085,BDD!D:D,0))&amp;"-"&amp;INDEX(BDD!E:E,MATCH(P1085,BDD!D:D,0))</f>
        <v>S-S</v>
      </c>
      <c r="C1085" s="360" t="s">
        <v>484</v>
      </c>
      <c r="D1085" s="150" t="s">
        <v>77</v>
      </c>
      <c r="E1085" s="132" t="s">
        <v>51</v>
      </c>
      <c r="F1085" s="24"/>
      <c r="G1085" s="346">
        <v>8000001050</v>
      </c>
      <c r="H1085" s="18" t="s">
        <v>4273</v>
      </c>
      <c r="I1085" s="329"/>
      <c r="J1085" s="346">
        <v>8000001050</v>
      </c>
      <c r="K1085" s="24"/>
      <c r="L1085" s="24"/>
      <c r="M1085" s="24"/>
      <c r="N1085" s="340" t="s">
        <v>486</v>
      </c>
      <c r="O1085" s="334">
        <v>207579</v>
      </c>
      <c r="P1085" s="25" t="s">
        <v>238</v>
      </c>
      <c r="Q1085" s="127" t="s">
        <v>264</v>
      </c>
      <c r="R1085" s="232" t="s">
        <v>4274</v>
      </c>
      <c r="S1085" s="89">
        <v>44047</v>
      </c>
      <c r="T1085" s="36">
        <v>90</v>
      </c>
      <c r="U1085" s="125" t="s">
        <v>118</v>
      </c>
      <c r="V1085" s="147" t="s">
        <v>4275</v>
      </c>
      <c r="W1085" s="129"/>
      <c r="X1085" s="88">
        <f>+BD1085+T1085</f>
        <v>44168</v>
      </c>
      <c r="Y1085" s="130" t="s">
        <v>20</v>
      </c>
      <c r="Z1085" s="133" t="s">
        <v>60</v>
      </c>
      <c r="AA1085" s="133"/>
      <c r="AB1085" s="241">
        <v>143</v>
      </c>
      <c r="AC1085" s="134">
        <v>233</v>
      </c>
      <c r="AD1085" s="134"/>
      <c r="AE1085" s="403">
        <f t="shared" si="58"/>
        <v>33319</v>
      </c>
      <c r="AF1085" s="132">
        <v>5</v>
      </c>
      <c r="AG1085" s="130" t="s">
        <v>21</v>
      </c>
      <c r="AH1085" s="130"/>
      <c r="AI1085" s="130" t="s">
        <v>34</v>
      </c>
      <c r="AJ1085" s="130"/>
      <c r="AK1085" s="130"/>
      <c r="AL1085" s="135" t="s">
        <v>4180</v>
      </c>
      <c r="AM1085" s="314"/>
      <c r="AN1085" s="26"/>
      <c r="AO1085" s="26"/>
      <c r="AP1085" s="26"/>
      <c r="AQ1085" s="26">
        <v>44120</v>
      </c>
      <c r="AR1085" s="24"/>
      <c r="AS1085" s="24"/>
      <c r="AT1085" s="24">
        <v>44126</v>
      </c>
      <c r="AU1085" s="418">
        <f t="shared" si="59"/>
        <v>10</v>
      </c>
      <c r="AV1085" s="418">
        <f t="shared" si="60"/>
        <v>2020</v>
      </c>
      <c r="AW1085" s="24"/>
      <c r="AX1085" s="28"/>
      <c r="AY1085" s="28" t="s">
        <v>257</v>
      </c>
      <c r="AZ1085" s="24" t="s">
        <v>9</v>
      </c>
      <c r="BA1085" s="24"/>
      <c r="BB1085" s="24" t="s">
        <v>2956</v>
      </c>
      <c r="BC1085" s="135" t="s">
        <v>4276</v>
      </c>
      <c r="BD1085" s="24">
        <v>44078</v>
      </c>
      <c r="BE1085" s="135" t="s">
        <v>4277</v>
      </c>
      <c r="BF1085" s="135" t="s">
        <v>994</v>
      </c>
      <c r="BG1085" s="135" t="s">
        <v>41</v>
      </c>
      <c r="BH1085" s="135"/>
      <c r="BI1085" s="314" t="s">
        <v>124</v>
      </c>
      <c r="BJ1085" s="314" t="s">
        <v>143</v>
      </c>
      <c r="BK1085" s="24"/>
      <c r="BL1085" s="24"/>
      <c r="BM1085" s="24"/>
      <c r="BN1085" s="24"/>
      <c r="BO1085" s="24">
        <v>44133</v>
      </c>
      <c r="BP1085" s="24"/>
      <c r="BQ1085" s="24"/>
      <c r="BR1085" s="43"/>
      <c r="BS1085" s="24"/>
      <c r="BT1085" s="24"/>
      <c r="BU1085" s="24"/>
      <c r="BV1085" s="132" t="e">
        <f>IF(#REF!="COMPLETO","OK","PENDIENTES")</f>
        <v>#REF!</v>
      </c>
      <c r="BW1085" s="325"/>
      <c r="BX1085" s="325"/>
      <c r="BY1085" s="325"/>
      <c r="BZ1085" s="325"/>
      <c r="CA1085" s="325"/>
      <c r="CB1085" s="325"/>
      <c r="CC1085" s="258"/>
      <c r="CG1085" s="24" t="s">
        <v>105</v>
      </c>
      <c r="CH1085" s="24"/>
      <c r="CI1085" s="24"/>
      <c r="CJ1085" s="24"/>
    </row>
    <row r="1086" spans="1:88" ht="13.9" customHeight="1">
      <c r="A1086" s="18">
        <v>2020</v>
      </c>
      <c r="B1086" s="18" t="str">
        <f>+INDEX(BDD!F:F,MATCH(P1086,BDD!D:D,0))&amp;"-"&amp;INDEX(BDD!E:E,MATCH(P1086,BDD!D:D,0))</f>
        <v>S-S</v>
      </c>
      <c r="C1086" s="360" t="s">
        <v>484</v>
      </c>
      <c r="D1086" s="150" t="s">
        <v>77</v>
      </c>
      <c r="E1086" s="132" t="s">
        <v>51</v>
      </c>
      <c r="F1086" s="24"/>
      <c r="G1086" s="346">
        <v>8000001080</v>
      </c>
      <c r="H1086" s="18" t="s">
        <v>4278</v>
      </c>
      <c r="I1086" s="329"/>
      <c r="J1086" s="346">
        <v>8000001080</v>
      </c>
      <c r="K1086" s="24"/>
      <c r="L1086" s="24"/>
      <c r="M1086" s="24"/>
      <c r="N1086" s="340" t="s">
        <v>486</v>
      </c>
      <c r="O1086" s="334">
        <v>207579</v>
      </c>
      <c r="P1086" s="25" t="s">
        <v>238</v>
      </c>
      <c r="Q1086" s="127" t="s">
        <v>264</v>
      </c>
      <c r="R1086" s="232" t="s">
        <v>4274</v>
      </c>
      <c r="S1086" s="89">
        <v>44047</v>
      </c>
      <c r="T1086" s="36">
        <v>90</v>
      </c>
      <c r="U1086" s="125" t="s">
        <v>118</v>
      </c>
      <c r="V1086" s="147" t="s">
        <v>4279</v>
      </c>
      <c r="W1086" s="129"/>
      <c r="X1086" s="88">
        <v>44172</v>
      </c>
      <c r="Y1086" s="130" t="s">
        <v>20</v>
      </c>
      <c r="Z1086" s="133" t="s">
        <v>60</v>
      </c>
      <c r="AA1086" s="133"/>
      <c r="AB1086" s="241">
        <v>85.8</v>
      </c>
      <c r="AC1086" s="134">
        <v>233</v>
      </c>
      <c r="AD1086" s="134"/>
      <c r="AE1086" s="403">
        <f t="shared" si="58"/>
        <v>19991.399999999998</v>
      </c>
      <c r="AF1086" s="132">
        <v>3</v>
      </c>
      <c r="AG1086" s="130" t="s">
        <v>21</v>
      </c>
      <c r="AH1086" s="130"/>
      <c r="AI1086" s="130" t="s">
        <v>34</v>
      </c>
      <c r="AJ1086" s="130"/>
      <c r="AK1086" s="130"/>
      <c r="AL1086" s="135" t="s">
        <v>4180</v>
      </c>
      <c r="AM1086" s="314"/>
      <c r="AN1086" s="26"/>
      <c r="AO1086" s="26"/>
      <c r="AP1086" s="26"/>
      <c r="AQ1086" s="26">
        <v>44140</v>
      </c>
      <c r="AR1086" s="41"/>
      <c r="AS1086" s="41"/>
      <c r="AT1086" s="24">
        <v>44148</v>
      </c>
      <c r="AU1086" s="418">
        <f t="shared" si="59"/>
        <v>11</v>
      </c>
      <c r="AV1086" s="418">
        <f t="shared" si="60"/>
        <v>2020</v>
      </c>
      <c r="AW1086" s="24"/>
      <c r="AX1086" s="28"/>
      <c r="AY1086" s="28" t="s">
        <v>257</v>
      </c>
      <c r="AZ1086" s="132" t="s">
        <v>9</v>
      </c>
      <c r="BA1086" s="132"/>
      <c r="BB1086" s="24" t="s">
        <v>3264</v>
      </c>
      <c r="BC1086" s="135" t="s">
        <v>4280</v>
      </c>
      <c r="BD1086" s="24">
        <v>44083</v>
      </c>
      <c r="BE1086" s="135" t="s">
        <v>4281</v>
      </c>
      <c r="BF1086" s="135" t="s">
        <v>3276</v>
      </c>
      <c r="BG1086" s="135" t="s">
        <v>41</v>
      </c>
      <c r="BH1086" s="135"/>
      <c r="BI1086" s="314" t="s">
        <v>124</v>
      </c>
      <c r="BJ1086" s="314" t="s">
        <v>143</v>
      </c>
      <c r="BK1086" s="24"/>
      <c r="BL1086" s="24"/>
      <c r="BM1086" s="24"/>
      <c r="BN1086" s="24"/>
      <c r="BO1086" s="41"/>
      <c r="BP1086" s="41"/>
      <c r="BQ1086" s="41"/>
      <c r="BR1086" s="43"/>
      <c r="BS1086" s="41"/>
      <c r="BT1086" s="41"/>
      <c r="BU1086" s="41"/>
      <c r="BV1086" s="132" t="e">
        <f>IF(#REF!="COMPLETO","OK","PENDIENTES")</f>
        <v>#REF!</v>
      </c>
      <c r="BW1086" s="325"/>
      <c r="BX1086" s="325"/>
      <c r="BY1086" s="325"/>
      <c r="BZ1086" s="325"/>
      <c r="CA1086" s="325"/>
      <c r="CB1086" s="325"/>
      <c r="CC1086" s="258"/>
      <c r="CG1086" s="24" t="s">
        <v>105</v>
      </c>
      <c r="CH1086" s="24"/>
      <c r="CI1086" s="24"/>
      <c r="CJ1086" s="24"/>
    </row>
    <row r="1087" spans="1:88" ht="13.9" customHeight="1">
      <c r="A1087" s="18">
        <v>2020</v>
      </c>
      <c r="B1087" s="18" t="str">
        <f>+INDEX(BDD!F:F,MATCH(P1087,BDD!D:D,0))&amp;"-"&amp;INDEX(BDD!E:E,MATCH(P1087,BDD!D:D,0))</f>
        <v>S-P</v>
      </c>
      <c r="C1087" s="360" t="s">
        <v>484</v>
      </c>
      <c r="D1087" s="150" t="s">
        <v>77</v>
      </c>
      <c r="E1087" s="132"/>
      <c r="F1087" s="24"/>
      <c r="G1087" s="346">
        <v>8000001125</v>
      </c>
      <c r="H1087" s="18" t="s">
        <v>4282</v>
      </c>
      <c r="I1087" s="329"/>
      <c r="J1087" s="346">
        <v>8000001125</v>
      </c>
      <c r="K1087" s="24"/>
      <c r="L1087" s="24"/>
      <c r="M1087" s="24"/>
      <c r="N1087" s="340" t="s">
        <v>486</v>
      </c>
      <c r="O1087" s="334">
        <v>208510</v>
      </c>
      <c r="P1087" s="25" t="s">
        <v>2</v>
      </c>
      <c r="Q1087" s="127" t="s">
        <v>234</v>
      </c>
      <c r="R1087" s="232" t="s">
        <v>4283</v>
      </c>
      <c r="S1087" s="89">
        <v>44055</v>
      </c>
      <c r="T1087" s="36" t="s">
        <v>19</v>
      </c>
      <c r="U1087" s="125"/>
      <c r="V1087" s="232" t="s">
        <v>4284</v>
      </c>
      <c r="W1087" s="151"/>
      <c r="X1087" s="88">
        <v>44165</v>
      </c>
      <c r="Y1087" s="130" t="s">
        <v>20</v>
      </c>
      <c r="Z1087" s="133" t="s">
        <v>81</v>
      </c>
      <c r="AA1087" s="133"/>
      <c r="AB1087" s="241">
        <v>212.8</v>
      </c>
      <c r="AC1087" s="134">
        <v>807</v>
      </c>
      <c r="AD1087" s="134"/>
      <c r="AE1087" s="403">
        <f t="shared" si="58"/>
        <v>171729.6</v>
      </c>
      <c r="AF1087" s="132">
        <v>8</v>
      </c>
      <c r="AG1087" s="130" t="s">
        <v>5</v>
      </c>
      <c r="AH1087" s="130"/>
      <c r="AI1087" s="130" t="s">
        <v>80</v>
      </c>
      <c r="AJ1087" s="130"/>
      <c r="AK1087" s="130"/>
      <c r="AL1087" s="135" t="s">
        <v>4250</v>
      </c>
      <c r="AM1087" s="314"/>
      <c r="AN1087" s="26"/>
      <c r="AO1087" s="26"/>
      <c r="AP1087" s="26"/>
      <c r="AQ1087" s="26">
        <v>44163</v>
      </c>
      <c r="AR1087" s="24"/>
      <c r="AS1087" s="24"/>
      <c r="AT1087" s="24">
        <v>44167</v>
      </c>
      <c r="AU1087" s="418">
        <f t="shared" si="59"/>
        <v>12</v>
      </c>
      <c r="AV1087" s="418">
        <f t="shared" si="60"/>
        <v>2020</v>
      </c>
      <c r="AW1087" s="24"/>
      <c r="AX1087" s="28"/>
      <c r="AY1087" s="28" t="s">
        <v>308</v>
      </c>
      <c r="AZ1087" s="132" t="s">
        <v>37</v>
      </c>
      <c r="BA1087" s="132"/>
      <c r="BB1087" s="24" t="s">
        <v>3264</v>
      </c>
      <c r="BC1087" s="135" t="s">
        <v>4285</v>
      </c>
      <c r="BD1087" s="24">
        <v>44121</v>
      </c>
      <c r="BE1087" s="135" t="s">
        <v>4286</v>
      </c>
      <c r="BF1087" s="135" t="s">
        <v>4286</v>
      </c>
      <c r="BG1087" s="135" t="s">
        <v>29</v>
      </c>
      <c r="BH1087" s="135"/>
      <c r="BI1087" s="314" t="s">
        <v>124</v>
      </c>
      <c r="BJ1087" s="314" t="s">
        <v>143</v>
      </c>
      <c r="BK1087" s="24"/>
      <c r="BL1087" s="24"/>
      <c r="BM1087" s="24"/>
      <c r="BN1087" s="24"/>
      <c r="BO1087" s="24"/>
      <c r="BP1087" s="24"/>
      <c r="BQ1087" s="24"/>
      <c r="BR1087" s="43"/>
      <c r="BS1087" s="24"/>
      <c r="BT1087" s="24"/>
      <c r="BU1087" s="24"/>
      <c r="BV1087" s="132" t="e">
        <f>IF(#REF!="COMPLETO","OK","PENDIENTES")</f>
        <v>#REF!</v>
      </c>
      <c r="BW1087" s="325"/>
      <c r="BX1087" s="325"/>
      <c r="BY1087" s="325"/>
      <c r="BZ1087" s="325"/>
      <c r="CA1087" s="325"/>
      <c r="CB1087" s="325"/>
      <c r="CC1087" s="258"/>
      <c r="CG1087" s="24" t="s">
        <v>105</v>
      </c>
      <c r="CH1087" s="24"/>
      <c r="CI1087" s="24"/>
      <c r="CJ1087" s="24"/>
    </row>
    <row r="1088" spans="1:88" ht="13.9" customHeight="1">
      <c r="A1088" s="18">
        <v>2020</v>
      </c>
      <c r="B1088" s="18" t="str">
        <f>+INDEX(BDD!F:F,MATCH(P1088,BDD!D:D,0))&amp;"-"&amp;INDEX(BDD!E:E,MATCH(P1088,BDD!D:D,0))</f>
        <v>S-P</v>
      </c>
      <c r="C1088" s="360" t="s">
        <v>484</v>
      </c>
      <c r="D1088" s="150" t="s">
        <v>77</v>
      </c>
      <c r="E1088" s="132"/>
      <c r="F1088" s="24"/>
      <c r="G1088" s="346">
        <v>8000001178</v>
      </c>
      <c r="H1088" s="18" t="s">
        <v>4287</v>
      </c>
      <c r="I1088" s="329"/>
      <c r="J1088" s="346">
        <v>8000001178</v>
      </c>
      <c r="K1088" s="24"/>
      <c r="L1088" s="24"/>
      <c r="M1088" s="24"/>
      <c r="N1088" s="340" t="s">
        <v>486</v>
      </c>
      <c r="O1088" s="334">
        <v>208510</v>
      </c>
      <c r="P1088" s="25" t="s">
        <v>2</v>
      </c>
      <c r="Q1088" s="127" t="s">
        <v>234</v>
      </c>
      <c r="R1088" s="232" t="s">
        <v>4283</v>
      </c>
      <c r="S1088" s="89">
        <v>44055</v>
      </c>
      <c r="T1088" s="36" t="s">
        <v>19</v>
      </c>
      <c r="U1088" s="125"/>
      <c r="V1088" s="147" t="s">
        <v>4288</v>
      </c>
      <c r="W1088" s="129"/>
      <c r="X1088" s="88" t="s">
        <v>944</v>
      </c>
      <c r="Y1088" s="130" t="s">
        <v>20</v>
      </c>
      <c r="Z1088" s="133" t="s">
        <v>81</v>
      </c>
      <c r="AA1088" s="133"/>
      <c r="AB1088" s="241">
        <v>106.4</v>
      </c>
      <c r="AC1088" s="134">
        <v>807</v>
      </c>
      <c r="AD1088" s="134"/>
      <c r="AE1088" s="403">
        <f t="shared" si="58"/>
        <v>85864.8</v>
      </c>
      <c r="AF1088" s="132">
        <v>4</v>
      </c>
      <c r="AG1088" s="130" t="s">
        <v>5</v>
      </c>
      <c r="AH1088" s="130"/>
      <c r="AI1088" s="130" t="s">
        <v>80</v>
      </c>
      <c r="AJ1088" s="130"/>
      <c r="AK1088" s="130"/>
      <c r="AL1088" s="135" t="s">
        <v>4250</v>
      </c>
      <c r="AM1088" s="314"/>
      <c r="AN1088" s="26"/>
      <c r="AO1088" s="26"/>
      <c r="AP1088" s="26"/>
      <c r="AQ1088" s="26">
        <v>44184</v>
      </c>
      <c r="AR1088" s="24"/>
      <c r="AS1088" s="24"/>
      <c r="AT1088" s="24">
        <v>44191</v>
      </c>
      <c r="AU1088" s="418">
        <f t="shared" si="59"/>
        <v>12</v>
      </c>
      <c r="AV1088" s="418">
        <f t="shared" si="60"/>
        <v>2020</v>
      </c>
      <c r="AW1088" s="24"/>
      <c r="AX1088" s="28"/>
      <c r="AY1088" s="28" t="s">
        <v>308</v>
      </c>
      <c r="AZ1088" s="132" t="s">
        <v>37</v>
      </c>
      <c r="BA1088" s="132"/>
      <c r="BB1088" s="24" t="s">
        <v>3593</v>
      </c>
      <c r="BC1088" s="135" t="s">
        <v>4289</v>
      </c>
      <c r="BD1088" s="24">
        <v>44146</v>
      </c>
      <c r="BE1088" s="135" t="s">
        <v>4290</v>
      </c>
      <c r="BF1088" s="135" t="s">
        <v>4290</v>
      </c>
      <c r="BG1088" s="135" t="s">
        <v>29</v>
      </c>
      <c r="BH1088" s="135"/>
      <c r="BI1088" s="314" t="s">
        <v>124</v>
      </c>
      <c r="BJ1088" s="314" t="s">
        <v>143</v>
      </c>
      <c r="BK1088" s="24"/>
      <c r="BL1088" s="24"/>
      <c r="BM1088" s="24"/>
      <c r="BN1088" s="24"/>
      <c r="BO1088" s="24"/>
      <c r="BP1088" s="24"/>
      <c r="BQ1088" s="24"/>
      <c r="BR1088" s="43"/>
      <c r="BS1088" s="24"/>
      <c r="BT1088" s="24"/>
      <c r="BU1088" s="24"/>
      <c r="BV1088" s="132" t="e">
        <f>IF(#REF!="COMPLETO","OK","PENDIENTES")</f>
        <v>#REF!</v>
      </c>
      <c r="BW1088" s="325"/>
      <c r="BX1088" s="325"/>
      <c r="BY1088" s="325"/>
      <c r="BZ1088" s="325"/>
      <c r="CA1088" s="325"/>
      <c r="CB1088" s="325"/>
      <c r="CC1088" s="258"/>
      <c r="CG1088" s="24" t="s">
        <v>105</v>
      </c>
      <c r="CH1088" s="24"/>
      <c r="CI1088" s="24"/>
      <c r="CJ1088" s="24"/>
    </row>
    <row r="1089" spans="1:88" ht="15" customHeight="1">
      <c r="A1089" s="18">
        <v>2020</v>
      </c>
      <c r="B1089" s="18" t="str">
        <f>+INDEX(BDD!F:F,MATCH(P1089,BDD!D:D,0))&amp;"-"&amp;INDEX(BDD!E:E,MATCH(P1089,BDD!D:D,0))</f>
        <v>S-P</v>
      </c>
      <c r="C1089" s="360" t="s">
        <v>484</v>
      </c>
      <c r="D1089" s="150" t="s">
        <v>77</v>
      </c>
      <c r="E1089" s="132"/>
      <c r="F1089" s="24"/>
      <c r="G1089" s="346">
        <v>8000001190</v>
      </c>
      <c r="H1089" s="18" t="s">
        <v>4291</v>
      </c>
      <c r="I1089" s="329"/>
      <c r="J1089" s="346">
        <v>8000001190</v>
      </c>
      <c r="K1089" s="24"/>
      <c r="L1089" s="24"/>
      <c r="M1089" s="24"/>
      <c r="N1089" s="340" t="s">
        <v>486</v>
      </c>
      <c r="O1089" s="334">
        <v>208510</v>
      </c>
      <c r="P1089" s="25" t="s">
        <v>2</v>
      </c>
      <c r="Q1089" s="127" t="s">
        <v>234</v>
      </c>
      <c r="R1089" s="232" t="s">
        <v>4292</v>
      </c>
      <c r="S1089" s="89">
        <v>44055</v>
      </c>
      <c r="T1089" s="36" t="s">
        <v>19</v>
      </c>
      <c r="U1089" s="125"/>
      <c r="V1089" s="232" t="s">
        <v>4293</v>
      </c>
      <c r="W1089" s="151"/>
      <c r="X1089" s="88" t="s">
        <v>944</v>
      </c>
      <c r="Y1089" s="130" t="s">
        <v>20</v>
      </c>
      <c r="Z1089" s="133" t="s">
        <v>81</v>
      </c>
      <c r="AA1089" s="133"/>
      <c r="AB1089" s="241">
        <v>53.2</v>
      </c>
      <c r="AC1089" s="134">
        <v>807</v>
      </c>
      <c r="AD1089" s="134"/>
      <c r="AE1089" s="403">
        <f t="shared" si="58"/>
        <v>42932.4</v>
      </c>
      <c r="AF1089" s="132">
        <v>2</v>
      </c>
      <c r="AG1089" s="130" t="s">
        <v>5</v>
      </c>
      <c r="AH1089" s="130"/>
      <c r="AI1089" s="130" t="s">
        <v>80</v>
      </c>
      <c r="AJ1089" s="130"/>
      <c r="AK1089" s="130"/>
      <c r="AL1089" s="135" t="s">
        <v>4294</v>
      </c>
      <c r="AM1089" s="314"/>
      <c r="AN1089" s="26"/>
      <c r="AO1089" s="26"/>
      <c r="AP1089" s="26"/>
      <c r="AQ1089" s="26">
        <v>44198</v>
      </c>
      <c r="AR1089" s="24"/>
      <c r="AS1089" s="24"/>
      <c r="AT1089" s="24">
        <v>44204</v>
      </c>
      <c r="AU1089" s="418">
        <f t="shared" si="59"/>
        <v>1</v>
      </c>
      <c r="AV1089" s="418">
        <f t="shared" si="60"/>
        <v>2021</v>
      </c>
      <c r="AW1089" s="24"/>
      <c r="AX1089" s="28"/>
      <c r="AY1089" s="28" t="s">
        <v>308</v>
      </c>
      <c r="AZ1089" s="132" t="s">
        <v>37</v>
      </c>
      <c r="BA1089" s="132"/>
      <c r="BB1089" s="24" t="s">
        <v>2956</v>
      </c>
      <c r="BC1089" s="135" t="s">
        <v>4295</v>
      </c>
      <c r="BD1089" s="24">
        <v>44166</v>
      </c>
      <c r="BE1089" s="135" t="s">
        <v>4296</v>
      </c>
      <c r="BF1089" s="135" t="s">
        <v>4296</v>
      </c>
      <c r="BG1089" s="135" t="s">
        <v>29</v>
      </c>
      <c r="BH1089" s="135"/>
      <c r="BI1089" s="314" t="s">
        <v>124</v>
      </c>
      <c r="BJ1089" s="314" t="s">
        <v>143</v>
      </c>
      <c r="BK1089" s="24"/>
      <c r="BL1089" s="24"/>
      <c r="BM1089" s="24"/>
      <c r="BN1089" s="24"/>
      <c r="BO1089" s="24">
        <f>+AQ1089+15</f>
        <v>44213</v>
      </c>
      <c r="BP1089" s="24"/>
      <c r="BQ1089" s="24"/>
      <c r="BR1089" s="43"/>
      <c r="BS1089" s="24"/>
      <c r="BT1089" s="24"/>
      <c r="BU1089" s="24"/>
      <c r="BV1089" s="132" t="e">
        <f>IF(#REF!="COMPLETO","OK","PENDIENTES")</f>
        <v>#REF!</v>
      </c>
      <c r="BW1089" s="325"/>
      <c r="BX1089" s="325"/>
      <c r="BY1089" s="325"/>
      <c r="BZ1089" s="325"/>
      <c r="CA1089" s="325"/>
      <c r="CB1089" s="325"/>
      <c r="CC1089" s="258"/>
      <c r="CG1089" s="24" t="s">
        <v>105</v>
      </c>
      <c r="CH1089" s="24"/>
      <c r="CI1089" s="24"/>
      <c r="CJ1089" s="24"/>
    </row>
    <row r="1090" spans="1:88" ht="15" customHeight="1">
      <c r="A1090" s="18">
        <v>2020</v>
      </c>
      <c r="B1090" s="18" t="str">
        <f>+INDEX(BDD!F:F,MATCH(P1090,BDD!D:D,0))&amp;"-"&amp;INDEX(BDD!E:E,MATCH(P1090,BDD!D:D,0))</f>
        <v>S-P</v>
      </c>
      <c r="C1090" s="360" t="s">
        <v>484</v>
      </c>
      <c r="D1090" s="150" t="s">
        <v>77</v>
      </c>
      <c r="E1090" s="132"/>
      <c r="F1090" s="24"/>
      <c r="G1090" s="346">
        <v>8000001186</v>
      </c>
      <c r="H1090" s="18" t="s">
        <v>4297</v>
      </c>
      <c r="I1090" s="329"/>
      <c r="J1090" s="346">
        <v>8000001186</v>
      </c>
      <c r="K1090" s="24"/>
      <c r="L1090" s="24"/>
      <c r="M1090" s="24"/>
      <c r="N1090" s="340" t="s">
        <v>486</v>
      </c>
      <c r="O1090" s="334">
        <v>208510</v>
      </c>
      <c r="P1090" s="25" t="s">
        <v>2</v>
      </c>
      <c r="Q1090" s="127" t="s">
        <v>234</v>
      </c>
      <c r="R1090" s="232" t="s">
        <v>4292</v>
      </c>
      <c r="S1090" s="89">
        <v>44055</v>
      </c>
      <c r="T1090" s="36" t="s">
        <v>19</v>
      </c>
      <c r="U1090" s="125"/>
      <c r="V1090" s="232" t="s">
        <v>4298</v>
      </c>
      <c r="W1090" s="151"/>
      <c r="X1090" s="88" t="s">
        <v>944</v>
      </c>
      <c r="Y1090" s="130" t="s">
        <v>20</v>
      </c>
      <c r="Z1090" s="133" t="s">
        <v>81</v>
      </c>
      <c r="AA1090" s="133"/>
      <c r="AB1090" s="241">
        <v>53.2</v>
      </c>
      <c r="AC1090" s="134">
        <v>807</v>
      </c>
      <c r="AD1090" s="134"/>
      <c r="AE1090" s="403">
        <f t="shared" ref="AE1090:AE1153" si="62">AB1090*AC1090</f>
        <v>42932.4</v>
      </c>
      <c r="AF1090" s="132">
        <v>2</v>
      </c>
      <c r="AG1090" s="130" t="s">
        <v>5</v>
      </c>
      <c r="AH1090" s="130"/>
      <c r="AI1090" s="130" t="s">
        <v>80</v>
      </c>
      <c r="AJ1090" s="130"/>
      <c r="AK1090" s="130"/>
      <c r="AL1090" s="135" t="s">
        <v>4294</v>
      </c>
      <c r="AM1090" s="314"/>
      <c r="AN1090" s="26"/>
      <c r="AO1090" s="26"/>
      <c r="AP1090" s="26"/>
      <c r="AQ1090" s="26">
        <v>44198</v>
      </c>
      <c r="AR1090" s="24"/>
      <c r="AS1090" s="24"/>
      <c r="AT1090" s="24">
        <v>44202</v>
      </c>
      <c r="AU1090" s="418">
        <f t="shared" si="59"/>
        <v>1</v>
      </c>
      <c r="AV1090" s="418">
        <f t="shared" si="60"/>
        <v>2021</v>
      </c>
      <c r="AW1090" s="24"/>
      <c r="AX1090" s="28"/>
      <c r="AY1090" s="28" t="s">
        <v>308</v>
      </c>
      <c r="AZ1090" s="132" t="s">
        <v>37</v>
      </c>
      <c r="BA1090" s="132"/>
      <c r="BB1090" s="24" t="s">
        <v>3291</v>
      </c>
      <c r="BC1090" s="135" t="s">
        <v>4299</v>
      </c>
      <c r="BD1090" s="24">
        <v>44166</v>
      </c>
      <c r="BE1090" s="135" t="s">
        <v>4296</v>
      </c>
      <c r="BF1090" s="135" t="s">
        <v>4296</v>
      </c>
      <c r="BG1090" s="135" t="s">
        <v>29</v>
      </c>
      <c r="BH1090" s="135"/>
      <c r="BI1090" s="314" t="s">
        <v>124</v>
      </c>
      <c r="BJ1090" s="314" t="s">
        <v>143</v>
      </c>
      <c r="BK1090" s="24"/>
      <c r="BL1090" s="24"/>
      <c r="BM1090" s="24"/>
      <c r="BN1090" s="24"/>
      <c r="BO1090" s="24">
        <f>+AQ1090+15</f>
        <v>44213</v>
      </c>
      <c r="BP1090" s="24"/>
      <c r="BQ1090" s="24"/>
      <c r="BR1090" s="43"/>
      <c r="BS1090" s="24"/>
      <c r="BT1090" s="24"/>
      <c r="BU1090" s="24"/>
      <c r="BV1090" s="132" t="e">
        <f>IF(#REF!="COMPLETO","OK","PENDIENTES")</f>
        <v>#REF!</v>
      </c>
      <c r="BW1090" s="325"/>
      <c r="BX1090" s="325"/>
      <c r="BY1090" s="325"/>
      <c r="BZ1090" s="325"/>
      <c r="CA1090" s="325"/>
      <c r="CB1090" s="325"/>
      <c r="CC1090" s="258"/>
      <c r="CG1090" s="24" t="s">
        <v>105</v>
      </c>
      <c r="CH1090" s="24"/>
      <c r="CI1090" s="24"/>
      <c r="CJ1090" s="24"/>
    </row>
    <row r="1091" spans="1:88" ht="15" customHeight="1">
      <c r="A1091" s="18">
        <v>2020</v>
      </c>
      <c r="B1091" s="18" t="str">
        <f>+INDEX(BDD!F:F,MATCH(P1091,BDD!D:D,0))&amp;"-"&amp;INDEX(BDD!E:E,MATCH(P1091,BDD!D:D,0))</f>
        <v>S-P</v>
      </c>
      <c r="C1091" s="360" t="s">
        <v>484</v>
      </c>
      <c r="D1091" s="150" t="s">
        <v>20</v>
      </c>
      <c r="E1091" s="132"/>
      <c r="F1091" s="24"/>
      <c r="G1091" s="346"/>
      <c r="H1091" s="18" t="s">
        <v>4300</v>
      </c>
      <c r="I1091" s="329"/>
      <c r="J1091" s="346"/>
      <c r="K1091" s="24"/>
      <c r="L1091" s="24"/>
      <c r="M1091" s="24"/>
      <c r="N1091" s="340"/>
      <c r="O1091" s="334"/>
      <c r="P1091" s="25" t="s">
        <v>2</v>
      </c>
      <c r="Q1091" s="127" t="s">
        <v>234</v>
      </c>
      <c r="R1091" s="232"/>
      <c r="S1091" s="89"/>
      <c r="T1091" s="36"/>
      <c r="U1091" s="125"/>
      <c r="V1091" s="147"/>
      <c r="W1091" s="129"/>
      <c r="X1091" s="88"/>
      <c r="Y1091" s="130"/>
      <c r="Z1091" s="133"/>
      <c r="AA1091" s="133"/>
      <c r="AB1091" s="241"/>
      <c r="AC1091" s="134"/>
      <c r="AD1091" s="134"/>
      <c r="AE1091" s="403">
        <f t="shared" si="62"/>
        <v>0</v>
      </c>
      <c r="AF1091" s="132"/>
      <c r="AG1091" s="130"/>
      <c r="AH1091" s="130"/>
      <c r="AI1091" s="130"/>
      <c r="AJ1091" s="130"/>
      <c r="AK1091" s="130"/>
      <c r="AL1091" s="135"/>
      <c r="AM1091" s="314"/>
      <c r="AN1091" s="26"/>
      <c r="AO1091" s="26"/>
      <c r="AP1091" s="26"/>
      <c r="AQ1091" s="26"/>
      <c r="AR1091" s="24"/>
      <c r="AS1091" s="24"/>
      <c r="AT1091" s="24"/>
      <c r="AU1091" s="418">
        <f t="shared" ref="AU1091:AU1154" si="63">MONTH(AT1091)</f>
        <v>1</v>
      </c>
      <c r="AV1091" s="418">
        <f t="shared" ref="AV1091:AV1154" si="64">YEAR(AT1091)</f>
        <v>1900</v>
      </c>
      <c r="AW1091" s="24"/>
      <c r="AX1091" s="28"/>
      <c r="AY1091" s="28"/>
      <c r="AZ1091" s="132"/>
      <c r="BA1091" s="132"/>
      <c r="BB1091" s="24"/>
      <c r="BC1091" s="135"/>
      <c r="BD1091" s="24"/>
      <c r="BE1091" s="135"/>
      <c r="BF1091" s="135"/>
      <c r="BG1091" s="135"/>
      <c r="BH1091" s="135"/>
      <c r="BI1091" s="314"/>
      <c r="BJ1091" s="314"/>
      <c r="BK1091" s="24"/>
      <c r="BL1091" s="24"/>
      <c r="BM1091" s="24"/>
      <c r="BN1091" s="24"/>
      <c r="BO1091" s="24"/>
      <c r="BP1091" s="24"/>
      <c r="BQ1091" s="24"/>
      <c r="BR1091" s="43"/>
      <c r="BS1091" s="24"/>
      <c r="BT1091" s="24"/>
      <c r="BU1091" s="24"/>
      <c r="BV1091" s="132"/>
      <c r="BW1091" s="325"/>
      <c r="BX1091" s="325"/>
      <c r="BY1091" s="325"/>
      <c r="BZ1091" s="325"/>
      <c r="CA1091" s="325"/>
      <c r="CB1091" s="325"/>
      <c r="CC1091" s="258"/>
      <c r="CD1091" s="22"/>
      <c r="CE1091" s="22"/>
      <c r="CF1091" s="22"/>
      <c r="CG1091" s="24"/>
      <c r="CH1091" s="24"/>
      <c r="CI1091" s="24"/>
      <c r="CJ1091" s="24"/>
    </row>
    <row r="1092" spans="1:88" ht="15" customHeight="1">
      <c r="A1092" s="18">
        <v>2020</v>
      </c>
      <c r="B1092" s="18" t="str">
        <f>+INDEX(BDD!F:F,MATCH(P1092,BDD!D:D,0))&amp;"-"&amp;INDEX(BDD!E:E,MATCH(P1092,BDD!D:D,0))</f>
        <v>S-P</v>
      </c>
      <c r="C1092" s="360" t="s">
        <v>484</v>
      </c>
      <c r="D1092" s="150" t="s">
        <v>77</v>
      </c>
      <c r="E1092" s="132"/>
      <c r="F1092" s="24"/>
      <c r="G1092" s="346">
        <v>8000001242</v>
      </c>
      <c r="H1092" s="18" t="s">
        <v>4301</v>
      </c>
      <c r="I1092" s="329"/>
      <c r="J1092" s="346">
        <v>8000001242</v>
      </c>
      <c r="K1092" s="24"/>
      <c r="L1092" s="24"/>
      <c r="M1092" s="24"/>
      <c r="N1092" s="340" t="s">
        <v>486</v>
      </c>
      <c r="O1092" s="334">
        <v>208510</v>
      </c>
      <c r="P1092" s="25" t="s">
        <v>2</v>
      </c>
      <c r="Q1092" s="127" t="s">
        <v>234</v>
      </c>
      <c r="R1092" s="232" t="s">
        <v>4302</v>
      </c>
      <c r="S1092" s="89">
        <v>44055</v>
      </c>
      <c r="T1092" s="36" t="s">
        <v>19</v>
      </c>
      <c r="U1092" s="125"/>
      <c r="V1092" s="232" t="s">
        <v>4303</v>
      </c>
      <c r="W1092" s="151"/>
      <c r="X1092" s="88">
        <f>+BD1092+30</f>
        <v>44246</v>
      </c>
      <c r="Y1092" s="130" t="s">
        <v>20</v>
      </c>
      <c r="Z1092" s="133" t="s">
        <v>81</v>
      </c>
      <c r="AA1092" s="133"/>
      <c r="AB1092" s="241">
        <v>106.4</v>
      </c>
      <c r="AC1092" s="134">
        <v>807</v>
      </c>
      <c r="AD1092" s="134"/>
      <c r="AE1092" s="403">
        <f t="shared" si="62"/>
        <v>85864.8</v>
      </c>
      <c r="AF1092" s="132">
        <v>4</v>
      </c>
      <c r="AG1092" s="130" t="s">
        <v>5</v>
      </c>
      <c r="AH1092" s="130"/>
      <c r="AI1092" s="130" t="s">
        <v>80</v>
      </c>
      <c r="AJ1092" s="130"/>
      <c r="AK1092" s="130"/>
      <c r="AL1092" s="135" t="s">
        <v>4294</v>
      </c>
      <c r="AM1092" s="314"/>
      <c r="AN1092" s="26"/>
      <c r="AO1092" s="26"/>
      <c r="AP1092" s="26"/>
      <c r="AQ1092" s="26">
        <v>44254</v>
      </c>
      <c r="AR1092" s="24"/>
      <c r="AS1092" s="24"/>
      <c r="AT1092" s="24">
        <v>44258</v>
      </c>
      <c r="AU1092" s="418">
        <f t="shared" si="63"/>
        <v>3</v>
      </c>
      <c r="AV1092" s="418">
        <f t="shared" si="64"/>
        <v>2021</v>
      </c>
      <c r="AW1092" s="24"/>
      <c r="AX1092" s="28"/>
      <c r="AY1092" s="28" t="s">
        <v>308</v>
      </c>
      <c r="AZ1092" s="132" t="s">
        <v>37</v>
      </c>
      <c r="BA1092" s="132"/>
      <c r="BB1092" s="24" t="s">
        <v>3291</v>
      </c>
      <c r="BC1092" s="135" t="s">
        <v>4304</v>
      </c>
      <c r="BD1092" s="24">
        <v>44216</v>
      </c>
      <c r="BE1092" s="135" t="s">
        <v>4286</v>
      </c>
      <c r="BF1092" s="135" t="s">
        <v>4286</v>
      </c>
      <c r="BG1092" s="135" t="s">
        <v>29</v>
      </c>
      <c r="BH1092" s="135"/>
      <c r="BI1092" s="314" t="s">
        <v>124</v>
      </c>
      <c r="BJ1092" s="314" t="s">
        <v>143</v>
      </c>
      <c r="BK1092" s="24"/>
      <c r="BL1092" s="24"/>
      <c r="BM1092" s="24"/>
      <c r="BN1092" s="24"/>
      <c r="BO1092" s="24">
        <f>+AQ1092+15</f>
        <v>44269</v>
      </c>
      <c r="BP1092" s="24"/>
      <c r="BQ1092" s="24"/>
      <c r="BR1092" s="43"/>
      <c r="BS1092" s="24"/>
      <c r="BT1092" s="24"/>
      <c r="BU1092" s="24"/>
      <c r="BV1092" s="132" t="e">
        <f>IF(#REF!="COMPLETO","OK","PENDIENTES")</f>
        <v>#REF!</v>
      </c>
      <c r="BW1092" s="325"/>
      <c r="BX1092" s="325"/>
      <c r="BY1092" s="325"/>
      <c r="BZ1092" s="325"/>
      <c r="CA1092" s="325"/>
      <c r="CB1092" s="325"/>
      <c r="CC1092" s="258"/>
      <c r="CG1092" s="24" t="s">
        <v>105</v>
      </c>
      <c r="CH1092" s="24"/>
      <c r="CI1092" s="24"/>
      <c r="CJ1092" s="24"/>
    </row>
    <row r="1093" spans="1:88" ht="15" customHeight="1">
      <c r="A1093" s="18">
        <v>2020</v>
      </c>
      <c r="B1093" s="18" t="str">
        <f>+INDEX(BDD!F:F,MATCH(P1093,BDD!D:D,0))&amp;"-"&amp;INDEX(BDD!E:E,MATCH(P1093,BDD!D:D,0))</f>
        <v>S-P</v>
      </c>
      <c r="C1093" s="360" t="s">
        <v>484</v>
      </c>
      <c r="D1093" s="150" t="s">
        <v>20</v>
      </c>
      <c r="E1093" s="132"/>
      <c r="F1093" s="24"/>
      <c r="G1093" s="346"/>
      <c r="H1093" s="18" t="s">
        <v>4305</v>
      </c>
      <c r="I1093" s="329"/>
      <c r="J1093" s="346"/>
      <c r="K1093" s="24"/>
      <c r="L1093" s="24"/>
      <c r="M1093" s="24"/>
      <c r="N1093" s="340"/>
      <c r="O1093" s="334"/>
      <c r="P1093" s="25" t="s">
        <v>2</v>
      </c>
      <c r="Q1093" s="127" t="s">
        <v>234</v>
      </c>
      <c r="R1093" s="232"/>
      <c r="S1093" s="89"/>
      <c r="T1093" s="36"/>
      <c r="U1093" s="125"/>
      <c r="V1093" s="147"/>
      <c r="W1093" s="129"/>
      <c r="X1093" s="88"/>
      <c r="Y1093" s="130"/>
      <c r="Z1093" s="133"/>
      <c r="AA1093" s="133"/>
      <c r="AB1093" s="241"/>
      <c r="AC1093" s="134"/>
      <c r="AD1093" s="134"/>
      <c r="AE1093" s="403">
        <f t="shared" si="62"/>
        <v>0</v>
      </c>
      <c r="AF1093" s="132"/>
      <c r="AG1093" s="130"/>
      <c r="AH1093" s="130"/>
      <c r="AI1093" s="130"/>
      <c r="AJ1093" s="130"/>
      <c r="AK1093" s="130"/>
      <c r="AL1093" s="135"/>
      <c r="AM1093" s="314"/>
      <c r="AN1093" s="26"/>
      <c r="AO1093" s="26"/>
      <c r="AP1093" s="26"/>
      <c r="AQ1093" s="26"/>
      <c r="AR1093" s="24"/>
      <c r="AS1093" s="24"/>
      <c r="AT1093" s="24"/>
      <c r="AU1093" s="418">
        <f t="shared" si="63"/>
        <v>1</v>
      </c>
      <c r="AV1093" s="418">
        <f t="shared" si="64"/>
        <v>1900</v>
      </c>
      <c r="AW1093" s="24"/>
      <c r="AX1093" s="28"/>
      <c r="AY1093" s="28"/>
      <c r="AZ1093" s="132"/>
      <c r="BA1093" s="132"/>
      <c r="BB1093" s="24"/>
      <c r="BC1093" s="135"/>
      <c r="BD1093" s="24"/>
      <c r="BE1093" s="135"/>
      <c r="BF1093" s="135"/>
      <c r="BG1093" s="135"/>
      <c r="BH1093" s="135"/>
      <c r="BI1093" s="314"/>
      <c r="BJ1093" s="314"/>
      <c r="BK1093" s="24"/>
      <c r="BL1093" s="24"/>
      <c r="BM1093" s="24"/>
      <c r="BN1093" s="24"/>
      <c r="BO1093" s="24"/>
      <c r="BP1093" s="24"/>
      <c r="BQ1093" s="24"/>
      <c r="BR1093" s="43"/>
      <c r="BS1093" s="24"/>
      <c r="BT1093" s="24"/>
      <c r="BU1093" s="24"/>
      <c r="BV1093" s="132"/>
      <c r="BW1093" s="325"/>
      <c r="BX1093" s="325"/>
      <c r="BY1093" s="325"/>
      <c r="BZ1093" s="325"/>
      <c r="CA1093" s="325"/>
      <c r="CB1093" s="325"/>
      <c r="CC1093" s="258"/>
      <c r="CD1093" s="22"/>
      <c r="CE1093" s="22"/>
      <c r="CF1093" s="22"/>
      <c r="CG1093" s="24"/>
      <c r="CH1093" s="24"/>
      <c r="CI1093" s="24"/>
      <c r="CJ1093" s="24"/>
    </row>
    <row r="1094" spans="1:88" ht="15" customHeight="1">
      <c r="A1094" s="18">
        <v>2020</v>
      </c>
      <c r="B1094" s="18" t="str">
        <f>+INDEX(BDD!F:F,MATCH(P1094,BDD!D:D,0))&amp;"-"&amp;INDEX(BDD!E:E,MATCH(P1094,BDD!D:D,0))</f>
        <v>S-P</v>
      </c>
      <c r="C1094" s="360" t="s">
        <v>484</v>
      </c>
      <c r="D1094" s="150" t="s">
        <v>20</v>
      </c>
      <c r="E1094" s="132"/>
      <c r="F1094" s="24"/>
      <c r="G1094" s="346"/>
      <c r="H1094" s="18" t="s">
        <v>4306</v>
      </c>
      <c r="I1094" s="329"/>
      <c r="J1094" s="346"/>
      <c r="K1094" s="24"/>
      <c r="L1094" s="24"/>
      <c r="M1094" s="24"/>
      <c r="N1094" s="340"/>
      <c r="O1094" s="334"/>
      <c r="P1094" s="25" t="s">
        <v>2</v>
      </c>
      <c r="Q1094" s="127" t="s">
        <v>234</v>
      </c>
      <c r="R1094" s="232"/>
      <c r="S1094" s="89"/>
      <c r="T1094" s="36"/>
      <c r="U1094" s="125"/>
      <c r="V1094" s="147"/>
      <c r="W1094" s="129"/>
      <c r="X1094" s="88"/>
      <c r="Y1094" s="130"/>
      <c r="Z1094" s="133"/>
      <c r="AA1094" s="133"/>
      <c r="AB1094" s="241"/>
      <c r="AC1094" s="134"/>
      <c r="AD1094" s="134"/>
      <c r="AE1094" s="403">
        <f t="shared" si="62"/>
        <v>0</v>
      </c>
      <c r="AF1094" s="132"/>
      <c r="AG1094" s="130"/>
      <c r="AH1094" s="130"/>
      <c r="AI1094" s="130"/>
      <c r="AJ1094" s="130"/>
      <c r="AK1094" s="130"/>
      <c r="AL1094" s="135"/>
      <c r="AM1094" s="314"/>
      <c r="AN1094" s="26"/>
      <c r="AO1094" s="26"/>
      <c r="AP1094" s="26"/>
      <c r="AQ1094" s="26"/>
      <c r="AR1094" s="24"/>
      <c r="AS1094" s="24"/>
      <c r="AT1094" s="24"/>
      <c r="AU1094" s="418">
        <f t="shared" si="63"/>
        <v>1</v>
      </c>
      <c r="AV1094" s="418">
        <f t="shared" si="64"/>
        <v>1900</v>
      </c>
      <c r="AW1094" s="24"/>
      <c r="AX1094" s="28"/>
      <c r="AY1094" s="28"/>
      <c r="AZ1094" s="132"/>
      <c r="BA1094" s="132"/>
      <c r="BB1094" s="24"/>
      <c r="BC1094" s="135"/>
      <c r="BD1094" s="24"/>
      <c r="BE1094" s="135"/>
      <c r="BF1094" s="135"/>
      <c r="BG1094" s="135"/>
      <c r="BH1094" s="135"/>
      <c r="BI1094" s="314"/>
      <c r="BJ1094" s="314"/>
      <c r="BK1094" s="24"/>
      <c r="BL1094" s="24"/>
      <c r="BM1094" s="24"/>
      <c r="BN1094" s="24"/>
      <c r="BO1094" s="24"/>
      <c r="BP1094" s="24"/>
      <c r="BQ1094" s="24"/>
      <c r="BR1094" s="43"/>
      <c r="BS1094" s="24"/>
      <c r="BT1094" s="24"/>
      <c r="BU1094" s="24"/>
      <c r="BV1094" s="132"/>
      <c r="BW1094" s="325"/>
      <c r="BX1094" s="325"/>
      <c r="BY1094" s="325"/>
      <c r="BZ1094" s="325"/>
      <c r="CA1094" s="325"/>
      <c r="CB1094" s="325"/>
      <c r="CC1094" s="258"/>
      <c r="CD1094" s="22"/>
      <c r="CE1094" s="22"/>
      <c r="CF1094" s="22"/>
      <c r="CG1094" s="24"/>
      <c r="CH1094" s="24"/>
      <c r="CI1094" s="24"/>
      <c r="CJ1094" s="24"/>
    </row>
    <row r="1095" spans="1:88" ht="14.65" customHeight="1">
      <c r="A1095" s="18">
        <v>2020</v>
      </c>
      <c r="B1095" s="18" t="str">
        <f>+INDEX(BDD!F:F,MATCH(P1095,BDD!D:D,0))&amp;"-"&amp;INDEX(BDD!E:E,MATCH(P1095,BDD!D:D,0))</f>
        <v>S-P</v>
      </c>
      <c r="C1095" s="360" t="s">
        <v>484</v>
      </c>
      <c r="D1095" s="150" t="s">
        <v>20</v>
      </c>
      <c r="E1095" s="132"/>
      <c r="F1095" s="24"/>
      <c r="G1095" s="346"/>
      <c r="H1095" s="18" t="s">
        <v>4307</v>
      </c>
      <c r="I1095" s="329"/>
      <c r="J1095" s="346"/>
      <c r="K1095" s="24"/>
      <c r="L1095" s="24"/>
      <c r="M1095" s="24"/>
      <c r="N1095" s="340"/>
      <c r="O1095" s="334"/>
      <c r="P1095" s="25" t="s">
        <v>2</v>
      </c>
      <c r="Q1095" s="127" t="s">
        <v>234</v>
      </c>
      <c r="R1095" s="232"/>
      <c r="S1095" s="89"/>
      <c r="T1095" s="36"/>
      <c r="U1095" s="125"/>
      <c r="V1095" s="147"/>
      <c r="W1095" s="129"/>
      <c r="X1095" s="88"/>
      <c r="Y1095" s="130"/>
      <c r="Z1095" s="133"/>
      <c r="AA1095" s="133"/>
      <c r="AB1095" s="241"/>
      <c r="AC1095" s="134"/>
      <c r="AD1095" s="134"/>
      <c r="AE1095" s="403">
        <f t="shared" si="62"/>
        <v>0</v>
      </c>
      <c r="AF1095" s="132"/>
      <c r="AG1095" s="130"/>
      <c r="AH1095" s="130"/>
      <c r="AI1095" s="130"/>
      <c r="AJ1095" s="130"/>
      <c r="AK1095" s="130"/>
      <c r="AL1095" s="135"/>
      <c r="AM1095" s="314"/>
      <c r="AN1095" s="26"/>
      <c r="AO1095" s="26"/>
      <c r="AP1095" s="26"/>
      <c r="AQ1095" s="26"/>
      <c r="AR1095" s="24"/>
      <c r="AS1095" s="24"/>
      <c r="AT1095" s="24"/>
      <c r="AU1095" s="418">
        <f t="shared" si="63"/>
        <v>1</v>
      </c>
      <c r="AV1095" s="418">
        <f t="shared" si="64"/>
        <v>1900</v>
      </c>
      <c r="AW1095" s="24"/>
      <c r="AX1095" s="28"/>
      <c r="AY1095" s="28"/>
      <c r="AZ1095" s="132"/>
      <c r="BA1095" s="132"/>
      <c r="BB1095" s="24"/>
      <c r="BC1095" s="135"/>
      <c r="BD1095" s="24"/>
      <c r="BE1095" s="135"/>
      <c r="BF1095" s="135"/>
      <c r="BG1095" s="135"/>
      <c r="BH1095" s="135"/>
      <c r="BI1095" s="314"/>
      <c r="BJ1095" s="314"/>
      <c r="BK1095" s="24"/>
      <c r="BL1095" s="24"/>
      <c r="BM1095" s="24"/>
      <c r="BN1095" s="24"/>
      <c r="BO1095" s="24"/>
      <c r="BP1095" s="24"/>
      <c r="BQ1095" s="24"/>
      <c r="BR1095" s="43"/>
      <c r="BS1095" s="24"/>
      <c r="BT1095" s="24"/>
      <c r="BU1095" s="24"/>
      <c r="BV1095" s="132"/>
      <c r="BW1095" s="325"/>
      <c r="BX1095" s="325"/>
      <c r="BY1095" s="325"/>
      <c r="BZ1095" s="325"/>
      <c r="CA1095" s="325"/>
      <c r="CB1095" s="325"/>
      <c r="CC1095" s="258"/>
      <c r="CD1095" s="22"/>
      <c r="CE1095" s="22"/>
      <c r="CF1095" s="22"/>
      <c r="CG1095" s="24"/>
      <c r="CH1095" s="24"/>
      <c r="CI1095" s="24"/>
      <c r="CJ1095" s="24"/>
    </row>
    <row r="1096" spans="1:88" ht="15" customHeight="1">
      <c r="A1096" s="18">
        <v>2020</v>
      </c>
      <c r="B1096" s="18" t="str">
        <f>+INDEX(BDD!F:F,MATCH(P1096,BDD!D:D,0))&amp;"-"&amp;INDEX(BDD!E:E,MATCH(P1096,BDD!D:D,0))</f>
        <v>S-P</v>
      </c>
      <c r="C1096" s="360" t="s">
        <v>484</v>
      </c>
      <c r="D1096" s="150" t="s">
        <v>20</v>
      </c>
      <c r="E1096" s="132"/>
      <c r="F1096" s="24"/>
      <c r="G1096" s="346"/>
      <c r="H1096" s="18" t="s">
        <v>4308</v>
      </c>
      <c r="I1096" s="329"/>
      <c r="J1096" s="346"/>
      <c r="K1096" s="24"/>
      <c r="L1096" s="24"/>
      <c r="M1096" s="24"/>
      <c r="N1096" s="340"/>
      <c r="O1096" s="334"/>
      <c r="P1096" s="25" t="s">
        <v>2</v>
      </c>
      <c r="Q1096" s="127" t="s">
        <v>234</v>
      </c>
      <c r="R1096" s="232"/>
      <c r="S1096" s="89"/>
      <c r="T1096" s="36"/>
      <c r="U1096" s="125"/>
      <c r="V1096" s="147"/>
      <c r="W1096" s="129"/>
      <c r="X1096" s="88"/>
      <c r="Y1096" s="130"/>
      <c r="Z1096" s="133"/>
      <c r="AA1096" s="133"/>
      <c r="AB1096" s="241"/>
      <c r="AC1096" s="134"/>
      <c r="AD1096" s="134"/>
      <c r="AE1096" s="403">
        <f t="shared" si="62"/>
        <v>0</v>
      </c>
      <c r="AF1096" s="132"/>
      <c r="AG1096" s="130"/>
      <c r="AH1096" s="130"/>
      <c r="AI1096" s="130"/>
      <c r="AJ1096" s="130"/>
      <c r="AK1096" s="130"/>
      <c r="AL1096" s="135"/>
      <c r="AM1096" s="314"/>
      <c r="AN1096" s="26"/>
      <c r="AO1096" s="26"/>
      <c r="AP1096" s="26"/>
      <c r="AQ1096" s="26"/>
      <c r="AR1096" s="24"/>
      <c r="AS1096" s="24"/>
      <c r="AT1096" s="24"/>
      <c r="AU1096" s="418">
        <f t="shared" si="63"/>
        <v>1</v>
      </c>
      <c r="AV1096" s="418">
        <f t="shared" si="64"/>
        <v>1900</v>
      </c>
      <c r="AW1096" s="24"/>
      <c r="AX1096" s="28"/>
      <c r="AY1096" s="28"/>
      <c r="AZ1096" s="132"/>
      <c r="BA1096" s="132"/>
      <c r="BB1096" s="24"/>
      <c r="BC1096" s="135"/>
      <c r="BD1096" s="24"/>
      <c r="BE1096" s="135"/>
      <c r="BF1096" s="135"/>
      <c r="BG1096" s="135"/>
      <c r="BH1096" s="135"/>
      <c r="BI1096" s="314"/>
      <c r="BJ1096" s="314"/>
      <c r="BK1096" s="24"/>
      <c r="BL1096" s="24"/>
      <c r="BM1096" s="24"/>
      <c r="BN1096" s="24"/>
      <c r="BO1096" s="24"/>
      <c r="BP1096" s="24"/>
      <c r="BQ1096" s="24"/>
      <c r="BR1096" s="43"/>
      <c r="BS1096" s="24"/>
      <c r="BT1096" s="24"/>
      <c r="BU1096" s="24"/>
      <c r="BV1096" s="132"/>
      <c r="BW1096" s="325"/>
      <c r="BX1096" s="325"/>
      <c r="BY1096" s="325"/>
      <c r="BZ1096" s="325"/>
      <c r="CA1096" s="325"/>
      <c r="CB1096" s="325"/>
      <c r="CC1096" s="258"/>
      <c r="CD1096" s="22"/>
      <c r="CE1096" s="22"/>
      <c r="CF1096" s="22"/>
      <c r="CG1096" s="24"/>
      <c r="CH1096" s="24"/>
      <c r="CI1096" s="24"/>
      <c r="CJ1096" s="24"/>
    </row>
    <row r="1097" spans="1:88" ht="15" customHeight="1">
      <c r="A1097" s="18">
        <v>2020</v>
      </c>
      <c r="B1097" s="18" t="str">
        <f>+INDEX(BDD!F:F,MATCH(P1097,BDD!D:D,0))&amp;"-"&amp;INDEX(BDD!E:E,MATCH(P1097,BDD!D:D,0))</f>
        <v>S-P</v>
      </c>
      <c r="C1097" s="360" t="s">
        <v>484</v>
      </c>
      <c r="D1097" s="150" t="s">
        <v>77</v>
      </c>
      <c r="E1097" s="132"/>
      <c r="F1097" s="24"/>
      <c r="G1097" s="346">
        <v>8000001114</v>
      </c>
      <c r="H1097" s="18" t="s">
        <v>4309</v>
      </c>
      <c r="I1097" s="329"/>
      <c r="J1097" s="346">
        <v>8000001114</v>
      </c>
      <c r="K1097" s="24"/>
      <c r="L1097" s="24"/>
      <c r="M1097" s="24"/>
      <c r="N1097" s="340" t="s">
        <v>486</v>
      </c>
      <c r="O1097" s="334">
        <v>208510</v>
      </c>
      <c r="P1097" s="25" t="s">
        <v>2</v>
      </c>
      <c r="Q1097" s="127" t="s">
        <v>234</v>
      </c>
      <c r="R1097" s="232" t="s">
        <v>4310</v>
      </c>
      <c r="S1097" s="89">
        <v>44055</v>
      </c>
      <c r="T1097" s="36" t="s">
        <v>19</v>
      </c>
      <c r="U1097" s="125"/>
      <c r="V1097" s="232" t="s">
        <v>4310</v>
      </c>
      <c r="W1097" s="151"/>
      <c r="X1097" s="88">
        <v>44123</v>
      </c>
      <c r="Y1097" s="130" t="s">
        <v>20</v>
      </c>
      <c r="Z1097" s="133" t="s">
        <v>81</v>
      </c>
      <c r="AA1097" s="133"/>
      <c r="AB1097" s="241">
        <v>186.2</v>
      </c>
      <c r="AC1097" s="134">
        <v>837</v>
      </c>
      <c r="AD1097" s="134"/>
      <c r="AE1097" s="403">
        <f t="shared" si="62"/>
        <v>155849.4</v>
      </c>
      <c r="AF1097" s="132">
        <v>7</v>
      </c>
      <c r="AG1097" s="130" t="s">
        <v>5</v>
      </c>
      <c r="AH1097" s="130"/>
      <c r="AI1097" s="130" t="s">
        <v>80</v>
      </c>
      <c r="AJ1097" s="130"/>
      <c r="AK1097" s="130"/>
      <c r="AL1097" s="135" t="s">
        <v>4216</v>
      </c>
      <c r="AM1097" s="314"/>
      <c r="AN1097" s="26"/>
      <c r="AO1097" s="26"/>
      <c r="AP1097" s="26"/>
      <c r="AQ1097" s="26">
        <v>44152</v>
      </c>
      <c r="AR1097" s="24"/>
      <c r="AS1097" s="24"/>
      <c r="AT1097" s="24">
        <v>44162</v>
      </c>
      <c r="AU1097" s="418">
        <f t="shared" si="63"/>
        <v>11</v>
      </c>
      <c r="AV1097" s="418">
        <f t="shared" si="64"/>
        <v>2020</v>
      </c>
      <c r="AW1097" s="24"/>
      <c r="AX1097" s="28"/>
      <c r="AY1097" s="28" t="s">
        <v>4312</v>
      </c>
      <c r="AZ1097" s="132" t="s">
        <v>62</v>
      </c>
      <c r="BA1097" s="132"/>
      <c r="BB1097" s="24" t="s">
        <v>3264</v>
      </c>
      <c r="BC1097" s="135" t="s">
        <v>4311</v>
      </c>
      <c r="BD1097" s="24">
        <v>44085</v>
      </c>
      <c r="BE1097" s="135" t="s">
        <v>4256</v>
      </c>
      <c r="BF1097" s="135" t="s">
        <v>1938</v>
      </c>
      <c r="BG1097" s="135" t="s">
        <v>29</v>
      </c>
      <c r="BH1097" s="135"/>
      <c r="BI1097" s="314" t="s">
        <v>124</v>
      </c>
      <c r="BJ1097" s="314" t="s">
        <v>143</v>
      </c>
      <c r="BK1097" s="24"/>
      <c r="BL1097" s="24"/>
      <c r="BM1097" s="24"/>
      <c r="BN1097" s="24"/>
      <c r="BO1097" s="24">
        <f>+AQ1097+14</f>
        <v>44166</v>
      </c>
      <c r="BP1097" s="24"/>
      <c r="BQ1097" s="24"/>
      <c r="BR1097" s="43"/>
      <c r="BS1097" s="24"/>
      <c r="BT1097" s="24"/>
      <c r="BU1097" s="24"/>
      <c r="BV1097" s="132" t="e">
        <f>IF(#REF!="COMPLETO","OK","PENDIENTES")</f>
        <v>#REF!</v>
      </c>
      <c r="BW1097" s="325"/>
      <c r="BX1097" s="325"/>
      <c r="BY1097" s="325"/>
      <c r="BZ1097" s="325"/>
      <c r="CA1097" s="325"/>
      <c r="CB1097" s="325"/>
      <c r="CC1097" s="258"/>
      <c r="CG1097" s="24" t="s">
        <v>105</v>
      </c>
      <c r="CH1097" s="24"/>
      <c r="CI1097" s="24"/>
      <c r="CJ1097" s="24"/>
    </row>
    <row r="1098" spans="1:88" ht="15" customHeight="1">
      <c r="A1098" s="18">
        <v>2020</v>
      </c>
      <c r="B1098" s="18" t="str">
        <f>+INDEX(BDD!F:F,MATCH(P1098,BDD!D:D,0))&amp;"-"&amp;INDEX(BDD!E:E,MATCH(P1098,BDD!D:D,0))</f>
        <v>S-S</v>
      </c>
      <c r="C1098" s="360" t="s">
        <v>484</v>
      </c>
      <c r="D1098" s="150" t="s">
        <v>77</v>
      </c>
      <c r="E1098" s="132"/>
      <c r="F1098" s="24"/>
      <c r="G1098" s="346">
        <v>8000001078</v>
      </c>
      <c r="H1098" s="18" t="s">
        <v>4313</v>
      </c>
      <c r="I1098" s="329"/>
      <c r="J1098" s="346">
        <v>8000001078</v>
      </c>
      <c r="K1098" s="24"/>
      <c r="L1098" s="24"/>
      <c r="M1098" s="24"/>
      <c r="N1098" s="340" t="s">
        <v>486</v>
      </c>
      <c r="O1098" s="334">
        <v>206971</v>
      </c>
      <c r="P1098" s="25" t="s">
        <v>340</v>
      </c>
      <c r="Q1098" s="127" t="s">
        <v>195</v>
      </c>
      <c r="R1098" s="232" t="s">
        <v>4314</v>
      </c>
      <c r="S1098" s="89">
        <v>44053</v>
      </c>
      <c r="T1098" s="36">
        <v>180</v>
      </c>
      <c r="U1098" s="125" t="s">
        <v>118</v>
      </c>
      <c r="V1098" s="147" t="s">
        <v>4315</v>
      </c>
      <c r="W1098" s="129"/>
      <c r="X1098" s="88">
        <f>+BD1098+T1098</f>
        <v>44276</v>
      </c>
      <c r="Y1098" s="130" t="s">
        <v>20</v>
      </c>
      <c r="Z1098" s="133" t="s">
        <v>72</v>
      </c>
      <c r="AA1098" s="133"/>
      <c r="AB1098" s="241">
        <v>264</v>
      </c>
      <c r="AC1098" s="134">
        <v>412.29</v>
      </c>
      <c r="AD1098" s="134"/>
      <c r="AE1098" s="403">
        <f t="shared" si="62"/>
        <v>108844.56000000001</v>
      </c>
      <c r="AF1098" s="132">
        <v>11</v>
      </c>
      <c r="AG1098" s="130" t="s">
        <v>5</v>
      </c>
      <c r="AH1098" s="130"/>
      <c r="AI1098" s="130" t="s">
        <v>34</v>
      </c>
      <c r="AJ1098" s="130"/>
      <c r="AK1098" s="130"/>
      <c r="AL1098" s="135" t="s">
        <v>4316</v>
      </c>
      <c r="AM1098" s="314"/>
      <c r="AN1098" s="26"/>
      <c r="AO1098" s="26"/>
      <c r="AP1098" s="26"/>
      <c r="AQ1098" s="26">
        <v>44146</v>
      </c>
      <c r="AR1098" s="24"/>
      <c r="AS1098" s="24"/>
      <c r="AT1098" s="24">
        <v>44151</v>
      </c>
      <c r="AU1098" s="418">
        <f t="shared" si="63"/>
        <v>11</v>
      </c>
      <c r="AV1098" s="418">
        <f t="shared" si="64"/>
        <v>2020</v>
      </c>
      <c r="AW1098" s="24"/>
      <c r="AX1098" s="28"/>
      <c r="AY1098" s="28" t="s">
        <v>4312</v>
      </c>
      <c r="AZ1098" s="132" t="s">
        <v>37</v>
      </c>
      <c r="BA1098" s="132"/>
      <c r="BB1098" s="24" t="s">
        <v>2956</v>
      </c>
      <c r="BC1098" s="135" t="s">
        <v>4317</v>
      </c>
      <c r="BD1098" s="24">
        <v>44096</v>
      </c>
      <c r="BE1098" s="135" t="s">
        <v>2191</v>
      </c>
      <c r="BF1098" s="135" t="s">
        <v>3988</v>
      </c>
      <c r="BG1098" s="135" t="s">
        <v>14</v>
      </c>
      <c r="BH1098" s="135"/>
      <c r="BI1098" s="314" t="s">
        <v>124</v>
      </c>
      <c r="BJ1098" s="314" t="s">
        <v>143</v>
      </c>
      <c r="BK1098" s="24"/>
      <c r="BL1098" s="24"/>
      <c r="BM1098" s="24"/>
      <c r="BN1098" s="24"/>
      <c r="BO1098" s="24"/>
      <c r="BP1098" s="24"/>
      <c r="BQ1098" s="24"/>
      <c r="BR1098" s="43"/>
      <c r="BS1098" s="24"/>
      <c r="BT1098" s="24"/>
      <c r="BU1098" s="24"/>
      <c r="BV1098" s="132" t="e">
        <f>IF(#REF!="COMPLETO","OK","PENDIENTES")</f>
        <v>#REF!</v>
      </c>
      <c r="BW1098" s="325"/>
      <c r="BX1098" s="325"/>
      <c r="BY1098" s="325"/>
      <c r="BZ1098" s="325"/>
      <c r="CA1098" s="325"/>
      <c r="CB1098" s="325"/>
      <c r="CC1098" s="258"/>
      <c r="CG1098" s="24" t="s">
        <v>105</v>
      </c>
      <c r="CH1098" s="24"/>
      <c r="CI1098" s="24"/>
      <c r="CJ1098" s="24"/>
    </row>
    <row r="1099" spans="1:88" ht="15" customHeight="1">
      <c r="A1099" s="18">
        <v>2020</v>
      </c>
      <c r="B1099" s="18" t="str">
        <f>+INDEX(BDD!F:F,MATCH(P1099,BDD!D:D,0))&amp;"-"&amp;INDEX(BDD!E:E,MATCH(P1099,BDD!D:D,0))</f>
        <v>S-S</v>
      </c>
      <c r="C1099" s="360" t="s">
        <v>484</v>
      </c>
      <c r="D1099" s="150" t="s">
        <v>77</v>
      </c>
      <c r="E1099" s="132"/>
      <c r="F1099" s="24"/>
      <c r="G1099" s="346">
        <v>8000001095</v>
      </c>
      <c r="H1099" s="18" t="s">
        <v>4318</v>
      </c>
      <c r="I1099" s="329"/>
      <c r="J1099" s="346">
        <v>8000001095</v>
      </c>
      <c r="K1099" s="24"/>
      <c r="L1099" s="24"/>
      <c r="M1099" s="24"/>
      <c r="N1099" s="340" t="s">
        <v>486</v>
      </c>
      <c r="O1099" s="334">
        <v>206971</v>
      </c>
      <c r="P1099" s="25" t="s">
        <v>340</v>
      </c>
      <c r="Q1099" s="127" t="s">
        <v>195</v>
      </c>
      <c r="R1099" s="232" t="s">
        <v>4314</v>
      </c>
      <c r="S1099" s="89">
        <v>44053</v>
      </c>
      <c r="T1099" s="36">
        <v>180</v>
      </c>
      <c r="U1099" s="125" t="s">
        <v>118</v>
      </c>
      <c r="V1099" s="147" t="s">
        <v>4319</v>
      </c>
      <c r="W1099" s="129"/>
      <c r="X1099" s="88">
        <v>44284</v>
      </c>
      <c r="Y1099" s="130" t="s">
        <v>20</v>
      </c>
      <c r="Z1099" s="133" t="s">
        <v>72</v>
      </c>
      <c r="AA1099" s="133"/>
      <c r="AB1099" s="241">
        <v>240</v>
      </c>
      <c r="AC1099" s="134">
        <v>412.29</v>
      </c>
      <c r="AD1099" s="134"/>
      <c r="AE1099" s="403">
        <f t="shared" si="62"/>
        <v>98949.6</v>
      </c>
      <c r="AF1099" s="132">
        <v>10</v>
      </c>
      <c r="AG1099" s="130" t="s">
        <v>5</v>
      </c>
      <c r="AH1099" s="130"/>
      <c r="AI1099" s="130" t="s">
        <v>34</v>
      </c>
      <c r="AJ1099" s="130"/>
      <c r="AK1099" s="130"/>
      <c r="AL1099" s="135" t="s">
        <v>4250</v>
      </c>
      <c r="AM1099" s="314"/>
      <c r="AN1099" s="26"/>
      <c r="AO1099" s="26"/>
      <c r="AP1099" s="26"/>
      <c r="AQ1099" s="26">
        <v>44153</v>
      </c>
      <c r="AR1099" s="24"/>
      <c r="AS1099" s="24"/>
      <c r="AT1099" s="24">
        <v>44158</v>
      </c>
      <c r="AU1099" s="418">
        <f t="shared" si="63"/>
        <v>11</v>
      </c>
      <c r="AV1099" s="418">
        <f t="shared" si="64"/>
        <v>2020</v>
      </c>
      <c r="AW1099" s="24"/>
      <c r="AX1099" s="28"/>
      <c r="AY1099" s="28" t="s">
        <v>4312</v>
      </c>
      <c r="AZ1099" s="132" t="s">
        <v>37</v>
      </c>
      <c r="BA1099" s="132"/>
      <c r="BB1099" s="24" t="s">
        <v>2956</v>
      </c>
      <c r="BC1099" s="135" t="s">
        <v>4320</v>
      </c>
      <c r="BD1099" s="24">
        <v>44103</v>
      </c>
      <c r="BE1099" s="135" t="s">
        <v>4321</v>
      </c>
      <c r="BF1099" s="135" t="s">
        <v>3646</v>
      </c>
      <c r="BG1099" s="135" t="s">
        <v>14</v>
      </c>
      <c r="BH1099" s="135"/>
      <c r="BI1099" s="314" t="s">
        <v>124</v>
      </c>
      <c r="BJ1099" s="314" t="s">
        <v>143</v>
      </c>
      <c r="BK1099" s="24"/>
      <c r="BL1099" s="24"/>
      <c r="BM1099" s="24"/>
      <c r="BN1099" s="24"/>
      <c r="BO1099" s="24"/>
      <c r="BP1099" s="24"/>
      <c r="BQ1099" s="24"/>
      <c r="BR1099" s="43"/>
      <c r="BS1099" s="24"/>
      <c r="BT1099" s="24"/>
      <c r="BU1099" s="24"/>
      <c r="BV1099" s="132" t="e">
        <f>IF(#REF!="COMPLETO","OK","PENDIENTES")</f>
        <v>#REF!</v>
      </c>
      <c r="BW1099" s="325"/>
      <c r="BX1099" s="325"/>
      <c r="BY1099" s="325"/>
      <c r="BZ1099" s="325"/>
      <c r="CA1099" s="325"/>
      <c r="CB1099" s="325"/>
      <c r="CC1099" s="258"/>
      <c r="CG1099" s="24" t="s">
        <v>105</v>
      </c>
      <c r="CH1099" s="24"/>
      <c r="CI1099" s="24"/>
      <c r="CJ1099" s="24"/>
    </row>
    <row r="1100" spans="1:88" ht="15" customHeight="1">
      <c r="A1100" s="18">
        <v>2020</v>
      </c>
      <c r="B1100" s="18" t="str">
        <f>+INDEX(BDD!F:F,MATCH(P1100,BDD!D:D,0))&amp;"-"&amp;INDEX(BDD!E:E,MATCH(P1100,BDD!D:D,0))</f>
        <v>S-S</v>
      </c>
      <c r="C1100" s="360" t="s">
        <v>484</v>
      </c>
      <c r="D1100" s="150" t="s">
        <v>77</v>
      </c>
      <c r="E1100" s="132"/>
      <c r="F1100" s="24"/>
      <c r="G1100" s="346">
        <v>8000001079</v>
      </c>
      <c r="H1100" s="18" t="s">
        <v>4322</v>
      </c>
      <c r="I1100" s="329"/>
      <c r="J1100" s="346">
        <v>8000001079</v>
      </c>
      <c r="K1100" s="24"/>
      <c r="L1100" s="24"/>
      <c r="M1100" s="24"/>
      <c r="N1100" s="340" t="s">
        <v>486</v>
      </c>
      <c r="O1100" s="334">
        <v>206971</v>
      </c>
      <c r="P1100" s="25" t="s">
        <v>340</v>
      </c>
      <c r="Q1100" s="127" t="s">
        <v>195</v>
      </c>
      <c r="R1100" s="232" t="s">
        <v>4314</v>
      </c>
      <c r="S1100" s="89">
        <v>44053</v>
      </c>
      <c r="T1100" s="36">
        <v>180</v>
      </c>
      <c r="U1100" s="125" t="s">
        <v>118</v>
      </c>
      <c r="V1100" s="147" t="s">
        <v>4323</v>
      </c>
      <c r="W1100" s="129"/>
      <c r="X1100" s="88">
        <v>44270</v>
      </c>
      <c r="Y1100" s="130" t="s">
        <v>20</v>
      </c>
      <c r="Z1100" s="133" t="s">
        <v>72</v>
      </c>
      <c r="AA1100" s="133"/>
      <c r="AB1100" s="241">
        <v>408</v>
      </c>
      <c r="AC1100" s="134">
        <v>417.38</v>
      </c>
      <c r="AD1100" s="134"/>
      <c r="AE1100" s="403">
        <f t="shared" si="62"/>
        <v>170291.04</v>
      </c>
      <c r="AF1100" s="132">
        <v>17</v>
      </c>
      <c r="AG1100" s="130" t="s">
        <v>5</v>
      </c>
      <c r="AH1100" s="130"/>
      <c r="AI1100" s="130" t="s">
        <v>34</v>
      </c>
      <c r="AJ1100" s="130"/>
      <c r="AK1100" s="130"/>
      <c r="AL1100" s="135" t="s">
        <v>4216</v>
      </c>
      <c r="AM1100" s="314"/>
      <c r="AN1100" s="26"/>
      <c r="AO1100" s="26"/>
      <c r="AP1100" s="26"/>
      <c r="AQ1100" s="26">
        <v>44147</v>
      </c>
      <c r="AR1100" s="24"/>
      <c r="AS1100" s="24"/>
      <c r="AT1100" s="24">
        <v>44148</v>
      </c>
      <c r="AU1100" s="418">
        <f t="shared" si="63"/>
        <v>11</v>
      </c>
      <c r="AV1100" s="418">
        <f t="shared" si="64"/>
        <v>2020</v>
      </c>
      <c r="AW1100" s="24"/>
      <c r="AX1100" s="28"/>
      <c r="AY1100" s="28" t="s">
        <v>4312</v>
      </c>
      <c r="AZ1100" s="132" t="s">
        <v>9</v>
      </c>
      <c r="BA1100" s="132"/>
      <c r="BB1100" s="24" t="s">
        <v>3519</v>
      </c>
      <c r="BC1100" s="135" t="s">
        <v>4324</v>
      </c>
      <c r="BD1100" s="24">
        <v>44088</v>
      </c>
      <c r="BE1100" s="135" t="s">
        <v>4325</v>
      </c>
      <c r="BF1100" s="135" t="s">
        <v>994</v>
      </c>
      <c r="BG1100" s="135" t="s">
        <v>14</v>
      </c>
      <c r="BH1100" s="135"/>
      <c r="BI1100" s="314" t="s">
        <v>124</v>
      </c>
      <c r="BJ1100" s="314" t="s">
        <v>143</v>
      </c>
      <c r="BK1100" s="24"/>
      <c r="BL1100" s="24"/>
      <c r="BM1100" s="24"/>
      <c r="BN1100" s="24"/>
      <c r="BO1100" s="24">
        <v>44153</v>
      </c>
      <c r="BP1100" s="24"/>
      <c r="BQ1100" s="24"/>
      <c r="BR1100" s="43"/>
      <c r="BS1100" s="24"/>
      <c r="BT1100" s="24"/>
      <c r="BU1100" s="24"/>
      <c r="BV1100" s="132" t="e">
        <f>IF(#REF!="COMPLETO","OK","PENDIENTES")</f>
        <v>#REF!</v>
      </c>
      <c r="BW1100" s="325"/>
      <c r="BX1100" s="325"/>
      <c r="BY1100" s="325"/>
      <c r="BZ1100" s="325"/>
      <c r="CA1100" s="325"/>
      <c r="CB1100" s="325"/>
      <c r="CC1100" s="258"/>
      <c r="CG1100" s="24" t="s">
        <v>105</v>
      </c>
      <c r="CH1100" s="24"/>
      <c r="CI1100" s="24"/>
      <c r="CJ1100" s="24"/>
    </row>
    <row r="1101" spans="1:88" ht="15" customHeight="1">
      <c r="A1101" s="18">
        <v>2020</v>
      </c>
      <c r="B1101" s="18" t="str">
        <f>+INDEX(BDD!F:F,MATCH(P1101,BDD!D:D,0))&amp;"-"&amp;INDEX(BDD!E:E,MATCH(P1101,BDD!D:D,0))</f>
        <v>S-S</v>
      </c>
      <c r="C1101" s="360" t="s">
        <v>484</v>
      </c>
      <c r="D1101" s="150" t="s">
        <v>77</v>
      </c>
      <c r="E1101" s="132"/>
      <c r="F1101" s="24"/>
      <c r="G1101" s="346">
        <v>8000001138</v>
      </c>
      <c r="H1101" s="18" t="s">
        <v>4326</v>
      </c>
      <c r="I1101" s="329"/>
      <c r="J1101" s="346">
        <v>8000001138</v>
      </c>
      <c r="K1101" s="24"/>
      <c r="L1101" s="24"/>
      <c r="M1101" s="24"/>
      <c r="N1101" s="340" t="s">
        <v>486</v>
      </c>
      <c r="O1101" s="334">
        <v>206971</v>
      </c>
      <c r="P1101" s="25" t="s">
        <v>340</v>
      </c>
      <c r="Q1101" s="127" t="s">
        <v>195</v>
      </c>
      <c r="R1101" s="232" t="s">
        <v>4314</v>
      </c>
      <c r="S1101" s="89">
        <v>44053</v>
      </c>
      <c r="T1101" s="36">
        <v>180</v>
      </c>
      <c r="U1101" s="125" t="s">
        <v>118</v>
      </c>
      <c r="V1101" s="147" t="s">
        <v>4327</v>
      </c>
      <c r="W1101" s="129"/>
      <c r="X1101" s="88">
        <f>+BD1101+T1101</f>
        <v>44289</v>
      </c>
      <c r="Y1101" s="130" t="s">
        <v>20</v>
      </c>
      <c r="Z1101" s="133" t="s">
        <v>72</v>
      </c>
      <c r="AA1101" s="133"/>
      <c r="AB1101" s="241">
        <v>408</v>
      </c>
      <c r="AC1101" s="134">
        <v>417.38</v>
      </c>
      <c r="AD1101" s="134"/>
      <c r="AE1101" s="403">
        <f t="shared" si="62"/>
        <v>170291.04</v>
      </c>
      <c r="AF1101" s="132">
        <v>17</v>
      </c>
      <c r="AG1101" s="130" t="s">
        <v>5</v>
      </c>
      <c r="AH1101" s="130"/>
      <c r="AI1101" s="130" t="s">
        <v>34</v>
      </c>
      <c r="AJ1101" s="130"/>
      <c r="AK1101" s="130"/>
      <c r="AL1101" s="135" t="s">
        <v>4250</v>
      </c>
      <c r="AM1101" s="314"/>
      <c r="AN1101" s="26"/>
      <c r="AO1101" s="26"/>
      <c r="AP1101" s="26"/>
      <c r="AQ1101" s="26">
        <v>44161</v>
      </c>
      <c r="AR1101" s="24"/>
      <c r="AS1101" s="24"/>
      <c r="AT1101" s="24">
        <v>44172</v>
      </c>
      <c r="AU1101" s="418">
        <f t="shared" si="63"/>
        <v>12</v>
      </c>
      <c r="AV1101" s="418">
        <f t="shared" si="64"/>
        <v>2020</v>
      </c>
      <c r="AW1101" s="24"/>
      <c r="AX1101" s="28"/>
      <c r="AY1101" s="28" t="s">
        <v>4312</v>
      </c>
      <c r="AZ1101" s="132" t="s">
        <v>9</v>
      </c>
      <c r="BA1101" s="132"/>
      <c r="BB1101" s="24" t="s">
        <v>3264</v>
      </c>
      <c r="BC1101" s="135" t="s">
        <v>4328</v>
      </c>
      <c r="BD1101" s="24">
        <v>44109</v>
      </c>
      <c r="BE1101" s="135" t="s">
        <v>4329</v>
      </c>
      <c r="BF1101" s="135" t="s">
        <v>4330</v>
      </c>
      <c r="BG1101" s="135" t="s">
        <v>14</v>
      </c>
      <c r="BH1101" s="135"/>
      <c r="BI1101" s="314" t="s">
        <v>124</v>
      </c>
      <c r="BJ1101" s="314" t="s">
        <v>143</v>
      </c>
      <c r="BK1101" s="24"/>
      <c r="BL1101" s="24"/>
      <c r="BM1101" s="24"/>
      <c r="BN1101" s="24"/>
      <c r="BO1101" s="24">
        <v>44174</v>
      </c>
      <c r="BP1101" s="24"/>
      <c r="BQ1101" s="24"/>
      <c r="BR1101" s="43"/>
      <c r="BS1101" s="24"/>
      <c r="BT1101" s="24"/>
      <c r="BU1101" s="24"/>
      <c r="BV1101" s="132" t="e">
        <f>IF(#REF!="COMPLETO","OK","PENDIENTES")</f>
        <v>#REF!</v>
      </c>
      <c r="BW1101" s="325"/>
      <c r="BX1101" s="325"/>
      <c r="BY1101" s="325"/>
      <c r="BZ1101" s="325"/>
      <c r="CA1101" s="325"/>
      <c r="CB1101" s="325"/>
      <c r="CC1101" s="258"/>
      <c r="CG1101" s="24" t="s">
        <v>105</v>
      </c>
      <c r="CH1101" s="24"/>
      <c r="CI1101" s="24"/>
      <c r="CJ1101" s="24"/>
    </row>
    <row r="1102" spans="1:88" ht="15" customHeight="1">
      <c r="A1102" s="18">
        <v>2020</v>
      </c>
      <c r="B1102" s="18" t="str">
        <f>+INDEX(BDD!F:F,MATCH(P1102,BDD!D:D,0))&amp;"-"&amp;INDEX(BDD!E:E,MATCH(P1102,BDD!D:D,0))</f>
        <v>S-S</v>
      </c>
      <c r="C1102" s="360" t="s">
        <v>484</v>
      </c>
      <c r="D1102" s="150" t="s">
        <v>77</v>
      </c>
      <c r="E1102" s="132"/>
      <c r="F1102" s="24"/>
      <c r="G1102" s="346">
        <v>8000001180</v>
      </c>
      <c r="H1102" s="18" t="s">
        <v>4331</v>
      </c>
      <c r="I1102" s="329"/>
      <c r="J1102" s="346">
        <v>8000001180</v>
      </c>
      <c r="K1102" s="24"/>
      <c r="L1102" s="24"/>
      <c r="M1102" s="24"/>
      <c r="N1102" s="340" t="s">
        <v>486</v>
      </c>
      <c r="O1102" s="334">
        <v>206971</v>
      </c>
      <c r="P1102" s="25" t="s">
        <v>340</v>
      </c>
      <c r="Q1102" s="127" t="s">
        <v>195</v>
      </c>
      <c r="R1102" s="232" t="s">
        <v>4314</v>
      </c>
      <c r="S1102" s="89">
        <v>44053</v>
      </c>
      <c r="T1102" s="36">
        <v>180</v>
      </c>
      <c r="U1102" s="125" t="s">
        <v>118</v>
      </c>
      <c r="V1102" s="147" t="s">
        <v>4332</v>
      </c>
      <c r="W1102" s="129"/>
      <c r="X1102" s="88">
        <f>+BD1102+T1102</f>
        <v>44305</v>
      </c>
      <c r="Y1102" s="130" t="s">
        <v>20</v>
      </c>
      <c r="Z1102" s="133" t="s">
        <v>72</v>
      </c>
      <c r="AA1102" s="133"/>
      <c r="AB1102" s="241">
        <v>192</v>
      </c>
      <c r="AC1102" s="134">
        <v>417.38</v>
      </c>
      <c r="AD1102" s="134"/>
      <c r="AE1102" s="403">
        <f t="shared" si="62"/>
        <v>80136.959999999992</v>
      </c>
      <c r="AF1102" s="132">
        <v>8</v>
      </c>
      <c r="AG1102" s="130" t="s">
        <v>5</v>
      </c>
      <c r="AH1102" s="130"/>
      <c r="AI1102" s="130" t="s">
        <v>34</v>
      </c>
      <c r="AJ1102" s="130"/>
      <c r="AK1102" s="130"/>
      <c r="AL1102" s="135" t="s">
        <v>4333</v>
      </c>
      <c r="AM1102" s="314"/>
      <c r="AN1102" s="26"/>
      <c r="AO1102" s="26"/>
      <c r="AP1102" s="26"/>
      <c r="AQ1102" s="26">
        <v>44183</v>
      </c>
      <c r="AR1102" s="24"/>
      <c r="AS1102" s="24"/>
      <c r="AT1102" s="24">
        <v>44194</v>
      </c>
      <c r="AU1102" s="418">
        <f t="shared" si="63"/>
        <v>12</v>
      </c>
      <c r="AV1102" s="418">
        <f t="shared" si="64"/>
        <v>2020</v>
      </c>
      <c r="AW1102" s="24"/>
      <c r="AX1102" s="28"/>
      <c r="AY1102" s="28" t="s">
        <v>4312</v>
      </c>
      <c r="AZ1102" s="132" t="s">
        <v>9</v>
      </c>
      <c r="BA1102" s="132"/>
      <c r="BB1102" s="24" t="s">
        <v>3519</v>
      </c>
      <c r="BC1102" s="135" t="s">
        <v>4334</v>
      </c>
      <c r="BD1102" s="24">
        <v>44125</v>
      </c>
      <c r="BE1102" s="135" t="s">
        <v>4325</v>
      </c>
      <c r="BF1102" s="135" t="s">
        <v>3276</v>
      </c>
      <c r="BG1102" s="135" t="s">
        <v>14</v>
      </c>
      <c r="BH1102" s="135"/>
      <c r="BI1102" s="314" t="s">
        <v>124</v>
      </c>
      <c r="BJ1102" s="314" t="s">
        <v>143</v>
      </c>
      <c r="BK1102" s="24"/>
      <c r="BL1102" s="24"/>
      <c r="BM1102" s="24"/>
      <c r="BN1102" s="24"/>
      <c r="BO1102" s="24">
        <f>+AQ1102+14</f>
        <v>44197</v>
      </c>
      <c r="BP1102" s="24"/>
      <c r="BQ1102" s="24"/>
      <c r="BR1102" s="43"/>
      <c r="BS1102" s="24"/>
      <c r="BT1102" s="24"/>
      <c r="BU1102" s="24"/>
      <c r="BV1102" s="132" t="e">
        <f>IF(#REF!="COMPLETO","OK","PENDIENTES")</f>
        <v>#REF!</v>
      </c>
      <c r="BW1102" s="325"/>
      <c r="BX1102" s="325"/>
      <c r="BY1102" s="325"/>
      <c r="BZ1102" s="325"/>
      <c r="CA1102" s="325"/>
      <c r="CB1102" s="325"/>
      <c r="CC1102" s="258"/>
      <c r="CG1102" s="24" t="s">
        <v>105</v>
      </c>
      <c r="CH1102" s="24"/>
      <c r="CI1102" s="24"/>
      <c r="CJ1102" s="24"/>
    </row>
    <row r="1103" spans="1:88" ht="15" customHeight="1">
      <c r="A1103" s="18">
        <v>2020</v>
      </c>
      <c r="B1103" s="18" t="str">
        <f>+INDEX(BDD!F:F,MATCH(P1103,BDD!D:D,0))&amp;"-"&amp;INDEX(BDD!E:E,MATCH(P1103,BDD!D:D,0))</f>
        <v>S-C</v>
      </c>
      <c r="C1103" s="360" t="s">
        <v>484</v>
      </c>
      <c r="D1103" s="150" t="s">
        <v>77</v>
      </c>
      <c r="E1103" s="132"/>
      <c r="F1103" s="24"/>
      <c r="G1103" s="346">
        <v>8000001022</v>
      </c>
      <c r="H1103" s="18" t="s">
        <v>4335</v>
      </c>
      <c r="I1103" s="329"/>
      <c r="J1103" s="346">
        <v>8000001022</v>
      </c>
      <c r="K1103" s="24"/>
      <c r="L1103" s="24"/>
      <c r="M1103" s="24"/>
      <c r="N1103" s="340" t="s">
        <v>486</v>
      </c>
      <c r="O1103" s="334">
        <v>207580</v>
      </c>
      <c r="P1103" s="25" t="s">
        <v>241</v>
      </c>
      <c r="Q1103" s="127" t="s">
        <v>297</v>
      </c>
      <c r="R1103" s="232" t="s">
        <v>4336</v>
      </c>
      <c r="S1103" s="89">
        <v>44048</v>
      </c>
      <c r="T1103" s="36">
        <v>90</v>
      </c>
      <c r="U1103" s="125" t="s">
        <v>118</v>
      </c>
      <c r="V1103" s="147" t="s">
        <v>4337</v>
      </c>
      <c r="W1103" s="129"/>
      <c r="X1103" s="88">
        <f>+BD1103+T1103</f>
        <v>44164</v>
      </c>
      <c r="Y1103" s="130" t="s">
        <v>20</v>
      </c>
      <c r="Z1103" s="133" t="s">
        <v>72</v>
      </c>
      <c r="AA1103" s="133"/>
      <c r="AB1103" s="241">
        <v>216</v>
      </c>
      <c r="AC1103" s="134">
        <v>643.5</v>
      </c>
      <c r="AD1103" s="134"/>
      <c r="AE1103" s="403">
        <f t="shared" si="62"/>
        <v>138996</v>
      </c>
      <c r="AF1103" s="132">
        <v>9</v>
      </c>
      <c r="AG1103" s="130" t="s">
        <v>5</v>
      </c>
      <c r="AH1103" s="130"/>
      <c r="AI1103" s="130" t="s">
        <v>34</v>
      </c>
      <c r="AJ1103" s="130"/>
      <c r="AK1103" s="130"/>
      <c r="AL1103" s="24" t="s">
        <v>4166</v>
      </c>
      <c r="AM1103" s="314"/>
      <c r="AN1103" s="26"/>
      <c r="AO1103" s="26"/>
      <c r="AP1103" s="26"/>
      <c r="AQ1103" s="26">
        <v>44104</v>
      </c>
      <c r="AR1103" s="24"/>
      <c r="AS1103" s="24"/>
      <c r="AT1103" s="164">
        <v>44114</v>
      </c>
      <c r="AU1103" s="418">
        <f t="shared" si="63"/>
        <v>10</v>
      </c>
      <c r="AV1103" s="418">
        <f t="shared" si="64"/>
        <v>2020</v>
      </c>
      <c r="AW1103" s="164"/>
      <c r="AX1103" s="28"/>
      <c r="AY1103" s="28" t="s">
        <v>201</v>
      </c>
      <c r="AZ1103" s="132" t="s">
        <v>9</v>
      </c>
      <c r="BA1103" s="132"/>
      <c r="BB1103" s="24" t="s">
        <v>3264</v>
      </c>
      <c r="BC1103" s="135" t="s">
        <v>4338</v>
      </c>
      <c r="BD1103" s="24">
        <v>44074</v>
      </c>
      <c r="BE1103" s="135" t="s">
        <v>4339</v>
      </c>
      <c r="BF1103" s="135" t="s">
        <v>3640</v>
      </c>
      <c r="BG1103" s="135" t="s">
        <v>64</v>
      </c>
      <c r="BH1103" s="135"/>
      <c r="BI1103" s="314" t="s">
        <v>124</v>
      </c>
      <c r="BJ1103" s="314" t="s">
        <v>143</v>
      </c>
      <c r="BK1103" s="24"/>
      <c r="BL1103" s="24"/>
      <c r="BM1103" s="24"/>
      <c r="BN1103" s="24"/>
      <c r="BO1103" s="24"/>
      <c r="BP1103" s="24"/>
      <c r="BQ1103" s="24"/>
      <c r="BR1103" s="43"/>
      <c r="BS1103" s="24"/>
      <c r="BT1103" s="24"/>
      <c r="BU1103" s="24"/>
      <c r="BV1103" s="132" t="e">
        <f>IF(#REF!="COMPLETO","OK","PENDIENTES")</f>
        <v>#REF!</v>
      </c>
      <c r="BW1103" s="325"/>
      <c r="BX1103" s="325"/>
      <c r="BY1103" s="325"/>
      <c r="BZ1103" s="325"/>
      <c r="CA1103" s="325"/>
      <c r="CB1103" s="325"/>
      <c r="CC1103" s="258"/>
      <c r="CG1103" s="24" t="s">
        <v>105</v>
      </c>
      <c r="CH1103" s="24"/>
      <c r="CI1103" s="164"/>
      <c r="CJ1103" s="164"/>
    </row>
    <row r="1104" spans="1:88" ht="15" customHeight="1">
      <c r="A1104" s="18">
        <v>2020</v>
      </c>
      <c r="B1104" s="18" t="str">
        <f>+INDEX(BDD!F:F,MATCH(P1104,BDD!D:D,0))&amp;"-"&amp;INDEX(BDD!E:E,MATCH(P1104,BDD!D:D,0))</f>
        <v>O-S</v>
      </c>
      <c r="C1104" s="360" t="s">
        <v>484</v>
      </c>
      <c r="D1104" s="150" t="s">
        <v>77</v>
      </c>
      <c r="E1104" s="132"/>
      <c r="F1104" s="24"/>
      <c r="G1104" s="346">
        <v>8000000949</v>
      </c>
      <c r="H1104" s="18" t="s">
        <v>4340</v>
      </c>
      <c r="I1104" s="329"/>
      <c r="J1104" s="346">
        <v>8000000949</v>
      </c>
      <c r="K1104" s="24"/>
      <c r="L1104" s="24"/>
      <c r="M1104" s="24"/>
      <c r="N1104" s="340" t="s">
        <v>486</v>
      </c>
      <c r="O1104" s="334">
        <v>203553</v>
      </c>
      <c r="P1104" s="25" t="s">
        <v>386</v>
      </c>
      <c r="Q1104" s="127" t="s">
        <v>303</v>
      </c>
      <c r="R1104" s="232" t="s">
        <v>4341</v>
      </c>
      <c r="S1104" s="89" t="s">
        <v>671</v>
      </c>
      <c r="T1104" s="36" t="s">
        <v>19</v>
      </c>
      <c r="U1104" s="271"/>
      <c r="V1104" s="235" t="s">
        <v>4342</v>
      </c>
      <c r="W1104" s="151"/>
      <c r="X1104" s="88">
        <v>44083</v>
      </c>
      <c r="Y1104" s="130" t="s">
        <v>20</v>
      </c>
      <c r="Z1104" s="133" t="s">
        <v>60</v>
      </c>
      <c r="AA1104" s="133"/>
      <c r="AB1104" s="241">
        <v>159.79</v>
      </c>
      <c r="AC1104" s="134">
        <v>272.95</v>
      </c>
      <c r="AD1104" s="134"/>
      <c r="AE1104" s="403">
        <f t="shared" si="62"/>
        <v>43614.680499999995</v>
      </c>
      <c r="AF1104" s="132">
        <v>6</v>
      </c>
      <c r="AG1104" s="130" t="s">
        <v>5</v>
      </c>
      <c r="AH1104" s="130"/>
      <c r="AI1104" s="130" t="s">
        <v>100</v>
      </c>
      <c r="AJ1104" s="130"/>
      <c r="AK1104" s="130"/>
      <c r="AL1104" s="135" t="s">
        <v>3961</v>
      </c>
      <c r="AM1104" s="314"/>
      <c r="AN1104" s="26"/>
      <c r="AO1104" s="26"/>
      <c r="AP1104" s="26"/>
      <c r="AQ1104" s="26">
        <v>44097</v>
      </c>
      <c r="AR1104" s="24"/>
      <c r="AS1104" s="24"/>
      <c r="AT1104" s="24">
        <v>44107</v>
      </c>
      <c r="AU1104" s="418">
        <f t="shared" si="63"/>
        <v>10</v>
      </c>
      <c r="AV1104" s="418">
        <f t="shared" si="64"/>
        <v>2020</v>
      </c>
      <c r="AW1104" s="24"/>
      <c r="AX1104" s="28"/>
      <c r="AY1104" s="28" t="s">
        <v>4072</v>
      </c>
      <c r="AZ1104" s="132" t="s">
        <v>9</v>
      </c>
      <c r="BA1104" s="132"/>
      <c r="BB1104" s="24" t="s">
        <v>3264</v>
      </c>
      <c r="BC1104" s="135" t="s">
        <v>4343</v>
      </c>
      <c r="BD1104" s="24">
        <v>44054</v>
      </c>
      <c r="BE1104" s="135" t="s">
        <v>4344</v>
      </c>
      <c r="BF1104" s="135" t="s">
        <v>1806</v>
      </c>
      <c r="BG1104" s="135" t="s">
        <v>64</v>
      </c>
      <c r="BH1104" s="135"/>
      <c r="BI1104" s="314" t="s">
        <v>124</v>
      </c>
      <c r="BJ1104" s="314" t="s">
        <v>138</v>
      </c>
      <c r="BK1104" s="24"/>
      <c r="BL1104" s="24"/>
      <c r="BM1104" s="24"/>
      <c r="BN1104" s="24"/>
      <c r="BO1104" s="24"/>
      <c r="BP1104" s="24"/>
      <c r="BQ1104" s="24"/>
      <c r="BR1104" s="43"/>
      <c r="BS1104" s="24"/>
      <c r="BT1104" s="24"/>
      <c r="BU1104" s="24"/>
      <c r="BV1104" s="132" t="e">
        <f>IF(#REF!="COMPLETO","OK","PENDIENTES")</f>
        <v>#REF!</v>
      </c>
      <c r="BW1104" s="325"/>
      <c r="BX1104" s="325"/>
      <c r="BY1104" s="325"/>
      <c r="BZ1104" s="325"/>
      <c r="CA1104" s="325"/>
      <c r="CB1104" s="325"/>
      <c r="CC1104" s="258"/>
      <c r="CG1104" s="24" t="s">
        <v>105</v>
      </c>
      <c r="CH1104" s="24"/>
      <c r="CI1104" s="24"/>
      <c r="CJ1104" s="24"/>
    </row>
    <row r="1105" spans="1:88" ht="15" customHeight="1">
      <c r="A1105" s="18">
        <v>2020</v>
      </c>
      <c r="B1105" s="18" t="str">
        <f>+INDEX(BDD!F:F,MATCH(P1105,BDD!D:D,0))&amp;"-"&amp;INDEX(BDD!E:E,MATCH(P1105,BDD!D:D,0))</f>
        <v>O-S</v>
      </c>
      <c r="C1105" s="360" t="s">
        <v>484</v>
      </c>
      <c r="D1105" s="150" t="s">
        <v>77</v>
      </c>
      <c r="E1105" s="132"/>
      <c r="F1105" s="24"/>
      <c r="G1105" s="346">
        <v>8000000950</v>
      </c>
      <c r="H1105" s="18" t="s">
        <v>4345</v>
      </c>
      <c r="I1105" s="329"/>
      <c r="J1105" s="346">
        <v>8000000950</v>
      </c>
      <c r="K1105" s="24"/>
      <c r="L1105" s="24"/>
      <c r="M1105" s="24"/>
      <c r="N1105" s="340" t="s">
        <v>486</v>
      </c>
      <c r="O1105" s="334">
        <v>203553</v>
      </c>
      <c r="P1105" s="25" t="s">
        <v>386</v>
      </c>
      <c r="Q1105" s="127" t="s">
        <v>303</v>
      </c>
      <c r="R1105" s="232" t="s">
        <v>4346</v>
      </c>
      <c r="S1105" s="89" t="s">
        <v>671</v>
      </c>
      <c r="T1105" s="36" t="s">
        <v>19</v>
      </c>
      <c r="U1105" s="271"/>
      <c r="V1105" s="235" t="s">
        <v>4347</v>
      </c>
      <c r="W1105" s="151"/>
      <c r="X1105" s="88">
        <v>44083</v>
      </c>
      <c r="Y1105" s="130" t="s">
        <v>20</v>
      </c>
      <c r="Z1105" s="133" t="s">
        <v>60</v>
      </c>
      <c r="AA1105" s="133"/>
      <c r="AB1105" s="241">
        <f>5*26.63</f>
        <v>133.15</v>
      </c>
      <c r="AC1105" s="134">
        <v>270.83</v>
      </c>
      <c r="AD1105" s="134"/>
      <c r="AE1105" s="403">
        <f t="shared" si="62"/>
        <v>36061.014499999997</v>
      </c>
      <c r="AF1105" s="132">
        <v>5</v>
      </c>
      <c r="AG1105" s="130" t="s">
        <v>5</v>
      </c>
      <c r="AH1105" s="130"/>
      <c r="AI1105" s="130" t="s">
        <v>100</v>
      </c>
      <c r="AJ1105" s="130"/>
      <c r="AK1105" s="130"/>
      <c r="AL1105" s="135" t="s">
        <v>3961</v>
      </c>
      <c r="AM1105" s="314"/>
      <c r="AN1105" s="26"/>
      <c r="AO1105" s="26"/>
      <c r="AP1105" s="26"/>
      <c r="AQ1105" s="26">
        <v>44092</v>
      </c>
      <c r="AR1105" s="24"/>
      <c r="AS1105" s="24"/>
      <c r="AT1105" s="24">
        <v>44096</v>
      </c>
      <c r="AU1105" s="418">
        <f t="shared" si="63"/>
        <v>9</v>
      </c>
      <c r="AV1105" s="418">
        <f t="shared" si="64"/>
        <v>2020</v>
      </c>
      <c r="AW1105" s="24"/>
      <c r="AX1105" s="28"/>
      <c r="AY1105" s="28" t="s">
        <v>4072</v>
      </c>
      <c r="AZ1105" s="132" t="s">
        <v>37</v>
      </c>
      <c r="BA1105" s="132"/>
      <c r="BB1105" s="24" t="s">
        <v>3291</v>
      </c>
      <c r="BC1105" s="135" t="s">
        <v>4348</v>
      </c>
      <c r="BD1105" s="24">
        <v>44055</v>
      </c>
      <c r="BE1105" s="135" t="s">
        <v>4344</v>
      </c>
      <c r="BF1105" s="135" t="s">
        <v>756</v>
      </c>
      <c r="BG1105" s="135" t="s">
        <v>64</v>
      </c>
      <c r="BH1105" s="135"/>
      <c r="BI1105" s="314" t="s">
        <v>124</v>
      </c>
      <c r="BJ1105" s="314" t="s">
        <v>138</v>
      </c>
      <c r="BK1105" s="24"/>
      <c r="BL1105" s="24"/>
      <c r="BM1105" s="24"/>
      <c r="BN1105" s="24"/>
      <c r="BO1105" s="24"/>
      <c r="BP1105" s="24"/>
      <c r="BQ1105" s="24"/>
      <c r="BR1105" s="43"/>
      <c r="BS1105" s="24"/>
      <c r="BT1105" s="24"/>
      <c r="BU1105" s="24"/>
      <c r="BV1105" s="132" t="e">
        <f>IF(#REF!="COMPLETO","OK","PENDIENTES")</f>
        <v>#REF!</v>
      </c>
      <c r="BW1105" s="325"/>
      <c r="BX1105" s="325"/>
      <c r="BY1105" s="325"/>
      <c r="BZ1105" s="325"/>
      <c r="CA1105" s="325"/>
      <c r="CB1105" s="325"/>
      <c r="CC1105" s="258"/>
      <c r="CG1105" s="24" t="s">
        <v>105</v>
      </c>
      <c r="CH1105" s="24"/>
      <c r="CI1105" s="24"/>
      <c r="CJ1105" s="24"/>
    </row>
    <row r="1106" spans="1:88" ht="15" customHeight="1">
      <c r="A1106" s="18">
        <v>2020</v>
      </c>
      <c r="B1106" s="18" t="str">
        <f>+INDEX(BDD!F:F,MATCH(P1106,BDD!D:D,0))&amp;"-"&amp;INDEX(BDD!E:E,MATCH(P1106,BDD!D:D,0))</f>
        <v>O-S</v>
      </c>
      <c r="C1106" s="360" t="s">
        <v>484</v>
      </c>
      <c r="D1106" s="150" t="s">
        <v>77</v>
      </c>
      <c r="E1106" s="132"/>
      <c r="F1106" s="24"/>
      <c r="G1106" s="346">
        <v>8000001011</v>
      </c>
      <c r="H1106" s="18" t="s">
        <v>4349</v>
      </c>
      <c r="I1106" s="329"/>
      <c r="J1106" s="346">
        <v>8000001011</v>
      </c>
      <c r="K1106" s="24"/>
      <c r="L1106" s="24"/>
      <c r="M1106" s="24"/>
      <c r="N1106" s="340" t="s">
        <v>486</v>
      </c>
      <c r="O1106" s="334">
        <v>203553</v>
      </c>
      <c r="P1106" s="25" t="s">
        <v>386</v>
      </c>
      <c r="Q1106" s="127" t="s">
        <v>303</v>
      </c>
      <c r="R1106" s="232" t="s">
        <v>4346</v>
      </c>
      <c r="S1106" s="89" t="s">
        <v>671</v>
      </c>
      <c r="T1106" s="36" t="s">
        <v>19</v>
      </c>
      <c r="U1106" s="271"/>
      <c r="V1106" s="235" t="s">
        <v>4347</v>
      </c>
      <c r="W1106" s="151"/>
      <c r="X1106" s="88">
        <v>44083</v>
      </c>
      <c r="Y1106" s="130" t="s">
        <v>20</v>
      </c>
      <c r="Z1106" s="133" t="s">
        <v>60</v>
      </c>
      <c r="AA1106" s="133"/>
      <c r="AB1106" s="241">
        <f>3*26.63</f>
        <v>79.89</v>
      </c>
      <c r="AC1106" s="134">
        <v>270.83</v>
      </c>
      <c r="AD1106" s="134"/>
      <c r="AE1106" s="403">
        <f t="shared" si="62"/>
        <v>21636.608700000001</v>
      </c>
      <c r="AF1106" s="132">
        <v>3</v>
      </c>
      <c r="AG1106" s="130" t="s">
        <v>5</v>
      </c>
      <c r="AH1106" s="130"/>
      <c r="AI1106" s="130" t="s">
        <v>100</v>
      </c>
      <c r="AJ1106" s="130"/>
      <c r="AK1106" s="130"/>
      <c r="AL1106" s="135" t="s">
        <v>3961</v>
      </c>
      <c r="AM1106" s="314"/>
      <c r="AN1106" s="26"/>
      <c r="AO1106" s="26"/>
      <c r="AP1106" s="26"/>
      <c r="AQ1106" s="26">
        <v>44099</v>
      </c>
      <c r="AR1106" s="24"/>
      <c r="AS1106" s="24"/>
      <c r="AT1106" s="24">
        <v>44104</v>
      </c>
      <c r="AU1106" s="418">
        <f t="shared" si="63"/>
        <v>9</v>
      </c>
      <c r="AV1106" s="418">
        <f t="shared" si="64"/>
        <v>2020</v>
      </c>
      <c r="AW1106" s="24"/>
      <c r="AX1106" s="28"/>
      <c r="AY1106" s="28" t="s">
        <v>4072</v>
      </c>
      <c r="AZ1106" s="132" t="s">
        <v>37</v>
      </c>
      <c r="BA1106" s="132"/>
      <c r="BB1106" s="24" t="s">
        <v>3291</v>
      </c>
      <c r="BC1106" s="135" t="s">
        <v>4350</v>
      </c>
      <c r="BD1106" s="24">
        <v>44055</v>
      </c>
      <c r="BE1106" s="135" t="s">
        <v>4344</v>
      </c>
      <c r="BF1106" s="135" t="s">
        <v>2329</v>
      </c>
      <c r="BG1106" s="135" t="s">
        <v>64</v>
      </c>
      <c r="BH1106" s="135"/>
      <c r="BI1106" s="314" t="s">
        <v>124</v>
      </c>
      <c r="BJ1106" s="314" t="s">
        <v>138</v>
      </c>
      <c r="BK1106" s="24"/>
      <c r="BL1106" s="24"/>
      <c r="BM1106" s="24"/>
      <c r="BN1106" s="24"/>
      <c r="BO1106" s="24"/>
      <c r="BP1106" s="24"/>
      <c r="BQ1106" s="24"/>
      <c r="BR1106" s="43"/>
      <c r="BS1106" s="24"/>
      <c r="BT1106" s="24"/>
      <c r="BU1106" s="24"/>
      <c r="BV1106" s="132" t="e">
        <f>IF(#REF!="COMPLETO","OK","PENDIENTES")</f>
        <v>#REF!</v>
      </c>
      <c r="BW1106" s="325"/>
      <c r="BX1106" s="325"/>
      <c r="BY1106" s="325"/>
      <c r="BZ1106" s="325"/>
      <c r="CA1106" s="325"/>
      <c r="CB1106" s="325"/>
      <c r="CC1106" s="258"/>
      <c r="CG1106" s="24" t="s">
        <v>105</v>
      </c>
      <c r="CH1106" s="24"/>
      <c r="CI1106" s="24"/>
      <c r="CJ1106" s="24"/>
    </row>
    <row r="1107" spans="1:88" ht="15" customHeight="1">
      <c r="A1107" s="18">
        <v>2020</v>
      </c>
      <c r="B1107" s="18" t="str">
        <f>+INDEX(BDD!F:F,MATCH(P1107,BDD!D:D,0))&amp;"-"&amp;INDEX(BDD!E:E,MATCH(P1107,BDD!D:D,0))</f>
        <v>O-S</v>
      </c>
      <c r="C1107" s="360" t="s">
        <v>484</v>
      </c>
      <c r="D1107" s="150" t="s">
        <v>77</v>
      </c>
      <c r="E1107" s="132"/>
      <c r="F1107" s="24"/>
      <c r="G1107" s="346">
        <v>8000001044</v>
      </c>
      <c r="H1107" s="18" t="s">
        <v>4351</v>
      </c>
      <c r="I1107" s="329"/>
      <c r="J1107" s="346">
        <v>8000001044</v>
      </c>
      <c r="K1107" s="24"/>
      <c r="L1107" s="24"/>
      <c r="M1107" s="24"/>
      <c r="N1107" s="340" t="s">
        <v>486</v>
      </c>
      <c r="O1107" s="334">
        <v>203554</v>
      </c>
      <c r="P1107" s="25" t="s">
        <v>386</v>
      </c>
      <c r="Q1107" s="127" t="s">
        <v>303</v>
      </c>
      <c r="R1107" s="232" t="s">
        <v>4352</v>
      </c>
      <c r="S1107" s="89" t="s">
        <v>671</v>
      </c>
      <c r="T1107" s="36" t="s">
        <v>19</v>
      </c>
      <c r="U1107" s="271"/>
      <c r="V1107" s="147" t="s">
        <v>4353</v>
      </c>
      <c r="W1107" s="129"/>
      <c r="X1107" s="88">
        <v>44083</v>
      </c>
      <c r="Y1107" s="130" t="s">
        <v>20</v>
      </c>
      <c r="Z1107" s="133" t="s">
        <v>60</v>
      </c>
      <c r="AA1107" s="133"/>
      <c r="AB1107" s="241">
        <v>213.64</v>
      </c>
      <c r="AC1107" s="134">
        <v>298.72000000000003</v>
      </c>
      <c r="AD1107" s="134"/>
      <c r="AE1107" s="403">
        <f t="shared" si="62"/>
        <v>63818.540800000002</v>
      </c>
      <c r="AF1107" s="132">
        <v>8</v>
      </c>
      <c r="AG1107" s="130" t="s">
        <v>5</v>
      </c>
      <c r="AH1107" s="130"/>
      <c r="AI1107" s="130" t="s">
        <v>100</v>
      </c>
      <c r="AJ1107" s="130"/>
      <c r="AK1107" s="130"/>
      <c r="AL1107" s="135" t="s">
        <v>3961</v>
      </c>
      <c r="AM1107" s="314"/>
      <c r="AN1107" s="26"/>
      <c r="AO1107" s="26"/>
      <c r="AP1107" s="26"/>
      <c r="AQ1107" s="26">
        <v>44119</v>
      </c>
      <c r="AR1107" s="24"/>
      <c r="AS1107" s="24"/>
      <c r="AT1107" s="24">
        <v>44120</v>
      </c>
      <c r="AU1107" s="418">
        <f t="shared" si="63"/>
        <v>10</v>
      </c>
      <c r="AV1107" s="418">
        <f t="shared" si="64"/>
        <v>2020</v>
      </c>
      <c r="AW1107" s="24"/>
      <c r="AX1107" s="28"/>
      <c r="AY1107" s="28" t="s">
        <v>4072</v>
      </c>
      <c r="AZ1107" s="132" t="s">
        <v>62</v>
      </c>
      <c r="BA1107" s="132"/>
      <c r="BB1107" s="24" t="s">
        <v>3334</v>
      </c>
      <c r="BC1107" s="135" t="s">
        <v>4354</v>
      </c>
      <c r="BD1107" s="24">
        <v>44058</v>
      </c>
      <c r="BE1107" s="135" t="s">
        <v>4355</v>
      </c>
      <c r="BF1107" s="135" t="s">
        <v>1938</v>
      </c>
      <c r="BG1107" s="135" t="s">
        <v>29</v>
      </c>
      <c r="BH1107" s="135"/>
      <c r="BI1107" s="314" t="s">
        <v>124</v>
      </c>
      <c r="BJ1107" s="314" t="s">
        <v>143</v>
      </c>
      <c r="BK1107" s="24"/>
      <c r="BL1107" s="24"/>
      <c r="BM1107" s="24"/>
      <c r="BN1107" s="24"/>
      <c r="BO1107" s="24">
        <v>44131</v>
      </c>
      <c r="BP1107" s="24"/>
      <c r="BQ1107" s="24"/>
      <c r="BR1107" s="43"/>
      <c r="BS1107" s="24"/>
      <c r="BT1107" s="24"/>
      <c r="BU1107" s="24"/>
      <c r="BV1107" s="132" t="e">
        <f>IF(#REF!="COMPLETO","OK","PENDIENTES")</f>
        <v>#REF!</v>
      </c>
      <c r="BW1107" s="325"/>
      <c r="BX1107" s="325"/>
      <c r="BY1107" s="325"/>
      <c r="BZ1107" s="325"/>
      <c r="CA1107" s="325"/>
      <c r="CB1107" s="325"/>
      <c r="CC1107" s="258"/>
      <c r="CG1107" s="24" t="s">
        <v>4086</v>
      </c>
      <c r="CH1107" s="24"/>
      <c r="CI1107" s="24"/>
      <c r="CJ1107" s="24"/>
    </row>
    <row r="1108" spans="1:88" ht="15" customHeight="1">
      <c r="A1108" s="18">
        <v>2020</v>
      </c>
      <c r="B1108" s="18" t="str">
        <f>+INDEX(BDD!F:F,MATCH(P1108,BDD!D:D,0))&amp;"-"&amp;INDEX(BDD!E:E,MATCH(P1108,BDD!D:D,0))</f>
        <v>O-S</v>
      </c>
      <c r="C1108" s="360" t="s">
        <v>484</v>
      </c>
      <c r="D1108" s="150" t="s">
        <v>77</v>
      </c>
      <c r="E1108" s="132"/>
      <c r="F1108" s="24"/>
      <c r="G1108" s="346">
        <v>8000000996</v>
      </c>
      <c r="H1108" s="18" t="s">
        <v>4356</v>
      </c>
      <c r="I1108" s="329"/>
      <c r="J1108" s="346">
        <v>8000000996</v>
      </c>
      <c r="K1108" s="24"/>
      <c r="L1108" s="24"/>
      <c r="M1108" s="24"/>
      <c r="N1108" s="340" t="s">
        <v>486</v>
      </c>
      <c r="O1108" s="334">
        <v>203553</v>
      </c>
      <c r="P1108" s="25" t="s">
        <v>386</v>
      </c>
      <c r="Q1108" s="127" t="s">
        <v>303</v>
      </c>
      <c r="R1108" s="232" t="s">
        <v>4357</v>
      </c>
      <c r="S1108" s="89" t="s">
        <v>743</v>
      </c>
      <c r="T1108" s="36" t="s">
        <v>19</v>
      </c>
      <c r="U1108" s="125"/>
      <c r="V1108" s="235" t="s">
        <v>4358</v>
      </c>
      <c r="W1108" s="151"/>
      <c r="X1108" s="88">
        <v>44083</v>
      </c>
      <c r="Y1108" s="130" t="s">
        <v>20</v>
      </c>
      <c r="Z1108" s="133" t="s">
        <v>60</v>
      </c>
      <c r="AA1108" s="133"/>
      <c r="AB1108" s="272">
        <v>185.86500000000001</v>
      </c>
      <c r="AC1108" s="134">
        <v>274.68</v>
      </c>
      <c r="AD1108" s="134"/>
      <c r="AE1108" s="403">
        <f t="shared" si="62"/>
        <v>51053.398200000003</v>
      </c>
      <c r="AF1108" s="132">
        <v>7</v>
      </c>
      <c r="AG1108" s="130" t="s">
        <v>5</v>
      </c>
      <c r="AH1108" s="130"/>
      <c r="AI1108" s="130" t="s">
        <v>100</v>
      </c>
      <c r="AJ1108" s="130"/>
      <c r="AK1108" s="130"/>
      <c r="AL1108" s="135" t="s">
        <v>4166</v>
      </c>
      <c r="AM1108" s="314"/>
      <c r="AN1108" s="26"/>
      <c r="AO1108" s="26"/>
      <c r="AP1108" s="26"/>
      <c r="AQ1108" s="26">
        <v>44090</v>
      </c>
      <c r="AR1108" s="24"/>
      <c r="AS1108" s="24"/>
      <c r="AT1108" s="24">
        <v>44092</v>
      </c>
      <c r="AU1108" s="418">
        <f t="shared" si="63"/>
        <v>9</v>
      </c>
      <c r="AV1108" s="418">
        <f t="shared" si="64"/>
        <v>2020</v>
      </c>
      <c r="AW1108" s="24"/>
      <c r="AX1108" s="28"/>
      <c r="AY1108" s="28" t="s">
        <v>4072</v>
      </c>
      <c r="AZ1108" s="132" t="s">
        <v>9</v>
      </c>
      <c r="BA1108" s="132"/>
      <c r="BB1108" s="24" t="s">
        <v>2956</v>
      </c>
      <c r="BC1108" s="135" t="s">
        <v>4359</v>
      </c>
      <c r="BD1108" s="24">
        <v>44054</v>
      </c>
      <c r="BE1108" s="135" t="s">
        <v>4344</v>
      </c>
      <c r="BF1108" s="135" t="s">
        <v>3640</v>
      </c>
      <c r="BG1108" s="135" t="s">
        <v>64</v>
      </c>
      <c r="BH1108" s="135"/>
      <c r="BI1108" s="314" t="s">
        <v>124</v>
      </c>
      <c r="BJ1108" s="314" t="s">
        <v>148</v>
      </c>
      <c r="BK1108" s="24"/>
      <c r="BL1108" s="24"/>
      <c r="BM1108" s="24"/>
      <c r="BN1108" s="24"/>
      <c r="BO1108" s="24"/>
      <c r="BP1108" s="24"/>
      <c r="BQ1108" s="24"/>
      <c r="BR1108" s="43"/>
      <c r="BS1108" s="24"/>
      <c r="BT1108" s="24"/>
      <c r="BU1108" s="24"/>
      <c r="BV1108" s="132" t="e">
        <f>IF(#REF!="COMPLETO","OK","PENDIENTES")</f>
        <v>#REF!</v>
      </c>
      <c r="BW1108" s="325"/>
      <c r="BX1108" s="325"/>
      <c r="BY1108" s="325"/>
      <c r="BZ1108" s="325"/>
      <c r="CA1108" s="325"/>
      <c r="CB1108" s="325"/>
      <c r="CC1108" s="258" t="s">
        <v>4360</v>
      </c>
      <c r="CG1108" s="24" t="s">
        <v>105</v>
      </c>
      <c r="CH1108" s="24"/>
      <c r="CI1108" s="24"/>
      <c r="CJ1108" s="24"/>
    </row>
    <row r="1109" spans="1:88" ht="15" customHeight="1">
      <c r="A1109" s="18">
        <v>2020</v>
      </c>
      <c r="B1109" s="18" t="str">
        <f>+INDEX(BDD!F:F,MATCH(P1109,BDD!D:D,0))&amp;"-"&amp;INDEX(BDD!E:E,MATCH(P1109,BDD!D:D,0))</f>
        <v>O-S</v>
      </c>
      <c r="C1109" s="360" t="s">
        <v>484</v>
      </c>
      <c r="D1109" s="150" t="s">
        <v>77</v>
      </c>
      <c r="E1109" s="132"/>
      <c r="F1109" s="24"/>
      <c r="G1109" s="346">
        <v>8000000955</v>
      </c>
      <c r="H1109" s="18" t="s">
        <v>4361</v>
      </c>
      <c r="I1109" s="329"/>
      <c r="J1109" s="346">
        <v>8000000955</v>
      </c>
      <c r="K1109" s="24"/>
      <c r="L1109" s="24"/>
      <c r="M1109" s="24"/>
      <c r="N1109" s="340" t="s">
        <v>486</v>
      </c>
      <c r="O1109" s="334">
        <v>203553</v>
      </c>
      <c r="P1109" s="25" t="s">
        <v>386</v>
      </c>
      <c r="Q1109" s="127" t="s">
        <v>303</v>
      </c>
      <c r="R1109" s="232" t="s">
        <v>4362</v>
      </c>
      <c r="S1109" s="89" t="s">
        <v>743</v>
      </c>
      <c r="T1109" s="36" t="s">
        <v>19</v>
      </c>
      <c r="U1109" s="125"/>
      <c r="V1109" s="235" t="s">
        <v>4363</v>
      </c>
      <c r="W1109" s="151"/>
      <c r="X1109" s="88">
        <v>44083</v>
      </c>
      <c r="Y1109" s="130" t="s">
        <v>20</v>
      </c>
      <c r="Z1109" s="133" t="s">
        <v>60</v>
      </c>
      <c r="AA1109" s="133"/>
      <c r="AB1109" s="241">
        <v>266.75</v>
      </c>
      <c r="AC1109" s="134">
        <v>272.29000000000002</v>
      </c>
      <c r="AD1109" s="134"/>
      <c r="AE1109" s="403">
        <f t="shared" si="62"/>
        <v>72633.357499999998</v>
      </c>
      <c r="AF1109" s="132">
        <v>10</v>
      </c>
      <c r="AG1109" s="130" t="s">
        <v>5</v>
      </c>
      <c r="AH1109" s="130"/>
      <c r="AI1109" s="130" t="s">
        <v>100</v>
      </c>
      <c r="AJ1109" s="130"/>
      <c r="AK1109" s="130"/>
      <c r="AL1109" s="135" t="s">
        <v>4166</v>
      </c>
      <c r="AM1109" s="314"/>
      <c r="AN1109" s="26"/>
      <c r="AO1109" s="26"/>
      <c r="AP1109" s="26"/>
      <c r="AQ1109" s="26">
        <v>44092</v>
      </c>
      <c r="AR1109" s="24"/>
      <c r="AS1109" s="24"/>
      <c r="AT1109" s="24">
        <v>44095</v>
      </c>
      <c r="AU1109" s="418">
        <f t="shared" si="63"/>
        <v>9</v>
      </c>
      <c r="AV1109" s="418">
        <f t="shared" si="64"/>
        <v>2020</v>
      </c>
      <c r="AW1109" s="24"/>
      <c r="AX1109" s="28"/>
      <c r="AY1109" s="28" t="s">
        <v>4072</v>
      </c>
      <c r="AZ1109" s="132" t="s">
        <v>37</v>
      </c>
      <c r="BA1109" s="132"/>
      <c r="BB1109" s="24" t="s">
        <v>3291</v>
      </c>
      <c r="BC1109" s="135" t="s">
        <v>4364</v>
      </c>
      <c r="BD1109" s="24">
        <v>44054</v>
      </c>
      <c r="BE1109" s="135" t="s">
        <v>4344</v>
      </c>
      <c r="BF1109" s="135" t="s">
        <v>756</v>
      </c>
      <c r="BG1109" s="135" t="s">
        <v>64</v>
      </c>
      <c r="BH1109" s="135"/>
      <c r="BI1109" s="314" t="s">
        <v>124</v>
      </c>
      <c r="BJ1109" s="314" t="s">
        <v>138</v>
      </c>
      <c r="BK1109" s="24"/>
      <c r="BL1109" s="24"/>
      <c r="BM1109" s="24"/>
      <c r="BN1109" s="24"/>
      <c r="BO1109" s="24"/>
      <c r="BP1109" s="24"/>
      <c r="BQ1109" s="24"/>
      <c r="BR1109" s="43"/>
      <c r="BS1109" s="24"/>
      <c r="BT1109" s="24"/>
      <c r="BU1109" s="24"/>
      <c r="BV1109" s="132" t="e">
        <f>IF(#REF!="COMPLETO","OK","PENDIENTES")</f>
        <v>#REF!</v>
      </c>
      <c r="BW1109" s="325"/>
      <c r="BX1109" s="325"/>
      <c r="BY1109" s="325"/>
      <c r="BZ1109" s="325"/>
      <c r="CA1109" s="325"/>
      <c r="CB1109" s="325"/>
      <c r="CC1109" s="258"/>
      <c r="CG1109" s="24" t="s">
        <v>105</v>
      </c>
      <c r="CH1109" s="24"/>
      <c r="CI1109" s="24"/>
      <c r="CJ1109" s="24"/>
    </row>
    <row r="1110" spans="1:88" ht="15" customHeight="1">
      <c r="A1110" s="18">
        <v>2020</v>
      </c>
      <c r="B1110" s="18" t="str">
        <f>+INDEX(BDD!F:F,MATCH(P1110,BDD!D:D,0))&amp;"-"&amp;INDEX(BDD!E:E,MATCH(P1110,BDD!D:D,0))</f>
        <v>O-S</v>
      </c>
      <c r="C1110" s="360" t="s">
        <v>484</v>
      </c>
      <c r="D1110" s="150" t="s">
        <v>77</v>
      </c>
      <c r="E1110" s="132"/>
      <c r="F1110" s="24"/>
      <c r="G1110" s="346">
        <v>8000001012</v>
      </c>
      <c r="H1110" s="18" t="s">
        <v>4365</v>
      </c>
      <c r="I1110" s="329"/>
      <c r="J1110" s="346">
        <v>8000001012</v>
      </c>
      <c r="K1110" s="24"/>
      <c r="L1110" s="24"/>
      <c r="M1110" s="24"/>
      <c r="N1110" s="340" t="s">
        <v>486</v>
      </c>
      <c r="O1110" s="334">
        <v>203553</v>
      </c>
      <c r="P1110" s="25" t="s">
        <v>386</v>
      </c>
      <c r="Q1110" s="127" t="s">
        <v>303</v>
      </c>
      <c r="R1110" s="232" t="s">
        <v>4362</v>
      </c>
      <c r="S1110" s="89" t="s">
        <v>743</v>
      </c>
      <c r="T1110" s="36" t="s">
        <v>19</v>
      </c>
      <c r="U1110" s="125"/>
      <c r="V1110" s="235" t="s">
        <v>4363</v>
      </c>
      <c r="W1110" s="151"/>
      <c r="X1110" s="88">
        <v>44083</v>
      </c>
      <c r="Y1110" s="130" t="s">
        <v>20</v>
      </c>
      <c r="Z1110" s="133" t="s">
        <v>60</v>
      </c>
      <c r="AA1110" s="133"/>
      <c r="AB1110" s="241">
        <v>26.675000000000001</v>
      </c>
      <c r="AC1110" s="134">
        <v>272.29000000000002</v>
      </c>
      <c r="AD1110" s="134"/>
      <c r="AE1110" s="403">
        <f t="shared" si="62"/>
        <v>7263.3357500000011</v>
      </c>
      <c r="AF1110" s="132">
        <v>1</v>
      </c>
      <c r="AG1110" s="130" t="s">
        <v>5</v>
      </c>
      <c r="AH1110" s="130"/>
      <c r="AI1110" s="130" t="s">
        <v>100</v>
      </c>
      <c r="AJ1110" s="130"/>
      <c r="AK1110" s="130"/>
      <c r="AL1110" s="135" t="s">
        <v>4166</v>
      </c>
      <c r="AM1110" s="314"/>
      <c r="AN1110" s="26"/>
      <c r="AO1110" s="26"/>
      <c r="AP1110" s="26"/>
      <c r="AQ1110" s="26">
        <v>44099</v>
      </c>
      <c r="AR1110" s="24"/>
      <c r="AS1110" s="24"/>
      <c r="AT1110" s="24">
        <v>44104</v>
      </c>
      <c r="AU1110" s="418">
        <f t="shared" si="63"/>
        <v>9</v>
      </c>
      <c r="AV1110" s="418">
        <f t="shared" si="64"/>
        <v>2020</v>
      </c>
      <c r="AW1110" s="24"/>
      <c r="AX1110" s="28"/>
      <c r="AY1110" s="28" t="s">
        <v>4072</v>
      </c>
      <c r="AZ1110" s="132" t="s">
        <v>37</v>
      </c>
      <c r="BA1110" s="132"/>
      <c r="BB1110" s="24" t="s">
        <v>3291</v>
      </c>
      <c r="BC1110" s="135" t="s">
        <v>4366</v>
      </c>
      <c r="BD1110" s="24">
        <v>44054</v>
      </c>
      <c r="BE1110" s="135" t="s">
        <v>4344</v>
      </c>
      <c r="BF1110" s="135" t="s">
        <v>2329</v>
      </c>
      <c r="BG1110" s="135" t="s">
        <v>64</v>
      </c>
      <c r="BH1110" s="135"/>
      <c r="BI1110" s="314" t="s">
        <v>124</v>
      </c>
      <c r="BJ1110" s="314" t="s">
        <v>138</v>
      </c>
      <c r="BK1110" s="24"/>
      <c r="BL1110" s="24"/>
      <c r="BM1110" s="24"/>
      <c r="BN1110" s="24"/>
      <c r="BO1110" s="24"/>
      <c r="BP1110" s="24"/>
      <c r="BQ1110" s="24"/>
      <c r="BR1110" s="43"/>
      <c r="BS1110" s="24"/>
      <c r="BT1110" s="24"/>
      <c r="BU1110" s="24"/>
      <c r="BV1110" s="132" t="e">
        <f>IF(#REF!="COMPLETO","OK","PENDIENTES")</f>
        <v>#REF!</v>
      </c>
      <c r="BW1110" s="325"/>
      <c r="BX1110" s="325"/>
      <c r="BY1110" s="325"/>
      <c r="BZ1110" s="325"/>
      <c r="CA1110" s="325"/>
      <c r="CB1110" s="325"/>
      <c r="CC1110" s="258"/>
      <c r="CG1110" s="24" t="s">
        <v>105</v>
      </c>
      <c r="CH1110" s="24"/>
      <c r="CI1110" s="24"/>
      <c r="CJ1110" s="24"/>
    </row>
    <row r="1111" spans="1:88" ht="15" customHeight="1">
      <c r="A1111" s="18">
        <v>2020</v>
      </c>
      <c r="B1111" s="18" t="str">
        <f>+INDEX(BDD!F:F,MATCH(P1111,BDD!D:D,0))&amp;"-"&amp;INDEX(BDD!E:E,MATCH(P1111,BDD!D:D,0))</f>
        <v>O-S</v>
      </c>
      <c r="C1111" s="360" t="s">
        <v>484</v>
      </c>
      <c r="D1111" s="150" t="s">
        <v>77</v>
      </c>
      <c r="E1111" s="132"/>
      <c r="F1111" s="24"/>
      <c r="G1111" s="346">
        <v>8000000956</v>
      </c>
      <c r="H1111" s="18" t="s">
        <v>4367</v>
      </c>
      <c r="I1111" s="329"/>
      <c r="J1111" s="346">
        <v>8000000956</v>
      </c>
      <c r="K1111" s="24"/>
      <c r="L1111" s="24"/>
      <c r="M1111" s="24"/>
      <c r="N1111" s="340" t="s">
        <v>486</v>
      </c>
      <c r="O1111" s="334">
        <v>203553</v>
      </c>
      <c r="P1111" s="25" t="s">
        <v>386</v>
      </c>
      <c r="Q1111" s="127" t="s">
        <v>303</v>
      </c>
      <c r="R1111" s="232" t="s">
        <v>4368</v>
      </c>
      <c r="S1111" s="89" t="s">
        <v>743</v>
      </c>
      <c r="T1111" s="36" t="s">
        <v>19</v>
      </c>
      <c r="U1111" s="125"/>
      <c r="V1111" s="147" t="s">
        <v>4369</v>
      </c>
      <c r="W1111" s="129"/>
      <c r="X1111" s="88">
        <v>44083</v>
      </c>
      <c r="Y1111" s="130" t="s">
        <v>20</v>
      </c>
      <c r="Z1111" s="133" t="s">
        <v>60</v>
      </c>
      <c r="AA1111" s="133"/>
      <c r="AB1111" s="272">
        <v>79.275000000000006</v>
      </c>
      <c r="AC1111" s="134">
        <v>301.95999999999998</v>
      </c>
      <c r="AD1111" s="134"/>
      <c r="AE1111" s="403">
        <f t="shared" si="62"/>
        <v>23937.879000000001</v>
      </c>
      <c r="AF1111" s="132">
        <v>3</v>
      </c>
      <c r="AG1111" s="130" t="s">
        <v>5</v>
      </c>
      <c r="AH1111" s="130"/>
      <c r="AI1111" s="130" t="s">
        <v>100</v>
      </c>
      <c r="AJ1111" s="130"/>
      <c r="AK1111" s="130"/>
      <c r="AL1111" s="135" t="s">
        <v>4166</v>
      </c>
      <c r="AM1111" s="314"/>
      <c r="AN1111" s="26"/>
      <c r="AO1111" s="26"/>
      <c r="AP1111" s="26"/>
      <c r="AQ1111" s="26">
        <v>44119</v>
      </c>
      <c r="AR1111" s="24"/>
      <c r="AS1111" s="24"/>
      <c r="AT1111" s="24">
        <v>44130</v>
      </c>
      <c r="AU1111" s="418">
        <f t="shared" si="63"/>
        <v>10</v>
      </c>
      <c r="AV1111" s="418">
        <f t="shared" si="64"/>
        <v>2020</v>
      </c>
      <c r="AW1111" s="24"/>
      <c r="AX1111" s="28"/>
      <c r="AY1111" s="28" t="s">
        <v>4072</v>
      </c>
      <c r="AZ1111" s="132" t="s">
        <v>62</v>
      </c>
      <c r="BA1111" s="132"/>
      <c r="BB1111" s="24" t="s">
        <v>3264</v>
      </c>
      <c r="BC1111" s="135" t="s">
        <v>4370</v>
      </c>
      <c r="BD1111" s="24">
        <v>44050</v>
      </c>
      <c r="BE1111" s="135" t="s">
        <v>4079</v>
      </c>
      <c r="BF1111" s="135" t="s">
        <v>1938</v>
      </c>
      <c r="BG1111" s="135" t="s">
        <v>29</v>
      </c>
      <c r="BH1111" s="135"/>
      <c r="BI1111" s="314" t="s">
        <v>124</v>
      </c>
      <c r="BJ1111" s="314" t="s">
        <v>143</v>
      </c>
      <c r="BK1111" s="24"/>
      <c r="BL1111" s="24"/>
      <c r="BM1111" s="24"/>
      <c r="BN1111" s="24"/>
      <c r="BO1111" s="24">
        <v>44132</v>
      </c>
      <c r="BP1111" s="24"/>
      <c r="BQ1111" s="24"/>
      <c r="BR1111" s="43"/>
      <c r="BS1111" s="24"/>
      <c r="BT1111" s="24"/>
      <c r="BU1111" s="24"/>
      <c r="BV1111" s="132" t="e">
        <f>IF(#REF!="COMPLETO","OK","PENDIENTES")</f>
        <v>#REF!</v>
      </c>
      <c r="BW1111" s="325"/>
      <c r="BX1111" s="325"/>
      <c r="BY1111" s="325"/>
      <c r="BZ1111" s="325"/>
      <c r="CA1111" s="325"/>
      <c r="CB1111" s="325"/>
      <c r="CC1111" s="258"/>
      <c r="CG1111" s="24" t="s">
        <v>105</v>
      </c>
      <c r="CH1111" s="24"/>
      <c r="CI1111" s="24"/>
      <c r="CJ1111" s="24"/>
    </row>
    <row r="1112" spans="1:88" ht="15" customHeight="1">
      <c r="A1112" s="18">
        <v>2020</v>
      </c>
      <c r="B1112" s="18" t="str">
        <f>+INDEX(BDD!F:F,MATCH(P1112,BDD!D:D,0))&amp;"-"&amp;INDEX(BDD!E:E,MATCH(P1112,BDD!D:D,0))</f>
        <v>O-S</v>
      </c>
      <c r="C1112" s="360" t="s">
        <v>484</v>
      </c>
      <c r="D1112" s="150" t="s">
        <v>77</v>
      </c>
      <c r="E1112" s="132"/>
      <c r="F1112" s="24"/>
      <c r="G1112" s="346">
        <v>8000001052</v>
      </c>
      <c r="H1112" s="18" t="s">
        <v>4371</v>
      </c>
      <c r="I1112" s="329"/>
      <c r="J1112" s="346">
        <v>8000001052</v>
      </c>
      <c r="K1112" s="24"/>
      <c r="L1112" s="24"/>
      <c r="M1112" s="24"/>
      <c r="N1112" s="340" t="s">
        <v>486</v>
      </c>
      <c r="O1112" s="334">
        <v>203553</v>
      </c>
      <c r="P1112" s="25" t="s">
        <v>386</v>
      </c>
      <c r="Q1112" s="127" t="s">
        <v>303</v>
      </c>
      <c r="R1112" s="232" t="s">
        <v>4368</v>
      </c>
      <c r="S1112" s="89" t="s">
        <v>743</v>
      </c>
      <c r="T1112" s="36" t="s">
        <v>19</v>
      </c>
      <c r="U1112" s="125"/>
      <c r="V1112" s="147" t="s">
        <v>4369</v>
      </c>
      <c r="W1112" s="129"/>
      <c r="X1112" s="88">
        <v>44083</v>
      </c>
      <c r="Y1112" s="130" t="s">
        <v>20</v>
      </c>
      <c r="Z1112" s="133" t="s">
        <v>60</v>
      </c>
      <c r="AA1112" s="133"/>
      <c r="AB1112" s="272">
        <v>26.425000000000001</v>
      </c>
      <c r="AC1112" s="134">
        <v>301.95999999999998</v>
      </c>
      <c r="AD1112" s="134"/>
      <c r="AE1112" s="403">
        <f t="shared" si="62"/>
        <v>7979.2929999999997</v>
      </c>
      <c r="AF1112" s="132">
        <v>1</v>
      </c>
      <c r="AG1112" s="130" t="s">
        <v>5</v>
      </c>
      <c r="AH1112" s="130"/>
      <c r="AI1112" s="130" t="s">
        <v>100</v>
      </c>
      <c r="AJ1112" s="130"/>
      <c r="AK1112" s="130"/>
      <c r="AL1112" s="135" t="s">
        <v>4166</v>
      </c>
      <c r="AM1112" s="314"/>
      <c r="AN1112" s="26"/>
      <c r="AO1112" s="26"/>
      <c r="AP1112" s="26"/>
      <c r="AQ1112" s="26">
        <v>44119</v>
      </c>
      <c r="AR1112" s="24"/>
      <c r="AS1112" s="24"/>
      <c r="AT1112" s="24">
        <v>44126</v>
      </c>
      <c r="AU1112" s="418">
        <f t="shared" si="63"/>
        <v>10</v>
      </c>
      <c r="AV1112" s="418">
        <f t="shared" si="64"/>
        <v>2020</v>
      </c>
      <c r="AW1112" s="24"/>
      <c r="AX1112" s="28"/>
      <c r="AY1112" s="28" t="s">
        <v>4072</v>
      </c>
      <c r="AZ1112" s="132" t="s">
        <v>62</v>
      </c>
      <c r="BA1112" s="132"/>
      <c r="BB1112" s="24" t="s">
        <v>3264</v>
      </c>
      <c r="BC1112" s="135" t="s">
        <v>4372</v>
      </c>
      <c r="BD1112" s="24">
        <v>44050</v>
      </c>
      <c r="BE1112" s="135" t="s">
        <v>4079</v>
      </c>
      <c r="BF1112" s="135" t="s">
        <v>1938</v>
      </c>
      <c r="BG1112" s="135" t="s">
        <v>29</v>
      </c>
      <c r="BH1112" s="135"/>
      <c r="BI1112" s="314" t="s">
        <v>124</v>
      </c>
      <c r="BJ1112" s="314" t="s">
        <v>143</v>
      </c>
      <c r="BK1112" s="24"/>
      <c r="BL1112" s="24"/>
      <c r="BM1112" s="24"/>
      <c r="BN1112" s="24"/>
      <c r="BO1112" s="24">
        <v>44125</v>
      </c>
      <c r="BP1112" s="24"/>
      <c r="BQ1112" s="24"/>
      <c r="BR1112" s="43"/>
      <c r="BS1112" s="24"/>
      <c r="BT1112" s="24"/>
      <c r="BU1112" s="24"/>
      <c r="BV1112" s="132" t="e">
        <f>IF(#REF!="COMPLETO","OK","PENDIENTES")</f>
        <v>#REF!</v>
      </c>
      <c r="BW1112" s="325"/>
      <c r="BX1112" s="325"/>
      <c r="BY1112" s="325"/>
      <c r="BZ1112" s="325"/>
      <c r="CA1112" s="325"/>
      <c r="CB1112" s="325"/>
      <c r="CC1112" s="258"/>
      <c r="CG1112" s="24" t="s">
        <v>105</v>
      </c>
      <c r="CH1112" s="24"/>
      <c r="CI1112" s="24"/>
      <c r="CJ1112" s="24"/>
    </row>
    <row r="1113" spans="1:88" ht="15" customHeight="1">
      <c r="A1113" s="18">
        <v>2020</v>
      </c>
      <c r="B1113" s="18" t="str">
        <f>+INDEX(BDD!F:F,MATCH(P1113,BDD!D:D,0))&amp;"-"&amp;INDEX(BDD!E:E,MATCH(P1113,BDD!D:D,0))</f>
        <v>O-S</v>
      </c>
      <c r="C1113" s="360" t="s">
        <v>484</v>
      </c>
      <c r="D1113" s="150" t="s">
        <v>77</v>
      </c>
      <c r="E1113" s="132"/>
      <c r="F1113" s="24"/>
      <c r="G1113" s="346">
        <v>8000000957</v>
      </c>
      <c r="H1113" s="18" t="s">
        <v>4373</v>
      </c>
      <c r="I1113" s="329"/>
      <c r="J1113" s="346">
        <v>8000000957</v>
      </c>
      <c r="K1113" s="24"/>
      <c r="L1113" s="24"/>
      <c r="M1113" s="24"/>
      <c r="N1113" s="340" t="s">
        <v>486</v>
      </c>
      <c r="O1113" s="334">
        <v>208063</v>
      </c>
      <c r="P1113" s="25" t="s">
        <v>381</v>
      </c>
      <c r="Q1113" s="127" t="s">
        <v>303</v>
      </c>
      <c r="R1113" s="232" t="s">
        <v>4374</v>
      </c>
      <c r="S1113" s="89" t="s">
        <v>743</v>
      </c>
      <c r="T1113" s="36" t="s">
        <v>19</v>
      </c>
      <c r="U1113" s="125"/>
      <c r="V1113" s="147" t="s">
        <v>4375</v>
      </c>
      <c r="W1113" s="129"/>
      <c r="X1113" s="88">
        <v>44079</v>
      </c>
      <c r="Y1113" s="130" t="s">
        <v>20</v>
      </c>
      <c r="Z1113" s="133" t="s">
        <v>60</v>
      </c>
      <c r="AA1113" s="133"/>
      <c r="AB1113" s="257">
        <v>401.48500000000001</v>
      </c>
      <c r="AC1113" s="134">
        <v>532.55999999999995</v>
      </c>
      <c r="AD1113" s="134"/>
      <c r="AE1113" s="403">
        <f t="shared" si="62"/>
        <v>213814.85159999999</v>
      </c>
      <c r="AF1113" s="132">
        <v>15</v>
      </c>
      <c r="AG1113" s="130" t="s">
        <v>5</v>
      </c>
      <c r="AH1113" s="130"/>
      <c r="AI1113" s="130" t="s">
        <v>100</v>
      </c>
      <c r="AJ1113" s="130"/>
      <c r="AK1113" s="130"/>
      <c r="AL1113" s="135" t="s">
        <v>4166</v>
      </c>
      <c r="AM1113" s="314"/>
      <c r="AN1113" s="26"/>
      <c r="AO1113" s="26"/>
      <c r="AP1113" s="26"/>
      <c r="AQ1113" s="26">
        <v>44119</v>
      </c>
      <c r="AR1113" s="24"/>
      <c r="AS1113" s="24"/>
      <c r="AT1113" s="24">
        <v>44130</v>
      </c>
      <c r="AU1113" s="418">
        <f t="shared" si="63"/>
        <v>10</v>
      </c>
      <c r="AV1113" s="418">
        <f t="shared" si="64"/>
        <v>2020</v>
      </c>
      <c r="AW1113" s="24"/>
      <c r="AX1113" s="28"/>
      <c r="AY1113" s="28" t="s">
        <v>4072</v>
      </c>
      <c r="AZ1113" s="132" t="s">
        <v>62</v>
      </c>
      <c r="BA1113" s="132"/>
      <c r="BB1113" s="24" t="s">
        <v>3264</v>
      </c>
      <c r="BC1113" s="135" t="s">
        <v>4376</v>
      </c>
      <c r="BD1113" s="24">
        <v>44061</v>
      </c>
      <c r="BE1113" s="135" t="s">
        <v>4344</v>
      </c>
      <c r="BF1113" s="135" t="s">
        <v>1938</v>
      </c>
      <c r="BG1113" s="135" t="s">
        <v>29</v>
      </c>
      <c r="BH1113" s="135"/>
      <c r="BI1113" s="314" t="s">
        <v>124</v>
      </c>
      <c r="BJ1113" s="314" t="s">
        <v>143</v>
      </c>
      <c r="BK1113" s="24"/>
      <c r="BL1113" s="24"/>
      <c r="BM1113" s="24"/>
      <c r="BN1113" s="24"/>
      <c r="BO1113" s="24">
        <v>44132</v>
      </c>
      <c r="BP1113" s="24"/>
      <c r="BQ1113" s="24"/>
      <c r="BR1113" s="43"/>
      <c r="BS1113" s="24"/>
      <c r="BT1113" s="24"/>
      <c r="BU1113" s="24"/>
      <c r="BV1113" s="132" t="e">
        <f>IF(#REF!="COMPLETO","OK","PENDIENTES")</f>
        <v>#REF!</v>
      </c>
      <c r="BW1113" s="325"/>
      <c r="BX1113" s="325"/>
      <c r="BY1113" s="325"/>
      <c r="BZ1113" s="325"/>
      <c r="CA1113" s="325"/>
      <c r="CB1113" s="325"/>
      <c r="CC1113" s="258"/>
      <c r="CG1113" s="24" t="s">
        <v>105</v>
      </c>
      <c r="CH1113" s="24"/>
      <c r="CI1113" s="24"/>
      <c r="CJ1113" s="24"/>
    </row>
    <row r="1114" spans="1:88" ht="15" customHeight="1">
      <c r="A1114" s="18">
        <v>2020</v>
      </c>
      <c r="B1114" s="18" t="str">
        <f>+INDEX(BDD!F:F,MATCH(P1114,BDD!D:D,0))&amp;"-"&amp;INDEX(BDD!E:E,MATCH(P1114,BDD!D:D,0))</f>
        <v>T-S</v>
      </c>
      <c r="C1114" s="360" t="s">
        <v>484</v>
      </c>
      <c r="D1114" s="150" t="s">
        <v>77</v>
      </c>
      <c r="E1114" s="132"/>
      <c r="F1114" s="24"/>
      <c r="G1114" s="346">
        <v>8000000975</v>
      </c>
      <c r="H1114" s="18" t="s">
        <v>4377</v>
      </c>
      <c r="I1114" s="329"/>
      <c r="J1114" s="346">
        <v>8000000975</v>
      </c>
      <c r="K1114" s="24"/>
      <c r="L1114" s="24"/>
      <c r="M1114" s="24"/>
      <c r="N1114" s="340" t="s">
        <v>486</v>
      </c>
      <c r="O1114" s="334">
        <v>208067</v>
      </c>
      <c r="P1114" s="25" t="s">
        <v>383</v>
      </c>
      <c r="Q1114" s="127" t="s">
        <v>303</v>
      </c>
      <c r="R1114" s="232" t="s">
        <v>4378</v>
      </c>
      <c r="S1114" s="89" t="s">
        <v>743</v>
      </c>
      <c r="T1114" s="36">
        <v>30</v>
      </c>
      <c r="U1114" s="125" t="s">
        <v>118</v>
      </c>
      <c r="V1114" s="147" t="s">
        <v>4379</v>
      </c>
      <c r="W1114" s="129"/>
      <c r="X1114" s="88">
        <v>44104</v>
      </c>
      <c r="Y1114" s="130" t="s">
        <v>20</v>
      </c>
      <c r="Z1114" s="133" t="s">
        <v>60</v>
      </c>
      <c r="AA1114" s="133"/>
      <c r="AB1114" s="241">
        <v>50</v>
      </c>
      <c r="AC1114" s="134">
        <v>235.1</v>
      </c>
      <c r="AD1114" s="134"/>
      <c r="AE1114" s="403">
        <f t="shared" si="62"/>
        <v>11755</v>
      </c>
      <c r="AF1114" s="132">
        <v>2</v>
      </c>
      <c r="AG1114" s="130" t="s">
        <v>5</v>
      </c>
      <c r="AH1114" s="130"/>
      <c r="AI1114" s="130" t="s">
        <v>34</v>
      </c>
      <c r="AJ1114" s="130"/>
      <c r="AK1114" s="130"/>
      <c r="AL1114" s="135" t="s">
        <v>4166</v>
      </c>
      <c r="AM1114" s="314"/>
      <c r="AN1114" s="26"/>
      <c r="AO1114" s="26"/>
      <c r="AP1114" s="26"/>
      <c r="AQ1114" s="26">
        <v>44098</v>
      </c>
      <c r="AR1114" s="24"/>
      <c r="AS1114" s="24"/>
      <c r="AT1114" s="24">
        <v>44112</v>
      </c>
      <c r="AU1114" s="418">
        <f t="shared" si="63"/>
        <v>10</v>
      </c>
      <c r="AV1114" s="418">
        <f t="shared" si="64"/>
        <v>2020</v>
      </c>
      <c r="AW1114" s="24"/>
      <c r="AX1114" s="28"/>
      <c r="AY1114" s="28" t="s">
        <v>3415</v>
      </c>
      <c r="AZ1114" s="132" t="s">
        <v>62</v>
      </c>
      <c r="BA1114" s="132"/>
      <c r="BB1114" s="24" t="s">
        <v>3264</v>
      </c>
      <c r="BC1114" s="135" t="s">
        <v>4380</v>
      </c>
      <c r="BD1114" s="24">
        <v>44079</v>
      </c>
      <c r="BE1114" s="135" t="s">
        <v>4381</v>
      </c>
      <c r="BF1114" s="135" t="s">
        <v>4382</v>
      </c>
      <c r="BG1114" s="135" t="s">
        <v>53</v>
      </c>
      <c r="BH1114" s="135"/>
      <c r="BI1114" s="314" t="s">
        <v>124</v>
      </c>
      <c r="BJ1114" s="314" t="s">
        <v>148</v>
      </c>
      <c r="BK1114" s="24"/>
      <c r="BL1114" s="24"/>
      <c r="BM1114" s="24"/>
      <c r="BN1114" s="24"/>
      <c r="BO1114" s="24"/>
      <c r="BP1114" s="24"/>
      <c r="BQ1114" s="24"/>
      <c r="BR1114" s="43"/>
      <c r="BS1114" s="24"/>
      <c r="BT1114" s="24"/>
      <c r="BU1114" s="24"/>
      <c r="BV1114" s="132" t="e">
        <f>IF(#REF!="COMPLETO","OK","PENDIENTES")</f>
        <v>#REF!</v>
      </c>
      <c r="BW1114" s="325"/>
      <c r="BX1114" s="325"/>
      <c r="BY1114" s="325"/>
      <c r="BZ1114" s="325"/>
      <c r="CA1114" s="325"/>
      <c r="CB1114" s="325"/>
      <c r="CC1114" s="258"/>
      <c r="CG1114" s="24" t="s">
        <v>105</v>
      </c>
      <c r="CH1114" s="24"/>
      <c r="CI1114" s="24"/>
      <c r="CJ1114" s="24"/>
    </row>
    <row r="1115" spans="1:88" ht="15" customHeight="1">
      <c r="A1115" s="18">
        <v>2020</v>
      </c>
      <c r="B1115" s="18" t="str">
        <f>+INDEX(BDD!F:F,MATCH(P1115,BDD!D:D,0))&amp;"-"&amp;INDEX(BDD!E:E,MATCH(P1115,BDD!D:D,0))</f>
        <v>T-S</v>
      </c>
      <c r="C1115" s="360" t="s">
        <v>484</v>
      </c>
      <c r="D1115" s="150" t="s">
        <v>77</v>
      </c>
      <c r="E1115" s="132"/>
      <c r="F1115" s="24"/>
      <c r="G1115" s="346">
        <v>8000000952</v>
      </c>
      <c r="H1115" s="18" t="s">
        <v>4383</v>
      </c>
      <c r="I1115" s="329"/>
      <c r="J1115" s="346">
        <v>8000000952</v>
      </c>
      <c r="K1115" s="24"/>
      <c r="L1115" s="24"/>
      <c r="M1115" s="24"/>
      <c r="N1115" s="340" t="s">
        <v>486</v>
      </c>
      <c r="O1115" s="334">
        <v>208067</v>
      </c>
      <c r="P1115" s="25" t="s">
        <v>383</v>
      </c>
      <c r="Q1115" s="127" t="s">
        <v>303</v>
      </c>
      <c r="R1115" s="232" t="s">
        <v>4384</v>
      </c>
      <c r="S1115" s="89" t="s">
        <v>743</v>
      </c>
      <c r="T1115" s="36">
        <v>30</v>
      </c>
      <c r="U1115" s="125" t="s">
        <v>118</v>
      </c>
      <c r="V1115" s="147" t="s">
        <v>4385</v>
      </c>
      <c r="W1115" s="129"/>
      <c r="X1115" s="88">
        <v>44099</v>
      </c>
      <c r="Y1115" s="130" t="s">
        <v>20</v>
      </c>
      <c r="Z1115" s="133" t="s">
        <v>60</v>
      </c>
      <c r="AA1115" s="133"/>
      <c r="AB1115" s="241">
        <v>600</v>
      </c>
      <c r="AC1115" s="134">
        <v>249.9</v>
      </c>
      <c r="AD1115" s="134"/>
      <c r="AE1115" s="403">
        <f t="shared" si="62"/>
        <v>149940</v>
      </c>
      <c r="AF1115" s="132">
        <v>24</v>
      </c>
      <c r="AG1115" s="130" t="s">
        <v>5</v>
      </c>
      <c r="AH1115" s="130"/>
      <c r="AI1115" s="130" t="s">
        <v>34</v>
      </c>
      <c r="AJ1115" s="130"/>
      <c r="AK1115" s="130"/>
      <c r="AL1115" s="135" t="s">
        <v>4166</v>
      </c>
      <c r="AM1115" s="314"/>
      <c r="AN1115" s="26"/>
      <c r="AO1115" s="26"/>
      <c r="AP1115" s="26"/>
      <c r="AQ1115" s="26">
        <v>44078</v>
      </c>
      <c r="AR1115" s="24"/>
      <c r="AS1115" s="24"/>
      <c r="AT1115" s="24">
        <v>44082</v>
      </c>
      <c r="AU1115" s="418">
        <f t="shared" si="63"/>
        <v>9</v>
      </c>
      <c r="AV1115" s="418">
        <f t="shared" si="64"/>
        <v>2020</v>
      </c>
      <c r="AW1115" s="24"/>
      <c r="AX1115" s="28"/>
      <c r="AY1115" s="28" t="s">
        <v>3415</v>
      </c>
      <c r="AZ1115" s="132" t="s">
        <v>37</v>
      </c>
      <c r="BA1115" s="132"/>
      <c r="BB1115" s="24" t="s">
        <v>3291</v>
      </c>
      <c r="BC1115" s="135" t="s">
        <v>4386</v>
      </c>
      <c r="BD1115" s="24">
        <v>44069</v>
      </c>
      <c r="BE1115" s="135" t="s">
        <v>3098</v>
      </c>
      <c r="BF1115" s="135" t="s">
        <v>3098</v>
      </c>
      <c r="BG1115" s="135" t="s">
        <v>29</v>
      </c>
      <c r="BH1115" s="135"/>
      <c r="BI1115" s="314" t="s">
        <v>124</v>
      </c>
      <c r="BJ1115" s="314" t="s">
        <v>148</v>
      </c>
      <c r="BK1115" s="24"/>
      <c r="BL1115" s="24"/>
      <c r="BM1115" s="24"/>
      <c r="BN1115" s="24"/>
      <c r="BO1115" s="24"/>
      <c r="BP1115" s="24"/>
      <c r="BQ1115" s="24"/>
      <c r="BR1115" s="43"/>
      <c r="BS1115" s="24"/>
      <c r="BT1115" s="24"/>
      <c r="BU1115" s="24"/>
      <c r="BV1115" s="132" t="e">
        <f>IF(#REF!="COMPLETO","OK","PENDIENTES")</f>
        <v>#REF!</v>
      </c>
      <c r="BW1115" s="325"/>
      <c r="BX1115" s="325"/>
      <c r="BY1115" s="325"/>
      <c r="BZ1115" s="325"/>
      <c r="CA1115" s="325"/>
      <c r="CB1115" s="325"/>
      <c r="CC1115" s="258"/>
      <c r="CG1115" s="24" t="s">
        <v>105</v>
      </c>
      <c r="CH1115" s="24"/>
      <c r="CI1115" s="24"/>
      <c r="CJ1115" s="24"/>
    </row>
    <row r="1116" spans="1:88" ht="15" customHeight="1">
      <c r="A1116" s="18">
        <v>2020</v>
      </c>
      <c r="B1116" s="18" t="str">
        <f>+INDEX(BDD!F:F,MATCH(P1116,BDD!D:D,0))&amp;"-"&amp;INDEX(BDD!E:E,MATCH(P1116,BDD!D:D,0))</f>
        <v>O-S</v>
      </c>
      <c r="C1116" s="360" t="s">
        <v>484</v>
      </c>
      <c r="D1116" s="150" t="s">
        <v>77</v>
      </c>
      <c r="E1116" s="132"/>
      <c r="F1116" s="24"/>
      <c r="G1116" s="346">
        <v>8000000967</v>
      </c>
      <c r="H1116" s="18" t="s">
        <v>4387</v>
      </c>
      <c r="I1116" s="329"/>
      <c r="J1116" s="346">
        <v>8000000967</v>
      </c>
      <c r="K1116" s="24"/>
      <c r="L1116" s="24"/>
      <c r="M1116" s="24"/>
      <c r="N1116" s="340" t="s">
        <v>486</v>
      </c>
      <c r="O1116" s="334">
        <v>208061</v>
      </c>
      <c r="P1116" s="25" t="s">
        <v>379</v>
      </c>
      <c r="Q1116" s="127" t="s">
        <v>303</v>
      </c>
      <c r="R1116" s="232" t="s">
        <v>4388</v>
      </c>
      <c r="S1116" s="89" t="s">
        <v>743</v>
      </c>
      <c r="T1116" s="36" t="s">
        <v>19</v>
      </c>
      <c r="U1116" s="125"/>
      <c r="V1116" s="147" t="s">
        <v>4389</v>
      </c>
      <c r="W1116" s="129"/>
      <c r="X1116" s="88">
        <v>44083</v>
      </c>
      <c r="Y1116" s="130" t="s">
        <v>20</v>
      </c>
      <c r="Z1116" s="133" t="s">
        <v>60</v>
      </c>
      <c r="AA1116" s="133"/>
      <c r="AB1116" s="241">
        <v>802.95</v>
      </c>
      <c r="AC1116" s="134">
        <v>362.84</v>
      </c>
      <c r="AD1116" s="134"/>
      <c r="AE1116" s="403">
        <f t="shared" si="62"/>
        <v>291342.37799999997</v>
      </c>
      <c r="AF1116" s="132">
        <v>30</v>
      </c>
      <c r="AG1116" s="130" t="s">
        <v>5</v>
      </c>
      <c r="AH1116" s="130"/>
      <c r="AI1116" s="130" t="s">
        <v>100</v>
      </c>
      <c r="AJ1116" s="130"/>
      <c r="AK1116" s="130"/>
      <c r="AL1116" s="135" t="s">
        <v>4166</v>
      </c>
      <c r="AM1116" s="314"/>
      <c r="AN1116" s="26"/>
      <c r="AO1116" s="26"/>
      <c r="AP1116" s="26"/>
      <c r="AQ1116" s="26">
        <v>44104</v>
      </c>
      <c r="AR1116" s="24"/>
      <c r="AS1116" s="24"/>
      <c r="AT1116" s="24">
        <v>44117</v>
      </c>
      <c r="AU1116" s="418">
        <f t="shared" si="63"/>
        <v>10</v>
      </c>
      <c r="AV1116" s="418">
        <f t="shared" si="64"/>
        <v>2020</v>
      </c>
      <c r="AW1116" s="24"/>
      <c r="AX1116" s="28"/>
      <c r="AY1116" s="28" t="s">
        <v>4072</v>
      </c>
      <c r="AZ1116" s="132" t="s">
        <v>9</v>
      </c>
      <c r="BA1116" s="132"/>
      <c r="BB1116" s="24" t="s">
        <v>3519</v>
      </c>
      <c r="BC1116" s="135" t="s">
        <v>4390</v>
      </c>
      <c r="BD1116" s="24">
        <v>44068</v>
      </c>
      <c r="BE1116" s="135" t="s">
        <v>4391</v>
      </c>
      <c r="BF1116" s="135" t="s">
        <v>3640</v>
      </c>
      <c r="BG1116" s="135" t="s">
        <v>64</v>
      </c>
      <c r="BH1116" s="135"/>
      <c r="BI1116" s="314" t="s">
        <v>124</v>
      </c>
      <c r="BJ1116" s="314" t="s">
        <v>138</v>
      </c>
      <c r="BK1116" s="24"/>
      <c r="BL1116" s="24"/>
      <c r="BM1116" s="24"/>
      <c r="BN1116" s="24"/>
      <c r="BO1116" s="24">
        <v>44117</v>
      </c>
      <c r="BP1116" s="24"/>
      <c r="BQ1116" s="24"/>
      <c r="BR1116" s="43"/>
      <c r="BS1116" s="24"/>
      <c r="BT1116" s="24"/>
      <c r="BU1116" s="24"/>
      <c r="BV1116" s="132" t="e">
        <f>IF(#REF!="COMPLETO","OK","PENDIENTES")</f>
        <v>#REF!</v>
      </c>
      <c r="BW1116" s="325"/>
      <c r="BX1116" s="325"/>
      <c r="BY1116" s="325"/>
      <c r="BZ1116" s="325"/>
      <c r="CA1116" s="325"/>
      <c r="CB1116" s="325"/>
      <c r="CC1116" s="258"/>
      <c r="CG1116" s="24" t="s">
        <v>105</v>
      </c>
      <c r="CH1116" s="24"/>
      <c r="CI1116" s="24"/>
      <c r="CJ1116" s="24"/>
    </row>
    <row r="1117" spans="1:88" ht="15" customHeight="1">
      <c r="A1117" s="18">
        <v>2020</v>
      </c>
      <c r="B1117" s="18" t="str">
        <f>+INDEX(BDD!F:F,MATCH(P1117,BDD!D:D,0))&amp;"-"&amp;INDEX(BDD!E:E,MATCH(P1117,BDD!D:D,0))</f>
        <v>O-S</v>
      </c>
      <c r="C1117" s="360" t="s">
        <v>484</v>
      </c>
      <c r="D1117" s="150" t="s">
        <v>77</v>
      </c>
      <c r="E1117" s="132"/>
      <c r="F1117" s="24"/>
      <c r="G1117" s="346">
        <v>8000001020</v>
      </c>
      <c r="H1117" s="18" t="s">
        <v>4392</v>
      </c>
      <c r="I1117" s="329"/>
      <c r="J1117" s="346">
        <v>8000001020</v>
      </c>
      <c r="K1117" s="24"/>
      <c r="L1117" s="24"/>
      <c r="M1117" s="24"/>
      <c r="N1117" s="340" t="s">
        <v>486</v>
      </c>
      <c r="O1117" s="334">
        <v>208061</v>
      </c>
      <c r="P1117" s="25" t="s">
        <v>379</v>
      </c>
      <c r="Q1117" s="127" t="s">
        <v>303</v>
      </c>
      <c r="R1117" s="232" t="s">
        <v>4393</v>
      </c>
      <c r="S1117" s="89" t="s">
        <v>743</v>
      </c>
      <c r="T1117" s="36" t="s">
        <v>19</v>
      </c>
      <c r="U1117" s="125"/>
      <c r="V1117" s="147" t="s">
        <v>4394</v>
      </c>
      <c r="W1117" s="129"/>
      <c r="X1117" s="88">
        <v>44083</v>
      </c>
      <c r="Y1117" s="130" t="s">
        <v>20</v>
      </c>
      <c r="Z1117" s="133" t="s">
        <v>60</v>
      </c>
      <c r="AA1117" s="133"/>
      <c r="AB1117" s="257">
        <v>401.52499999999998</v>
      </c>
      <c r="AC1117" s="134">
        <v>360.68</v>
      </c>
      <c r="AD1117" s="134"/>
      <c r="AE1117" s="403">
        <f t="shared" si="62"/>
        <v>144822.03699999998</v>
      </c>
      <c r="AF1117" s="132">
        <v>15</v>
      </c>
      <c r="AG1117" s="130" t="s">
        <v>5</v>
      </c>
      <c r="AH1117" s="130"/>
      <c r="AI1117" s="130" t="s">
        <v>100</v>
      </c>
      <c r="AJ1117" s="130"/>
      <c r="AK1117" s="130"/>
      <c r="AL1117" s="135" t="s">
        <v>4166</v>
      </c>
      <c r="AM1117" s="314"/>
      <c r="AN1117" s="26"/>
      <c r="AO1117" s="26"/>
      <c r="AP1117" s="26"/>
      <c r="AQ1117" s="26">
        <v>44106</v>
      </c>
      <c r="AR1117" s="24"/>
      <c r="AS1117" s="24"/>
      <c r="AT1117" s="24">
        <v>44110</v>
      </c>
      <c r="AU1117" s="418">
        <f t="shared" si="63"/>
        <v>10</v>
      </c>
      <c r="AV1117" s="418">
        <f t="shared" si="64"/>
        <v>2020</v>
      </c>
      <c r="AW1117" s="24"/>
      <c r="AX1117" s="28"/>
      <c r="AY1117" s="28" t="s">
        <v>4072</v>
      </c>
      <c r="AZ1117" s="132" t="s">
        <v>37</v>
      </c>
      <c r="BA1117" s="132"/>
      <c r="BB1117" s="24" t="s">
        <v>3291</v>
      </c>
      <c r="BC1117" s="135" t="s">
        <v>4395</v>
      </c>
      <c r="BD1117" s="24">
        <v>44068</v>
      </c>
      <c r="BE1117" s="135" t="s">
        <v>4079</v>
      </c>
      <c r="BF1117" s="135" t="s">
        <v>579</v>
      </c>
      <c r="BG1117" s="135" t="s">
        <v>64</v>
      </c>
      <c r="BH1117" s="135"/>
      <c r="BI1117" s="314" t="s">
        <v>124</v>
      </c>
      <c r="BJ1117" s="314" t="s">
        <v>138</v>
      </c>
      <c r="BK1117" s="24"/>
      <c r="BL1117" s="24"/>
      <c r="BM1117" s="24"/>
      <c r="BN1117" s="24"/>
      <c r="BO1117" s="24">
        <f>+AQ1117+15</f>
        <v>44121</v>
      </c>
      <c r="BP1117" s="24"/>
      <c r="BQ1117" s="24"/>
      <c r="BR1117" s="43"/>
      <c r="BS1117" s="24"/>
      <c r="BT1117" s="24"/>
      <c r="BU1117" s="24"/>
      <c r="BV1117" s="132" t="e">
        <f>IF(#REF!="COMPLETO","OK","PENDIENTES")</f>
        <v>#REF!</v>
      </c>
      <c r="BW1117" s="325"/>
      <c r="BX1117" s="325"/>
      <c r="BY1117" s="325"/>
      <c r="BZ1117" s="325"/>
      <c r="CA1117" s="325"/>
      <c r="CB1117" s="325"/>
      <c r="CC1117" s="258"/>
      <c r="CG1117" s="24" t="s">
        <v>105</v>
      </c>
      <c r="CH1117" s="24"/>
      <c r="CI1117" s="24"/>
      <c r="CJ1117" s="24"/>
    </row>
    <row r="1118" spans="1:88" ht="15" customHeight="1">
      <c r="A1118" s="18">
        <v>2020</v>
      </c>
      <c r="B1118" s="18" t="str">
        <f>+INDEX(BDD!F:F,MATCH(P1118,BDD!D:D,0))&amp;"-"&amp;INDEX(BDD!E:E,MATCH(P1118,BDD!D:D,0))</f>
        <v>T-S</v>
      </c>
      <c r="C1118" s="360" t="s">
        <v>484</v>
      </c>
      <c r="D1118" s="150" t="s">
        <v>77</v>
      </c>
      <c r="E1118" s="132"/>
      <c r="F1118" s="24"/>
      <c r="G1118" s="346">
        <v>8000000970</v>
      </c>
      <c r="H1118" s="18" t="s">
        <v>4396</v>
      </c>
      <c r="I1118" s="329"/>
      <c r="J1118" s="346">
        <v>8000000970</v>
      </c>
      <c r="K1118" s="24"/>
      <c r="L1118" s="24"/>
      <c r="M1118" s="24"/>
      <c r="N1118" s="340" t="s">
        <v>486</v>
      </c>
      <c r="O1118" s="334">
        <v>208067</v>
      </c>
      <c r="P1118" s="25" t="s">
        <v>383</v>
      </c>
      <c r="Q1118" s="127" t="s">
        <v>303</v>
      </c>
      <c r="R1118" s="232" t="s">
        <v>4397</v>
      </c>
      <c r="S1118" s="89" t="s">
        <v>1727</v>
      </c>
      <c r="T1118" s="36">
        <v>30</v>
      </c>
      <c r="U1118" s="125" t="s">
        <v>118</v>
      </c>
      <c r="V1118" s="147" t="s">
        <v>4398</v>
      </c>
      <c r="W1118" s="129"/>
      <c r="X1118" s="88">
        <v>44104</v>
      </c>
      <c r="Y1118" s="130" t="s">
        <v>20</v>
      </c>
      <c r="Z1118" s="133" t="s">
        <v>60</v>
      </c>
      <c r="AA1118" s="133"/>
      <c r="AB1118" s="241">
        <v>400</v>
      </c>
      <c r="AC1118" s="134">
        <v>235.1</v>
      </c>
      <c r="AD1118" s="134"/>
      <c r="AE1118" s="403">
        <f t="shared" si="62"/>
        <v>94040</v>
      </c>
      <c r="AF1118" s="132">
        <v>16</v>
      </c>
      <c r="AG1118" s="130" t="s">
        <v>5</v>
      </c>
      <c r="AH1118" s="130"/>
      <c r="AI1118" s="130" t="s">
        <v>34</v>
      </c>
      <c r="AJ1118" s="130"/>
      <c r="AK1118" s="130"/>
      <c r="AL1118" s="135" t="s">
        <v>4264</v>
      </c>
      <c r="AM1118" s="314"/>
      <c r="AN1118" s="26"/>
      <c r="AO1118" s="26"/>
      <c r="AP1118" s="26"/>
      <c r="AQ1118" s="26">
        <v>44083</v>
      </c>
      <c r="AR1118" s="24"/>
      <c r="AS1118" s="24"/>
      <c r="AT1118" s="24">
        <v>44093</v>
      </c>
      <c r="AU1118" s="418">
        <f t="shared" si="63"/>
        <v>9</v>
      </c>
      <c r="AV1118" s="418">
        <f t="shared" si="64"/>
        <v>2020</v>
      </c>
      <c r="AW1118" s="24"/>
      <c r="AX1118" s="28"/>
      <c r="AY1118" s="28" t="s">
        <v>3415</v>
      </c>
      <c r="AZ1118" s="132" t="s">
        <v>9</v>
      </c>
      <c r="BA1118" s="132"/>
      <c r="BB1118" s="24" t="s">
        <v>3264</v>
      </c>
      <c r="BC1118" s="135" t="s">
        <v>4399</v>
      </c>
      <c r="BD1118" s="24">
        <v>44078</v>
      </c>
      <c r="BE1118" s="135" t="s">
        <v>1806</v>
      </c>
      <c r="BF1118" s="135" t="s">
        <v>1806</v>
      </c>
      <c r="BG1118" s="135" t="s">
        <v>64</v>
      </c>
      <c r="BH1118" s="135"/>
      <c r="BI1118" s="314" t="s">
        <v>124</v>
      </c>
      <c r="BJ1118" s="314" t="s">
        <v>138</v>
      </c>
      <c r="BK1118" s="24"/>
      <c r="BL1118" s="24"/>
      <c r="BM1118" s="24"/>
      <c r="BN1118" s="24"/>
      <c r="BO1118" s="24"/>
      <c r="BP1118" s="24"/>
      <c r="BQ1118" s="24"/>
      <c r="BR1118" s="43"/>
      <c r="BS1118" s="24"/>
      <c r="BT1118" s="24"/>
      <c r="BU1118" s="24"/>
      <c r="BV1118" s="132" t="e">
        <f>IF(#REF!="COMPLETO","OK","PENDIENTES")</f>
        <v>#REF!</v>
      </c>
      <c r="BW1118" s="325"/>
      <c r="BX1118" s="325"/>
      <c r="BY1118" s="325"/>
      <c r="BZ1118" s="325"/>
      <c r="CA1118" s="325"/>
      <c r="CB1118" s="325"/>
      <c r="CC1118" s="258"/>
      <c r="CG1118" s="24" t="s">
        <v>105</v>
      </c>
      <c r="CH1118" s="24"/>
      <c r="CI1118" s="24"/>
      <c r="CJ1118" s="24"/>
    </row>
    <row r="1119" spans="1:88" ht="15" customHeight="1">
      <c r="A1119" s="18">
        <v>2020</v>
      </c>
      <c r="B1119" s="18" t="str">
        <f>+INDEX(BDD!F:F,MATCH(P1119,BDD!D:D,0))&amp;"-"&amp;INDEX(BDD!E:E,MATCH(P1119,BDD!D:D,0))</f>
        <v>T-S</v>
      </c>
      <c r="C1119" s="360" t="s">
        <v>484</v>
      </c>
      <c r="D1119" s="150" t="s">
        <v>77</v>
      </c>
      <c r="E1119" s="132"/>
      <c r="F1119" s="24"/>
      <c r="G1119" s="346">
        <v>8000000966</v>
      </c>
      <c r="H1119" s="18" t="s">
        <v>4400</v>
      </c>
      <c r="I1119" s="329"/>
      <c r="J1119" s="346">
        <v>8000000966</v>
      </c>
      <c r="K1119" s="24"/>
      <c r="L1119" s="24"/>
      <c r="M1119" s="24"/>
      <c r="N1119" s="340" t="s">
        <v>486</v>
      </c>
      <c r="O1119" s="334">
        <v>208067</v>
      </c>
      <c r="P1119" s="25" t="s">
        <v>383</v>
      </c>
      <c r="Q1119" s="127" t="s">
        <v>303</v>
      </c>
      <c r="R1119" s="232" t="s">
        <v>4401</v>
      </c>
      <c r="S1119" s="89" t="s">
        <v>1727</v>
      </c>
      <c r="T1119" s="36">
        <v>30</v>
      </c>
      <c r="U1119" s="125" t="s">
        <v>118</v>
      </c>
      <c r="V1119" s="147" t="s">
        <v>4402</v>
      </c>
      <c r="W1119" s="129"/>
      <c r="X1119" s="88">
        <v>44104</v>
      </c>
      <c r="Y1119" s="130" t="s">
        <v>20</v>
      </c>
      <c r="Z1119" s="133" t="s">
        <v>60</v>
      </c>
      <c r="AA1119" s="133"/>
      <c r="AB1119" s="241">
        <v>575</v>
      </c>
      <c r="AC1119" s="134">
        <v>235.1</v>
      </c>
      <c r="AD1119" s="134"/>
      <c r="AE1119" s="403">
        <f t="shared" si="62"/>
        <v>135182.5</v>
      </c>
      <c r="AF1119" s="132">
        <v>23</v>
      </c>
      <c r="AG1119" s="130" t="s">
        <v>5</v>
      </c>
      <c r="AH1119" s="130"/>
      <c r="AI1119" s="130" t="s">
        <v>34</v>
      </c>
      <c r="AJ1119" s="130"/>
      <c r="AK1119" s="130"/>
      <c r="AL1119" s="135" t="s">
        <v>4264</v>
      </c>
      <c r="AM1119" s="314"/>
      <c r="AN1119" s="26"/>
      <c r="AO1119" s="26"/>
      <c r="AP1119" s="26"/>
      <c r="AQ1119" s="26">
        <v>44084</v>
      </c>
      <c r="AR1119" s="24"/>
      <c r="AS1119" s="24"/>
      <c r="AT1119" s="24">
        <v>44089</v>
      </c>
      <c r="AU1119" s="418">
        <f t="shared" si="63"/>
        <v>9</v>
      </c>
      <c r="AV1119" s="418">
        <f t="shared" si="64"/>
        <v>2020</v>
      </c>
      <c r="AW1119" s="24"/>
      <c r="AX1119" s="28"/>
      <c r="AY1119" s="28" t="s">
        <v>3415</v>
      </c>
      <c r="AZ1119" s="132" t="s">
        <v>37</v>
      </c>
      <c r="BA1119" s="132"/>
      <c r="BB1119" s="24" t="s">
        <v>3593</v>
      </c>
      <c r="BC1119" s="135" t="s">
        <v>4403</v>
      </c>
      <c r="BD1119" s="24">
        <v>44076</v>
      </c>
      <c r="BE1119" s="135" t="s">
        <v>814</v>
      </c>
      <c r="BF1119" s="135" t="s">
        <v>814</v>
      </c>
      <c r="BG1119" s="135" t="s">
        <v>29</v>
      </c>
      <c r="BH1119" s="135"/>
      <c r="BI1119" s="314" t="s">
        <v>124</v>
      </c>
      <c r="BJ1119" s="314" t="s">
        <v>148</v>
      </c>
      <c r="BK1119" s="24"/>
      <c r="BL1119" s="24"/>
      <c r="BM1119" s="24"/>
      <c r="BN1119" s="24"/>
      <c r="BO1119" s="24"/>
      <c r="BP1119" s="24"/>
      <c r="BQ1119" s="24"/>
      <c r="BR1119" s="43"/>
      <c r="BS1119" s="24"/>
      <c r="BT1119" s="24"/>
      <c r="BU1119" s="24"/>
      <c r="BV1119" s="132" t="e">
        <f>IF(#REF!="COMPLETO","OK","PENDIENTES")</f>
        <v>#REF!</v>
      </c>
      <c r="BW1119" s="325"/>
      <c r="BX1119" s="325"/>
      <c r="BY1119" s="325"/>
      <c r="BZ1119" s="325"/>
      <c r="CA1119" s="325"/>
      <c r="CB1119" s="325"/>
      <c r="CC1119" s="258"/>
      <c r="CG1119" s="24" t="s">
        <v>105</v>
      </c>
      <c r="CH1119" s="24"/>
      <c r="CI1119" s="24"/>
      <c r="CJ1119" s="24"/>
    </row>
    <row r="1120" spans="1:88" ht="15" customHeight="1">
      <c r="A1120" s="18">
        <v>2020</v>
      </c>
      <c r="B1120" s="18" t="str">
        <f>+INDEX(BDD!F:F,MATCH(P1120,BDD!D:D,0))&amp;"-"&amp;INDEX(BDD!E:E,MATCH(P1120,BDD!D:D,0))</f>
        <v>T-S</v>
      </c>
      <c r="C1120" s="360" t="s">
        <v>484</v>
      </c>
      <c r="D1120" s="150" t="s">
        <v>77</v>
      </c>
      <c r="E1120" s="132"/>
      <c r="F1120" s="24"/>
      <c r="G1120" s="346">
        <v>8000000976</v>
      </c>
      <c r="H1120" s="18" t="s">
        <v>4404</v>
      </c>
      <c r="I1120" s="329"/>
      <c r="J1120" s="346">
        <v>8000000976</v>
      </c>
      <c r="K1120" s="24"/>
      <c r="L1120" s="24"/>
      <c r="M1120" s="24"/>
      <c r="N1120" s="340" t="s">
        <v>486</v>
      </c>
      <c r="O1120" s="334">
        <v>208067</v>
      </c>
      <c r="P1120" s="25" t="s">
        <v>383</v>
      </c>
      <c r="Q1120" s="127" t="s">
        <v>303</v>
      </c>
      <c r="R1120" s="232" t="s">
        <v>4405</v>
      </c>
      <c r="S1120" s="89" t="s">
        <v>1727</v>
      </c>
      <c r="T1120" s="36">
        <v>30</v>
      </c>
      <c r="U1120" s="125" t="s">
        <v>118</v>
      </c>
      <c r="V1120" s="147" t="s">
        <v>4406</v>
      </c>
      <c r="W1120" s="129"/>
      <c r="X1120" s="88">
        <v>44104</v>
      </c>
      <c r="Y1120" s="130" t="s">
        <v>20</v>
      </c>
      <c r="Z1120" s="133" t="s">
        <v>60</v>
      </c>
      <c r="AA1120" s="133"/>
      <c r="AB1120" s="241">
        <v>575</v>
      </c>
      <c r="AC1120" s="134">
        <v>235.1</v>
      </c>
      <c r="AD1120" s="134"/>
      <c r="AE1120" s="403">
        <f t="shared" si="62"/>
        <v>135182.5</v>
      </c>
      <c r="AF1120" s="132">
        <v>23</v>
      </c>
      <c r="AG1120" s="130" t="s">
        <v>5</v>
      </c>
      <c r="AH1120" s="130"/>
      <c r="AI1120" s="130" t="s">
        <v>34</v>
      </c>
      <c r="AJ1120" s="130"/>
      <c r="AK1120" s="130"/>
      <c r="AL1120" s="135" t="s">
        <v>4264</v>
      </c>
      <c r="AM1120" s="314"/>
      <c r="AN1120" s="26"/>
      <c r="AO1120" s="26"/>
      <c r="AP1120" s="26"/>
      <c r="AQ1120" s="26">
        <v>44092</v>
      </c>
      <c r="AR1120" s="24"/>
      <c r="AS1120" s="24"/>
      <c r="AT1120" s="24">
        <v>44099</v>
      </c>
      <c r="AU1120" s="418">
        <f t="shared" si="63"/>
        <v>9</v>
      </c>
      <c r="AV1120" s="418">
        <f t="shared" si="64"/>
        <v>2020</v>
      </c>
      <c r="AW1120" s="24"/>
      <c r="AX1120" s="28"/>
      <c r="AY1120" s="28" t="s">
        <v>3415</v>
      </c>
      <c r="AZ1120" s="132" t="s">
        <v>37</v>
      </c>
      <c r="BA1120" s="132"/>
      <c r="BB1120" s="24" t="s">
        <v>3291</v>
      </c>
      <c r="BC1120" s="135" t="s">
        <v>4407</v>
      </c>
      <c r="BD1120" s="24">
        <v>44083</v>
      </c>
      <c r="BE1120" s="135" t="s">
        <v>756</v>
      </c>
      <c r="BF1120" s="135" t="s">
        <v>756</v>
      </c>
      <c r="BG1120" s="135" t="s">
        <v>29</v>
      </c>
      <c r="BH1120" s="135"/>
      <c r="BI1120" s="314" t="s">
        <v>124</v>
      </c>
      <c r="BJ1120" s="314" t="s">
        <v>148</v>
      </c>
      <c r="BK1120" s="24"/>
      <c r="BL1120" s="24"/>
      <c r="BM1120" s="24"/>
      <c r="BN1120" s="24"/>
      <c r="BO1120" s="24"/>
      <c r="BP1120" s="24"/>
      <c r="BQ1120" s="24"/>
      <c r="BR1120" s="43"/>
      <c r="BS1120" s="24"/>
      <c r="BT1120" s="24"/>
      <c r="BU1120" s="24"/>
      <c r="BV1120" s="132" t="e">
        <f>IF(#REF!="COMPLETO","OK","PENDIENTES")</f>
        <v>#REF!</v>
      </c>
      <c r="BW1120" s="325"/>
      <c r="BX1120" s="325"/>
      <c r="BY1120" s="325"/>
      <c r="BZ1120" s="325"/>
      <c r="CA1120" s="325"/>
      <c r="CB1120" s="325"/>
      <c r="CC1120" s="258"/>
      <c r="CG1120" s="24" t="s">
        <v>105</v>
      </c>
      <c r="CH1120" s="24"/>
      <c r="CI1120" s="24"/>
      <c r="CJ1120" s="24"/>
    </row>
    <row r="1121" spans="1:88" ht="15" customHeight="1">
      <c r="A1121" s="18">
        <v>2020</v>
      </c>
      <c r="B1121" s="18" t="str">
        <f>+INDEX(BDD!F:F,MATCH(P1121,BDD!D:D,0))&amp;"-"&amp;INDEX(BDD!E:E,MATCH(P1121,BDD!D:D,0))</f>
        <v>T-S</v>
      </c>
      <c r="C1121" s="360" t="s">
        <v>484</v>
      </c>
      <c r="D1121" s="150" t="s">
        <v>77</v>
      </c>
      <c r="E1121" s="132"/>
      <c r="F1121" s="24"/>
      <c r="G1121" s="346">
        <v>8000000969</v>
      </c>
      <c r="H1121" s="18" t="s">
        <v>4408</v>
      </c>
      <c r="I1121" s="329"/>
      <c r="J1121" s="346">
        <v>8000000969</v>
      </c>
      <c r="K1121" s="24"/>
      <c r="L1121" s="24"/>
      <c r="M1121" s="24"/>
      <c r="N1121" s="340" t="s">
        <v>486</v>
      </c>
      <c r="O1121" s="334">
        <v>208067</v>
      </c>
      <c r="P1121" s="25" t="s">
        <v>383</v>
      </c>
      <c r="Q1121" s="127" t="s">
        <v>303</v>
      </c>
      <c r="R1121" s="232" t="s">
        <v>4409</v>
      </c>
      <c r="S1121" s="89" t="s">
        <v>1727</v>
      </c>
      <c r="T1121" s="36">
        <v>30</v>
      </c>
      <c r="U1121" s="125" t="s">
        <v>118</v>
      </c>
      <c r="V1121" s="147" t="s">
        <v>4410</v>
      </c>
      <c r="W1121" s="129"/>
      <c r="X1121" s="88">
        <v>44099</v>
      </c>
      <c r="Y1121" s="130" t="s">
        <v>20</v>
      </c>
      <c r="Z1121" s="133" t="s">
        <v>60</v>
      </c>
      <c r="AA1121" s="133"/>
      <c r="AB1121" s="241">
        <v>50</v>
      </c>
      <c r="AC1121" s="134">
        <v>249.9</v>
      </c>
      <c r="AD1121" s="134"/>
      <c r="AE1121" s="403">
        <f t="shared" si="62"/>
        <v>12495</v>
      </c>
      <c r="AF1121" s="132">
        <v>2</v>
      </c>
      <c r="AG1121" s="130" t="s">
        <v>5</v>
      </c>
      <c r="AH1121" s="130"/>
      <c r="AI1121" s="130" t="s">
        <v>34</v>
      </c>
      <c r="AJ1121" s="130"/>
      <c r="AK1121" s="130"/>
      <c r="AL1121" s="135" t="s">
        <v>4264</v>
      </c>
      <c r="AM1121" s="314"/>
      <c r="AN1121" s="26"/>
      <c r="AO1121" s="26"/>
      <c r="AP1121" s="26"/>
      <c r="AQ1121" s="26">
        <v>44092</v>
      </c>
      <c r="AR1121" s="24"/>
      <c r="AS1121" s="24"/>
      <c r="AT1121" s="24">
        <v>44105</v>
      </c>
      <c r="AU1121" s="418">
        <f t="shared" si="63"/>
        <v>10</v>
      </c>
      <c r="AV1121" s="418">
        <f t="shared" si="64"/>
        <v>2020</v>
      </c>
      <c r="AW1121" s="24"/>
      <c r="AX1121" s="28"/>
      <c r="AY1121" s="28" t="s">
        <v>3415</v>
      </c>
      <c r="AZ1121" s="132" t="s">
        <v>62</v>
      </c>
      <c r="BA1121" s="132"/>
      <c r="BB1121" s="24" t="s">
        <v>3264</v>
      </c>
      <c r="BC1121" s="135" t="s">
        <v>4411</v>
      </c>
      <c r="BD1121" s="24">
        <v>44071</v>
      </c>
      <c r="BE1121" s="135" t="s">
        <v>3640</v>
      </c>
      <c r="BF1121" s="135" t="s">
        <v>1938</v>
      </c>
      <c r="BG1121" s="135" t="s">
        <v>29</v>
      </c>
      <c r="BH1121" s="135"/>
      <c r="BI1121" s="314" t="s">
        <v>124</v>
      </c>
      <c r="BJ1121" s="314" t="s">
        <v>148</v>
      </c>
      <c r="BK1121" s="24"/>
      <c r="BL1121" s="24"/>
      <c r="BM1121" s="24"/>
      <c r="BN1121" s="24"/>
      <c r="BO1121" s="24">
        <v>44113</v>
      </c>
      <c r="BP1121" s="24"/>
      <c r="BQ1121" s="24"/>
      <c r="BR1121" s="43"/>
      <c r="BS1121" s="24"/>
      <c r="BT1121" s="24"/>
      <c r="BU1121" s="24"/>
      <c r="BV1121" s="132" t="e">
        <f>IF(#REF!="COMPLETO","OK","PENDIENTES")</f>
        <v>#REF!</v>
      </c>
      <c r="BW1121" s="325"/>
      <c r="BX1121" s="325"/>
      <c r="BY1121" s="325"/>
      <c r="BZ1121" s="325"/>
      <c r="CA1121" s="325"/>
      <c r="CB1121" s="325"/>
      <c r="CC1121" s="258"/>
      <c r="CG1121" s="24" t="s">
        <v>105</v>
      </c>
      <c r="CH1121" s="24"/>
      <c r="CI1121" s="24"/>
      <c r="CJ1121" s="24"/>
    </row>
    <row r="1122" spans="1:88" ht="15" customHeight="1">
      <c r="A1122" s="18">
        <v>2020</v>
      </c>
      <c r="B1122" s="18" t="str">
        <f>+INDEX(BDD!F:F,MATCH(P1122,BDD!D:D,0))&amp;"-"&amp;INDEX(BDD!E:E,MATCH(P1122,BDD!D:D,0))</f>
        <v>O-S</v>
      </c>
      <c r="C1122" s="360" t="s">
        <v>484</v>
      </c>
      <c r="D1122" s="150" t="s">
        <v>77</v>
      </c>
      <c r="E1122" s="132"/>
      <c r="F1122" s="24"/>
      <c r="G1122" s="346">
        <v>8000001013</v>
      </c>
      <c r="H1122" s="18" t="s">
        <v>4412</v>
      </c>
      <c r="I1122" s="329"/>
      <c r="J1122" s="346">
        <v>8000001013</v>
      </c>
      <c r="K1122" s="24"/>
      <c r="L1122" s="24"/>
      <c r="M1122" s="24"/>
      <c r="N1122" s="340" t="s">
        <v>486</v>
      </c>
      <c r="O1122" s="334">
        <v>204750</v>
      </c>
      <c r="P1122" s="25" t="s">
        <v>390</v>
      </c>
      <c r="Q1122" s="127" t="s">
        <v>303</v>
      </c>
      <c r="R1122" s="232" t="s">
        <v>4413</v>
      </c>
      <c r="S1122" s="89" t="s">
        <v>671</v>
      </c>
      <c r="T1122" s="36" t="s">
        <v>19</v>
      </c>
      <c r="U1122" s="125"/>
      <c r="V1122" s="147" t="s">
        <v>4414</v>
      </c>
      <c r="W1122" s="129"/>
      <c r="X1122" s="88">
        <v>44065</v>
      </c>
      <c r="Y1122" s="130" t="s">
        <v>20</v>
      </c>
      <c r="Z1122" s="133" t="s">
        <v>60</v>
      </c>
      <c r="AA1122" s="133"/>
      <c r="AB1122" s="241">
        <v>748</v>
      </c>
      <c r="AC1122" s="134">
        <v>372</v>
      </c>
      <c r="AD1122" s="134"/>
      <c r="AE1122" s="403">
        <f t="shared" si="62"/>
        <v>278256</v>
      </c>
      <c r="AF1122" s="132">
        <v>34</v>
      </c>
      <c r="AG1122" s="130" t="s">
        <v>5</v>
      </c>
      <c r="AH1122" s="130"/>
      <c r="AI1122" s="130" t="s">
        <v>47</v>
      </c>
      <c r="AJ1122" s="130"/>
      <c r="AK1122" s="130"/>
      <c r="AL1122" s="135" t="s">
        <v>3961</v>
      </c>
      <c r="AM1122" s="314"/>
      <c r="AN1122" s="26"/>
      <c r="AO1122" s="26"/>
      <c r="AP1122" s="26"/>
      <c r="AQ1122" s="26">
        <v>44092</v>
      </c>
      <c r="AR1122" s="24"/>
      <c r="AS1122" s="24"/>
      <c r="AT1122" s="24">
        <v>44103</v>
      </c>
      <c r="AU1122" s="418">
        <f t="shared" si="63"/>
        <v>9</v>
      </c>
      <c r="AV1122" s="418">
        <f t="shared" si="64"/>
        <v>2020</v>
      </c>
      <c r="AW1122" s="24"/>
      <c r="AX1122" s="28"/>
      <c r="AY1122" s="28" t="s">
        <v>3415</v>
      </c>
      <c r="AZ1122" s="132" t="s">
        <v>62</v>
      </c>
      <c r="BA1122" s="132"/>
      <c r="BB1122" s="24" t="s">
        <v>4001</v>
      </c>
      <c r="BC1122" s="135" t="s">
        <v>4415</v>
      </c>
      <c r="BD1122" s="24">
        <v>44057</v>
      </c>
      <c r="BE1122" s="135" t="s">
        <v>3640</v>
      </c>
      <c r="BF1122" s="135" t="s">
        <v>1938</v>
      </c>
      <c r="BG1122" s="135" t="s">
        <v>29</v>
      </c>
      <c r="BH1122" s="135"/>
      <c r="BI1122" s="314" t="s">
        <v>124</v>
      </c>
      <c r="BJ1122" s="314" t="s">
        <v>148</v>
      </c>
      <c r="BK1122" s="24"/>
      <c r="BL1122" s="24"/>
      <c r="BM1122" s="24"/>
      <c r="BN1122" s="24"/>
      <c r="BO1122" s="24">
        <v>44113</v>
      </c>
      <c r="BP1122" s="24"/>
      <c r="BQ1122" s="24"/>
      <c r="BR1122" s="43"/>
      <c r="BS1122" s="24"/>
      <c r="BT1122" s="24"/>
      <c r="BU1122" s="24"/>
      <c r="BV1122" s="132" t="e">
        <f>IF(#REF!="COMPLETO","OK","PENDIENTES")</f>
        <v>#REF!</v>
      </c>
      <c r="BW1122" s="325"/>
      <c r="BX1122" s="325"/>
      <c r="BY1122" s="325"/>
      <c r="BZ1122" s="325"/>
      <c r="CA1122" s="325"/>
      <c r="CB1122" s="325"/>
      <c r="CC1122" s="258" t="s">
        <v>4416</v>
      </c>
      <c r="CG1122" s="24" t="s">
        <v>105</v>
      </c>
      <c r="CH1122" s="24"/>
      <c r="CI1122" s="24"/>
      <c r="CJ1122" s="24"/>
    </row>
    <row r="1123" spans="1:88" ht="15" customHeight="1">
      <c r="A1123" s="18">
        <v>2020</v>
      </c>
      <c r="B1123" s="18" t="str">
        <f>+INDEX(BDD!F:F,MATCH(P1123,BDD!D:D,0))&amp;"-"&amp;INDEX(BDD!E:E,MATCH(P1123,BDD!D:D,0))</f>
        <v>O-S</v>
      </c>
      <c r="C1123" s="360" t="s">
        <v>484</v>
      </c>
      <c r="D1123" s="150" t="s">
        <v>77</v>
      </c>
      <c r="E1123" s="132"/>
      <c r="F1123" s="24"/>
      <c r="G1123" s="346">
        <v>8000000953</v>
      </c>
      <c r="H1123" s="18" t="s">
        <v>4417</v>
      </c>
      <c r="I1123" s="329"/>
      <c r="J1123" s="346">
        <v>8000000953</v>
      </c>
      <c r="K1123" s="24"/>
      <c r="L1123" s="24"/>
      <c r="M1123" s="24"/>
      <c r="N1123" s="340" t="s">
        <v>486</v>
      </c>
      <c r="O1123" s="334">
        <v>208063</v>
      </c>
      <c r="P1123" s="25" t="s">
        <v>381</v>
      </c>
      <c r="Q1123" s="127" t="s">
        <v>303</v>
      </c>
      <c r="R1123" s="232" t="s">
        <v>4418</v>
      </c>
      <c r="S1123" s="89" t="s">
        <v>743</v>
      </c>
      <c r="T1123" s="36" t="s">
        <v>19</v>
      </c>
      <c r="U1123" s="125"/>
      <c r="V1123" s="147" t="s">
        <v>4419</v>
      </c>
      <c r="W1123" s="129"/>
      <c r="X1123" s="88">
        <v>44079</v>
      </c>
      <c r="Y1123" s="130" t="s">
        <v>20</v>
      </c>
      <c r="Z1123" s="133" t="s">
        <v>60</v>
      </c>
      <c r="AA1123" s="133"/>
      <c r="AB1123" s="241">
        <v>588.97</v>
      </c>
      <c r="AC1123" s="134">
        <v>503.9799989</v>
      </c>
      <c r="AD1123" s="134"/>
      <c r="AE1123" s="403">
        <f t="shared" si="62"/>
        <v>296829.09995213302</v>
      </c>
      <c r="AF1123" s="132">
        <v>22</v>
      </c>
      <c r="AG1123" s="130" t="s">
        <v>5</v>
      </c>
      <c r="AH1123" s="130"/>
      <c r="AI1123" s="130" t="s">
        <v>100</v>
      </c>
      <c r="AJ1123" s="130"/>
      <c r="AK1123" s="130"/>
      <c r="AL1123" s="135" t="s">
        <v>4166</v>
      </c>
      <c r="AM1123" s="314"/>
      <c r="AN1123" s="26"/>
      <c r="AO1123" s="26"/>
      <c r="AP1123" s="26"/>
      <c r="AQ1123" s="26">
        <v>44099</v>
      </c>
      <c r="AR1123" s="24"/>
      <c r="AS1123" s="24"/>
      <c r="AT1123" s="24">
        <v>44103</v>
      </c>
      <c r="AU1123" s="418">
        <f t="shared" si="63"/>
        <v>9</v>
      </c>
      <c r="AV1123" s="418">
        <f t="shared" si="64"/>
        <v>2020</v>
      </c>
      <c r="AW1123" s="24"/>
      <c r="AX1123" s="28"/>
      <c r="AY1123" s="28" t="s">
        <v>4072</v>
      </c>
      <c r="AZ1123" s="132" t="s">
        <v>37</v>
      </c>
      <c r="BA1123" s="132"/>
      <c r="BB1123" s="24" t="s">
        <v>3291</v>
      </c>
      <c r="BC1123" s="135" t="s">
        <v>4420</v>
      </c>
      <c r="BD1123" s="24">
        <v>44061</v>
      </c>
      <c r="BE1123" s="135" t="s">
        <v>4344</v>
      </c>
      <c r="BF1123" s="135" t="s">
        <v>2329</v>
      </c>
      <c r="BG1123" s="135" t="s">
        <v>64</v>
      </c>
      <c r="BH1123" s="135"/>
      <c r="BI1123" s="314" t="s">
        <v>124</v>
      </c>
      <c r="BJ1123" s="314" t="s">
        <v>138</v>
      </c>
      <c r="BK1123" s="24"/>
      <c r="BL1123" s="24"/>
      <c r="BM1123" s="24"/>
      <c r="BN1123" s="24"/>
      <c r="BO1123" s="24"/>
      <c r="BP1123" s="24"/>
      <c r="BQ1123" s="24"/>
      <c r="BR1123" s="43"/>
      <c r="BS1123" s="24"/>
      <c r="BT1123" s="24"/>
      <c r="BU1123" s="24"/>
      <c r="BV1123" s="132" t="e">
        <f>IF(#REF!="COMPLETO","OK","PENDIENTES")</f>
        <v>#REF!</v>
      </c>
      <c r="BW1123" s="325"/>
      <c r="BX1123" s="325"/>
      <c r="BY1123" s="325"/>
      <c r="BZ1123" s="325"/>
      <c r="CA1123" s="325"/>
      <c r="CB1123" s="325"/>
      <c r="CC1123" s="258"/>
      <c r="CG1123" s="24" t="s">
        <v>105</v>
      </c>
      <c r="CH1123" s="24"/>
      <c r="CI1123" s="24"/>
      <c r="CJ1123" s="24"/>
    </row>
    <row r="1124" spans="1:88" ht="15" customHeight="1">
      <c r="A1124" s="18">
        <v>2020</v>
      </c>
      <c r="B1124" s="18" t="str">
        <f>+INDEX(BDD!F:F,MATCH(P1124,BDD!D:D,0))&amp;"-"&amp;INDEX(BDD!E:E,MATCH(P1124,BDD!D:D,0))</f>
        <v>G-S</v>
      </c>
      <c r="C1124" s="360" t="s">
        <v>484</v>
      </c>
      <c r="D1124" s="150" t="s">
        <v>77</v>
      </c>
      <c r="E1124" s="132"/>
      <c r="F1124" s="24"/>
      <c r="G1124" s="346">
        <v>8000001096</v>
      </c>
      <c r="H1124" s="18" t="s">
        <v>4421</v>
      </c>
      <c r="I1124" s="329"/>
      <c r="J1124" s="346">
        <v>8000001096</v>
      </c>
      <c r="K1124" s="24"/>
      <c r="L1124" s="24"/>
      <c r="M1124" s="24"/>
      <c r="N1124" s="340" t="s">
        <v>486</v>
      </c>
      <c r="O1124" s="334">
        <v>203616</v>
      </c>
      <c r="P1124" s="25" t="s">
        <v>357</v>
      </c>
      <c r="Q1124" s="127" t="s">
        <v>66</v>
      </c>
      <c r="R1124" s="232" t="s">
        <v>4422</v>
      </c>
      <c r="S1124" s="89">
        <v>44060</v>
      </c>
      <c r="T1124" s="36" t="s">
        <v>19</v>
      </c>
      <c r="U1124" s="125"/>
      <c r="V1124" s="147" t="s">
        <v>4423</v>
      </c>
      <c r="W1124" s="129"/>
      <c r="X1124" s="88">
        <v>44145</v>
      </c>
      <c r="Y1124" s="130" t="s">
        <v>20</v>
      </c>
      <c r="Z1124" s="133" t="s">
        <v>81</v>
      </c>
      <c r="AA1124" s="133"/>
      <c r="AB1124" s="241">
        <v>4000</v>
      </c>
      <c r="AC1124" s="134">
        <v>137.25</v>
      </c>
      <c r="AD1124" s="134"/>
      <c r="AE1124" s="403">
        <f t="shared" si="62"/>
        <v>549000</v>
      </c>
      <c r="AF1124" s="132"/>
      <c r="AG1124" s="130" t="s">
        <v>46</v>
      </c>
      <c r="AH1124" s="130"/>
      <c r="AI1124" s="130" t="s">
        <v>100</v>
      </c>
      <c r="AJ1124" s="130"/>
      <c r="AK1124" s="130"/>
      <c r="AL1124" s="135" t="s">
        <v>4250</v>
      </c>
      <c r="AM1124" s="314"/>
      <c r="AN1124" s="26"/>
      <c r="AO1124" s="26"/>
      <c r="AP1124" s="26"/>
      <c r="AQ1124" s="26">
        <v>44153</v>
      </c>
      <c r="AR1124" s="24"/>
      <c r="AS1124" s="24"/>
      <c r="AT1124" s="24">
        <v>44155</v>
      </c>
      <c r="AU1124" s="418">
        <f t="shared" si="63"/>
        <v>11</v>
      </c>
      <c r="AV1124" s="418">
        <f t="shared" si="64"/>
        <v>2020</v>
      </c>
      <c r="AW1124" s="24"/>
      <c r="AX1124" s="28"/>
      <c r="AY1124" s="28" t="s">
        <v>4424</v>
      </c>
      <c r="AZ1124" s="132" t="s">
        <v>9</v>
      </c>
      <c r="BA1124" s="132"/>
      <c r="BB1124" s="24" t="s">
        <v>2956</v>
      </c>
      <c r="BC1124" s="135">
        <v>104</v>
      </c>
      <c r="BD1124" s="24">
        <v>44118</v>
      </c>
      <c r="BE1124" s="135" t="s">
        <v>4425</v>
      </c>
      <c r="BF1124" s="135" t="s">
        <v>4425</v>
      </c>
      <c r="BG1124" s="135" t="s">
        <v>52</v>
      </c>
      <c r="BH1124" s="135"/>
      <c r="BI1124" s="314" t="s">
        <v>117</v>
      </c>
      <c r="BJ1124" s="314" t="s">
        <v>148</v>
      </c>
      <c r="BK1124" s="24"/>
      <c r="BL1124" s="24"/>
      <c r="BM1124" s="24"/>
      <c r="BN1124" s="24"/>
      <c r="BO1124" s="24"/>
      <c r="BP1124" s="24"/>
      <c r="BQ1124" s="24"/>
      <c r="BR1124" s="43"/>
      <c r="BS1124" s="24"/>
      <c r="BT1124" s="24"/>
      <c r="BU1124" s="24"/>
      <c r="BV1124" s="132" t="e">
        <f>IF(#REF!="COMPLETO","OK","PENDIENTES")</f>
        <v>#REF!</v>
      </c>
      <c r="BW1124" s="325"/>
      <c r="BX1124" s="325"/>
      <c r="BY1124" s="325"/>
      <c r="BZ1124" s="325"/>
      <c r="CA1124" s="325"/>
      <c r="CB1124" s="325"/>
      <c r="CC1124" s="258"/>
      <c r="CG1124" s="24" t="s">
        <v>105</v>
      </c>
      <c r="CH1124" s="24"/>
      <c r="CI1124" s="24"/>
      <c r="CJ1124" s="24"/>
    </row>
    <row r="1125" spans="1:88" ht="15" customHeight="1">
      <c r="A1125" s="18">
        <v>2020</v>
      </c>
      <c r="B1125" s="18" t="str">
        <f>+INDEX(BDD!F:F,MATCH(P1125,BDD!D:D,0))&amp;"-"&amp;INDEX(BDD!E:E,MATCH(P1125,BDD!D:D,0))</f>
        <v>G-S</v>
      </c>
      <c r="C1125" s="360" t="s">
        <v>484</v>
      </c>
      <c r="D1125" s="150" t="s">
        <v>77</v>
      </c>
      <c r="E1125" s="132"/>
      <c r="F1125" s="24"/>
      <c r="G1125" s="346">
        <v>8000001109</v>
      </c>
      <c r="H1125" s="18" t="s">
        <v>4426</v>
      </c>
      <c r="I1125" s="329"/>
      <c r="J1125" s="346">
        <v>8000001109</v>
      </c>
      <c r="K1125" s="24"/>
      <c r="L1125" s="24"/>
      <c r="M1125" s="24"/>
      <c r="N1125" s="340" t="s">
        <v>486</v>
      </c>
      <c r="O1125" s="334">
        <v>203616</v>
      </c>
      <c r="P1125" s="25" t="s">
        <v>357</v>
      </c>
      <c r="Q1125" s="127" t="s">
        <v>66</v>
      </c>
      <c r="R1125" s="232" t="s">
        <v>4422</v>
      </c>
      <c r="S1125" s="89">
        <v>44060</v>
      </c>
      <c r="T1125" s="36" t="s">
        <v>19</v>
      </c>
      <c r="U1125" s="125"/>
      <c r="V1125" s="147" t="s">
        <v>4427</v>
      </c>
      <c r="W1125" s="129"/>
      <c r="X1125" s="88">
        <v>44145</v>
      </c>
      <c r="Y1125" s="130" t="s">
        <v>20</v>
      </c>
      <c r="Z1125" s="133" t="s">
        <v>81</v>
      </c>
      <c r="AA1125" s="133"/>
      <c r="AB1125" s="241">
        <v>2250</v>
      </c>
      <c r="AC1125" s="134">
        <v>137.25</v>
      </c>
      <c r="AD1125" s="134"/>
      <c r="AE1125" s="403">
        <f t="shared" si="62"/>
        <v>308812.5</v>
      </c>
      <c r="AF1125" s="132"/>
      <c r="AG1125" s="130" t="s">
        <v>46</v>
      </c>
      <c r="AH1125" s="130"/>
      <c r="AI1125" s="130" t="s">
        <v>100</v>
      </c>
      <c r="AJ1125" s="130"/>
      <c r="AK1125" s="130"/>
      <c r="AL1125" s="135" t="s">
        <v>4250</v>
      </c>
      <c r="AM1125" s="314"/>
      <c r="AN1125" s="26"/>
      <c r="AO1125" s="26"/>
      <c r="AP1125" s="26"/>
      <c r="AQ1125" s="26">
        <v>44156</v>
      </c>
      <c r="AR1125" s="24"/>
      <c r="AS1125" s="24"/>
      <c r="AT1125" s="24">
        <v>44159</v>
      </c>
      <c r="AU1125" s="418">
        <f t="shared" si="63"/>
        <v>11</v>
      </c>
      <c r="AV1125" s="418">
        <f t="shared" si="64"/>
        <v>2020</v>
      </c>
      <c r="AW1125" s="24"/>
      <c r="AX1125" s="28"/>
      <c r="AY1125" s="28" t="s">
        <v>4424</v>
      </c>
      <c r="AZ1125" s="132" t="s">
        <v>25</v>
      </c>
      <c r="BA1125" s="132"/>
      <c r="BB1125" s="24" t="s">
        <v>3264</v>
      </c>
      <c r="BC1125" s="135">
        <v>105</v>
      </c>
      <c r="BD1125" s="24">
        <v>44118</v>
      </c>
      <c r="BE1125" s="135" t="s">
        <v>4425</v>
      </c>
      <c r="BF1125" s="135" t="s">
        <v>4425</v>
      </c>
      <c r="BG1125" s="135" t="s">
        <v>52</v>
      </c>
      <c r="BH1125" s="135"/>
      <c r="BI1125" s="314" t="s">
        <v>117</v>
      </c>
      <c r="BJ1125" s="314" t="s">
        <v>148</v>
      </c>
      <c r="BK1125" s="24"/>
      <c r="BL1125" s="24"/>
      <c r="BM1125" s="24"/>
      <c r="BN1125" s="24"/>
      <c r="BO1125" s="24"/>
      <c r="BP1125" s="24"/>
      <c r="BQ1125" s="24"/>
      <c r="BR1125" s="43"/>
      <c r="BS1125" s="24"/>
      <c r="BT1125" s="24"/>
      <c r="BU1125" s="24"/>
      <c r="BV1125" s="132" t="e">
        <f>IF(#REF!="COMPLETO","OK","PENDIENTES")</f>
        <v>#REF!</v>
      </c>
      <c r="BW1125" s="325"/>
      <c r="BX1125" s="325"/>
      <c r="BY1125" s="325"/>
      <c r="BZ1125" s="325"/>
      <c r="CA1125" s="325"/>
      <c r="CB1125" s="325"/>
      <c r="CC1125" s="258"/>
      <c r="CG1125" s="24" t="s">
        <v>105</v>
      </c>
      <c r="CH1125" s="24"/>
      <c r="CI1125" s="24"/>
      <c r="CJ1125" s="24"/>
    </row>
    <row r="1126" spans="1:88" ht="13.15" customHeight="1">
      <c r="A1126" s="18">
        <v>2020</v>
      </c>
      <c r="B1126" s="18" t="str">
        <f>+INDEX(BDD!F:F,MATCH(P1126,BDD!D:D,0))&amp;"-"&amp;INDEX(BDD!E:E,MATCH(P1126,BDD!D:D,0))</f>
        <v>G-S</v>
      </c>
      <c r="C1126" s="360" t="s">
        <v>484</v>
      </c>
      <c r="D1126" s="150" t="s">
        <v>77</v>
      </c>
      <c r="E1126" s="132"/>
      <c r="F1126" s="24"/>
      <c r="G1126" s="346">
        <v>8000001093</v>
      </c>
      <c r="H1126" s="18" t="s">
        <v>4428</v>
      </c>
      <c r="I1126" s="329"/>
      <c r="J1126" s="346">
        <v>8000001093</v>
      </c>
      <c r="K1126" s="24"/>
      <c r="L1126" s="24"/>
      <c r="M1126" s="24"/>
      <c r="N1126" s="340" t="s">
        <v>486</v>
      </c>
      <c r="O1126" s="334">
        <v>203616</v>
      </c>
      <c r="P1126" s="25" t="s">
        <v>357</v>
      </c>
      <c r="Q1126" s="127" t="s">
        <v>66</v>
      </c>
      <c r="R1126" s="232" t="s">
        <v>4422</v>
      </c>
      <c r="S1126" s="89">
        <v>44060</v>
      </c>
      <c r="T1126" s="36" t="s">
        <v>19</v>
      </c>
      <c r="U1126" s="125"/>
      <c r="V1126" s="147" t="s">
        <v>4429</v>
      </c>
      <c r="W1126" s="129"/>
      <c r="X1126" s="88">
        <v>44145</v>
      </c>
      <c r="Y1126" s="130" t="s">
        <v>20</v>
      </c>
      <c r="Z1126" s="133" t="s">
        <v>81</v>
      </c>
      <c r="AA1126" s="133"/>
      <c r="AB1126" s="241">
        <v>1000</v>
      </c>
      <c r="AC1126" s="134">
        <v>137.25</v>
      </c>
      <c r="AD1126" s="134"/>
      <c r="AE1126" s="403">
        <f t="shared" si="62"/>
        <v>137250</v>
      </c>
      <c r="AF1126" s="132"/>
      <c r="AG1126" s="130" t="s">
        <v>46</v>
      </c>
      <c r="AH1126" s="130"/>
      <c r="AI1126" s="130" t="s">
        <v>100</v>
      </c>
      <c r="AJ1126" s="130"/>
      <c r="AK1126" s="130"/>
      <c r="AL1126" s="135" t="s">
        <v>4250</v>
      </c>
      <c r="AM1126" s="314"/>
      <c r="AN1126" s="26"/>
      <c r="AO1126" s="26"/>
      <c r="AP1126" s="26"/>
      <c r="AQ1126" s="26">
        <v>44161</v>
      </c>
      <c r="AR1126" s="24"/>
      <c r="AS1126" s="24"/>
      <c r="AT1126" s="24">
        <v>44158</v>
      </c>
      <c r="AU1126" s="418">
        <f t="shared" si="63"/>
        <v>11</v>
      </c>
      <c r="AV1126" s="418">
        <f t="shared" si="64"/>
        <v>2020</v>
      </c>
      <c r="AW1126" s="24"/>
      <c r="AX1126" s="28"/>
      <c r="AY1126" s="28" t="s">
        <v>4424</v>
      </c>
      <c r="AZ1126" s="132" t="s">
        <v>37</v>
      </c>
      <c r="BA1126" s="132"/>
      <c r="BB1126" s="24" t="s">
        <v>3593</v>
      </c>
      <c r="BC1126" s="135">
        <v>106</v>
      </c>
      <c r="BD1126" s="24">
        <v>44118</v>
      </c>
      <c r="BE1126" s="135" t="s">
        <v>4425</v>
      </c>
      <c r="BF1126" s="135" t="s">
        <v>4425</v>
      </c>
      <c r="BG1126" s="135" t="s">
        <v>52</v>
      </c>
      <c r="BH1126" s="135"/>
      <c r="BI1126" s="314" t="s">
        <v>117</v>
      </c>
      <c r="BJ1126" s="314" t="s">
        <v>148</v>
      </c>
      <c r="BK1126" s="24"/>
      <c r="BL1126" s="24"/>
      <c r="BM1126" s="24"/>
      <c r="BN1126" s="24"/>
      <c r="BO1126" s="24"/>
      <c r="BP1126" s="24"/>
      <c r="BQ1126" s="24"/>
      <c r="BR1126" s="43"/>
      <c r="BS1126" s="24"/>
      <c r="BT1126" s="24"/>
      <c r="BU1126" s="24"/>
      <c r="BV1126" s="132" t="e">
        <f>IF(#REF!="COMPLETO","OK","PENDIENTES")</f>
        <v>#REF!</v>
      </c>
      <c r="BW1126" s="325"/>
      <c r="BX1126" s="325"/>
      <c r="BY1126" s="325"/>
      <c r="BZ1126" s="325"/>
      <c r="CA1126" s="325"/>
      <c r="CB1126" s="325"/>
      <c r="CC1126" s="258"/>
      <c r="CG1126" s="24" t="s">
        <v>105</v>
      </c>
      <c r="CH1126" s="24"/>
      <c r="CI1126" s="24"/>
      <c r="CJ1126" s="24"/>
    </row>
    <row r="1127" spans="1:88" ht="15" customHeight="1">
      <c r="A1127" s="18">
        <v>2020</v>
      </c>
      <c r="B1127" s="18" t="str">
        <f>+INDEX(BDD!F:F,MATCH(P1127,BDD!D:D,0))&amp;"-"&amp;INDEX(BDD!E:E,MATCH(P1127,BDD!D:D,0))</f>
        <v>G-S</v>
      </c>
      <c r="C1127" s="360" t="s">
        <v>484</v>
      </c>
      <c r="D1127" s="150" t="s">
        <v>77</v>
      </c>
      <c r="E1127" s="132"/>
      <c r="F1127" s="24"/>
      <c r="G1127" s="346">
        <v>8000001126</v>
      </c>
      <c r="H1127" s="18" t="s">
        <v>4430</v>
      </c>
      <c r="I1127" s="329"/>
      <c r="J1127" s="346">
        <v>8000001126</v>
      </c>
      <c r="K1127" s="24"/>
      <c r="L1127" s="24"/>
      <c r="M1127" s="24"/>
      <c r="N1127" s="340" t="s">
        <v>486</v>
      </c>
      <c r="O1127" s="334">
        <v>203616</v>
      </c>
      <c r="P1127" s="25" t="s">
        <v>357</v>
      </c>
      <c r="Q1127" s="127" t="s">
        <v>66</v>
      </c>
      <c r="R1127" s="232" t="s">
        <v>4422</v>
      </c>
      <c r="S1127" s="89">
        <v>44060</v>
      </c>
      <c r="T1127" s="36" t="s">
        <v>19</v>
      </c>
      <c r="U1127" s="125"/>
      <c r="V1127" s="147" t="s">
        <v>4431</v>
      </c>
      <c r="W1127" s="129"/>
      <c r="X1127" s="88">
        <v>44145</v>
      </c>
      <c r="Y1127" s="130" t="s">
        <v>20</v>
      </c>
      <c r="Z1127" s="133" t="s">
        <v>81</v>
      </c>
      <c r="AA1127" s="133"/>
      <c r="AB1127" s="241">
        <v>120</v>
      </c>
      <c r="AC1127" s="134">
        <v>137.25</v>
      </c>
      <c r="AD1127" s="134"/>
      <c r="AE1127" s="403">
        <f t="shared" si="62"/>
        <v>16470</v>
      </c>
      <c r="AF1127" s="132"/>
      <c r="AG1127" s="130" t="s">
        <v>46</v>
      </c>
      <c r="AH1127" s="130"/>
      <c r="AI1127" s="130" t="s">
        <v>100</v>
      </c>
      <c r="AJ1127" s="130"/>
      <c r="AK1127" s="130"/>
      <c r="AL1127" s="135" t="s">
        <v>4250</v>
      </c>
      <c r="AM1127" s="314"/>
      <c r="AN1127" s="26"/>
      <c r="AO1127" s="26"/>
      <c r="AP1127" s="26"/>
      <c r="AQ1127" s="26">
        <v>44163</v>
      </c>
      <c r="AR1127" s="24"/>
      <c r="AS1127" s="24"/>
      <c r="AT1127" s="24">
        <v>44166</v>
      </c>
      <c r="AU1127" s="418">
        <f t="shared" si="63"/>
        <v>12</v>
      </c>
      <c r="AV1127" s="418">
        <f t="shared" si="64"/>
        <v>2020</v>
      </c>
      <c r="AW1127" s="24"/>
      <c r="AX1127" s="28"/>
      <c r="AY1127" s="28" t="s">
        <v>4424</v>
      </c>
      <c r="AZ1127" s="132" t="s">
        <v>50</v>
      </c>
      <c r="BA1127" s="132"/>
      <c r="BB1127" s="24" t="s">
        <v>2956</v>
      </c>
      <c r="BC1127" s="135">
        <v>107</v>
      </c>
      <c r="BD1127" s="24">
        <v>44118</v>
      </c>
      <c r="BE1127" s="135" t="s">
        <v>4425</v>
      </c>
      <c r="BF1127" s="135" t="s">
        <v>4425</v>
      </c>
      <c r="BG1127" s="135" t="s">
        <v>52</v>
      </c>
      <c r="BH1127" s="135"/>
      <c r="BI1127" s="314" t="s">
        <v>117</v>
      </c>
      <c r="BJ1127" s="314" t="s">
        <v>148</v>
      </c>
      <c r="BK1127" s="24"/>
      <c r="BL1127" s="24"/>
      <c r="BM1127" s="24"/>
      <c r="BN1127" s="24"/>
      <c r="BO1127" s="24"/>
      <c r="BP1127" s="24"/>
      <c r="BQ1127" s="24"/>
      <c r="BR1127" s="43"/>
      <c r="BS1127" s="24"/>
      <c r="BT1127" s="24"/>
      <c r="BU1127" s="24"/>
      <c r="BV1127" s="132" t="e">
        <f>IF(#REF!="COMPLETO","OK","PENDIENTES")</f>
        <v>#REF!</v>
      </c>
      <c r="BW1127" s="325"/>
      <c r="BX1127" s="325"/>
      <c r="BY1127" s="325"/>
      <c r="BZ1127" s="325"/>
      <c r="CA1127" s="325"/>
      <c r="CB1127" s="325"/>
      <c r="CC1127" s="258"/>
      <c r="CG1127" s="24" t="s">
        <v>105</v>
      </c>
      <c r="CH1127" s="24"/>
      <c r="CI1127" s="24"/>
      <c r="CJ1127" s="24"/>
    </row>
    <row r="1128" spans="1:88" ht="15" customHeight="1">
      <c r="A1128" s="18">
        <v>2020</v>
      </c>
      <c r="B1128" s="18" t="str">
        <f>+INDEX(BDD!F:F,MATCH(P1128,BDD!D:D,0))&amp;"-"&amp;INDEX(BDD!E:E,MATCH(P1128,BDD!D:D,0))</f>
        <v>G-S</v>
      </c>
      <c r="C1128" s="360" t="s">
        <v>484</v>
      </c>
      <c r="D1128" s="150" t="s">
        <v>77</v>
      </c>
      <c r="E1128" s="132"/>
      <c r="F1128" s="24"/>
      <c r="G1128" s="346">
        <v>8000001134</v>
      </c>
      <c r="H1128" s="18" t="s">
        <v>4432</v>
      </c>
      <c r="I1128" s="329"/>
      <c r="J1128" s="346">
        <v>8000001134</v>
      </c>
      <c r="K1128" s="24"/>
      <c r="L1128" s="24"/>
      <c r="M1128" s="24"/>
      <c r="N1128" s="340" t="s">
        <v>486</v>
      </c>
      <c r="O1128" s="334">
        <v>203616</v>
      </c>
      <c r="P1128" s="25" t="s">
        <v>357</v>
      </c>
      <c r="Q1128" s="127" t="s">
        <v>66</v>
      </c>
      <c r="R1128" s="232" t="s">
        <v>4422</v>
      </c>
      <c r="S1128" s="89">
        <v>44060</v>
      </c>
      <c r="T1128" s="36" t="s">
        <v>19</v>
      </c>
      <c r="U1128" s="125"/>
      <c r="V1128" s="147" t="s">
        <v>4433</v>
      </c>
      <c r="W1128" s="129"/>
      <c r="X1128" s="88">
        <v>44145</v>
      </c>
      <c r="Y1128" s="130" t="s">
        <v>20</v>
      </c>
      <c r="Z1128" s="133" t="s">
        <v>81</v>
      </c>
      <c r="AA1128" s="133"/>
      <c r="AB1128" s="241">
        <f>250+80</f>
        <v>330</v>
      </c>
      <c r="AC1128" s="134">
        <v>137.25</v>
      </c>
      <c r="AD1128" s="134"/>
      <c r="AE1128" s="403">
        <f t="shared" si="62"/>
        <v>45292.5</v>
      </c>
      <c r="AF1128" s="132"/>
      <c r="AG1128" s="130" t="s">
        <v>46</v>
      </c>
      <c r="AH1128" s="130"/>
      <c r="AI1128" s="130" t="s">
        <v>100</v>
      </c>
      <c r="AJ1128" s="130"/>
      <c r="AK1128" s="130"/>
      <c r="AL1128" s="135" t="s">
        <v>4250</v>
      </c>
      <c r="AM1128" s="314"/>
      <c r="AN1128" s="26"/>
      <c r="AO1128" s="26"/>
      <c r="AP1128" s="26"/>
      <c r="AQ1128" s="26">
        <v>44167</v>
      </c>
      <c r="AR1128" s="24"/>
      <c r="AS1128" s="24"/>
      <c r="AT1128" s="24">
        <v>44168</v>
      </c>
      <c r="AU1128" s="418">
        <f t="shared" si="63"/>
        <v>12</v>
      </c>
      <c r="AV1128" s="418">
        <f t="shared" si="64"/>
        <v>2020</v>
      </c>
      <c r="AW1128" s="24"/>
      <c r="AX1128" s="28"/>
      <c r="AY1128" s="28" t="s">
        <v>4424</v>
      </c>
      <c r="AZ1128" s="132" t="s">
        <v>62</v>
      </c>
      <c r="BA1128" s="132"/>
      <c r="BB1128" s="24" t="s">
        <v>3264</v>
      </c>
      <c r="BC1128" s="135">
        <v>108</v>
      </c>
      <c r="BD1128" s="24">
        <v>44118</v>
      </c>
      <c r="BE1128" s="135" t="s">
        <v>4425</v>
      </c>
      <c r="BF1128" s="135" t="s">
        <v>4425</v>
      </c>
      <c r="BG1128" s="135" t="s">
        <v>52</v>
      </c>
      <c r="BH1128" s="135"/>
      <c r="BI1128" s="314" t="s">
        <v>117</v>
      </c>
      <c r="BJ1128" s="314" t="s">
        <v>148</v>
      </c>
      <c r="BK1128" s="24"/>
      <c r="BL1128" s="24"/>
      <c r="BM1128" s="24"/>
      <c r="BN1128" s="24"/>
      <c r="BO1128" s="24"/>
      <c r="BP1128" s="24"/>
      <c r="BQ1128" s="24"/>
      <c r="BR1128" s="43"/>
      <c r="BS1128" s="24"/>
      <c r="BT1128" s="24"/>
      <c r="BU1128" s="24"/>
      <c r="BV1128" s="132" t="e">
        <f>IF(#REF!="COMPLETO","OK","PENDIENTES")</f>
        <v>#REF!</v>
      </c>
      <c r="BW1128" s="325"/>
      <c r="BX1128" s="325"/>
      <c r="BY1128" s="325"/>
      <c r="BZ1128" s="325"/>
      <c r="CA1128" s="325"/>
      <c r="CB1128" s="325"/>
      <c r="CC1128" s="258"/>
      <c r="CG1128" s="24" t="s">
        <v>105</v>
      </c>
      <c r="CH1128" s="24"/>
      <c r="CI1128" s="24"/>
      <c r="CJ1128" s="24"/>
    </row>
    <row r="1129" spans="1:88" ht="15" customHeight="1">
      <c r="A1129" s="18">
        <v>2020</v>
      </c>
      <c r="B1129" s="18" t="str">
        <f>+INDEX(BDD!F:F,MATCH(P1129,BDD!D:D,0))&amp;"-"&amp;INDEX(BDD!E:E,MATCH(P1129,BDD!D:D,0))</f>
        <v>G-S</v>
      </c>
      <c r="C1129" s="360" t="s">
        <v>484</v>
      </c>
      <c r="D1129" s="150" t="s">
        <v>77</v>
      </c>
      <c r="E1129" s="132"/>
      <c r="F1129" s="24"/>
      <c r="G1129" s="346">
        <v>8000001097</v>
      </c>
      <c r="H1129" s="18" t="s">
        <v>4434</v>
      </c>
      <c r="I1129" s="329"/>
      <c r="J1129" s="346">
        <v>8000001097</v>
      </c>
      <c r="K1129" s="24"/>
      <c r="L1129" s="24"/>
      <c r="M1129" s="24"/>
      <c r="N1129" s="340" t="s">
        <v>486</v>
      </c>
      <c r="O1129" s="334">
        <v>206569</v>
      </c>
      <c r="P1129" s="25" t="s">
        <v>142</v>
      </c>
      <c r="Q1129" s="127" t="s">
        <v>66</v>
      </c>
      <c r="R1129" s="232" t="s">
        <v>4435</v>
      </c>
      <c r="S1129" s="89">
        <v>44060</v>
      </c>
      <c r="T1129" s="36" t="s">
        <v>19</v>
      </c>
      <c r="U1129" s="125"/>
      <c r="V1129" s="147" t="s">
        <v>4436</v>
      </c>
      <c r="W1129" s="129"/>
      <c r="X1129" s="88">
        <v>44145</v>
      </c>
      <c r="Y1129" s="130" t="s">
        <v>20</v>
      </c>
      <c r="Z1129" s="133" t="s">
        <v>81</v>
      </c>
      <c r="AA1129" s="133"/>
      <c r="AB1129" s="241">
        <v>400</v>
      </c>
      <c r="AC1129" s="134">
        <v>361.75</v>
      </c>
      <c r="AD1129" s="134"/>
      <c r="AE1129" s="403">
        <f t="shared" si="62"/>
        <v>144700</v>
      </c>
      <c r="AF1129" s="132"/>
      <c r="AG1129" s="130" t="s">
        <v>46</v>
      </c>
      <c r="AH1129" s="130"/>
      <c r="AI1129" s="130" t="s">
        <v>100</v>
      </c>
      <c r="AJ1129" s="130"/>
      <c r="AK1129" s="130"/>
      <c r="AL1129" s="135" t="s">
        <v>4250</v>
      </c>
      <c r="AM1129" s="314"/>
      <c r="AN1129" s="26"/>
      <c r="AO1129" s="26"/>
      <c r="AP1129" s="26"/>
      <c r="AQ1129" s="26">
        <v>44153</v>
      </c>
      <c r="AR1129" s="24"/>
      <c r="AS1129" s="24"/>
      <c r="AT1129" s="24">
        <v>44155</v>
      </c>
      <c r="AU1129" s="418">
        <f t="shared" si="63"/>
        <v>11</v>
      </c>
      <c r="AV1129" s="418">
        <f t="shared" si="64"/>
        <v>2020</v>
      </c>
      <c r="AW1129" s="24"/>
      <c r="AX1129" s="28"/>
      <c r="AY1129" s="28" t="s">
        <v>3574</v>
      </c>
      <c r="AZ1129" s="132" t="s">
        <v>9</v>
      </c>
      <c r="BA1129" s="132"/>
      <c r="BB1129" s="24" t="s">
        <v>3519</v>
      </c>
      <c r="BC1129" s="135">
        <v>213</v>
      </c>
      <c r="BD1129" s="24">
        <v>44109</v>
      </c>
      <c r="BE1129" s="135" t="s">
        <v>4425</v>
      </c>
      <c r="BF1129" s="135" t="s">
        <v>4425</v>
      </c>
      <c r="BG1129" s="135" t="s">
        <v>52</v>
      </c>
      <c r="BH1129" s="135"/>
      <c r="BI1129" s="314" t="s">
        <v>117</v>
      </c>
      <c r="BJ1129" s="314" t="s">
        <v>148</v>
      </c>
      <c r="BK1129" s="24"/>
      <c r="BL1129" s="24"/>
      <c r="BM1129" s="24"/>
      <c r="BN1129" s="24"/>
      <c r="BO1129" s="24"/>
      <c r="BP1129" s="24"/>
      <c r="BQ1129" s="24"/>
      <c r="BR1129" s="43"/>
      <c r="BS1129" s="24"/>
      <c r="BT1129" s="24"/>
      <c r="BU1129" s="24"/>
      <c r="BV1129" s="132" t="e">
        <f>IF(#REF!="COMPLETO","OK","PENDIENTES")</f>
        <v>#REF!</v>
      </c>
      <c r="BW1129" s="325"/>
      <c r="BX1129" s="325"/>
      <c r="BY1129" s="325"/>
      <c r="BZ1129" s="325"/>
      <c r="CA1129" s="325"/>
      <c r="CB1129" s="325"/>
      <c r="CC1129" s="258"/>
      <c r="CG1129" s="24" t="s">
        <v>105</v>
      </c>
      <c r="CH1129" s="24"/>
      <c r="CI1129" s="24"/>
      <c r="CJ1129" s="24"/>
    </row>
    <row r="1130" spans="1:88" ht="15" customHeight="1">
      <c r="A1130" s="18">
        <v>2020</v>
      </c>
      <c r="B1130" s="18" t="str">
        <f>+INDEX(BDD!F:F,MATCH(P1130,BDD!D:D,0))&amp;"-"&amp;INDEX(BDD!E:E,MATCH(P1130,BDD!D:D,0))</f>
        <v>G-S</v>
      </c>
      <c r="C1130" s="360" t="s">
        <v>484</v>
      </c>
      <c r="D1130" s="150" t="s">
        <v>77</v>
      </c>
      <c r="E1130" s="132"/>
      <c r="F1130" s="24"/>
      <c r="G1130" s="346">
        <v>8000001102</v>
      </c>
      <c r="H1130" s="18" t="s">
        <v>4437</v>
      </c>
      <c r="I1130" s="329"/>
      <c r="J1130" s="346">
        <v>8000001102</v>
      </c>
      <c r="K1130" s="24"/>
      <c r="L1130" s="24"/>
      <c r="M1130" s="24"/>
      <c r="N1130" s="340" t="s">
        <v>486</v>
      </c>
      <c r="O1130" s="334">
        <v>206569</v>
      </c>
      <c r="P1130" s="25" t="s">
        <v>142</v>
      </c>
      <c r="Q1130" s="127" t="s">
        <v>66</v>
      </c>
      <c r="R1130" s="232" t="s">
        <v>4435</v>
      </c>
      <c r="S1130" s="89">
        <v>44060</v>
      </c>
      <c r="T1130" s="36" t="s">
        <v>19</v>
      </c>
      <c r="U1130" s="125"/>
      <c r="V1130" s="147" t="s">
        <v>4438</v>
      </c>
      <c r="W1130" s="129"/>
      <c r="X1130" s="88">
        <v>44145</v>
      </c>
      <c r="Y1130" s="130" t="s">
        <v>20</v>
      </c>
      <c r="Z1130" s="133" t="s">
        <v>81</v>
      </c>
      <c r="AA1130" s="133"/>
      <c r="AB1130" s="241">
        <v>700</v>
      </c>
      <c r="AC1130" s="134">
        <v>361.75</v>
      </c>
      <c r="AD1130" s="134"/>
      <c r="AE1130" s="403">
        <f t="shared" si="62"/>
        <v>253225</v>
      </c>
      <c r="AF1130" s="132"/>
      <c r="AG1130" s="130" t="s">
        <v>46</v>
      </c>
      <c r="AH1130" s="130"/>
      <c r="AI1130" s="130" t="s">
        <v>100</v>
      </c>
      <c r="AJ1130" s="130"/>
      <c r="AK1130" s="130"/>
      <c r="AL1130" s="135" t="s">
        <v>4250</v>
      </c>
      <c r="AM1130" s="314"/>
      <c r="AN1130" s="26"/>
      <c r="AO1130" s="26"/>
      <c r="AP1130" s="26"/>
      <c r="AQ1130" s="26">
        <v>44156</v>
      </c>
      <c r="AR1130" s="24"/>
      <c r="AS1130" s="24"/>
      <c r="AT1130" s="24">
        <v>44159</v>
      </c>
      <c r="AU1130" s="418">
        <f t="shared" si="63"/>
        <v>11</v>
      </c>
      <c r="AV1130" s="418">
        <f t="shared" si="64"/>
        <v>2020</v>
      </c>
      <c r="AW1130" s="24"/>
      <c r="AX1130" s="28"/>
      <c r="AY1130" s="28" t="s">
        <v>3574</v>
      </c>
      <c r="AZ1130" s="132" t="s">
        <v>25</v>
      </c>
      <c r="BA1130" s="132"/>
      <c r="BB1130" s="24" t="s">
        <v>3519</v>
      </c>
      <c r="BC1130" s="135">
        <v>214</v>
      </c>
      <c r="BD1130" s="24">
        <v>44109</v>
      </c>
      <c r="BE1130" s="135" t="s">
        <v>4425</v>
      </c>
      <c r="BF1130" s="135" t="s">
        <v>4425</v>
      </c>
      <c r="BG1130" s="135" t="s">
        <v>52</v>
      </c>
      <c r="BH1130" s="135"/>
      <c r="BI1130" s="314" t="s">
        <v>117</v>
      </c>
      <c r="BJ1130" s="314" t="s">
        <v>148</v>
      </c>
      <c r="BK1130" s="24"/>
      <c r="BL1130" s="24"/>
      <c r="BM1130" s="24"/>
      <c r="BN1130" s="24"/>
      <c r="BO1130" s="24"/>
      <c r="BP1130" s="24"/>
      <c r="BQ1130" s="24"/>
      <c r="BR1130" s="43"/>
      <c r="BS1130" s="24"/>
      <c r="BT1130" s="24"/>
      <c r="BU1130" s="24"/>
      <c r="BV1130" s="132" t="e">
        <f>IF(#REF!="COMPLETO","OK","PENDIENTES")</f>
        <v>#REF!</v>
      </c>
      <c r="BW1130" s="326"/>
      <c r="BX1130" s="326"/>
      <c r="BY1130" s="326"/>
      <c r="BZ1130" s="326"/>
      <c r="CA1130" s="326"/>
      <c r="CB1130" s="326"/>
      <c r="CC1130" s="269"/>
      <c r="CG1130" s="24" t="s">
        <v>105</v>
      </c>
      <c r="CH1130" s="24"/>
      <c r="CI1130" s="24"/>
      <c r="CJ1130" s="24"/>
    </row>
    <row r="1131" spans="1:88" ht="15" customHeight="1">
      <c r="A1131" s="18">
        <v>2020</v>
      </c>
      <c r="B1131" s="18" t="str">
        <f>+INDEX(BDD!F:F,MATCH(P1131,BDD!D:D,0))&amp;"-"&amp;INDEX(BDD!E:E,MATCH(P1131,BDD!D:D,0))</f>
        <v>G-S</v>
      </c>
      <c r="C1131" s="360" t="s">
        <v>484</v>
      </c>
      <c r="D1131" s="150" t="s">
        <v>77</v>
      </c>
      <c r="E1131" s="132"/>
      <c r="F1131" s="24"/>
      <c r="G1131" s="346">
        <v>8000001116</v>
      </c>
      <c r="H1131" s="18" t="s">
        <v>4439</v>
      </c>
      <c r="I1131" s="329"/>
      <c r="J1131" s="346">
        <v>8000001116</v>
      </c>
      <c r="K1131" s="24"/>
      <c r="L1131" s="24"/>
      <c r="M1131" s="24"/>
      <c r="N1131" s="340" t="s">
        <v>486</v>
      </c>
      <c r="O1131" s="334">
        <v>206569</v>
      </c>
      <c r="P1131" s="25" t="s">
        <v>142</v>
      </c>
      <c r="Q1131" s="127" t="s">
        <v>66</v>
      </c>
      <c r="R1131" s="232" t="s">
        <v>4435</v>
      </c>
      <c r="S1131" s="89">
        <v>44060</v>
      </c>
      <c r="T1131" s="36" t="s">
        <v>19</v>
      </c>
      <c r="U1131" s="125"/>
      <c r="V1131" s="147" t="s">
        <v>4440</v>
      </c>
      <c r="W1131" s="129"/>
      <c r="X1131" s="88">
        <v>44145</v>
      </c>
      <c r="Y1131" s="130" t="s">
        <v>20</v>
      </c>
      <c r="Z1131" s="133" t="s">
        <v>81</v>
      </c>
      <c r="AA1131" s="133"/>
      <c r="AB1131" s="241">
        <v>2710</v>
      </c>
      <c r="AC1131" s="134">
        <v>361.75</v>
      </c>
      <c r="AD1131" s="134"/>
      <c r="AE1131" s="403">
        <f t="shared" si="62"/>
        <v>980342.5</v>
      </c>
      <c r="AF1131" s="132"/>
      <c r="AG1131" s="130" t="s">
        <v>46</v>
      </c>
      <c r="AH1131" s="130"/>
      <c r="AI1131" s="130" t="s">
        <v>100</v>
      </c>
      <c r="AJ1131" s="130"/>
      <c r="AK1131" s="130"/>
      <c r="AL1131" s="135" t="s">
        <v>4250</v>
      </c>
      <c r="AM1131" s="314"/>
      <c r="AN1131" s="26"/>
      <c r="AO1131" s="26"/>
      <c r="AP1131" s="26"/>
      <c r="AQ1131" s="26">
        <v>44161</v>
      </c>
      <c r="AR1131" s="24"/>
      <c r="AS1131" s="24"/>
      <c r="AT1131" s="24">
        <v>44163</v>
      </c>
      <c r="AU1131" s="418">
        <f t="shared" si="63"/>
        <v>11</v>
      </c>
      <c r="AV1131" s="418">
        <f t="shared" si="64"/>
        <v>2020</v>
      </c>
      <c r="AW1131" s="24"/>
      <c r="AX1131" s="28"/>
      <c r="AY1131" s="28" t="s">
        <v>3574</v>
      </c>
      <c r="AZ1131" s="132" t="s">
        <v>37</v>
      </c>
      <c r="BA1131" s="132"/>
      <c r="BB1131" s="24" t="s">
        <v>3593</v>
      </c>
      <c r="BC1131" s="135">
        <v>215</v>
      </c>
      <c r="BD1131" s="24">
        <v>44109</v>
      </c>
      <c r="BE1131" s="135" t="s">
        <v>4425</v>
      </c>
      <c r="BF1131" s="135" t="s">
        <v>4425</v>
      </c>
      <c r="BG1131" s="135" t="s">
        <v>52</v>
      </c>
      <c r="BH1131" s="135"/>
      <c r="BI1131" s="314" t="s">
        <v>117</v>
      </c>
      <c r="BJ1131" s="314" t="s">
        <v>148</v>
      </c>
      <c r="BK1131" s="24"/>
      <c r="BL1131" s="24"/>
      <c r="BM1131" s="24"/>
      <c r="BN1131" s="24"/>
      <c r="BO1131" s="24"/>
      <c r="BP1131" s="24"/>
      <c r="BQ1131" s="24"/>
      <c r="BR1131" s="43"/>
      <c r="BS1131" s="24"/>
      <c r="BT1131" s="24"/>
      <c r="BU1131" s="24"/>
      <c r="BV1131" s="132" t="e">
        <f>IF(#REF!="COMPLETO","OK","PENDIENTES")</f>
        <v>#REF!</v>
      </c>
      <c r="BW1131" s="326"/>
      <c r="BX1131" s="326"/>
      <c r="BY1131" s="326"/>
      <c r="BZ1131" s="326"/>
      <c r="CA1131" s="326"/>
      <c r="CB1131" s="326"/>
      <c r="CC1131" s="269"/>
      <c r="CG1131" s="24" t="s">
        <v>105</v>
      </c>
      <c r="CH1131" s="24"/>
      <c r="CI1131" s="24"/>
      <c r="CJ1131" s="24"/>
    </row>
    <row r="1132" spans="1:88" ht="15" customHeight="1">
      <c r="A1132" s="18">
        <v>2020</v>
      </c>
      <c r="B1132" s="18" t="str">
        <f>+INDEX(BDD!F:F,MATCH(P1132,BDD!D:D,0))&amp;"-"&amp;INDEX(BDD!E:E,MATCH(P1132,BDD!D:D,0))</f>
        <v>G-S</v>
      </c>
      <c r="C1132" s="360" t="s">
        <v>484</v>
      </c>
      <c r="D1132" s="150" t="s">
        <v>77</v>
      </c>
      <c r="E1132" s="132"/>
      <c r="F1132" s="24"/>
      <c r="G1132" s="346">
        <v>8000001127</v>
      </c>
      <c r="H1132" s="18" t="s">
        <v>4441</v>
      </c>
      <c r="I1132" s="329"/>
      <c r="J1132" s="346">
        <v>8000001127</v>
      </c>
      <c r="K1132" s="24"/>
      <c r="L1132" s="24"/>
      <c r="M1132" s="24"/>
      <c r="N1132" s="340" t="s">
        <v>486</v>
      </c>
      <c r="O1132" s="334">
        <v>206569</v>
      </c>
      <c r="P1132" s="25" t="s">
        <v>142</v>
      </c>
      <c r="Q1132" s="127" t="s">
        <v>66</v>
      </c>
      <c r="R1132" s="232" t="s">
        <v>4435</v>
      </c>
      <c r="S1132" s="89">
        <v>44060</v>
      </c>
      <c r="T1132" s="36" t="s">
        <v>19</v>
      </c>
      <c r="U1132" s="125"/>
      <c r="V1132" s="147" t="s">
        <v>4442</v>
      </c>
      <c r="W1132" s="129"/>
      <c r="X1132" s="88">
        <v>44145</v>
      </c>
      <c r="Y1132" s="130" t="s">
        <v>20</v>
      </c>
      <c r="Z1132" s="133" t="s">
        <v>81</v>
      </c>
      <c r="AA1132" s="133"/>
      <c r="AB1132" s="241">
        <v>90</v>
      </c>
      <c r="AC1132" s="134">
        <v>361.75</v>
      </c>
      <c r="AD1132" s="134"/>
      <c r="AE1132" s="403">
        <f t="shared" si="62"/>
        <v>32557.5</v>
      </c>
      <c r="AF1132" s="132"/>
      <c r="AG1132" s="130" t="s">
        <v>46</v>
      </c>
      <c r="AH1132" s="130"/>
      <c r="AI1132" s="130" t="s">
        <v>100</v>
      </c>
      <c r="AJ1132" s="130"/>
      <c r="AK1132" s="130"/>
      <c r="AL1132" s="135" t="s">
        <v>4250</v>
      </c>
      <c r="AM1132" s="314"/>
      <c r="AN1132" s="26"/>
      <c r="AO1132" s="26"/>
      <c r="AP1132" s="26"/>
      <c r="AQ1132" s="26">
        <v>44163</v>
      </c>
      <c r="AR1132" s="24"/>
      <c r="AS1132" s="24"/>
      <c r="AT1132" s="24">
        <v>44166</v>
      </c>
      <c r="AU1132" s="418">
        <f t="shared" si="63"/>
        <v>12</v>
      </c>
      <c r="AV1132" s="418">
        <f t="shared" si="64"/>
        <v>2020</v>
      </c>
      <c r="AW1132" s="24"/>
      <c r="AX1132" s="28"/>
      <c r="AY1132" s="28" t="s">
        <v>3574</v>
      </c>
      <c r="AZ1132" s="132" t="s">
        <v>50</v>
      </c>
      <c r="BA1132" s="132"/>
      <c r="BB1132" s="24" t="s">
        <v>2956</v>
      </c>
      <c r="BC1132" s="135">
        <v>216</v>
      </c>
      <c r="BD1132" s="24">
        <v>44109</v>
      </c>
      <c r="BE1132" s="135" t="s">
        <v>4425</v>
      </c>
      <c r="BF1132" s="135" t="s">
        <v>4425</v>
      </c>
      <c r="BG1132" s="135" t="s">
        <v>52</v>
      </c>
      <c r="BH1132" s="135"/>
      <c r="BI1132" s="314" t="s">
        <v>117</v>
      </c>
      <c r="BJ1132" s="314" t="s">
        <v>148</v>
      </c>
      <c r="BK1132" s="24"/>
      <c r="BL1132" s="24"/>
      <c r="BM1132" s="24"/>
      <c r="BN1132" s="24"/>
      <c r="BO1132" s="24"/>
      <c r="BP1132" s="24"/>
      <c r="BQ1132" s="24"/>
      <c r="BR1132" s="43"/>
      <c r="BS1132" s="24"/>
      <c r="BT1132" s="24"/>
      <c r="BU1132" s="24"/>
      <c r="BV1132" s="132" t="e">
        <f>IF(#REF!="COMPLETO","OK","PENDIENTES")</f>
        <v>#REF!</v>
      </c>
      <c r="BW1132" s="326"/>
      <c r="BX1132" s="326"/>
      <c r="BY1132" s="326"/>
      <c r="BZ1132" s="326"/>
      <c r="CA1132" s="326"/>
      <c r="CB1132" s="326"/>
      <c r="CC1132" s="269"/>
      <c r="CG1132" s="24" t="s">
        <v>105</v>
      </c>
      <c r="CH1132" s="24"/>
      <c r="CI1132" s="24"/>
      <c r="CJ1132" s="24"/>
    </row>
    <row r="1133" spans="1:88" ht="15" customHeight="1">
      <c r="A1133" s="18">
        <v>2020</v>
      </c>
      <c r="B1133" s="18" t="str">
        <f>+INDEX(BDD!F:F,MATCH(P1133,BDD!D:D,0))&amp;"-"&amp;INDEX(BDD!E:E,MATCH(P1133,BDD!D:D,0))</f>
        <v>G-S</v>
      </c>
      <c r="C1133" s="360" t="s">
        <v>484</v>
      </c>
      <c r="D1133" s="150" t="s">
        <v>77</v>
      </c>
      <c r="E1133" s="132"/>
      <c r="F1133" s="24"/>
      <c r="G1133" s="346">
        <v>8000001143</v>
      </c>
      <c r="H1133" s="18" t="s">
        <v>4443</v>
      </c>
      <c r="I1133" s="329"/>
      <c r="J1133" s="346">
        <v>8000001143</v>
      </c>
      <c r="K1133" s="24"/>
      <c r="L1133" s="24"/>
      <c r="M1133" s="24"/>
      <c r="N1133" s="340" t="s">
        <v>486</v>
      </c>
      <c r="O1133" s="334">
        <v>206569</v>
      </c>
      <c r="P1133" s="25" t="s">
        <v>142</v>
      </c>
      <c r="Q1133" s="127" t="s">
        <v>66</v>
      </c>
      <c r="R1133" s="232" t="s">
        <v>4435</v>
      </c>
      <c r="S1133" s="89">
        <v>44060</v>
      </c>
      <c r="T1133" s="36" t="s">
        <v>19</v>
      </c>
      <c r="U1133" s="125"/>
      <c r="V1133" s="147" t="s">
        <v>4444</v>
      </c>
      <c r="W1133" s="129"/>
      <c r="X1133" s="88">
        <v>44145</v>
      </c>
      <c r="Y1133" s="130" t="s">
        <v>20</v>
      </c>
      <c r="Z1133" s="133" t="s">
        <v>81</v>
      </c>
      <c r="AA1133" s="133"/>
      <c r="AB1133" s="241">
        <v>1600</v>
      </c>
      <c r="AC1133" s="134">
        <v>361.75</v>
      </c>
      <c r="AD1133" s="134"/>
      <c r="AE1133" s="403">
        <f t="shared" si="62"/>
        <v>578800</v>
      </c>
      <c r="AF1133" s="132"/>
      <c r="AG1133" s="130" t="s">
        <v>46</v>
      </c>
      <c r="AH1133" s="130"/>
      <c r="AI1133" s="130" t="s">
        <v>100</v>
      </c>
      <c r="AJ1133" s="130"/>
      <c r="AK1133" s="130"/>
      <c r="AL1133" s="135" t="s">
        <v>4250</v>
      </c>
      <c r="AM1133" s="314"/>
      <c r="AN1133" s="26"/>
      <c r="AO1133" s="26"/>
      <c r="AP1133" s="26"/>
      <c r="AQ1133" s="26">
        <v>44167</v>
      </c>
      <c r="AR1133" s="24"/>
      <c r="AS1133" s="24"/>
      <c r="AT1133" s="24">
        <v>44169</v>
      </c>
      <c r="AU1133" s="418">
        <f t="shared" si="63"/>
        <v>12</v>
      </c>
      <c r="AV1133" s="418">
        <f t="shared" si="64"/>
        <v>2020</v>
      </c>
      <c r="AW1133" s="24"/>
      <c r="AX1133" s="28"/>
      <c r="AY1133" s="28" t="s">
        <v>3574</v>
      </c>
      <c r="AZ1133" s="132" t="s">
        <v>62</v>
      </c>
      <c r="BA1133" s="132"/>
      <c r="BB1133" s="24" t="s">
        <v>3264</v>
      </c>
      <c r="BC1133" s="135">
        <v>217</v>
      </c>
      <c r="BD1133" s="24">
        <v>44109</v>
      </c>
      <c r="BE1133" s="135" t="s">
        <v>4425</v>
      </c>
      <c r="BF1133" s="135" t="s">
        <v>4425</v>
      </c>
      <c r="BG1133" s="135" t="s">
        <v>52</v>
      </c>
      <c r="BH1133" s="135"/>
      <c r="BI1133" s="314" t="s">
        <v>117</v>
      </c>
      <c r="BJ1133" s="314" t="s">
        <v>148</v>
      </c>
      <c r="BK1133" s="24"/>
      <c r="BL1133" s="24"/>
      <c r="BM1133" s="24"/>
      <c r="BN1133" s="24"/>
      <c r="BO1133" s="24"/>
      <c r="BP1133" s="24"/>
      <c r="BQ1133" s="24"/>
      <c r="BR1133" s="43"/>
      <c r="BS1133" s="24"/>
      <c r="BT1133" s="24"/>
      <c r="BU1133" s="24"/>
      <c r="BV1133" s="132" t="e">
        <f>IF(#REF!="COMPLETO","OK","PENDIENTES")</f>
        <v>#REF!</v>
      </c>
      <c r="BW1133" s="326"/>
      <c r="BX1133" s="326"/>
      <c r="BY1133" s="326"/>
      <c r="BZ1133" s="326"/>
      <c r="CA1133" s="326"/>
      <c r="CB1133" s="326"/>
      <c r="CC1133" s="269" t="s">
        <v>4445</v>
      </c>
      <c r="CG1133" s="24" t="s">
        <v>105</v>
      </c>
      <c r="CH1133" s="24"/>
      <c r="CI1133" s="24"/>
      <c r="CJ1133" s="24"/>
    </row>
    <row r="1134" spans="1:88" ht="15" customHeight="1">
      <c r="A1134" s="18">
        <v>2020</v>
      </c>
      <c r="B1134" s="18" t="str">
        <f>+INDEX(BDD!F:F,MATCH(P1134,BDD!D:D,0))&amp;"-"&amp;INDEX(BDD!E:E,MATCH(P1134,BDD!D:D,0))</f>
        <v>G-S</v>
      </c>
      <c r="C1134" s="360" t="s">
        <v>484</v>
      </c>
      <c r="D1134" s="150" t="s">
        <v>77</v>
      </c>
      <c r="E1134" s="132"/>
      <c r="F1134" s="24"/>
      <c r="G1134" s="346">
        <v>8000001098</v>
      </c>
      <c r="H1134" s="18" t="s">
        <v>4446</v>
      </c>
      <c r="I1134" s="329"/>
      <c r="J1134" s="346">
        <v>8000001098</v>
      </c>
      <c r="K1134" s="24"/>
      <c r="L1134" s="24"/>
      <c r="M1134" s="24"/>
      <c r="N1134" s="340" t="s">
        <v>486</v>
      </c>
      <c r="O1134" s="334">
        <v>208300</v>
      </c>
      <c r="P1134" s="25" t="s">
        <v>332</v>
      </c>
      <c r="Q1134" s="127" t="s">
        <v>66</v>
      </c>
      <c r="R1134" s="232" t="s">
        <v>4447</v>
      </c>
      <c r="S1134" s="89">
        <v>44070</v>
      </c>
      <c r="T1134" s="36" t="s">
        <v>19</v>
      </c>
      <c r="U1134" s="125"/>
      <c r="V1134" s="147" t="s">
        <v>4448</v>
      </c>
      <c r="W1134" s="129"/>
      <c r="X1134" s="88">
        <v>44133</v>
      </c>
      <c r="Y1134" s="130" t="s">
        <v>20</v>
      </c>
      <c r="Z1134" s="133" t="s">
        <v>60</v>
      </c>
      <c r="AA1134" s="133"/>
      <c r="AB1134" s="241">
        <v>500.4</v>
      </c>
      <c r="AC1134" s="134">
        <v>172</v>
      </c>
      <c r="AD1134" s="134"/>
      <c r="AE1134" s="403">
        <f t="shared" si="62"/>
        <v>86068.800000000003</v>
      </c>
      <c r="AF1134" s="132"/>
      <c r="AG1134" s="130" t="s">
        <v>58</v>
      </c>
      <c r="AH1134" s="130"/>
      <c r="AI1134" s="130" t="s">
        <v>100</v>
      </c>
      <c r="AJ1134" s="130"/>
      <c r="AK1134" s="130"/>
      <c r="AL1134" s="135" t="s">
        <v>4250</v>
      </c>
      <c r="AM1134" s="314"/>
      <c r="AN1134" s="26"/>
      <c r="AO1134" s="26"/>
      <c r="AP1134" s="26"/>
      <c r="AQ1134" s="26">
        <v>44153</v>
      </c>
      <c r="AR1134" s="24"/>
      <c r="AS1134" s="24"/>
      <c r="AT1134" s="24">
        <v>44155</v>
      </c>
      <c r="AU1134" s="418">
        <f t="shared" si="63"/>
        <v>11</v>
      </c>
      <c r="AV1134" s="418">
        <f t="shared" si="64"/>
        <v>2020</v>
      </c>
      <c r="AW1134" s="24"/>
      <c r="AX1134" s="28"/>
      <c r="AY1134" s="28" t="s">
        <v>4424</v>
      </c>
      <c r="AZ1134" s="132" t="s">
        <v>9</v>
      </c>
      <c r="BA1134" s="132"/>
      <c r="BB1134" s="24" t="s">
        <v>3264</v>
      </c>
      <c r="BC1134" s="135">
        <v>301</v>
      </c>
      <c r="BD1134" s="24">
        <v>44120</v>
      </c>
      <c r="BE1134" s="135" t="s">
        <v>4425</v>
      </c>
      <c r="BF1134" s="135" t="s">
        <v>4425</v>
      </c>
      <c r="BG1134" s="135" t="s">
        <v>52</v>
      </c>
      <c r="BH1134" s="135"/>
      <c r="BI1134" s="314" t="s">
        <v>124</v>
      </c>
      <c r="BJ1134" s="314" t="s">
        <v>148</v>
      </c>
      <c r="BK1134" s="24"/>
      <c r="BL1134" s="24"/>
      <c r="BM1134" s="24"/>
      <c r="BN1134" s="24"/>
      <c r="BO1134" s="24"/>
      <c r="BP1134" s="24"/>
      <c r="BQ1134" s="24"/>
      <c r="BR1134" s="43"/>
      <c r="BS1134" s="24"/>
      <c r="BT1134" s="24"/>
      <c r="BU1134" s="24"/>
      <c r="BV1134" s="132" t="e">
        <f>IF(#REF!="COMPLETO","OK","PENDIENTES")</f>
        <v>#REF!</v>
      </c>
      <c r="BW1134" s="326"/>
      <c r="BX1134" s="326"/>
      <c r="BY1134" s="326"/>
      <c r="BZ1134" s="326"/>
      <c r="CA1134" s="326"/>
      <c r="CB1134" s="326"/>
      <c r="CC1134" s="269"/>
      <c r="CG1134" s="24" t="s">
        <v>105</v>
      </c>
      <c r="CH1134" s="24"/>
      <c r="CI1134" s="24"/>
      <c r="CJ1134" s="24"/>
    </row>
    <row r="1135" spans="1:88" ht="15" customHeight="1">
      <c r="A1135" s="18">
        <v>2020</v>
      </c>
      <c r="B1135" s="18" t="str">
        <f>+INDEX(BDD!F:F,MATCH(P1135,BDD!D:D,0))&amp;"-"&amp;INDEX(BDD!E:E,MATCH(P1135,BDD!D:D,0))</f>
        <v>G-S</v>
      </c>
      <c r="C1135" s="360" t="s">
        <v>484</v>
      </c>
      <c r="D1135" s="150" t="s">
        <v>77</v>
      </c>
      <c r="E1135" s="132"/>
      <c r="F1135" s="24"/>
      <c r="G1135" s="346">
        <v>8000001110</v>
      </c>
      <c r="H1135" s="18" t="s">
        <v>4449</v>
      </c>
      <c r="I1135" s="329"/>
      <c r="J1135" s="346">
        <v>8000001110</v>
      </c>
      <c r="K1135" s="24"/>
      <c r="L1135" s="24"/>
      <c r="M1135" s="24"/>
      <c r="N1135" s="340" t="s">
        <v>486</v>
      </c>
      <c r="O1135" s="334">
        <v>208300</v>
      </c>
      <c r="P1135" s="25" t="s">
        <v>332</v>
      </c>
      <c r="Q1135" s="127" t="s">
        <v>66</v>
      </c>
      <c r="R1135" s="232" t="s">
        <v>4447</v>
      </c>
      <c r="S1135" s="89">
        <v>44070</v>
      </c>
      <c r="T1135" s="36" t="s">
        <v>19</v>
      </c>
      <c r="U1135" s="125"/>
      <c r="V1135" s="147" t="s">
        <v>4450</v>
      </c>
      <c r="W1135" s="129"/>
      <c r="X1135" s="88">
        <v>44133</v>
      </c>
      <c r="Y1135" s="130" t="s">
        <v>20</v>
      </c>
      <c r="Z1135" s="133" t="s">
        <v>60</v>
      </c>
      <c r="AA1135" s="133"/>
      <c r="AB1135" s="241">
        <v>300</v>
      </c>
      <c r="AC1135" s="134">
        <v>172</v>
      </c>
      <c r="AD1135" s="134"/>
      <c r="AE1135" s="403">
        <f t="shared" si="62"/>
        <v>51600</v>
      </c>
      <c r="AF1135" s="132"/>
      <c r="AG1135" s="130" t="s">
        <v>58</v>
      </c>
      <c r="AH1135" s="130"/>
      <c r="AI1135" s="130" t="s">
        <v>100</v>
      </c>
      <c r="AJ1135" s="130"/>
      <c r="AK1135" s="130"/>
      <c r="AL1135" s="135" t="s">
        <v>4250</v>
      </c>
      <c r="AM1135" s="314"/>
      <c r="AN1135" s="26"/>
      <c r="AO1135" s="26"/>
      <c r="AP1135" s="26"/>
      <c r="AQ1135" s="26">
        <v>44156</v>
      </c>
      <c r="AR1135" s="24"/>
      <c r="AS1135" s="24"/>
      <c r="AT1135" s="24">
        <v>44159</v>
      </c>
      <c r="AU1135" s="418">
        <f t="shared" si="63"/>
        <v>11</v>
      </c>
      <c r="AV1135" s="418">
        <f t="shared" si="64"/>
        <v>2020</v>
      </c>
      <c r="AW1135" s="24"/>
      <c r="AX1135" s="28"/>
      <c r="AY1135" s="28" t="s">
        <v>4424</v>
      </c>
      <c r="AZ1135" s="132" t="s">
        <v>25</v>
      </c>
      <c r="BA1135" s="132"/>
      <c r="BB1135" s="24" t="s">
        <v>3264</v>
      </c>
      <c r="BC1135" s="135">
        <v>302</v>
      </c>
      <c r="BD1135" s="24">
        <v>44120</v>
      </c>
      <c r="BE1135" s="135" t="s">
        <v>4425</v>
      </c>
      <c r="BF1135" s="135" t="s">
        <v>4425</v>
      </c>
      <c r="BG1135" s="135" t="s">
        <v>52</v>
      </c>
      <c r="BH1135" s="135"/>
      <c r="BI1135" s="314" t="s">
        <v>124</v>
      </c>
      <c r="BJ1135" s="314" t="s">
        <v>148</v>
      </c>
      <c r="BK1135" s="24"/>
      <c r="BL1135" s="24"/>
      <c r="BM1135" s="24"/>
      <c r="BN1135" s="24"/>
      <c r="BO1135" s="24"/>
      <c r="BP1135" s="24"/>
      <c r="BQ1135" s="24"/>
      <c r="BR1135" s="43"/>
      <c r="BS1135" s="24"/>
      <c r="BT1135" s="24"/>
      <c r="BU1135" s="24"/>
      <c r="BV1135" s="132" t="e">
        <f>IF(#REF!="COMPLETO","OK","PENDIENTES")</f>
        <v>#REF!</v>
      </c>
      <c r="BW1135" s="326"/>
      <c r="BX1135" s="326"/>
      <c r="BY1135" s="326"/>
      <c r="BZ1135" s="326"/>
      <c r="CA1135" s="326"/>
      <c r="CB1135" s="326"/>
      <c r="CC1135" s="269"/>
      <c r="CG1135" s="24" t="s">
        <v>105</v>
      </c>
      <c r="CH1135" s="24"/>
      <c r="CI1135" s="24"/>
      <c r="CJ1135" s="24"/>
    </row>
    <row r="1136" spans="1:88" ht="13.9" customHeight="1">
      <c r="A1136" s="18">
        <v>2020</v>
      </c>
      <c r="B1136" s="18" t="str">
        <f>+INDEX(BDD!F:F,MATCH(P1136,BDD!D:D,0))&amp;"-"&amp;INDEX(BDD!E:E,MATCH(P1136,BDD!D:D,0))</f>
        <v>G-S</v>
      </c>
      <c r="C1136" s="360" t="s">
        <v>484</v>
      </c>
      <c r="D1136" s="150" t="s">
        <v>77</v>
      </c>
      <c r="E1136" s="132"/>
      <c r="F1136" s="24"/>
      <c r="G1136" s="346">
        <v>8000001117</v>
      </c>
      <c r="H1136" s="18" t="s">
        <v>4451</v>
      </c>
      <c r="I1136" s="329"/>
      <c r="J1136" s="346">
        <v>8000001117</v>
      </c>
      <c r="K1136" s="24"/>
      <c r="L1136" s="24"/>
      <c r="M1136" s="24"/>
      <c r="N1136" s="340" t="s">
        <v>486</v>
      </c>
      <c r="O1136" s="334">
        <v>208300</v>
      </c>
      <c r="P1136" s="25" t="s">
        <v>332</v>
      </c>
      <c r="Q1136" s="127" t="s">
        <v>66</v>
      </c>
      <c r="R1136" s="232" t="s">
        <v>4447</v>
      </c>
      <c r="S1136" s="89">
        <v>44070</v>
      </c>
      <c r="T1136" s="36" t="s">
        <v>19</v>
      </c>
      <c r="U1136" s="125"/>
      <c r="V1136" s="147" t="s">
        <v>4452</v>
      </c>
      <c r="W1136" s="129"/>
      <c r="X1136" s="88">
        <v>44133</v>
      </c>
      <c r="Y1136" s="130" t="s">
        <v>20</v>
      </c>
      <c r="Z1136" s="133" t="s">
        <v>60</v>
      </c>
      <c r="AA1136" s="133"/>
      <c r="AB1136" s="241">
        <v>100.8</v>
      </c>
      <c r="AC1136" s="134">
        <v>172</v>
      </c>
      <c r="AD1136" s="134"/>
      <c r="AE1136" s="403">
        <f t="shared" si="62"/>
        <v>17337.599999999999</v>
      </c>
      <c r="AF1136" s="132"/>
      <c r="AG1136" s="130" t="s">
        <v>58</v>
      </c>
      <c r="AH1136" s="130"/>
      <c r="AI1136" s="130" t="s">
        <v>100</v>
      </c>
      <c r="AJ1136" s="130"/>
      <c r="AK1136" s="130"/>
      <c r="AL1136" s="135" t="s">
        <v>4250</v>
      </c>
      <c r="AM1136" s="314"/>
      <c r="AN1136" s="26"/>
      <c r="AO1136" s="26"/>
      <c r="AP1136" s="26"/>
      <c r="AQ1136" s="26">
        <v>44161</v>
      </c>
      <c r="AR1136" s="24"/>
      <c r="AS1136" s="24"/>
      <c r="AT1136" s="24">
        <v>44163</v>
      </c>
      <c r="AU1136" s="418">
        <f t="shared" si="63"/>
        <v>11</v>
      </c>
      <c r="AV1136" s="418">
        <f t="shared" si="64"/>
        <v>2020</v>
      </c>
      <c r="AW1136" s="24"/>
      <c r="AX1136" s="28"/>
      <c r="AY1136" s="28" t="s">
        <v>4424</v>
      </c>
      <c r="AZ1136" s="132" t="s">
        <v>37</v>
      </c>
      <c r="BA1136" s="132"/>
      <c r="BB1136" s="24" t="s">
        <v>3291</v>
      </c>
      <c r="BC1136" s="135">
        <v>303</v>
      </c>
      <c r="BD1136" s="24">
        <v>44120</v>
      </c>
      <c r="BE1136" s="135" t="s">
        <v>4425</v>
      </c>
      <c r="BF1136" s="135" t="s">
        <v>4425</v>
      </c>
      <c r="BG1136" s="135" t="s">
        <v>52</v>
      </c>
      <c r="BH1136" s="135"/>
      <c r="BI1136" s="314" t="s">
        <v>124</v>
      </c>
      <c r="BJ1136" s="314" t="s">
        <v>148</v>
      </c>
      <c r="BK1136" s="24"/>
      <c r="BL1136" s="24"/>
      <c r="BM1136" s="24"/>
      <c r="BN1136" s="24"/>
      <c r="BO1136" s="24"/>
      <c r="BP1136" s="24"/>
      <c r="BQ1136" s="24"/>
      <c r="BR1136" s="43"/>
      <c r="BS1136" s="24"/>
      <c r="BT1136" s="24"/>
      <c r="BU1136" s="24"/>
      <c r="BV1136" s="132" t="e">
        <f>IF(#REF!="COMPLETO","OK","PENDIENTES")</f>
        <v>#REF!</v>
      </c>
      <c r="BW1136" s="326"/>
      <c r="BX1136" s="326"/>
      <c r="BY1136" s="326"/>
      <c r="BZ1136" s="326"/>
      <c r="CA1136" s="326"/>
      <c r="CB1136" s="326"/>
      <c r="CC1136" s="269"/>
      <c r="CG1136" s="24" t="s">
        <v>105</v>
      </c>
      <c r="CH1136" s="24"/>
      <c r="CI1136" s="24"/>
      <c r="CJ1136" s="24"/>
    </row>
    <row r="1137" spans="1:88" ht="13.9" customHeight="1">
      <c r="A1137" s="18">
        <v>2020</v>
      </c>
      <c r="B1137" s="18" t="str">
        <f>+INDEX(BDD!F:F,MATCH(P1137,BDD!D:D,0))&amp;"-"&amp;INDEX(BDD!E:E,MATCH(P1137,BDD!D:D,0))</f>
        <v>G-S</v>
      </c>
      <c r="C1137" s="360" t="s">
        <v>484</v>
      </c>
      <c r="D1137" s="150" t="s">
        <v>77</v>
      </c>
      <c r="E1137" s="132"/>
      <c r="F1137" s="24"/>
      <c r="G1137" s="346">
        <v>8000001128</v>
      </c>
      <c r="H1137" s="18" t="s">
        <v>4453</v>
      </c>
      <c r="I1137" s="329"/>
      <c r="J1137" s="346">
        <v>8000001128</v>
      </c>
      <c r="K1137" s="24"/>
      <c r="L1137" s="24"/>
      <c r="M1137" s="24"/>
      <c r="N1137" s="340" t="s">
        <v>486</v>
      </c>
      <c r="O1137" s="334">
        <v>208300</v>
      </c>
      <c r="P1137" s="25" t="s">
        <v>332</v>
      </c>
      <c r="Q1137" s="127" t="s">
        <v>66</v>
      </c>
      <c r="R1137" s="232" t="s">
        <v>4447</v>
      </c>
      <c r="S1137" s="89">
        <v>44070</v>
      </c>
      <c r="T1137" s="36" t="s">
        <v>19</v>
      </c>
      <c r="U1137" s="125"/>
      <c r="V1137" s="147" t="s">
        <v>4454</v>
      </c>
      <c r="W1137" s="129"/>
      <c r="X1137" s="88">
        <v>44133</v>
      </c>
      <c r="Y1137" s="130" t="s">
        <v>20</v>
      </c>
      <c r="Z1137" s="133" t="s">
        <v>60</v>
      </c>
      <c r="AA1137" s="133"/>
      <c r="AB1137" s="148">
        <v>99.6</v>
      </c>
      <c r="AC1137" s="134">
        <v>172</v>
      </c>
      <c r="AD1137" s="134"/>
      <c r="AE1137" s="403">
        <f t="shared" si="62"/>
        <v>17131.2</v>
      </c>
      <c r="AF1137" s="132"/>
      <c r="AG1137" s="130" t="s">
        <v>58</v>
      </c>
      <c r="AH1137" s="130"/>
      <c r="AI1137" s="130" t="s">
        <v>100</v>
      </c>
      <c r="AJ1137" s="130"/>
      <c r="AK1137" s="130"/>
      <c r="AL1137" s="135" t="s">
        <v>4250</v>
      </c>
      <c r="AM1137" s="314"/>
      <c r="AN1137" s="26"/>
      <c r="AO1137" s="26"/>
      <c r="AP1137" s="26"/>
      <c r="AQ1137" s="26">
        <v>44163</v>
      </c>
      <c r="AR1137" s="24"/>
      <c r="AS1137" s="24"/>
      <c r="AT1137" s="24">
        <v>44166</v>
      </c>
      <c r="AU1137" s="418">
        <f t="shared" si="63"/>
        <v>12</v>
      </c>
      <c r="AV1137" s="418">
        <f t="shared" si="64"/>
        <v>2020</v>
      </c>
      <c r="AW1137" s="24"/>
      <c r="AX1137" s="28"/>
      <c r="AY1137" s="28" t="s">
        <v>4424</v>
      </c>
      <c r="AZ1137" s="132" t="s">
        <v>50</v>
      </c>
      <c r="BA1137" s="132"/>
      <c r="BB1137" s="24" t="s">
        <v>2956</v>
      </c>
      <c r="BC1137" s="135">
        <v>304</v>
      </c>
      <c r="BD1137" s="24">
        <v>44120</v>
      </c>
      <c r="BE1137" s="135" t="s">
        <v>4425</v>
      </c>
      <c r="BF1137" s="135" t="s">
        <v>4425</v>
      </c>
      <c r="BG1137" s="135" t="s">
        <v>52</v>
      </c>
      <c r="BH1137" s="135"/>
      <c r="BI1137" s="314" t="s">
        <v>124</v>
      </c>
      <c r="BJ1137" s="314" t="s">
        <v>148</v>
      </c>
      <c r="BK1137" s="24"/>
      <c r="BL1137" s="24"/>
      <c r="BM1137" s="24"/>
      <c r="BN1137" s="24"/>
      <c r="BO1137" s="24"/>
      <c r="BP1137" s="24"/>
      <c r="BQ1137" s="24"/>
      <c r="BR1137" s="43"/>
      <c r="BS1137" s="24"/>
      <c r="BT1137" s="24"/>
      <c r="BU1137" s="24"/>
      <c r="BV1137" s="132" t="e">
        <f>IF(#REF!="COMPLETO","OK","PENDIENTES")</f>
        <v>#REF!</v>
      </c>
      <c r="BW1137" s="326"/>
      <c r="BX1137" s="326"/>
      <c r="BY1137" s="326"/>
      <c r="BZ1137" s="326"/>
      <c r="CA1137" s="326"/>
      <c r="CB1137" s="326"/>
      <c r="CC1137" s="269"/>
      <c r="CG1137" s="24" t="s">
        <v>105</v>
      </c>
      <c r="CH1137" s="24"/>
      <c r="CI1137" s="24"/>
      <c r="CJ1137" s="24"/>
    </row>
    <row r="1138" spans="1:88" ht="15" customHeight="1">
      <c r="A1138" s="18">
        <v>2020</v>
      </c>
      <c r="B1138" s="18" t="str">
        <f>+INDEX(BDD!F:F,MATCH(P1138,BDD!D:D,0))&amp;"-"&amp;INDEX(BDD!E:E,MATCH(P1138,BDD!D:D,0))</f>
        <v>E-S</v>
      </c>
      <c r="C1138" s="360" t="s">
        <v>484</v>
      </c>
      <c r="D1138" s="150" t="s">
        <v>77</v>
      </c>
      <c r="E1138" s="132"/>
      <c r="F1138" s="24"/>
      <c r="G1138" s="346">
        <v>8000001048</v>
      </c>
      <c r="H1138" s="18" t="s">
        <v>4455</v>
      </c>
      <c r="I1138" s="329"/>
      <c r="J1138" s="346">
        <v>8000001048</v>
      </c>
      <c r="K1138" s="24"/>
      <c r="L1138" s="24"/>
      <c r="M1138" s="24"/>
      <c r="N1138" s="340" t="s">
        <v>486</v>
      </c>
      <c r="O1138" s="334">
        <v>206720</v>
      </c>
      <c r="P1138" s="25" t="s">
        <v>336</v>
      </c>
      <c r="Q1138" s="127" t="s">
        <v>210</v>
      </c>
      <c r="R1138" s="232" t="s">
        <v>4456</v>
      </c>
      <c r="S1138" s="89" t="s">
        <v>743</v>
      </c>
      <c r="T1138" s="36">
        <v>120</v>
      </c>
      <c r="U1138" s="125" t="s">
        <v>118</v>
      </c>
      <c r="V1138" s="147" t="s">
        <v>4457</v>
      </c>
      <c r="W1138" s="129"/>
      <c r="X1138" s="88">
        <f>+BD1138+T1138</f>
        <v>44214</v>
      </c>
      <c r="Y1138" s="130" t="s">
        <v>20</v>
      </c>
      <c r="Z1138" s="133" t="s">
        <v>72</v>
      </c>
      <c r="AA1138" s="133"/>
      <c r="AB1138" s="148">
        <v>21</v>
      </c>
      <c r="AC1138" s="134">
        <v>310</v>
      </c>
      <c r="AD1138" s="134"/>
      <c r="AE1138" s="403">
        <f t="shared" si="62"/>
        <v>6510</v>
      </c>
      <c r="AF1138" s="132">
        <v>1</v>
      </c>
      <c r="AG1138" s="130" t="s">
        <v>5</v>
      </c>
      <c r="AH1138" s="130"/>
      <c r="AI1138" s="130" t="s">
        <v>34</v>
      </c>
      <c r="AJ1138" s="130"/>
      <c r="AK1138" s="130"/>
      <c r="AL1138" s="135" t="s">
        <v>4250</v>
      </c>
      <c r="AM1138" s="314"/>
      <c r="AN1138" s="26"/>
      <c r="AO1138" s="26"/>
      <c r="AP1138" s="26"/>
      <c r="AQ1138" s="26">
        <v>44120</v>
      </c>
      <c r="AR1138" s="24"/>
      <c r="AS1138" s="24"/>
      <c r="AT1138" s="24">
        <v>44126</v>
      </c>
      <c r="AU1138" s="418">
        <f t="shared" si="63"/>
        <v>10</v>
      </c>
      <c r="AV1138" s="418">
        <f t="shared" si="64"/>
        <v>2020</v>
      </c>
      <c r="AW1138" s="24"/>
      <c r="AX1138" s="28"/>
      <c r="AY1138" s="28" t="s">
        <v>162</v>
      </c>
      <c r="AZ1138" s="132" t="s">
        <v>37</v>
      </c>
      <c r="BA1138" s="132"/>
      <c r="BB1138" s="24" t="s">
        <v>3291</v>
      </c>
      <c r="BC1138" s="135" t="s">
        <v>4458</v>
      </c>
      <c r="BD1138" s="24">
        <v>44094</v>
      </c>
      <c r="BE1138" s="135" t="s">
        <v>865</v>
      </c>
      <c r="BF1138" s="135" t="s">
        <v>865</v>
      </c>
      <c r="BG1138" s="135" t="s">
        <v>64</v>
      </c>
      <c r="BH1138" s="135"/>
      <c r="BI1138" s="314" t="s">
        <v>124</v>
      </c>
      <c r="BJ1138" s="314" t="s">
        <v>138</v>
      </c>
      <c r="BK1138" s="26"/>
      <c r="BL1138" s="26"/>
      <c r="BM1138" s="26"/>
      <c r="BN1138" s="26"/>
      <c r="BO1138" s="24"/>
      <c r="BP1138" s="24"/>
      <c r="BQ1138" s="24"/>
      <c r="BR1138" s="43"/>
      <c r="BS1138" s="24"/>
      <c r="BT1138" s="24"/>
      <c r="BU1138" s="24"/>
      <c r="BV1138" s="132" t="e">
        <f>IF(#REF!="COMPLETO","OK","PENDIENTES")</f>
        <v>#REF!</v>
      </c>
      <c r="BW1138" s="326"/>
      <c r="BX1138" s="326"/>
      <c r="BY1138" s="326"/>
      <c r="BZ1138" s="326"/>
      <c r="CA1138" s="326"/>
      <c r="CB1138" s="326"/>
      <c r="CC1138" s="269"/>
      <c r="CG1138" s="24" t="s">
        <v>105</v>
      </c>
      <c r="CH1138" s="24"/>
      <c r="CI1138" s="24"/>
      <c r="CJ1138" s="24"/>
    </row>
    <row r="1139" spans="1:88" ht="13.9" customHeight="1">
      <c r="A1139" s="18">
        <v>2020</v>
      </c>
      <c r="B1139" s="18" t="str">
        <f>+INDEX(BDD!F:F,MATCH(P1139,BDD!D:D,0))&amp;"-"&amp;INDEX(BDD!E:E,MATCH(P1139,BDD!D:D,0))</f>
        <v>E-S</v>
      </c>
      <c r="C1139" s="360" t="s">
        <v>484</v>
      </c>
      <c r="D1139" s="150" t="s">
        <v>77</v>
      </c>
      <c r="E1139" s="132"/>
      <c r="F1139" s="24"/>
      <c r="G1139" s="346">
        <v>8000001032</v>
      </c>
      <c r="H1139" s="18" t="s">
        <v>4459</v>
      </c>
      <c r="I1139" s="329"/>
      <c r="J1139" s="346">
        <v>8000001032</v>
      </c>
      <c r="K1139" s="24"/>
      <c r="L1139" s="24"/>
      <c r="M1139" s="24"/>
      <c r="N1139" s="340" t="s">
        <v>486</v>
      </c>
      <c r="O1139" s="334">
        <v>206720</v>
      </c>
      <c r="P1139" s="25" t="s">
        <v>336</v>
      </c>
      <c r="Q1139" s="127" t="s">
        <v>210</v>
      </c>
      <c r="R1139" s="232" t="s">
        <v>4460</v>
      </c>
      <c r="S1139" s="89" t="s">
        <v>743</v>
      </c>
      <c r="T1139" s="36">
        <v>120</v>
      </c>
      <c r="U1139" s="125" t="s">
        <v>118</v>
      </c>
      <c r="V1139" s="147" t="s">
        <v>4461</v>
      </c>
      <c r="W1139" s="129"/>
      <c r="X1139" s="88">
        <f>+BD1139+T1139</f>
        <v>44214</v>
      </c>
      <c r="Y1139" s="130" t="s">
        <v>20</v>
      </c>
      <c r="Z1139" s="133" t="s">
        <v>72</v>
      </c>
      <c r="AA1139" s="133"/>
      <c r="AB1139" s="241">
        <v>63</v>
      </c>
      <c r="AC1139" s="134">
        <v>315</v>
      </c>
      <c r="AD1139" s="134"/>
      <c r="AE1139" s="403">
        <f t="shared" si="62"/>
        <v>19845</v>
      </c>
      <c r="AF1139" s="132">
        <v>3</v>
      </c>
      <c r="AG1139" s="130" t="s">
        <v>5</v>
      </c>
      <c r="AH1139" s="130"/>
      <c r="AI1139" s="130" t="s">
        <v>34</v>
      </c>
      <c r="AJ1139" s="130"/>
      <c r="AK1139" s="130"/>
      <c r="AL1139" s="135" t="s">
        <v>4250</v>
      </c>
      <c r="AM1139" s="314"/>
      <c r="AN1139" s="26"/>
      <c r="AO1139" s="26"/>
      <c r="AP1139" s="26"/>
      <c r="AQ1139" s="26">
        <v>44118</v>
      </c>
      <c r="AR1139" s="24"/>
      <c r="AS1139" s="24"/>
      <c r="AT1139" s="24">
        <v>44121</v>
      </c>
      <c r="AU1139" s="418">
        <f t="shared" si="63"/>
        <v>10</v>
      </c>
      <c r="AV1139" s="418">
        <f t="shared" si="64"/>
        <v>2020</v>
      </c>
      <c r="AW1139" s="24"/>
      <c r="AX1139" s="28"/>
      <c r="AY1139" s="28" t="s">
        <v>162</v>
      </c>
      <c r="AZ1139" s="132" t="s">
        <v>9</v>
      </c>
      <c r="BA1139" s="132"/>
      <c r="BB1139" s="24" t="s">
        <v>2956</v>
      </c>
      <c r="BC1139" s="135" t="s">
        <v>4462</v>
      </c>
      <c r="BD1139" s="24">
        <v>44094</v>
      </c>
      <c r="BE1139" s="135" t="s">
        <v>865</v>
      </c>
      <c r="BF1139" s="135" t="s">
        <v>3640</v>
      </c>
      <c r="BG1139" s="135" t="s">
        <v>64</v>
      </c>
      <c r="BH1139" s="135"/>
      <c r="BI1139" s="314" t="s">
        <v>124</v>
      </c>
      <c r="BJ1139" s="314" t="s">
        <v>138</v>
      </c>
      <c r="BK1139" s="26"/>
      <c r="BL1139" s="26"/>
      <c r="BM1139" s="26"/>
      <c r="BN1139" s="26"/>
      <c r="BO1139" s="24"/>
      <c r="BP1139" s="24"/>
      <c r="BQ1139" s="24"/>
      <c r="BR1139" s="43"/>
      <c r="BS1139" s="24"/>
      <c r="BT1139" s="24"/>
      <c r="BU1139" s="24"/>
      <c r="BV1139" s="132" t="e">
        <f>IF(#REF!="COMPLETO","OK","PENDIENTES")</f>
        <v>#REF!</v>
      </c>
      <c r="BW1139" s="325"/>
      <c r="BX1139" s="325"/>
      <c r="BY1139" s="325"/>
      <c r="BZ1139" s="325"/>
      <c r="CA1139" s="325"/>
      <c r="CB1139" s="325"/>
      <c r="CC1139" s="258" t="s">
        <v>4463</v>
      </c>
      <c r="CG1139" s="24" t="s">
        <v>105</v>
      </c>
      <c r="CH1139" s="24"/>
      <c r="CI1139" s="24"/>
      <c r="CJ1139" s="24"/>
    </row>
    <row r="1140" spans="1:88" ht="13.9" customHeight="1">
      <c r="A1140" s="18">
        <v>2020</v>
      </c>
      <c r="B1140" s="18" t="str">
        <f>+INDEX(BDD!F:F,MATCH(P1140,BDD!D:D,0))&amp;"-"&amp;INDEX(BDD!E:E,MATCH(P1140,BDD!D:D,0))</f>
        <v>S-S</v>
      </c>
      <c r="C1140" s="360" t="s">
        <v>484</v>
      </c>
      <c r="D1140" s="150" t="s">
        <v>77</v>
      </c>
      <c r="E1140" s="132" t="s">
        <v>51</v>
      </c>
      <c r="F1140" s="24"/>
      <c r="G1140" s="346">
        <v>8000001139</v>
      </c>
      <c r="H1140" s="18" t="s">
        <v>4464</v>
      </c>
      <c r="I1140" s="329"/>
      <c r="J1140" s="346">
        <v>8000001139</v>
      </c>
      <c r="K1140" s="24"/>
      <c r="L1140" s="24"/>
      <c r="M1140" s="24"/>
      <c r="N1140" s="340" t="s">
        <v>486</v>
      </c>
      <c r="O1140" s="334">
        <v>207579</v>
      </c>
      <c r="P1140" s="25" t="s">
        <v>238</v>
      </c>
      <c r="Q1140" s="127" t="s">
        <v>231</v>
      </c>
      <c r="R1140" s="232" t="s">
        <v>4465</v>
      </c>
      <c r="S1140" s="89">
        <v>44076</v>
      </c>
      <c r="T1140" s="36">
        <v>150</v>
      </c>
      <c r="U1140" s="125" t="s">
        <v>118</v>
      </c>
      <c r="V1140" s="147" t="s">
        <v>4465</v>
      </c>
      <c r="W1140" s="129"/>
      <c r="X1140" s="88">
        <f>+BD1140+T1140</f>
        <v>44244</v>
      </c>
      <c r="Y1140" s="130" t="s">
        <v>20</v>
      </c>
      <c r="Z1140" s="133" t="s">
        <v>60</v>
      </c>
      <c r="AA1140" s="133"/>
      <c r="AB1140" s="241">
        <v>165</v>
      </c>
      <c r="AC1140" s="134">
        <v>225</v>
      </c>
      <c r="AD1140" s="134"/>
      <c r="AE1140" s="403">
        <f t="shared" si="62"/>
        <v>37125</v>
      </c>
      <c r="AF1140" s="132"/>
      <c r="AG1140" s="130" t="s">
        <v>58</v>
      </c>
      <c r="AH1140" s="130"/>
      <c r="AI1140" s="130" t="s">
        <v>34</v>
      </c>
      <c r="AJ1140" s="130"/>
      <c r="AK1140" s="130"/>
      <c r="AL1140" s="135" t="s">
        <v>4264</v>
      </c>
      <c r="AM1140" s="314"/>
      <c r="AN1140" s="26"/>
      <c r="AO1140" s="26"/>
      <c r="AP1140" s="26"/>
      <c r="AQ1140" s="26">
        <v>44161</v>
      </c>
      <c r="AR1140" s="24"/>
      <c r="AS1140" s="24"/>
      <c r="AT1140" s="24">
        <v>44174</v>
      </c>
      <c r="AU1140" s="418">
        <f t="shared" si="63"/>
        <v>12</v>
      </c>
      <c r="AV1140" s="418">
        <f t="shared" si="64"/>
        <v>2020</v>
      </c>
      <c r="AW1140" s="24"/>
      <c r="AX1140" s="28"/>
      <c r="AY1140" s="28" t="s">
        <v>3199</v>
      </c>
      <c r="AZ1140" s="132" t="s">
        <v>37</v>
      </c>
      <c r="BA1140" s="132"/>
      <c r="BB1140" s="24" t="s">
        <v>2956</v>
      </c>
      <c r="BC1140" s="135" t="s">
        <v>4466</v>
      </c>
      <c r="BD1140" s="24">
        <v>44094</v>
      </c>
      <c r="BE1140" s="135" t="s">
        <v>4467</v>
      </c>
      <c r="BF1140" s="135" t="s">
        <v>4467</v>
      </c>
      <c r="BG1140" s="135" t="s">
        <v>52</v>
      </c>
      <c r="BH1140" s="135"/>
      <c r="BI1140" s="314" t="s">
        <v>124</v>
      </c>
      <c r="BJ1140" s="314" t="s">
        <v>143</v>
      </c>
      <c r="BK1140" s="24"/>
      <c r="BL1140" s="24"/>
      <c r="BM1140" s="24"/>
      <c r="BN1140" s="24"/>
      <c r="BO1140" s="24"/>
      <c r="BP1140" s="24"/>
      <c r="BQ1140" s="24"/>
      <c r="BR1140" s="43"/>
      <c r="BS1140" s="24"/>
      <c r="BT1140" s="24"/>
      <c r="BU1140" s="24"/>
      <c r="BV1140" s="132" t="e">
        <f>IF(#REF!="COMPLETO","OK","PENDIENTES")</f>
        <v>#REF!</v>
      </c>
      <c r="BW1140" s="325"/>
      <c r="BX1140" s="325"/>
      <c r="BY1140" s="325"/>
      <c r="BZ1140" s="325"/>
      <c r="CA1140" s="325"/>
      <c r="CB1140" s="325"/>
      <c r="CC1140" s="258"/>
      <c r="CG1140" s="24" t="s">
        <v>105</v>
      </c>
      <c r="CH1140" s="24"/>
      <c r="CI1140" s="24"/>
      <c r="CJ1140" s="24"/>
    </row>
    <row r="1141" spans="1:88" ht="13.9" customHeight="1">
      <c r="A1141" s="18">
        <v>2020</v>
      </c>
      <c r="B1141" s="18" t="str">
        <f>+INDEX(BDD!F:F,MATCH(P1141,BDD!D:D,0))&amp;"-"&amp;INDEX(BDD!E:E,MATCH(P1141,BDD!D:D,0))</f>
        <v>S-S</v>
      </c>
      <c r="C1141" s="360" t="s">
        <v>484</v>
      </c>
      <c r="D1141" s="150" t="s">
        <v>77</v>
      </c>
      <c r="E1141" s="132"/>
      <c r="F1141" s="24"/>
      <c r="G1141" s="346">
        <v>8000001118</v>
      </c>
      <c r="H1141" s="18" t="s">
        <v>4468</v>
      </c>
      <c r="I1141" s="329"/>
      <c r="J1141" s="346">
        <v>8000001118</v>
      </c>
      <c r="K1141" s="24"/>
      <c r="L1141" s="24"/>
      <c r="M1141" s="24"/>
      <c r="N1141" s="340" t="s">
        <v>486</v>
      </c>
      <c r="O1141" s="334">
        <v>206914</v>
      </c>
      <c r="P1141" s="25" t="s">
        <v>335</v>
      </c>
      <c r="Q1141" s="127" t="s">
        <v>4469</v>
      </c>
      <c r="R1141" s="232" t="s">
        <v>4470</v>
      </c>
      <c r="S1141" s="89">
        <v>44072</v>
      </c>
      <c r="T1141" s="36" t="s">
        <v>19</v>
      </c>
      <c r="U1141" s="125"/>
      <c r="V1141" s="147" t="s">
        <v>4471</v>
      </c>
      <c r="W1141" s="129"/>
      <c r="X1141" s="88">
        <v>44140</v>
      </c>
      <c r="Y1141" s="130" t="s">
        <v>20</v>
      </c>
      <c r="Z1141" s="133" t="s">
        <v>60</v>
      </c>
      <c r="AA1141" s="133"/>
      <c r="AB1141" s="241">
        <v>708</v>
      </c>
      <c r="AC1141" s="134">
        <v>118</v>
      </c>
      <c r="AD1141" s="134">
        <v>43</v>
      </c>
      <c r="AE1141" s="403">
        <f t="shared" si="62"/>
        <v>83544</v>
      </c>
      <c r="AF1141" s="132"/>
      <c r="AG1141" s="130" t="s">
        <v>58</v>
      </c>
      <c r="AH1141" s="130"/>
      <c r="AI1141" s="130" t="s">
        <v>34</v>
      </c>
      <c r="AJ1141" s="130"/>
      <c r="AK1141" s="130"/>
      <c r="AL1141" s="135" t="s">
        <v>4264</v>
      </c>
      <c r="AM1141" s="314"/>
      <c r="AN1141" s="26"/>
      <c r="AO1141" s="26"/>
      <c r="AP1141" s="26"/>
      <c r="AQ1141" s="26">
        <v>44162</v>
      </c>
      <c r="AR1141" s="24"/>
      <c r="AS1141" s="24"/>
      <c r="AT1141" s="24">
        <v>44163</v>
      </c>
      <c r="AU1141" s="418">
        <f t="shared" si="63"/>
        <v>11</v>
      </c>
      <c r="AV1141" s="418">
        <f t="shared" si="64"/>
        <v>2020</v>
      </c>
      <c r="AW1141" s="24"/>
      <c r="AX1141" s="28"/>
      <c r="AY1141" s="28" t="s">
        <v>95</v>
      </c>
      <c r="AZ1141" s="132" t="s">
        <v>9</v>
      </c>
      <c r="BA1141" s="132"/>
      <c r="BB1141" s="24" t="s">
        <v>3519</v>
      </c>
      <c r="BC1141" s="135" t="s">
        <v>4472</v>
      </c>
      <c r="BD1141" s="24">
        <v>44114</v>
      </c>
      <c r="BE1141" s="135" t="s">
        <v>4473</v>
      </c>
      <c r="BF1141" s="135" t="s">
        <v>4473</v>
      </c>
      <c r="BG1141" s="135" t="s">
        <v>52</v>
      </c>
      <c r="BH1141" s="135"/>
      <c r="BI1141" s="314" t="s">
        <v>124</v>
      </c>
      <c r="BJ1141" s="314" t="s">
        <v>143</v>
      </c>
      <c r="BK1141" s="24"/>
      <c r="BL1141" s="24"/>
      <c r="BM1141" s="24"/>
      <c r="BN1141" s="24"/>
      <c r="BO1141" s="24"/>
      <c r="BP1141" s="24"/>
      <c r="BQ1141" s="24"/>
      <c r="BR1141" s="43"/>
      <c r="BS1141" s="24"/>
      <c r="BT1141" s="24"/>
      <c r="BU1141" s="24"/>
      <c r="BV1141" s="132" t="e">
        <f>IF(#REF!="COMPLETO","OK","PENDIENTES")</f>
        <v>#REF!</v>
      </c>
      <c r="BW1141" s="325"/>
      <c r="BX1141" s="325"/>
      <c r="BY1141" s="325"/>
      <c r="BZ1141" s="325"/>
      <c r="CA1141" s="325"/>
      <c r="CB1141" s="325"/>
      <c r="CC1141" s="258"/>
      <c r="CG1141" s="24" t="s">
        <v>105</v>
      </c>
      <c r="CH1141" s="24"/>
      <c r="CI1141" s="24"/>
      <c r="CJ1141" s="24"/>
    </row>
    <row r="1142" spans="1:88" ht="13.9" customHeight="1">
      <c r="A1142" s="18">
        <v>2020</v>
      </c>
      <c r="B1142" s="18" t="str">
        <f>+INDEX(BDD!F:F,MATCH(P1142,BDD!D:D,0))&amp;"-"&amp;INDEX(BDD!E:E,MATCH(P1142,BDD!D:D,0))</f>
        <v>S-S</v>
      </c>
      <c r="C1142" s="360" t="s">
        <v>484</v>
      </c>
      <c r="D1142" s="150" t="s">
        <v>77</v>
      </c>
      <c r="E1142" s="132"/>
      <c r="F1142" s="24"/>
      <c r="G1142" s="346">
        <v>8000001099</v>
      </c>
      <c r="H1142" s="18" t="s">
        <v>4474</v>
      </c>
      <c r="I1142" s="329"/>
      <c r="J1142" s="346">
        <v>8000001099</v>
      </c>
      <c r="K1142" s="24"/>
      <c r="L1142" s="24"/>
      <c r="M1142" s="24"/>
      <c r="N1142" s="340" t="s">
        <v>486</v>
      </c>
      <c r="O1142" s="334">
        <v>206966</v>
      </c>
      <c r="P1142" s="25" t="s">
        <v>152</v>
      </c>
      <c r="Q1142" s="127" t="s">
        <v>66</v>
      </c>
      <c r="R1142" s="232" t="s">
        <v>4475</v>
      </c>
      <c r="S1142" s="89">
        <v>44075</v>
      </c>
      <c r="T1142" s="36" t="s">
        <v>19</v>
      </c>
      <c r="U1142" s="125"/>
      <c r="V1142" s="147" t="s">
        <v>4476</v>
      </c>
      <c r="W1142" s="129"/>
      <c r="X1142" s="88">
        <v>44133</v>
      </c>
      <c r="Y1142" s="130" t="s">
        <v>20</v>
      </c>
      <c r="Z1142" s="133" t="s">
        <v>60</v>
      </c>
      <c r="AA1142" s="133"/>
      <c r="AB1142" s="241">
        <v>200</v>
      </c>
      <c r="AC1142" s="134">
        <v>585</v>
      </c>
      <c r="AD1142" s="134"/>
      <c r="AE1142" s="403">
        <f t="shared" si="62"/>
        <v>117000</v>
      </c>
      <c r="AF1142" s="132"/>
      <c r="AG1142" s="130" t="s">
        <v>58</v>
      </c>
      <c r="AH1142" s="130"/>
      <c r="AI1142" s="130" t="s">
        <v>34</v>
      </c>
      <c r="AJ1142" s="130"/>
      <c r="AK1142" s="130"/>
      <c r="AL1142" s="135" t="s">
        <v>4250</v>
      </c>
      <c r="AM1142" s="314"/>
      <c r="AN1142" s="26"/>
      <c r="AO1142" s="26"/>
      <c r="AP1142" s="26"/>
      <c r="AQ1142" s="26">
        <v>44153</v>
      </c>
      <c r="AR1142" s="24"/>
      <c r="AS1142" s="24"/>
      <c r="AT1142" s="24">
        <v>44155</v>
      </c>
      <c r="AU1142" s="418">
        <f t="shared" si="63"/>
        <v>11</v>
      </c>
      <c r="AV1142" s="418">
        <f t="shared" si="64"/>
        <v>2020</v>
      </c>
      <c r="AW1142" s="24"/>
      <c r="AX1142" s="28"/>
      <c r="AY1142" s="28" t="s">
        <v>3574</v>
      </c>
      <c r="AZ1142" s="132" t="s">
        <v>9</v>
      </c>
      <c r="BA1142" s="132"/>
      <c r="BB1142" s="24" t="s">
        <v>3264</v>
      </c>
      <c r="BC1142" s="135">
        <v>501</v>
      </c>
      <c r="BD1142" s="24">
        <v>44110</v>
      </c>
      <c r="BE1142" s="135" t="s">
        <v>4425</v>
      </c>
      <c r="BF1142" s="135" t="s">
        <v>4425</v>
      </c>
      <c r="BG1142" s="135" t="s">
        <v>52</v>
      </c>
      <c r="BH1142" s="135"/>
      <c r="BI1142" s="314" t="s">
        <v>124</v>
      </c>
      <c r="BJ1142" s="314" t="s">
        <v>148</v>
      </c>
      <c r="BK1142" s="24"/>
      <c r="BL1142" s="24"/>
      <c r="BM1142" s="24"/>
      <c r="BN1142" s="24"/>
      <c r="BO1142" s="24"/>
      <c r="BP1142" s="24"/>
      <c r="BQ1142" s="24"/>
      <c r="BR1142" s="43"/>
      <c r="BS1142" s="24"/>
      <c r="BT1142" s="24"/>
      <c r="BU1142" s="24"/>
      <c r="BV1142" s="132" t="e">
        <f>IF(#REF!="COMPLETO","OK","PENDIENTES")</f>
        <v>#REF!</v>
      </c>
      <c r="BW1142" s="325"/>
      <c r="BX1142" s="325"/>
      <c r="BY1142" s="325"/>
      <c r="BZ1142" s="325"/>
      <c r="CA1142" s="325"/>
      <c r="CB1142" s="325"/>
      <c r="CC1142" s="258"/>
      <c r="CG1142" s="24" t="s">
        <v>105</v>
      </c>
      <c r="CH1142" s="24"/>
      <c r="CI1142" s="24"/>
      <c r="CJ1142" s="24"/>
    </row>
    <row r="1143" spans="1:88" ht="13.9" customHeight="1">
      <c r="A1143" s="18">
        <v>2020</v>
      </c>
      <c r="B1143" s="18" t="str">
        <f>+INDEX(BDD!F:F,MATCH(P1143,BDD!D:D,0))&amp;"-"&amp;INDEX(BDD!E:E,MATCH(P1143,BDD!D:D,0))</f>
        <v>S-S</v>
      </c>
      <c r="C1143" s="360" t="s">
        <v>484</v>
      </c>
      <c r="D1143" s="150" t="s">
        <v>77</v>
      </c>
      <c r="E1143" s="132"/>
      <c r="F1143" s="24"/>
      <c r="G1143" s="346">
        <v>8000001111</v>
      </c>
      <c r="H1143" s="18" t="s">
        <v>4477</v>
      </c>
      <c r="I1143" s="329"/>
      <c r="J1143" s="346">
        <v>8000001111</v>
      </c>
      <c r="K1143" s="24"/>
      <c r="L1143" s="24"/>
      <c r="M1143" s="24"/>
      <c r="N1143" s="340" t="s">
        <v>486</v>
      </c>
      <c r="O1143" s="334">
        <v>206966</v>
      </c>
      <c r="P1143" s="25" t="s">
        <v>152</v>
      </c>
      <c r="Q1143" s="127" t="s">
        <v>66</v>
      </c>
      <c r="R1143" s="232" t="s">
        <v>4475</v>
      </c>
      <c r="S1143" s="89">
        <v>44075</v>
      </c>
      <c r="T1143" s="36" t="s">
        <v>19</v>
      </c>
      <c r="U1143" s="125"/>
      <c r="V1143" s="147" t="s">
        <v>4478</v>
      </c>
      <c r="W1143" s="129"/>
      <c r="X1143" s="88">
        <v>44133</v>
      </c>
      <c r="Y1143" s="130" t="s">
        <v>20</v>
      </c>
      <c r="Z1143" s="133" t="s">
        <v>60</v>
      </c>
      <c r="AA1143" s="133"/>
      <c r="AB1143" s="241">
        <v>300</v>
      </c>
      <c r="AC1143" s="134">
        <v>585</v>
      </c>
      <c r="AD1143" s="134"/>
      <c r="AE1143" s="403">
        <f t="shared" si="62"/>
        <v>175500</v>
      </c>
      <c r="AF1143" s="132"/>
      <c r="AG1143" s="130" t="s">
        <v>58</v>
      </c>
      <c r="AH1143" s="130"/>
      <c r="AI1143" s="130" t="s">
        <v>34</v>
      </c>
      <c r="AJ1143" s="130"/>
      <c r="AK1143" s="130"/>
      <c r="AL1143" s="135" t="s">
        <v>4250</v>
      </c>
      <c r="AM1143" s="314"/>
      <c r="AN1143" s="26"/>
      <c r="AO1143" s="26"/>
      <c r="AP1143" s="26"/>
      <c r="AQ1143" s="26">
        <v>44156</v>
      </c>
      <c r="AR1143" s="24"/>
      <c r="AS1143" s="24"/>
      <c r="AT1143" s="24">
        <v>44159</v>
      </c>
      <c r="AU1143" s="418">
        <f t="shared" si="63"/>
        <v>11</v>
      </c>
      <c r="AV1143" s="418">
        <f t="shared" si="64"/>
        <v>2020</v>
      </c>
      <c r="AW1143" s="24"/>
      <c r="AX1143" s="28"/>
      <c r="AY1143" s="28" t="s">
        <v>3574</v>
      </c>
      <c r="AZ1143" s="132" t="s">
        <v>25</v>
      </c>
      <c r="BA1143" s="132"/>
      <c r="BB1143" s="24" t="s">
        <v>3264</v>
      </c>
      <c r="BC1143" s="135">
        <v>502</v>
      </c>
      <c r="BD1143" s="24">
        <v>44110</v>
      </c>
      <c r="BE1143" s="135" t="s">
        <v>4425</v>
      </c>
      <c r="BF1143" s="135" t="s">
        <v>4425</v>
      </c>
      <c r="BG1143" s="135" t="s">
        <v>52</v>
      </c>
      <c r="BH1143" s="135"/>
      <c r="BI1143" s="314" t="s">
        <v>124</v>
      </c>
      <c r="BJ1143" s="314" t="s">
        <v>148</v>
      </c>
      <c r="BK1143" s="24"/>
      <c r="BL1143" s="24"/>
      <c r="BM1143" s="24"/>
      <c r="BN1143" s="24"/>
      <c r="BO1143" s="24"/>
      <c r="BP1143" s="24"/>
      <c r="BQ1143" s="24"/>
      <c r="BR1143" s="43"/>
      <c r="BS1143" s="24"/>
      <c r="BT1143" s="24"/>
      <c r="BU1143" s="24"/>
      <c r="BV1143" s="132" t="e">
        <f>IF(#REF!="COMPLETO","OK","PENDIENTES")</f>
        <v>#REF!</v>
      </c>
      <c r="BW1143" s="325"/>
      <c r="BX1143" s="325"/>
      <c r="BY1143" s="325"/>
      <c r="BZ1143" s="325"/>
      <c r="CA1143" s="325"/>
      <c r="CB1143" s="325"/>
      <c r="CC1143" s="258"/>
      <c r="CG1143" s="24" t="s">
        <v>105</v>
      </c>
      <c r="CH1143" s="24"/>
      <c r="CI1143" s="24"/>
      <c r="CJ1143" s="24"/>
    </row>
    <row r="1144" spans="1:88" ht="13.9" customHeight="1">
      <c r="A1144" s="18">
        <v>2020</v>
      </c>
      <c r="B1144" s="18" t="str">
        <f>+INDEX(BDD!F:F,MATCH(P1144,BDD!D:D,0))&amp;"-"&amp;INDEX(BDD!E:E,MATCH(P1144,BDD!D:D,0))</f>
        <v>S-S</v>
      </c>
      <c r="C1144" s="360" t="s">
        <v>484</v>
      </c>
      <c r="D1144" s="150" t="s">
        <v>77</v>
      </c>
      <c r="E1144" s="132"/>
      <c r="F1144" s="24"/>
      <c r="G1144" s="346">
        <v>8000001129</v>
      </c>
      <c r="H1144" s="18" t="s">
        <v>4479</v>
      </c>
      <c r="I1144" s="329"/>
      <c r="J1144" s="346">
        <v>8000001129</v>
      </c>
      <c r="K1144" s="24"/>
      <c r="L1144" s="24"/>
      <c r="M1144" s="24"/>
      <c r="N1144" s="340" t="s">
        <v>486</v>
      </c>
      <c r="O1144" s="334">
        <v>206966</v>
      </c>
      <c r="P1144" s="25" t="s">
        <v>152</v>
      </c>
      <c r="Q1144" s="127" t="s">
        <v>66</v>
      </c>
      <c r="R1144" s="232" t="s">
        <v>4475</v>
      </c>
      <c r="S1144" s="89">
        <v>44075</v>
      </c>
      <c r="T1144" s="36" t="s">
        <v>19</v>
      </c>
      <c r="U1144" s="125"/>
      <c r="V1144" s="147" t="s">
        <v>4480</v>
      </c>
      <c r="W1144" s="129"/>
      <c r="X1144" s="88">
        <v>44133</v>
      </c>
      <c r="Y1144" s="130" t="s">
        <v>20</v>
      </c>
      <c r="Z1144" s="133" t="s">
        <v>60</v>
      </c>
      <c r="AA1144" s="133"/>
      <c r="AB1144" s="241">
        <v>200</v>
      </c>
      <c r="AC1144" s="134">
        <v>585</v>
      </c>
      <c r="AD1144" s="134"/>
      <c r="AE1144" s="403">
        <f t="shared" si="62"/>
        <v>117000</v>
      </c>
      <c r="AF1144" s="132"/>
      <c r="AG1144" s="130" t="s">
        <v>58</v>
      </c>
      <c r="AH1144" s="130"/>
      <c r="AI1144" s="130" t="s">
        <v>34</v>
      </c>
      <c r="AJ1144" s="130"/>
      <c r="AK1144" s="130"/>
      <c r="AL1144" s="135" t="s">
        <v>4250</v>
      </c>
      <c r="AM1144" s="314"/>
      <c r="AN1144" s="26"/>
      <c r="AO1144" s="26"/>
      <c r="AP1144" s="26"/>
      <c r="AQ1144" s="26">
        <v>44163</v>
      </c>
      <c r="AR1144" s="24"/>
      <c r="AS1144" s="24"/>
      <c r="AT1144" s="24">
        <v>44166</v>
      </c>
      <c r="AU1144" s="418">
        <f t="shared" si="63"/>
        <v>12</v>
      </c>
      <c r="AV1144" s="418">
        <f t="shared" si="64"/>
        <v>2020</v>
      </c>
      <c r="AW1144" s="24"/>
      <c r="AX1144" s="28"/>
      <c r="AY1144" s="28" t="s">
        <v>3574</v>
      </c>
      <c r="AZ1144" s="132" t="s">
        <v>50</v>
      </c>
      <c r="BA1144" s="132"/>
      <c r="BB1144" s="24" t="s">
        <v>2956</v>
      </c>
      <c r="BC1144" s="135">
        <v>503</v>
      </c>
      <c r="BD1144" s="24">
        <v>44110</v>
      </c>
      <c r="BE1144" s="135" t="s">
        <v>4425</v>
      </c>
      <c r="BF1144" s="135" t="s">
        <v>4425</v>
      </c>
      <c r="BG1144" s="135" t="s">
        <v>52</v>
      </c>
      <c r="BH1144" s="135"/>
      <c r="BI1144" s="314" t="s">
        <v>124</v>
      </c>
      <c r="BJ1144" s="314" t="s">
        <v>148</v>
      </c>
      <c r="BK1144" s="24"/>
      <c r="BL1144" s="24"/>
      <c r="BM1144" s="24"/>
      <c r="BN1144" s="24"/>
      <c r="BO1144" s="24"/>
      <c r="BP1144" s="24"/>
      <c r="BQ1144" s="24"/>
      <c r="BR1144" s="43"/>
      <c r="BS1144" s="24"/>
      <c r="BT1144" s="24"/>
      <c r="BU1144" s="24"/>
      <c r="BV1144" s="132" t="e">
        <f>IF(#REF!="COMPLETO","OK","PENDIENTES")</f>
        <v>#REF!</v>
      </c>
      <c r="BW1144" s="325"/>
      <c r="BX1144" s="325"/>
      <c r="BY1144" s="325"/>
      <c r="BZ1144" s="325"/>
      <c r="CA1144" s="325"/>
      <c r="CB1144" s="325"/>
      <c r="CC1144" s="258"/>
      <c r="CG1144" s="24" t="s">
        <v>105</v>
      </c>
      <c r="CH1144" s="24"/>
      <c r="CI1144" s="24"/>
      <c r="CJ1144" s="24"/>
    </row>
    <row r="1145" spans="1:88" ht="13.9" customHeight="1">
      <c r="A1145" s="18">
        <v>2020</v>
      </c>
      <c r="B1145" s="18" t="str">
        <f>+INDEX(BDD!F:F,MATCH(P1145,BDD!D:D,0))&amp;"-"&amp;INDEX(BDD!E:E,MATCH(P1145,BDD!D:D,0))</f>
        <v>S-S</v>
      </c>
      <c r="C1145" s="360" t="s">
        <v>484</v>
      </c>
      <c r="D1145" s="150" t="s">
        <v>77</v>
      </c>
      <c r="E1145" s="132"/>
      <c r="F1145" s="24"/>
      <c r="G1145" s="346">
        <v>8000001136</v>
      </c>
      <c r="H1145" s="18" t="s">
        <v>4481</v>
      </c>
      <c r="I1145" s="329"/>
      <c r="J1145" s="346">
        <v>8000001136</v>
      </c>
      <c r="K1145" s="24"/>
      <c r="L1145" s="24"/>
      <c r="M1145" s="24"/>
      <c r="N1145" s="340" t="s">
        <v>486</v>
      </c>
      <c r="O1145" s="334">
        <v>206966</v>
      </c>
      <c r="P1145" s="25" t="s">
        <v>152</v>
      </c>
      <c r="Q1145" s="127" t="s">
        <v>66</v>
      </c>
      <c r="R1145" s="232" t="s">
        <v>4475</v>
      </c>
      <c r="S1145" s="89">
        <v>44075</v>
      </c>
      <c r="T1145" s="36" t="s">
        <v>19</v>
      </c>
      <c r="U1145" s="125"/>
      <c r="V1145" s="147" t="s">
        <v>4482</v>
      </c>
      <c r="W1145" s="129"/>
      <c r="X1145" s="88">
        <v>44133</v>
      </c>
      <c r="Y1145" s="130" t="s">
        <v>20</v>
      </c>
      <c r="Z1145" s="133" t="s">
        <v>60</v>
      </c>
      <c r="AA1145" s="133"/>
      <c r="AB1145" s="241">
        <v>200</v>
      </c>
      <c r="AC1145" s="134">
        <v>585</v>
      </c>
      <c r="AD1145" s="134"/>
      <c r="AE1145" s="403">
        <f t="shared" si="62"/>
        <v>117000</v>
      </c>
      <c r="AF1145" s="132"/>
      <c r="AG1145" s="130" t="s">
        <v>58</v>
      </c>
      <c r="AH1145" s="130"/>
      <c r="AI1145" s="130" t="s">
        <v>34</v>
      </c>
      <c r="AJ1145" s="130"/>
      <c r="AK1145" s="130"/>
      <c r="AL1145" s="135" t="s">
        <v>4250</v>
      </c>
      <c r="AM1145" s="314"/>
      <c r="AN1145" s="26"/>
      <c r="AO1145" s="26"/>
      <c r="AP1145" s="26"/>
      <c r="AQ1145" s="26">
        <v>44167</v>
      </c>
      <c r="AR1145" s="24"/>
      <c r="AS1145" s="24"/>
      <c r="AT1145" s="24">
        <v>44168</v>
      </c>
      <c r="AU1145" s="418">
        <f t="shared" si="63"/>
        <v>12</v>
      </c>
      <c r="AV1145" s="418">
        <f t="shared" si="64"/>
        <v>2020</v>
      </c>
      <c r="AW1145" s="24"/>
      <c r="AX1145" s="28"/>
      <c r="AY1145" s="28" t="s">
        <v>3574</v>
      </c>
      <c r="AZ1145" s="132" t="s">
        <v>62</v>
      </c>
      <c r="BA1145" s="132"/>
      <c r="BB1145" s="24" t="s">
        <v>3264</v>
      </c>
      <c r="BC1145" s="135">
        <v>504</v>
      </c>
      <c r="BD1145" s="24">
        <v>44110</v>
      </c>
      <c r="BE1145" s="135" t="s">
        <v>4425</v>
      </c>
      <c r="BF1145" s="135" t="s">
        <v>4425</v>
      </c>
      <c r="BG1145" s="135" t="s">
        <v>52</v>
      </c>
      <c r="BH1145" s="135"/>
      <c r="BI1145" s="314" t="s">
        <v>124</v>
      </c>
      <c r="BJ1145" s="314" t="s">
        <v>148</v>
      </c>
      <c r="BK1145" s="24"/>
      <c r="BL1145" s="24"/>
      <c r="BM1145" s="24"/>
      <c r="BN1145" s="24"/>
      <c r="BO1145" s="24"/>
      <c r="BP1145" s="24"/>
      <c r="BQ1145" s="24"/>
      <c r="BR1145" s="43"/>
      <c r="BS1145" s="24"/>
      <c r="BT1145" s="24"/>
      <c r="BU1145" s="24"/>
      <c r="BV1145" s="132" t="e">
        <f>IF(#REF!="COMPLETO","OK","PENDIENTES")</f>
        <v>#REF!</v>
      </c>
      <c r="BW1145" s="325"/>
      <c r="BX1145" s="325"/>
      <c r="BY1145" s="325"/>
      <c r="BZ1145" s="325"/>
      <c r="CA1145" s="325"/>
      <c r="CB1145" s="325"/>
      <c r="CC1145" s="258"/>
      <c r="CG1145" s="24" t="s">
        <v>105</v>
      </c>
      <c r="CH1145" s="24"/>
      <c r="CI1145" s="24"/>
      <c r="CJ1145" s="24"/>
    </row>
    <row r="1146" spans="1:88" ht="13.9" customHeight="1">
      <c r="A1146" s="18">
        <v>2020</v>
      </c>
      <c r="B1146" s="18" t="str">
        <f>+INDEX(BDD!F:F,MATCH(P1146,BDD!D:D,0))&amp;"-"&amp;INDEX(BDD!E:E,MATCH(P1146,BDD!D:D,0))</f>
        <v>E-S</v>
      </c>
      <c r="C1146" s="360" t="s">
        <v>484</v>
      </c>
      <c r="D1146" s="150" t="s">
        <v>77</v>
      </c>
      <c r="E1146" s="132"/>
      <c r="F1146" s="24"/>
      <c r="G1146" s="346">
        <v>8000001100</v>
      </c>
      <c r="H1146" s="18" t="s">
        <v>4483</v>
      </c>
      <c r="I1146" s="329"/>
      <c r="J1146" s="346">
        <v>8000001100</v>
      </c>
      <c r="K1146" s="24"/>
      <c r="L1146" s="24"/>
      <c r="M1146" s="24"/>
      <c r="N1146" s="340" t="s">
        <v>486</v>
      </c>
      <c r="O1146" s="334">
        <v>203820</v>
      </c>
      <c r="P1146" s="25" t="s">
        <v>164</v>
      </c>
      <c r="Q1146" s="127" t="s">
        <v>66</v>
      </c>
      <c r="R1146" s="232" t="s">
        <v>4484</v>
      </c>
      <c r="S1146" s="89">
        <v>44075</v>
      </c>
      <c r="T1146" s="36" t="s">
        <v>19</v>
      </c>
      <c r="U1146" s="125"/>
      <c r="V1146" s="147" t="s">
        <v>4485</v>
      </c>
      <c r="W1146" s="129"/>
      <c r="X1146" s="88">
        <v>44133</v>
      </c>
      <c r="Y1146" s="130" t="s">
        <v>20</v>
      </c>
      <c r="Z1146" s="133" t="s">
        <v>60</v>
      </c>
      <c r="AA1146" s="133"/>
      <c r="AB1146" s="241">
        <v>195</v>
      </c>
      <c r="AC1146" s="134">
        <v>1047</v>
      </c>
      <c r="AD1146" s="134"/>
      <c r="AE1146" s="403">
        <f t="shared" si="62"/>
        <v>204165</v>
      </c>
      <c r="AF1146" s="132"/>
      <c r="AG1146" s="130" t="s">
        <v>58</v>
      </c>
      <c r="AH1146" s="130"/>
      <c r="AI1146" s="130" t="s">
        <v>34</v>
      </c>
      <c r="AJ1146" s="130"/>
      <c r="AK1146" s="130"/>
      <c r="AL1146" s="135" t="s">
        <v>4250</v>
      </c>
      <c r="AM1146" s="314"/>
      <c r="AN1146" s="26"/>
      <c r="AO1146" s="26"/>
      <c r="AP1146" s="26"/>
      <c r="AQ1146" s="26">
        <v>44153</v>
      </c>
      <c r="AR1146" s="24"/>
      <c r="AS1146" s="24"/>
      <c r="AT1146" s="24">
        <v>44155</v>
      </c>
      <c r="AU1146" s="418">
        <f t="shared" si="63"/>
        <v>11</v>
      </c>
      <c r="AV1146" s="418">
        <f t="shared" si="64"/>
        <v>2020</v>
      </c>
      <c r="AW1146" s="24"/>
      <c r="AX1146" s="28"/>
      <c r="AY1146" s="28" t="s">
        <v>3574</v>
      </c>
      <c r="AZ1146" s="132" t="s">
        <v>9</v>
      </c>
      <c r="BA1146" s="132"/>
      <c r="BB1146" s="24" t="s">
        <v>3264</v>
      </c>
      <c r="BC1146" s="135">
        <v>601</v>
      </c>
      <c r="BD1146" s="24">
        <v>44110</v>
      </c>
      <c r="BE1146" s="135" t="s">
        <v>4425</v>
      </c>
      <c r="BF1146" s="135" t="s">
        <v>4425</v>
      </c>
      <c r="BG1146" s="135" t="s">
        <v>52</v>
      </c>
      <c r="BH1146" s="135"/>
      <c r="BI1146" s="314" t="s">
        <v>124</v>
      </c>
      <c r="BJ1146" s="314" t="s">
        <v>148</v>
      </c>
      <c r="BK1146" s="24"/>
      <c r="BL1146" s="24"/>
      <c r="BM1146" s="24"/>
      <c r="BN1146" s="24"/>
      <c r="BO1146" s="24"/>
      <c r="BP1146" s="24"/>
      <c r="BQ1146" s="24"/>
      <c r="BR1146" s="43"/>
      <c r="BS1146" s="24"/>
      <c r="BT1146" s="24"/>
      <c r="BU1146" s="24"/>
      <c r="BV1146" s="132" t="e">
        <f>IF(#REF!="COMPLETO","OK","PENDIENTES")</f>
        <v>#REF!</v>
      </c>
      <c r="BW1146" s="325"/>
      <c r="BX1146" s="325"/>
      <c r="BY1146" s="325"/>
      <c r="BZ1146" s="325"/>
      <c r="CA1146" s="325"/>
      <c r="CB1146" s="325"/>
      <c r="CC1146" s="258"/>
      <c r="CG1146" s="24" t="s">
        <v>105</v>
      </c>
      <c r="CH1146" s="24"/>
      <c r="CI1146" s="24"/>
      <c r="CJ1146" s="24"/>
    </row>
    <row r="1147" spans="1:88" ht="13.9" customHeight="1">
      <c r="A1147" s="18">
        <v>2020</v>
      </c>
      <c r="B1147" s="18" t="str">
        <f>+INDEX(BDD!F:F,MATCH(P1147,BDD!D:D,0))&amp;"-"&amp;INDEX(BDD!E:E,MATCH(P1147,BDD!D:D,0))</f>
        <v>E-S</v>
      </c>
      <c r="C1147" s="360" t="s">
        <v>484</v>
      </c>
      <c r="D1147" s="150" t="s">
        <v>77</v>
      </c>
      <c r="E1147" s="132"/>
      <c r="F1147" s="24"/>
      <c r="G1147" s="346">
        <v>8000001119</v>
      </c>
      <c r="H1147" s="18" t="s">
        <v>4486</v>
      </c>
      <c r="I1147" s="329"/>
      <c r="J1147" s="346">
        <v>8000001119</v>
      </c>
      <c r="K1147" s="24"/>
      <c r="L1147" s="24"/>
      <c r="M1147" s="24"/>
      <c r="N1147" s="340" t="s">
        <v>486</v>
      </c>
      <c r="O1147" s="334">
        <v>203820</v>
      </c>
      <c r="P1147" s="25" t="s">
        <v>164</v>
      </c>
      <c r="Q1147" s="127" t="s">
        <v>66</v>
      </c>
      <c r="R1147" s="232" t="s">
        <v>4484</v>
      </c>
      <c r="S1147" s="89">
        <v>44075</v>
      </c>
      <c r="T1147" s="36" t="s">
        <v>19</v>
      </c>
      <c r="U1147" s="125"/>
      <c r="V1147" s="147" t="s">
        <v>4487</v>
      </c>
      <c r="W1147" s="129"/>
      <c r="X1147" s="88">
        <v>44133</v>
      </c>
      <c r="Y1147" s="130" t="s">
        <v>20</v>
      </c>
      <c r="Z1147" s="133" t="s">
        <v>60</v>
      </c>
      <c r="AA1147" s="133"/>
      <c r="AB1147" s="241">
        <v>97.5</v>
      </c>
      <c r="AC1147" s="134">
        <v>1047</v>
      </c>
      <c r="AD1147" s="134"/>
      <c r="AE1147" s="403">
        <f t="shared" si="62"/>
        <v>102082.5</v>
      </c>
      <c r="AF1147" s="132"/>
      <c r="AG1147" s="130" t="s">
        <v>58</v>
      </c>
      <c r="AH1147" s="130"/>
      <c r="AI1147" s="130" t="s">
        <v>34</v>
      </c>
      <c r="AJ1147" s="130"/>
      <c r="AK1147" s="130"/>
      <c r="AL1147" s="135" t="s">
        <v>4250</v>
      </c>
      <c r="AM1147" s="314"/>
      <c r="AN1147" s="26"/>
      <c r="AO1147" s="26"/>
      <c r="AP1147" s="26"/>
      <c r="AQ1147" s="26">
        <v>44161</v>
      </c>
      <c r="AR1147" s="24"/>
      <c r="AS1147" s="24"/>
      <c r="AT1147" s="24">
        <v>44163</v>
      </c>
      <c r="AU1147" s="418">
        <f t="shared" si="63"/>
        <v>11</v>
      </c>
      <c r="AV1147" s="418">
        <f t="shared" si="64"/>
        <v>2020</v>
      </c>
      <c r="AW1147" s="24"/>
      <c r="AX1147" s="28"/>
      <c r="AY1147" s="28" t="s">
        <v>3574</v>
      </c>
      <c r="AZ1147" s="132" t="s">
        <v>37</v>
      </c>
      <c r="BA1147" s="132"/>
      <c r="BB1147" s="24" t="s">
        <v>3291</v>
      </c>
      <c r="BC1147" s="135">
        <v>602</v>
      </c>
      <c r="BD1147" s="24">
        <v>44110</v>
      </c>
      <c r="BE1147" s="135" t="s">
        <v>4425</v>
      </c>
      <c r="BF1147" s="135" t="s">
        <v>4425</v>
      </c>
      <c r="BG1147" s="135" t="s">
        <v>52</v>
      </c>
      <c r="BH1147" s="135"/>
      <c r="BI1147" s="314" t="s">
        <v>124</v>
      </c>
      <c r="BJ1147" s="314" t="s">
        <v>148</v>
      </c>
      <c r="BK1147" s="24"/>
      <c r="BL1147" s="24"/>
      <c r="BM1147" s="24"/>
      <c r="BN1147" s="24"/>
      <c r="BO1147" s="24"/>
      <c r="BP1147" s="24"/>
      <c r="BQ1147" s="24"/>
      <c r="BR1147" s="43"/>
      <c r="BS1147" s="24"/>
      <c r="BT1147" s="24"/>
      <c r="BU1147" s="24"/>
      <c r="BV1147" s="132" t="e">
        <f>IF(#REF!="COMPLETO","OK","PENDIENTES")</f>
        <v>#REF!</v>
      </c>
      <c r="BW1147" s="325"/>
      <c r="BX1147" s="325"/>
      <c r="BY1147" s="325"/>
      <c r="BZ1147" s="325"/>
      <c r="CA1147" s="325"/>
      <c r="CB1147" s="325"/>
      <c r="CC1147" s="258"/>
      <c r="CG1147" s="24" t="s">
        <v>105</v>
      </c>
      <c r="CH1147" s="24"/>
      <c r="CI1147" s="24"/>
      <c r="CJ1147" s="24"/>
    </row>
    <row r="1148" spans="1:88" ht="13.9" customHeight="1">
      <c r="A1148" s="18">
        <v>2020</v>
      </c>
      <c r="B1148" s="18" t="str">
        <f>+INDEX(BDD!F:F,MATCH(P1148,BDD!D:D,0))&amp;"-"&amp;INDEX(BDD!E:E,MATCH(P1148,BDD!D:D,0))</f>
        <v>S-S</v>
      </c>
      <c r="C1148" s="360" t="s">
        <v>484</v>
      </c>
      <c r="D1148" s="150" t="s">
        <v>77</v>
      </c>
      <c r="E1148" s="132"/>
      <c r="F1148" s="24"/>
      <c r="G1148" s="346">
        <v>8000001101</v>
      </c>
      <c r="H1148" s="18" t="s">
        <v>4488</v>
      </c>
      <c r="I1148" s="329"/>
      <c r="J1148" s="346">
        <v>8000001101</v>
      </c>
      <c r="K1148" s="24"/>
      <c r="L1148" s="24"/>
      <c r="M1148" s="24"/>
      <c r="N1148" s="340" t="s">
        <v>486</v>
      </c>
      <c r="O1148" s="334">
        <v>205257</v>
      </c>
      <c r="P1148" s="25" t="s">
        <v>344</v>
      </c>
      <c r="Q1148" s="127" t="s">
        <v>66</v>
      </c>
      <c r="R1148" s="232" t="s">
        <v>4489</v>
      </c>
      <c r="S1148" s="89">
        <v>44075</v>
      </c>
      <c r="T1148" s="36" t="s">
        <v>19</v>
      </c>
      <c r="U1148" s="125"/>
      <c r="V1148" s="147" t="s">
        <v>4490</v>
      </c>
      <c r="W1148" s="129"/>
      <c r="X1148" s="88">
        <v>44133</v>
      </c>
      <c r="Y1148" s="130" t="s">
        <v>20</v>
      </c>
      <c r="Z1148" s="133" t="s">
        <v>60</v>
      </c>
      <c r="AA1148" s="133"/>
      <c r="AB1148" s="241">
        <v>48.75</v>
      </c>
      <c r="AC1148" s="134">
        <v>110</v>
      </c>
      <c r="AD1148" s="134"/>
      <c r="AE1148" s="403">
        <f t="shared" si="62"/>
        <v>5362.5</v>
      </c>
      <c r="AF1148" s="132"/>
      <c r="AG1148" s="130" t="s">
        <v>58</v>
      </c>
      <c r="AH1148" s="130"/>
      <c r="AI1148" s="130" t="s">
        <v>34</v>
      </c>
      <c r="AJ1148" s="130"/>
      <c r="AK1148" s="130"/>
      <c r="AL1148" s="135" t="s">
        <v>4250</v>
      </c>
      <c r="AM1148" s="314"/>
      <c r="AN1148" s="26"/>
      <c r="AO1148" s="26"/>
      <c r="AP1148" s="26"/>
      <c r="AQ1148" s="26">
        <v>44153</v>
      </c>
      <c r="AR1148" s="24"/>
      <c r="AS1148" s="24"/>
      <c r="AT1148" s="24">
        <v>44155</v>
      </c>
      <c r="AU1148" s="418">
        <f t="shared" si="63"/>
        <v>11</v>
      </c>
      <c r="AV1148" s="418">
        <f t="shared" si="64"/>
        <v>2020</v>
      </c>
      <c r="AW1148" s="24"/>
      <c r="AX1148" s="28"/>
      <c r="AY1148" s="28" t="s">
        <v>3574</v>
      </c>
      <c r="AZ1148" s="132" t="s">
        <v>9</v>
      </c>
      <c r="BA1148" s="132"/>
      <c r="BB1148" s="24" t="s">
        <v>3264</v>
      </c>
      <c r="BC1148" s="135">
        <v>701</v>
      </c>
      <c r="BD1148" s="24">
        <v>44110</v>
      </c>
      <c r="BE1148" s="135" t="s">
        <v>4425</v>
      </c>
      <c r="BF1148" s="135" t="s">
        <v>4425</v>
      </c>
      <c r="BG1148" s="135" t="s">
        <v>52</v>
      </c>
      <c r="BH1148" s="135"/>
      <c r="BI1148" s="314" t="s">
        <v>124</v>
      </c>
      <c r="BJ1148" s="314" t="s">
        <v>148</v>
      </c>
      <c r="BK1148" s="24"/>
      <c r="BL1148" s="24"/>
      <c r="BM1148" s="24"/>
      <c r="BN1148" s="24"/>
      <c r="BO1148" s="24"/>
      <c r="BP1148" s="24"/>
      <c r="BQ1148" s="24"/>
      <c r="BR1148" s="43"/>
      <c r="BS1148" s="24"/>
      <c r="BT1148" s="24"/>
      <c r="BU1148" s="24"/>
      <c r="BV1148" s="132" t="e">
        <f>IF(#REF!="COMPLETO","OK","PENDIENTES")</f>
        <v>#REF!</v>
      </c>
      <c r="BW1148" s="325"/>
      <c r="BX1148" s="325"/>
      <c r="BY1148" s="325"/>
      <c r="BZ1148" s="325"/>
      <c r="CA1148" s="325"/>
      <c r="CB1148" s="325"/>
      <c r="CC1148" s="258"/>
      <c r="CG1148" s="24" t="s">
        <v>105</v>
      </c>
      <c r="CH1148" s="24"/>
      <c r="CI1148" s="24"/>
      <c r="CJ1148" s="24"/>
    </row>
    <row r="1149" spans="1:88" ht="13.9" customHeight="1">
      <c r="A1149" s="18">
        <v>2020</v>
      </c>
      <c r="B1149" s="18" t="str">
        <f>+INDEX(BDD!F:F,MATCH(P1149,BDD!D:D,0))&amp;"-"&amp;INDEX(BDD!E:E,MATCH(P1149,BDD!D:D,0))</f>
        <v>S-S</v>
      </c>
      <c r="C1149" s="360" t="s">
        <v>484</v>
      </c>
      <c r="D1149" s="150" t="s">
        <v>77</v>
      </c>
      <c r="E1149" s="132"/>
      <c r="F1149" s="24"/>
      <c r="G1149" s="346">
        <v>8000001112</v>
      </c>
      <c r="H1149" s="18" t="s">
        <v>4491</v>
      </c>
      <c r="I1149" s="329"/>
      <c r="J1149" s="346">
        <v>8000001112</v>
      </c>
      <c r="K1149" s="24"/>
      <c r="L1149" s="24"/>
      <c r="M1149" s="24"/>
      <c r="N1149" s="340" t="s">
        <v>486</v>
      </c>
      <c r="O1149" s="334">
        <v>205257</v>
      </c>
      <c r="P1149" s="25" t="s">
        <v>344</v>
      </c>
      <c r="Q1149" s="127" t="s">
        <v>66</v>
      </c>
      <c r="R1149" s="232" t="s">
        <v>4489</v>
      </c>
      <c r="S1149" s="89">
        <v>44075</v>
      </c>
      <c r="T1149" s="36" t="s">
        <v>19</v>
      </c>
      <c r="U1149" s="125"/>
      <c r="V1149" s="147" t="s">
        <v>4492</v>
      </c>
      <c r="W1149" s="129"/>
      <c r="X1149" s="88">
        <v>44133</v>
      </c>
      <c r="Y1149" s="130" t="s">
        <v>20</v>
      </c>
      <c r="Z1149" s="133" t="s">
        <v>60</v>
      </c>
      <c r="AA1149" s="133"/>
      <c r="AB1149" s="241">
        <v>68.75</v>
      </c>
      <c r="AC1149" s="134">
        <v>110</v>
      </c>
      <c r="AD1149" s="134"/>
      <c r="AE1149" s="403">
        <f t="shared" si="62"/>
        <v>7562.5</v>
      </c>
      <c r="AF1149" s="132"/>
      <c r="AG1149" s="130" t="s">
        <v>58</v>
      </c>
      <c r="AH1149" s="130"/>
      <c r="AI1149" s="130" t="s">
        <v>34</v>
      </c>
      <c r="AJ1149" s="130"/>
      <c r="AK1149" s="130"/>
      <c r="AL1149" s="135" t="s">
        <v>4250</v>
      </c>
      <c r="AM1149" s="314"/>
      <c r="AN1149" s="26"/>
      <c r="AO1149" s="26"/>
      <c r="AP1149" s="26"/>
      <c r="AQ1149" s="26">
        <v>44156</v>
      </c>
      <c r="AR1149" s="24"/>
      <c r="AS1149" s="24"/>
      <c r="AT1149" s="24">
        <v>44159</v>
      </c>
      <c r="AU1149" s="418">
        <f t="shared" si="63"/>
        <v>11</v>
      </c>
      <c r="AV1149" s="418">
        <f t="shared" si="64"/>
        <v>2020</v>
      </c>
      <c r="AW1149" s="24"/>
      <c r="AX1149" s="28"/>
      <c r="AY1149" s="28" t="s">
        <v>3574</v>
      </c>
      <c r="AZ1149" s="132" t="s">
        <v>25</v>
      </c>
      <c r="BA1149" s="132"/>
      <c r="BB1149" s="24" t="s">
        <v>3264</v>
      </c>
      <c r="BC1149" s="135">
        <v>702</v>
      </c>
      <c r="BD1149" s="24">
        <v>44110</v>
      </c>
      <c r="BE1149" s="135" t="s">
        <v>4425</v>
      </c>
      <c r="BF1149" s="135" t="s">
        <v>4425</v>
      </c>
      <c r="BG1149" s="135" t="s">
        <v>52</v>
      </c>
      <c r="BH1149" s="135"/>
      <c r="BI1149" s="314" t="s">
        <v>124</v>
      </c>
      <c r="BJ1149" s="314" t="s">
        <v>148</v>
      </c>
      <c r="BK1149" s="24"/>
      <c r="BL1149" s="24"/>
      <c r="BM1149" s="24"/>
      <c r="BN1149" s="24"/>
      <c r="BO1149" s="24"/>
      <c r="BP1149" s="24"/>
      <c r="BQ1149" s="24"/>
      <c r="BR1149" s="43"/>
      <c r="BS1149" s="24"/>
      <c r="BT1149" s="24"/>
      <c r="BU1149" s="24"/>
      <c r="BV1149" s="132" t="e">
        <f>IF(#REF!="COMPLETO","OK","PENDIENTES")</f>
        <v>#REF!</v>
      </c>
      <c r="BW1149" s="325"/>
      <c r="BX1149" s="325"/>
      <c r="BY1149" s="325"/>
      <c r="BZ1149" s="325"/>
      <c r="CA1149" s="325"/>
      <c r="CB1149" s="325"/>
      <c r="CC1149" s="258"/>
      <c r="CG1149" s="24" t="s">
        <v>105</v>
      </c>
      <c r="CH1149" s="24"/>
      <c r="CI1149" s="24"/>
      <c r="CJ1149" s="24"/>
    </row>
    <row r="1150" spans="1:88" ht="13.9" customHeight="1">
      <c r="A1150" s="18">
        <v>2020</v>
      </c>
      <c r="B1150" s="18" t="str">
        <f>+INDEX(BDD!F:F,MATCH(P1150,BDD!D:D,0))&amp;"-"&amp;INDEX(BDD!E:E,MATCH(P1150,BDD!D:D,0))</f>
        <v>S-S</v>
      </c>
      <c r="C1150" s="360" t="s">
        <v>484</v>
      </c>
      <c r="D1150" s="150" t="s">
        <v>77</v>
      </c>
      <c r="E1150" s="132"/>
      <c r="F1150" s="24"/>
      <c r="G1150" s="346">
        <v>8000001120</v>
      </c>
      <c r="H1150" s="18" t="s">
        <v>4493</v>
      </c>
      <c r="I1150" s="329"/>
      <c r="J1150" s="346">
        <v>8000001120</v>
      </c>
      <c r="K1150" s="24"/>
      <c r="L1150" s="24"/>
      <c r="M1150" s="24"/>
      <c r="N1150" s="340" t="s">
        <v>486</v>
      </c>
      <c r="O1150" s="334">
        <v>205257</v>
      </c>
      <c r="P1150" s="25" t="s">
        <v>344</v>
      </c>
      <c r="Q1150" s="127" t="s">
        <v>66</v>
      </c>
      <c r="R1150" s="232" t="s">
        <v>4489</v>
      </c>
      <c r="S1150" s="89">
        <v>44075</v>
      </c>
      <c r="T1150" s="36" t="s">
        <v>19</v>
      </c>
      <c r="U1150" s="125"/>
      <c r="V1150" s="147" t="s">
        <v>4494</v>
      </c>
      <c r="W1150" s="129"/>
      <c r="X1150" s="88">
        <v>44133</v>
      </c>
      <c r="Y1150" s="130" t="s">
        <v>20</v>
      </c>
      <c r="Z1150" s="133" t="s">
        <v>60</v>
      </c>
      <c r="AA1150" s="133"/>
      <c r="AB1150" s="241">
        <v>48.75</v>
      </c>
      <c r="AC1150" s="134">
        <v>110</v>
      </c>
      <c r="AD1150" s="134"/>
      <c r="AE1150" s="403">
        <f t="shared" si="62"/>
        <v>5362.5</v>
      </c>
      <c r="AF1150" s="132"/>
      <c r="AG1150" s="130" t="s">
        <v>58</v>
      </c>
      <c r="AH1150" s="130"/>
      <c r="AI1150" s="130" t="s">
        <v>34</v>
      </c>
      <c r="AJ1150" s="130"/>
      <c r="AK1150" s="130"/>
      <c r="AL1150" s="135" t="s">
        <v>4250</v>
      </c>
      <c r="AM1150" s="314"/>
      <c r="AN1150" s="26"/>
      <c r="AO1150" s="26"/>
      <c r="AP1150" s="26"/>
      <c r="AQ1150" s="26">
        <v>44161</v>
      </c>
      <c r="AR1150" s="24"/>
      <c r="AS1150" s="24"/>
      <c r="AT1150" s="24">
        <v>44163</v>
      </c>
      <c r="AU1150" s="418">
        <f t="shared" si="63"/>
        <v>11</v>
      </c>
      <c r="AV1150" s="418">
        <f t="shared" si="64"/>
        <v>2020</v>
      </c>
      <c r="AW1150" s="24"/>
      <c r="AX1150" s="28"/>
      <c r="AY1150" s="28" t="s">
        <v>3574</v>
      </c>
      <c r="AZ1150" s="132" t="s">
        <v>37</v>
      </c>
      <c r="BA1150" s="132"/>
      <c r="BB1150" s="24" t="s">
        <v>3291</v>
      </c>
      <c r="BC1150" s="135">
        <v>703</v>
      </c>
      <c r="BD1150" s="24">
        <v>44110</v>
      </c>
      <c r="BE1150" s="135" t="s">
        <v>4425</v>
      </c>
      <c r="BF1150" s="135" t="s">
        <v>4425</v>
      </c>
      <c r="BG1150" s="135" t="s">
        <v>52</v>
      </c>
      <c r="BH1150" s="135"/>
      <c r="BI1150" s="314" t="s">
        <v>124</v>
      </c>
      <c r="BJ1150" s="314" t="s">
        <v>148</v>
      </c>
      <c r="BK1150" s="24"/>
      <c r="BL1150" s="24"/>
      <c r="BM1150" s="24"/>
      <c r="BN1150" s="24"/>
      <c r="BO1150" s="24"/>
      <c r="BP1150" s="24"/>
      <c r="BQ1150" s="24"/>
      <c r="BR1150" s="43"/>
      <c r="BS1150" s="24"/>
      <c r="BT1150" s="24"/>
      <c r="BU1150" s="24"/>
      <c r="BV1150" s="132" t="e">
        <f>IF(#REF!="COMPLETO","OK","PENDIENTES")</f>
        <v>#REF!</v>
      </c>
      <c r="BW1150" s="325"/>
      <c r="BX1150" s="325"/>
      <c r="BY1150" s="325"/>
      <c r="BZ1150" s="325"/>
      <c r="CA1150" s="325"/>
      <c r="CB1150" s="325"/>
      <c r="CC1150" s="258"/>
      <c r="CG1150" s="24" t="s">
        <v>105</v>
      </c>
      <c r="CH1150" s="24"/>
      <c r="CI1150" s="24"/>
      <c r="CJ1150" s="24"/>
    </row>
    <row r="1151" spans="1:88" ht="13.9" customHeight="1">
      <c r="A1151" s="18">
        <v>2020</v>
      </c>
      <c r="B1151" s="18" t="str">
        <f>+INDEX(BDD!F:F,MATCH(P1151,BDD!D:D,0))&amp;"-"&amp;INDEX(BDD!E:E,MATCH(P1151,BDD!D:D,0))</f>
        <v>S-S</v>
      </c>
      <c r="C1151" s="360" t="s">
        <v>484</v>
      </c>
      <c r="D1151" s="150" t="s">
        <v>77</v>
      </c>
      <c r="E1151" s="132"/>
      <c r="F1151" s="24"/>
      <c r="G1151" s="346">
        <v>8000001130</v>
      </c>
      <c r="H1151" s="18" t="s">
        <v>4495</v>
      </c>
      <c r="I1151" s="329"/>
      <c r="J1151" s="346">
        <v>8000001130</v>
      </c>
      <c r="K1151" s="24"/>
      <c r="L1151" s="24"/>
      <c r="M1151" s="24"/>
      <c r="N1151" s="340" t="s">
        <v>486</v>
      </c>
      <c r="O1151" s="334">
        <v>205257</v>
      </c>
      <c r="P1151" s="25" t="s">
        <v>344</v>
      </c>
      <c r="Q1151" s="127" t="s">
        <v>66</v>
      </c>
      <c r="R1151" s="232" t="s">
        <v>4489</v>
      </c>
      <c r="S1151" s="89">
        <v>44075</v>
      </c>
      <c r="T1151" s="36" t="s">
        <v>19</v>
      </c>
      <c r="U1151" s="125"/>
      <c r="V1151" s="147" t="s">
        <v>4496</v>
      </c>
      <c r="W1151" s="129"/>
      <c r="X1151" s="88">
        <v>44133</v>
      </c>
      <c r="Y1151" s="130" t="s">
        <v>20</v>
      </c>
      <c r="Z1151" s="133" t="s">
        <v>60</v>
      </c>
      <c r="AA1151" s="133"/>
      <c r="AB1151" s="241">
        <v>28.75</v>
      </c>
      <c r="AC1151" s="134">
        <v>110</v>
      </c>
      <c r="AD1151" s="134"/>
      <c r="AE1151" s="403">
        <f t="shared" si="62"/>
        <v>3162.5</v>
      </c>
      <c r="AF1151" s="132"/>
      <c r="AG1151" s="130" t="s">
        <v>58</v>
      </c>
      <c r="AH1151" s="130"/>
      <c r="AI1151" s="130" t="s">
        <v>34</v>
      </c>
      <c r="AJ1151" s="130"/>
      <c r="AK1151" s="130"/>
      <c r="AL1151" s="135" t="s">
        <v>4250</v>
      </c>
      <c r="AM1151" s="314"/>
      <c r="AN1151" s="26"/>
      <c r="AO1151" s="26"/>
      <c r="AP1151" s="26"/>
      <c r="AQ1151" s="26">
        <v>44163</v>
      </c>
      <c r="AR1151" s="24"/>
      <c r="AS1151" s="24"/>
      <c r="AT1151" s="24">
        <v>44166</v>
      </c>
      <c r="AU1151" s="418">
        <f t="shared" si="63"/>
        <v>12</v>
      </c>
      <c r="AV1151" s="418">
        <f t="shared" si="64"/>
        <v>2020</v>
      </c>
      <c r="AW1151" s="24"/>
      <c r="AX1151" s="28"/>
      <c r="AY1151" s="28" t="s">
        <v>3574</v>
      </c>
      <c r="AZ1151" s="132" t="s">
        <v>50</v>
      </c>
      <c r="BA1151" s="132"/>
      <c r="BB1151" s="24" t="s">
        <v>2956</v>
      </c>
      <c r="BC1151" s="135">
        <v>704</v>
      </c>
      <c r="BD1151" s="24">
        <v>44110</v>
      </c>
      <c r="BE1151" s="135" t="s">
        <v>4425</v>
      </c>
      <c r="BF1151" s="135" t="s">
        <v>4425</v>
      </c>
      <c r="BG1151" s="135" t="s">
        <v>52</v>
      </c>
      <c r="BH1151" s="135"/>
      <c r="BI1151" s="314" t="s">
        <v>124</v>
      </c>
      <c r="BJ1151" s="314" t="s">
        <v>148</v>
      </c>
      <c r="BK1151" s="24"/>
      <c r="BL1151" s="24"/>
      <c r="BM1151" s="24"/>
      <c r="BN1151" s="24"/>
      <c r="BO1151" s="24"/>
      <c r="BP1151" s="24"/>
      <c r="BQ1151" s="24"/>
      <c r="BR1151" s="43"/>
      <c r="BS1151" s="24"/>
      <c r="BT1151" s="24"/>
      <c r="BU1151" s="24"/>
      <c r="BV1151" s="132" t="e">
        <f>IF(#REF!="COMPLETO","OK","PENDIENTES")</f>
        <v>#REF!</v>
      </c>
      <c r="BW1151" s="325"/>
      <c r="BX1151" s="325"/>
      <c r="BY1151" s="325"/>
      <c r="BZ1151" s="325"/>
      <c r="CA1151" s="325"/>
      <c r="CB1151" s="325"/>
      <c r="CC1151" s="258"/>
      <c r="CG1151" s="24" t="s">
        <v>105</v>
      </c>
      <c r="CH1151" s="24"/>
      <c r="CI1151" s="24"/>
      <c r="CJ1151" s="24"/>
    </row>
    <row r="1152" spans="1:88" ht="13.9" customHeight="1">
      <c r="A1152" s="18">
        <v>2020</v>
      </c>
      <c r="B1152" s="18" t="str">
        <f>+INDEX(BDD!F:F,MATCH(P1152,BDD!D:D,0))&amp;"-"&amp;INDEX(BDD!E:E,MATCH(P1152,BDD!D:D,0))</f>
        <v>E-E</v>
      </c>
      <c r="C1152" s="360" t="s">
        <v>484</v>
      </c>
      <c r="D1152" s="150" t="s">
        <v>77</v>
      </c>
      <c r="E1152" s="132"/>
      <c r="F1152" s="24"/>
      <c r="G1152" s="346">
        <v>8000000963</v>
      </c>
      <c r="H1152" s="18" t="s">
        <v>4497</v>
      </c>
      <c r="I1152" s="329"/>
      <c r="J1152" s="346">
        <v>8000000963</v>
      </c>
      <c r="K1152" s="24"/>
      <c r="L1152" s="24"/>
      <c r="M1152" s="24"/>
      <c r="N1152" s="340" t="s">
        <v>486</v>
      </c>
      <c r="O1152" s="334">
        <v>205996</v>
      </c>
      <c r="P1152" s="25" t="s">
        <v>376</v>
      </c>
      <c r="Q1152" s="127" t="s">
        <v>4498</v>
      </c>
      <c r="R1152" s="232"/>
      <c r="S1152" s="89">
        <v>44469</v>
      </c>
      <c r="T1152" s="36">
        <v>90</v>
      </c>
      <c r="U1152" s="125" t="s">
        <v>118</v>
      </c>
      <c r="V1152" s="147" t="s">
        <v>4499</v>
      </c>
      <c r="W1152" s="129"/>
      <c r="X1152" s="88">
        <f>+BD1152+T1152</f>
        <v>44235</v>
      </c>
      <c r="Y1152" s="130" t="s">
        <v>20</v>
      </c>
      <c r="Z1152" s="133" t="s">
        <v>81</v>
      </c>
      <c r="AA1152" s="133"/>
      <c r="AB1152" s="241">
        <v>57.5</v>
      </c>
      <c r="AC1152" s="134">
        <v>1325</v>
      </c>
      <c r="AD1152" s="134"/>
      <c r="AE1152" s="403">
        <f t="shared" si="62"/>
        <v>76187.5</v>
      </c>
      <c r="AF1152" s="132"/>
      <c r="AG1152" s="130" t="s">
        <v>58</v>
      </c>
      <c r="AH1152" s="130"/>
      <c r="AI1152" s="130" t="s">
        <v>34</v>
      </c>
      <c r="AJ1152" s="130"/>
      <c r="AK1152" s="130"/>
      <c r="AL1152" s="135" t="s">
        <v>4250</v>
      </c>
      <c r="AM1152" s="314"/>
      <c r="AN1152" s="26"/>
      <c r="AO1152" s="26">
        <v>44124</v>
      </c>
      <c r="AP1152" s="26"/>
      <c r="AQ1152" s="26">
        <v>44186</v>
      </c>
      <c r="AR1152" s="24"/>
      <c r="AS1152" s="24"/>
      <c r="AT1152" s="24">
        <v>44202</v>
      </c>
      <c r="AU1152" s="418">
        <f t="shared" si="63"/>
        <v>1</v>
      </c>
      <c r="AV1152" s="418">
        <f t="shared" si="64"/>
        <v>2021</v>
      </c>
      <c r="AW1152" s="24"/>
      <c r="AX1152" s="24"/>
      <c r="AY1152" s="24" t="s">
        <v>311</v>
      </c>
      <c r="AZ1152" s="132" t="s">
        <v>37</v>
      </c>
      <c r="BA1152" s="132"/>
      <c r="BB1152" s="24" t="s">
        <v>3593</v>
      </c>
      <c r="BC1152" s="135" t="s">
        <v>4500</v>
      </c>
      <c r="BD1152" s="24">
        <v>44145</v>
      </c>
      <c r="BE1152" s="135" t="s">
        <v>4501</v>
      </c>
      <c r="BF1152" s="135" t="s">
        <v>4501</v>
      </c>
      <c r="BG1152" s="135" t="s">
        <v>52</v>
      </c>
      <c r="BH1152" s="135"/>
      <c r="BI1152" s="314" t="s">
        <v>124</v>
      </c>
      <c r="BJ1152" s="314" t="s">
        <v>138</v>
      </c>
      <c r="BK1152" s="26"/>
      <c r="BL1152" s="26"/>
      <c r="BM1152" s="26"/>
      <c r="BN1152" s="26"/>
      <c r="BO1152" s="24"/>
      <c r="BP1152" s="24"/>
      <c r="BQ1152" s="24"/>
      <c r="BR1152" s="43"/>
      <c r="BS1152" s="24"/>
      <c r="BT1152" s="24"/>
      <c r="BU1152" s="24"/>
      <c r="BV1152" s="132" t="e">
        <f>IF(#REF!="COMPLETO","OK","PENDIENTES")</f>
        <v>#REF!</v>
      </c>
      <c r="BW1152" s="325"/>
      <c r="BX1152" s="325"/>
      <c r="BY1152" s="325"/>
      <c r="BZ1152" s="325"/>
      <c r="CA1152" s="325"/>
      <c r="CB1152" s="325"/>
      <c r="CC1152" s="258"/>
      <c r="CG1152" s="24" t="s">
        <v>105</v>
      </c>
      <c r="CH1152" s="24"/>
      <c r="CI1152" s="24"/>
      <c r="CJ1152" s="24"/>
    </row>
    <row r="1153" spans="1:88" ht="13.9" customHeight="1">
      <c r="A1153" s="18">
        <v>2020</v>
      </c>
      <c r="B1153" s="18" t="str">
        <f>+INDEX(BDD!F:F,MATCH(P1153,BDD!D:D,0))&amp;"-"&amp;INDEX(BDD!E:E,MATCH(P1153,BDD!D:D,0))</f>
        <v>G-S</v>
      </c>
      <c r="C1153" s="360" t="s">
        <v>484</v>
      </c>
      <c r="D1153" s="150" t="s">
        <v>77</v>
      </c>
      <c r="E1153" s="132"/>
      <c r="F1153" s="24"/>
      <c r="G1153" s="346">
        <v>8000001113</v>
      </c>
      <c r="H1153" s="18" t="s">
        <v>4502</v>
      </c>
      <c r="I1153" s="329"/>
      <c r="J1153" s="346">
        <v>8000001113</v>
      </c>
      <c r="K1153" s="24"/>
      <c r="L1153" s="24"/>
      <c r="M1153" s="24"/>
      <c r="N1153" s="340" t="s">
        <v>486</v>
      </c>
      <c r="O1153" s="334">
        <v>209851</v>
      </c>
      <c r="P1153" s="25" t="s">
        <v>337</v>
      </c>
      <c r="Q1153" s="127" t="s">
        <v>66</v>
      </c>
      <c r="R1153" s="232" t="s">
        <v>4503</v>
      </c>
      <c r="S1153" s="89">
        <v>44070</v>
      </c>
      <c r="T1153" s="36" t="s">
        <v>19</v>
      </c>
      <c r="U1153" s="125"/>
      <c r="V1153" s="147" t="s">
        <v>4504</v>
      </c>
      <c r="W1153" s="129"/>
      <c r="X1153" s="88">
        <v>44133</v>
      </c>
      <c r="Y1153" s="130" t="s">
        <v>20</v>
      </c>
      <c r="Z1153" s="133" t="s">
        <v>60</v>
      </c>
      <c r="AA1153" s="133"/>
      <c r="AB1153" s="241">
        <v>140.4</v>
      </c>
      <c r="AC1153" s="134">
        <v>125</v>
      </c>
      <c r="AD1153" s="134"/>
      <c r="AE1153" s="403">
        <f t="shared" si="62"/>
        <v>17550</v>
      </c>
      <c r="AF1153" s="132"/>
      <c r="AG1153" s="130" t="s">
        <v>58</v>
      </c>
      <c r="AH1153" s="130"/>
      <c r="AI1153" s="130" t="s">
        <v>100</v>
      </c>
      <c r="AJ1153" s="130"/>
      <c r="AK1153" s="130"/>
      <c r="AL1153" s="135" t="s">
        <v>4250</v>
      </c>
      <c r="AM1153" s="314"/>
      <c r="AN1153" s="26"/>
      <c r="AO1153" s="26"/>
      <c r="AP1153" s="26"/>
      <c r="AQ1153" s="26">
        <v>44156</v>
      </c>
      <c r="AR1153" s="24"/>
      <c r="AS1153" s="24"/>
      <c r="AT1153" s="24">
        <v>44159</v>
      </c>
      <c r="AU1153" s="418">
        <f t="shared" si="63"/>
        <v>11</v>
      </c>
      <c r="AV1153" s="418">
        <f t="shared" si="64"/>
        <v>2020</v>
      </c>
      <c r="AW1153" s="24"/>
      <c r="AX1153" s="28"/>
      <c r="AY1153" s="28" t="s">
        <v>3574</v>
      </c>
      <c r="AZ1153" s="132" t="s">
        <v>25</v>
      </c>
      <c r="BA1153" s="132"/>
      <c r="BB1153" s="24" t="s">
        <v>3264</v>
      </c>
      <c r="BC1153" s="135">
        <v>401</v>
      </c>
      <c r="BD1153" s="24">
        <v>44110</v>
      </c>
      <c r="BE1153" s="135" t="s">
        <v>4425</v>
      </c>
      <c r="BF1153" s="135" t="s">
        <v>4425</v>
      </c>
      <c r="BG1153" s="135" t="s">
        <v>52</v>
      </c>
      <c r="BH1153" s="135"/>
      <c r="BI1153" s="314" t="s">
        <v>124</v>
      </c>
      <c r="BJ1153" s="314" t="s">
        <v>148</v>
      </c>
      <c r="BK1153" s="24"/>
      <c r="BL1153" s="24"/>
      <c r="BM1153" s="24"/>
      <c r="BN1153" s="24"/>
      <c r="BO1153" s="24"/>
      <c r="BP1153" s="24"/>
      <c r="BQ1153" s="24"/>
      <c r="BR1153" s="43"/>
      <c r="BS1153" s="24"/>
      <c r="BT1153" s="24"/>
      <c r="BU1153" s="24"/>
      <c r="BV1153" s="132" t="e">
        <f>IF(#REF!="COMPLETO","OK","PENDIENTES")</f>
        <v>#REF!</v>
      </c>
      <c r="BW1153" s="325"/>
      <c r="BX1153" s="325"/>
      <c r="BY1153" s="325"/>
      <c r="BZ1153" s="325"/>
      <c r="CA1153" s="325"/>
      <c r="CB1153" s="325"/>
      <c r="CC1153" s="258"/>
      <c r="CG1153" s="24" t="s">
        <v>105</v>
      </c>
      <c r="CH1153" s="24"/>
      <c r="CI1153" s="24"/>
      <c r="CJ1153" s="24"/>
    </row>
    <row r="1154" spans="1:88" ht="13.9" customHeight="1">
      <c r="A1154" s="18">
        <v>2020</v>
      </c>
      <c r="B1154" s="18" t="str">
        <f>+INDEX(BDD!F:F,MATCH(P1154,BDD!D:D,0))&amp;"-"&amp;INDEX(BDD!E:E,MATCH(P1154,BDD!D:D,0))</f>
        <v>G-S</v>
      </c>
      <c r="C1154" s="360" t="s">
        <v>484</v>
      </c>
      <c r="D1154" s="150" t="s">
        <v>77</v>
      </c>
      <c r="E1154" s="132"/>
      <c r="F1154" s="24"/>
      <c r="G1154" s="346">
        <v>8000001121</v>
      </c>
      <c r="H1154" s="18" t="s">
        <v>4505</v>
      </c>
      <c r="I1154" s="329"/>
      <c r="J1154" s="346">
        <v>8000001121</v>
      </c>
      <c r="K1154" s="24"/>
      <c r="L1154" s="24"/>
      <c r="M1154" s="24"/>
      <c r="N1154" s="340" t="s">
        <v>486</v>
      </c>
      <c r="O1154" s="334">
        <v>209851</v>
      </c>
      <c r="P1154" s="25" t="s">
        <v>337</v>
      </c>
      <c r="Q1154" s="127" t="s">
        <v>66</v>
      </c>
      <c r="R1154" s="232" t="s">
        <v>4503</v>
      </c>
      <c r="S1154" s="89">
        <v>44070</v>
      </c>
      <c r="T1154" s="36" t="s">
        <v>19</v>
      </c>
      <c r="U1154" s="125"/>
      <c r="V1154" s="147" t="s">
        <v>4506</v>
      </c>
      <c r="W1154" s="129"/>
      <c r="X1154" s="88">
        <v>44133</v>
      </c>
      <c r="Y1154" s="130" t="s">
        <v>20</v>
      </c>
      <c r="Z1154" s="133" t="s">
        <v>60</v>
      </c>
      <c r="AA1154" s="133"/>
      <c r="AB1154" s="241">
        <v>299</v>
      </c>
      <c r="AC1154" s="134">
        <v>125</v>
      </c>
      <c r="AD1154" s="134"/>
      <c r="AE1154" s="403">
        <f t="shared" ref="AE1154:AE1217" si="65">AB1154*AC1154</f>
        <v>37375</v>
      </c>
      <c r="AF1154" s="132"/>
      <c r="AG1154" s="130" t="s">
        <v>58</v>
      </c>
      <c r="AH1154" s="130"/>
      <c r="AI1154" s="130" t="s">
        <v>100</v>
      </c>
      <c r="AJ1154" s="130"/>
      <c r="AK1154" s="130"/>
      <c r="AL1154" s="135" t="s">
        <v>4250</v>
      </c>
      <c r="AM1154" s="314"/>
      <c r="AN1154" s="26"/>
      <c r="AO1154" s="26"/>
      <c r="AP1154" s="26"/>
      <c r="AQ1154" s="26">
        <v>44161</v>
      </c>
      <c r="AR1154" s="24"/>
      <c r="AS1154" s="24"/>
      <c r="AT1154" s="24">
        <v>44163</v>
      </c>
      <c r="AU1154" s="418">
        <f t="shared" si="63"/>
        <v>11</v>
      </c>
      <c r="AV1154" s="418">
        <f t="shared" si="64"/>
        <v>2020</v>
      </c>
      <c r="AW1154" s="24"/>
      <c r="AX1154" s="28"/>
      <c r="AY1154" s="28" t="s">
        <v>3574</v>
      </c>
      <c r="AZ1154" s="132" t="s">
        <v>37</v>
      </c>
      <c r="BA1154" s="132"/>
      <c r="BB1154" s="24" t="s">
        <v>3291</v>
      </c>
      <c r="BC1154" s="135">
        <v>402</v>
      </c>
      <c r="BD1154" s="24">
        <v>44110</v>
      </c>
      <c r="BE1154" s="135" t="s">
        <v>4425</v>
      </c>
      <c r="BF1154" s="135" t="s">
        <v>4425</v>
      </c>
      <c r="BG1154" s="135" t="s">
        <v>52</v>
      </c>
      <c r="BH1154" s="135"/>
      <c r="BI1154" s="314" t="s">
        <v>124</v>
      </c>
      <c r="BJ1154" s="314" t="s">
        <v>148</v>
      </c>
      <c r="BK1154" s="24"/>
      <c r="BL1154" s="24"/>
      <c r="BM1154" s="24"/>
      <c r="BN1154" s="24"/>
      <c r="BO1154" s="24"/>
      <c r="BP1154" s="24"/>
      <c r="BQ1154" s="24"/>
      <c r="BR1154" s="43"/>
      <c r="BS1154" s="24"/>
      <c r="BT1154" s="24"/>
      <c r="BU1154" s="24"/>
      <c r="BV1154" s="132" t="e">
        <f>IF(#REF!="COMPLETO","OK","PENDIENTES")</f>
        <v>#REF!</v>
      </c>
      <c r="BW1154" s="325"/>
      <c r="BX1154" s="325"/>
      <c r="BY1154" s="325"/>
      <c r="BZ1154" s="325"/>
      <c r="CA1154" s="325"/>
      <c r="CB1154" s="325"/>
      <c r="CC1154" s="258"/>
      <c r="CG1154" s="24" t="s">
        <v>105</v>
      </c>
      <c r="CH1154" s="24"/>
      <c r="CI1154" s="24"/>
      <c r="CJ1154" s="24"/>
    </row>
    <row r="1155" spans="1:88" ht="15" customHeight="1">
      <c r="A1155" s="18">
        <v>2020</v>
      </c>
      <c r="B1155" s="18" t="str">
        <f>+INDEX(BDD!F:F,MATCH(P1155,BDD!D:D,0))&amp;"-"&amp;INDEX(BDD!E:E,MATCH(P1155,BDD!D:D,0))</f>
        <v>G-S</v>
      </c>
      <c r="C1155" s="360" t="s">
        <v>484</v>
      </c>
      <c r="D1155" s="150" t="s">
        <v>77</v>
      </c>
      <c r="E1155" s="132"/>
      <c r="F1155" s="24"/>
      <c r="G1155" s="346">
        <v>8000001137</v>
      </c>
      <c r="H1155" s="18" t="s">
        <v>4507</v>
      </c>
      <c r="I1155" s="329"/>
      <c r="J1155" s="346">
        <v>8000001137</v>
      </c>
      <c r="K1155" s="24"/>
      <c r="L1155" s="24"/>
      <c r="M1155" s="24"/>
      <c r="N1155" s="340" t="s">
        <v>486</v>
      </c>
      <c r="O1155" s="334">
        <v>209851</v>
      </c>
      <c r="P1155" s="25" t="s">
        <v>337</v>
      </c>
      <c r="Q1155" s="127" t="s">
        <v>66</v>
      </c>
      <c r="R1155" s="232" t="s">
        <v>4503</v>
      </c>
      <c r="S1155" s="89">
        <v>44070</v>
      </c>
      <c r="T1155" s="36" t="s">
        <v>19</v>
      </c>
      <c r="U1155" s="125"/>
      <c r="V1155" s="147" t="s">
        <v>4508</v>
      </c>
      <c r="W1155" s="129"/>
      <c r="X1155" s="88">
        <v>44133</v>
      </c>
      <c r="Y1155" s="130" t="s">
        <v>20</v>
      </c>
      <c r="Z1155" s="133" t="s">
        <v>60</v>
      </c>
      <c r="AA1155" s="133"/>
      <c r="AB1155" s="241">
        <v>61.1</v>
      </c>
      <c r="AC1155" s="134">
        <v>125</v>
      </c>
      <c r="AD1155" s="134"/>
      <c r="AE1155" s="403">
        <f t="shared" si="65"/>
        <v>7637.5</v>
      </c>
      <c r="AF1155" s="132"/>
      <c r="AG1155" s="130" t="s">
        <v>58</v>
      </c>
      <c r="AH1155" s="130"/>
      <c r="AI1155" s="130" t="s">
        <v>100</v>
      </c>
      <c r="AJ1155" s="130"/>
      <c r="AK1155" s="130"/>
      <c r="AL1155" s="135" t="s">
        <v>4250</v>
      </c>
      <c r="AM1155" s="314"/>
      <c r="AN1155" s="26"/>
      <c r="AO1155" s="26"/>
      <c r="AP1155" s="26"/>
      <c r="AQ1155" s="26">
        <v>44167</v>
      </c>
      <c r="AR1155" s="24"/>
      <c r="AS1155" s="24"/>
      <c r="AT1155" s="24">
        <v>44168</v>
      </c>
      <c r="AU1155" s="418">
        <f t="shared" ref="AU1155:AU1218" si="66">MONTH(AT1155)</f>
        <v>12</v>
      </c>
      <c r="AV1155" s="418">
        <f t="shared" ref="AV1155:AV1218" si="67">YEAR(AT1155)</f>
        <v>2020</v>
      </c>
      <c r="AW1155" s="24"/>
      <c r="AX1155" s="28"/>
      <c r="AY1155" s="28" t="s">
        <v>3574</v>
      </c>
      <c r="AZ1155" s="132" t="s">
        <v>62</v>
      </c>
      <c r="BA1155" s="132"/>
      <c r="BB1155" s="24" t="s">
        <v>3264</v>
      </c>
      <c r="BC1155" s="135">
        <v>403</v>
      </c>
      <c r="BD1155" s="24">
        <v>44110</v>
      </c>
      <c r="BE1155" s="135" t="s">
        <v>4425</v>
      </c>
      <c r="BF1155" s="135" t="s">
        <v>4425</v>
      </c>
      <c r="BG1155" s="135" t="s">
        <v>52</v>
      </c>
      <c r="BH1155" s="135"/>
      <c r="BI1155" s="314" t="s">
        <v>124</v>
      </c>
      <c r="BJ1155" s="314" t="s">
        <v>148</v>
      </c>
      <c r="BK1155" s="24"/>
      <c r="BL1155" s="24"/>
      <c r="BM1155" s="24"/>
      <c r="BN1155" s="24"/>
      <c r="BO1155" s="24"/>
      <c r="BP1155" s="24"/>
      <c r="BQ1155" s="24"/>
      <c r="BR1155" s="43"/>
      <c r="BS1155" s="24"/>
      <c r="BT1155" s="24"/>
      <c r="BU1155" s="24"/>
      <c r="BV1155" s="132" t="e">
        <f>IF(#REF!="COMPLETO","OK","PENDIENTES")</f>
        <v>#REF!</v>
      </c>
      <c r="BW1155" s="325"/>
      <c r="BX1155" s="325"/>
      <c r="BY1155" s="325"/>
      <c r="BZ1155" s="325"/>
      <c r="CA1155" s="325"/>
      <c r="CB1155" s="325"/>
      <c r="CC1155" s="258"/>
      <c r="CG1155" s="24" t="s">
        <v>105</v>
      </c>
      <c r="CH1155" s="24"/>
      <c r="CI1155" s="24"/>
      <c r="CJ1155" s="24"/>
    </row>
    <row r="1156" spans="1:88" ht="15" customHeight="1">
      <c r="A1156" s="18">
        <v>2020</v>
      </c>
      <c r="B1156" s="18" t="str">
        <f>+INDEX(BDD!F:F,MATCH(P1156,BDD!D:D,0))&amp;"-"&amp;INDEX(BDD!E:E,MATCH(P1156,BDD!D:D,0))</f>
        <v>O-S</v>
      </c>
      <c r="C1156" s="360" t="s">
        <v>484</v>
      </c>
      <c r="D1156" s="150" t="s">
        <v>77</v>
      </c>
      <c r="E1156" s="132"/>
      <c r="F1156" s="24"/>
      <c r="G1156" s="346">
        <v>8000001091</v>
      </c>
      <c r="H1156" s="18" t="s">
        <v>4509</v>
      </c>
      <c r="I1156" s="329"/>
      <c r="J1156" s="346">
        <v>8000001091</v>
      </c>
      <c r="K1156" s="24"/>
      <c r="L1156" s="24"/>
      <c r="M1156" s="24"/>
      <c r="N1156" s="340" t="s">
        <v>486</v>
      </c>
      <c r="O1156" s="334">
        <v>203554</v>
      </c>
      <c r="P1156" s="25" t="s">
        <v>386</v>
      </c>
      <c r="Q1156" s="127" t="s">
        <v>303</v>
      </c>
      <c r="R1156" s="232" t="s">
        <v>4510</v>
      </c>
      <c r="S1156" s="89" t="s">
        <v>1727</v>
      </c>
      <c r="T1156" s="36" t="s">
        <v>19</v>
      </c>
      <c r="U1156" s="125"/>
      <c r="V1156" s="147" t="s">
        <v>4511</v>
      </c>
      <c r="W1156" s="129"/>
      <c r="X1156" s="88">
        <v>44110</v>
      </c>
      <c r="Y1156" s="130" t="s">
        <v>20</v>
      </c>
      <c r="Z1156" s="133" t="s">
        <v>60</v>
      </c>
      <c r="AA1156" s="133"/>
      <c r="AB1156" s="257">
        <v>106.44</v>
      </c>
      <c r="AC1156" s="134">
        <v>301.05</v>
      </c>
      <c r="AD1156" s="134"/>
      <c r="AE1156" s="403">
        <f t="shared" si="65"/>
        <v>32043.761999999999</v>
      </c>
      <c r="AF1156" s="132">
        <v>4</v>
      </c>
      <c r="AG1156" s="130" t="s">
        <v>5</v>
      </c>
      <c r="AH1156" s="130"/>
      <c r="AI1156" s="130" t="s">
        <v>100</v>
      </c>
      <c r="AJ1156" s="130"/>
      <c r="AK1156" s="130"/>
      <c r="AL1156" s="135" t="s">
        <v>624</v>
      </c>
      <c r="AM1156" s="314"/>
      <c r="AN1156" s="26"/>
      <c r="AO1156" s="26"/>
      <c r="AP1156" s="26"/>
      <c r="AQ1156" s="26">
        <v>44152</v>
      </c>
      <c r="AR1156" s="24"/>
      <c r="AS1156" s="24"/>
      <c r="AT1156" s="24">
        <v>44155</v>
      </c>
      <c r="AU1156" s="418">
        <f t="shared" si="66"/>
        <v>11</v>
      </c>
      <c r="AV1156" s="418">
        <f t="shared" si="67"/>
        <v>2020</v>
      </c>
      <c r="AW1156" s="24"/>
      <c r="AX1156" s="28"/>
      <c r="AY1156" s="28" t="s">
        <v>4072</v>
      </c>
      <c r="AZ1156" s="132" t="s">
        <v>62</v>
      </c>
      <c r="BA1156" s="132"/>
      <c r="BB1156" s="24" t="s">
        <v>3334</v>
      </c>
      <c r="BC1156" s="135" t="s">
        <v>4512</v>
      </c>
      <c r="BD1156" s="24">
        <v>44082</v>
      </c>
      <c r="BE1156" s="135" t="s">
        <v>4344</v>
      </c>
      <c r="BF1156" s="135" t="s">
        <v>1938</v>
      </c>
      <c r="BG1156" s="135" t="s">
        <v>29</v>
      </c>
      <c r="BH1156" s="135"/>
      <c r="BI1156" s="314" t="s">
        <v>117</v>
      </c>
      <c r="BJ1156" s="314" t="s">
        <v>148</v>
      </c>
      <c r="BK1156" s="24"/>
      <c r="BL1156" s="24"/>
      <c r="BM1156" s="24"/>
      <c r="BN1156" s="24"/>
      <c r="BO1156" s="24">
        <f>AQ1156+14</f>
        <v>44166</v>
      </c>
      <c r="BP1156" s="24"/>
      <c r="BQ1156" s="24"/>
      <c r="BR1156" s="43"/>
      <c r="BS1156" s="24"/>
      <c r="BT1156" s="24"/>
      <c r="BU1156" s="24"/>
      <c r="BV1156" s="132" t="e">
        <f>IF(#REF!="COMPLETO","OK","PENDIENTES")</f>
        <v>#REF!</v>
      </c>
      <c r="BW1156" s="325"/>
      <c r="BX1156" s="325"/>
      <c r="BY1156" s="325"/>
      <c r="BZ1156" s="325"/>
      <c r="CA1156" s="325"/>
      <c r="CB1156" s="325"/>
      <c r="CC1156" s="258" t="s">
        <v>4513</v>
      </c>
      <c r="CG1156" s="24" t="s">
        <v>4086</v>
      </c>
      <c r="CH1156" s="24"/>
      <c r="CI1156" s="24"/>
      <c r="CJ1156" s="24"/>
    </row>
    <row r="1157" spans="1:88" ht="15" customHeight="1">
      <c r="A1157" s="18">
        <v>2020</v>
      </c>
      <c r="B1157" s="18" t="str">
        <f>+INDEX(BDD!F:F,MATCH(P1157,BDD!D:D,0))&amp;"-"&amp;INDEX(BDD!E:E,MATCH(P1157,BDD!D:D,0))</f>
        <v>O-S</v>
      </c>
      <c r="C1157" s="360" t="s">
        <v>484</v>
      </c>
      <c r="D1157" s="150" t="s">
        <v>77</v>
      </c>
      <c r="E1157" s="132"/>
      <c r="F1157" s="24"/>
      <c r="G1157" s="346">
        <v>8000001092</v>
      </c>
      <c r="H1157" s="18" t="s">
        <v>4514</v>
      </c>
      <c r="I1157" s="329"/>
      <c r="J1157" s="346">
        <v>8000001092</v>
      </c>
      <c r="K1157" s="24"/>
      <c r="L1157" s="24"/>
      <c r="M1157" s="24"/>
      <c r="N1157" s="340" t="s">
        <v>486</v>
      </c>
      <c r="O1157" s="334">
        <v>203554</v>
      </c>
      <c r="P1157" s="25" t="s">
        <v>386</v>
      </c>
      <c r="Q1157" s="127" t="s">
        <v>303</v>
      </c>
      <c r="R1157" s="232" t="s">
        <v>4515</v>
      </c>
      <c r="S1157" s="89" t="s">
        <v>605</v>
      </c>
      <c r="T1157" s="36" t="s">
        <v>19</v>
      </c>
      <c r="U1157" s="125"/>
      <c r="V1157" s="147" t="s">
        <v>4516</v>
      </c>
      <c r="W1157" s="129"/>
      <c r="X1157" s="88">
        <v>44110</v>
      </c>
      <c r="Y1157" s="130" t="s">
        <v>20</v>
      </c>
      <c r="Z1157" s="133" t="s">
        <v>60</v>
      </c>
      <c r="AA1157" s="133"/>
      <c r="AB1157" s="257">
        <v>53.89</v>
      </c>
      <c r="AC1157" s="134">
        <v>301.05</v>
      </c>
      <c r="AD1157" s="134"/>
      <c r="AE1157" s="403">
        <f t="shared" si="65"/>
        <v>16223.584500000001</v>
      </c>
      <c r="AF1157" s="132">
        <v>2</v>
      </c>
      <c r="AG1157" s="130" t="s">
        <v>5</v>
      </c>
      <c r="AH1157" s="130"/>
      <c r="AI1157" s="130" t="s">
        <v>100</v>
      </c>
      <c r="AJ1157" s="130"/>
      <c r="AK1157" s="130"/>
      <c r="AL1157" s="135" t="s">
        <v>605</v>
      </c>
      <c r="AM1157" s="314"/>
      <c r="AN1157" s="26"/>
      <c r="AO1157" s="26"/>
      <c r="AP1157" s="26"/>
      <c r="AQ1157" s="26">
        <v>44152</v>
      </c>
      <c r="AR1157" s="24"/>
      <c r="AS1157" s="24"/>
      <c r="AT1157" s="24">
        <v>44155</v>
      </c>
      <c r="AU1157" s="418">
        <f t="shared" si="66"/>
        <v>11</v>
      </c>
      <c r="AV1157" s="418">
        <f t="shared" si="67"/>
        <v>2020</v>
      </c>
      <c r="AW1157" s="24"/>
      <c r="AX1157" s="28"/>
      <c r="AY1157" s="28" t="s">
        <v>4072</v>
      </c>
      <c r="AZ1157" s="132" t="s">
        <v>62</v>
      </c>
      <c r="BA1157" s="132"/>
      <c r="BB1157" s="24" t="s">
        <v>3334</v>
      </c>
      <c r="BC1157" s="135" t="s">
        <v>4517</v>
      </c>
      <c r="BD1157" s="24">
        <v>44089</v>
      </c>
      <c r="BE1157" s="135" t="s">
        <v>4344</v>
      </c>
      <c r="BF1157" s="135" t="s">
        <v>1938</v>
      </c>
      <c r="BG1157" s="135" t="s">
        <v>29</v>
      </c>
      <c r="BH1157" s="135"/>
      <c r="BI1157" s="314" t="s">
        <v>117</v>
      </c>
      <c r="BJ1157" s="314" t="s">
        <v>143</v>
      </c>
      <c r="BK1157" s="24"/>
      <c r="BL1157" s="24"/>
      <c r="BM1157" s="24"/>
      <c r="BN1157" s="24"/>
      <c r="BO1157" s="24">
        <f>AQ1157+14</f>
        <v>44166</v>
      </c>
      <c r="BP1157" s="24"/>
      <c r="BQ1157" s="24"/>
      <c r="BR1157" s="43"/>
      <c r="BS1157" s="24"/>
      <c r="BT1157" s="24"/>
      <c r="BU1157" s="24"/>
      <c r="BV1157" s="132" t="e">
        <f>IF(#REF!="COMPLETO","OK","PENDIENTES")</f>
        <v>#REF!</v>
      </c>
      <c r="BW1157" s="325"/>
      <c r="BX1157" s="325"/>
      <c r="BY1157" s="325"/>
      <c r="BZ1157" s="325"/>
      <c r="CA1157" s="325"/>
      <c r="CB1157" s="325"/>
      <c r="CC1157" s="258" t="s">
        <v>4518</v>
      </c>
      <c r="CG1157" s="24" t="s">
        <v>4086</v>
      </c>
      <c r="CH1157" s="24"/>
      <c r="CI1157" s="24"/>
      <c r="CJ1157" s="24"/>
    </row>
    <row r="1158" spans="1:88" ht="15" customHeight="1">
      <c r="A1158" s="18">
        <v>2020</v>
      </c>
      <c r="B1158" s="18" t="str">
        <f>+INDEX(BDD!F:F,MATCH(P1158,BDD!D:D,0))&amp;"-"&amp;INDEX(BDD!E:E,MATCH(P1158,BDD!D:D,0))</f>
        <v>O-S</v>
      </c>
      <c r="C1158" s="360" t="s">
        <v>484</v>
      </c>
      <c r="D1158" s="150" t="s">
        <v>77</v>
      </c>
      <c r="E1158" s="132"/>
      <c r="F1158" s="24"/>
      <c r="G1158" s="346">
        <v>8000001004</v>
      </c>
      <c r="H1158" s="18" t="s">
        <v>4519</v>
      </c>
      <c r="I1158" s="329"/>
      <c r="J1158" s="346">
        <v>8000001004</v>
      </c>
      <c r="K1158" s="24"/>
      <c r="L1158" s="24"/>
      <c r="M1158" s="24"/>
      <c r="N1158" s="340" t="s">
        <v>486</v>
      </c>
      <c r="O1158" s="334">
        <v>203553</v>
      </c>
      <c r="P1158" s="25" t="s">
        <v>386</v>
      </c>
      <c r="Q1158" s="127" t="s">
        <v>303</v>
      </c>
      <c r="R1158" s="232" t="s">
        <v>4520</v>
      </c>
      <c r="S1158" s="89" t="s">
        <v>1727</v>
      </c>
      <c r="T1158" s="36" t="s">
        <v>19</v>
      </c>
      <c r="U1158" s="125"/>
      <c r="V1158" s="147" t="s">
        <v>4521</v>
      </c>
      <c r="W1158" s="129"/>
      <c r="X1158" s="88">
        <v>44110</v>
      </c>
      <c r="Y1158" s="130" t="s">
        <v>20</v>
      </c>
      <c r="Z1158" s="133" t="s">
        <v>60</v>
      </c>
      <c r="AA1158" s="133"/>
      <c r="AB1158" s="241">
        <v>267.27999999999997</v>
      </c>
      <c r="AC1158" s="134">
        <v>274.32</v>
      </c>
      <c r="AD1158" s="134"/>
      <c r="AE1158" s="403">
        <f t="shared" si="65"/>
        <v>73320.249599999996</v>
      </c>
      <c r="AF1158" s="132">
        <v>10</v>
      </c>
      <c r="AG1158" s="130" t="s">
        <v>5</v>
      </c>
      <c r="AH1158" s="130"/>
      <c r="AI1158" s="130" t="s">
        <v>100</v>
      </c>
      <c r="AJ1158" s="130"/>
      <c r="AK1158" s="130"/>
      <c r="AL1158" s="135" t="s">
        <v>624</v>
      </c>
      <c r="AM1158" s="314"/>
      <c r="AN1158" s="26"/>
      <c r="AO1158" s="26"/>
      <c r="AP1158" s="26"/>
      <c r="AQ1158" s="26">
        <v>44111</v>
      </c>
      <c r="AR1158" s="24"/>
      <c r="AS1158" s="24"/>
      <c r="AT1158" s="24">
        <v>44121</v>
      </c>
      <c r="AU1158" s="418">
        <f t="shared" si="66"/>
        <v>10</v>
      </c>
      <c r="AV1158" s="418">
        <f t="shared" si="67"/>
        <v>2020</v>
      </c>
      <c r="AW1158" s="24"/>
      <c r="AX1158" s="28"/>
      <c r="AY1158" s="28" t="s">
        <v>4072</v>
      </c>
      <c r="AZ1158" s="132" t="s">
        <v>9</v>
      </c>
      <c r="BA1158" s="132"/>
      <c r="BB1158" s="24" t="s">
        <v>3264</v>
      </c>
      <c r="BC1158" s="135" t="s">
        <v>4522</v>
      </c>
      <c r="BD1158" s="24">
        <v>44078</v>
      </c>
      <c r="BE1158" s="135" t="s">
        <v>4079</v>
      </c>
      <c r="BF1158" s="135" t="s">
        <v>1806</v>
      </c>
      <c r="BG1158" s="135" t="s">
        <v>64</v>
      </c>
      <c r="BH1158" s="135"/>
      <c r="BI1158" s="314" t="s">
        <v>124</v>
      </c>
      <c r="BJ1158" s="314" t="s">
        <v>138</v>
      </c>
      <c r="BK1158" s="24"/>
      <c r="BL1158" s="24"/>
      <c r="BM1158" s="24"/>
      <c r="BN1158" s="24"/>
      <c r="BO1158" s="24">
        <v>44124</v>
      </c>
      <c r="BP1158" s="24"/>
      <c r="BQ1158" s="24"/>
      <c r="BR1158" s="43"/>
      <c r="BS1158" s="24"/>
      <c r="BT1158" s="24"/>
      <c r="BU1158" s="24"/>
      <c r="BV1158" s="132" t="e">
        <f>IF(#REF!="COMPLETO","OK","PENDIENTES")</f>
        <v>#REF!</v>
      </c>
      <c r="BW1158" s="325"/>
      <c r="BX1158" s="325"/>
      <c r="BY1158" s="325"/>
      <c r="BZ1158" s="325"/>
      <c r="CA1158" s="325"/>
      <c r="CB1158" s="325"/>
      <c r="CC1158" s="258"/>
      <c r="CG1158" s="24" t="s">
        <v>105</v>
      </c>
      <c r="CH1158" s="24"/>
      <c r="CI1158" s="24"/>
      <c r="CJ1158" s="24"/>
    </row>
    <row r="1159" spans="1:88" ht="15" customHeight="1">
      <c r="A1159" s="18">
        <v>2020</v>
      </c>
      <c r="B1159" s="18" t="str">
        <f>+INDEX(BDD!F:F,MATCH(P1159,BDD!D:D,0))&amp;"-"&amp;INDEX(BDD!E:E,MATCH(P1159,BDD!D:D,0))</f>
        <v>O-S</v>
      </c>
      <c r="C1159" s="360" t="s">
        <v>484</v>
      </c>
      <c r="D1159" s="150" t="s">
        <v>77</v>
      </c>
      <c r="E1159" s="132"/>
      <c r="F1159" s="24"/>
      <c r="G1159" s="346">
        <v>8000001021</v>
      </c>
      <c r="H1159" s="18" t="s">
        <v>4523</v>
      </c>
      <c r="I1159" s="329"/>
      <c r="J1159" s="346">
        <v>8000001021</v>
      </c>
      <c r="K1159" s="24"/>
      <c r="L1159" s="24"/>
      <c r="M1159" s="24"/>
      <c r="N1159" s="340" t="s">
        <v>486</v>
      </c>
      <c r="O1159" s="334">
        <v>203553</v>
      </c>
      <c r="P1159" s="25" t="s">
        <v>386</v>
      </c>
      <c r="Q1159" s="127" t="s">
        <v>303</v>
      </c>
      <c r="R1159" s="232" t="s">
        <v>4524</v>
      </c>
      <c r="S1159" s="89" t="s">
        <v>1727</v>
      </c>
      <c r="T1159" s="36" t="s">
        <v>19</v>
      </c>
      <c r="U1159" s="125"/>
      <c r="V1159" s="147" t="s">
        <v>4525</v>
      </c>
      <c r="W1159" s="129"/>
      <c r="X1159" s="88">
        <v>44110</v>
      </c>
      <c r="Y1159" s="130" t="s">
        <v>20</v>
      </c>
      <c r="Z1159" s="133" t="s">
        <v>60</v>
      </c>
      <c r="AA1159" s="133"/>
      <c r="AB1159" s="257">
        <v>133.27500000000001</v>
      </c>
      <c r="AC1159" s="134">
        <v>272.02</v>
      </c>
      <c r="AD1159" s="134"/>
      <c r="AE1159" s="403">
        <f t="shared" si="65"/>
        <v>36253.465499999998</v>
      </c>
      <c r="AF1159" s="132">
        <v>5</v>
      </c>
      <c r="AG1159" s="130" t="s">
        <v>5</v>
      </c>
      <c r="AH1159" s="130"/>
      <c r="AI1159" s="130" t="s">
        <v>100</v>
      </c>
      <c r="AJ1159" s="130"/>
      <c r="AK1159" s="130"/>
      <c r="AL1159" s="135" t="s">
        <v>624</v>
      </c>
      <c r="AM1159" s="314"/>
      <c r="AN1159" s="26"/>
      <c r="AO1159" s="26"/>
      <c r="AP1159" s="26"/>
      <c r="AQ1159" s="26">
        <v>44113</v>
      </c>
      <c r="AR1159" s="24"/>
      <c r="AS1159" s="24"/>
      <c r="AT1159" s="24">
        <v>44116</v>
      </c>
      <c r="AU1159" s="418">
        <f t="shared" si="66"/>
        <v>10</v>
      </c>
      <c r="AV1159" s="418">
        <f t="shared" si="67"/>
        <v>2020</v>
      </c>
      <c r="AW1159" s="24"/>
      <c r="AX1159" s="28"/>
      <c r="AY1159" s="28" t="s">
        <v>4072</v>
      </c>
      <c r="AZ1159" s="132" t="s">
        <v>37</v>
      </c>
      <c r="BA1159" s="132"/>
      <c r="BB1159" s="24" t="s">
        <v>3291</v>
      </c>
      <c r="BC1159" s="178" t="s">
        <v>4526</v>
      </c>
      <c r="BD1159" s="24">
        <v>44078</v>
      </c>
      <c r="BE1159" s="135" t="s">
        <v>4079</v>
      </c>
      <c r="BF1159" s="135" t="s">
        <v>2668</v>
      </c>
      <c r="BG1159" s="135" t="s">
        <v>64</v>
      </c>
      <c r="BH1159" s="135"/>
      <c r="BI1159" s="314" t="s">
        <v>124</v>
      </c>
      <c r="BJ1159" s="314" t="s">
        <v>138</v>
      </c>
      <c r="BK1159" s="24"/>
      <c r="BL1159" s="24"/>
      <c r="BM1159" s="24"/>
      <c r="BN1159" s="24"/>
      <c r="BO1159" s="24"/>
      <c r="BP1159" s="24"/>
      <c r="BQ1159" s="24"/>
      <c r="BR1159" s="43"/>
      <c r="BS1159" s="24"/>
      <c r="BT1159" s="24"/>
      <c r="BU1159" s="24"/>
      <c r="BV1159" s="132" t="e">
        <f>IF(#REF!="COMPLETO","OK","PENDIENTES")</f>
        <v>#REF!</v>
      </c>
      <c r="BW1159" s="325"/>
      <c r="BX1159" s="325"/>
      <c r="BY1159" s="325"/>
      <c r="BZ1159" s="325"/>
      <c r="CA1159" s="325"/>
      <c r="CB1159" s="325"/>
      <c r="CC1159" s="258"/>
      <c r="CG1159" s="24" t="s">
        <v>105</v>
      </c>
      <c r="CH1159" s="24"/>
      <c r="CI1159" s="24"/>
      <c r="CJ1159" s="24"/>
    </row>
    <row r="1160" spans="1:88" ht="15" customHeight="1">
      <c r="A1160" s="18">
        <v>2020</v>
      </c>
      <c r="B1160" s="18" t="str">
        <f>+INDEX(BDD!F:F,MATCH(P1160,BDD!D:D,0))&amp;"-"&amp;INDEX(BDD!E:E,MATCH(P1160,BDD!D:D,0))</f>
        <v>O-S</v>
      </c>
      <c r="C1160" s="360" t="s">
        <v>484</v>
      </c>
      <c r="D1160" s="150" t="s">
        <v>77</v>
      </c>
      <c r="E1160" s="132"/>
      <c r="F1160" s="24"/>
      <c r="G1160" s="346">
        <v>8000001030</v>
      </c>
      <c r="H1160" s="18" t="s">
        <v>4527</v>
      </c>
      <c r="I1160" s="329"/>
      <c r="J1160" s="346">
        <v>8000001030</v>
      </c>
      <c r="K1160" s="24"/>
      <c r="L1160" s="24"/>
      <c r="M1160" s="24"/>
      <c r="N1160" s="340" t="s">
        <v>486</v>
      </c>
      <c r="O1160" s="334">
        <v>203553</v>
      </c>
      <c r="P1160" s="25" t="s">
        <v>386</v>
      </c>
      <c r="Q1160" s="127" t="s">
        <v>303</v>
      </c>
      <c r="R1160" s="232" t="s">
        <v>4528</v>
      </c>
      <c r="S1160" s="89" t="s">
        <v>605</v>
      </c>
      <c r="T1160" s="36" t="s">
        <v>19</v>
      </c>
      <c r="U1160" s="125"/>
      <c r="V1160" s="147" t="s">
        <v>4529</v>
      </c>
      <c r="W1160" s="129"/>
      <c r="X1160" s="88">
        <v>44110</v>
      </c>
      <c r="Y1160" s="130" t="s">
        <v>20</v>
      </c>
      <c r="Z1160" s="133" t="s">
        <v>60</v>
      </c>
      <c r="AA1160" s="133"/>
      <c r="AB1160" s="241">
        <v>52.95</v>
      </c>
      <c r="AC1160" s="134">
        <v>274.32</v>
      </c>
      <c r="AD1160" s="134"/>
      <c r="AE1160" s="403">
        <f t="shared" si="65"/>
        <v>14525.244000000001</v>
      </c>
      <c r="AF1160" s="132">
        <v>2</v>
      </c>
      <c r="AG1160" s="130" t="s">
        <v>5</v>
      </c>
      <c r="AH1160" s="130"/>
      <c r="AI1160" s="130" t="s">
        <v>100</v>
      </c>
      <c r="AJ1160" s="130"/>
      <c r="AK1160" s="130"/>
      <c r="AL1160" s="135" t="s">
        <v>605</v>
      </c>
      <c r="AM1160" s="314"/>
      <c r="AN1160" s="26"/>
      <c r="AO1160" s="26"/>
      <c r="AP1160" s="26"/>
      <c r="AQ1160" s="26">
        <v>44118</v>
      </c>
      <c r="AR1160" s="24"/>
      <c r="AS1160" s="24"/>
      <c r="AT1160" s="24">
        <v>44120</v>
      </c>
      <c r="AU1160" s="418">
        <f t="shared" si="66"/>
        <v>10</v>
      </c>
      <c r="AV1160" s="418">
        <f t="shared" si="67"/>
        <v>2020</v>
      </c>
      <c r="AW1160" s="24"/>
      <c r="AX1160" s="28"/>
      <c r="AY1160" s="28" t="s">
        <v>4072</v>
      </c>
      <c r="AZ1160" s="132" t="s">
        <v>9</v>
      </c>
      <c r="BA1160" s="132"/>
      <c r="BB1160" s="24" t="s">
        <v>2956</v>
      </c>
      <c r="BC1160" s="178" t="s">
        <v>4530</v>
      </c>
      <c r="BD1160" s="24">
        <v>44082</v>
      </c>
      <c r="BE1160" s="135" t="s">
        <v>4344</v>
      </c>
      <c r="BF1160" s="135" t="s">
        <v>3640</v>
      </c>
      <c r="BG1160" s="135" t="s">
        <v>64</v>
      </c>
      <c r="BH1160" s="135"/>
      <c r="BI1160" s="314" t="s">
        <v>124</v>
      </c>
      <c r="BJ1160" s="314" t="s">
        <v>138</v>
      </c>
      <c r="BK1160" s="24"/>
      <c r="BL1160" s="24"/>
      <c r="BM1160" s="24"/>
      <c r="BN1160" s="24"/>
      <c r="BO1160" s="24">
        <v>44131</v>
      </c>
      <c r="BP1160" s="24"/>
      <c r="BQ1160" s="24"/>
      <c r="BR1160" s="43"/>
      <c r="BS1160" s="24"/>
      <c r="BT1160" s="24"/>
      <c r="BU1160" s="24"/>
      <c r="BV1160" s="132" t="e">
        <f>IF(#REF!="COMPLETO","OK","PENDIENTES")</f>
        <v>#REF!</v>
      </c>
      <c r="BW1160" s="325"/>
      <c r="BX1160" s="325"/>
      <c r="BY1160" s="325"/>
      <c r="BZ1160" s="325"/>
      <c r="CA1160" s="325"/>
      <c r="CB1160" s="325"/>
      <c r="CC1160" s="258" t="s">
        <v>4531</v>
      </c>
      <c r="CG1160" s="24" t="s">
        <v>105</v>
      </c>
      <c r="CH1160" s="24"/>
      <c r="CI1160" s="24"/>
      <c r="CJ1160" s="24"/>
    </row>
    <row r="1161" spans="1:88" ht="15" customHeight="1">
      <c r="A1161" s="18">
        <v>2020</v>
      </c>
      <c r="B1161" s="18" t="str">
        <f>+INDEX(BDD!F:F,MATCH(P1161,BDD!D:D,0))&amp;"-"&amp;INDEX(BDD!E:E,MATCH(P1161,BDD!D:D,0))</f>
        <v>O-S</v>
      </c>
      <c r="C1161" s="125" t="s">
        <v>484</v>
      </c>
      <c r="D1161" s="150" t="s">
        <v>77</v>
      </c>
      <c r="E1161" s="132"/>
      <c r="F1161" s="24"/>
      <c r="G1161" s="346">
        <v>8000001051</v>
      </c>
      <c r="H1161" s="125" t="s">
        <v>4532</v>
      </c>
      <c r="I1161" s="329"/>
      <c r="J1161" s="346">
        <v>8000001051</v>
      </c>
      <c r="K1161" s="24"/>
      <c r="L1161" s="24"/>
      <c r="M1161" s="24"/>
      <c r="N1161" s="340" t="s">
        <v>486</v>
      </c>
      <c r="O1161" s="334">
        <v>203553</v>
      </c>
      <c r="P1161" s="25" t="s">
        <v>386</v>
      </c>
      <c r="Q1161" s="127" t="s">
        <v>303</v>
      </c>
      <c r="R1161" s="232" t="s">
        <v>4533</v>
      </c>
      <c r="S1161" s="89" t="s">
        <v>605</v>
      </c>
      <c r="T1161" s="36" t="s">
        <v>19</v>
      </c>
      <c r="U1161" s="125"/>
      <c r="V1161" s="147" t="s">
        <v>4534</v>
      </c>
      <c r="W1161" s="129"/>
      <c r="X1161" s="88">
        <v>44110</v>
      </c>
      <c r="Y1161" s="130" t="s">
        <v>20</v>
      </c>
      <c r="Z1161" s="133" t="s">
        <v>60</v>
      </c>
      <c r="AA1161" s="133"/>
      <c r="AB1161" s="257">
        <v>133.315</v>
      </c>
      <c r="AC1161" s="134">
        <v>272.02</v>
      </c>
      <c r="AD1161" s="134"/>
      <c r="AE1161" s="403">
        <f t="shared" si="65"/>
        <v>36264.346299999997</v>
      </c>
      <c r="AF1161" s="132">
        <v>5</v>
      </c>
      <c r="AG1161" s="130" t="s">
        <v>5</v>
      </c>
      <c r="AH1161" s="130"/>
      <c r="AI1161" s="130" t="s">
        <v>100</v>
      </c>
      <c r="AJ1161" s="130"/>
      <c r="AK1161" s="130"/>
      <c r="AL1161" s="135" t="s">
        <v>605</v>
      </c>
      <c r="AM1161" s="314"/>
      <c r="AN1161" s="26"/>
      <c r="AO1161" s="26"/>
      <c r="AP1161" s="26"/>
      <c r="AQ1161" s="26">
        <v>44120</v>
      </c>
      <c r="AR1161" s="24"/>
      <c r="AS1161" s="24"/>
      <c r="AT1161" s="24">
        <v>44125</v>
      </c>
      <c r="AU1161" s="418">
        <f t="shared" si="66"/>
        <v>10</v>
      </c>
      <c r="AV1161" s="418">
        <f t="shared" si="67"/>
        <v>2020</v>
      </c>
      <c r="AW1161" s="24"/>
      <c r="AX1161" s="28"/>
      <c r="AY1161" s="28" t="s">
        <v>4072</v>
      </c>
      <c r="AZ1161" s="132" t="s">
        <v>37</v>
      </c>
      <c r="BA1161" s="132"/>
      <c r="BB1161" s="24" t="s">
        <v>3291</v>
      </c>
      <c r="BC1161" s="135" t="s">
        <v>4535</v>
      </c>
      <c r="BD1161" s="24">
        <v>44082</v>
      </c>
      <c r="BE1161" s="135" t="s">
        <v>4344</v>
      </c>
      <c r="BF1161" s="135" t="s">
        <v>865</v>
      </c>
      <c r="BG1161" s="135" t="s">
        <v>64</v>
      </c>
      <c r="BH1161" s="135"/>
      <c r="BI1161" s="314" t="s">
        <v>124</v>
      </c>
      <c r="BJ1161" s="314" t="s">
        <v>138</v>
      </c>
      <c r="BK1161" s="24"/>
      <c r="BL1161" s="24"/>
      <c r="BM1161" s="24"/>
      <c r="BN1161" s="24"/>
      <c r="BO1161" s="24"/>
      <c r="BP1161" s="24"/>
      <c r="BQ1161" s="24"/>
      <c r="BR1161" s="43"/>
      <c r="BS1161" s="24"/>
      <c r="BT1161" s="24"/>
      <c r="BU1161" s="24"/>
      <c r="BV1161" s="132" t="e">
        <f>IF(#REF!="COMPLETO","OK","PENDIENTES")</f>
        <v>#REF!</v>
      </c>
      <c r="BW1161" s="325"/>
      <c r="BX1161" s="325"/>
      <c r="BY1161" s="325"/>
      <c r="BZ1161" s="325"/>
      <c r="CA1161" s="325"/>
      <c r="CB1161" s="325"/>
      <c r="CC1161" s="258" t="s">
        <v>4536</v>
      </c>
      <c r="CG1161" s="24" t="s">
        <v>105</v>
      </c>
      <c r="CH1161" s="24"/>
      <c r="CI1161" s="24"/>
      <c r="CJ1161" s="24"/>
    </row>
    <row r="1162" spans="1:88" ht="15" customHeight="1">
      <c r="A1162" s="18">
        <v>2020</v>
      </c>
      <c r="B1162" s="18" t="str">
        <f>+INDEX(BDD!F:F,MATCH(P1162,BDD!D:D,0))&amp;"-"&amp;INDEX(BDD!E:E,MATCH(P1162,BDD!D:D,0))</f>
        <v>S-C</v>
      </c>
      <c r="C1162" s="125" t="s">
        <v>484</v>
      </c>
      <c r="D1162" s="150" t="s">
        <v>77</v>
      </c>
      <c r="E1162" s="132"/>
      <c r="F1162" s="24"/>
      <c r="G1162" s="346">
        <v>8000001072</v>
      </c>
      <c r="H1162" s="125" t="s">
        <v>4537</v>
      </c>
      <c r="I1162" s="329"/>
      <c r="J1162" s="346">
        <v>8000001072</v>
      </c>
      <c r="K1162" s="24"/>
      <c r="L1162" s="24"/>
      <c r="M1162" s="24"/>
      <c r="N1162" s="340" t="s">
        <v>486</v>
      </c>
      <c r="O1162" s="334">
        <v>207580</v>
      </c>
      <c r="P1162" s="25" t="s">
        <v>241</v>
      </c>
      <c r="Q1162" s="127" t="s">
        <v>297</v>
      </c>
      <c r="R1162" s="232" t="s">
        <v>4538</v>
      </c>
      <c r="S1162" s="89">
        <v>44078</v>
      </c>
      <c r="T1162" s="36" t="s">
        <v>19</v>
      </c>
      <c r="U1162" s="125"/>
      <c r="V1162" s="147" t="s">
        <v>4539</v>
      </c>
      <c r="W1162" s="129"/>
      <c r="X1162" s="88">
        <v>44117</v>
      </c>
      <c r="Y1162" s="130" t="s">
        <v>20</v>
      </c>
      <c r="Z1162" s="133" t="s">
        <v>60</v>
      </c>
      <c r="AA1162" s="133"/>
      <c r="AB1162" s="241">
        <v>216</v>
      </c>
      <c r="AC1162" s="134">
        <v>626</v>
      </c>
      <c r="AD1162" s="134"/>
      <c r="AE1162" s="403">
        <f t="shared" si="65"/>
        <v>135216</v>
      </c>
      <c r="AF1162" s="132">
        <v>9</v>
      </c>
      <c r="AG1162" s="130" t="s">
        <v>5</v>
      </c>
      <c r="AH1162" s="130"/>
      <c r="AI1162" s="130" t="s">
        <v>34</v>
      </c>
      <c r="AJ1162" s="130"/>
      <c r="AK1162" s="130"/>
      <c r="AL1162" s="135" t="s">
        <v>4264</v>
      </c>
      <c r="AM1162" s="314"/>
      <c r="AN1162" s="26"/>
      <c r="AO1162" s="26"/>
      <c r="AP1162" s="26"/>
      <c r="AQ1162" s="26">
        <v>44139</v>
      </c>
      <c r="AR1162" s="24"/>
      <c r="AS1162" s="24"/>
      <c r="AT1162" s="24">
        <v>44144</v>
      </c>
      <c r="AU1162" s="418">
        <f t="shared" si="66"/>
        <v>11</v>
      </c>
      <c r="AV1162" s="418">
        <f t="shared" si="67"/>
        <v>2020</v>
      </c>
      <c r="AW1162" s="24"/>
      <c r="AX1162" s="28"/>
      <c r="AY1162" s="28" t="s">
        <v>201</v>
      </c>
      <c r="AZ1162" s="132" t="s">
        <v>37</v>
      </c>
      <c r="BA1162" s="132"/>
      <c r="BB1162" s="24" t="s">
        <v>2956</v>
      </c>
      <c r="BC1162" s="135" t="s">
        <v>4540</v>
      </c>
      <c r="BD1162" s="24">
        <v>44104</v>
      </c>
      <c r="BE1162" s="135" t="s">
        <v>4541</v>
      </c>
      <c r="BF1162" s="135" t="s">
        <v>1267</v>
      </c>
      <c r="BG1162" s="135" t="s">
        <v>14</v>
      </c>
      <c r="BH1162" s="135"/>
      <c r="BI1162" s="314" t="s">
        <v>124</v>
      </c>
      <c r="BJ1162" s="314" t="s">
        <v>143</v>
      </c>
      <c r="BK1162" s="24"/>
      <c r="BL1162" s="24"/>
      <c r="BM1162" s="24"/>
      <c r="BN1162" s="24"/>
      <c r="BO1162" s="24"/>
      <c r="BP1162" s="24"/>
      <c r="BQ1162" s="24"/>
      <c r="BR1162" s="43"/>
      <c r="BS1162" s="24"/>
      <c r="BT1162" s="24"/>
      <c r="BU1162" s="24"/>
      <c r="BV1162" s="132" t="e">
        <f>IF(#REF!="COMPLETO","OK","PENDIENTES")</f>
        <v>#REF!</v>
      </c>
      <c r="BW1162" s="325"/>
      <c r="BX1162" s="325"/>
      <c r="BY1162" s="325"/>
      <c r="BZ1162" s="325"/>
      <c r="CA1162" s="325"/>
      <c r="CB1162" s="325"/>
      <c r="CC1162" s="258"/>
      <c r="CG1162" s="24" t="s">
        <v>105</v>
      </c>
      <c r="CH1162" s="24"/>
      <c r="CI1162" s="24"/>
      <c r="CJ1162" s="24"/>
    </row>
    <row r="1163" spans="1:88" ht="15" customHeight="1">
      <c r="A1163" s="18">
        <v>2020</v>
      </c>
      <c r="B1163" s="18" t="str">
        <f>+INDEX(BDD!F:F,MATCH(P1163,BDD!D:D,0))&amp;"-"&amp;INDEX(BDD!E:E,MATCH(P1163,BDD!D:D,0))</f>
        <v>S-C</v>
      </c>
      <c r="C1163" s="125" t="s">
        <v>484</v>
      </c>
      <c r="D1163" s="150" t="s">
        <v>77</v>
      </c>
      <c r="E1163" s="132"/>
      <c r="F1163" s="24"/>
      <c r="G1163" s="346">
        <v>8000001087</v>
      </c>
      <c r="H1163" s="125" t="s">
        <v>4542</v>
      </c>
      <c r="I1163" s="329"/>
      <c r="J1163" s="346">
        <v>8000001087</v>
      </c>
      <c r="K1163" s="24"/>
      <c r="L1163" s="24"/>
      <c r="M1163" s="24"/>
      <c r="N1163" s="340" t="s">
        <v>486</v>
      </c>
      <c r="O1163" s="334">
        <v>207580</v>
      </c>
      <c r="P1163" s="25" t="s">
        <v>241</v>
      </c>
      <c r="Q1163" s="127" t="s">
        <v>297</v>
      </c>
      <c r="R1163" s="232" t="s">
        <v>4538</v>
      </c>
      <c r="S1163" s="89">
        <v>44078</v>
      </c>
      <c r="T1163" s="36" t="s">
        <v>19</v>
      </c>
      <c r="U1163" s="125"/>
      <c r="V1163" s="147" t="s">
        <v>4543</v>
      </c>
      <c r="W1163" s="129"/>
      <c r="X1163" s="88">
        <v>44117</v>
      </c>
      <c r="Y1163" s="130" t="s">
        <v>20</v>
      </c>
      <c r="Z1163" s="133" t="s">
        <v>60</v>
      </c>
      <c r="AA1163" s="133"/>
      <c r="AB1163" s="241">
        <v>288</v>
      </c>
      <c r="AC1163" s="134">
        <v>630</v>
      </c>
      <c r="AD1163" s="134"/>
      <c r="AE1163" s="403">
        <f t="shared" si="65"/>
        <v>181440</v>
      </c>
      <c r="AF1163" s="132">
        <v>12</v>
      </c>
      <c r="AG1163" s="130" t="s">
        <v>5</v>
      </c>
      <c r="AH1163" s="130"/>
      <c r="AI1163" s="130" t="s">
        <v>34</v>
      </c>
      <c r="AJ1163" s="130"/>
      <c r="AK1163" s="130"/>
      <c r="AL1163" s="135" t="s">
        <v>4264</v>
      </c>
      <c r="AM1163" s="314"/>
      <c r="AN1163" s="26"/>
      <c r="AO1163" s="26"/>
      <c r="AP1163" s="26"/>
      <c r="AQ1163" s="26">
        <v>44147</v>
      </c>
      <c r="AR1163" s="24"/>
      <c r="AS1163" s="24"/>
      <c r="AT1163" s="24">
        <v>44152</v>
      </c>
      <c r="AU1163" s="418">
        <f t="shared" si="66"/>
        <v>11</v>
      </c>
      <c r="AV1163" s="418">
        <f t="shared" si="67"/>
        <v>2020</v>
      </c>
      <c r="AW1163" s="24"/>
      <c r="AX1163" s="28"/>
      <c r="AY1163" s="28" t="s">
        <v>201</v>
      </c>
      <c r="AZ1163" s="132" t="s">
        <v>9</v>
      </c>
      <c r="BA1163" s="132"/>
      <c r="BB1163" s="24" t="s">
        <v>2956</v>
      </c>
      <c r="BC1163" s="135" t="s">
        <v>4544</v>
      </c>
      <c r="BD1163" s="24">
        <v>44104</v>
      </c>
      <c r="BE1163" s="135" t="s">
        <v>4541</v>
      </c>
      <c r="BF1163" s="135" t="s">
        <v>994</v>
      </c>
      <c r="BG1163" s="135" t="s">
        <v>14</v>
      </c>
      <c r="BH1163" s="135"/>
      <c r="BI1163" s="314" t="s">
        <v>124</v>
      </c>
      <c r="BJ1163" s="314" t="s">
        <v>143</v>
      </c>
      <c r="BK1163" s="24"/>
      <c r="BL1163" s="24"/>
      <c r="BM1163" s="24"/>
      <c r="BN1163" s="24"/>
      <c r="BO1163" s="24">
        <v>44153</v>
      </c>
      <c r="BP1163" s="24"/>
      <c r="BQ1163" s="24"/>
      <c r="BR1163" s="43"/>
      <c r="BS1163" s="24"/>
      <c r="BT1163" s="24"/>
      <c r="BU1163" s="24"/>
      <c r="BV1163" s="132" t="e">
        <f>IF(#REF!="COMPLETO","OK","PENDIENTES")</f>
        <v>#REF!</v>
      </c>
      <c r="BW1163" s="325"/>
      <c r="BX1163" s="325"/>
      <c r="BY1163" s="325"/>
      <c r="BZ1163" s="325"/>
      <c r="CA1163" s="325"/>
      <c r="CB1163" s="325"/>
      <c r="CC1163" s="258"/>
      <c r="CG1163" s="24" t="s">
        <v>105</v>
      </c>
      <c r="CH1163" s="24"/>
      <c r="CI1163" s="24"/>
      <c r="CJ1163" s="24"/>
    </row>
    <row r="1164" spans="1:88" ht="15" customHeight="1">
      <c r="A1164" s="18">
        <v>2020</v>
      </c>
      <c r="B1164" s="18" t="str">
        <f>+INDEX(BDD!F:F,MATCH(P1164,BDD!D:D,0))&amp;"-"&amp;INDEX(BDD!E:E,MATCH(P1164,BDD!D:D,0))</f>
        <v>S-C</v>
      </c>
      <c r="C1164" s="125" t="s">
        <v>484</v>
      </c>
      <c r="D1164" s="150" t="s">
        <v>77</v>
      </c>
      <c r="E1164" s="132"/>
      <c r="F1164" s="24"/>
      <c r="G1164" s="346">
        <v>8000001164</v>
      </c>
      <c r="H1164" s="125" t="s">
        <v>4545</v>
      </c>
      <c r="I1164" s="329"/>
      <c r="J1164" s="346">
        <v>8000001164</v>
      </c>
      <c r="K1164" s="24"/>
      <c r="L1164" s="24"/>
      <c r="M1164" s="24"/>
      <c r="N1164" s="340" t="s">
        <v>486</v>
      </c>
      <c r="O1164" s="334">
        <v>207580</v>
      </c>
      <c r="P1164" s="25" t="s">
        <v>241</v>
      </c>
      <c r="Q1164" s="127" t="s">
        <v>297</v>
      </c>
      <c r="R1164" s="232" t="s">
        <v>4538</v>
      </c>
      <c r="S1164" s="89">
        <v>44078</v>
      </c>
      <c r="T1164" s="36" t="s">
        <v>19</v>
      </c>
      <c r="U1164" s="125"/>
      <c r="V1164" s="147" t="s">
        <v>4546</v>
      </c>
      <c r="W1164" s="129"/>
      <c r="X1164" s="88">
        <v>44117</v>
      </c>
      <c r="Y1164" s="130" t="s">
        <v>20</v>
      </c>
      <c r="Z1164" s="133" t="s">
        <v>60</v>
      </c>
      <c r="AA1164" s="133"/>
      <c r="AB1164" s="241">
        <v>96</v>
      </c>
      <c r="AC1164" s="134">
        <v>634</v>
      </c>
      <c r="AD1164" s="134"/>
      <c r="AE1164" s="403">
        <f t="shared" si="65"/>
        <v>60864</v>
      </c>
      <c r="AF1164" s="132">
        <v>4</v>
      </c>
      <c r="AG1164" s="130" t="s">
        <v>5</v>
      </c>
      <c r="AH1164" s="130"/>
      <c r="AI1164" s="130" t="s">
        <v>34</v>
      </c>
      <c r="AJ1164" s="130"/>
      <c r="AK1164" s="130"/>
      <c r="AL1164" s="135" t="s">
        <v>4264</v>
      </c>
      <c r="AM1164" s="314"/>
      <c r="AN1164" s="26"/>
      <c r="AO1164" s="26"/>
      <c r="AP1164" s="26"/>
      <c r="AQ1164" s="26">
        <v>44176</v>
      </c>
      <c r="AR1164" s="24"/>
      <c r="AS1164" s="24"/>
      <c r="AT1164" s="24">
        <v>44187</v>
      </c>
      <c r="AU1164" s="418">
        <f t="shared" si="66"/>
        <v>12</v>
      </c>
      <c r="AV1164" s="418">
        <f t="shared" si="67"/>
        <v>2020</v>
      </c>
      <c r="AW1164" s="24"/>
      <c r="AX1164" s="28"/>
      <c r="AY1164" s="28" t="s">
        <v>201</v>
      </c>
      <c r="AZ1164" s="132" t="s">
        <v>62</v>
      </c>
      <c r="BA1164" s="132"/>
      <c r="BB1164" s="24" t="s">
        <v>3264</v>
      </c>
      <c r="BC1164" s="135" t="s">
        <v>4547</v>
      </c>
      <c r="BD1164" s="24">
        <v>44108</v>
      </c>
      <c r="BE1164" s="135" t="s">
        <v>931</v>
      </c>
      <c r="BF1164" s="135" t="s">
        <v>1938</v>
      </c>
      <c r="BG1164" s="135" t="s">
        <v>29</v>
      </c>
      <c r="BH1164" s="135"/>
      <c r="BI1164" s="314" t="s">
        <v>124</v>
      </c>
      <c r="BJ1164" s="314" t="s">
        <v>143</v>
      </c>
      <c r="BK1164" s="24"/>
      <c r="BL1164" s="24"/>
      <c r="BM1164" s="24"/>
      <c r="BN1164" s="24"/>
      <c r="BO1164" s="24">
        <v>44190</v>
      </c>
      <c r="BP1164" s="24"/>
      <c r="BQ1164" s="24"/>
      <c r="BR1164" s="43"/>
      <c r="BS1164" s="24"/>
      <c r="BT1164" s="24"/>
      <c r="BU1164" s="24"/>
      <c r="BV1164" s="132" t="e">
        <f>IF(#REF!="COMPLETO","OK","PENDIENTES")</f>
        <v>#REF!</v>
      </c>
      <c r="BW1164" s="325"/>
      <c r="BX1164" s="325"/>
      <c r="BY1164" s="325"/>
      <c r="BZ1164" s="325"/>
      <c r="CA1164" s="325"/>
      <c r="CB1164" s="325"/>
      <c r="CC1164" s="258"/>
      <c r="CG1164" s="24" t="s">
        <v>105</v>
      </c>
      <c r="CH1164" s="24"/>
      <c r="CI1164" s="24"/>
      <c r="CJ1164" s="24"/>
    </row>
    <row r="1165" spans="1:88" ht="15" customHeight="1">
      <c r="A1165" s="18">
        <v>2020</v>
      </c>
      <c r="B1165" s="18" t="str">
        <f>+INDEX(BDD!F:F,MATCH(P1165,BDD!D:D,0))&amp;"-"&amp;INDEX(BDD!E:E,MATCH(P1165,BDD!D:D,0))</f>
        <v>G-S</v>
      </c>
      <c r="C1165" s="125" t="s">
        <v>484</v>
      </c>
      <c r="D1165" s="150" t="s">
        <v>77</v>
      </c>
      <c r="E1165" s="132"/>
      <c r="F1165" s="24"/>
      <c r="G1165" s="346">
        <v>8000001150</v>
      </c>
      <c r="H1165" s="125" t="s">
        <v>4548</v>
      </c>
      <c r="I1165" s="329"/>
      <c r="J1165" s="346">
        <v>8000001150</v>
      </c>
      <c r="K1165" s="24"/>
      <c r="L1165" s="24"/>
      <c r="M1165" s="24"/>
      <c r="N1165" s="340" t="s">
        <v>486</v>
      </c>
      <c r="O1165" s="334">
        <v>203616</v>
      </c>
      <c r="P1165" s="25" t="s">
        <v>357</v>
      </c>
      <c r="Q1165" s="127" t="s">
        <v>273</v>
      </c>
      <c r="R1165" s="232" t="s">
        <v>4549</v>
      </c>
      <c r="S1165" s="89">
        <v>44099</v>
      </c>
      <c r="T1165" s="36">
        <v>150</v>
      </c>
      <c r="U1165" s="125" t="s">
        <v>118</v>
      </c>
      <c r="V1165" s="147" t="s">
        <v>4550</v>
      </c>
      <c r="W1165" s="129"/>
      <c r="X1165" s="88">
        <f t="shared" ref="X1165:X1177" si="68">+BD1165+T1165</f>
        <v>44284</v>
      </c>
      <c r="Y1165" s="130" t="s">
        <v>20</v>
      </c>
      <c r="Z1165" s="133" t="s">
        <v>60</v>
      </c>
      <c r="AA1165" s="133"/>
      <c r="AB1165" s="241">
        <v>1200</v>
      </c>
      <c r="AC1165" s="134">
        <v>143.09</v>
      </c>
      <c r="AD1165" s="134"/>
      <c r="AE1165" s="403">
        <f t="shared" si="65"/>
        <v>171708</v>
      </c>
      <c r="AF1165" s="132"/>
      <c r="AG1165" s="130" t="s">
        <v>46</v>
      </c>
      <c r="AH1165" s="130"/>
      <c r="AI1165" s="130" t="s">
        <v>100</v>
      </c>
      <c r="AJ1165" s="130"/>
      <c r="AK1165" s="130"/>
      <c r="AL1165" s="135" t="s">
        <v>4551</v>
      </c>
      <c r="AM1165" s="314"/>
      <c r="AN1165" s="26"/>
      <c r="AO1165" s="26"/>
      <c r="AP1165" s="26"/>
      <c r="AQ1165" s="26">
        <v>44177</v>
      </c>
      <c r="AR1165" s="24"/>
      <c r="AS1165" s="24"/>
      <c r="AT1165" s="24">
        <v>44177</v>
      </c>
      <c r="AU1165" s="418">
        <f t="shared" si="66"/>
        <v>12</v>
      </c>
      <c r="AV1165" s="418">
        <f t="shared" si="67"/>
        <v>2020</v>
      </c>
      <c r="AW1165" s="24"/>
      <c r="AX1165" s="28"/>
      <c r="AY1165" s="28" t="s">
        <v>3437</v>
      </c>
      <c r="AZ1165" s="132" t="s">
        <v>25</v>
      </c>
      <c r="BA1165" s="132"/>
      <c r="BB1165" s="24" t="s">
        <v>3264</v>
      </c>
      <c r="BC1165" s="135" t="s">
        <v>4552</v>
      </c>
      <c r="BD1165" s="24">
        <v>44134</v>
      </c>
      <c r="BE1165" s="135" t="s">
        <v>4553</v>
      </c>
      <c r="BF1165" s="135" t="s">
        <v>4553</v>
      </c>
      <c r="BG1165" s="135" t="s">
        <v>52</v>
      </c>
      <c r="BH1165" s="135"/>
      <c r="BI1165" s="314" t="s">
        <v>117</v>
      </c>
      <c r="BJ1165" s="314" t="s">
        <v>143</v>
      </c>
      <c r="BK1165" s="24"/>
      <c r="BL1165" s="24"/>
      <c r="BM1165" s="24"/>
      <c r="BN1165" s="24"/>
      <c r="BO1165" s="24"/>
      <c r="BP1165" s="24"/>
      <c r="BQ1165" s="24"/>
      <c r="BR1165" s="43"/>
      <c r="BS1165" s="24"/>
      <c r="BT1165" s="24"/>
      <c r="BU1165" s="24"/>
      <c r="BV1165" s="132" t="e">
        <f>IF(#REF!="COMPLETO","OK","PENDIENTES")</f>
        <v>#REF!</v>
      </c>
      <c r="BW1165" s="325"/>
      <c r="BX1165" s="325"/>
      <c r="BY1165" s="325"/>
      <c r="BZ1165" s="325"/>
      <c r="CA1165" s="325"/>
      <c r="CB1165" s="325"/>
      <c r="CC1165" s="258"/>
      <c r="CG1165" s="24" t="s">
        <v>105</v>
      </c>
      <c r="CH1165" s="24"/>
      <c r="CI1165" s="24"/>
      <c r="CJ1165" s="24"/>
    </row>
    <row r="1166" spans="1:88" ht="15" customHeight="1">
      <c r="A1166" s="18">
        <v>2020</v>
      </c>
      <c r="B1166" s="18" t="str">
        <f>+INDEX(BDD!F:F,MATCH(P1166,BDD!D:D,0))&amp;"-"&amp;INDEX(BDD!E:E,MATCH(P1166,BDD!D:D,0))</f>
        <v>G-S</v>
      </c>
      <c r="C1166" s="125" t="s">
        <v>484</v>
      </c>
      <c r="D1166" s="150" t="s">
        <v>77</v>
      </c>
      <c r="E1166" s="132"/>
      <c r="F1166" s="24"/>
      <c r="G1166" s="346">
        <v>8000001160</v>
      </c>
      <c r="H1166" s="125" t="s">
        <v>4554</v>
      </c>
      <c r="I1166" s="329"/>
      <c r="J1166" s="346">
        <v>8000001160</v>
      </c>
      <c r="K1166" s="24"/>
      <c r="L1166" s="24"/>
      <c r="M1166" s="24"/>
      <c r="N1166" s="340" t="s">
        <v>486</v>
      </c>
      <c r="O1166" s="334">
        <v>203616</v>
      </c>
      <c r="P1166" s="25" t="s">
        <v>357</v>
      </c>
      <c r="Q1166" s="127" t="s">
        <v>273</v>
      </c>
      <c r="R1166" s="232" t="s">
        <v>4549</v>
      </c>
      <c r="S1166" s="89">
        <v>44099</v>
      </c>
      <c r="T1166" s="36">
        <v>150</v>
      </c>
      <c r="U1166" s="125" t="s">
        <v>118</v>
      </c>
      <c r="V1166" s="147" t="s">
        <v>4555</v>
      </c>
      <c r="W1166" s="129"/>
      <c r="X1166" s="88">
        <f t="shared" si="68"/>
        <v>44284</v>
      </c>
      <c r="Y1166" s="130" t="s">
        <v>20</v>
      </c>
      <c r="Z1166" s="133" t="s">
        <v>60</v>
      </c>
      <c r="AA1166" s="133"/>
      <c r="AB1166" s="241">
        <v>300</v>
      </c>
      <c r="AC1166" s="134">
        <v>143.09</v>
      </c>
      <c r="AD1166" s="134"/>
      <c r="AE1166" s="403">
        <f t="shared" si="65"/>
        <v>42927</v>
      </c>
      <c r="AF1166" s="132"/>
      <c r="AG1166" s="130" t="s">
        <v>46</v>
      </c>
      <c r="AH1166" s="130"/>
      <c r="AI1166" s="130" t="s">
        <v>100</v>
      </c>
      <c r="AJ1166" s="130"/>
      <c r="AK1166" s="130"/>
      <c r="AL1166" s="135" t="s">
        <v>4551</v>
      </c>
      <c r="AM1166" s="314"/>
      <c r="AN1166" s="26"/>
      <c r="AO1166" s="26"/>
      <c r="AP1166" s="26"/>
      <c r="AQ1166" s="26">
        <v>44180</v>
      </c>
      <c r="AR1166" s="24"/>
      <c r="AS1166" s="24"/>
      <c r="AT1166" s="24">
        <v>44181</v>
      </c>
      <c r="AU1166" s="418">
        <f t="shared" si="66"/>
        <v>12</v>
      </c>
      <c r="AV1166" s="418">
        <f t="shared" si="67"/>
        <v>2020</v>
      </c>
      <c r="AW1166" s="24"/>
      <c r="AX1166" s="28"/>
      <c r="AY1166" s="28" t="s">
        <v>3437</v>
      </c>
      <c r="AZ1166" s="132" t="s">
        <v>37</v>
      </c>
      <c r="BA1166" s="132"/>
      <c r="BB1166" s="24" t="s">
        <v>2956</v>
      </c>
      <c r="BC1166" s="135" t="s">
        <v>4556</v>
      </c>
      <c r="BD1166" s="24">
        <v>44134</v>
      </c>
      <c r="BE1166" s="135" t="s">
        <v>4553</v>
      </c>
      <c r="BF1166" s="135" t="s">
        <v>4553</v>
      </c>
      <c r="BG1166" s="135" t="s">
        <v>52</v>
      </c>
      <c r="BH1166" s="135"/>
      <c r="BI1166" s="314" t="s">
        <v>117</v>
      </c>
      <c r="BJ1166" s="314" t="s">
        <v>143</v>
      </c>
      <c r="BK1166" s="24"/>
      <c r="BL1166" s="24"/>
      <c r="BM1166" s="24"/>
      <c r="BN1166" s="24"/>
      <c r="BO1166" s="24"/>
      <c r="BP1166" s="24"/>
      <c r="BQ1166" s="24"/>
      <c r="BR1166" s="43"/>
      <c r="BS1166" s="24"/>
      <c r="BT1166" s="24"/>
      <c r="BU1166" s="24"/>
      <c r="BV1166" s="132" t="e">
        <f>IF(#REF!="COMPLETO","OK","PENDIENTES")</f>
        <v>#REF!</v>
      </c>
      <c r="BW1166" s="325"/>
      <c r="BX1166" s="325"/>
      <c r="BY1166" s="325"/>
      <c r="BZ1166" s="325"/>
      <c r="CA1166" s="325"/>
      <c r="CB1166" s="325"/>
      <c r="CC1166" s="258"/>
      <c r="CG1166" s="24" t="s">
        <v>105</v>
      </c>
      <c r="CH1166" s="24"/>
      <c r="CI1166" s="24"/>
      <c r="CJ1166" s="24"/>
    </row>
    <row r="1167" spans="1:88" ht="15" customHeight="1">
      <c r="A1167" s="18">
        <v>2020</v>
      </c>
      <c r="B1167" s="18" t="str">
        <f>+INDEX(BDD!F:F,MATCH(P1167,BDD!D:D,0))&amp;"-"&amp;INDEX(BDD!E:E,MATCH(P1167,BDD!D:D,0))</f>
        <v>G-S</v>
      </c>
      <c r="C1167" s="125" t="s">
        <v>484</v>
      </c>
      <c r="D1167" s="150" t="s">
        <v>77</v>
      </c>
      <c r="E1167" s="132"/>
      <c r="F1167" s="24"/>
      <c r="G1167" s="346">
        <v>8000001147</v>
      </c>
      <c r="H1167" s="125" t="s">
        <v>4557</v>
      </c>
      <c r="I1167" s="329"/>
      <c r="J1167" s="346">
        <v>8000001147</v>
      </c>
      <c r="K1167" s="24"/>
      <c r="L1167" s="24"/>
      <c r="M1167" s="24"/>
      <c r="N1167" s="340" t="s">
        <v>486</v>
      </c>
      <c r="O1167" s="334">
        <v>206569</v>
      </c>
      <c r="P1167" s="25" t="s">
        <v>142</v>
      </c>
      <c r="Q1167" s="127" t="s">
        <v>273</v>
      </c>
      <c r="R1167" s="232" t="s">
        <v>4549</v>
      </c>
      <c r="S1167" s="89">
        <v>44099</v>
      </c>
      <c r="T1167" s="36">
        <v>150</v>
      </c>
      <c r="U1167" s="125" t="s">
        <v>118</v>
      </c>
      <c r="V1167" s="147" t="s">
        <v>4558</v>
      </c>
      <c r="W1167" s="129"/>
      <c r="X1167" s="88">
        <f t="shared" si="68"/>
        <v>44288</v>
      </c>
      <c r="Y1167" s="130" t="s">
        <v>20</v>
      </c>
      <c r="Z1167" s="133" t="s">
        <v>60</v>
      </c>
      <c r="AA1167" s="133"/>
      <c r="AB1167" s="241">
        <v>400</v>
      </c>
      <c r="AC1167" s="134">
        <v>384.61</v>
      </c>
      <c r="AD1167" s="134"/>
      <c r="AE1167" s="403">
        <f t="shared" si="65"/>
        <v>153844</v>
      </c>
      <c r="AF1167" s="132"/>
      <c r="AG1167" s="130" t="s">
        <v>46</v>
      </c>
      <c r="AH1167" s="130"/>
      <c r="AI1167" s="130" t="s">
        <v>100</v>
      </c>
      <c r="AJ1167" s="130"/>
      <c r="AK1167" s="130"/>
      <c r="AL1167" s="135" t="s">
        <v>4551</v>
      </c>
      <c r="AM1167" s="314"/>
      <c r="AN1167" s="26"/>
      <c r="AO1167" s="26"/>
      <c r="AP1167" s="26"/>
      <c r="AQ1167" s="26">
        <v>44173</v>
      </c>
      <c r="AR1167" s="24"/>
      <c r="AS1167" s="24"/>
      <c r="AT1167" s="24">
        <v>44175</v>
      </c>
      <c r="AU1167" s="418">
        <f t="shared" si="66"/>
        <v>12</v>
      </c>
      <c r="AV1167" s="418">
        <f t="shared" si="67"/>
        <v>2020</v>
      </c>
      <c r="AW1167" s="24"/>
      <c r="AX1167" s="24"/>
      <c r="AY1167" s="24" t="s">
        <v>3574</v>
      </c>
      <c r="AZ1167" s="132" t="s">
        <v>9</v>
      </c>
      <c r="BA1167" s="132"/>
      <c r="BB1167" s="24" t="s">
        <v>2956</v>
      </c>
      <c r="BC1167" s="135" t="s">
        <v>4559</v>
      </c>
      <c r="BD1167" s="24">
        <v>44138</v>
      </c>
      <c r="BE1167" s="135" t="s">
        <v>4553</v>
      </c>
      <c r="BF1167" s="135" t="s">
        <v>4553</v>
      </c>
      <c r="BG1167" s="135" t="s">
        <v>52</v>
      </c>
      <c r="BH1167" s="135"/>
      <c r="BI1167" s="314" t="s">
        <v>117</v>
      </c>
      <c r="BJ1167" s="314" t="s">
        <v>143</v>
      </c>
      <c r="BK1167" s="24"/>
      <c r="BL1167" s="24"/>
      <c r="BM1167" s="24"/>
      <c r="BN1167" s="24"/>
      <c r="BO1167" s="24"/>
      <c r="BP1167" s="24"/>
      <c r="BQ1167" s="24"/>
      <c r="BR1167" s="43"/>
      <c r="BS1167" s="24"/>
      <c r="BT1167" s="24"/>
      <c r="BU1167" s="24"/>
      <c r="BV1167" s="132" t="e">
        <f>IF(#REF!="COMPLETO","OK","PENDIENTES")</f>
        <v>#REF!</v>
      </c>
      <c r="BW1167" s="325"/>
      <c r="BX1167" s="325"/>
      <c r="BY1167" s="325"/>
      <c r="BZ1167" s="325"/>
      <c r="CA1167" s="325"/>
      <c r="CB1167" s="325"/>
      <c r="CC1167" s="258"/>
      <c r="CG1167" s="24" t="s">
        <v>105</v>
      </c>
      <c r="CH1167" s="24"/>
      <c r="CI1167" s="24"/>
      <c r="CJ1167" s="24"/>
    </row>
    <row r="1168" spans="1:88" ht="15" customHeight="1">
      <c r="A1168" s="18">
        <v>2020</v>
      </c>
      <c r="B1168" s="18" t="str">
        <f>+INDEX(BDD!F:F,MATCH(P1168,BDD!D:D,0))&amp;"-"&amp;INDEX(BDD!E:E,MATCH(P1168,BDD!D:D,0))</f>
        <v>G-S</v>
      </c>
      <c r="C1168" s="125" t="s">
        <v>484</v>
      </c>
      <c r="D1168" s="150" t="s">
        <v>77</v>
      </c>
      <c r="E1168" s="132"/>
      <c r="F1168" s="24"/>
      <c r="G1168" s="346">
        <v>8000001151</v>
      </c>
      <c r="H1168" s="125" t="s">
        <v>4560</v>
      </c>
      <c r="I1168" s="329"/>
      <c r="J1168" s="346">
        <v>8000001151</v>
      </c>
      <c r="K1168" s="24"/>
      <c r="L1168" s="24"/>
      <c r="M1168" s="24"/>
      <c r="N1168" s="340" t="s">
        <v>486</v>
      </c>
      <c r="O1168" s="334">
        <v>206569</v>
      </c>
      <c r="P1168" s="25" t="s">
        <v>142</v>
      </c>
      <c r="Q1168" s="127" t="s">
        <v>273</v>
      </c>
      <c r="R1168" s="232" t="s">
        <v>4549</v>
      </c>
      <c r="S1168" s="89">
        <v>44099</v>
      </c>
      <c r="T1168" s="36">
        <v>150</v>
      </c>
      <c r="U1168" s="125" t="s">
        <v>118</v>
      </c>
      <c r="V1168" s="147" t="s">
        <v>4561</v>
      </c>
      <c r="W1168" s="129"/>
      <c r="X1168" s="88">
        <f t="shared" si="68"/>
        <v>44288</v>
      </c>
      <c r="Y1168" s="130" t="s">
        <v>20</v>
      </c>
      <c r="Z1168" s="133" t="s">
        <v>60</v>
      </c>
      <c r="AA1168" s="133"/>
      <c r="AB1168" s="241">
        <v>300</v>
      </c>
      <c r="AC1168" s="134">
        <v>384.61</v>
      </c>
      <c r="AD1168" s="134"/>
      <c r="AE1168" s="403">
        <f t="shared" si="65"/>
        <v>115383</v>
      </c>
      <c r="AF1168" s="132"/>
      <c r="AG1168" s="130" t="s">
        <v>46</v>
      </c>
      <c r="AH1168" s="130"/>
      <c r="AI1168" s="130" t="s">
        <v>100</v>
      </c>
      <c r="AJ1168" s="130"/>
      <c r="AK1168" s="130"/>
      <c r="AL1168" s="135" t="s">
        <v>4551</v>
      </c>
      <c r="AM1168" s="314"/>
      <c r="AN1168" s="26"/>
      <c r="AO1168" s="26"/>
      <c r="AP1168" s="26"/>
      <c r="AQ1168" s="26">
        <v>44177</v>
      </c>
      <c r="AR1168" s="24"/>
      <c r="AS1168" s="24"/>
      <c r="AT1168" s="24">
        <v>44177</v>
      </c>
      <c r="AU1168" s="418">
        <f t="shared" si="66"/>
        <v>12</v>
      </c>
      <c r="AV1168" s="418">
        <f t="shared" si="67"/>
        <v>2020</v>
      </c>
      <c r="AW1168" s="24"/>
      <c r="AX1168" s="28"/>
      <c r="AY1168" s="28" t="s">
        <v>3574</v>
      </c>
      <c r="AZ1168" s="132" t="s">
        <v>25</v>
      </c>
      <c r="BA1168" s="132"/>
      <c r="BB1168" s="24" t="s">
        <v>3264</v>
      </c>
      <c r="BC1168" s="135" t="s">
        <v>4562</v>
      </c>
      <c r="BD1168" s="24">
        <v>44138</v>
      </c>
      <c r="BE1168" s="135" t="s">
        <v>4553</v>
      </c>
      <c r="BF1168" s="135" t="s">
        <v>4553</v>
      </c>
      <c r="BG1168" s="135" t="s">
        <v>52</v>
      </c>
      <c r="BH1168" s="135"/>
      <c r="BI1168" s="314" t="s">
        <v>117</v>
      </c>
      <c r="BJ1168" s="314" t="s">
        <v>143</v>
      </c>
      <c r="BK1168" s="24"/>
      <c r="BL1168" s="24"/>
      <c r="BM1168" s="24"/>
      <c r="BN1168" s="24"/>
      <c r="BO1168" s="24"/>
      <c r="BP1168" s="24"/>
      <c r="BQ1168" s="24"/>
      <c r="BR1168" s="43"/>
      <c r="BS1168" s="24"/>
      <c r="BT1168" s="24"/>
      <c r="BU1168" s="24"/>
      <c r="BV1168" s="132" t="e">
        <f>IF(#REF!="COMPLETO","OK","PENDIENTES")</f>
        <v>#REF!</v>
      </c>
      <c r="BW1168" s="325"/>
      <c r="BX1168" s="325"/>
      <c r="BY1168" s="325"/>
      <c r="BZ1168" s="325"/>
      <c r="CA1168" s="325"/>
      <c r="CB1168" s="325"/>
      <c r="CC1168" s="258"/>
      <c r="CG1168" s="24" t="s">
        <v>105</v>
      </c>
      <c r="CH1168" s="24"/>
      <c r="CI1168" s="24"/>
      <c r="CJ1168" s="24"/>
    </row>
    <row r="1169" spans="1:88" ht="15" customHeight="1">
      <c r="A1169" s="18">
        <v>2020</v>
      </c>
      <c r="B1169" s="18" t="str">
        <f>+INDEX(BDD!F:F,MATCH(P1169,BDD!D:D,0))&amp;"-"&amp;INDEX(BDD!E:E,MATCH(P1169,BDD!D:D,0))</f>
        <v>G-S</v>
      </c>
      <c r="C1169" s="125" t="s">
        <v>484</v>
      </c>
      <c r="D1169" s="150" t="s">
        <v>77</v>
      </c>
      <c r="E1169" s="132"/>
      <c r="F1169" s="24"/>
      <c r="G1169" s="346">
        <v>8000001161</v>
      </c>
      <c r="H1169" s="125" t="s">
        <v>4563</v>
      </c>
      <c r="I1169" s="329"/>
      <c r="J1169" s="346">
        <v>8000001161</v>
      </c>
      <c r="K1169" s="24"/>
      <c r="L1169" s="24"/>
      <c r="M1169" s="24"/>
      <c r="N1169" s="340" t="s">
        <v>486</v>
      </c>
      <c r="O1169" s="334">
        <v>206569</v>
      </c>
      <c r="P1169" s="25" t="s">
        <v>142</v>
      </c>
      <c r="Q1169" s="127" t="s">
        <v>273</v>
      </c>
      <c r="R1169" s="232" t="s">
        <v>4549</v>
      </c>
      <c r="S1169" s="89">
        <v>44099</v>
      </c>
      <c r="T1169" s="36">
        <v>150</v>
      </c>
      <c r="U1169" s="125" t="s">
        <v>118</v>
      </c>
      <c r="V1169" s="147" t="s">
        <v>4564</v>
      </c>
      <c r="W1169" s="129"/>
      <c r="X1169" s="88">
        <f t="shared" si="68"/>
        <v>44288</v>
      </c>
      <c r="Y1169" s="130" t="s">
        <v>20</v>
      </c>
      <c r="Z1169" s="133" t="s">
        <v>60</v>
      </c>
      <c r="AA1169" s="133"/>
      <c r="AB1169" s="241">
        <v>300</v>
      </c>
      <c r="AC1169" s="134">
        <v>384.61</v>
      </c>
      <c r="AD1169" s="134"/>
      <c r="AE1169" s="403">
        <f t="shared" si="65"/>
        <v>115383</v>
      </c>
      <c r="AF1169" s="132"/>
      <c r="AG1169" s="130" t="s">
        <v>46</v>
      </c>
      <c r="AH1169" s="130"/>
      <c r="AI1169" s="130" t="s">
        <v>100</v>
      </c>
      <c r="AJ1169" s="130"/>
      <c r="AK1169" s="130"/>
      <c r="AL1169" s="135" t="s">
        <v>4551</v>
      </c>
      <c r="AM1169" s="314"/>
      <c r="AN1169" s="26"/>
      <c r="AO1169" s="26"/>
      <c r="AP1169" s="26"/>
      <c r="AQ1169" s="26">
        <v>44180</v>
      </c>
      <c r="AR1169" s="24"/>
      <c r="AS1169" s="24"/>
      <c r="AT1169" s="24">
        <v>44181</v>
      </c>
      <c r="AU1169" s="418">
        <f t="shared" si="66"/>
        <v>12</v>
      </c>
      <c r="AV1169" s="418">
        <f t="shared" si="67"/>
        <v>2020</v>
      </c>
      <c r="AW1169" s="24"/>
      <c r="AX1169" s="28"/>
      <c r="AY1169" s="28" t="s">
        <v>3574</v>
      </c>
      <c r="AZ1169" s="132" t="s">
        <v>37</v>
      </c>
      <c r="BA1169" s="132"/>
      <c r="BB1169" s="24" t="s">
        <v>2956</v>
      </c>
      <c r="BC1169" s="135" t="s">
        <v>4565</v>
      </c>
      <c r="BD1169" s="24">
        <v>44138</v>
      </c>
      <c r="BE1169" s="135" t="s">
        <v>4553</v>
      </c>
      <c r="BF1169" s="135" t="s">
        <v>4553</v>
      </c>
      <c r="BG1169" s="135" t="s">
        <v>52</v>
      </c>
      <c r="BH1169" s="135"/>
      <c r="BI1169" s="314" t="s">
        <v>117</v>
      </c>
      <c r="BJ1169" s="314" t="s">
        <v>143</v>
      </c>
      <c r="BK1169" s="24"/>
      <c r="BL1169" s="24"/>
      <c r="BM1169" s="24"/>
      <c r="BN1169" s="24"/>
      <c r="BO1169" s="24"/>
      <c r="BP1169" s="24"/>
      <c r="BQ1169" s="24"/>
      <c r="BR1169" s="43"/>
      <c r="BS1169" s="24"/>
      <c r="BT1169" s="24"/>
      <c r="BU1169" s="24"/>
      <c r="BV1169" s="132" t="e">
        <f>IF(#REF!="COMPLETO","OK","PENDIENTES")</f>
        <v>#REF!</v>
      </c>
      <c r="BW1169" s="325"/>
      <c r="BX1169" s="325"/>
      <c r="BY1169" s="325"/>
      <c r="BZ1169" s="325"/>
      <c r="CA1169" s="325"/>
      <c r="CB1169" s="325"/>
      <c r="CC1169" s="258"/>
      <c r="CG1169" s="24" t="s">
        <v>105</v>
      </c>
      <c r="CH1169" s="24"/>
      <c r="CI1169" s="24"/>
      <c r="CJ1169" s="24"/>
    </row>
    <row r="1170" spans="1:88" ht="15" customHeight="1">
      <c r="A1170" s="18">
        <v>2020</v>
      </c>
      <c r="B1170" s="18" t="str">
        <f>+INDEX(BDD!F:F,MATCH(P1170,BDD!D:D,0))&amp;"-"&amp;INDEX(BDD!E:E,MATCH(P1170,BDD!D:D,0))</f>
        <v>G-S</v>
      </c>
      <c r="C1170" s="125" t="s">
        <v>484</v>
      </c>
      <c r="D1170" s="150" t="s">
        <v>77</v>
      </c>
      <c r="E1170" s="132"/>
      <c r="F1170" s="24"/>
      <c r="G1170" s="346">
        <v>8000001165</v>
      </c>
      <c r="H1170" s="125" t="s">
        <v>4566</v>
      </c>
      <c r="I1170" s="329"/>
      <c r="J1170" s="346">
        <v>8000001165</v>
      </c>
      <c r="K1170" s="24"/>
      <c r="L1170" s="24"/>
      <c r="M1170" s="24"/>
      <c r="N1170" s="340" t="s">
        <v>486</v>
      </c>
      <c r="O1170" s="334">
        <v>206569</v>
      </c>
      <c r="P1170" s="25" t="s">
        <v>142</v>
      </c>
      <c r="Q1170" s="127" t="s">
        <v>273</v>
      </c>
      <c r="R1170" s="232" t="s">
        <v>4549</v>
      </c>
      <c r="S1170" s="89">
        <v>44099</v>
      </c>
      <c r="T1170" s="36">
        <v>150</v>
      </c>
      <c r="U1170" s="125" t="s">
        <v>118</v>
      </c>
      <c r="V1170" s="147" t="s">
        <v>4567</v>
      </c>
      <c r="W1170" s="129"/>
      <c r="X1170" s="88">
        <f t="shared" si="68"/>
        <v>44288</v>
      </c>
      <c r="Y1170" s="130" t="s">
        <v>20</v>
      </c>
      <c r="Z1170" s="133" t="s">
        <v>60</v>
      </c>
      <c r="AA1170" s="133"/>
      <c r="AB1170" s="241">
        <v>200</v>
      </c>
      <c r="AC1170" s="134">
        <v>384.61</v>
      </c>
      <c r="AD1170" s="134"/>
      <c r="AE1170" s="403">
        <f t="shared" si="65"/>
        <v>76922</v>
      </c>
      <c r="AF1170" s="132"/>
      <c r="AG1170" s="130" t="s">
        <v>46</v>
      </c>
      <c r="AH1170" s="130"/>
      <c r="AI1170" s="130" t="s">
        <v>100</v>
      </c>
      <c r="AJ1170" s="130"/>
      <c r="AK1170" s="130"/>
      <c r="AL1170" s="135" t="s">
        <v>4551</v>
      </c>
      <c r="AM1170" s="314"/>
      <c r="AN1170" s="26"/>
      <c r="AO1170" s="26"/>
      <c r="AP1170" s="26"/>
      <c r="AQ1170" s="26">
        <v>44182</v>
      </c>
      <c r="AR1170" s="24"/>
      <c r="AS1170" s="24"/>
      <c r="AT1170" s="24">
        <v>44182</v>
      </c>
      <c r="AU1170" s="418">
        <f t="shared" si="66"/>
        <v>12</v>
      </c>
      <c r="AV1170" s="418">
        <f t="shared" si="67"/>
        <v>2020</v>
      </c>
      <c r="AW1170" s="24"/>
      <c r="AX1170" s="28"/>
      <c r="AY1170" s="28" t="s">
        <v>3574</v>
      </c>
      <c r="AZ1170" s="132" t="s">
        <v>50</v>
      </c>
      <c r="BA1170" s="132"/>
      <c r="BB1170" s="24" t="s">
        <v>2956</v>
      </c>
      <c r="BC1170" s="135" t="s">
        <v>4568</v>
      </c>
      <c r="BD1170" s="24">
        <v>44138</v>
      </c>
      <c r="BE1170" s="135" t="s">
        <v>4553</v>
      </c>
      <c r="BF1170" s="135" t="s">
        <v>4553</v>
      </c>
      <c r="BG1170" s="135" t="s">
        <v>52</v>
      </c>
      <c r="BH1170" s="135"/>
      <c r="BI1170" s="314" t="s">
        <v>117</v>
      </c>
      <c r="BJ1170" s="314" t="s">
        <v>143</v>
      </c>
      <c r="BK1170" s="24"/>
      <c r="BL1170" s="24"/>
      <c r="BM1170" s="24"/>
      <c r="BN1170" s="24"/>
      <c r="BO1170" s="24"/>
      <c r="BP1170" s="24"/>
      <c r="BQ1170" s="24"/>
      <c r="BR1170" s="43"/>
      <c r="BS1170" s="24"/>
      <c r="BT1170" s="24"/>
      <c r="BU1170" s="24"/>
      <c r="BV1170" s="132" t="e">
        <f>IF(#REF!="COMPLETO","OK","PENDIENTES")</f>
        <v>#REF!</v>
      </c>
      <c r="BW1170" s="325"/>
      <c r="BX1170" s="325"/>
      <c r="BY1170" s="325"/>
      <c r="BZ1170" s="325"/>
      <c r="CA1170" s="325"/>
      <c r="CB1170" s="325"/>
      <c r="CC1170" s="258"/>
      <c r="CG1170" s="24" t="s">
        <v>105</v>
      </c>
      <c r="CH1170" s="24"/>
      <c r="CI1170" s="24"/>
      <c r="CJ1170" s="24"/>
    </row>
    <row r="1171" spans="1:88" ht="15" customHeight="1">
      <c r="A1171" s="18">
        <v>2020</v>
      </c>
      <c r="B1171" s="18" t="str">
        <f>+INDEX(BDD!F:F,MATCH(P1171,BDD!D:D,0))&amp;"-"&amp;INDEX(BDD!E:E,MATCH(P1171,BDD!D:D,0))</f>
        <v>G-S</v>
      </c>
      <c r="C1171" s="125" t="s">
        <v>484</v>
      </c>
      <c r="D1171" s="150" t="s">
        <v>77</v>
      </c>
      <c r="E1171" s="132"/>
      <c r="F1171" s="24"/>
      <c r="G1171" s="346">
        <v>8000001166</v>
      </c>
      <c r="H1171" s="125" t="s">
        <v>4569</v>
      </c>
      <c r="I1171" s="329"/>
      <c r="J1171" s="346">
        <v>8000001166</v>
      </c>
      <c r="K1171" s="24"/>
      <c r="L1171" s="24"/>
      <c r="M1171" s="24"/>
      <c r="N1171" s="340" t="s">
        <v>486</v>
      </c>
      <c r="O1171" s="334">
        <v>206569</v>
      </c>
      <c r="P1171" s="25" t="s">
        <v>142</v>
      </c>
      <c r="Q1171" s="127" t="s">
        <v>273</v>
      </c>
      <c r="R1171" s="232" t="s">
        <v>4549</v>
      </c>
      <c r="S1171" s="89">
        <v>44099</v>
      </c>
      <c r="T1171" s="36">
        <v>150</v>
      </c>
      <c r="U1171" s="125" t="s">
        <v>118</v>
      </c>
      <c r="V1171" s="147" t="s">
        <v>4570</v>
      </c>
      <c r="W1171" s="129"/>
      <c r="X1171" s="88">
        <f t="shared" si="68"/>
        <v>44288</v>
      </c>
      <c r="Y1171" s="130" t="s">
        <v>20</v>
      </c>
      <c r="Z1171" s="133" t="s">
        <v>60</v>
      </c>
      <c r="AA1171" s="133"/>
      <c r="AB1171" s="241">
        <v>1300</v>
      </c>
      <c r="AC1171" s="134">
        <v>384.61</v>
      </c>
      <c r="AD1171" s="134"/>
      <c r="AE1171" s="403">
        <f t="shared" si="65"/>
        <v>499993</v>
      </c>
      <c r="AF1171" s="132"/>
      <c r="AG1171" s="130" t="s">
        <v>46</v>
      </c>
      <c r="AH1171" s="130"/>
      <c r="AI1171" s="130" t="s">
        <v>100</v>
      </c>
      <c r="AJ1171" s="130"/>
      <c r="AK1171" s="130"/>
      <c r="AL1171" s="135" t="s">
        <v>4551</v>
      </c>
      <c r="AM1171" s="314"/>
      <c r="AN1171" s="26"/>
      <c r="AO1171" s="26"/>
      <c r="AP1171" s="26"/>
      <c r="AQ1171" s="26">
        <v>44183</v>
      </c>
      <c r="AR1171" s="24"/>
      <c r="AS1171" s="24"/>
      <c r="AT1171" s="24">
        <v>44186</v>
      </c>
      <c r="AU1171" s="418">
        <f t="shared" si="66"/>
        <v>12</v>
      </c>
      <c r="AV1171" s="418">
        <f t="shared" si="67"/>
        <v>2020</v>
      </c>
      <c r="AW1171" s="24"/>
      <c r="AX1171" s="24"/>
      <c r="AY1171" s="24" t="s">
        <v>3574</v>
      </c>
      <c r="AZ1171" s="132" t="s">
        <v>62</v>
      </c>
      <c r="BA1171" s="132"/>
      <c r="BB1171" s="24" t="s">
        <v>3264</v>
      </c>
      <c r="BC1171" s="135" t="s">
        <v>4571</v>
      </c>
      <c r="BD1171" s="24">
        <v>44138</v>
      </c>
      <c r="BE1171" s="135" t="s">
        <v>4553</v>
      </c>
      <c r="BF1171" s="135" t="s">
        <v>4553</v>
      </c>
      <c r="BG1171" s="135" t="s">
        <v>52</v>
      </c>
      <c r="BH1171" s="135"/>
      <c r="BI1171" s="314" t="s">
        <v>117</v>
      </c>
      <c r="BJ1171" s="314" t="s">
        <v>143</v>
      </c>
      <c r="BK1171" s="24"/>
      <c r="BL1171" s="24"/>
      <c r="BM1171" s="24"/>
      <c r="BN1171" s="24"/>
      <c r="BO1171" s="24"/>
      <c r="BP1171" s="24"/>
      <c r="BQ1171" s="24"/>
      <c r="BR1171" s="43"/>
      <c r="BS1171" s="24"/>
      <c r="BT1171" s="24"/>
      <c r="BU1171" s="24"/>
      <c r="BV1171" s="132" t="e">
        <f>IF(#REF!="COMPLETO","OK","PENDIENTES")</f>
        <v>#REF!</v>
      </c>
      <c r="BW1171" s="325"/>
      <c r="BX1171" s="325"/>
      <c r="BY1171" s="325"/>
      <c r="BZ1171" s="325"/>
      <c r="CA1171" s="325"/>
      <c r="CB1171" s="325"/>
      <c r="CC1171" s="258"/>
      <c r="CG1171" s="24" t="s">
        <v>105</v>
      </c>
      <c r="CH1171" s="24"/>
      <c r="CI1171" s="24"/>
      <c r="CJ1171" s="24"/>
    </row>
    <row r="1172" spans="1:88" ht="15" customHeight="1">
      <c r="A1172" s="18">
        <v>2020</v>
      </c>
      <c r="B1172" s="18" t="str">
        <f>+INDEX(BDD!F:F,MATCH(P1172,BDD!D:D,0))&amp;"-"&amp;INDEX(BDD!E:E,MATCH(P1172,BDD!D:D,0))</f>
        <v>G-S</v>
      </c>
      <c r="C1172" s="125" t="s">
        <v>484</v>
      </c>
      <c r="D1172" s="150" t="s">
        <v>77</v>
      </c>
      <c r="E1172" s="132"/>
      <c r="F1172" s="24"/>
      <c r="G1172" s="346">
        <v>8000001148</v>
      </c>
      <c r="H1172" s="125" t="s">
        <v>4572</v>
      </c>
      <c r="I1172" s="329"/>
      <c r="J1172" s="346">
        <v>8000001148</v>
      </c>
      <c r="K1172" s="24"/>
      <c r="L1172" s="24"/>
      <c r="M1172" s="24"/>
      <c r="N1172" s="340" t="s">
        <v>486</v>
      </c>
      <c r="O1172" s="334">
        <v>207485</v>
      </c>
      <c r="P1172" s="25" t="s">
        <v>353</v>
      </c>
      <c r="Q1172" s="127" t="s">
        <v>273</v>
      </c>
      <c r="R1172" s="232" t="s">
        <v>4549</v>
      </c>
      <c r="S1172" s="89">
        <v>44099</v>
      </c>
      <c r="T1172" s="36">
        <v>150</v>
      </c>
      <c r="U1172" s="125" t="s">
        <v>118</v>
      </c>
      <c r="V1172" s="147" t="s">
        <v>4573</v>
      </c>
      <c r="W1172" s="129"/>
      <c r="X1172" s="88">
        <f t="shared" si="68"/>
        <v>44284</v>
      </c>
      <c r="Y1172" s="130" t="s">
        <v>20</v>
      </c>
      <c r="Z1172" s="133" t="s">
        <v>60</v>
      </c>
      <c r="AA1172" s="133"/>
      <c r="AB1172" s="241">
        <v>900</v>
      </c>
      <c r="AC1172" s="134">
        <v>301.39</v>
      </c>
      <c r="AD1172" s="134"/>
      <c r="AE1172" s="403">
        <f t="shared" si="65"/>
        <v>271251</v>
      </c>
      <c r="AF1172" s="132"/>
      <c r="AG1172" s="130" t="s">
        <v>46</v>
      </c>
      <c r="AH1172" s="130"/>
      <c r="AI1172" s="130" t="s">
        <v>100</v>
      </c>
      <c r="AJ1172" s="130"/>
      <c r="AK1172" s="130"/>
      <c r="AL1172" s="135" t="s">
        <v>4551</v>
      </c>
      <c r="AM1172" s="314"/>
      <c r="AN1172" s="26"/>
      <c r="AO1172" s="26"/>
      <c r="AP1172" s="26"/>
      <c r="AQ1172" s="26">
        <v>44173</v>
      </c>
      <c r="AR1172" s="24"/>
      <c r="AS1172" s="24"/>
      <c r="AT1172" s="24">
        <v>44175</v>
      </c>
      <c r="AU1172" s="418">
        <f t="shared" si="66"/>
        <v>12</v>
      </c>
      <c r="AV1172" s="418">
        <f t="shared" si="67"/>
        <v>2020</v>
      </c>
      <c r="AW1172" s="24"/>
      <c r="AX1172" s="28"/>
      <c r="AY1172" s="28" t="s">
        <v>3437</v>
      </c>
      <c r="AZ1172" s="132" t="s">
        <v>9</v>
      </c>
      <c r="BA1172" s="132"/>
      <c r="BB1172" s="24" t="s">
        <v>2956</v>
      </c>
      <c r="BC1172" s="135" t="s">
        <v>4574</v>
      </c>
      <c r="BD1172" s="24">
        <v>44134</v>
      </c>
      <c r="BE1172" s="135" t="s">
        <v>4553</v>
      </c>
      <c r="BF1172" s="135" t="s">
        <v>4553</v>
      </c>
      <c r="BG1172" s="135" t="s">
        <v>52</v>
      </c>
      <c r="BH1172" s="135"/>
      <c r="BI1172" s="314" t="s">
        <v>117</v>
      </c>
      <c r="BJ1172" s="314" t="s">
        <v>143</v>
      </c>
      <c r="BK1172" s="24"/>
      <c r="BL1172" s="24"/>
      <c r="BM1172" s="24"/>
      <c r="BN1172" s="24"/>
      <c r="BO1172" s="24"/>
      <c r="BP1172" s="24"/>
      <c r="BQ1172" s="24"/>
      <c r="BR1172" s="43"/>
      <c r="BS1172" s="24"/>
      <c r="BT1172" s="24"/>
      <c r="BU1172" s="24"/>
      <c r="BV1172" s="132" t="e">
        <f>IF(#REF!="COMPLETO","OK","PENDIENTES")</f>
        <v>#REF!</v>
      </c>
      <c r="BW1172" s="325"/>
      <c r="BX1172" s="325"/>
      <c r="BY1172" s="325"/>
      <c r="BZ1172" s="325"/>
      <c r="CA1172" s="325"/>
      <c r="CB1172" s="325"/>
      <c r="CC1172" s="258"/>
      <c r="CG1172" s="24" t="s">
        <v>105</v>
      </c>
      <c r="CH1172" s="24"/>
      <c r="CI1172" s="24"/>
      <c r="CJ1172" s="24"/>
    </row>
    <row r="1173" spans="1:88" ht="15" customHeight="1">
      <c r="A1173" s="18">
        <v>2020</v>
      </c>
      <c r="B1173" s="18" t="str">
        <f>+INDEX(BDD!F:F,MATCH(P1173,BDD!D:D,0))&amp;"-"&amp;INDEX(BDD!E:E,MATCH(P1173,BDD!D:D,0))</f>
        <v>G-S</v>
      </c>
      <c r="C1173" s="125" t="s">
        <v>484</v>
      </c>
      <c r="D1173" s="150" t="s">
        <v>77</v>
      </c>
      <c r="E1173" s="132"/>
      <c r="F1173" s="24"/>
      <c r="G1173" s="346">
        <v>8000001152</v>
      </c>
      <c r="H1173" s="125" t="s">
        <v>4575</v>
      </c>
      <c r="I1173" s="329"/>
      <c r="J1173" s="346">
        <v>8000001152</v>
      </c>
      <c r="K1173" s="24"/>
      <c r="L1173" s="24"/>
      <c r="M1173" s="24"/>
      <c r="N1173" s="340" t="s">
        <v>486</v>
      </c>
      <c r="O1173" s="334">
        <v>207485</v>
      </c>
      <c r="P1173" s="25" t="s">
        <v>353</v>
      </c>
      <c r="Q1173" s="127" t="s">
        <v>273</v>
      </c>
      <c r="R1173" s="232" t="s">
        <v>4549</v>
      </c>
      <c r="S1173" s="89">
        <v>44099</v>
      </c>
      <c r="T1173" s="36">
        <v>150</v>
      </c>
      <c r="U1173" s="125" t="s">
        <v>118</v>
      </c>
      <c r="V1173" s="147" t="s">
        <v>4576</v>
      </c>
      <c r="W1173" s="129"/>
      <c r="X1173" s="88">
        <f t="shared" si="68"/>
        <v>44284</v>
      </c>
      <c r="Y1173" s="130" t="s">
        <v>20</v>
      </c>
      <c r="Z1173" s="133" t="s">
        <v>60</v>
      </c>
      <c r="AA1173" s="133"/>
      <c r="AB1173" s="241">
        <v>1100</v>
      </c>
      <c r="AC1173" s="134">
        <v>301.39</v>
      </c>
      <c r="AD1173" s="134"/>
      <c r="AE1173" s="403">
        <f t="shared" si="65"/>
        <v>331529</v>
      </c>
      <c r="AF1173" s="132"/>
      <c r="AG1173" s="130" t="s">
        <v>46</v>
      </c>
      <c r="AH1173" s="130"/>
      <c r="AI1173" s="130" t="s">
        <v>100</v>
      </c>
      <c r="AJ1173" s="130"/>
      <c r="AK1173" s="130"/>
      <c r="AL1173" s="135" t="s">
        <v>4551</v>
      </c>
      <c r="AM1173" s="314"/>
      <c r="AN1173" s="26"/>
      <c r="AO1173" s="26"/>
      <c r="AP1173" s="26"/>
      <c r="AQ1173" s="26">
        <v>44177</v>
      </c>
      <c r="AR1173" s="24"/>
      <c r="AS1173" s="24"/>
      <c r="AT1173" s="24">
        <v>44177</v>
      </c>
      <c r="AU1173" s="418">
        <f t="shared" si="66"/>
        <v>12</v>
      </c>
      <c r="AV1173" s="418">
        <f t="shared" si="67"/>
        <v>2020</v>
      </c>
      <c r="AW1173" s="24"/>
      <c r="AX1173" s="28"/>
      <c r="AY1173" s="28" t="s">
        <v>3437</v>
      </c>
      <c r="AZ1173" s="132" t="s">
        <v>25</v>
      </c>
      <c r="BA1173" s="132"/>
      <c r="BB1173" s="24" t="s">
        <v>3264</v>
      </c>
      <c r="BC1173" s="135" t="s">
        <v>4577</v>
      </c>
      <c r="BD1173" s="24">
        <v>44134</v>
      </c>
      <c r="BE1173" s="135" t="s">
        <v>4553</v>
      </c>
      <c r="BF1173" s="135" t="s">
        <v>4553</v>
      </c>
      <c r="BG1173" s="135" t="s">
        <v>52</v>
      </c>
      <c r="BH1173" s="135"/>
      <c r="BI1173" s="314" t="s">
        <v>117</v>
      </c>
      <c r="BJ1173" s="314" t="s">
        <v>143</v>
      </c>
      <c r="BK1173" s="24"/>
      <c r="BL1173" s="24"/>
      <c r="BM1173" s="24"/>
      <c r="BN1173" s="24"/>
      <c r="BO1173" s="24"/>
      <c r="BP1173" s="24"/>
      <c r="BQ1173" s="24"/>
      <c r="BR1173" s="43"/>
      <c r="BS1173" s="24"/>
      <c r="BT1173" s="24"/>
      <c r="BU1173" s="24"/>
      <c r="BV1173" s="132" t="e">
        <f>IF(#REF!="COMPLETO","OK","PENDIENTES")</f>
        <v>#REF!</v>
      </c>
      <c r="BW1173" s="325"/>
      <c r="BX1173" s="325"/>
      <c r="BY1173" s="325"/>
      <c r="BZ1173" s="325"/>
      <c r="CA1173" s="325"/>
      <c r="CB1173" s="325"/>
      <c r="CC1173" s="258"/>
      <c r="CG1173" s="24" t="s">
        <v>105</v>
      </c>
      <c r="CH1173" s="24"/>
      <c r="CI1173" s="24"/>
      <c r="CJ1173" s="24"/>
    </row>
    <row r="1174" spans="1:88" ht="15" customHeight="1">
      <c r="A1174" s="18">
        <v>2020</v>
      </c>
      <c r="B1174" s="18" t="str">
        <f>+INDEX(BDD!F:F,MATCH(P1174,BDD!D:D,0))&amp;"-"&amp;INDEX(BDD!E:E,MATCH(P1174,BDD!D:D,0))</f>
        <v>G-S</v>
      </c>
      <c r="C1174" s="125" t="s">
        <v>484</v>
      </c>
      <c r="D1174" s="150" t="s">
        <v>77</v>
      </c>
      <c r="E1174" s="132"/>
      <c r="F1174" s="24"/>
      <c r="G1174" s="346">
        <v>8000001162</v>
      </c>
      <c r="H1174" s="125" t="s">
        <v>4578</v>
      </c>
      <c r="I1174" s="329"/>
      <c r="J1174" s="346">
        <v>8000001162</v>
      </c>
      <c r="K1174" s="24"/>
      <c r="L1174" s="24"/>
      <c r="M1174" s="24"/>
      <c r="N1174" s="340" t="s">
        <v>486</v>
      </c>
      <c r="O1174" s="334">
        <v>207485</v>
      </c>
      <c r="P1174" s="25" t="s">
        <v>353</v>
      </c>
      <c r="Q1174" s="127" t="s">
        <v>273</v>
      </c>
      <c r="R1174" s="232" t="s">
        <v>4549</v>
      </c>
      <c r="S1174" s="89">
        <v>44099</v>
      </c>
      <c r="T1174" s="36">
        <v>150</v>
      </c>
      <c r="U1174" s="125" t="s">
        <v>118</v>
      </c>
      <c r="V1174" s="147" t="s">
        <v>4579</v>
      </c>
      <c r="W1174" s="129"/>
      <c r="X1174" s="88">
        <f t="shared" si="68"/>
        <v>44284</v>
      </c>
      <c r="Y1174" s="130" t="s">
        <v>20</v>
      </c>
      <c r="Z1174" s="133" t="s">
        <v>60</v>
      </c>
      <c r="AA1174" s="133"/>
      <c r="AB1174" s="241">
        <v>150</v>
      </c>
      <c r="AC1174" s="134">
        <v>301.39</v>
      </c>
      <c r="AD1174" s="134"/>
      <c r="AE1174" s="403">
        <f t="shared" si="65"/>
        <v>45208.5</v>
      </c>
      <c r="AF1174" s="132"/>
      <c r="AG1174" s="130" t="s">
        <v>46</v>
      </c>
      <c r="AH1174" s="130"/>
      <c r="AI1174" s="130" t="s">
        <v>100</v>
      </c>
      <c r="AJ1174" s="130"/>
      <c r="AK1174" s="130"/>
      <c r="AL1174" s="135" t="s">
        <v>4551</v>
      </c>
      <c r="AM1174" s="314"/>
      <c r="AN1174" s="26"/>
      <c r="AO1174" s="26"/>
      <c r="AP1174" s="26"/>
      <c r="AQ1174" s="26">
        <v>44180</v>
      </c>
      <c r="AR1174" s="24"/>
      <c r="AS1174" s="24"/>
      <c r="AT1174" s="24">
        <v>44181</v>
      </c>
      <c r="AU1174" s="418">
        <f t="shared" si="66"/>
        <v>12</v>
      </c>
      <c r="AV1174" s="418">
        <f t="shared" si="67"/>
        <v>2020</v>
      </c>
      <c r="AW1174" s="24"/>
      <c r="AX1174" s="24"/>
      <c r="AY1174" s="24" t="s">
        <v>3437</v>
      </c>
      <c r="AZ1174" s="132" t="s">
        <v>37</v>
      </c>
      <c r="BA1174" s="132"/>
      <c r="BB1174" s="24" t="s">
        <v>3291</v>
      </c>
      <c r="BC1174" s="135" t="s">
        <v>4580</v>
      </c>
      <c r="BD1174" s="24">
        <v>44134</v>
      </c>
      <c r="BE1174" s="135" t="s">
        <v>4553</v>
      </c>
      <c r="BF1174" s="135" t="s">
        <v>4553</v>
      </c>
      <c r="BG1174" s="135" t="s">
        <v>52</v>
      </c>
      <c r="BH1174" s="135"/>
      <c r="BI1174" s="314" t="s">
        <v>117</v>
      </c>
      <c r="BJ1174" s="314" t="s">
        <v>143</v>
      </c>
      <c r="BK1174" s="24"/>
      <c r="BL1174" s="24"/>
      <c r="BM1174" s="24"/>
      <c r="BN1174" s="24"/>
      <c r="BO1174" s="24"/>
      <c r="BP1174" s="24"/>
      <c r="BQ1174" s="24"/>
      <c r="BR1174" s="43"/>
      <c r="BS1174" s="24"/>
      <c r="BT1174" s="24"/>
      <c r="BU1174" s="24"/>
      <c r="BV1174" s="132" t="e">
        <f>IF(#REF!="COMPLETO","OK","PENDIENTES")</f>
        <v>#REF!</v>
      </c>
      <c r="BW1174" s="325"/>
      <c r="BX1174" s="325"/>
      <c r="BY1174" s="325"/>
      <c r="BZ1174" s="325"/>
      <c r="CA1174" s="325"/>
      <c r="CB1174" s="325"/>
      <c r="CC1174" s="258"/>
      <c r="CG1174" s="24" t="s">
        <v>105</v>
      </c>
      <c r="CH1174" s="24"/>
      <c r="CI1174" s="24"/>
      <c r="CJ1174" s="24"/>
    </row>
    <row r="1175" spans="1:88" ht="15" customHeight="1">
      <c r="A1175" s="18">
        <v>2020</v>
      </c>
      <c r="B1175" s="18" t="str">
        <f>+INDEX(BDD!F:F,MATCH(P1175,BDD!D:D,0))&amp;"-"&amp;INDEX(BDD!E:E,MATCH(P1175,BDD!D:D,0))</f>
        <v>G-S</v>
      </c>
      <c r="C1175" s="125" t="s">
        <v>484</v>
      </c>
      <c r="D1175" s="150" t="s">
        <v>77</v>
      </c>
      <c r="E1175" s="132"/>
      <c r="F1175" s="24"/>
      <c r="G1175" s="346">
        <v>8000001163</v>
      </c>
      <c r="H1175" s="125" t="s">
        <v>4581</v>
      </c>
      <c r="I1175" s="329"/>
      <c r="J1175" s="346">
        <v>8000001163</v>
      </c>
      <c r="K1175" s="24"/>
      <c r="L1175" s="24"/>
      <c r="M1175" s="24"/>
      <c r="N1175" s="340" t="s">
        <v>486</v>
      </c>
      <c r="O1175" s="334">
        <v>207485</v>
      </c>
      <c r="P1175" s="25" t="s">
        <v>353</v>
      </c>
      <c r="Q1175" s="127" t="s">
        <v>273</v>
      </c>
      <c r="R1175" s="232" t="s">
        <v>4549</v>
      </c>
      <c r="S1175" s="89">
        <v>44099</v>
      </c>
      <c r="T1175" s="36">
        <v>150</v>
      </c>
      <c r="U1175" s="125" t="s">
        <v>118</v>
      </c>
      <c r="V1175" s="147" t="s">
        <v>4582</v>
      </c>
      <c r="W1175" s="129"/>
      <c r="X1175" s="88">
        <f t="shared" si="68"/>
        <v>44284</v>
      </c>
      <c r="Y1175" s="130" t="s">
        <v>20</v>
      </c>
      <c r="Z1175" s="133" t="s">
        <v>60</v>
      </c>
      <c r="AA1175" s="133"/>
      <c r="AB1175" s="241">
        <v>850</v>
      </c>
      <c r="AC1175" s="134">
        <v>301.39</v>
      </c>
      <c r="AD1175" s="134"/>
      <c r="AE1175" s="403">
        <f t="shared" si="65"/>
        <v>256181.5</v>
      </c>
      <c r="AF1175" s="132"/>
      <c r="AG1175" s="130" t="s">
        <v>46</v>
      </c>
      <c r="AH1175" s="130"/>
      <c r="AI1175" s="130" t="s">
        <v>100</v>
      </c>
      <c r="AJ1175" s="130"/>
      <c r="AK1175" s="130"/>
      <c r="AL1175" s="135" t="s">
        <v>4551</v>
      </c>
      <c r="AM1175" s="314"/>
      <c r="AN1175" s="26"/>
      <c r="AO1175" s="26"/>
      <c r="AP1175" s="26"/>
      <c r="AQ1175" s="26">
        <v>44183</v>
      </c>
      <c r="AR1175" s="24"/>
      <c r="AS1175" s="24"/>
      <c r="AT1175" s="24">
        <v>44186</v>
      </c>
      <c r="AU1175" s="418">
        <f t="shared" si="66"/>
        <v>12</v>
      </c>
      <c r="AV1175" s="418">
        <f t="shared" si="67"/>
        <v>2020</v>
      </c>
      <c r="AW1175" s="24"/>
      <c r="AX1175" s="24"/>
      <c r="AY1175" s="24" t="s">
        <v>3437</v>
      </c>
      <c r="AZ1175" s="132" t="s">
        <v>62</v>
      </c>
      <c r="BA1175" s="132"/>
      <c r="BB1175" s="24" t="s">
        <v>3264</v>
      </c>
      <c r="BC1175" s="135" t="s">
        <v>4583</v>
      </c>
      <c r="BD1175" s="24">
        <v>44134</v>
      </c>
      <c r="BE1175" s="135" t="s">
        <v>4553</v>
      </c>
      <c r="BF1175" s="135" t="s">
        <v>4553</v>
      </c>
      <c r="BG1175" s="135" t="s">
        <v>52</v>
      </c>
      <c r="BH1175" s="135"/>
      <c r="BI1175" s="314" t="s">
        <v>117</v>
      </c>
      <c r="BJ1175" s="314" t="s">
        <v>143</v>
      </c>
      <c r="BK1175" s="24"/>
      <c r="BL1175" s="24"/>
      <c r="BM1175" s="24"/>
      <c r="BN1175" s="24"/>
      <c r="BO1175" s="24"/>
      <c r="BP1175" s="24"/>
      <c r="BQ1175" s="24"/>
      <c r="BR1175" s="43"/>
      <c r="BS1175" s="24"/>
      <c r="BT1175" s="24"/>
      <c r="BU1175" s="24"/>
      <c r="BV1175" s="132" t="e">
        <f>IF(#REF!="COMPLETO","OK","PENDIENTES")</f>
        <v>#REF!</v>
      </c>
      <c r="BW1175" s="325"/>
      <c r="BX1175" s="325"/>
      <c r="BY1175" s="325"/>
      <c r="BZ1175" s="325"/>
      <c r="CA1175" s="325"/>
      <c r="CB1175" s="325"/>
      <c r="CC1175" s="258"/>
      <c r="CG1175" s="24" t="s">
        <v>105</v>
      </c>
      <c r="CH1175" s="24"/>
      <c r="CI1175" s="24"/>
      <c r="CJ1175" s="24"/>
    </row>
    <row r="1176" spans="1:88" ht="15" customHeight="1">
      <c r="A1176" s="18">
        <v>2020</v>
      </c>
      <c r="B1176" s="18" t="str">
        <f>+INDEX(BDD!F:F,MATCH(P1176,BDD!D:D,0))&amp;"-"&amp;INDEX(BDD!E:E,MATCH(P1176,BDD!D:D,0))</f>
        <v>B-S</v>
      </c>
      <c r="C1176" s="125" t="s">
        <v>484</v>
      </c>
      <c r="D1176" s="150" t="s">
        <v>77</v>
      </c>
      <c r="E1176" s="132"/>
      <c r="F1176" s="24"/>
      <c r="G1176" s="346">
        <v>8000001088</v>
      </c>
      <c r="H1176" s="125" t="s">
        <v>4584</v>
      </c>
      <c r="I1176" s="329"/>
      <c r="J1176" s="346">
        <v>8000001088</v>
      </c>
      <c r="K1176" s="24"/>
      <c r="L1176" s="24"/>
      <c r="M1176" s="24"/>
      <c r="N1176" s="340" t="s">
        <v>486</v>
      </c>
      <c r="O1176" s="334">
        <v>206578</v>
      </c>
      <c r="P1176" s="25" t="s">
        <v>364</v>
      </c>
      <c r="Q1176" s="127" t="s">
        <v>191</v>
      </c>
      <c r="R1176" s="232" t="s">
        <v>4585</v>
      </c>
      <c r="S1176" s="89" t="s">
        <v>1727</v>
      </c>
      <c r="T1176" s="36">
        <v>90</v>
      </c>
      <c r="U1176" s="125" t="s">
        <v>118</v>
      </c>
      <c r="V1176" s="147" t="s">
        <v>4586</v>
      </c>
      <c r="W1176" s="129"/>
      <c r="X1176" s="88">
        <f t="shared" si="68"/>
        <v>44205</v>
      </c>
      <c r="Y1176" s="130" t="s">
        <v>20</v>
      </c>
      <c r="Z1176" s="133" t="s">
        <v>81</v>
      </c>
      <c r="AA1176" s="133"/>
      <c r="AB1176" s="270">
        <v>1.0771200000000001</v>
      </c>
      <c r="AC1176" s="134">
        <v>7166.3262680785183</v>
      </c>
      <c r="AD1176" s="134"/>
      <c r="AE1176" s="403">
        <f t="shared" si="65"/>
        <v>7718.9933498727341</v>
      </c>
      <c r="AF1176" s="132"/>
      <c r="AG1176" s="130" t="s">
        <v>5</v>
      </c>
      <c r="AH1176" s="130"/>
      <c r="AI1176" s="130" t="s">
        <v>3624</v>
      </c>
      <c r="AJ1176" s="130"/>
      <c r="AK1176" s="130"/>
      <c r="AL1176" s="135" t="s">
        <v>4587</v>
      </c>
      <c r="AM1176" s="314"/>
      <c r="AN1176" s="26"/>
      <c r="AO1176" s="26"/>
      <c r="AP1176" s="26"/>
      <c r="AQ1176" s="26">
        <v>44141</v>
      </c>
      <c r="AR1176" s="24"/>
      <c r="AS1176" s="24"/>
      <c r="AT1176" s="24">
        <v>44147</v>
      </c>
      <c r="AU1176" s="418">
        <f t="shared" si="66"/>
        <v>11</v>
      </c>
      <c r="AV1176" s="418">
        <f t="shared" si="67"/>
        <v>2020</v>
      </c>
      <c r="AW1176" s="24"/>
      <c r="AX1176" s="28"/>
      <c r="AY1176" s="28" t="s">
        <v>299</v>
      </c>
      <c r="AZ1176" s="132" t="s">
        <v>37</v>
      </c>
      <c r="BA1176" s="132"/>
      <c r="BB1176" s="24" t="s">
        <v>3291</v>
      </c>
      <c r="BC1176" s="135" t="s">
        <v>4588</v>
      </c>
      <c r="BD1176" s="24">
        <v>44115</v>
      </c>
      <c r="BE1176" s="135" t="s">
        <v>3111</v>
      </c>
      <c r="BF1176" s="135" t="s">
        <v>3111</v>
      </c>
      <c r="BG1176" s="135" t="s">
        <v>3430</v>
      </c>
      <c r="BH1176" s="135"/>
      <c r="BI1176" s="314" t="s">
        <v>117</v>
      </c>
      <c r="BJ1176" s="314" t="s">
        <v>143</v>
      </c>
      <c r="BK1176" s="24"/>
      <c r="BL1176" s="24"/>
      <c r="BM1176" s="24"/>
      <c r="BN1176" s="24"/>
      <c r="BO1176" s="24"/>
      <c r="BP1176" s="24"/>
      <c r="BQ1176" s="24"/>
      <c r="BR1176" s="43"/>
      <c r="BS1176" s="24"/>
      <c r="BT1176" s="24"/>
      <c r="BU1176" s="24"/>
      <c r="BV1176" s="132" t="e">
        <f>IF(#REF!="COMPLETO","OK","PENDIENTES")</f>
        <v>#REF!</v>
      </c>
      <c r="BW1176" s="325"/>
      <c r="BX1176" s="325"/>
      <c r="BY1176" s="325"/>
      <c r="BZ1176" s="325"/>
      <c r="CA1176" s="325"/>
      <c r="CB1176" s="325"/>
      <c r="CC1176" s="258" t="s">
        <v>4589</v>
      </c>
      <c r="CG1176" s="24" t="s">
        <v>105</v>
      </c>
      <c r="CH1176" s="24"/>
      <c r="CI1176" s="24"/>
      <c r="CJ1176" s="24"/>
    </row>
    <row r="1177" spans="1:88" ht="15" customHeight="1">
      <c r="A1177" s="18">
        <v>2020</v>
      </c>
      <c r="B1177" s="18" t="str">
        <f>+INDEX(BDD!F:F,MATCH(P1177,BDD!D:D,0))&amp;"-"&amp;INDEX(BDD!E:E,MATCH(P1177,BDD!D:D,0))</f>
        <v>B-S</v>
      </c>
      <c r="C1177" s="125" t="s">
        <v>484</v>
      </c>
      <c r="D1177" s="150" t="s">
        <v>77</v>
      </c>
      <c r="E1177" s="132"/>
      <c r="F1177" s="24"/>
      <c r="G1177" s="346">
        <v>8000001088</v>
      </c>
      <c r="H1177" s="125" t="s">
        <v>4590</v>
      </c>
      <c r="I1177" s="329"/>
      <c r="J1177" s="346">
        <v>8000001088</v>
      </c>
      <c r="K1177" s="24"/>
      <c r="L1177" s="24"/>
      <c r="M1177" s="24"/>
      <c r="N1177" s="340" t="s">
        <v>486</v>
      </c>
      <c r="O1177" s="334">
        <v>207792</v>
      </c>
      <c r="P1177" s="25" t="s">
        <v>365</v>
      </c>
      <c r="Q1177" s="127" t="s">
        <v>191</v>
      </c>
      <c r="R1177" s="232" t="s">
        <v>4585</v>
      </c>
      <c r="S1177" s="89" t="s">
        <v>1727</v>
      </c>
      <c r="T1177" s="36">
        <v>90</v>
      </c>
      <c r="U1177" s="125" t="s">
        <v>118</v>
      </c>
      <c r="V1177" s="147" t="s">
        <v>4586</v>
      </c>
      <c r="W1177" s="129"/>
      <c r="X1177" s="88">
        <f t="shared" si="68"/>
        <v>44205</v>
      </c>
      <c r="Y1177" s="130" t="s">
        <v>20</v>
      </c>
      <c r="Z1177" s="133" t="s">
        <v>81</v>
      </c>
      <c r="AA1177" s="133"/>
      <c r="AB1177" s="270">
        <v>5.2223999999999995</v>
      </c>
      <c r="AC1177" s="134">
        <v>5877.1458812284136</v>
      </c>
      <c r="AD1177" s="134"/>
      <c r="AE1177" s="403">
        <f t="shared" si="65"/>
        <v>30692.806650127262</v>
      </c>
      <c r="AF1177" s="132"/>
      <c r="AG1177" s="130" t="s">
        <v>5</v>
      </c>
      <c r="AH1177" s="130"/>
      <c r="AI1177" s="130" t="s">
        <v>126</v>
      </c>
      <c r="AJ1177" s="130"/>
      <c r="AK1177" s="130"/>
      <c r="AL1177" s="135" t="s">
        <v>4587</v>
      </c>
      <c r="AM1177" s="314"/>
      <c r="AN1177" s="26"/>
      <c r="AO1177" s="26"/>
      <c r="AP1177" s="26"/>
      <c r="AQ1177" s="26">
        <v>44141</v>
      </c>
      <c r="AR1177" s="24"/>
      <c r="AS1177" s="24"/>
      <c r="AT1177" s="24">
        <v>44147</v>
      </c>
      <c r="AU1177" s="418">
        <f t="shared" si="66"/>
        <v>11</v>
      </c>
      <c r="AV1177" s="418">
        <f t="shared" si="67"/>
        <v>2020</v>
      </c>
      <c r="AW1177" s="24"/>
      <c r="AX1177" s="28"/>
      <c r="AY1177" s="28" t="s">
        <v>299</v>
      </c>
      <c r="AZ1177" s="132" t="s">
        <v>37</v>
      </c>
      <c r="BA1177" s="132"/>
      <c r="BB1177" s="24" t="s">
        <v>3291</v>
      </c>
      <c r="BC1177" s="135" t="s">
        <v>4588</v>
      </c>
      <c r="BD1177" s="24">
        <v>44115</v>
      </c>
      <c r="BE1177" s="135" t="s">
        <v>3111</v>
      </c>
      <c r="BF1177" s="135" t="s">
        <v>3111</v>
      </c>
      <c r="BG1177" s="135" t="s">
        <v>3430</v>
      </c>
      <c r="BH1177" s="135"/>
      <c r="BI1177" s="314" t="s">
        <v>117</v>
      </c>
      <c r="BJ1177" s="314" t="s">
        <v>143</v>
      </c>
      <c r="BK1177" s="24"/>
      <c r="BL1177" s="24"/>
      <c r="BM1177" s="24"/>
      <c r="BN1177" s="24"/>
      <c r="BO1177" s="24"/>
      <c r="BP1177" s="24"/>
      <c r="BQ1177" s="24"/>
      <c r="BR1177" s="43"/>
      <c r="BS1177" s="24"/>
      <c r="BT1177" s="24"/>
      <c r="BU1177" s="24"/>
      <c r="BV1177" s="132" t="e">
        <f>IF(#REF!="COMPLETO","OK","PENDIENTES")</f>
        <v>#REF!</v>
      </c>
      <c r="BW1177" s="325"/>
      <c r="BX1177" s="325"/>
      <c r="BY1177" s="325"/>
      <c r="BZ1177" s="325"/>
      <c r="CA1177" s="325"/>
      <c r="CB1177" s="325"/>
      <c r="CC1177" s="258" t="s">
        <v>4589</v>
      </c>
      <c r="CG1177" s="24" t="s">
        <v>105</v>
      </c>
      <c r="CH1177" s="24"/>
      <c r="CI1177" s="24"/>
      <c r="CJ1177" s="24"/>
    </row>
    <row r="1178" spans="1:88" ht="14.65" customHeight="1">
      <c r="A1178" s="18">
        <v>2020</v>
      </c>
      <c r="B1178" s="18" t="str">
        <f>+INDEX(BDD!F:F,MATCH(P1178,BDD!D:D,0))&amp;"-"&amp;INDEX(BDD!E:E,MATCH(P1178,BDD!D:D,0))</f>
        <v>T-S</v>
      </c>
      <c r="C1178" s="125" t="s">
        <v>484</v>
      </c>
      <c r="D1178" s="150" t="s">
        <v>77</v>
      </c>
      <c r="E1178" s="132"/>
      <c r="F1178" s="24"/>
      <c r="G1178" s="346">
        <v>8000000987</v>
      </c>
      <c r="H1178" s="125" t="s">
        <v>4591</v>
      </c>
      <c r="I1178" s="329"/>
      <c r="J1178" s="346">
        <v>8000000987</v>
      </c>
      <c r="K1178" s="24"/>
      <c r="L1178" s="24"/>
      <c r="M1178" s="24"/>
      <c r="N1178" s="340" t="s">
        <v>486</v>
      </c>
      <c r="O1178" s="334">
        <v>208072</v>
      </c>
      <c r="P1178" s="25" t="s">
        <v>385</v>
      </c>
      <c r="Q1178" s="127" t="s">
        <v>303</v>
      </c>
      <c r="R1178" s="232" t="s">
        <v>4592</v>
      </c>
      <c r="S1178" s="89" t="s">
        <v>582</v>
      </c>
      <c r="T1178" s="36" t="s">
        <v>19</v>
      </c>
      <c r="U1178" s="125"/>
      <c r="V1178" s="147" t="s">
        <v>4593</v>
      </c>
      <c r="W1178" s="129"/>
      <c r="X1178" s="88">
        <v>44140</v>
      </c>
      <c r="Y1178" s="130" t="s">
        <v>20</v>
      </c>
      <c r="Z1178" s="133" t="s">
        <v>60</v>
      </c>
      <c r="AA1178" s="133"/>
      <c r="AB1178" s="241">
        <v>16</v>
      </c>
      <c r="AC1178" s="134">
        <v>9560</v>
      </c>
      <c r="AD1178" s="134"/>
      <c r="AE1178" s="403">
        <f t="shared" si="65"/>
        <v>152960</v>
      </c>
      <c r="AF1178" s="132">
        <v>1</v>
      </c>
      <c r="AG1178" s="130" t="s">
        <v>21</v>
      </c>
      <c r="AH1178" s="130"/>
      <c r="AI1178" s="130" t="s">
        <v>3619</v>
      </c>
      <c r="AJ1178" s="130"/>
      <c r="AK1178" s="130"/>
      <c r="AL1178" s="135" t="s">
        <v>4264</v>
      </c>
      <c r="AM1178" s="314"/>
      <c r="AN1178" s="26"/>
      <c r="AO1178" s="26"/>
      <c r="AP1178" s="26"/>
      <c r="AQ1178" s="26">
        <v>44146</v>
      </c>
      <c r="AR1178" s="24"/>
      <c r="AS1178" s="24"/>
      <c r="AT1178" s="24">
        <v>44148</v>
      </c>
      <c r="AU1178" s="418">
        <f t="shared" si="66"/>
        <v>11</v>
      </c>
      <c r="AV1178" s="418">
        <f t="shared" si="67"/>
        <v>2020</v>
      </c>
      <c r="AW1178" s="24"/>
      <c r="AX1178" s="28"/>
      <c r="AY1178" s="28" t="s">
        <v>3981</v>
      </c>
      <c r="AZ1178" s="132" t="s">
        <v>37</v>
      </c>
      <c r="BA1178" s="132"/>
      <c r="BB1178" s="24" t="s">
        <v>3291</v>
      </c>
      <c r="BC1178" s="135" t="s">
        <v>4594</v>
      </c>
      <c r="BD1178" s="24">
        <v>44118</v>
      </c>
      <c r="BE1178" s="135" t="s">
        <v>3988</v>
      </c>
      <c r="BF1178" s="135" t="s">
        <v>3988</v>
      </c>
      <c r="BG1178" s="135" t="s">
        <v>14</v>
      </c>
      <c r="BH1178" s="135"/>
      <c r="BI1178" s="314" t="s">
        <v>124</v>
      </c>
      <c r="BJ1178" s="314" t="s">
        <v>143</v>
      </c>
      <c r="BK1178" s="24"/>
      <c r="BL1178" s="24"/>
      <c r="BM1178" s="24"/>
      <c r="BN1178" s="24"/>
      <c r="BO1178" s="24"/>
      <c r="BP1178" s="24"/>
      <c r="BQ1178" s="24"/>
      <c r="BR1178" s="43"/>
      <c r="BS1178" s="24"/>
      <c r="BT1178" s="24"/>
      <c r="BU1178" s="24"/>
      <c r="BV1178" s="132" t="e">
        <f>IF(#REF!="COMPLETO","OK","PENDIENTES")</f>
        <v>#REF!</v>
      </c>
      <c r="BW1178" s="325"/>
      <c r="BX1178" s="325"/>
      <c r="BY1178" s="325"/>
      <c r="BZ1178" s="325"/>
      <c r="CA1178" s="325"/>
      <c r="CB1178" s="325"/>
      <c r="CC1178" s="258"/>
      <c r="CG1178" s="24" t="s">
        <v>105</v>
      </c>
      <c r="CH1178" s="24"/>
      <c r="CI1178" s="24"/>
      <c r="CJ1178" s="24"/>
    </row>
    <row r="1179" spans="1:88" ht="15" customHeight="1">
      <c r="A1179" s="18">
        <v>2020</v>
      </c>
      <c r="B1179" s="18" t="str">
        <f>+INDEX(BDD!F:F,MATCH(P1179,BDD!D:D,0))&amp;"-"&amp;INDEX(BDD!E:E,MATCH(P1179,BDD!D:D,0))</f>
        <v>E-S</v>
      </c>
      <c r="C1179" s="125" t="s">
        <v>484</v>
      </c>
      <c r="D1179" s="150" t="s">
        <v>77</v>
      </c>
      <c r="E1179" s="132"/>
      <c r="F1179" s="24"/>
      <c r="G1179" s="346">
        <v>8000001158</v>
      </c>
      <c r="H1179" s="125" t="s">
        <v>4595</v>
      </c>
      <c r="I1179" s="329"/>
      <c r="J1179" s="346">
        <v>8000001158</v>
      </c>
      <c r="K1179" s="24"/>
      <c r="L1179" s="24"/>
      <c r="M1179" s="24"/>
      <c r="N1179" s="340" t="s">
        <v>486</v>
      </c>
      <c r="O1179" s="334" t="s">
        <v>4596</v>
      </c>
      <c r="P1179" s="25" t="s">
        <v>351</v>
      </c>
      <c r="Q1179" s="127" t="s">
        <v>252</v>
      </c>
      <c r="R1179" s="232" t="s">
        <v>4597</v>
      </c>
      <c r="S1179" s="89">
        <v>44075</v>
      </c>
      <c r="T1179" s="36" t="s">
        <v>19</v>
      </c>
      <c r="U1179" s="125"/>
      <c r="V1179" s="147" t="s">
        <v>4598</v>
      </c>
      <c r="W1179" s="129"/>
      <c r="X1179" s="88">
        <v>44140</v>
      </c>
      <c r="Y1179" s="130" t="s">
        <v>20</v>
      </c>
      <c r="Z1179" s="133" t="s">
        <v>60</v>
      </c>
      <c r="AA1179" s="133"/>
      <c r="AB1179" s="241">
        <v>633.6</v>
      </c>
      <c r="AC1179" s="134">
        <v>330</v>
      </c>
      <c r="AD1179" s="134"/>
      <c r="AE1179" s="403">
        <f t="shared" si="65"/>
        <v>209088</v>
      </c>
      <c r="AF1179" s="132">
        <v>22</v>
      </c>
      <c r="AG1179" s="130" t="s">
        <v>79</v>
      </c>
      <c r="AH1179" s="130"/>
      <c r="AI1179" s="130" t="s">
        <v>100</v>
      </c>
      <c r="AJ1179" s="130"/>
      <c r="AK1179" s="130"/>
      <c r="AL1179" s="135" t="s">
        <v>4587</v>
      </c>
      <c r="AM1179" s="314"/>
      <c r="AN1179" s="26"/>
      <c r="AO1179" s="26"/>
      <c r="AP1179" s="26"/>
      <c r="AQ1179" s="26">
        <v>44182</v>
      </c>
      <c r="AR1179" s="24"/>
      <c r="AS1179" s="24"/>
      <c r="AT1179" s="24">
        <v>44186</v>
      </c>
      <c r="AU1179" s="418">
        <f t="shared" si="66"/>
        <v>12</v>
      </c>
      <c r="AV1179" s="418">
        <f t="shared" si="67"/>
        <v>2020</v>
      </c>
      <c r="AW1179" s="24"/>
      <c r="AX1179" s="28"/>
      <c r="AY1179" s="28" t="s">
        <v>281</v>
      </c>
      <c r="AZ1179" s="132" t="s">
        <v>37</v>
      </c>
      <c r="BA1179" s="132"/>
      <c r="BB1179" s="24" t="s">
        <v>2956</v>
      </c>
      <c r="BC1179" s="135" t="s">
        <v>4599</v>
      </c>
      <c r="BD1179" s="24">
        <v>44130</v>
      </c>
      <c r="BE1179" s="135" t="s">
        <v>4600</v>
      </c>
      <c r="BF1179" s="135" t="s">
        <v>865</v>
      </c>
      <c r="BG1179" s="135" t="s">
        <v>64</v>
      </c>
      <c r="BH1179" s="135"/>
      <c r="BI1179" s="314" t="s">
        <v>124</v>
      </c>
      <c r="BJ1179" s="314" t="s">
        <v>143</v>
      </c>
      <c r="BK1179" s="26"/>
      <c r="BL1179" s="26"/>
      <c r="BM1179" s="26"/>
      <c r="BN1179" s="26"/>
      <c r="BO1179" s="24">
        <f>+AQ1179+22</f>
        <v>44204</v>
      </c>
      <c r="BP1179" s="24"/>
      <c r="BQ1179" s="24"/>
      <c r="BR1179" s="43"/>
      <c r="BS1179" s="24"/>
      <c r="BT1179" s="24"/>
      <c r="BU1179" s="24"/>
      <c r="BV1179" s="132" t="e">
        <f>IF(#REF!="COMPLETO","OK","PENDIENTES")</f>
        <v>#REF!</v>
      </c>
      <c r="BW1179" s="325"/>
      <c r="BX1179" s="325"/>
      <c r="BY1179" s="325"/>
      <c r="BZ1179" s="325"/>
      <c r="CA1179" s="325"/>
      <c r="CB1179" s="325"/>
      <c r="CC1179" s="258"/>
      <c r="CG1179" s="24" t="s">
        <v>105</v>
      </c>
      <c r="CH1179" s="24"/>
      <c r="CI1179" s="24"/>
      <c r="CJ1179" s="24"/>
    </row>
    <row r="1180" spans="1:88" ht="15" customHeight="1">
      <c r="A1180" s="18">
        <v>2020</v>
      </c>
      <c r="B1180" s="18" t="str">
        <f>+INDEX(BDD!F:F,MATCH(P1180,BDD!D:D,0))&amp;"-"&amp;INDEX(BDD!E:E,MATCH(P1180,BDD!D:D,0))</f>
        <v>E-S</v>
      </c>
      <c r="C1180" s="125" t="s">
        <v>484</v>
      </c>
      <c r="D1180" s="150" t="s">
        <v>77</v>
      </c>
      <c r="E1180" s="132"/>
      <c r="F1180" s="24"/>
      <c r="G1180" s="346">
        <v>8000001171</v>
      </c>
      <c r="H1180" s="125" t="s">
        <v>4601</v>
      </c>
      <c r="I1180" s="329"/>
      <c r="J1180" s="346">
        <v>8000001171</v>
      </c>
      <c r="K1180" s="24"/>
      <c r="L1180" s="24"/>
      <c r="M1180" s="24"/>
      <c r="N1180" s="340" t="s">
        <v>486</v>
      </c>
      <c r="O1180" s="334" t="s">
        <v>4596</v>
      </c>
      <c r="P1180" s="25" t="s">
        <v>351</v>
      </c>
      <c r="Q1180" s="127" t="s">
        <v>252</v>
      </c>
      <c r="R1180" s="232" t="s">
        <v>4602</v>
      </c>
      <c r="S1180" s="89">
        <v>44075</v>
      </c>
      <c r="T1180" s="36" t="s">
        <v>19</v>
      </c>
      <c r="U1180" s="125"/>
      <c r="V1180" s="147" t="s">
        <v>4603</v>
      </c>
      <c r="W1180" s="129"/>
      <c r="X1180" s="88">
        <v>44148</v>
      </c>
      <c r="Y1180" s="130" t="s">
        <v>20</v>
      </c>
      <c r="Z1180" s="133" t="s">
        <v>60</v>
      </c>
      <c r="AA1180" s="133"/>
      <c r="AB1180" s="241">
        <v>633.6</v>
      </c>
      <c r="AC1180" s="134">
        <v>324</v>
      </c>
      <c r="AD1180" s="134"/>
      <c r="AE1180" s="403">
        <f t="shared" si="65"/>
        <v>205286.39999999999</v>
      </c>
      <c r="AF1180" s="132">
        <v>22</v>
      </c>
      <c r="AG1180" s="130" t="s">
        <v>79</v>
      </c>
      <c r="AH1180" s="130"/>
      <c r="AI1180" s="130" t="s">
        <v>100</v>
      </c>
      <c r="AJ1180" s="130"/>
      <c r="AK1180" s="130"/>
      <c r="AL1180" s="135" t="s">
        <v>4604</v>
      </c>
      <c r="AM1180" s="314"/>
      <c r="AN1180" s="26"/>
      <c r="AO1180" s="26"/>
      <c r="AP1180" s="26"/>
      <c r="AQ1180" s="26">
        <v>44182</v>
      </c>
      <c r="AR1180" s="24"/>
      <c r="AS1180" s="24"/>
      <c r="AT1180" s="24">
        <v>44188</v>
      </c>
      <c r="AU1180" s="418">
        <f t="shared" si="66"/>
        <v>12</v>
      </c>
      <c r="AV1180" s="418">
        <f t="shared" si="67"/>
        <v>2020</v>
      </c>
      <c r="AW1180" s="24"/>
      <c r="AX1180" s="28"/>
      <c r="AY1180" s="28" t="s">
        <v>281</v>
      </c>
      <c r="AZ1180" s="132" t="s">
        <v>37</v>
      </c>
      <c r="BA1180" s="132"/>
      <c r="BB1180" s="24" t="s">
        <v>3291</v>
      </c>
      <c r="BC1180" s="135" t="s">
        <v>4605</v>
      </c>
      <c r="BD1180" s="24">
        <v>44138</v>
      </c>
      <c r="BE1180" s="135" t="s">
        <v>2782</v>
      </c>
      <c r="BF1180" s="135" t="s">
        <v>865</v>
      </c>
      <c r="BG1180" s="135" t="s">
        <v>64</v>
      </c>
      <c r="BH1180" s="135"/>
      <c r="BI1180" s="314" t="s">
        <v>124</v>
      </c>
      <c r="BJ1180" s="314" t="s">
        <v>143</v>
      </c>
      <c r="BK1180" s="26"/>
      <c r="BL1180" s="26"/>
      <c r="BM1180" s="26"/>
      <c r="BN1180" s="26"/>
      <c r="BO1180" s="24"/>
      <c r="BP1180" s="24"/>
      <c r="BQ1180" s="24"/>
      <c r="BR1180" s="43"/>
      <c r="BS1180" s="24"/>
      <c r="BT1180" s="24"/>
      <c r="BU1180" s="24"/>
      <c r="BV1180" s="132" t="e">
        <f>IF(#REF!="COMPLETO","OK","PENDIENTES")</f>
        <v>#REF!</v>
      </c>
      <c r="BW1180" s="325"/>
      <c r="BX1180" s="325"/>
      <c r="BY1180" s="325"/>
      <c r="BZ1180" s="325"/>
      <c r="CA1180" s="325"/>
      <c r="CB1180" s="325"/>
      <c r="CC1180" s="258"/>
      <c r="CG1180" s="24" t="s">
        <v>105</v>
      </c>
      <c r="CH1180" s="24"/>
      <c r="CI1180" s="24"/>
      <c r="CJ1180" s="24"/>
    </row>
    <row r="1181" spans="1:88" ht="15" customHeight="1">
      <c r="A1181" s="18">
        <v>2020</v>
      </c>
      <c r="B1181" s="18" t="str">
        <f>+INDEX(BDD!F:F,MATCH(P1181,BDD!D:D,0))&amp;"-"&amp;INDEX(BDD!E:E,MATCH(P1181,BDD!D:D,0))</f>
        <v>G-C</v>
      </c>
      <c r="C1181" s="125" t="s">
        <v>484</v>
      </c>
      <c r="D1181" s="150" t="s">
        <v>77</v>
      </c>
      <c r="E1181" s="132"/>
      <c r="F1181" s="24"/>
      <c r="G1181" s="346">
        <v>8000001065</v>
      </c>
      <c r="H1181" s="125" t="s">
        <v>4606</v>
      </c>
      <c r="I1181" s="329"/>
      <c r="J1181" s="346">
        <v>8000001065</v>
      </c>
      <c r="K1181" s="24"/>
      <c r="L1181" s="24"/>
      <c r="M1181" s="24"/>
      <c r="N1181" s="340" t="s">
        <v>486</v>
      </c>
      <c r="O1181" s="334">
        <v>206573</v>
      </c>
      <c r="P1181" s="25" t="s">
        <v>226</v>
      </c>
      <c r="Q1181" s="127" t="s">
        <v>291</v>
      </c>
      <c r="R1181" s="232" t="s">
        <v>4607</v>
      </c>
      <c r="S1181" s="89">
        <v>44096</v>
      </c>
      <c r="T1181" s="36">
        <v>150</v>
      </c>
      <c r="U1181" s="125" t="s">
        <v>118</v>
      </c>
      <c r="V1181" s="147" t="s">
        <v>4608</v>
      </c>
      <c r="W1181" s="129"/>
      <c r="X1181" s="88">
        <v>44260</v>
      </c>
      <c r="Y1181" s="130" t="s">
        <v>20</v>
      </c>
      <c r="Z1181" s="133" t="s">
        <v>60</v>
      </c>
      <c r="AA1181" s="133"/>
      <c r="AB1181" s="241">
        <v>1500</v>
      </c>
      <c r="AC1181" s="134">
        <v>252</v>
      </c>
      <c r="AD1181" s="134"/>
      <c r="AE1181" s="403">
        <f t="shared" si="65"/>
        <v>378000</v>
      </c>
      <c r="AF1181" s="132" t="s">
        <v>944</v>
      </c>
      <c r="AG1181" s="130" t="s">
        <v>46</v>
      </c>
      <c r="AH1181" s="130"/>
      <c r="AI1181" s="130" t="s">
        <v>100</v>
      </c>
      <c r="AJ1181" s="130"/>
      <c r="AK1181" s="130"/>
      <c r="AL1181" s="135" t="s">
        <v>4609</v>
      </c>
      <c r="AM1181" s="314"/>
      <c r="AN1181" s="26"/>
      <c r="AO1181" s="26"/>
      <c r="AP1181" s="26"/>
      <c r="AQ1181" s="26">
        <v>44136</v>
      </c>
      <c r="AR1181" s="41"/>
      <c r="AS1181" s="41"/>
      <c r="AT1181" s="24">
        <v>44137</v>
      </c>
      <c r="AU1181" s="418">
        <f t="shared" si="66"/>
        <v>11</v>
      </c>
      <c r="AV1181" s="418">
        <f t="shared" si="67"/>
        <v>2020</v>
      </c>
      <c r="AW1181" s="24"/>
      <c r="AX1181" s="28"/>
      <c r="AY1181" s="28" t="s">
        <v>269</v>
      </c>
      <c r="AZ1181" s="132" t="s">
        <v>9</v>
      </c>
      <c r="BA1181" s="132"/>
      <c r="BB1181" s="24" t="s">
        <v>3264</v>
      </c>
      <c r="BC1181" s="135">
        <v>1</v>
      </c>
      <c r="BD1181" s="24">
        <v>44110</v>
      </c>
      <c r="BE1181" s="135" t="s">
        <v>4610</v>
      </c>
      <c r="BF1181" s="135" t="s">
        <v>4610</v>
      </c>
      <c r="BG1181" s="135" t="s">
        <v>52</v>
      </c>
      <c r="BH1181" s="135"/>
      <c r="BI1181" s="314" t="s">
        <v>117</v>
      </c>
      <c r="BJ1181" s="314" t="s">
        <v>143</v>
      </c>
      <c r="BK1181" s="24"/>
      <c r="BL1181" s="24"/>
      <c r="BM1181" s="24"/>
      <c r="BN1181" s="24"/>
      <c r="BO1181" s="41">
        <f>AQ1181-BD1181</f>
        <v>26</v>
      </c>
      <c r="BP1181" s="41"/>
      <c r="BQ1181" s="41"/>
      <c r="BR1181" s="43"/>
      <c r="BS1181" s="41"/>
      <c r="BT1181" s="41"/>
      <c r="BU1181" s="41"/>
      <c r="BV1181" s="132" t="e">
        <f>IF(#REF!="COMPLETO","OK","PENDIENTES")</f>
        <v>#REF!</v>
      </c>
      <c r="BW1181" s="325"/>
      <c r="BX1181" s="325"/>
      <c r="BY1181" s="325"/>
      <c r="BZ1181" s="325"/>
      <c r="CA1181" s="325"/>
      <c r="CB1181" s="325"/>
      <c r="CC1181" s="258"/>
      <c r="CG1181" s="24" t="s">
        <v>105</v>
      </c>
      <c r="CH1181" s="24"/>
      <c r="CI1181" s="24"/>
      <c r="CJ1181" s="24"/>
    </row>
    <row r="1182" spans="1:88" ht="15" customHeight="1">
      <c r="A1182" s="18">
        <v>2020</v>
      </c>
      <c r="B1182" s="18" t="str">
        <f>+INDEX(BDD!F:F,MATCH(P1182,BDD!D:D,0))&amp;"-"&amp;INDEX(BDD!E:E,MATCH(P1182,BDD!D:D,0))</f>
        <v>G-C</v>
      </c>
      <c r="C1182" s="125" t="s">
        <v>484</v>
      </c>
      <c r="D1182" s="150" t="s">
        <v>77</v>
      </c>
      <c r="E1182" s="132"/>
      <c r="F1182" s="24"/>
      <c r="G1182" s="346">
        <v>8000001067</v>
      </c>
      <c r="H1182" s="125" t="s">
        <v>4611</v>
      </c>
      <c r="I1182" s="329"/>
      <c r="J1182" s="346">
        <v>8000001067</v>
      </c>
      <c r="K1182" s="24"/>
      <c r="L1182" s="24"/>
      <c r="M1182" s="24"/>
      <c r="N1182" s="340" t="s">
        <v>486</v>
      </c>
      <c r="O1182" s="334">
        <v>206573</v>
      </c>
      <c r="P1182" s="25" t="s">
        <v>226</v>
      </c>
      <c r="Q1182" s="127" t="s">
        <v>291</v>
      </c>
      <c r="R1182" s="232" t="s">
        <v>4607</v>
      </c>
      <c r="S1182" s="89">
        <v>44096</v>
      </c>
      <c r="T1182" s="36">
        <v>150</v>
      </c>
      <c r="U1182" s="125" t="s">
        <v>118</v>
      </c>
      <c r="V1182" s="147" t="s">
        <v>4612</v>
      </c>
      <c r="W1182" s="129"/>
      <c r="X1182" s="88">
        <v>44260</v>
      </c>
      <c r="Y1182" s="130" t="s">
        <v>20</v>
      </c>
      <c r="Z1182" s="133" t="s">
        <v>60</v>
      </c>
      <c r="AA1182" s="133"/>
      <c r="AB1182" s="241">
        <v>2100</v>
      </c>
      <c r="AC1182" s="134">
        <v>252</v>
      </c>
      <c r="AD1182" s="134"/>
      <c r="AE1182" s="403">
        <f t="shared" si="65"/>
        <v>529200</v>
      </c>
      <c r="AF1182" s="132" t="s">
        <v>944</v>
      </c>
      <c r="AG1182" s="130" t="s">
        <v>46</v>
      </c>
      <c r="AH1182" s="130"/>
      <c r="AI1182" s="130" t="s">
        <v>100</v>
      </c>
      <c r="AJ1182" s="130"/>
      <c r="AK1182" s="130"/>
      <c r="AL1182" s="135" t="s">
        <v>4609</v>
      </c>
      <c r="AM1182" s="314"/>
      <c r="AN1182" s="26"/>
      <c r="AO1182" s="26"/>
      <c r="AP1182" s="26"/>
      <c r="AQ1182" s="26">
        <v>44138</v>
      </c>
      <c r="AR1182" s="41"/>
      <c r="AS1182" s="41"/>
      <c r="AT1182" s="24">
        <v>44139</v>
      </c>
      <c r="AU1182" s="418">
        <f t="shared" si="66"/>
        <v>11</v>
      </c>
      <c r="AV1182" s="418">
        <f t="shared" si="67"/>
        <v>2020</v>
      </c>
      <c r="AW1182" s="24"/>
      <c r="AX1182" s="28"/>
      <c r="AY1182" s="28" t="s">
        <v>269</v>
      </c>
      <c r="AZ1182" s="132" t="s">
        <v>25</v>
      </c>
      <c r="BA1182" s="132"/>
      <c r="BB1182" s="24" t="s">
        <v>3264</v>
      </c>
      <c r="BC1182" s="135">
        <v>2</v>
      </c>
      <c r="BD1182" s="24">
        <v>44110</v>
      </c>
      <c r="BE1182" s="135" t="s">
        <v>4610</v>
      </c>
      <c r="BF1182" s="135" t="s">
        <v>4610</v>
      </c>
      <c r="BG1182" s="135" t="s">
        <v>52</v>
      </c>
      <c r="BH1182" s="135"/>
      <c r="BI1182" s="314" t="s">
        <v>117</v>
      </c>
      <c r="BJ1182" s="314" t="s">
        <v>143</v>
      </c>
      <c r="BK1182" s="24"/>
      <c r="BL1182" s="24"/>
      <c r="BM1182" s="24"/>
      <c r="BN1182" s="24"/>
      <c r="BO1182" s="41">
        <f>AQ1182-BD1182</f>
        <v>28</v>
      </c>
      <c r="BP1182" s="41"/>
      <c r="BQ1182" s="41"/>
      <c r="BR1182" s="43"/>
      <c r="BS1182" s="41"/>
      <c r="BT1182" s="41"/>
      <c r="BU1182" s="41"/>
      <c r="BV1182" s="132" t="e">
        <f>IF(#REF!="COMPLETO","OK","PENDIENTES")</f>
        <v>#REF!</v>
      </c>
      <c r="BW1182" s="325"/>
      <c r="BX1182" s="325"/>
      <c r="BY1182" s="325"/>
      <c r="BZ1182" s="325"/>
      <c r="CA1182" s="325"/>
      <c r="CB1182" s="325"/>
      <c r="CC1182" s="258"/>
      <c r="CG1182" s="24" t="s">
        <v>105</v>
      </c>
      <c r="CH1182" s="24"/>
      <c r="CI1182" s="24"/>
      <c r="CJ1182" s="24"/>
    </row>
    <row r="1183" spans="1:88" ht="15" customHeight="1">
      <c r="A1183" s="18">
        <v>2020</v>
      </c>
      <c r="B1183" s="18" t="str">
        <f>+INDEX(BDD!F:F,MATCH(P1183,BDD!D:D,0))&amp;"-"&amp;INDEX(BDD!E:E,MATCH(P1183,BDD!D:D,0))</f>
        <v>G-C</v>
      </c>
      <c r="C1183" s="125" t="s">
        <v>484</v>
      </c>
      <c r="D1183" s="150" t="s">
        <v>77</v>
      </c>
      <c r="E1183" s="132"/>
      <c r="F1183" s="24"/>
      <c r="G1183" s="346">
        <v>8000001073</v>
      </c>
      <c r="H1183" s="125" t="s">
        <v>4613</v>
      </c>
      <c r="I1183" s="329"/>
      <c r="J1183" s="346">
        <v>8000001073</v>
      </c>
      <c r="K1183" s="24"/>
      <c r="L1183" s="24"/>
      <c r="M1183" s="24"/>
      <c r="N1183" s="340" t="s">
        <v>486</v>
      </c>
      <c r="O1183" s="334">
        <v>206573</v>
      </c>
      <c r="P1183" s="25" t="s">
        <v>226</v>
      </c>
      <c r="Q1183" s="127" t="s">
        <v>291</v>
      </c>
      <c r="R1183" s="232" t="s">
        <v>4607</v>
      </c>
      <c r="S1183" s="89">
        <v>44096</v>
      </c>
      <c r="T1183" s="36">
        <v>150</v>
      </c>
      <c r="U1183" s="125" t="s">
        <v>118</v>
      </c>
      <c r="V1183" s="147" t="s">
        <v>4614</v>
      </c>
      <c r="W1183" s="129"/>
      <c r="X1183" s="88">
        <v>44260</v>
      </c>
      <c r="Y1183" s="130" t="s">
        <v>20</v>
      </c>
      <c r="Z1183" s="133" t="s">
        <v>60</v>
      </c>
      <c r="AA1183" s="133"/>
      <c r="AB1183" s="241">
        <v>3100</v>
      </c>
      <c r="AC1183" s="134">
        <v>252</v>
      </c>
      <c r="AD1183" s="134"/>
      <c r="AE1183" s="403">
        <f t="shared" si="65"/>
        <v>781200</v>
      </c>
      <c r="AF1183" s="132" t="s">
        <v>944</v>
      </c>
      <c r="AG1183" s="130" t="s">
        <v>46</v>
      </c>
      <c r="AH1183" s="130"/>
      <c r="AI1183" s="130" t="s">
        <v>100</v>
      </c>
      <c r="AJ1183" s="130"/>
      <c r="AK1183" s="130"/>
      <c r="AL1183" s="135" t="s">
        <v>4609</v>
      </c>
      <c r="AM1183" s="314"/>
      <c r="AN1183" s="26"/>
      <c r="AO1183" s="26"/>
      <c r="AP1183" s="26"/>
      <c r="AQ1183" s="26">
        <v>44140</v>
      </c>
      <c r="AR1183" s="41"/>
      <c r="AS1183" s="41"/>
      <c r="AT1183" s="24">
        <v>44143</v>
      </c>
      <c r="AU1183" s="418">
        <f t="shared" si="66"/>
        <v>11</v>
      </c>
      <c r="AV1183" s="418">
        <f t="shared" si="67"/>
        <v>2020</v>
      </c>
      <c r="AW1183" s="24"/>
      <c r="AX1183" s="28"/>
      <c r="AY1183" s="28" t="s">
        <v>269</v>
      </c>
      <c r="AZ1183" s="132" t="s">
        <v>37</v>
      </c>
      <c r="BA1183" s="132"/>
      <c r="BB1183" s="24" t="s">
        <v>2956</v>
      </c>
      <c r="BC1183" s="135">
        <v>3</v>
      </c>
      <c r="BD1183" s="24">
        <v>44110</v>
      </c>
      <c r="BE1183" s="135" t="s">
        <v>4610</v>
      </c>
      <c r="BF1183" s="135" t="s">
        <v>4610</v>
      </c>
      <c r="BG1183" s="135" t="s">
        <v>52</v>
      </c>
      <c r="BH1183" s="135"/>
      <c r="BI1183" s="314" t="s">
        <v>117</v>
      </c>
      <c r="BJ1183" s="314" t="s">
        <v>143</v>
      </c>
      <c r="BK1183" s="24"/>
      <c r="BL1183" s="24"/>
      <c r="BM1183" s="24"/>
      <c r="BN1183" s="24"/>
      <c r="BO1183" s="41">
        <f>AQ1183-BD1183</f>
        <v>30</v>
      </c>
      <c r="BP1183" s="41"/>
      <c r="BQ1183" s="41"/>
      <c r="BR1183" s="43"/>
      <c r="BS1183" s="41"/>
      <c r="BT1183" s="41"/>
      <c r="BU1183" s="41"/>
      <c r="BV1183" s="132" t="e">
        <f>IF(#REF!="COMPLETO","OK","PENDIENTES")</f>
        <v>#REF!</v>
      </c>
      <c r="BW1183" s="325"/>
      <c r="BX1183" s="325"/>
      <c r="BY1183" s="325"/>
      <c r="BZ1183" s="325"/>
      <c r="CA1183" s="325"/>
      <c r="CB1183" s="325"/>
      <c r="CC1183" s="258"/>
      <c r="CG1183" s="24" t="s">
        <v>105</v>
      </c>
      <c r="CH1183" s="24"/>
      <c r="CI1183" s="24"/>
      <c r="CJ1183" s="24"/>
    </row>
    <row r="1184" spans="1:88" ht="15" customHeight="1">
      <c r="A1184" s="18">
        <v>2020</v>
      </c>
      <c r="B1184" s="18" t="str">
        <f>+INDEX(BDD!F:F,MATCH(P1184,BDD!D:D,0))&amp;"-"&amp;INDEX(BDD!E:E,MATCH(P1184,BDD!D:D,0))</f>
        <v>G-C</v>
      </c>
      <c r="C1184" s="125" t="s">
        <v>484</v>
      </c>
      <c r="D1184" s="150" t="s">
        <v>77</v>
      </c>
      <c r="E1184" s="132"/>
      <c r="F1184" s="24"/>
      <c r="G1184" s="346">
        <v>8000001081</v>
      </c>
      <c r="H1184" s="125" t="s">
        <v>4615</v>
      </c>
      <c r="I1184" s="329"/>
      <c r="J1184" s="346">
        <v>8000001081</v>
      </c>
      <c r="K1184" s="24"/>
      <c r="L1184" s="24"/>
      <c r="M1184" s="24"/>
      <c r="N1184" s="340" t="s">
        <v>486</v>
      </c>
      <c r="O1184" s="334">
        <v>206573</v>
      </c>
      <c r="P1184" s="25" t="s">
        <v>226</v>
      </c>
      <c r="Q1184" s="127" t="s">
        <v>291</v>
      </c>
      <c r="R1184" s="232" t="s">
        <v>4607</v>
      </c>
      <c r="S1184" s="89">
        <v>44096</v>
      </c>
      <c r="T1184" s="36">
        <v>150</v>
      </c>
      <c r="U1184" s="125" t="s">
        <v>118</v>
      </c>
      <c r="V1184" s="147" t="s">
        <v>4616</v>
      </c>
      <c r="W1184" s="129"/>
      <c r="X1184" s="88">
        <v>44260</v>
      </c>
      <c r="Y1184" s="130" t="s">
        <v>20</v>
      </c>
      <c r="Z1184" s="133" t="s">
        <v>60</v>
      </c>
      <c r="AA1184" s="133"/>
      <c r="AB1184" s="241">
        <v>1100</v>
      </c>
      <c r="AC1184" s="134">
        <v>252</v>
      </c>
      <c r="AD1184" s="134"/>
      <c r="AE1184" s="403">
        <f t="shared" si="65"/>
        <v>277200</v>
      </c>
      <c r="AF1184" s="132" t="s">
        <v>944</v>
      </c>
      <c r="AG1184" s="130" t="s">
        <v>46</v>
      </c>
      <c r="AH1184" s="130"/>
      <c r="AI1184" s="130" t="s">
        <v>100</v>
      </c>
      <c r="AJ1184" s="130"/>
      <c r="AK1184" s="130"/>
      <c r="AL1184" s="135" t="s">
        <v>4609</v>
      </c>
      <c r="AM1184" s="314"/>
      <c r="AN1184" s="26"/>
      <c r="AO1184" s="26"/>
      <c r="AP1184" s="26"/>
      <c r="AQ1184" s="26">
        <v>44144</v>
      </c>
      <c r="AR1184" s="41"/>
      <c r="AS1184" s="41"/>
      <c r="AT1184" s="24">
        <v>44148</v>
      </c>
      <c r="AU1184" s="418">
        <f t="shared" si="66"/>
        <v>11</v>
      </c>
      <c r="AV1184" s="418">
        <f t="shared" si="67"/>
        <v>2020</v>
      </c>
      <c r="AW1184" s="24"/>
      <c r="AX1184" s="28"/>
      <c r="AY1184" s="28" t="s">
        <v>269</v>
      </c>
      <c r="AZ1184" s="132" t="s">
        <v>50</v>
      </c>
      <c r="BA1184" s="132"/>
      <c r="BB1184" s="24" t="s">
        <v>2956</v>
      </c>
      <c r="BC1184" s="135">
        <v>4</v>
      </c>
      <c r="BD1184" s="24">
        <v>44110</v>
      </c>
      <c r="BE1184" s="135" t="s">
        <v>4610</v>
      </c>
      <c r="BF1184" s="135" t="s">
        <v>4610</v>
      </c>
      <c r="BG1184" s="135" t="s">
        <v>52</v>
      </c>
      <c r="BH1184" s="135"/>
      <c r="BI1184" s="314" t="s">
        <v>117</v>
      </c>
      <c r="BJ1184" s="314" t="s">
        <v>143</v>
      </c>
      <c r="BK1184" s="24"/>
      <c r="BL1184" s="24"/>
      <c r="BM1184" s="24"/>
      <c r="BN1184" s="24"/>
      <c r="BO1184" s="41">
        <f>AQ1184-BD1184</f>
        <v>34</v>
      </c>
      <c r="BP1184" s="41"/>
      <c r="BQ1184" s="41"/>
      <c r="BR1184" s="43"/>
      <c r="BS1184" s="41"/>
      <c r="BT1184" s="41"/>
      <c r="BU1184" s="41"/>
      <c r="BV1184" s="132" t="e">
        <f>IF(#REF!="COMPLETO","OK","PENDIENTES")</f>
        <v>#REF!</v>
      </c>
      <c r="BW1184" s="325"/>
      <c r="BX1184" s="325"/>
      <c r="BY1184" s="325"/>
      <c r="BZ1184" s="325"/>
      <c r="CA1184" s="325"/>
      <c r="CB1184" s="325"/>
      <c r="CC1184" s="258"/>
      <c r="CG1184" s="24" t="s">
        <v>105</v>
      </c>
      <c r="CH1184" s="24"/>
      <c r="CI1184" s="24"/>
      <c r="CJ1184" s="24"/>
    </row>
    <row r="1185" spans="1:88" ht="15" customHeight="1">
      <c r="A1185" s="18">
        <v>2020</v>
      </c>
      <c r="B1185" s="18" t="str">
        <f>+INDEX(BDD!F:F,MATCH(P1185,BDD!D:D,0))&amp;"-"&amp;INDEX(BDD!E:E,MATCH(P1185,BDD!D:D,0))</f>
        <v>G-C</v>
      </c>
      <c r="C1185" s="125" t="s">
        <v>484</v>
      </c>
      <c r="D1185" s="150" t="s">
        <v>77</v>
      </c>
      <c r="E1185" s="132"/>
      <c r="F1185" s="24"/>
      <c r="G1185" s="346">
        <v>8000001083</v>
      </c>
      <c r="H1185" s="125" t="s">
        <v>4617</v>
      </c>
      <c r="I1185" s="329"/>
      <c r="J1185" s="346">
        <v>8000001083</v>
      </c>
      <c r="K1185" s="24"/>
      <c r="L1185" s="24"/>
      <c r="M1185" s="24"/>
      <c r="N1185" s="340" t="s">
        <v>486</v>
      </c>
      <c r="O1185" s="334">
        <v>206573</v>
      </c>
      <c r="P1185" s="25" t="s">
        <v>226</v>
      </c>
      <c r="Q1185" s="127" t="s">
        <v>291</v>
      </c>
      <c r="R1185" s="232" t="s">
        <v>4607</v>
      </c>
      <c r="S1185" s="89">
        <v>44096</v>
      </c>
      <c r="T1185" s="36">
        <v>150</v>
      </c>
      <c r="U1185" s="125" t="s">
        <v>118</v>
      </c>
      <c r="V1185" s="147" t="s">
        <v>4618</v>
      </c>
      <c r="W1185" s="129"/>
      <c r="X1185" s="88">
        <v>44260</v>
      </c>
      <c r="Y1185" s="130" t="s">
        <v>20</v>
      </c>
      <c r="Z1185" s="133" t="s">
        <v>60</v>
      </c>
      <c r="AA1185" s="133"/>
      <c r="AB1185" s="241">
        <v>2100</v>
      </c>
      <c r="AC1185" s="134">
        <v>252</v>
      </c>
      <c r="AD1185" s="134"/>
      <c r="AE1185" s="403">
        <f t="shared" si="65"/>
        <v>529200</v>
      </c>
      <c r="AF1185" s="132" t="s">
        <v>944</v>
      </c>
      <c r="AG1185" s="130" t="s">
        <v>46</v>
      </c>
      <c r="AH1185" s="130"/>
      <c r="AI1185" s="130" t="s">
        <v>100</v>
      </c>
      <c r="AJ1185" s="130"/>
      <c r="AK1185" s="130"/>
      <c r="AL1185" s="135" t="s">
        <v>4609</v>
      </c>
      <c r="AM1185" s="314"/>
      <c r="AN1185" s="26"/>
      <c r="AO1185" s="26"/>
      <c r="AP1185" s="26"/>
      <c r="AQ1185" s="26">
        <v>44149</v>
      </c>
      <c r="AR1185" s="41"/>
      <c r="AS1185" s="41"/>
      <c r="AT1185" s="24">
        <v>44150</v>
      </c>
      <c r="AU1185" s="418">
        <f t="shared" si="66"/>
        <v>11</v>
      </c>
      <c r="AV1185" s="418">
        <f t="shared" si="67"/>
        <v>2020</v>
      </c>
      <c r="AW1185" s="24"/>
      <c r="AX1185" s="28"/>
      <c r="AY1185" s="28" t="s">
        <v>269</v>
      </c>
      <c r="AZ1185" s="132" t="s">
        <v>62</v>
      </c>
      <c r="BA1185" s="132"/>
      <c r="BB1185" s="24" t="s">
        <v>3264</v>
      </c>
      <c r="BC1185" s="135">
        <v>5</v>
      </c>
      <c r="BD1185" s="24">
        <v>44110</v>
      </c>
      <c r="BE1185" s="135" t="s">
        <v>4610</v>
      </c>
      <c r="BF1185" s="135" t="s">
        <v>4610</v>
      </c>
      <c r="BG1185" s="135" t="s">
        <v>52</v>
      </c>
      <c r="BH1185" s="135"/>
      <c r="BI1185" s="314" t="s">
        <v>117</v>
      </c>
      <c r="BJ1185" s="314" t="s">
        <v>143</v>
      </c>
      <c r="BK1185" s="24"/>
      <c r="BL1185" s="24"/>
      <c r="BM1185" s="24"/>
      <c r="BN1185" s="24"/>
      <c r="BO1185" s="41">
        <f>AQ1185-BD1185</f>
        <v>39</v>
      </c>
      <c r="BP1185" s="41"/>
      <c r="BQ1185" s="41"/>
      <c r="BR1185" s="43"/>
      <c r="BS1185" s="41"/>
      <c r="BT1185" s="41"/>
      <c r="BU1185" s="41"/>
      <c r="BV1185" s="132" t="e">
        <f>IF(#REF!="COMPLETO","OK","PENDIENTES")</f>
        <v>#REF!</v>
      </c>
      <c r="BW1185" s="325"/>
      <c r="BX1185" s="325"/>
      <c r="BY1185" s="325"/>
      <c r="BZ1185" s="325"/>
      <c r="CA1185" s="325"/>
      <c r="CB1185" s="325"/>
      <c r="CC1185" s="258"/>
      <c r="CG1185" s="24" t="s">
        <v>105</v>
      </c>
      <c r="CH1185" s="24"/>
      <c r="CI1185" s="24"/>
      <c r="CJ1185" s="24"/>
    </row>
    <row r="1186" spans="1:88" ht="15" customHeight="1">
      <c r="A1186" s="18">
        <v>2020</v>
      </c>
      <c r="B1186" s="18" t="str">
        <f>+INDEX(BDD!F:F,MATCH(P1186,BDD!D:D,0))&amp;"-"&amp;INDEX(BDD!E:E,MATCH(P1186,BDD!D:D,0))</f>
        <v>G-S</v>
      </c>
      <c r="C1186" s="125" t="s">
        <v>484</v>
      </c>
      <c r="D1186" s="150" t="s">
        <v>77</v>
      </c>
      <c r="E1186" s="132"/>
      <c r="F1186" s="24"/>
      <c r="G1186" s="346">
        <v>8000001066</v>
      </c>
      <c r="H1186" s="125" t="s">
        <v>4619</v>
      </c>
      <c r="I1186" s="329"/>
      <c r="J1186" s="346">
        <v>8000001066</v>
      </c>
      <c r="K1186" s="24"/>
      <c r="L1186" s="24"/>
      <c r="M1186" s="24"/>
      <c r="N1186" s="340" t="s">
        <v>486</v>
      </c>
      <c r="O1186" s="334">
        <v>207951</v>
      </c>
      <c r="P1186" s="25" t="s">
        <v>354</v>
      </c>
      <c r="Q1186" s="127" t="s">
        <v>291</v>
      </c>
      <c r="R1186" s="232" t="s">
        <v>4607</v>
      </c>
      <c r="S1186" s="89">
        <v>44096</v>
      </c>
      <c r="T1186" s="36">
        <v>150</v>
      </c>
      <c r="U1186" s="125" t="s">
        <v>118</v>
      </c>
      <c r="V1186" s="147" t="s">
        <v>4620</v>
      </c>
      <c r="W1186" s="129"/>
      <c r="X1186" s="88">
        <v>44260</v>
      </c>
      <c r="Y1186" s="130" t="s">
        <v>20</v>
      </c>
      <c r="Z1186" s="133" t="s">
        <v>60</v>
      </c>
      <c r="AA1186" s="133"/>
      <c r="AB1186" s="241">
        <v>400</v>
      </c>
      <c r="AC1186" s="134">
        <v>301.8</v>
      </c>
      <c r="AD1186" s="134"/>
      <c r="AE1186" s="403">
        <f t="shared" si="65"/>
        <v>120720</v>
      </c>
      <c r="AF1186" s="132" t="s">
        <v>944</v>
      </c>
      <c r="AG1186" s="130" t="s">
        <v>46</v>
      </c>
      <c r="AH1186" s="130"/>
      <c r="AI1186" s="130" t="s">
        <v>100</v>
      </c>
      <c r="AJ1186" s="130"/>
      <c r="AK1186" s="130"/>
      <c r="AL1186" s="135" t="s">
        <v>4609</v>
      </c>
      <c r="AM1186" s="314"/>
      <c r="AN1186" s="26"/>
      <c r="AO1186" s="26"/>
      <c r="AP1186" s="26"/>
      <c r="AQ1186" s="26">
        <v>44136</v>
      </c>
      <c r="AR1186" s="24"/>
      <c r="AS1186" s="24"/>
      <c r="AT1186" s="24">
        <v>44137</v>
      </c>
      <c r="AU1186" s="418">
        <f t="shared" si="66"/>
        <v>11</v>
      </c>
      <c r="AV1186" s="418">
        <f t="shared" si="67"/>
        <v>2020</v>
      </c>
      <c r="AW1186" s="24"/>
      <c r="AX1186" s="28"/>
      <c r="AY1186" s="28" t="s">
        <v>269</v>
      </c>
      <c r="AZ1186" s="132" t="s">
        <v>9</v>
      </c>
      <c r="BA1186" s="132"/>
      <c r="BB1186" s="24" t="s">
        <v>3264</v>
      </c>
      <c r="BC1186" s="135">
        <v>6</v>
      </c>
      <c r="BD1186" s="24">
        <v>44110</v>
      </c>
      <c r="BE1186" s="135" t="s">
        <v>4610</v>
      </c>
      <c r="BF1186" s="135" t="s">
        <v>4610</v>
      </c>
      <c r="BG1186" s="135" t="s">
        <v>52</v>
      </c>
      <c r="BH1186" s="135"/>
      <c r="BI1186" s="314" t="s">
        <v>117</v>
      </c>
      <c r="BJ1186" s="314" t="s">
        <v>143</v>
      </c>
      <c r="BK1186" s="24"/>
      <c r="BL1186" s="24"/>
      <c r="BM1186" s="24"/>
      <c r="BN1186" s="24"/>
      <c r="BO1186" s="24"/>
      <c r="BP1186" s="24"/>
      <c r="BQ1186" s="24"/>
      <c r="BR1186" s="43"/>
      <c r="BS1186" s="24"/>
      <c r="BT1186" s="24"/>
      <c r="BU1186" s="24"/>
      <c r="BV1186" s="132" t="e">
        <f>IF(#REF!="COMPLETO","OK","PENDIENTES")</f>
        <v>#REF!</v>
      </c>
      <c r="BW1186" s="325"/>
      <c r="BX1186" s="325"/>
      <c r="BY1186" s="325"/>
      <c r="BZ1186" s="325"/>
      <c r="CA1186" s="325"/>
      <c r="CB1186" s="325"/>
      <c r="CC1186" s="258"/>
      <c r="CG1186" s="24" t="s">
        <v>105</v>
      </c>
      <c r="CH1186" s="24"/>
      <c r="CI1186" s="24"/>
      <c r="CJ1186" s="24"/>
    </row>
    <row r="1187" spans="1:88" ht="15" customHeight="1">
      <c r="A1187" s="18">
        <v>2020</v>
      </c>
      <c r="B1187" s="18" t="str">
        <f>+INDEX(BDD!F:F,MATCH(P1187,BDD!D:D,0))&amp;"-"&amp;INDEX(BDD!E:E,MATCH(P1187,BDD!D:D,0))</f>
        <v>G-S</v>
      </c>
      <c r="C1187" s="125" t="s">
        <v>484</v>
      </c>
      <c r="D1187" s="150" t="s">
        <v>77</v>
      </c>
      <c r="E1187" s="132"/>
      <c r="F1187" s="24"/>
      <c r="G1187" s="346">
        <v>8000001068</v>
      </c>
      <c r="H1187" s="125" t="s">
        <v>4621</v>
      </c>
      <c r="I1187" s="329"/>
      <c r="J1187" s="346">
        <v>8000001068</v>
      </c>
      <c r="K1187" s="24"/>
      <c r="L1187" s="24"/>
      <c r="M1187" s="24"/>
      <c r="N1187" s="340" t="s">
        <v>486</v>
      </c>
      <c r="O1187" s="334">
        <v>207951</v>
      </c>
      <c r="P1187" s="25" t="s">
        <v>354</v>
      </c>
      <c r="Q1187" s="127" t="s">
        <v>291</v>
      </c>
      <c r="R1187" s="232" t="s">
        <v>4607</v>
      </c>
      <c r="S1187" s="89">
        <v>44096</v>
      </c>
      <c r="T1187" s="36">
        <v>150</v>
      </c>
      <c r="U1187" s="125" t="s">
        <v>118</v>
      </c>
      <c r="V1187" s="147" t="s">
        <v>4622</v>
      </c>
      <c r="W1187" s="129"/>
      <c r="X1187" s="88">
        <v>44260</v>
      </c>
      <c r="Y1187" s="130" t="s">
        <v>20</v>
      </c>
      <c r="Z1187" s="133" t="s">
        <v>60</v>
      </c>
      <c r="AA1187" s="133"/>
      <c r="AB1187" s="241">
        <v>1000</v>
      </c>
      <c r="AC1187" s="134">
        <v>301.8</v>
      </c>
      <c r="AD1187" s="134"/>
      <c r="AE1187" s="403">
        <f t="shared" si="65"/>
        <v>301800</v>
      </c>
      <c r="AF1187" s="132" t="s">
        <v>944</v>
      </c>
      <c r="AG1187" s="130" t="s">
        <v>46</v>
      </c>
      <c r="AH1187" s="130"/>
      <c r="AI1187" s="130" t="s">
        <v>100</v>
      </c>
      <c r="AJ1187" s="130"/>
      <c r="AK1187" s="130"/>
      <c r="AL1187" s="135" t="s">
        <v>4609</v>
      </c>
      <c r="AM1187" s="314"/>
      <c r="AN1187" s="26"/>
      <c r="AO1187" s="26"/>
      <c r="AP1187" s="26"/>
      <c r="AQ1187" s="26">
        <f>+AQ1186+2</f>
        <v>44138</v>
      </c>
      <c r="AR1187" s="24"/>
      <c r="AS1187" s="24"/>
      <c r="AT1187" s="24">
        <v>44139</v>
      </c>
      <c r="AU1187" s="418">
        <f t="shared" si="66"/>
        <v>11</v>
      </c>
      <c r="AV1187" s="418">
        <f t="shared" si="67"/>
        <v>2020</v>
      </c>
      <c r="AW1187" s="24"/>
      <c r="AX1187" s="28"/>
      <c r="AY1187" s="28" t="s">
        <v>269</v>
      </c>
      <c r="AZ1187" s="132" t="s">
        <v>25</v>
      </c>
      <c r="BA1187" s="132"/>
      <c r="BB1187" s="24" t="s">
        <v>3264</v>
      </c>
      <c r="BC1187" s="135">
        <v>7</v>
      </c>
      <c r="BD1187" s="24">
        <v>44110</v>
      </c>
      <c r="BE1187" s="135" t="s">
        <v>4610</v>
      </c>
      <c r="BF1187" s="135" t="s">
        <v>4610</v>
      </c>
      <c r="BG1187" s="135" t="s">
        <v>52</v>
      </c>
      <c r="BH1187" s="135"/>
      <c r="BI1187" s="314" t="s">
        <v>117</v>
      </c>
      <c r="BJ1187" s="314" t="s">
        <v>143</v>
      </c>
      <c r="BK1187" s="24"/>
      <c r="BL1187" s="24"/>
      <c r="BM1187" s="24"/>
      <c r="BN1187" s="24"/>
      <c r="BO1187" s="24"/>
      <c r="BP1187" s="24"/>
      <c r="BQ1187" s="24"/>
      <c r="BR1187" s="43"/>
      <c r="BS1187" s="24"/>
      <c r="BT1187" s="24"/>
      <c r="BU1187" s="24"/>
      <c r="BV1187" s="132" t="e">
        <f>IF(#REF!="COMPLETO","OK","PENDIENTES")</f>
        <v>#REF!</v>
      </c>
      <c r="BW1187" s="325"/>
      <c r="BX1187" s="325"/>
      <c r="BY1187" s="325"/>
      <c r="BZ1187" s="325"/>
      <c r="CA1187" s="325"/>
      <c r="CB1187" s="325"/>
      <c r="CC1187" s="258"/>
      <c r="CG1187" s="24" t="s">
        <v>105</v>
      </c>
      <c r="CH1187" s="24"/>
      <c r="CI1187" s="24"/>
      <c r="CJ1187" s="24"/>
    </row>
    <row r="1188" spans="1:88" ht="15" customHeight="1">
      <c r="A1188" s="18">
        <v>2020</v>
      </c>
      <c r="B1188" s="18" t="str">
        <f>+INDEX(BDD!F:F,MATCH(P1188,BDD!D:D,0))&amp;"-"&amp;INDEX(BDD!E:E,MATCH(P1188,BDD!D:D,0))</f>
        <v>G-S</v>
      </c>
      <c r="C1188" s="125" t="s">
        <v>484</v>
      </c>
      <c r="D1188" s="150" t="s">
        <v>77</v>
      </c>
      <c r="E1188" s="132"/>
      <c r="F1188" s="24"/>
      <c r="G1188" s="346">
        <v>8000001089</v>
      </c>
      <c r="H1188" s="125" t="s">
        <v>4623</v>
      </c>
      <c r="I1188" s="329"/>
      <c r="J1188" s="346">
        <v>8000001089</v>
      </c>
      <c r="K1188" s="24"/>
      <c r="L1188" s="24"/>
      <c r="M1188" s="24"/>
      <c r="N1188" s="340" t="s">
        <v>486</v>
      </c>
      <c r="O1188" s="334">
        <v>207951</v>
      </c>
      <c r="P1188" s="25" t="s">
        <v>354</v>
      </c>
      <c r="Q1188" s="127" t="s">
        <v>291</v>
      </c>
      <c r="R1188" s="232" t="s">
        <v>4607</v>
      </c>
      <c r="S1188" s="89">
        <v>44096</v>
      </c>
      <c r="T1188" s="36">
        <v>150</v>
      </c>
      <c r="U1188" s="125" t="s">
        <v>118</v>
      </c>
      <c r="V1188" s="147" t="s">
        <v>4624</v>
      </c>
      <c r="W1188" s="129"/>
      <c r="X1188" s="88">
        <v>44260</v>
      </c>
      <c r="Y1188" s="130" t="s">
        <v>20</v>
      </c>
      <c r="Z1188" s="133" t="s">
        <v>60</v>
      </c>
      <c r="AA1188" s="133"/>
      <c r="AB1188" s="241">
        <v>800</v>
      </c>
      <c r="AC1188" s="134">
        <v>301.8</v>
      </c>
      <c r="AD1188" s="134"/>
      <c r="AE1188" s="403">
        <f t="shared" si="65"/>
        <v>241440</v>
      </c>
      <c r="AF1188" s="132" t="s">
        <v>944</v>
      </c>
      <c r="AG1188" s="130" t="s">
        <v>46</v>
      </c>
      <c r="AH1188" s="130"/>
      <c r="AI1188" s="130" t="s">
        <v>100</v>
      </c>
      <c r="AJ1188" s="130"/>
      <c r="AK1188" s="130"/>
      <c r="AL1188" s="135" t="s">
        <v>4609</v>
      </c>
      <c r="AM1188" s="314"/>
      <c r="AN1188" s="26"/>
      <c r="AO1188" s="26"/>
      <c r="AP1188" s="26"/>
      <c r="AQ1188" s="26">
        <v>44140</v>
      </c>
      <c r="AR1188" s="24"/>
      <c r="AS1188" s="24"/>
      <c r="AT1188" s="24">
        <v>44143</v>
      </c>
      <c r="AU1188" s="418">
        <f t="shared" si="66"/>
        <v>11</v>
      </c>
      <c r="AV1188" s="418">
        <f t="shared" si="67"/>
        <v>2020</v>
      </c>
      <c r="AW1188" s="24"/>
      <c r="AX1188" s="28"/>
      <c r="AY1188" s="28" t="s">
        <v>269</v>
      </c>
      <c r="AZ1188" s="132" t="s">
        <v>37</v>
      </c>
      <c r="BA1188" s="132"/>
      <c r="BB1188" s="24" t="s">
        <v>3291</v>
      </c>
      <c r="BC1188" s="135">
        <v>8</v>
      </c>
      <c r="BD1188" s="24">
        <v>44110</v>
      </c>
      <c r="BE1188" s="135" t="s">
        <v>4610</v>
      </c>
      <c r="BF1188" s="135" t="s">
        <v>4610</v>
      </c>
      <c r="BG1188" s="135" t="s">
        <v>52</v>
      </c>
      <c r="BH1188" s="135"/>
      <c r="BI1188" s="314" t="s">
        <v>117</v>
      </c>
      <c r="BJ1188" s="314" t="s">
        <v>143</v>
      </c>
      <c r="BK1188" s="24"/>
      <c r="BL1188" s="24"/>
      <c r="BM1188" s="24"/>
      <c r="BN1188" s="24"/>
      <c r="BO1188" s="24"/>
      <c r="BP1188" s="24"/>
      <c r="BQ1188" s="24"/>
      <c r="BR1188" s="43"/>
      <c r="BS1188" s="24"/>
      <c r="BT1188" s="24"/>
      <c r="BU1188" s="24"/>
      <c r="BV1188" s="132" t="e">
        <f>IF(#REF!="COMPLETO","OK","PENDIENTES")</f>
        <v>#REF!</v>
      </c>
      <c r="BW1188" s="325"/>
      <c r="BX1188" s="325"/>
      <c r="BY1188" s="325"/>
      <c r="BZ1188" s="325"/>
      <c r="CA1188" s="325"/>
      <c r="CB1188" s="325"/>
      <c r="CC1188" s="258" t="s">
        <v>4625</v>
      </c>
      <c r="CG1188" s="24" t="s">
        <v>105</v>
      </c>
      <c r="CH1188" s="24"/>
      <c r="CI1188" s="24"/>
      <c r="CJ1188" s="24"/>
    </row>
    <row r="1189" spans="1:88" ht="15" customHeight="1">
      <c r="A1189" s="18">
        <v>2020</v>
      </c>
      <c r="B1189" s="18" t="str">
        <f>+INDEX(BDD!F:F,MATCH(P1189,BDD!D:D,0))&amp;"-"&amp;INDEX(BDD!E:E,MATCH(P1189,BDD!D:D,0))</f>
        <v>G-S</v>
      </c>
      <c r="C1189" s="125" t="s">
        <v>484</v>
      </c>
      <c r="D1189" s="150" t="s">
        <v>77</v>
      </c>
      <c r="E1189" s="132"/>
      <c r="F1189" s="24"/>
      <c r="G1189" s="346">
        <v>8000001082</v>
      </c>
      <c r="H1189" s="125" t="s">
        <v>4626</v>
      </c>
      <c r="I1189" s="329"/>
      <c r="J1189" s="346">
        <v>8000001082</v>
      </c>
      <c r="K1189" s="24"/>
      <c r="L1189" s="24"/>
      <c r="M1189" s="24"/>
      <c r="N1189" s="340" t="s">
        <v>486</v>
      </c>
      <c r="O1189" s="334">
        <v>207951</v>
      </c>
      <c r="P1189" s="25" t="s">
        <v>354</v>
      </c>
      <c r="Q1189" s="127" t="s">
        <v>291</v>
      </c>
      <c r="R1189" s="232" t="s">
        <v>4607</v>
      </c>
      <c r="S1189" s="89">
        <v>44096</v>
      </c>
      <c r="T1189" s="36">
        <v>150</v>
      </c>
      <c r="U1189" s="125" t="s">
        <v>118</v>
      </c>
      <c r="V1189" s="147" t="s">
        <v>4627</v>
      </c>
      <c r="W1189" s="129"/>
      <c r="X1189" s="88">
        <v>44260</v>
      </c>
      <c r="Y1189" s="130" t="s">
        <v>20</v>
      </c>
      <c r="Z1189" s="133" t="s">
        <v>60</v>
      </c>
      <c r="AA1189" s="133"/>
      <c r="AB1189" s="241">
        <v>200</v>
      </c>
      <c r="AC1189" s="134">
        <v>301.8</v>
      </c>
      <c r="AD1189" s="134"/>
      <c r="AE1189" s="403">
        <f t="shared" si="65"/>
        <v>60360</v>
      </c>
      <c r="AF1189" s="132" t="s">
        <v>944</v>
      </c>
      <c r="AG1189" s="130" t="s">
        <v>46</v>
      </c>
      <c r="AH1189" s="130"/>
      <c r="AI1189" s="130" t="s">
        <v>100</v>
      </c>
      <c r="AJ1189" s="130"/>
      <c r="AK1189" s="130"/>
      <c r="AL1189" s="135" t="s">
        <v>4609</v>
      </c>
      <c r="AM1189" s="314"/>
      <c r="AN1189" s="26"/>
      <c r="AO1189" s="26"/>
      <c r="AP1189" s="26"/>
      <c r="AQ1189" s="26">
        <v>44144</v>
      </c>
      <c r="AR1189" s="24"/>
      <c r="AS1189" s="24"/>
      <c r="AT1189" s="24">
        <v>44148</v>
      </c>
      <c r="AU1189" s="418">
        <f t="shared" si="66"/>
        <v>11</v>
      </c>
      <c r="AV1189" s="418">
        <f t="shared" si="67"/>
        <v>2020</v>
      </c>
      <c r="AW1189" s="24"/>
      <c r="AX1189" s="28"/>
      <c r="AY1189" s="28" t="s">
        <v>269</v>
      </c>
      <c r="AZ1189" s="132" t="s">
        <v>50</v>
      </c>
      <c r="BA1189" s="132"/>
      <c r="BB1189" s="24" t="s">
        <v>2956</v>
      </c>
      <c r="BC1189" s="135">
        <v>9</v>
      </c>
      <c r="BD1189" s="24">
        <v>44110</v>
      </c>
      <c r="BE1189" s="135" t="s">
        <v>4610</v>
      </c>
      <c r="BF1189" s="135" t="s">
        <v>4610</v>
      </c>
      <c r="BG1189" s="135" t="s">
        <v>52</v>
      </c>
      <c r="BH1189" s="135"/>
      <c r="BI1189" s="314" t="s">
        <v>117</v>
      </c>
      <c r="BJ1189" s="314" t="s">
        <v>143</v>
      </c>
      <c r="BK1189" s="24"/>
      <c r="BL1189" s="24"/>
      <c r="BM1189" s="24"/>
      <c r="BN1189" s="24"/>
      <c r="BO1189" s="24"/>
      <c r="BP1189" s="24"/>
      <c r="BQ1189" s="24"/>
      <c r="BR1189" s="43"/>
      <c r="BS1189" s="24"/>
      <c r="BT1189" s="24"/>
      <c r="BU1189" s="24"/>
      <c r="BV1189" s="132" t="e">
        <f>IF(#REF!="COMPLETO","OK","PENDIENTES")</f>
        <v>#REF!</v>
      </c>
      <c r="BW1189" s="325"/>
      <c r="BX1189" s="325"/>
      <c r="BY1189" s="325"/>
      <c r="BZ1189" s="325"/>
      <c r="CA1189" s="325"/>
      <c r="CB1189" s="325"/>
      <c r="CC1189" s="258"/>
      <c r="CG1189" s="24" t="s">
        <v>105</v>
      </c>
      <c r="CH1189" s="24"/>
      <c r="CI1189" s="24"/>
      <c r="CJ1189" s="24"/>
    </row>
    <row r="1190" spans="1:88" ht="15" customHeight="1">
      <c r="A1190" s="18">
        <v>2020</v>
      </c>
      <c r="B1190" s="18" t="str">
        <f>+INDEX(BDD!F:F,MATCH(P1190,BDD!D:D,0))&amp;"-"&amp;INDEX(BDD!E:E,MATCH(P1190,BDD!D:D,0))</f>
        <v>G-S</v>
      </c>
      <c r="C1190" s="125" t="s">
        <v>484</v>
      </c>
      <c r="D1190" s="150" t="s">
        <v>77</v>
      </c>
      <c r="E1190" s="132"/>
      <c r="F1190" s="24"/>
      <c r="G1190" s="346">
        <v>8000001084</v>
      </c>
      <c r="H1190" s="125" t="s">
        <v>4628</v>
      </c>
      <c r="I1190" s="329"/>
      <c r="J1190" s="346">
        <v>8000001084</v>
      </c>
      <c r="K1190" s="24"/>
      <c r="L1190" s="24"/>
      <c r="M1190" s="24"/>
      <c r="N1190" s="340" t="s">
        <v>486</v>
      </c>
      <c r="O1190" s="334">
        <v>207951</v>
      </c>
      <c r="P1190" s="25" t="s">
        <v>354</v>
      </c>
      <c r="Q1190" s="127" t="s">
        <v>291</v>
      </c>
      <c r="R1190" s="232" t="s">
        <v>4607</v>
      </c>
      <c r="S1190" s="89">
        <v>44096</v>
      </c>
      <c r="T1190" s="36">
        <v>150</v>
      </c>
      <c r="U1190" s="125" t="s">
        <v>118</v>
      </c>
      <c r="V1190" s="147" t="s">
        <v>4629</v>
      </c>
      <c r="W1190" s="129"/>
      <c r="X1190" s="88">
        <v>44260</v>
      </c>
      <c r="Y1190" s="130" t="s">
        <v>20</v>
      </c>
      <c r="Z1190" s="133" t="s">
        <v>60</v>
      </c>
      <c r="AA1190" s="133"/>
      <c r="AB1190" s="241">
        <v>2100</v>
      </c>
      <c r="AC1190" s="134">
        <v>301.8</v>
      </c>
      <c r="AD1190" s="134"/>
      <c r="AE1190" s="403">
        <f t="shared" si="65"/>
        <v>633780</v>
      </c>
      <c r="AF1190" s="132" t="s">
        <v>944</v>
      </c>
      <c r="AG1190" s="130" t="s">
        <v>46</v>
      </c>
      <c r="AH1190" s="130"/>
      <c r="AI1190" s="130" t="s">
        <v>100</v>
      </c>
      <c r="AJ1190" s="130"/>
      <c r="AK1190" s="130"/>
      <c r="AL1190" s="135" t="s">
        <v>4609</v>
      </c>
      <c r="AM1190" s="314"/>
      <c r="AN1190" s="26"/>
      <c r="AO1190" s="26"/>
      <c r="AP1190" s="26"/>
      <c r="AQ1190" s="26">
        <v>44149</v>
      </c>
      <c r="AR1190" s="24"/>
      <c r="AS1190" s="24"/>
      <c r="AT1190" s="24">
        <v>44150</v>
      </c>
      <c r="AU1190" s="418">
        <f t="shared" si="66"/>
        <v>11</v>
      </c>
      <c r="AV1190" s="418">
        <f t="shared" si="67"/>
        <v>2020</v>
      </c>
      <c r="AW1190" s="24"/>
      <c r="AX1190" s="28"/>
      <c r="AY1190" s="28" t="s">
        <v>269</v>
      </c>
      <c r="AZ1190" s="132" t="s">
        <v>62</v>
      </c>
      <c r="BA1190" s="132"/>
      <c r="BB1190" s="24" t="s">
        <v>3264</v>
      </c>
      <c r="BC1190" s="135">
        <v>10</v>
      </c>
      <c r="BD1190" s="24">
        <v>44110</v>
      </c>
      <c r="BE1190" s="135" t="s">
        <v>4610</v>
      </c>
      <c r="BF1190" s="135" t="s">
        <v>4610</v>
      </c>
      <c r="BG1190" s="135" t="s">
        <v>52</v>
      </c>
      <c r="BH1190" s="135"/>
      <c r="BI1190" s="314" t="s">
        <v>117</v>
      </c>
      <c r="BJ1190" s="314" t="s">
        <v>143</v>
      </c>
      <c r="BK1190" s="24"/>
      <c r="BL1190" s="24"/>
      <c r="BM1190" s="24"/>
      <c r="BN1190" s="24"/>
      <c r="BO1190" s="24"/>
      <c r="BP1190" s="24"/>
      <c r="BQ1190" s="24"/>
      <c r="BR1190" s="43"/>
      <c r="BS1190" s="24"/>
      <c r="BT1190" s="24"/>
      <c r="BU1190" s="24"/>
      <c r="BV1190" s="132" t="e">
        <f>IF(#REF!="COMPLETO","OK","PENDIENTES")</f>
        <v>#REF!</v>
      </c>
      <c r="BW1190" s="325"/>
      <c r="BX1190" s="325"/>
      <c r="BY1190" s="325"/>
      <c r="BZ1190" s="325"/>
      <c r="CA1190" s="325"/>
      <c r="CB1190" s="325"/>
      <c r="CC1190" s="258"/>
      <c r="CG1190" s="24" t="s">
        <v>105</v>
      </c>
      <c r="CH1190" s="24"/>
      <c r="CI1190" s="24"/>
      <c r="CJ1190" s="24"/>
    </row>
    <row r="1191" spans="1:88" ht="15" customHeight="1">
      <c r="A1191" s="18">
        <v>2020</v>
      </c>
      <c r="B1191" s="18" t="str">
        <f>+INDEX(BDD!F:F,MATCH(P1191,BDD!D:D,0))&amp;"-"&amp;INDEX(BDD!E:E,MATCH(P1191,BDD!D:D,0))</f>
        <v>O-S</v>
      </c>
      <c r="C1191" s="125" t="s">
        <v>484</v>
      </c>
      <c r="D1191" s="150" t="s">
        <v>77</v>
      </c>
      <c r="E1191" s="132"/>
      <c r="F1191" s="24"/>
      <c r="G1191" s="346">
        <v>8000001033</v>
      </c>
      <c r="H1191" s="125" t="s">
        <v>4630</v>
      </c>
      <c r="I1191" s="329"/>
      <c r="J1191" s="346">
        <v>8000001033</v>
      </c>
      <c r="K1191" s="24"/>
      <c r="L1191" s="24"/>
      <c r="M1191" s="24"/>
      <c r="N1191" s="340" t="s">
        <v>486</v>
      </c>
      <c r="O1191" s="334">
        <v>208063</v>
      </c>
      <c r="P1191" s="25" t="s">
        <v>381</v>
      </c>
      <c r="Q1191" s="127" t="s">
        <v>303</v>
      </c>
      <c r="R1191" s="232" t="s">
        <v>4631</v>
      </c>
      <c r="S1191" s="89" t="s">
        <v>1727</v>
      </c>
      <c r="T1191" s="36" t="s">
        <v>19</v>
      </c>
      <c r="U1191" s="125"/>
      <c r="V1191" s="147" t="s">
        <v>4632</v>
      </c>
      <c r="W1191" s="129"/>
      <c r="X1191" s="88">
        <v>44136</v>
      </c>
      <c r="Y1191" s="130" t="s">
        <v>20</v>
      </c>
      <c r="Z1191" s="133" t="s">
        <v>60</v>
      </c>
      <c r="AA1191" s="133"/>
      <c r="AB1191" s="241">
        <v>900</v>
      </c>
      <c r="AC1191" s="134">
        <v>522.79999999999995</v>
      </c>
      <c r="AD1191" s="134">
        <v>51</v>
      </c>
      <c r="AE1191" s="403">
        <f t="shared" si="65"/>
        <v>470519.99999999994</v>
      </c>
      <c r="AF1191" s="132" t="s">
        <v>944</v>
      </c>
      <c r="AG1191" s="130" t="s">
        <v>46</v>
      </c>
      <c r="AH1191" s="130"/>
      <c r="AI1191" s="130" t="s">
        <v>100</v>
      </c>
      <c r="AJ1191" s="130"/>
      <c r="AK1191" s="130"/>
      <c r="AL1191" s="135" t="s">
        <v>4609</v>
      </c>
      <c r="AM1191" s="314"/>
      <c r="AN1191" s="26"/>
      <c r="AO1191" s="26"/>
      <c r="AP1191" s="26"/>
      <c r="AQ1191" s="26">
        <v>44136</v>
      </c>
      <c r="AR1191" s="24"/>
      <c r="AS1191" s="24"/>
      <c r="AT1191" s="24">
        <v>44137</v>
      </c>
      <c r="AU1191" s="418">
        <f t="shared" si="66"/>
        <v>11</v>
      </c>
      <c r="AV1191" s="418">
        <f t="shared" si="67"/>
        <v>2020</v>
      </c>
      <c r="AW1191" s="24"/>
      <c r="AX1191" s="28"/>
      <c r="AY1191" s="28" t="s">
        <v>4634</v>
      </c>
      <c r="AZ1191" s="132" t="s">
        <v>9</v>
      </c>
      <c r="BA1191" s="132"/>
      <c r="BB1191" s="24" t="s">
        <v>3264</v>
      </c>
      <c r="BC1191" s="135" t="s">
        <v>4633</v>
      </c>
      <c r="BD1191" s="24">
        <v>44104</v>
      </c>
      <c r="BE1191" s="135" t="s">
        <v>4610</v>
      </c>
      <c r="BF1191" s="135" t="s">
        <v>4610</v>
      </c>
      <c r="BG1191" s="135" t="s">
        <v>52</v>
      </c>
      <c r="BH1191" s="135"/>
      <c r="BI1191" s="314" t="s">
        <v>117</v>
      </c>
      <c r="BJ1191" s="314" t="s">
        <v>148</v>
      </c>
      <c r="BK1191" s="24"/>
      <c r="BL1191" s="24"/>
      <c r="BM1191" s="24"/>
      <c r="BN1191" s="24"/>
      <c r="BO1191" s="24"/>
      <c r="BP1191" s="24"/>
      <c r="BQ1191" s="24"/>
      <c r="BR1191" s="43"/>
      <c r="BS1191" s="24"/>
      <c r="BT1191" s="24"/>
      <c r="BU1191" s="24"/>
      <c r="BV1191" s="132" t="e">
        <f>IF(#REF!="COMPLETO","OK","PENDIENTES")</f>
        <v>#REF!</v>
      </c>
      <c r="BW1191" s="325"/>
      <c r="BX1191" s="325"/>
      <c r="BY1191" s="325"/>
      <c r="BZ1191" s="325"/>
      <c r="CA1191" s="325"/>
      <c r="CB1191" s="325"/>
      <c r="CC1191" s="258"/>
      <c r="CG1191" s="24" t="s">
        <v>105</v>
      </c>
      <c r="CH1191" s="24"/>
      <c r="CI1191" s="24"/>
      <c r="CJ1191" s="24"/>
    </row>
    <row r="1192" spans="1:88" ht="15" customHeight="1">
      <c r="A1192" s="18">
        <v>2020</v>
      </c>
      <c r="B1192" s="18" t="str">
        <f>+INDEX(BDD!F:F,MATCH(P1192,BDD!D:D,0))&amp;"-"&amp;INDEX(BDD!E:E,MATCH(P1192,BDD!D:D,0))</f>
        <v>O-S</v>
      </c>
      <c r="C1192" s="125" t="s">
        <v>484</v>
      </c>
      <c r="D1192" s="150" t="s">
        <v>77</v>
      </c>
      <c r="E1192" s="132"/>
      <c r="F1192" s="24"/>
      <c r="G1192" s="346">
        <v>8000001034</v>
      </c>
      <c r="H1192" s="125" t="s">
        <v>4635</v>
      </c>
      <c r="I1192" s="329"/>
      <c r="J1192" s="346">
        <v>8000001034</v>
      </c>
      <c r="K1192" s="24"/>
      <c r="L1192" s="24"/>
      <c r="M1192" s="24"/>
      <c r="N1192" s="340" t="s">
        <v>486</v>
      </c>
      <c r="O1192" s="334">
        <v>208063</v>
      </c>
      <c r="P1192" s="25" t="s">
        <v>381</v>
      </c>
      <c r="Q1192" s="127" t="s">
        <v>303</v>
      </c>
      <c r="R1192" s="232" t="s">
        <v>4631</v>
      </c>
      <c r="S1192" s="89" t="s">
        <v>1727</v>
      </c>
      <c r="T1192" s="36" t="s">
        <v>19</v>
      </c>
      <c r="U1192" s="125"/>
      <c r="V1192" s="147" t="s">
        <v>4636</v>
      </c>
      <c r="W1192" s="129"/>
      <c r="X1192" s="88">
        <v>44136</v>
      </c>
      <c r="Y1192" s="130" t="s">
        <v>20</v>
      </c>
      <c r="Z1192" s="133" t="s">
        <v>60</v>
      </c>
      <c r="AA1192" s="133"/>
      <c r="AB1192" s="241">
        <v>800</v>
      </c>
      <c r="AC1192" s="134">
        <v>522.79999999999995</v>
      </c>
      <c r="AD1192" s="134">
        <v>51</v>
      </c>
      <c r="AE1192" s="403">
        <f t="shared" si="65"/>
        <v>418239.99999999994</v>
      </c>
      <c r="AF1192" s="132" t="s">
        <v>944</v>
      </c>
      <c r="AG1192" s="130" t="s">
        <v>46</v>
      </c>
      <c r="AH1192" s="130"/>
      <c r="AI1192" s="130" t="s">
        <v>100</v>
      </c>
      <c r="AJ1192" s="130"/>
      <c r="AK1192" s="130"/>
      <c r="AL1192" s="135" t="s">
        <v>4609</v>
      </c>
      <c r="AM1192" s="314"/>
      <c r="AN1192" s="26"/>
      <c r="AO1192" s="26"/>
      <c r="AP1192" s="26"/>
      <c r="AQ1192" s="26">
        <f>+AQ1191+2</f>
        <v>44138</v>
      </c>
      <c r="AR1192" s="24"/>
      <c r="AS1192" s="24"/>
      <c r="AT1192" s="24">
        <v>44139</v>
      </c>
      <c r="AU1192" s="418">
        <f t="shared" si="66"/>
        <v>11</v>
      </c>
      <c r="AV1192" s="418">
        <f t="shared" si="67"/>
        <v>2020</v>
      </c>
      <c r="AW1192" s="24"/>
      <c r="AX1192" s="28"/>
      <c r="AY1192" s="28" t="s">
        <v>4634</v>
      </c>
      <c r="AZ1192" s="132" t="s">
        <v>25</v>
      </c>
      <c r="BA1192" s="132"/>
      <c r="BB1192" s="24" t="s">
        <v>3264</v>
      </c>
      <c r="BC1192" s="135" t="s">
        <v>4637</v>
      </c>
      <c r="BD1192" s="24">
        <v>44104</v>
      </c>
      <c r="BE1192" s="135" t="s">
        <v>4610</v>
      </c>
      <c r="BF1192" s="135" t="s">
        <v>4610</v>
      </c>
      <c r="BG1192" s="135" t="s">
        <v>52</v>
      </c>
      <c r="BH1192" s="135"/>
      <c r="BI1192" s="314" t="s">
        <v>117</v>
      </c>
      <c r="BJ1192" s="314" t="s">
        <v>148</v>
      </c>
      <c r="BK1192" s="24"/>
      <c r="BL1192" s="24"/>
      <c r="BM1192" s="24"/>
      <c r="BN1192" s="24"/>
      <c r="BO1192" s="24"/>
      <c r="BP1192" s="24"/>
      <c r="BQ1192" s="24"/>
      <c r="BR1192" s="43"/>
      <c r="BS1192" s="24"/>
      <c r="BT1192" s="24"/>
      <c r="BU1192" s="24"/>
      <c r="BV1192" s="132" t="e">
        <f>IF(#REF!="COMPLETO","OK","PENDIENTES")</f>
        <v>#REF!</v>
      </c>
      <c r="BW1192" s="325"/>
      <c r="BX1192" s="325"/>
      <c r="BY1192" s="325"/>
      <c r="BZ1192" s="325"/>
      <c r="CA1192" s="325"/>
      <c r="CB1192" s="325"/>
      <c r="CC1192" s="258"/>
      <c r="CG1192" s="24" t="s">
        <v>105</v>
      </c>
      <c r="CH1192" s="24"/>
      <c r="CI1192" s="24"/>
      <c r="CJ1192" s="24"/>
    </row>
    <row r="1193" spans="1:88" ht="15" customHeight="1">
      <c r="A1193" s="18">
        <v>2020</v>
      </c>
      <c r="B1193" s="18" t="str">
        <f>+INDEX(BDD!F:F,MATCH(P1193,BDD!D:D,0))&amp;"-"&amp;INDEX(BDD!E:E,MATCH(P1193,BDD!D:D,0))</f>
        <v>O-S</v>
      </c>
      <c r="C1193" s="125" t="s">
        <v>484</v>
      </c>
      <c r="D1193" s="150" t="s">
        <v>77</v>
      </c>
      <c r="E1193" s="132"/>
      <c r="F1193" s="24"/>
      <c r="G1193" s="346">
        <v>8000001035</v>
      </c>
      <c r="H1193" s="125" t="s">
        <v>4638</v>
      </c>
      <c r="I1193" s="329"/>
      <c r="J1193" s="346">
        <v>8000001035</v>
      </c>
      <c r="K1193" s="24"/>
      <c r="L1193" s="24"/>
      <c r="M1193" s="24"/>
      <c r="N1193" s="340" t="s">
        <v>486</v>
      </c>
      <c r="O1193" s="334">
        <v>208063</v>
      </c>
      <c r="P1193" s="25" t="s">
        <v>381</v>
      </c>
      <c r="Q1193" s="127" t="s">
        <v>303</v>
      </c>
      <c r="R1193" s="232" t="s">
        <v>4631</v>
      </c>
      <c r="S1193" s="89" t="s">
        <v>1727</v>
      </c>
      <c r="T1193" s="36" t="s">
        <v>19</v>
      </c>
      <c r="U1193" s="125"/>
      <c r="V1193" s="147" t="s">
        <v>4639</v>
      </c>
      <c r="W1193" s="129"/>
      <c r="X1193" s="88">
        <v>44136</v>
      </c>
      <c r="Y1193" s="130" t="s">
        <v>20</v>
      </c>
      <c r="Z1193" s="133" t="s">
        <v>60</v>
      </c>
      <c r="AA1193" s="133"/>
      <c r="AB1193" s="241">
        <v>1100</v>
      </c>
      <c r="AC1193" s="134">
        <v>522.79999999999995</v>
      </c>
      <c r="AD1193" s="134">
        <v>51</v>
      </c>
      <c r="AE1193" s="403">
        <f t="shared" si="65"/>
        <v>575080</v>
      </c>
      <c r="AF1193" s="132" t="s">
        <v>944</v>
      </c>
      <c r="AG1193" s="130" t="s">
        <v>46</v>
      </c>
      <c r="AH1193" s="130"/>
      <c r="AI1193" s="130" t="s">
        <v>100</v>
      </c>
      <c r="AJ1193" s="130"/>
      <c r="AK1193" s="130"/>
      <c r="AL1193" s="135" t="s">
        <v>4609</v>
      </c>
      <c r="AM1193" s="314"/>
      <c r="AN1193" s="26"/>
      <c r="AO1193" s="26"/>
      <c r="AP1193" s="26"/>
      <c r="AQ1193" s="26">
        <v>44140</v>
      </c>
      <c r="AR1193" s="24"/>
      <c r="AS1193" s="24"/>
      <c r="AT1193" s="24">
        <v>44143</v>
      </c>
      <c r="AU1193" s="418">
        <f t="shared" si="66"/>
        <v>11</v>
      </c>
      <c r="AV1193" s="418">
        <f t="shared" si="67"/>
        <v>2020</v>
      </c>
      <c r="AW1193" s="24"/>
      <c r="AX1193" s="28"/>
      <c r="AY1193" s="28" t="s">
        <v>4634</v>
      </c>
      <c r="AZ1193" s="132" t="s">
        <v>37</v>
      </c>
      <c r="BA1193" s="132"/>
      <c r="BB1193" s="24" t="s">
        <v>3593</v>
      </c>
      <c r="BC1193" s="135" t="s">
        <v>4640</v>
      </c>
      <c r="BD1193" s="24">
        <v>44104</v>
      </c>
      <c r="BE1193" s="135" t="s">
        <v>4610</v>
      </c>
      <c r="BF1193" s="135" t="s">
        <v>4610</v>
      </c>
      <c r="BG1193" s="135" t="s">
        <v>52</v>
      </c>
      <c r="BH1193" s="135"/>
      <c r="BI1193" s="314" t="s">
        <v>117</v>
      </c>
      <c r="BJ1193" s="314" t="s">
        <v>148</v>
      </c>
      <c r="BK1193" s="24"/>
      <c r="BL1193" s="24"/>
      <c r="BM1193" s="24"/>
      <c r="BN1193" s="24"/>
      <c r="BO1193" s="24"/>
      <c r="BP1193" s="24"/>
      <c r="BQ1193" s="24"/>
      <c r="BR1193" s="43"/>
      <c r="BS1193" s="24"/>
      <c r="BT1193" s="24"/>
      <c r="BU1193" s="24"/>
      <c r="BV1193" s="132" t="e">
        <f>IF(#REF!="COMPLETO","OK","PENDIENTES")</f>
        <v>#REF!</v>
      </c>
      <c r="BW1193" s="325"/>
      <c r="BX1193" s="325"/>
      <c r="BY1193" s="325"/>
      <c r="BZ1193" s="325"/>
      <c r="CA1193" s="325"/>
      <c r="CB1193" s="325"/>
      <c r="CC1193" s="258"/>
      <c r="CG1193" s="24" t="s">
        <v>105</v>
      </c>
      <c r="CH1193" s="24"/>
      <c r="CI1193" s="24"/>
      <c r="CJ1193" s="24"/>
    </row>
    <row r="1194" spans="1:88" ht="15" customHeight="1">
      <c r="A1194" s="18">
        <v>2020</v>
      </c>
      <c r="B1194" s="18" t="str">
        <f>+INDEX(BDD!F:F,MATCH(P1194,BDD!D:D,0))&amp;"-"&amp;INDEX(BDD!E:E,MATCH(P1194,BDD!D:D,0))</f>
        <v>O-S</v>
      </c>
      <c r="C1194" s="125" t="s">
        <v>484</v>
      </c>
      <c r="D1194" s="150" t="s">
        <v>77</v>
      </c>
      <c r="E1194" s="132"/>
      <c r="F1194" s="24"/>
      <c r="G1194" s="346">
        <v>8000001036</v>
      </c>
      <c r="H1194" s="125" t="s">
        <v>4641</v>
      </c>
      <c r="I1194" s="329"/>
      <c r="J1194" s="346">
        <v>8000001036</v>
      </c>
      <c r="K1194" s="24"/>
      <c r="L1194" s="24"/>
      <c r="M1194" s="24"/>
      <c r="N1194" s="340" t="s">
        <v>486</v>
      </c>
      <c r="O1194" s="334">
        <v>208063</v>
      </c>
      <c r="P1194" s="25" t="s">
        <v>381</v>
      </c>
      <c r="Q1194" s="127" t="s">
        <v>303</v>
      </c>
      <c r="R1194" s="232" t="s">
        <v>4631</v>
      </c>
      <c r="S1194" s="89" t="s">
        <v>1727</v>
      </c>
      <c r="T1194" s="36" t="s">
        <v>19</v>
      </c>
      <c r="U1194" s="125"/>
      <c r="V1194" s="147" t="s">
        <v>4642</v>
      </c>
      <c r="W1194" s="129"/>
      <c r="X1194" s="88">
        <v>44136</v>
      </c>
      <c r="Y1194" s="130" t="s">
        <v>20</v>
      </c>
      <c r="Z1194" s="133" t="s">
        <v>60</v>
      </c>
      <c r="AA1194" s="133"/>
      <c r="AB1194" s="241">
        <v>500</v>
      </c>
      <c r="AC1194" s="134">
        <v>522.79999999999995</v>
      </c>
      <c r="AD1194" s="134">
        <v>51</v>
      </c>
      <c r="AE1194" s="403">
        <f t="shared" si="65"/>
        <v>261399.99999999997</v>
      </c>
      <c r="AF1194" s="132" t="s">
        <v>944</v>
      </c>
      <c r="AG1194" s="130" t="s">
        <v>46</v>
      </c>
      <c r="AH1194" s="130"/>
      <c r="AI1194" s="130" t="s">
        <v>100</v>
      </c>
      <c r="AJ1194" s="130"/>
      <c r="AK1194" s="130"/>
      <c r="AL1194" s="135" t="s">
        <v>4609</v>
      </c>
      <c r="AM1194" s="314"/>
      <c r="AN1194" s="26"/>
      <c r="AO1194" s="26"/>
      <c r="AP1194" s="26"/>
      <c r="AQ1194" s="26">
        <v>44144</v>
      </c>
      <c r="AR1194" s="24"/>
      <c r="AS1194" s="24"/>
      <c r="AT1194" s="24">
        <v>44148</v>
      </c>
      <c r="AU1194" s="418">
        <f t="shared" si="66"/>
        <v>11</v>
      </c>
      <c r="AV1194" s="418">
        <f t="shared" si="67"/>
        <v>2020</v>
      </c>
      <c r="AW1194" s="24"/>
      <c r="AX1194" s="28"/>
      <c r="AY1194" s="28" t="s">
        <v>4634</v>
      </c>
      <c r="AZ1194" s="132" t="s">
        <v>50</v>
      </c>
      <c r="BA1194" s="132"/>
      <c r="BB1194" s="24" t="s">
        <v>2956</v>
      </c>
      <c r="BC1194" s="135" t="s">
        <v>4643</v>
      </c>
      <c r="BD1194" s="24">
        <v>44104</v>
      </c>
      <c r="BE1194" s="135" t="s">
        <v>4610</v>
      </c>
      <c r="BF1194" s="135" t="s">
        <v>4610</v>
      </c>
      <c r="BG1194" s="135" t="s">
        <v>52</v>
      </c>
      <c r="BH1194" s="135"/>
      <c r="BI1194" s="314" t="s">
        <v>117</v>
      </c>
      <c r="BJ1194" s="314" t="s">
        <v>148</v>
      </c>
      <c r="BK1194" s="24"/>
      <c r="BL1194" s="24"/>
      <c r="BM1194" s="24"/>
      <c r="BN1194" s="24"/>
      <c r="BO1194" s="24"/>
      <c r="BP1194" s="24"/>
      <c r="BQ1194" s="24"/>
      <c r="BR1194" s="43"/>
      <c r="BS1194" s="24"/>
      <c r="BT1194" s="24"/>
      <c r="BU1194" s="24"/>
      <c r="BV1194" s="132" t="e">
        <f>IF(#REF!="COMPLETO","OK","PENDIENTES")</f>
        <v>#REF!</v>
      </c>
      <c r="BW1194" s="325"/>
      <c r="BX1194" s="325"/>
      <c r="BY1194" s="325"/>
      <c r="BZ1194" s="325"/>
      <c r="CA1194" s="325"/>
      <c r="CB1194" s="325"/>
      <c r="CC1194" s="258"/>
      <c r="CG1194" s="24" t="s">
        <v>105</v>
      </c>
      <c r="CH1194" s="24"/>
      <c r="CI1194" s="24"/>
      <c r="CJ1194" s="24"/>
    </row>
    <row r="1195" spans="1:88" ht="15" customHeight="1">
      <c r="A1195" s="18">
        <v>2020</v>
      </c>
      <c r="B1195" s="18" t="str">
        <f>+INDEX(BDD!F:F,MATCH(P1195,BDD!D:D,0))&amp;"-"&amp;INDEX(BDD!E:E,MATCH(P1195,BDD!D:D,0))</f>
        <v>O-S</v>
      </c>
      <c r="C1195" s="125" t="s">
        <v>484</v>
      </c>
      <c r="D1195" s="150" t="s">
        <v>77</v>
      </c>
      <c r="E1195" s="132"/>
      <c r="F1195" s="24"/>
      <c r="G1195" s="346">
        <v>8000001037</v>
      </c>
      <c r="H1195" s="125" t="s">
        <v>4644</v>
      </c>
      <c r="I1195" s="329"/>
      <c r="J1195" s="346">
        <v>8000001037</v>
      </c>
      <c r="K1195" s="24"/>
      <c r="L1195" s="24"/>
      <c r="M1195" s="24"/>
      <c r="N1195" s="340" t="s">
        <v>486</v>
      </c>
      <c r="O1195" s="334">
        <v>208063</v>
      </c>
      <c r="P1195" s="25" t="s">
        <v>381</v>
      </c>
      <c r="Q1195" s="127" t="s">
        <v>303</v>
      </c>
      <c r="R1195" s="232" t="s">
        <v>4631</v>
      </c>
      <c r="S1195" s="89" t="s">
        <v>1727</v>
      </c>
      <c r="T1195" s="36" t="s">
        <v>19</v>
      </c>
      <c r="U1195" s="125"/>
      <c r="V1195" s="147" t="s">
        <v>4645</v>
      </c>
      <c r="W1195" s="129"/>
      <c r="X1195" s="88">
        <v>44136</v>
      </c>
      <c r="Y1195" s="130" t="s">
        <v>20</v>
      </c>
      <c r="Z1195" s="133" t="s">
        <v>60</v>
      </c>
      <c r="AA1195" s="133"/>
      <c r="AB1195" s="241">
        <v>453</v>
      </c>
      <c r="AC1195" s="134">
        <v>522.79999999999995</v>
      </c>
      <c r="AD1195" s="134">
        <v>51</v>
      </c>
      <c r="AE1195" s="403">
        <f t="shared" si="65"/>
        <v>236828.39999999997</v>
      </c>
      <c r="AF1195" s="132" t="s">
        <v>944</v>
      </c>
      <c r="AG1195" s="130" t="s">
        <v>46</v>
      </c>
      <c r="AH1195" s="130"/>
      <c r="AI1195" s="130" t="s">
        <v>100</v>
      </c>
      <c r="AJ1195" s="130"/>
      <c r="AK1195" s="130"/>
      <c r="AL1195" s="135" t="s">
        <v>4609</v>
      </c>
      <c r="AM1195" s="314"/>
      <c r="AN1195" s="26"/>
      <c r="AO1195" s="26"/>
      <c r="AP1195" s="26"/>
      <c r="AQ1195" s="26">
        <v>44149</v>
      </c>
      <c r="AR1195" s="24"/>
      <c r="AS1195" s="24"/>
      <c r="AT1195" s="24">
        <v>44150</v>
      </c>
      <c r="AU1195" s="418">
        <f t="shared" si="66"/>
        <v>11</v>
      </c>
      <c r="AV1195" s="418">
        <f t="shared" si="67"/>
        <v>2020</v>
      </c>
      <c r="AW1195" s="24"/>
      <c r="AX1195" s="28"/>
      <c r="AY1195" s="28" t="s">
        <v>4634</v>
      </c>
      <c r="AZ1195" s="132" t="s">
        <v>62</v>
      </c>
      <c r="BA1195" s="132"/>
      <c r="BB1195" s="24" t="s">
        <v>3264</v>
      </c>
      <c r="BC1195" s="135" t="s">
        <v>4646</v>
      </c>
      <c r="BD1195" s="24">
        <v>44104</v>
      </c>
      <c r="BE1195" s="135" t="s">
        <v>4610</v>
      </c>
      <c r="BF1195" s="135" t="s">
        <v>4610</v>
      </c>
      <c r="BG1195" s="135" t="s">
        <v>52</v>
      </c>
      <c r="BH1195" s="135"/>
      <c r="BI1195" s="314" t="s">
        <v>117</v>
      </c>
      <c r="BJ1195" s="314" t="s">
        <v>148</v>
      </c>
      <c r="BK1195" s="24"/>
      <c r="BL1195" s="24"/>
      <c r="BM1195" s="24"/>
      <c r="BN1195" s="24"/>
      <c r="BO1195" s="24"/>
      <c r="BP1195" s="24"/>
      <c r="BQ1195" s="24"/>
      <c r="BR1195" s="43"/>
      <c r="BS1195" s="24"/>
      <c r="BT1195" s="24"/>
      <c r="BU1195" s="24"/>
      <c r="BV1195" s="132" t="e">
        <f>IF(#REF!="COMPLETO","OK","PENDIENTES")</f>
        <v>#REF!</v>
      </c>
      <c r="BW1195" s="325"/>
      <c r="BX1195" s="325"/>
      <c r="BY1195" s="325"/>
      <c r="BZ1195" s="325"/>
      <c r="CA1195" s="325"/>
      <c r="CB1195" s="325"/>
      <c r="CC1195" s="258"/>
      <c r="CG1195" s="24" t="s">
        <v>105</v>
      </c>
      <c r="CH1195" s="24"/>
      <c r="CI1195" s="24"/>
      <c r="CJ1195" s="24"/>
    </row>
    <row r="1196" spans="1:88" ht="15" customHeight="1">
      <c r="A1196" s="18">
        <v>2020</v>
      </c>
      <c r="B1196" s="18" t="str">
        <f>+INDEX(BDD!F:F,MATCH(P1196,BDD!D:D,0))&amp;"-"&amp;INDEX(BDD!E:E,MATCH(P1196,BDD!D:D,0))</f>
        <v>O-S</v>
      </c>
      <c r="C1196" s="125" t="s">
        <v>484</v>
      </c>
      <c r="D1196" s="150" t="s">
        <v>77</v>
      </c>
      <c r="E1196" s="132"/>
      <c r="F1196" s="24"/>
      <c r="G1196" s="346">
        <v>8000001038</v>
      </c>
      <c r="H1196" s="125" t="s">
        <v>4647</v>
      </c>
      <c r="I1196" s="329"/>
      <c r="J1196" s="346">
        <v>8000001038</v>
      </c>
      <c r="K1196" s="24"/>
      <c r="L1196" s="24"/>
      <c r="M1196" s="24"/>
      <c r="N1196" s="340" t="s">
        <v>486</v>
      </c>
      <c r="O1196" s="334">
        <v>208061</v>
      </c>
      <c r="P1196" s="25" t="s">
        <v>379</v>
      </c>
      <c r="Q1196" s="127" t="s">
        <v>303</v>
      </c>
      <c r="R1196" s="232" t="s">
        <v>4648</v>
      </c>
      <c r="S1196" s="89" t="s">
        <v>1727</v>
      </c>
      <c r="T1196" s="36" t="s">
        <v>19</v>
      </c>
      <c r="U1196" s="125"/>
      <c r="V1196" s="147" t="s">
        <v>4649</v>
      </c>
      <c r="W1196" s="129"/>
      <c r="X1196" s="88">
        <v>44136</v>
      </c>
      <c r="Y1196" s="130" t="s">
        <v>20</v>
      </c>
      <c r="Z1196" s="133" t="s">
        <v>60</v>
      </c>
      <c r="AA1196" s="133"/>
      <c r="AB1196" s="241">
        <v>2000</v>
      </c>
      <c r="AC1196" s="134">
        <v>379.9</v>
      </c>
      <c r="AD1196" s="134">
        <v>51</v>
      </c>
      <c r="AE1196" s="403">
        <f t="shared" si="65"/>
        <v>759800</v>
      </c>
      <c r="AF1196" s="132" t="s">
        <v>944</v>
      </c>
      <c r="AG1196" s="130" t="s">
        <v>46</v>
      </c>
      <c r="AH1196" s="130"/>
      <c r="AI1196" s="130" t="s">
        <v>100</v>
      </c>
      <c r="AJ1196" s="130"/>
      <c r="AK1196" s="130"/>
      <c r="AL1196" s="135" t="s">
        <v>4609</v>
      </c>
      <c r="AM1196" s="314"/>
      <c r="AN1196" s="26"/>
      <c r="AO1196" s="26"/>
      <c r="AP1196" s="26"/>
      <c r="AQ1196" s="26">
        <v>44136</v>
      </c>
      <c r="AR1196" s="24"/>
      <c r="AS1196" s="24"/>
      <c r="AT1196" s="24">
        <v>44137</v>
      </c>
      <c r="AU1196" s="418">
        <f t="shared" si="66"/>
        <v>11</v>
      </c>
      <c r="AV1196" s="418">
        <f t="shared" si="67"/>
        <v>2020</v>
      </c>
      <c r="AW1196" s="24"/>
      <c r="AX1196" s="28"/>
      <c r="AY1196" s="28" t="s">
        <v>4634</v>
      </c>
      <c r="AZ1196" s="132" t="s">
        <v>9</v>
      </c>
      <c r="BA1196" s="132"/>
      <c r="BB1196" s="24" t="s">
        <v>3264</v>
      </c>
      <c r="BC1196" s="135" t="s">
        <v>4650</v>
      </c>
      <c r="BD1196" s="24">
        <v>44104</v>
      </c>
      <c r="BE1196" s="135" t="s">
        <v>4610</v>
      </c>
      <c r="BF1196" s="135" t="s">
        <v>4610</v>
      </c>
      <c r="BG1196" s="135" t="s">
        <v>52</v>
      </c>
      <c r="BH1196" s="135"/>
      <c r="BI1196" s="314" t="s">
        <v>117</v>
      </c>
      <c r="BJ1196" s="314" t="s">
        <v>148</v>
      </c>
      <c r="BK1196" s="24"/>
      <c r="BL1196" s="24"/>
      <c r="BM1196" s="24"/>
      <c r="BN1196" s="24"/>
      <c r="BO1196" s="24"/>
      <c r="BP1196" s="24"/>
      <c r="BQ1196" s="24"/>
      <c r="BR1196" s="43"/>
      <c r="BS1196" s="24"/>
      <c r="BT1196" s="24"/>
      <c r="BU1196" s="24"/>
      <c r="BV1196" s="132" t="e">
        <f>IF(#REF!="COMPLETO","OK","PENDIENTES")</f>
        <v>#REF!</v>
      </c>
      <c r="BW1196" s="325"/>
      <c r="BX1196" s="325"/>
      <c r="BY1196" s="325"/>
      <c r="BZ1196" s="325"/>
      <c r="CA1196" s="325"/>
      <c r="CB1196" s="325"/>
      <c r="CC1196" s="258"/>
      <c r="CG1196" s="24" t="s">
        <v>105</v>
      </c>
      <c r="CH1196" s="24"/>
      <c r="CI1196" s="24"/>
      <c r="CJ1196" s="24"/>
    </row>
    <row r="1197" spans="1:88" ht="15" customHeight="1">
      <c r="A1197" s="18">
        <v>2020</v>
      </c>
      <c r="B1197" s="18" t="str">
        <f>+INDEX(BDD!F:F,MATCH(P1197,BDD!D:D,0))&amp;"-"&amp;INDEX(BDD!E:E,MATCH(P1197,BDD!D:D,0))</f>
        <v>O-S</v>
      </c>
      <c r="C1197" s="125" t="s">
        <v>484</v>
      </c>
      <c r="D1197" s="150" t="s">
        <v>77</v>
      </c>
      <c r="E1197" s="132"/>
      <c r="F1197" s="24"/>
      <c r="G1197" s="346">
        <v>8000001039</v>
      </c>
      <c r="H1197" s="125" t="s">
        <v>4651</v>
      </c>
      <c r="I1197" s="329"/>
      <c r="J1197" s="346">
        <v>8000001039</v>
      </c>
      <c r="K1197" s="24"/>
      <c r="L1197" s="24"/>
      <c r="M1197" s="24"/>
      <c r="N1197" s="340" t="s">
        <v>486</v>
      </c>
      <c r="O1197" s="334">
        <v>208061</v>
      </c>
      <c r="P1197" s="25" t="s">
        <v>379</v>
      </c>
      <c r="Q1197" s="127" t="s">
        <v>303</v>
      </c>
      <c r="R1197" s="232" t="s">
        <v>4648</v>
      </c>
      <c r="S1197" s="89" t="s">
        <v>1727</v>
      </c>
      <c r="T1197" s="36" t="s">
        <v>19</v>
      </c>
      <c r="U1197" s="125"/>
      <c r="V1197" s="147" t="s">
        <v>4652</v>
      </c>
      <c r="W1197" s="129"/>
      <c r="X1197" s="88">
        <v>44136</v>
      </c>
      <c r="Y1197" s="130" t="s">
        <v>20</v>
      </c>
      <c r="Z1197" s="133" t="s">
        <v>60</v>
      </c>
      <c r="AA1197" s="133"/>
      <c r="AB1197" s="241">
        <v>1300</v>
      </c>
      <c r="AC1197" s="134">
        <v>379.9</v>
      </c>
      <c r="AD1197" s="134">
        <v>51</v>
      </c>
      <c r="AE1197" s="403">
        <f t="shared" si="65"/>
        <v>493869.99999999994</v>
      </c>
      <c r="AF1197" s="132" t="s">
        <v>944</v>
      </c>
      <c r="AG1197" s="130" t="s">
        <v>46</v>
      </c>
      <c r="AH1197" s="130"/>
      <c r="AI1197" s="130" t="s">
        <v>100</v>
      </c>
      <c r="AJ1197" s="130"/>
      <c r="AK1197" s="130"/>
      <c r="AL1197" s="135" t="s">
        <v>4609</v>
      </c>
      <c r="AM1197" s="314"/>
      <c r="AN1197" s="26"/>
      <c r="AO1197" s="26"/>
      <c r="AP1197" s="26"/>
      <c r="AQ1197" s="26">
        <f>+AQ1196+2</f>
        <v>44138</v>
      </c>
      <c r="AR1197" s="24"/>
      <c r="AS1197" s="24"/>
      <c r="AT1197" s="24">
        <v>44139</v>
      </c>
      <c r="AU1197" s="418">
        <f t="shared" si="66"/>
        <v>11</v>
      </c>
      <c r="AV1197" s="418">
        <f t="shared" si="67"/>
        <v>2020</v>
      </c>
      <c r="AW1197" s="24"/>
      <c r="AX1197" s="28"/>
      <c r="AY1197" s="28" t="s">
        <v>4634</v>
      </c>
      <c r="AZ1197" s="132" t="s">
        <v>25</v>
      </c>
      <c r="BA1197" s="132"/>
      <c r="BB1197" s="24" t="s">
        <v>3264</v>
      </c>
      <c r="BC1197" s="135" t="s">
        <v>4653</v>
      </c>
      <c r="BD1197" s="24">
        <v>44104</v>
      </c>
      <c r="BE1197" s="135" t="s">
        <v>4610</v>
      </c>
      <c r="BF1197" s="135" t="s">
        <v>4610</v>
      </c>
      <c r="BG1197" s="135" t="s">
        <v>52</v>
      </c>
      <c r="BH1197" s="135"/>
      <c r="BI1197" s="314" t="s">
        <v>117</v>
      </c>
      <c r="BJ1197" s="314" t="s">
        <v>148</v>
      </c>
      <c r="BK1197" s="24"/>
      <c r="BL1197" s="24"/>
      <c r="BM1197" s="24"/>
      <c r="BN1197" s="24"/>
      <c r="BO1197" s="24"/>
      <c r="BP1197" s="24"/>
      <c r="BQ1197" s="24"/>
      <c r="BR1197" s="43"/>
      <c r="BS1197" s="24"/>
      <c r="BT1197" s="24"/>
      <c r="BU1197" s="24"/>
      <c r="BV1197" s="132" t="e">
        <f>IF(#REF!="COMPLETO","OK","PENDIENTES")</f>
        <v>#REF!</v>
      </c>
      <c r="BW1197" s="325"/>
      <c r="BX1197" s="325"/>
      <c r="BY1197" s="325"/>
      <c r="BZ1197" s="325"/>
      <c r="CA1197" s="325"/>
      <c r="CB1197" s="325"/>
      <c r="CC1197" s="258"/>
      <c r="CG1197" s="24" t="s">
        <v>105</v>
      </c>
      <c r="CH1197" s="24"/>
      <c r="CI1197" s="24"/>
      <c r="CJ1197" s="24"/>
    </row>
    <row r="1198" spans="1:88" ht="15" customHeight="1">
      <c r="A1198" s="18">
        <v>2020</v>
      </c>
      <c r="B1198" s="18" t="str">
        <f>+INDEX(BDD!F:F,MATCH(P1198,BDD!D:D,0))&amp;"-"&amp;INDEX(BDD!E:E,MATCH(P1198,BDD!D:D,0))</f>
        <v>O-S</v>
      </c>
      <c r="C1198" s="125" t="s">
        <v>484</v>
      </c>
      <c r="D1198" s="150" t="s">
        <v>77</v>
      </c>
      <c r="E1198" s="132"/>
      <c r="F1198" s="24"/>
      <c r="G1198" s="346">
        <v>8000001054</v>
      </c>
      <c r="H1198" s="125" t="s">
        <v>4654</v>
      </c>
      <c r="I1198" s="329"/>
      <c r="J1198" s="346">
        <v>8000001054</v>
      </c>
      <c r="K1198" s="24"/>
      <c r="L1198" s="24"/>
      <c r="M1198" s="24"/>
      <c r="N1198" s="340" t="s">
        <v>486</v>
      </c>
      <c r="O1198" s="334">
        <v>208061</v>
      </c>
      <c r="P1198" s="25" t="s">
        <v>379</v>
      </c>
      <c r="Q1198" s="127" t="s">
        <v>303</v>
      </c>
      <c r="R1198" s="232" t="s">
        <v>4648</v>
      </c>
      <c r="S1198" s="89" t="s">
        <v>1727</v>
      </c>
      <c r="T1198" s="36" t="s">
        <v>19</v>
      </c>
      <c r="U1198" s="125"/>
      <c r="V1198" s="147" t="s">
        <v>4655</v>
      </c>
      <c r="W1198" s="129"/>
      <c r="X1198" s="88">
        <v>44136</v>
      </c>
      <c r="Y1198" s="130" t="s">
        <v>20</v>
      </c>
      <c r="Z1198" s="133" t="s">
        <v>60</v>
      </c>
      <c r="AA1198" s="133"/>
      <c r="AB1198" s="241">
        <v>67</v>
      </c>
      <c r="AC1198" s="134">
        <v>379.9</v>
      </c>
      <c r="AD1198" s="134">
        <v>51</v>
      </c>
      <c r="AE1198" s="403">
        <f t="shared" si="65"/>
        <v>25453.3</v>
      </c>
      <c r="AF1198" s="132" t="s">
        <v>944</v>
      </c>
      <c r="AG1198" s="130" t="s">
        <v>46</v>
      </c>
      <c r="AH1198" s="130"/>
      <c r="AI1198" s="130" t="s">
        <v>100</v>
      </c>
      <c r="AJ1198" s="130"/>
      <c r="AK1198" s="130"/>
      <c r="AL1198" s="135" t="s">
        <v>4609</v>
      </c>
      <c r="AM1198" s="314"/>
      <c r="AN1198" s="26"/>
      <c r="AO1198" s="26"/>
      <c r="AP1198" s="26"/>
      <c r="AQ1198" s="26">
        <v>44140</v>
      </c>
      <c r="AR1198" s="24"/>
      <c r="AS1198" s="24"/>
      <c r="AT1198" s="24">
        <v>44143</v>
      </c>
      <c r="AU1198" s="418">
        <f t="shared" si="66"/>
        <v>11</v>
      </c>
      <c r="AV1198" s="418">
        <f t="shared" si="67"/>
        <v>2020</v>
      </c>
      <c r="AW1198" s="24"/>
      <c r="AX1198" s="28"/>
      <c r="AY1198" s="28" t="s">
        <v>4634</v>
      </c>
      <c r="AZ1198" s="132" t="s">
        <v>37</v>
      </c>
      <c r="BA1198" s="132"/>
      <c r="BB1198" s="24" t="s">
        <v>3291</v>
      </c>
      <c r="BC1198" s="135" t="s">
        <v>4656</v>
      </c>
      <c r="BD1198" s="24">
        <v>44104</v>
      </c>
      <c r="BE1198" s="135" t="s">
        <v>4610</v>
      </c>
      <c r="BF1198" s="135" t="s">
        <v>4610</v>
      </c>
      <c r="BG1198" s="135" t="s">
        <v>52</v>
      </c>
      <c r="BH1198" s="135"/>
      <c r="BI1198" s="314" t="s">
        <v>117</v>
      </c>
      <c r="BJ1198" s="314" t="s">
        <v>148</v>
      </c>
      <c r="BK1198" s="24"/>
      <c r="BL1198" s="24"/>
      <c r="BM1198" s="24"/>
      <c r="BN1198" s="24"/>
      <c r="BO1198" s="24"/>
      <c r="BP1198" s="24"/>
      <c r="BQ1198" s="24"/>
      <c r="BR1198" s="43"/>
      <c r="BS1198" s="24"/>
      <c r="BT1198" s="24"/>
      <c r="BU1198" s="24"/>
      <c r="BV1198" s="132" t="e">
        <f>IF(#REF!="COMPLETO","OK","PENDIENTES")</f>
        <v>#REF!</v>
      </c>
      <c r="BW1198" s="325"/>
      <c r="BX1198" s="325"/>
      <c r="BY1198" s="325"/>
      <c r="BZ1198" s="325"/>
      <c r="CA1198" s="325"/>
      <c r="CB1198" s="325"/>
      <c r="CC1198" s="258" t="s">
        <v>4657</v>
      </c>
      <c r="CG1198" s="24" t="s">
        <v>105</v>
      </c>
      <c r="CH1198" s="24"/>
      <c r="CI1198" s="24"/>
      <c r="CJ1198" s="24"/>
    </row>
    <row r="1199" spans="1:88" ht="15" customHeight="1">
      <c r="A1199" s="18">
        <v>2020</v>
      </c>
      <c r="B1199" s="18" t="str">
        <f>+INDEX(BDD!F:F,MATCH(P1199,BDD!D:D,0))&amp;"-"&amp;INDEX(BDD!E:E,MATCH(P1199,BDD!D:D,0))</f>
        <v>O-S</v>
      </c>
      <c r="C1199" s="125" t="s">
        <v>484</v>
      </c>
      <c r="D1199" s="150" t="s">
        <v>77</v>
      </c>
      <c r="E1199" s="132"/>
      <c r="F1199" s="24"/>
      <c r="G1199" s="346">
        <v>8000001055</v>
      </c>
      <c r="H1199" s="125" t="s">
        <v>4658</v>
      </c>
      <c r="I1199" s="329"/>
      <c r="J1199" s="346">
        <v>8000001055</v>
      </c>
      <c r="K1199" s="24"/>
      <c r="L1199" s="24"/>
      <c r="M1199" s="24"/>
      <c r="N1199" s="340" t="s">
        <v>486</v>
      </c>
      <c r="O1199" s="334">
        <v>208061</v>
      </c>
      <c r="P1199" s="25" t="s">
        <v>379</v>
      </c>
      <c r="Q1199" s="127" t="s">
        <v>303</v>
      </c>
      <c r="R1199" s="232" t="s">
        <v>4648</v>
      </c>
      <c r="S1199" s="89" t="s">
        <v>1727</v>
      </c>
      <c r="T1199" s="36">
        <v>60</v>
      </c>
      <c r="U1199" s="125" t="s">
        <v>118</v>
      </c>
      <c r="V1199" s="147" t="s">
        <v>4659</v>
      </c>
      <c r="W1199" s="129"/>
      <c r="X1199" s="88">
        <v>44192</v>
      </c>
      <c r="Y1199" s="130" t="s">
        <v>20</v>
      </c>
      <c r="Z1199" s="133" t="s">
        <v>60</v>
      </c>
      <c r="AA1199" s="133"/>
      <c r="AB1199" s="241">
        <v>1533</v>
      </c>
      <c r="AC1199" s="134">
        <v>379.9</v>
      </c>
      <c r="AD1199" s="134">
        <v>51</v>
      </c>
      <c r="AE1199" s="403">
        <f t="shared" si="65"/>
        <v>582386.69999999995</v>
      </c>
      <c r="AF1199" s="132" t="s">
        <v>944</v>
      </c>
      <c r="AG1199" s="130" t="s">
        <v>46</v>
      </c>
      <c r="AH1199" s="130"/>
      <c r="AI1199" s="130" t="s">
        <v>100</v>
      </c>
      <c r="AJ1199" s="130"/>
      <c r="AK1199" s="130"/>
      <c r="AL1199" s="135" t="s">
        <v>4609</v>
      </c>
      <c r="AM1199" s="314"/>
      <c r="AN1199" s="26"/>
      <c r="AO1199" s="26"/>
      <c r="AP1199" s="26"/>
      <c r="AQ1199" s="26">
        <v>44140</v>
      </c>
      <c r="AR1199" s="24"/>
      <c r="AS1199" s="24"/>
      <c r="AT1199" s="24">
        <v>44143</v>
      </c>
      <c r="AU1199" s="418">
        <f t="shared" si="66"/>
        <v>11</v>
      </c>
      <c r="AV1199" s="418">
        <f t="shared" si="67"/>
        <v>2020</v>
      </c>
      <c r="AW1199" s="24"/>
      <c r="AX1199" s="28"/>
      <c r="AY1199" s="28" t="s">
        <v>4634</v>
      </c>
      <c r="AZ1199" s="132" t="s">
        <v>37</v>
      </c>
      <c r="BA1199" s="132"/>
      <c r="BB1199" s="24" t="s">
        <v>3291</v>
      </c>
      <c r="BC1199" s="135" t="s">
        <v>4656</v>
      </c>
      <c r="BD1199" s="24">
        <v>44104</v>
      </c>
      <c r="BE1199" s="135" t="s">
        <v>4610</v>
      </c>
      <c r="BF1199" s="135" t="s">
        <v>4610</v>
      </c>
      <c r="BG1199" s="135" t="s">
        <v>52</v>
      </c>
      <c r="BH1199" s="135"/>
      <c r="BI1199" s="314" t="s">
        <v>117</v>
      </c>
      <c r="BJ1199" s="314" t="s">
        <v>148</v>
      </c>
      <c r="BK1199" s="24"/>
      <c r="BL1199" s="24"/>
      <c r="BM1199" s="24"/>
      <c r="BN1199" s="24"/>
      <c r="BO1199" s="24"/>
      <c r="BP1199" s="24"/>
      <c r="BQ1199" s="24"/>
      <c r="BR1199" s="43"/>
      <c r="BS1199" s="24"/>
      <c r="BT1199" s="24"/>
      <c r="BU1199" s="24"/>
      <c r="BV1199" s="132" t="e">
        <f>IF(#REF!="COMPLETO","OK","PENDIENTES")</f>
        <v>#REF!</v>
      </c>
      <c r="BW1199" s="325"/>
      <c r="BX1199" s="325"/>
      <c r="BY1199" s="325"/>
      <c r="BZ1199" s="325"/>
      <c r="CA1199" s="325"/>
      <c r="CB1199" s="325"/>
      <c r="CC1199" s="258" t="s">
        <v>4660</v>
      </c>
      <c r="CG1199" s="24" t="s">
        <v>105</v>
      </c>
      <c r="CH1199" s="24"/>
      <c r="CI1199" s="24"/>
      <c r="CJ1199" s="24"/>
    </row>
    <row r="1200" spans="1:88" ht="15" customHeight="1">
      <c r="A1200" s="18">
        <v>2020</v>
      </c>
      <c r="B1200" s="18" t="str">
        <f>+INDEX(BDD!F:F,MATCH(P1200,BDD!D:D,0))&amp;"-"&amp;INDEX(BDD!E:E,MATCH(P1200,BDD!D:D,0))</f>
        <v>O-S</v>
      </c>
      <c r="C1200" s="125" t="s">
        <v>484</v>
      </c>
      <c r="D1200" s="150" t="s">
        <v>77</v>
      </c>
      <c r="E1200" s="132"/>
      <c r="F1200" s="24"/>
      <c r="G1200" s="346">
        <v>8000001056</v>
      </c>
      <c r="H1200" s="125" t="s">
        <v>4661</v>
      </c>
      <c r="I1200" s="329"/>
      <c r="J1200" s="346">
        <v>8000001056</v>
      </c>
      <c r="K1200" s="24"/>
      <c r="L1200" s="24"/>
      <c r="M1200" s="24"/>
      <c r="N1200" s="340" t="s">
        <v>486</v>
      </c>
      <c r="O1200" s="334">
        <v>208061</v>
      </c>
      <c r="P1200" s="25" t="s">
        <v>379</v>
      </c>
      <c r="Q1200" s="127" t="s">
        <v>303</v>
      </c>
      <c r="R1200" s="232" t="s">
        <v>4648</v>
      </c>
      <c r="S1200" s="89" t="s">
        <v>1727</v>
      </c>
      <c r="T1200" s="36">
        <v>60</v>
      </c>
      <c r="U1200" s="125" t="s">
        <v>118</v>
      </c>
      <c r="V1200" s="147" t="s">
        <v>4662</v>
      </c>
      <c r="W1200" s="129"/>
      <c r="X1200" s="88">
        <v>44192</v>
      </c>
      <c r="Y1200" s="130" t="s">
        <v>20</v>
      </c>
      <c r="Z1200" s="133" t="s">
        <v>60</v>
      </c>
      <c r="AA1200" s="133"/>
      <c r="AB1200" s="241">
        <v>250</v>
      </c>
      <c r="AC1200" s="134">
        <v>379.9</v>
      </c>
      <c r="AD1200" s="134">
        <v>51</v>
      </c>
      <c r="AE1200" s="403">
        <f t="shared" si="65"/>
        <v>94975</v>
      </c>
      <c r="AF1200" s="132" t="s">
        <v>944</v>
      </c>
      <c r="AG1200" s="130" t="s">
        <v>46</v>
      </c>
      <c r="AH1200" s="130"/>
      <c r="AI1200" s="130" t="s">
        <v>100</v>
      </c>
      <c r="AJ1200" s="130"/>
      <c r="AK1200" s="130"/>
      <c r="AL1200" s="135" t="s">
        <v>4609</v>
      </c>
      <c r="AM1200" s="314"/>
      <c r="AN1200" s="26"/>
      <c r="AO1200" s="26"/>
      <c r="AP1200" s="26"/>
      <c r="AQ1200" s="26">
        <v>44144</v>
      </c>
      <c r="AR1200" s="24"/>
      <c r="AS1200" s="24"/>
      <c r="AT1200" s="24">
        <v>44148</v>
      </c>
      <c r="AU1200" s="418">
        <f t="shared" si="66"/>
        <v>11</v>
      </c>
      <c r="AV1200" s="418">
        <f t="shared" si="67"/>
        <v>2020</v>
      </c>
      <c r="AW1200" s="24"/>
      <c r="AX1200" s="28"/>
      <c r="AY1200" s="28" t="s">
        <v>4634</v>
      </c>
      <c r="AZ1200" s="132" t="s">
        <v>50</v>
      </c>
      <c r="BA1200" s="132"/>
      <c r="BB1200" s="24" t="s">
        <v>2956</v>
      </c>
      <c r="BC1200" s="135" t="s">
        <v>4663</v>
      </c>
      <c r="BD1200" s="24">
        <v>44104</v>
      </c>
      <c r="BE1200" s="135" t="s">
        <v>4610</v>
      </c>
      <c r="BF1200" s="135" t="s">
        <v>4610</v>
      </c>
      <c r="BG1200" s="135" t="s">
        <v>52</v>
      </c>
      <c r="BH1200" s="135"/>
      <c r="BI1200" s="314" t="s">
        <v>117</v>
      </c>
      <c r="BJ1200" s="314" t="s">
        <v>148</v>
      </c>
      <c r="BK1200" s="24"/>
      <c r="BL1200" s="24"/>
      <c r="BM1200" s="24"/>
      <c r="BN1200" s="24"/>
      <c r="BO1200" s="24"/>
      <c r="BP1200" s="24"/>
      <c r="BQ1200" s="24"/>
      <c r="BR1200" s="43"/>
      <c r="BS1200" s="24"/>
      <c r="BT1200" s="24"/>
      <c r="BU1200" s="24"/>
      <c r="BV1200" s="132" t="e">
        <f>IF(#REF!="COMPLETO","OK","PENDIENTES")</f>
        <v>#REF!</v>
      </c>
      <c r="BW1200" s="325"/>
      <c r="BX1200" s="325"/>
      <c r="BY1200" s="325"/>
      <c r="BZ1200" s="325"/>
      <c r="CA1200" s="325"/>
      <c r="CB1200" s="325"/>
      <c r="CC1200" s="258" t="s">
        <v>4664</v>
      </c>
      <c r="CG1200" s="24" t="s">
        <v>105</v>
      </c>
      <c r="CH1200" s="24"/>
      <c r="CI1200" s="24"/>
      <c r="CJ1200" s="24"/>
    </row>
    <row r="1201" spans="1:88" ht="15" customHeight="1">
      <c r="A1201" s="18">
        <v>2020</v>
      </c>
      <c r="B1201" s="18" t="str">
        <f>+INDEX(BDD!F:F,MATCH(P1201,BDD!D:D,0))&amp;"-"&amp;INDEX(BDD!E:E,MATCH(P1201,BDD!D:D,0))</f>
        <v>O-S</v>
      </c>
      <c r="C1201" s="125" t="s">
        <v>484</v>
      </c>
      <c r="D1201" s="150" t="s">
        <v>77</v>
      </c>
      <c r="E1201" s="132"/>
      <c r="F1201" s="24"/>
      <c r="G1201" s="346">
        <v>8000001057</v>
      </c>
      <c r="H1201" s="125" t="s">
        <v>4665</v>
      </c>
      <c r="I1201" s="329"/>
      <c r="J1201" s="346">
        <v>8000001057</v>
      </c>
      <c r="K1201" s="24"/>
      <c r="L1201" s="24"/>
      <c r="M1201" s="24"/>
      <c r="N1201" s="340" t="s">
        <v>486</v>
      </c>
      <c r="O1201" s="334">
        <v>208061</v>
      </c>
      <c r="P1201" s="25" t="s">
        <v>379</v>
      </c>
      <c r="Q1201" s="127" t="s">
        <v>303</v>
      </c>
      <c r="R1201" s="232" t="s">
        <v>4648</v>
      </c>
      <c r="S1201" s="89" t="s">
        <v>1727</v>
      </c>
      <c r="T1201" s="36">
        <v>60</v>
      </c>
      <c r="U1201" s="125" t="s">
        <v>118</v>
      </c>
      <c r="V1201" s="147" t="s">
        <v>4666</v>
      </c>
      <c r="W1201" s="129"/>
      <c r="X1201" s="88">
        <v>44192</v>
      </c>
      <c r="Y1201" s="130" t="s">
        <v>20</v>
      </c>
      <c r="Z1201" s="133" t="s">
        <v>60</v>
      </c>
      <c r="AA1201" s="133"/>
      <c r="AB1201" s="241">
        <v>350</v>
      </c>
      <c r="AC1201" s="134">
        <v>379.9</v>
      </c>
      <c r="AD1201" s="134">
        <v>51</v>
      </c>
      <c r="AE1201" s="403">
        <f t="shared" si="65"/>
        <v>132965</v>
      </c>
      <c r="AF1201" s="132" t="s">
        <v>944</v>
      </c>
      <c r="AG1201" s="130" t="s">
        <v>46</v>
      </c>
      <c r="AH1201" s="130"/>
      <c r="AI1201" s="130" t="s">
        <v>100</v>
      </c>
      <c r="AJ1201" s="130"/>
      <c r="AK1201" s="130"/>
      <c r="AL1201" s="135" t="s">
        <v>4609</v>
      </c>
      <c r="AM1201" s="314"/>
      <c r="AN1201" s="26"/>
      <c r="AO1201" s="26"/>
      <c r="AP1201" s="26"/>
      <c r="AQ1201" s="26">
        <v>44149</v>
      </c>
      <c r="AR1201" s="24"/>
      <c r="AS1201" s="24"/>
      <c r="AT1201" s="24">
        <v>44150</v>
      </c>
      <c r="AU1201" s="418">
        <f t="shared" si="66"/>
        <v>11</v>
      </c>
      <c r="AV1201" s="418">
        <f t="shared" si="67"/>
        <v>2020</v>
      </c>
      <c r="AW1201" s="24"/>
      <c r="AX1201" s="28"/>
      <c r="AY1201" s="28" t="s">
        <v>4634</v>
      </c>
      <c r="AZ1201" s="132" t="s">
        <v>62</v>
      </c>
      <c r="BA1201" s="132"/>
      <c r="BB1201" s="24" t="s">
        <v>3264</v>
      </c>
      <c r="BC1201" s="135" t="s">
        <v>4667</v>
      </c>
      <c r="BD1201" s="24">
        <v>44104</v>
      </c>
      <c r="BE1201" s="135" t="s">
        <v>4610</v>
      </c>
      <c r="BF1201" s="135" t="s">
        <v>4610</v>
      </c>
      <c r="BG1201" s="135" t="s">
        <v>52</v>
      </c>
      <c r="BH1201" s="135"/>
      <c r="BI1201" s="314" t="s">
        <v>117</v>
      </c>
      <c r="BJ1201" s="314" t="s">
        <v>148</v>
      </c>
      <c r="BK1201" s="24"/>
      <c r="BL1201" s="24"/>
      <c r="BM1201" s="24"/>
      <c r="BN1201" s="24"/>
      <c r="BO1201" s="24"/>
      <c r="BP1201" s="24"/>
      <c r="BQ1201" s="24"/>
      <c r="BR1201" s="43"/>
      <c r="BS1201" s="24"/>
      <c r="BT1201" s="24"/>
      <c r="BU1201" s="24"/>
      <c r="BV1201" s="132" t="e">
        <f>IF(#REF!="COMPLETO","OK","PENDIENTES")</f>
        <v>#REF!</v>
      </c>
      <c r="BW1201" s="325"/>
      <c r="BX1201" s="325"/>
      <c r="BY1201" s="325"/>
      <c r="BZ1201" s="325"/>
      <c r="CA1201" s="325"/>
      <c r="CB1201" s="325"/>
      <c r="CC1201" s="258" t="s">
        <v>4668</v>
      </c>
      <c r="CG1201" s="24" t="s">
        <v>105</v>
      </c>
      <c r="CH1201" s="24"/>
      <c r="CI1201" s="24"/>
      <c r="CJ1201" s="24"/>
    </row>
    <row r="1202" spans="1:88" ht="15" customHeight="1">
      <c r="A1202" s="18">
        <v>2020</v>
      </c>
      <c r="B1202" s="18" t="str">
        <f>+INDEX(BDD!F:F,MATCH(P1202,BDD!D:D,0))&amp;"-"&amp;INDEX(BDD!E:E,MATCH(P1202,BDD!D:D,0))</f>
        <v>S-S</v>
      </c>
      <c r="C1202" s="125" t="s">
        <v>484</v>
      </c>
      <c r="D1202" s="150" t="s">
        <v>77</v>
      </c>
      <c r="E1202" s="132"/>
      <c r="F1202" s="24"/>
      <c r="G1202" s="346">
        <v>8000001122</v>
      </c>
      <c r="H1202" s="125" t="s">
        <v>4669</v>
      </c>
      <c r="I1202" s="329"/>
      <c r="J1202" s="346">
        <v>8000001122</v>
      </c>
      <c r="K1202" s="24"/>
      <c r="L1202" s="24"/>
      <c r="M1202" s="24"/>
      <c r="N1202" s="340" t="s">
        <v>486</v>
      </c>
      <c r="O1202" s="334">
        <v>206914</v>
      </c>
      <c r="P1202" s="25" t="s">
        <v>335</v>
      </c>
      <c r="Q1202" s="127" t="s">
        <v>264</v>
      </c>
      <c r="R1202" s="232" t="s">
        <v>4670</v>
      </c>
      <c r="S1202" s="89">
        <v>44095</v>
      </c>
      <c r="T1202" s="36">
        <v>90</v>
      </c>
      <c r="U1202" s="125" t="s">
        <v>118</v>
      </c>
      <c r="V1202" s="232" t="s">
        <v>4670</v>
      </c>
      <c r="W1202" s="151"/>
      <c r="X1202" s="88">
        <f>+BD1202+T1202</f>
        <v>44218</v>
      </c>
      <c r="Y1202" s="130" t="s">
        <v>20</v>
      </c>
      <c r="Z1202" s="133" t="s">
        <v>60</v>
      </c>
      <c r="AA1202" s="133"/>
      <c r="AB1202" s="241">
        <v>1200</v>
      </c>
      <c r="AC1202" s="134">
        <v>115.5</v>
      </c>
      <c r="AD1202" s="134">
        <v>44</v>
      </c>
      <c r="AE1202" s="403">
        <f t="shared" si="65"/>
        <v>138600</v>
      </c>
      <c r="AF1202" s="132"/>
      <c r="AG1202" s="130" t="s">
        <v>58</v>
      </c>
      <c r="AH1202" s="130"/>
      <c r="AI1202" s="130" t="s">
        <v>34</v>
      </c>
      <c r="AJ1202" s="130"/>
      <c r="AK1202" s="130"/>
      <c r="AL1202" s="135" t="s">
        <v>4671</v>
      </c>
      <c r="AM1202" s="314"/>
      <c r="AN1202" s="26"/>
      <c r="AO1202" s="26"/>
      <c r="AP1202" s="26"/>
      <c r="AQ1202" s="26">
        <v>44162</v>
      </c>
      <c r="AR1202" s="41"/>
      <c r="AS1202" s="41"/>
      <c r="AT1202" s="24">
        <v>44163</v>
      </c>
      <c r="AU1202" s="418">
        <f t="shared" si="66"/>
        <v>11</v>
      </c>
      <c r="AV1202" s="418">
        <f t="shared" si="67"/>
        <v>2020</v>
      </c>
      <c r="AW1202" s="24"/>
      <c r="AX1202" s="28"/>
      <c r="AY1202" s="28" t="s">
        <v>95</v>
      </c>
      <c r="AZ1202" s="132" t="s">
        <v>9</v>
      </c>
      <c r="BA1202" s="132"/>
      <c r="BB1202" s="24" t="s">
        <v>3519</v>
      </c>
      <c r="BC1202" s="135" t="s">
        <v>4672</v>
      </c>
      <c r="BD1202" s="24">
        <v>44128</v>
      </c>
      <c r="BE1202" s="135" t="s">
        <v>4473</v>
      </c>
      <c r="BF1202" s="135" t="s">
        <v>4473</v>
      </c>
      <c r="BG1202" s="135" t="s">
        <v>52</v>
      </c>
      <c r="BH1202" s="135"/>
      <c r="BI1202" s="314" t="s">
        <v>124</v>
      </c>
      <c r="BJ1202" s="314" t="s">
        <v>143</v>
      </c>
      <c r="BK1202" s="24"/>
      <c r="BL1202" s="24"/>
      <c r="BM1202" s="24"/>
      <c r="BN1202" s="24"/>
      <c r="BO1202" s="41"/>
      <c r="BP1202" s="41"/>
      <c r="BQ1202" s="41"/>
      <c r="BR1202" s="43"/>
      <c r="BS1202" s="41"/>
      <c r="BT1202" s="41"/>
      <c r="BU1202" s="41"/>
      <c r="BV1202" s="132" t="e">
        <f>IF(#REF!="COMPLETO","OK","PENDIENTES")</f>
        <v>#REF!</v>
      </c>
      <c r="BW1202" s="325"/>
      <c r="BX1202" s="325"/>
      <c r="BY1202" s="325"/>
      <c r="BZ1202" s="325"/>
      <c r="CA1202" s="325"/>
      <c r="CB1202" s="325"/>
      <c r="CC1202" s="258"/>
      <c r="CG1202" s="24" t="s">
        <v>105</v>
      </c>
      <c r="CH1202" s="24"/>
      <c r="CI1202" s="24"/>
      <c r="CJ1202" s="24"/>
    </row>
    <row r="1203" spans="1:88" ht="15" customHeight="1">
      <c r="A1203" s="18">
        <v>2020</v>
      </c>
      <c r="B1203" s="18" t="str">
        <f>+INDEX(BDD!F:F,MATCH(P1203,BDD!D:D,0))&amp;"-"&amp;INDEX(BDD!E:E,MATCH(P1203,BDD!D:D,0))</f>
        <v>S-S</v>
      </c>
      <c r="C1203" s="125" t="s">
        <v>484</v>
      </c>
      <c r="D1203" s="150" t="s">
        <v>77</v>
      </c>
      <c r="E1203" s="132"/>
      <c r="F1203" s="24"/>
      <c r="G1203" s="346">
        <v>8000001196</v>
      </c>
      <c r="H1203" s="125" t="s">
        <v>4673</v>
      </c>
      <c r="I1203" s="329"/>
      <c r="J1203" s="346">
        <v>8000001196</v>
      </c>
      <c r="K1203" s="24"/>
      <c r="L1203" s="24"/>
      <c r="M1203" s="24"/>
      <c r="N1203" s="340" t="s">
        <v>486</v>
      </c>
      <c r="O1203" s="334">
        <v>206914</v>
      </c>
      <c r="P1203" s="25" t="s">
        <v>335</v>
      </c>
      <c r="Q1203" s="127" t="s">
        <v>264</v>
      </c>
      <c r="R1203" s="232" t="s">
        <v>4674</v>
      </c>
      <c r="S1203" s="89">
        <v>44095</v>
      </c>
      <c r="T1203" s="36">
        <v>90</v>
      </c>
      <c r="U1203" s="125" t="s">
        <v>118</v>
      </c>
      <c r="V1203" s="232" t="s">
        <v>4675</v>
      </c>
      <c r="W1203" s="151"/>
      <c r="X1203" s="88">
        <f>+BD1203+T1203</f>
        <v>44240</v>
      </c>
      <c r="Y1203" s="130" t="s">
        <v>20</v>
      </c>
      <c r="Z1203" s="133" t="s">
        <v>60</v>
      </c>
      <c r="AA1203" s="133"/>
      <c r="AB1203" s="241">
        <v>600</v>
      </c>
      <c r="AC1203" s="134">
        <v>97.5</v>
      </c>
      <c r="AD1203" s="134"/>
      <c r="AE1203" s="403">
        <f t="shared" si="65"/>
        <v>58500</v>
      </c>
      <c r="AF1203" s="132"/>
      <c r="AG1203" s="130" t="s">
        <v>58</v>
      </c>
      <c r="AH1203" s="130"/>
      <c r="AI1203" s="130" t="s">
        <v>34</v>
      </c>
      <c r="AJ1203" s="130"/>
      <c r="AK1203" s="130"/>
      <c r="AL1203" s="135" t="s">
        <v>4671</v>
      </c>
      <c r="AM1203" s="314"/>
      <c r="AN1203" s="26"/>
      <c r="AO1203" s="26"/>
      <c r="AP1203" s="26"/>
      <c r="AQ1203" s="26">
        <v>44195</v>
      </c>
      <c r="AR1203" s="41"/>
      <c r="AS1203" s="41"/>
      <c r="AT1203" s="24">
        <v>44210</v>
      </c>
      <c r="AU1203" s="418">
        <f t="shared" si="66"/>
        <v>1</v>
      </c>
      <c r="AV1203" s="418">
        <f t="shared" si="67"/>
        <v>2021</v>
      </c>
      <c r="AW1203" s="24"/>
      <c r="AX1203" s="28"/>
      <c r="AY1203" s="28" t="s">
        <v>95</v>
      </c>
      <c r="AZ1203" s="132" t="s">
        <v>37</v>
      </c>
      <c r="BA1203" s="132"/>
      <c r="BB1203" s="24" t="s">
        <v>3593</v>
      </c>
      <c r="BC1203" s="135" t="s">
        <v>4676</v>
      </c>
      <c r="BD1203" s="24">
        <v>44150</v>
      </c>
      <c r="BE1203" s="135" t="s">
        <v>3731</v>
      </c>
      <c r="BF1203" s="135" t="s">
        <v>3731</v>
      </c>
      <c r="BG1203" s="135" t="s">
        <v>52</v>
      </c>
      <c r="BH1203" s="135"/>
      <c r="BI1203" s="314" t="s">
        <v>124</v>
      </c>
      <c r="BJ1203" s="314" t="s">
        <v>143</v>
      </c>
      <c r="BK1203" s="24"/>
      <c r="BL1203" s="24"/>
      <c r="BM1203" s="24"/>
      <c r="BN1203" s="24"/>
      <c r="BO1203" s="41"/>
      <c r="BP1203" s="41"/>
      <c r="BQ1203" s="41"/>
      <c r="BR1203" s="43"/>
      <c r="BS1203" s="41"/>
      <c r="BT1203" s="41"/>
      <c r="BU1203" s="41"/>
      <c r="BV1203" s="132" t="e">
        <f>IF(#REF!="COMPLETO","OK","PENDIENTES")</f>
        <v>#REF!</v>
      </c>
      <c r="BW1203" s="325"/>
      <c r="BX1203" s="325"/>
      <c r="BY1203" s="325"/>
      <c r="BZ1203" s="325"/>
      <c r="CA1203" s="325"/>
      <c r="CB1203" s="325"/>
      <c r="CC1203" s="258"/>
      <c r="CG1203" s="24" t="s">
        <v>105</v>
      </c>
      <c r="CH1203" s="24"/>
      <c r="CI1203" s="24"/>
      <c r="CJ1203" s="24"/>
    </row>
    <row r="1204" spans="1:88" ht="15" customHeight="1">
      <c r="A1204" s="18">
        <v>2020</v>
      </c>
      <c r="B1204" s="18" t="str">
        <f>+INDEX(BDD!F:F,MATCH(P1204,BDD!D:D,0))&amp;"-"&amp;INDEX(BDD!E:E,MATCH(P1204,BDD!D:D,0))</f>
        <v>S-S</v>
      </c>
      <c r="C1204" s="125" t="s">
        <v>484</v>
      </c>
      <c r="D1204" s="150" t="s">
        <v>77</v>
      </c>
      <c r="E1204" s="132"/>
      <c r="F1204" s="24"/>
      <c r="G1204" s="346">
        <v>8000001240</v>
      </c>
      <c r="H1204" s="125" t="s">
        <v>4677</v>
      </c>
      <c r="I1204" s="329"/>
      <c r="J1204" s="346">
        <v>8000001240</v>
      </c>
      <c r="K1204" s="24"/>
      <c r="L1204" s="24"/>
      <c r="M1204" s="24"/>
      <c r="N1204" s="340" t="s">
        <v>486</v>
      </c>
      <c r="O1204" s="334">
        <v>206914</v>
      </c>
      <c r="P1204" s="25" t="s">
        <v>335</v>
      </c>
      <c r="Q1204" s="127" t="s">
        <v>264</v>
      </c>
      <c r="R1204" s="232" t="s">
        <v>4674</v>
      </c>
      <c r="S1204" s="89">
        <v>44095</v>
      </c>
      <c r="T1204" s="36">
        <v>90</v>
      </c>
      <c r="U1204" s="125" t="s">
        <v>118</v>
      </c>
      <c r="V1204" s="147" t="s">
        <v>4678</v>
      </c>
      <c r="W1204" s="129"/>
      <c r="X1204" s="88">
        <v>44260</v>
      </c>
      <c r="Y1204" s="130" t="s">
        <v>20</v>
      </c>
      <c r="Z1204" s="133" t="s">
        <v>60</v>
      </c>
      <c r="AA1204" s="133"/>
      <c r="AB1204" s="241">
        <v>600</v>
      </c>
      <c r="AC1204" s="134">
        <v>97.5</v>
      </c>
      <c r="AD1204" s="134"/>
      <c r="AE1204" s="403">
        <f t="shared" si="65"/>
        <v>58500</v>
      </c>
      <c r="AF1204" s="132"/>
      <c r="AG1204" s="130" t="s">
        <v>58</v>
      </c>
      <c r="AH1204" s="130"/>
      <c r="AI1204" s="130" t="s">
        <v>34</v>
      </c>
      <c r="AJ1204" s="130"/>
      <c r="AK1204" s="130"/>
      <c r="AL1204" s="135" t="s">
        <v>4671</v>
      </c>
      <c r="AM1204" s="314"/>
      <c r="AN1204" s="26"/>
      <c r="AO1204" s="26"/>
      <c r="AP1204" s="26"/>
      <c r="AQ1204" s="26">
        <v>44248</v>
      </c>
      <c r="AR1204" s="41"/>
      <c r="AS1204" s="41"/>
      <c r="AT1204" s="24">
        <v>44253</v>
      </c>
      <c r="AU1204" s="418">
        <f t="shared" si="66"/>
        <v>2</v>
      </c>
      <c r="AV1204" s="418">
        <f t="shared" si="67"/>
        <v>2021</v>
      </c>
      <c r="AW1204" s="24"/>
      <c r="AX1204" s="28"/>
      <c r="AY1204" s="28" t="s">
        <v>95</v>
      </c>
      <c r="AZ1204" s="132" t="s">
        <v>37</v>
      </c>
      <c r="BA1204" s="132"/>
      <c r="BB1204" s="24" t="s">
        <v>3593</v>
      </c>
      <c r="BC1204" s="135" t="s">
        <v>4679</v>
      </c>
      <c r="BD1204" s="26">
        <v>44185</v>
      </c>
      <c r="BE1204" s="135" t="s">
        <v>4680</v>
      </c>
      <c r="BF1204" s="135" t="s">
        <v>4680</v>
      </c>
      <c r="BG1204" s="135" t="s">
        <v>52</v>
      </c>
      <c r="BH1204" s="135"/>
      <c r="BI1204" s="314" t="s">
        <v>124</v>
      </c>
      <c r="BJ1204" s="314" t="s">
        <v>143</v>
      </c>
      <c r="BK1204" s="24"/>
      <c r="BL1204" s="24"/>
      <c r="BM1204" s="24"/>
      <c r="BN1204" s="24"/>
      <c r="BO1204" s="41"/>
      <c r="BP1204" s="41"/>
      <c r="BQ1204" s="41"/>
      <c r="BR1204" s="43"/>
      <c r="BS1204" s="41"/>
      <c r="BT1204" s="41"/>
      <c r="BU1204" s="41"/>
      <c r="BV1204" s="132" t="e">
        <f>IF(#REF!="COMPLETO","OK","PENDIENTES")</f>
        <v>#REF!</v>
      </c>
      <c r="BW1204" s="325"/>
      <c r="BX1204" s="325"/>
      <c r="BY1204" s="325"/>
      <c r="BZ1204" s="325"/>
      <c r="CA1204" s="325"/>
      <c r="CB1204" s="325"/>
      <c r="CC1204" s="258"/>
      <c r="CG1204" s="24" t="s">
        <v>105</v>
      </c>
      <c r="CH1204" s="24"/>
      <c r="CI1204" s="24"/>
      <c r="CJ1204" s="24"/>
    </row>
    <row r="1205" spans="1:88" ht="15" customHeight="1">
      <c r="A1205" s="18">
        <v>2020</v>
      </c>
      <c r="B1205" s="18" t="str">
        <f>+INDEX(BDD!F:F,MATCH(P1205,BDD!D:D,0))&amp;"-"&amp;INDEX(BDD!E:E,MATCH(P1205,BDD!D:D,0))</f>
        <v>S-S</v>
      </c>
      <c r="C1205" s="125" t="s">
        <v>484</v>
      </c>
      <c r="D1205" s="150" t="s">
        <v>77</v>
      </c>
      <c r="E1205" s="132"/>
      <c r="F1205" s="24"/>
      <c r="G1205" s="346">
        <v>8000001140</v>
      </c>
      <c r="H1205" s="125" t="s">
        <v>4681</v>
      </c>
      <c r="I1205" s="329"/>
      <c r="J1205" s="346">
        <v>8000001140</v>
      </c>
      <c r="K1205" s="24"/>
      <c r="L1205" s="24"/>
      <c r="M1205" s="24"/>
      <c r="N1205" s="340" t="s">
        <v>486</v>
      </c>
      <c r="O1205" s="334">
        <v>206914</v>
      </c>
      <c r="P1205" s="25" t="s">
        <v>335</v>
      </c>
      <c r="Q1205" s="127" t="s">
        <v>264</v>
      </c>
      <c r="R1205" s="232" t="s">
        <v>4682</v>
      </c>
      <c r="S1205" s="89">
        <v>44095</v>
      </c>
      <c r="T1205" s="36">
        <v>90</v>
      </c>
      <c r="U1205" s="125" t="s">
        <v>118</v>
      </c>
      <c r="V1205" s="232" t="s">
        <v>4682</v>
      </c>
      <c r="W1205" s="151"/>
      <c r="X1205" s="88">
        <f>+BD1205+T1205</f>
        <v>44217</v>
      </c>
      <c r="Y1205" s="130" t="s">
        <v>20</v>
      </c>
      <c r="Z1205" s="133" t="s">
        <v>60</v>
      </c>
      <c r="AA1205" s="133"/>
      <c r="AB1205" s="241">
        <v>200.4</v>
      </c>
      <c r="AC1205" s="134">
        <v>107</v>
      </c>
      <c r="AD1205" s="134">
        <v>35</v>
      </c>
      <c r="AE1205" s="403">
        <f t="shared" si="65"/>
        <v>21442.799999999999</v>
      </c>
      <c r="AF1205" s="132"/>
      <c r="AG1205" s="130" t="s">
        <v>58</v>
      </c>
      <c r="AH1205" s="130"/>
      <c r="AI1205" s="130" t="s">
        <v>34</v>
      </c>
      <c r="AJ1205" s="130"/>
      <c r="AK1205" s="130"/>
      <c r="AL1205" s="135" t="s">
        <v>4671</v>
      </c>
      <c r="AM1205" s="314"/>
      <c r="AN1205" s="26"/>
      <c r="AO1205" s="26"/>
      <c r="AP1205" s="26"/>
      <c r="AQ1205" s="26">
        <v>44171</v>
      </c>
      <c r="AR1205" s="24"/>
      <c r="AS1205" s="24"/>
      <c r="AT1205" s="24">
        <v>44174</v>
      </c>
      <c r="AU1205" s="418">
        <f t="shared" si="66"/>
        <v>12</v>
      </c>
      <c r="AV1205" s="418">
        <f t="shared" si="67"/>
        <v>2020</v>
      </c>
      <c r="AW1205" s="24"/>
      <c r="AX1205" s="28"/>
      <c r="AY1205" s="28" t="s">
        <v>95</v>
      </c>
      <c r="AZ1205" s="132" t="s">
        <v>62</v>
      </c>
      <c r="BA1205" s="132"/>
      <c r="BB1205" s="24" t="s">
        <v>3334</v>
      </c>
      <c r="BC1205" s="135" t="s">
        <v>4683</v>
      </c>
      <c r="BD1205" s="24">
        <v>44127</v>
      </c>
      <c r="BE1205" s="135" t="s">
        <v>4473</v>
      </c>
      <c r="BF1205" s="135" t="s">
        <v>4473</v>
      </c>
      <c r="BG1205" s="135" t="s">
        <v>52</v>
      </c>
      <c r="BH1205" s="135"/>
      <c r="BI1205" s="314" t="s">
        <v>124</v>
      </c>
      <c r="BJ1205" s="314" t="s">
        <v>143</v>
      </c>
      <c r="BK1205" s="24"/>
      <c r="BL1205" s="24"/>
      <c r="BM1205" s="24"/>
      <c r="BN1205" s="24"/>
      <c r="BO1205" s="24"/>
      <c r="BP1205" s="24"/>
      <c r="BQ1205" s="24"/>
      <c r="BR1205" s="43"/>
      <c r="BS1205" s="24"/>
      <c r="BT1205" s="24"/>
      <c r="BU1205" s="24"/>
      <c r="BV1205" s="132" t="e">
        <f>IF(#REF!="COMPLETO","OK","PENDIENTES")</f>
        <v>#REF!</v>
      </c>
      <c r="BW1205" s="325"/>
      <c r="BX1205" s="325"/>
      <c r="BY1205" s="325"/>
      <c r="BZ1205" s="325"/>
      <c r="CA1205" s="325"/>
      <c r="CB1205" s="325"/>
      <c r="CC1205" s="258"/>
      <c r="CG1205" s="24" t="s">
        <v>105</v>
      </c>
      <c r="CH1205" s="24"/>
      <c r="CI1205" s="24"/>
      <c r="CJ1205" s="24"/>
    </row>
    <row r="1206" spans="1:88" ht="15" customHeight="1">
      <c r="A1206" s="18">
        <v>2020</v>
      </c>
      <c r="B1206" s="18" t="str">
        <f>+INDEX(BDD!F:F,MATCH(P1206,BDD!D:D,0))&amp;"-"&amp;INDEX(BDD!E:E,MATCH(P1206,BDD!D:D,0))</f>
        <v>S-S</v>
      </c>
      <c r="C1206" s="125" t="s">
        <v>484</v>
      </c>
      <c r="D1206" s="152" t="s">
        <v>92</v>
      </c>
      <c r="E1206" s="132"/>
      <c r="F1206" s="24"/>
      <c r="G1206" s="346"/>
      <c r="H1206" s="125" t="s">
        <v>4684</v>
      </c>
      <c r="I1206" s="330"/>
      <c r="J1206" s="346"/>
      <c r="K1206" s="24"/>
      <c r="L1206" s="24"/>
      <c r="M1206" s="24"/>
      <c r="N1206" s="340"/>
      <c r="O1206" s="334"/>
      <c r="P1206" s="25" t="s">
        <v>335</v>
      </c>
      <c r="Q1206" s="127" t="s">
        <v>264</v>
      </c>
      <c r="R1206" s="232"/>
      <c r="S1206" s="89"/>
      <c r="T1206" s="36"/>
      <c r="U1206" s="125"/>
      <c r="V1206" s="147"/>
      <c r="W1206" s="129"/>
      <c r="X1206" s="88"/>
      <c r="Y1206" s="130"/>
      <c r="Z1206" s="133"/>
      <c r="AA1206" s="133"/>
      <c r="AB1206" s="241"/>
      <c r="AC1206" s="134"/>
      <c r="AD1206" s="134"/>
      <c r="AE1206" s="403">
        <f t="shared" si="65"/>
        <v>0</v>
      </c>
      <c r="AF1206" s="132"/>
      <c r="AG1206" s="130"/>
      <c r="AH1206" s="130"/>
      <c r="AI1206" s="130"/>
      <c r="AJ1206" s="130"/>
      <c r="AK1206" s="130"/>
      <c r="AL1206" s="135"/>
      <c r="AM1206" s="314"/>
      <c r="AN1206" s="26"/>
      <c r="AO1206" s="26"/>
      <c r="AP1206" s="26"/>
      <c r="AQ1206" s="26"/>
      <c r="AR1206" s="24"/>
      <c r="AS1206" s="24"/>
      <c r="AT1206" s="24"/>
      <c r="AU1206" s="418">
        <f t="shared" si="66"/>
        <v>1</v>
      </c>
      <c r="AV1206" s="418">
        <f t="shared" si="67"/>
        <v>1900</v>
      </c>
      <c r="AW1206" s="24"/>
      <c r="AX1206" s="28"/>
      <c r="AY1206" s="28"/>
      <c r="AZ1206" s="132"/>
      <c r="BA1206" s="132"/>
      <c r="BB1206" s="24"/>
      <c r="BC1206" s="135"/>
      <c r="BD1206" s="24"/>
      <c r="BE1206" s="135"/>
      <c r="BF1206" s="135"/>
      <c r="BG1206" s="135"/>
      <c r="BH1206" s="135"/>
      <c r="BI1206" s="314"/>
      <c r="BJ1206" s="314"/>
      <c r="BK1206" s="24"/>
      <c r="BL1206" s="24"/>
      <c r="BM1206" s="24"/>
      <c r="BN1206" s="24"/>
      <c r="BO1206" s="24"/>
      <c r="BP1206" s="24"/>
      <c r="BQ1206" s="24"/>
      <c r="BR1206" s="43"/>
      <c r="BS1206" s="24"/>
      <c r="BT1206" s="24"/>
      <c r="BU1206" s="24"/>
      <c r="BV1206" s="132"/>
      <c r="BW1206" s="325"/>
      <c r="BX1206" s="325"/>
      <c r="BY1206" s="325"/>
      <c r="BZ1206" s="325"/>
      <c r="CA1206" s="325"/>
      <c r="CB1206" s="325"/>
      <c r="CC1206" s="258"/>
      <c r="CD1206" s="22"/>
      <c r="CE1206" s="22"/>
      <c r="CF1206" s="22"/>
      <c r="CG1206" s="24"/>
      <c r="CH1206" s="24"/>
      <c r="CI1206" s="24"/>
      <c r="CJ1206" s="24"/>
    </row>
    <row r="1207" spans="1:88" ht="15" customHeight="1">
      <c r="A1207" s="18">
        <v>2020</v>
      </c>
      <c r="B1207" s="18" t="str">
        <f>+INDEX(BDD!F:F,MATCH(P1207,BDD!D:D,0))&amp;"-"&amp;INDEX(BDD!E:E,MATCH(P1207,BDD!D:D,0))</f>
        <v>S-S</v>
      </c>
      <c r="C1207" s="125" t="s">
        <v>484</v>
      </c>
      <c r="D1207" s="152" t="s">
        <v>92</v>
      </c>
      <c r="E1207" s="132"/>
      <c r="F1207" s="24"/>
      <c r="G1207" s="346"/>
      <c r="H1207" s="125" t="s">
        <v>4685</v>
      </c>
      <c r="I1207" s="330"/>
      <c r="J1207" s="346"/>
      <c r="K1207" s="24"/>
      <c r="L1207" s="24"/>
      <c r="M1207" s="24"/>
      <c r="N1207" s="340"/>
      <c r="O1207" s="334"/>
      <c r="P1207" s="25" t="s">
        <v>335</v>
      </c>
      <c r="Q1207" s="127" t="s">
        <v>264</v>
      </c>
      <c r="R1207" s="232"/>
      <c r="S1207" s="89"/>
      <c r="T1207" s="36"/>
      <c r="U1207" s="125"/>
      <c r="V1207" s="147"/>
      <c r="W1207" s="129"/>
      <c r="X1207" s="88"/>
      <c r="Y1207" s="130"/>
      <c r="Z1207" s="133"/>
      <c r="AA1207" s="133"/>
      <c r="AB1207" s="241"/>
      <c r="AC1207" s="134"/>
      <c r="AD1207" s="134"/>
      <c r="AE1207" s="403">
        <f t="shared" si="65"/>
        <v>0</v>
      </c>
      <c r="AF1207" s="132"/>
      <c r="AG1207" s="130"/>
      <c r="AH1207" s="130"/>
      <c r="AI1207" s="130"/>
      <c r="AJ1207" s="130"/>
      <c r="AK1207" s="130"/>
      <c r="AL1207" s="135"/>
      <c r="AM1207" s="314"/>
      <c r="AN1207" s="26"/>
      <c r="AO1207" s="26"/>
      <c r="AP1207" s="26"/>
      <c r="AQ1207" s="26"/>
      <c r="AR1207" s="24"/>
      <c r="AS1207" s="24"/>
      <c r="AT1207" s="24"/>
      <c r="AU1207" s="418">
        <f t="shared" si="66"/>
        <v>1</v>
      </c>
      <c r="AV1207" s="418">
        <f t="shared" si="67"/>
        <v>1900</v>
      </c>
      <c r="AW1207" s="24"/>
      <c r="AX1207" s="28"/>
      <c r="AY1207" s="28"/>
      <c r="AZ1207" s="132"/>
      <c r="BA1207" s="132"/>
      <c r="BB1207" s="24"/>
      <c r="BC1207" s="135"/>
      <c r="BD1207" s="24"/>
      <c r="BE1207" s="135"/>
      <c r="BF1207" s="135"/>
      <c r="BG1207" s="135"/>
      <c r="BH1207" s="135"/>
      <c r="BI1207" s="314"/>
      <c r="BJ1207" s="314"/>
      <c r="BK1207" s="24"/>
      <c r="BL1207" s="24"/>
      <c r="BM1207" s="24"/>
      <c r="BN1207" s="24"/>
      <c r="BO1207" s="24"/>
      <c r="BP1207" s="24"/>
      <c r="BQ1207" s="24"/>
      <c r="BR1207" s="43"/>
      <c r="BS1207" s="24"/>
      <c r="BT1207" s="24"/>
      <c r="BU1207" s="24"/>
      <c r="BV1207" s="132"/>
      <c r="BW1207" s="325"/>
      <c r="BX1207" s="325"/>
      <c r="BY1207" s="325"/>
      <c r="BZ1207" s="325"/>
      <c r="CA1207" s="325"/>
      <c r="CB1207" s="325"/>
      <c r="CC1207" s="258"/>
      <c r="CD1207" s="22"/>
      <c r="CE1207" s="22"/>
      <c r="CF1207" s="22"/>
      <c r="CG1207" s="24"/>
      <c r="CH1207" s="24"/>
      <c r="CI1207" s="24"/>
      <c r="CJ1207" s="24"/>
    </row>
    <row r="1208" spans="1:88" ht="15" customHeight="1">
      <c r="A1208" s="18">
        <v>2020</v>
      </c>
      <c r="B1208" s="18" t="str">
        <f>+INDEX(BDD!F:F,MATCH(P1208,BDD!D:D,0))&amp;"-"&amp;INDEX(BDD!E:E,MATCH(P1208,BDD!D:D,0))</f>
        <v>S-S</v>
      </c>
      <c r="C1208" s="125" t="s">
        <v>484</v>
      </c>
      <c r="D1208" s="150" t="s">
        <v>77</v>
      </c>
      <c r="E1208" s="132"/>
      <c r="F1208" s="24"/>
      <c r="G1208" s="346">
        <v>8000001236</v>
      </c>
      <c r="H1208" s="125" t="s">
        <v>4686</v>
      </c>
      <c r="I1208" s="329"/>
      <c r="J1208" s="346">
        <v>8000001236</v>
      </c>
      <c r="K1208" s="24"/>
      <c r="L1208" s="24"/>
      <c r="M1208" s="24"/>
      <c r="N1208" s="340" t="s">
        <v>486</v>
      </c>
      <c r="O1208" s="334">
        <v>206971</v>
      </c>
      <c r="P1208" s="25" t="s">
        <v>340</v>
      </c>
      <c r="Q1208" s="127" t="s">
        <v>4469</v>
      </c>
      <c r="R1208" s="232" t="s">
        <v>4687</v>
      </c>
      <c r="S1208" s="89">
        <v>44096</v>
      </c>
      <c r="T1208" s="36">
        <v>30</v>
      </c>
      <c r="U1208" s="125" t="s">
        <v>118</v>
      </c>
      <c r="V1208" s="147" t="s">
        <v>4688</v>
      </c>
      <c r="W1208" s="129"/>
      <c r="X1208" s="88">
        <f>+BD1208+T1208</f>
        <v>44186</v>
      </c>
      <c r="Y1208" s="130" t="s">
        <v>20</v>
      </c>
      <c r="Z1208" s="133" t="s">
        <v>60</v>
      </c>
      <c r="AA1208" s="133"/>
      <c r="AB1208" s="241">
        <v>504</v>
      </c>
      <c r="AC1208" s="134">
        <v>410</v>
      </c>
      <c r="AD1208" s="134"/>
      <c r="AE1208" s="403">
        <f t="shared" si="65"/>
        <v>206640</v>
      </c>
      <c r="AF1208" s="132">
        <v>21</v>
      </c>
      <c r="AG1208" s="130" t="s">
        <v>5</v>
      </c>
      <c r="AH1208" s="130"/>
      <c r="AI1208" s="130" t="s">
        <v>34</v>
      </c>
      <c r="AJ1208" s="130"/>
      <c r="AK1208" s="130"/>
      <c r="AL1208" s="135" t="s">
        <v>4551</v>
      </c>
      <c r="AM1208" s="314"/>
      <c r="AN1208" s="26"/>
      <c r="AO1208" s="26"/>
      <c r="AP1208" s="26"/>
      <c r="AQ1208" s="26">
        <v>44246</v>
      </c>
      <c r="AR1208" s="24"/>
      <c r="AS1208" s="24"/>
      <c r="AT1208" s="24">
        <v>44250</v>
      </c>
      <c r="AU1208" s="418">
        <f t="shared" si="66"/>
        <v>2</v>
      </c>
      <c r="AV1208" s="418">
        <f t="shared" si="67"/>
        <v>2021</v>
      </c>
      <c r="AW1208" s="24"/>
      <c r="AX1208" s="28"/>
      <c r="AY1208" s="28" t="s">
        <v>4312</v>
      </c>
      <c r="AZ1208" s="132" t="s">
        <v>9</v>
      </c>
      <c r="BA1208" s="132"/>
      <c r="BB1208" s="24" t="s">
        <v>3519</v>
      </c>
      <c r="BC1208" s="135" t="s">
        <v>4689</v>
      </c>
      <c r="BD1208" s="24">
        <v>44156</v>
      </c>
      <c r="BE1208" s="135" t="s">
        <v>4325</v>
      </c>
      <c r="BF1208" s="135" t="s">
        <v>994</v>
      </c>
      <c r="BG1208" s="135" t="s">
        <v>14</v>
      </c>
      <c r="BH1208" s="135"/>
      <c r="BI1208" s="314" t="s">
        <v>124</v>
      </c>
      <c r="BJ1208" s="314" t="s">
        <v>138</v>
      </c>
      <c r="BK1208" s="24"/>
      <c r="BL1208" s="24"/>
      <c r="BM1208" s="24"/>
      <c r="BN1208" s="24"/>
      <c r="BO1208" s="24"/>
      <c r="BP1208" s="24"/>
      <c r="BQ1208" s="24"/>
      <c r="BR1208" s="43"/>
      <c r="BS1208" s="24"/>
      <c r="BT1208" s="24"/>
      <c r="BU1208" s="24"/>
      <c r="BV1208" s="132" t="e">
        <f>IF(#REF!="COMPLETO","OK","PENDIENTES")</f>
        <v>#REF!</v>
      </c>
      <c r="BW1208" s="325"/>
      <c r="BX1208" s="325"/>
      <c r="BY1208" s="325"/>
      <c r="BZ1208" s="325"/>
      <c r="CA1208" s="325"/>
      <c r="CB1208" s="325"/>
      <c r="CC1208" s="258"/>
      <c r="CG1208" s="24" t="s">
        <v>105</v>
      </c>
      <c r="CH1208" s="24"/>
      <c r="CI1208" s="24"/>
      <c r="CJ1208" s="24"/>
    </row>
    <row r="1209" spans="1:88" ht="15" customHeight="1">
      <c r="A1209" s="18">
        <v>2020</v>
      </c>
      <c r="B1209" s="18" t="str">
        <f>+INDEX(BDD!F:F,MATCH(P1209,BDD!D:D,0))&amp;"-"&amp;INDEX(BDD!E:E,MATCH(P1209,BDD!D:D,0))</f>
        <v>S-S</v>
      </c>
      <c r="C1209" s="125" t="s">
        <v>484</v>
      </c>
      <c r="D1209" s="150" t="s">
        <v>77</v>
      </c>
      <c r="E1209" s="132"/>
      <c r="F1209" s="24"/>
      <c r="G1209" s="346">
        <v>8000001209</v>
      </c>
      <c r="H1209" s="125" t="s">
        <v>4690</v>
      </c>
      <c r="I1209" s="329"/>
      <c r="J1209" s="346">
        <v>8000001209</v>
      </c>
      <c r="K1209" s="24"/>
      <c r="L1209" s="24"/>
      <c r="M1209" s="24"/>
      <c r="N1209" s="340" t="s">
        <v>486</v>
      </c>
      <c r="O1209" s="334">
        <v>206971</v>
      </c>
      <c r="P1209" s="25" t="s">
        <v>340</v>
      </c>
      <c r="Q1209" s="127" t="s">
        <v>4469</v>
      </c>
      <c r="R1209" s="232" t="s">
        <v>4687</v>
      </c>
      <c r="S1209" s="89">
        <v>44096</v>
      </c>
      <c r="T1209" s="36">
        <v>30</v>
      </c>
      <c r="U1209" s="125" t="s">
        <v>118</v>
      </c>
      <c r="V1209" s="147" t="s">
        <v>4691</v>
      </c>
      <c r="W1209" s="129"/>
      <c r="X1209" s="88">
        <f>+BD1209+T1209</f>
        <v>44207</v>
      </c>
      <c r="Y1209" s="130" t="s">
        <v>20</v>
      </c>
      <c r="Z1209" s="133" t="s">
        <v>60</v>
      </c>
      <c r="AA1209" s="133"/>
      <c r="AB1209" s="241">
        <v>504</v>
      </c>
      <c r="AC1209" s="134">
        <v>410</v>
      </c>
      <c r="AD1209" s="134"/>
      <c r="AE1209" s="403">
        <f t="shared" si="65"/>
        <v>206640</v>
      </c>
      <c r="AF1209" s="132">
        <v>21</v>
      </c>
      <c r="AG1209" s="130" t="s">
        <v>5</v>
      </c>
      <c r="AH1209" s="130"/>
      <c r="AI1209" s="130" t="s">
        <v>34</v>
      </c>
      <c r="AJ1209" s="130"/>
      <c r="AK1209" s="130"/>
      <c r="AL1209" s="135" t="s">
        <v>4551</v>
      </c>
      <c r="AM1209" s="314"/>
      <c r="AN1209" s="26"/>
      <c r="AO1209" s="26"/>
      <c r="AP1209" s="26"/>
      <c r="AQ1209" s="26">
        <v>44219</v>
      </c>
      <c r="AR1209" s="24"/>
      <c r="AS1209" s="24"/>
      <c r="AT1209" s="24">
        <v>44222</v>
      </c>
      <c r="AU1209" s="418">
        <f t="shared" si="66"/>
        <v>1</v>
      </c>
      <c r="AV1209" s="418">
        <f t="shared" si="67"/>
        <v>2021</v>
      </c>
      <c r="AW1209" s="24"/>
      <c r="AX1209" s="28"/>
      <c r="AY1209" s="28" t="s">
        <v>4312</v>
      </c>
      <c r="AZ1209" s="132" t="s">
        <v>9</v>
      </c>
      <c r="BA1209" s="132"/>
      <c r="BB1209" s="24" t="s">
        <v>3264</v>
      </c>
      <c r="BC1209" s="135" t="s">
        <v>4692</v>
      </c>
      <c r="BD1209" s="24">
        <v>44177</v>
      </c>
      <c r="BE1209" s="135" t="s">
        <v>4693</v>
      </c>
      <c r="BF1209" s="135" t="s">
        <v>994</v>
      </c>
      <c r="BG1209" s="135" t="s">
        <v>41</v>
      </c>
      <c r="BH1209" s="135"/>
      <c r="BI1209" s="314" t="s">
        <v>124</v>
      </c>
      <c r="BJ1209" s="314" t="s">
        <v>148</v>
      </c>
      <c r="BK1209" s="24"/>
      <c r="BL1209" s="24"/>
      <c r="BM1209" s="24"/>
      <c r="BN1209" s="24"/>
      <c r="BO1209" s="24">
        <v>44229</v>
      </c>
      <c r="BP1209" s="24"/>
      <c r="BQ1209" s="24"/>
      <c r="BR1209" s="43"/>
      <c r="BS1209" s="24"/>
      <c r="BT1209" s="24"/>
      <c r="BU1209" s="24"/>
      <c r="BV1209" s="132" t="e">
        <f>IF(#REF!="COMPLETO","OK","PENDIENTES")</f>
        <v>#REF!</v>
      </c>
      <c r="BW1209" s="325"/>
      <c r="BX1209" s="325"/>
      <c r="BY1209" s="325"/>
      <c r="BZ1209" s="325"/>
      <c r="CA1209" s="325"/>
      <c r="CB1209" s="325"/>
      <c r="CC1209" s="258"/>
      <c r="CG1209" s="24" t="s">
        <v>105</v>
      </c>
      <c r="CH1209" s="24"/>
      <c r="CI1209" s="24"/>
      <c r="CJ1209" s="24"/>
    </row>
    <row r="1210" spans="1:88" ht="15" customHeight="1">
      <c r="A1210" s="18">
        <v>2020</v>
      </c>
      <c r="B1210" s="18" t="str">
        <f>+INDEX(BDD!F:F,MATCH(P1210,BDD!D:D,0))&amp;"-"&amp;INDEX(BDD!E:E,MATCH(P1210,BDD!D:D,0))</f>
        <v>S-S</v>
      </c>
      <c r="C1210" s="125" t="s">
        <v>484</v>
      </c>
      <c r="D1210" s="150" t="s">
        <v>77</v>
      </c>
      <c r="E1210" s="132"/>
      <c r="F1210" s="24"/>
      <c r="G1210" s="346">
        <v>8000001247</v>
      </c>
      <c r="H1210" s="125" t="s">
        <v>4694</v>
      </c>
      <c r="I1210" s="329"/>
      <c r="J1210" s="346">
        <v>8000001247</v>
      </c>
      <c r="K1210" s="24"/>
      <c r="L1210" s="24"/>
      <c r="M1210" s="24"/>
      <c r="N1210" s="340" t="s">
        <v>486</v>
      </c>
      <c r="O1210" s="334">
        <v>206971</v>
      </c>
      <c r="P1210" s="25" t="s">
        <v>340</v>
      </c>
      <c r="Q1210" s="127" t="s">
        <v>4469</v>
      </c>
      <c r="R1210" s="232" t="s">
        <v>4687</v>
      </c>
      <c r="S1210" s="89">
        <v>44096</v>
      </c>
      <c r="T1210" s="36">
        <v>30</v>
      </c>
      <c r="U1210" s="125" t="s">
        <v>118</v>
      </c>
      <c r="V1210" s="147" t="s">
        <v>4695</v>
      </c>
      <c r="W1210" s="129"/>
      <c r="X1210" s="88">
        <f>+BD1210+T1210</f>
        <v>44239</v>
      </c>
      <c r="Y1210" s="130" t="s">
        <v>20</v>
      </c>
      <c r="Z1210" s="133" t="s">
        <v>60</v>
      </c>
      <c r="AA1210" s="133"/>
      <c r="AB1210" s="241">
        <v>480</v>
      </c>
      <c r="AC1210" s="134">
        <v>410</v>
      </c>
      <c r="AD1210" s="134"/>
      <c r="AE1210" s="403">
        <f t="shared" si="65"/>
        <v>196800</v>
      </c>
      <c r="AF1210" s="132">
        <v>20</v>
      </c>
      <c r="AG1210" s="130" t="s">
        <v>5</v>
      </c>
      <c r="AH1210" s="130"/>
      <c r="AI1210" s="130" t="s">
        <v>34</v>
      </c>
      <c r="AJ1210" s="130"/>
      <c r="AK1210" s="130"/>
      <c r="AL1210" s="135" t="s">
        <v>4551</v>
      </c>
      <c r="AM1210" s="314"/>
      <c r="AN1210" s="26"/>
      <c r="AO1210" s="26"/>
      <c r="AP1210" s="26"/>
      <c r="AQ1210" s="26">
        <v>44253</v>
      </c>
      <c r="AR1210" s="24"/>
      <c r="AS1210" s="24"/>
      <c r="AT1210" s="24">
        <v>44258</v>
      </c>
      <c r="AU1210" s="418">
        <f t="shared" si="66"/>
        <v>3</v>
      </c>
      <c r="AV1210" s="418">
        <f t="shared" si="67"/>
        <v>2021</v>
      </c>
      <c r="AW1210" s="24"/>
      <c r="AX1210" s="28"/>
      <c r="AY1210" s="28" t="s">
        <v>4312</v>
      </c>
      <c r="AZ1210" s="132" t="s">
        <v>9</v>
      </c>
      <c r="BA1210" s="132"/>
      <c r="BB1210" s="24" t="s">
        <v>3519</v>
      </c>
      <c r="BC1210" s="135" t="s">
        <v>4696</v>
      </c>
      <c r="BD1210" s="24">
        <v>44209</v>
      </c>
      <c r="BE1210" s="135" t="s">
        <v>4693</v>
      </c>
      <c r="BF1210" s="135" t="s">
        <v>3276</v>
      </c>
      <c r="BG1210" s="135" t="s">
        <v>41</v>
      </c>
      <c r="BH1210" s="135"/>
      <c r="BI1210" s="314" t="s">
        <v>124</v>
      </c>
      <c r="BJ1210" s="314" t="s">
        <v>143</v>
      </c>
      <c r="BK1210" s="24"/>
      <c r="BL1210" s="24"/>
      <c r="BM1210" s="24"/>
      <c r="BN1210" s="24"/>
      <c r="BO1210" s="24"/>
      <c r="BP1210" s="24"/>
      <c r="BQ1210" s="24"/>
      <c r="BR1210" s="43"/>
      <c r="BS1210" s="24"/>
      <c r="BT1210" s="24"/>
      <c r="BU1210" s="24"/>
      <c r="BV1210" s="132" t="e">
        <f>IF(#REF!="COMPLETO","OK","PENDIENTES")</f>
        <v>#REF!</v>
      </c>
      <c r="BW1210" s="326"/>
      <c r="BX1210" s="326"/>
      <c r="BY1210" s="326"/>
      <c r="BZ1210" s="326"/>
      <c r="CA1210" s="326"/>
      <c r="CB1210" s="326"/>
      <c r="CC1210" s="273" t="s">
        <v>4697</v>
      </c>
      <c r="CG1210" s="24" t="s">
        <v>105</v>
      </c>
      <c r="CH1210" s="24"/>
      <c r="CI1210" s="24"/>
      <c r="CJ1210" s="24"/>
    </row>
    <row r="1211" spans="1:88" ht="15" customHeight="1">
      <c r="A1211" s="18">
        <v>2020</v>
      </c>
      <c r="B1211" s="18" t="str">
        <f>+INDEX(BDD!F:F,MATCH(P1211,BDD!D:D,0))&amp;"-"&amp;INDEX(BDD!E:E,MATCH(P1211,BDD!D:D,0))</f>
        <v>S-S</v>
      </c>
      <c r="C1211" s="125" t="s">
        <v>484</v>
      </c>
      <c r="D1211" s="150" t="s">
        <v>77</v>
      </c>
      <c r="E1211" s="132"/>
      <c r="F1211" s="24"/>
      <c r="G1211" s="346">
        <v>8000001262</v>
      </c>
      <c r="H1211" s="125" t="s">
        <v>4698</v>
      </c>
      <c r="I1211" s="329"/>
      <c r="J1211" s="346">
        <v>8000001262</v>
      </c>
      <c r="K1211" s="24"/>
      <c r="L1211" s="24"/>
      <c r="M1211" s="24"/>
      <c r="N1211" s="340" t="s">
        <v>486</v>
      </c>
      <c r="O1211" s="334">
        <v>206971</v>
      </c>
      <c r="P1211" s="25" t="s">
        <v>340</v>
      </c>
      <c r="Q1211" s="127" t="s">
        <v>4469</v>
      </c>
      <c r="R1211" s="232" t="s">
        <v>4687</v>
      </c>
      <c r="S1211" s="89">
        <v>44096</v>
      </c>
      <c r="T1211" s="36">
        <v>30</v>
      </c>
      <c r="U1211" s="125" t="s">
        <v>118</v>
      </c>
      <c r="V1211" s="147" t="s">
        <v>4695</v>
      </c>
      <c r="W1211" s="129"/>
      <c r="X1211" s="88">
        <f>+BD1211+T1211</f>
        <v>44239</v>
      </c>
      <c r="Y1211" s="130" t="s">
        <v>20</v>
      </c>
      <c r="Z1211" s="133" t="s">
        <v>60</v>
      </c>
      <c r="AA1211" s="133"/>
      <c r="AB1211" s="241">
        <v>24</v>
      </c>
      <c r="AC1211" s="134">
        <v>410</v>
      </c>
      <c r="AD1211" s="134"/>
      <c r="AE1211" s="403">
        <f t="shared" si="65"/>
        <v>9840</v>
      </c>
      <c r="AF1211" s="132">
        <v>1</v>
      </c>
      <c r="AG1211" s="130" t="s">
        <v>5</v>
      </c>
      <c r="AH1211" s="130"/>
      <c r="AI1211" s="130" t="s">
        <v>34</v>
      </c>
      <c r="AJ1211" s="130"/>
      <c r="AK1211" s="130"/>
      <c r="AL1211" s="135" t="s">
        <v>4551</v>
      </c>
      <c r="AM1211" s="314"/>
      <c r="AN1211" s="26"/>
      <c r="AO1211" s="26"/>
      <c r="AP1211" s="26"/>
      <c r="AQ1211" s="26">
        <v>44274</v>
      </c>
      <c r="AR1211" s="24"/>
      <c r="AS1211" s="24"/>
      <c r="AT1211" s="24">
        <v>44280</v>
      </c>
      <c r="AU1211" s="418">
        <f t="shared" si="66"/>
        <v>3</v>
      </c>
      <c r="AV1211" s="418">
        <f t="shared" si="67"/>
        <v>2021</v>
      </c>
      <c r="AW1211" s="24"/>
      <c r="AX1211" s="28"/>
      <c r="AY1211" s="28" t="s">
        <v>4312</v>
      </c>
      <c r="AZ1211" s="132" t="s">
        <v>9</v>
      </c>
      <c r="BA1211" s="132"/>
      <c r="BB1211" s="24" t="s">
        <v>3264</v>
      </c>
      <c r="BC1211" s="135" t="s">
        <v>4699</v>
      </c>
      <c r="BD1211" s="24">
        <v>44209</v>
      </c>
      <c r="BE1211" s="135" t="s">
        <v>4693</v>
      </c>
      <c r="BF1211" s="135" t="s">
        <v>3276</v>
      </c>
      <c r="BG1211" s="135" t="s">
        <v>41</v>
      </c>
      <c r="BH1211" s="135"/>
      <c r="BI1211" s="314" t="s">
        <v>124</v>
      </c>
      <c r="BJ1211" s="314" t="s">
        <v>143</v>
      </c>
      <c r="BK1211" s="24"/>
      <c r="BL1211" s="24"/>
      <c r="BM1211" s="24"/>
      <c r="BN1211" s="24"/>
      <c r="BO1211" s="24">
        <v>44287</v>
      </c>
      <c r="BP1211" s="24"/>
      <c r="BQ1211" s="24"/>
      <c r="BR1211" s="43"/>
      <c r="BS1211" s="24"/>
      <c r="BT1211" s="24"/>
      <c r="BU1211" s="24"/>
      <c r="BV1211" s="132" t="e">
        <f>IF(#REF!="COMPLETO","OK","PENDIENTES")</f>
        <v>#REF!</v>
      </c>
      <c r="BW1211" s="325"/>
      <c r="BX1211" s="325"/>
      <c r="BY1211" s="325"/>
      <c r="BZ1211" s="325"/>
      <c r="CA1211" s="325"/>
      <c r="CB1211" s="325"/>
      <c r="CC1211" s="258"/>
      <c r="CG1211" s="24" t="s">
        <v>105</v>
      </c>
      <c r="CH1211" s="24"/>
      <c r="CI1211" s="24"/>
      <c r="CJ1211" s="24"/>
    </row>
    <row r="1212" spans="1:88" ht="15" customHeight="1">
      <c r="A1212" s="18">
        <v>2020</v>
      </c>
      <c r="B1212" s="18" t="str">
        <f>+INDEX(BDD!F:F,MATCH(P1212,BDD!D:D,0))&amp;"-"&amp;INDEX(BDD!E:E,MATCH(P1212,BDD!D:D,0))</f>
        <v>S-S</v>
      </c>
      <c r="C1212" s="125" t="s">
        <v>484</v>
      </c>
      <c r="D1212" s="150" t="s">
        <v>77</v>
      </c>
      <c r="E1212" s="132"/>
      <c r="F1212" s="24"/>
      <c r="G1212" s="346">
        <v>8000001194</v>
      </c>
      <c r="H1212" s="125" t="s">
        <v>4700</v>
      </c>
      <c r="I1212" s="329"/>
      <c r="J1212" s="346">
        <v>8000001194</v>
      </c>
      <c r="K1212" s="24"/>
      <c r="L1212" s="24"/>
      <c r="M1212" s="24"/>
      <c r="N1212" s="340" t="s">
        <v>486</v>
      </c>
      <c r="O1212" s="334">
        <v>206971</v>
      </c>
      <c r="P1212" s="25" t="s">
        <v>340</v>
      </c>
      <c r="Q1212" s="127" t="s">
        <v>4469</v>
      </c>
      <c r="R1212" s="232" t="s">
        <v>4701</v>
      </c>
      <c r="S1212" s="89">
        <v>44096</v>
      </c>
      <c r="T1212" s="36">
        <v>30</v>
      </c>
      <c r="U1212" s="125" t="s">
        <v>118</v>
      </c>
      <c r="V1212" s="147" t="s">
        <v>4702</v>
      </c>
      <c r="W1212" s="129"/>
      <c r="X1212" s="88">
        <v>44175</v>
      </c>
      <c r="Y1212" s="130" t="s">
        <v>20</v>
      </c>
      <c r="Z1212" s="133" t="s">
        <v>60</v>
      </c>
      <c r="AA1212" s="133"/>
      <c r="AB1212" s="241">
        <v>216</v>
      </c>
      <c r="AC1212" s="134">
        <v>400</v>
      </c>
      <c r="AD1212" s="134"/>
      <c r="AE1212" s="403">
        <f t="shared" si="65"/>
        <v>86400</v>
      </c>
      <c r="AF1212" s="132">
        <v>9</v>
      </c>
      <c r="AG1212" s="130" t="s">
        <v>5</v>
      </c>
      <c r="AH1212" s="130"/>
      <c r="AI1212" s="130" t="s">
        <v>34</v>
      </c>
      <c r="AJ1212" s="130"/>
      <c r="AK1212" s="130"/>
      <c r="AL1212" s="135" t="s">
        <v>4551</v>
      </c>
      <c r="AM1212" s="314"/>
      <c r="AN1212" s="26"/>
      <c r="AO1212" s="26"/>
      <c r="AP1212" s="26"/>
      <c r="AQ1212" s="26">
        <v>44206</v>
      </c>
      <c r="AR1212" s="24"/>
      <c r="AS1212" s="24"/>
      <c r="AT1212" s="24">
        <v>44209</v>
      </c>
      <c r="AU1212" s="418">
        <f t="shared" si="66"/>
        <v>1</v>
      </c>
      <c r="AV1212" s="418">
        <f t="shared" si="67"/>
        <v>2021</v>
      </c>
      <c r="AW1212" s="24"/>
      <c r="AX1212" s="28"/>
      <c r="AY1212" s="28" t="s">
        <v>4312</v>
      </c>
      <c r="AZ1212" s="132" t="s">
        <v>37</v>
      </c>
      <c r="BA1212" s="132"/>
      <c r="BB1212" s="24" t="s">
        <v>2956</v>
      </c>
      <c r="BC1212" s="135" t="s">
        <v>4703</v>
      </c>
      <c r="BD1212" s="24">
        <v>44146</v>
      </c>
      <c r="BE1212" s="135" t="s">
        <v>4704</v>
      </c>
      <c r="BF1212" s="135" t="s">
        <v>4705</v>
      </c>
      <c r="BG1212" s="135" t="s">
        <v>14</v>
      </c>
      <c r="BH1212" s="135"/>
      <c r="BI1212" s="314" t="s">
        <v>124</v>
      </c>
      <c r="BJ1212" s="314" t="s">
        <v>138</v>
      </c>
      <c r="BK1212" s="24"/>
      <c r="BL1212" s="24"/>
      <c r="BM1212" s="24"/>
      <c r="BN1212" s="24"/>
      <c r="BO1212" s="24">
        <f>+AQ1212+15</f>
        <v>44221</v>
      </c>
      <c r="BP1212" s="24"/>
      <c r="BQ1212" s="24"/>
      <c r="BR1212" s="43"/>
      <c r="BS1212" s="24"/>
      <c r="BT1212" s="24"/>
      <c r="BU1212" s="24"/>
      <c r="BV1212" s="132" t="e">
        <f>IF(#REF!="COMPLETO","OK","PENDIENTES")</f>
        <v>#REF!</v>
      </c>
      <c r="BW1212" s="325"/>
      <c r="BX1212" s="325"/>
      <c r="BY1212" s="325"/>
      <c r="BZ1212" s="325"/>
      <c r="CA1212" s="325"/>
      <c r="CB1212" s="325"/>
      <c r="CC1212" s="258"/>
      <c r="CG1212" s="24" t="s">
        <v>105</v>
      </c>
      <c r="CH1212" s="24"/>
      <c r="CI1212" s="24"/>
      <c r="CJ1212" s="24"/>
    </row>
    <row r="1213" spans="1:88" ht="15" customHeight="1">
      <c r="A1213" s="18">
        <v>2020</v>
      </c>
      <c r="B1213" s="18" t="str">
        <f>+INDEX(BDD!F:F,MATCH(P1213,BDD!D:D,0))&amp;"-"&amp;INDEX(BDD!E:E,MATCH(P1213,BDD!D:D,0))</f>
        <v>S-S</v>
      </c>
      <c r="C1213" s="125" t="s">
        <v>484</v>
      </c>
      <c r="D1213" s="150" t="s">
        <v>77</v>
      </c>
      <c r="E1213" s="132"/>
      <c r="F1213" s="24"/>
      <c r="G1213" s="346">
        <v>8000001200</v>
      </c>
      <c r="H1213" s="125" t="s">
        <v>4706</v>
      </c>
      <c r="I1213" s="329"/>
      <c r="J1213" s="346">
        <v>8000001200</v>
      </c>
      <c r="K1213" s="24"/>
      <c r="L1213" s="24"/>
      <c r="M1213" s="24"/>
      <c r="N1213" s="340" t="s">
        <v>486</v>
      </c>
      <c r="O1213" s="334">
        <v>206971</v>
      </c>
      <c r="P1213" s="25" t="s">
        <v>340</v>
      </c>
      <c r="Q1213" s="127" t="s">
        <v>4469</v>
      </c>
      <c r="R1213" s="232" t="s">
        <v>4701</v>
      </c>
      <c r="S1213" s="89">
        <v>44096</v>
      </c>
      <c r="T1213" s="36">
        <v>30</v>
      </c>
      <c r="U1213" s="125" t="s">
        <v>118</v>
      </c>
      <c r="V1213" s="147" t="s">
        <v>4702</v>
      </c>
      <c r="W1213" s="129"/>
      <c r="X1213" s="88">
        <v>44175</v>
      </c>
      <c r="Y1213" s="130" t="s">
        <v>20</v>
      </c>
      <c r="Z1213" s="133" t="s">
        <v>60</v>
      </c>
      <c r="AA1213" s="133"/>
      <c r="AB1213" s="241">
        <v>216</v>
      </c>
      <c r="AC1213" s="134">
        <v>400</v>
      </c>
      <c r="AD1213" s="134"/>
      <c r="AE1213" s="403">
        <f t="shared" si="65"/>
        <v>86400</v>
      </c>
      <c r="AF1213" s="132">
        <v>9</v>
      </c>
      <c r="AG1213" s="130" t="s">
        <v>5</v>
      </c>
      <c r="AH1213" s="130"/>
      <c r="AI1213" s="130" t="s">
        <v>34</v>
      </c>
      <c r="AJ1213" s="130"/>
      <c r="AK1213" s="130"/>
      <c r="AL1213" s="135" t="s">
        <v>4551</v>
      </c>
      <c r="AM1213" s="314"/>
      <c r="AN1213" s="26"/>
      <c r="AO1213" s="26"/>
      <c r="AP1213" s="26"/>
      <c r="AQ1213" s="26">
        <v>44206</v>
      </c>
      <c r="AR1213" s="24"/>
      <c r="AS1213" s="24"/>
      <c r="AT1213" s="24">
        <v>44214</v>
      </c>
      <c r="AU1213" s="418">
        <f t="shared" si="66"/>
        <v>1</v>
      </c>
      <c r="AV1213" s="418">
        <f t="shared" si="67"/>
        <v>2021</v>
      </c>
      <c r="AW1213" s="24"/>
      <c r="AX1213" s="28"/>
      <c r="AY1213" s="28" t="s">
        <v>4312</v>
      </c>
      <c r="AZ1213" s="132" t="s">
        <v>37</v>
      </c>
      <c r="BA1213" s="132"/>
      <c r="BB1213" s="24" t="s">
        <v>3291</v>
      </c>
      <c r="BC1213" s="135" t="s">
        <v>4703</v>
      </c>
      <c r="BD1213" s="24">
        <v>44146</v>
      </c>
      <c r="BE1213" s="135" t="s">
        <v>4704</v>
      </c>
      <c r="BF1213" s="135" t="s">
        <v>4707</v>
      </c>
      <c r="BG1213" s="135" t="s">
        <v>14</v>
      </c>
      <c r="BH1213" s="135"/>
      <c r="BI1213" s="314" t="s">
        <v>124</v>
      </c>
      <c r="BJ1213" s="314" t="s">
        <v>138</v>
      </c>
      <c r="BK1213" s="24"/>
      <c r="BL1213" s="24"/>
      <c r="BM1213" s="24"/>
      <c r="BN1213" s="24"/>
      <c r="BO1213" s="24">
        <f>+AQ1213+15</f>
        <v>44221</v>
      </c>
      <c r="BP1213" s="24"/>
      <c r="BQ1213" s="24"/>
      <c r="BR1213" s="43"/>
      <c r="BS1213" s="24"/>
      <c r="BT1213" s="24"/>
      <c r="BU1213" s="24"/>
      <c r="BV1213" s="132" t="e">
        <f>IF(#REF!="COMPLETO","OK","PENDIENTES")</f>
        <v>#REF!</v>
      </c>
      <c r="BW1213" s="325"/>
      <c r="BX1213" s="325"/>
      <c r="BY1213" s="325"/>
      <c r="BZ1213" s="325"/>
      <c r="CA1213" s="325"/>
      <c r="CB1213" s="325"/>
      <c r="CC1213" s="258"/>
      <c r="CG1213" s="24" t="s">
        <v>105</v>
      </c>
      <c r="CH1213" s="24"/>
      <c r="CI1213" s="24"/>
      <c r="CJ1213" s="24"/>
    </row>
    <row r="1214" spans="1:88" ht="15" customHeight="1">
      <c r="A1214" s="18">
        <v>2020</v>
      </c>
      <c r="B1214" s="18" t="str">
        <f>+INDEX(BDD!F:F,MATCH(P1214,BDD!D:D,0))&amp;"-"&amp;INDEX(BDD!E:E,MATCH(P1214,BDD!D:D,0))</f>
        <v>S-S</v>
      </c>
      <c r="C1214" s="125" t="s">
        <v>484</v>
      </c>
      <c r="D1214" s="150" t="s">
        <v>77</v>
      </c>
      <c r="E1214" s="132"/>
      <c r="F1214" s="24"/>
      <c r="G1214" s="346">
        <v>8000001218</v>
      </c>
      <c r="H1214" s="125" t="s">
        <v>4708</v>
      </c>
      <c r="I1214" s="329"/>
      <c r="J1214" s="346">
        <v>8000001218</v>
      </c>
      <c r="K1214" s="24"/>
      <c r="L1214" s="24"/>
      <c r="M1214" s="24"/>
      <c r="N1214" s="340" t="s">
        <v>486</v>
      </c>
      <c r="O1214" s="334">
        <v>206971</v>
      </c>
      <c r="P1214" s="25" t="s">
        <v>340</v>
      </c>
      <c r="Q1214" s="127" t="s">
        <v>4469</v>
      </c>
      <c r="R1214" s="232" t="s">
        <v>4701</v>
      </c>
      <c r="S1214" s="89">
        <v>44096</v>
      </c>
      <c r="T1214" s="36">
        <v>30</v>
      </c>
      <c r="U1214" s="125" t="s">
        <v>118</v>
      </c>
      <c r="V1214" s="147" t="s">
        <v>4709</v>
      </c>
      <c r="W1214" s="129"/>
      <c r="X1214" s="88">
        <f>+BD1214+T1214</f>
        <v>44196</v>
      </c>
      <c r="Y1214" s="130" t="s">
        <v>20</v>
      </c>
      <c r="Z1214" s="133" t="s">
        <v>60</v>
      </c>
      <c r="AA1214" s="133"/>
      <c r="AB1214" s="241">
        <v>432</v>
      </c>
      <c r="AC1214" s="134">
        <v>400</v>
      </c>
      <c r="AD1214" s="134"/>
      <c r="AE1214" s="403">
        <f t="shared" si="65"/>
        <v>172800</v>
      </c>
      <c r="AF1214" s="132">
        <v>18</v>
      </c>
      <c r="AG1214" s="130" t="s">
        <v>5</v>
      </c>
      <c r="AH1214" s="130"/>
      <c r="AI1214" s="130" t="s">
        <v>34</v>
      </c>
      <c r="AJ1214" s="130"/>
      <c r="AK1214" s="130"/>
      <c r="AL1214" s="135" t="s">
        <v>4551</v>
      </c>
      <c r="AM1214" s="314"/>
      <c r="AN1214" s="26"/>
      <c r="AO1214" s="26"/>
      <c r="AP1214" s="26"/>
      <c r="AQ1214" s="26">
        <v>44232</v>
      </c>
      <c r="AR1214" s="24"/>
      <c r="AS1214" s="24"/>
      <c r="AT1214" s="24">
        <v>44235</v>
      </c>
      <c r="AU1214" s="418">
        <f t="shared" si="66"/>
        <v>2</v>
      </c>
      <c r="AV1214" s="418">
        <f t="shared" si="67"/>
        <v>2021</v>
      </c>
      <c r="AW1214" s="24"/>
      <c r="AX1214" s="28"/>
      <c r="AY1214" s="28" t="s">
        <v>4312</v>
      </c>
      <c r="AZ1214" s="132" t="s">
        <v>37</v>
      </c>
      <c r="BA1214" s="132"/>
      <c r="BB1214" s="24" t="s">
        <v>3593</v>
      </c>
      <c r="BC1214" s="135" t="s">
        <v>4710</v>
      </c>
      <c r="BD1214" s="24">
        <v>44166</v>
      </c>
      <c r="BE1214" s="135" t="s">
        <v>531</v>
      </c>
      <c r="BF1214" s="135" t="s">
        <v>1496</v>
      </c>
      <c r="BG1214" s="135" t="s">
        <v>14</v>
      </c>
      <c r="BH1214" s="135"/>
      <c r="BI1214" s="314" t="s">
        <v>124</v>
      </c>
      <c r="BJ1214" s="314" t="s">
        <v>138</v>
      </c>
      <c r="BK1214" s="24"/>
      <c r="BL1214" s="24"/>
      <c r="BM1214" s="24"/>
      <c r="BN1214" s="24"/>
      <c r="BO1214" s="24">
        <f>+AQ1214+15</f>
        <v>44247</v>
      </c>
      <c r="BP1214" s="24"/>
      <c r="BQ1214" s="24"/>
      <c r="BR1214" s="43"/>
      <c r="BS1214" s="24"/>
      <c r="BT1214" s="24"/>
      <c r="BU1214" s="24"/>
      <c r="BV1214" s="132" t="e">
        <f>IF(#REF!="COMPLETO","OK","PENDIENTES")</f>
        <v>#REF!</v>
      </c>
      <c r="BW1214" s="325"/>
      <c r="BX1214" s="325"/>
      <c r="BY1214" s="325"/>
      <c r="BZ1214" s="325"/>
      <c r="CA1214" s="325"/>
      <c r="CB1214" s="325"/>
      <c r="CC1214" s="258"/>
      <c r="CG1214" s="24" t="s">
        <v>105</v>
      </c>
      <c r="CH1214" s="24"/>
      <c r="CI1214" s="24"/>
      <c r="CJ1214" s="24"/>
    </row>
    <row r="1215" spans="1:88" ht="15" customHeight="1">
      <c r="A1215" s="18">
        <v>2020</v>
      </c>
      <c r="B1215" s="18" t="str">
        <f>+INDEX(BDD!F:F,MATCH(P1215,BDD!D:D,0))&amp;"-"&amp;INDEX(BDD!E:E,MATCH(P1215,BDD!D:D,0))</f>
        <v>S-S</v>
      </c>
      <c r="C1215" s="125" t="s">
        <v>484</v>
      </c>
      <c r="D1215" s="150" t="s">
        <v>77</v>
      </c>
      <c r="E1215" s="132"/>
      <c r="F1215" s="24"/>
      <c r="G1215" s="346">
        <v>8000001261</v>
      </c>
      <c r="H1215" s="125" t="s">
        <v>4711</v>
      </c>
      <c r="I1215" s="329"/>
      <c r="J1215" s="346">
        <v>8000001261</v>
      </c>
      <c r="K1215" s="24"/>
      <c r="L1215" s="24"/>
      <c r="M1215" s="24"/>
      <c r="N1215" s="340" t="s">
        <v>486</v>
      </c>
      <c r="O1215" s="334">
        <v>206971</v>
      </c>
      <c r="P1215" s="25" t="s">
        <v>340</v>
      </c>
      <c r="Q1215" s="127" t="s">
        <v>4469</v>
      </c>
      <c r="R1215" s="232" t="s">
        <v>4701</v>
      </c>
      <c r="S1215" s="89">
        <v>44096</v>
      </c>
      <c r="T1215" s="36">
        <v>30</v>
      </c>
      <c r="U1215" s="125" t="s">
        <v>118</v>
      </c>
      <c r="V1215" s="147" t="s">
        <v>4712</v>
      </c>
      <c r="W1215" s="129"/>
      <c r="X1215" s="88">
        <f>+BD1215+T1215</f>
        <v>44238</v>
      </c>
      <c r="Y1215" s="130" t="s">
        <v>20</v>
      </c>
      <c r="Z1215" s="133" t="s">
        <v>60</v>
      </c>
      <c r="AA1215" s="133"/>
      <c r="AB1215" s="241">
        <v>432</v>
      </c>
      <c r="AC1215" s="134">
        <v>400</v>
      </c>
      <c r="AD1215" s="134"/>
      <c r="AE1215" s="403">
        <f t="shared" si="65"/>
        <v>172800</v>
      </c>
      <c r="AF1215" s="132">
        <v>18</v>
      </c>
      <c r="AG1215" s="130" t="s">
        <v>5</v>
      </c>
      <c r="AH1215" s="130"/>
      <c r="AI1215" s="130" t="s">
        <v>34</v>
      </c>
      <c r="AJ1215" s="130"/>
      <c r="AK1215" s="130"/>
      <c r="AL1215" s="135" t="s">
        <v>4551</v>
      </c>
      <c r="AM1215" s="314"/>
      <c r="AN1215" s="26"/>
      <c r="AO1215" s="26"/>
      <c r="AP1215" s="26"/>
      <c r="AQ1215" s="26">
        <v>44275</v>
      </c>
      <c r="AR1215" s="24"/>
      <c r="AS1215" s="24"/>
      <c r="AT1215" s="24">
        <v>44289</v>
      </c>
      <c r="AU1215" s="418">
        <f t="shared" si="66"/>
        <v>4</v>
      </c>
      <c r="AV1215" s="418">
        <f t="shared" si="67"/>
        <v>2021</v>
      </c>
      <c r="AW1215" s="24"/>
      <c r="AX1215" s="28"/>
      <c r="AY1215" s="28" t="s">
        <v>4312</v>
      </c>
      <c r="AZ1215" s="132" t="s">
        <v>37</v>
      </c>
      <c r="BA1215" s="132"/>
      <c r="BB1215" s="24" t="s">
        <v>3593</v>
      </c>
      <c r="BC1215" s="135" t="s">
        <v>4713</v>
      </c>
      <c r="BD1215" s="24">
        <v>44208</v>
      </c>
      <c r="BE1215" s="135" t="s">
        <v>4693</v>
      </c>
      <c r="BF1215" s="135" t="s">
        <v>4714</v>
      </c>
      <c r="BG1215" s="135" t="s">
        <v>41</v>
      </c>
      <c r="BH1215" s="135"/>
      <c r="BI1215" s="314" t="s">
        <v>124</v>
      </c>
      <c r="BJ1215" s="314" t="s">
        <v>148</v>
      </c>
      <c r="BK1215" s="24"/>
      <c r="BL1215" s="24"/>
      <c r="BM1215" s="24"/>
      <c r="BN1215" s="24"/>
      <c r="BO1215" s="24"/>
      <c r="BP1215" s="24"/>
      <c r="BQ1215" s="24"/>
      <c r="BR1215" s="43"/>
      <c r="BS1215" s="24"/>
      <c r="BT1215" s="24"/>
      <c r="BU1215" s="24"/>
      <c r="BV1215" s="132" t="e">
        <f>IF(#REF!="COMPLETO","OK","PENDIENTES")</f>
        <v>#REF!</v>
      </c>
      <c r="BW1215" s="325"/>
      <c r="BX1215" s="325"/>
      <c r="BY1215" s="325"/>
      <c r="BZ1215" s="325"/>
      <c r="CA1215" s="325"/>
      <c r="CB1215" s="325"/>
      <c r="CC1215" s="258"/>
      <c r="CG1215" s="24" t="s">
        <v>105</v>
      </c>
      <c r="CH1215" s="24"/>
      <c r="CI1215" s="24"/>
      <c r="CJ1215" s="24"/>
    </row>
    <row r="1216" spans="1:88" ht="15" customHeight="1">
      <c r="A1216" s="18">
        <v>2020</v>
      </c>
      <c r="B1216" s="18" t="str">
        <f>+INDEX(BDD!F:F,MATCH(P1216,BDD!D:D,0))&amp;"-"&amp;INDEX(BDD!E:E,MATCH(P1216,BDD!D:D,0))</f>
        <v>S-S</v>
      </c>
      <c r="C1216" s="125" t="s">
        <v>484</v>
      </c>
      <c r="D1216" s="150" t="s">
        <v>77</v>
      </c>
      <c r="E1216" s="132"/>
      <c r="F1216" s="24"/>
      <c r="G1216" s="346">
        <v>8000001260</v>
      </c>
      <c r="H1216" s="125" t="s">
        <v>4715</v>
      </c>
      <c r="I1216" s="329"/>
      <c r="J1216" s="346">
        <v>8000001260</v>
      </c>
      <c r="K1216" s="24"/>
      <c r="L1216" s="24"/>
      <c r="M1216" s="24"/>
      <c r="N1216" s="340" t="s">
        <v>486</v>
      </c>
      <c r="O1216" s="334">
        <v>206971</v>
      </c>
      <c r="P1216" s="25" t="s">
        <v>340</v>
      </c>
      <c r="Q1216" s="127" t="s">
        <v>4469</v>
      </c>
      <c r="R1216" s="232" t="s">
        <v>4716</v>
      </c>
      <c r="S1216" s="89">
        <v>44096</v>
      </c>
      <c r="T1216" s="36">
        <v>30</v>
      </c>
      <c r="U1216" s="125" t="s">
        <v>118</v>
      </c>
      <c r="V1216" s="147" t="s">
        <v>4717</v>
      </c>
      <c r="W1216" s="129"/>
      <c r="X1216" s="88">
        <f>+BD1216+T1216</f>
        <v>44174</v>
      </c>
      <c r="Y1216" s="130" t="s">
        <v>20</v>
      </c>
      <c r="Z1216" s="133" t="s">
        <v>60</v>
      </c>
      <c r="AA1216" s="133"/>
      <c r="AB1216" s="241">
        <v>192</v>
      </c>
      <c r="AC1216" s="134">
        <v>420</v>
      </c>
      <c r="AD1216" s="134"/>
      <c r="AE1216" s="403">
        <f t="shared" si="65"/>
        <v>80640</v>
      </c>
      <c r="AF1216" s="132">
        <v>8</v>
      </c>
      <c r="AG1216" s="130" t="s">
        <v>5</v>
      </c>
      <c r="AH1216" s="130"/>
      <c r="AI1216" s="130" t="s">
        <v>34</v>
      </c>
      <c r="AJ1216" s="130"/>
      <c r="AK1216" s="130"/>
      <c r="AL1216" s="135" t="s">
        <v>4551</v>
      </c>
      <c r="AM1216" s="314"/>
      <c r="AN1216" s="26"/>
      <c r="AO1216" s="26"/>
      <c r="AP1216" s="26"/>
      <c r="AQ1216" s="26">
        <v>44274</v>
      </c>
      <c r="AR1216" s="24"/>
      <c r="AS1216" s="24"/>
      <c r="AT1216" s="24">
        <v>44279</v>
      </c>
      <c r="AU1216" s="418">
        <f t="shared" si="66"/>
        <v>3</v>
      </c>
      <c r="AV1216" s="418">
        <f t="shared" si="67"/>
        <v>2021</v>
      </c>
      <c r="AW1216" s="24"/>
      <c r="AX1216" s="28"/>
      <c r="AY1216" s="28" t="s">
        <v>4312</v>
      </c>
      <c r="AZ1216" s="132" t="s">
        <v>62</v>
      </c>
      <c r="BA1216" s="132"/>
      <c r="BB1216" s="24" t="s">
        <v>3264</v>
      </c>
      <c r="BC1216" s="135" t="s">
        <v>4718</v>
      </c>
      <c r="BD1216" s="24">
        <v>44144</v>
      </c>
      <c r="BE1216" s="135" t="s">
        <v>4719</v>
      </c>
      <c r="BF1216" s="135" t="s">
        <v>1938</v>
      </c>
      <c r="BG1216" s="135" t="s">
        <v>29</v>
      </c>
      <c r="BH1216" s="135"/>
      <c r="BI1216" s="314" t="s">
        <v>124</v>
      </c>
      <c r="BJ1216" s="314" t="s">
        <v>143</v>
      </c>
      <c r="BK1216" s="24"/>
      <c r="BL1216" s="24"/>
      <c r="BM1216" s="24"/>
      <c r="BN1216" s="24"/>
      <c r="BO1216" s="24"/>
      <c r="BP1216" s="24"/>
      <c r="BQ1216" s="24"/>
      <c r="BR1216" s="43"/>
      <c r="BS1216" s="24"/>
      <c r="BT1216" s="24"/>
      <c r="BU1216" s="24"/>
      <c r="BV1216" s="132" t="e">
        <f>IF(#REF!="COMPLETO","OK","PENDIENTES")</f>
        <v>#REF!</v>
      </c>
      <c r="BW1216" s="325"/>
      <c r="BX1216" s="325"/>
      <c r="BY1216" s="325"/>
      <c r="BZ1216" s="325"/>
      <c r="CA1216" s="325"/>
      <c r="CB1216" s="325"/>
      <c r="CC1216" s="258"/>
      <c r="CG1216" s="24" t="s">
        <v>105</v>
      </c>
      <c r="CH1216" s="24"/>
      <c r="CI1216" s="24"/>
      <c r="CJ1216" s="24"/>
    </row>
    <row r="1217" spans="1:88" ht="15" customHeight="1">
      <c r="A1217" s="18">
        <v>2020</v>
      </c>
      <c r="B1217" s="18" t="str">
        <f>+INDEX(BDD!F:F,MATCH(P1217,BDD!D:D,0))&amp;"-"&amp;INDEX(BDD!E:E,MATCH(P1217,BDD!D:D,0))</f>
        <v>T-S</v>
      </c>
      <c r="C1217" s="125" t="s">
        <v>484</v>
      </c>
      <c r="D1217" s="150" t="s">
        <v>77</v>
      </c>
      <c r="E1217" s="132"/>
      <c r="F1217" s="24"/>
      <c r="G1217" s="346">
        <v>8000000997</v>
      </c>
      <c r="H1217" s="125" t="s">
        <v>4720</v>
      </c>
      <c r="I1217" s="329"/>
      <c r="J1217" s="346">
        <v>8000000997</v>
      </c>
      <c r="K1217" s="24"/>
      <c r="L1217" s="24"/>
      <c r="M1217" s="24"/>
      <c r="N1217" s="340" t="s">
        <v>486</v>
      </c>
      <c r="O1217" s="334">
        <v>208072</v>
      </c>
      <c r="P1217" s="25" t="s">
        <v>385</v>
      </c>
      <c r="Q1217" s="127" t="s">
        <v>303</v>
      </c>
      <c r="R1217" s="232">
        <v>4600017291</v>
      </c>
      <c r="S1217" s="89" t="s">
        <v>1727</v>
      </c>
      <c r="T1217" s="36" t="s">
        <v>19</v>
      </c>
      <c r="U1217" s="125"/>
      <c r="V1217" s="147" t="s">
        <v>4721</v>
      </c>
      <c r="W1217" s="129"/>
      <c r="X1217" s="88">
        <v>44154</v>
      </c>
      <c r="Y1217" s="130" t="s">
        <v>20</v>
      </c>
      <c r="Z1217" s="133" t="s">
        <v>60</v>
      </c>
      <c r="AA1217" s="133"/>
      <c r="AB1217" s="241">
        <v>15.74</v>
      </c>
      <c r="AC1217" s="134">
        <v>9560</v>
      </c>
      <c r="AD1217" s="134"/>
      <c r="AE1217" s="403">
        <f t="shared" si="65"/>
        <v>150474.4</v>
      </c>
      <c r="AF1217" s="132">
        <v>1</v>
      </c>
      <c r="AG1217" s="130" t="s">
        <v>21</v>
      </c>
      <c r="AH1217" s="130"/>
      <c r="AI1217" s="130" t="s">
        <v>3619</v>
      </c>
      <c r="AJ1217" s="130"/>
      <c r="AK1217" s="130"/>
      <c r="AL1217" s="135" t="s">
        <v>4722</v>
      </c>
      <c r="AM1217" s="314"/>
      <c r="AN1217" s="26"/>
      <c r="AO1217" s="26"/>
      <c r="AP1217" s="26"/>
      <c r="AQ1217" s="26">
        <v>44159</v>
      </c>
      <c r="AR1217" s="24"/>
      <c r="AS1217" s="24"/>
      <c r="AT1217" s="24">
        <v>44162</v>
      </c>
      <c r="AU1217" s="418">
        <f t="shared" si="66"/>
        <v>11</v>
      </c>
      <c r="AV1217" s="418">
        <f t="shared" si="67"/>
        <v>2020</v>
      </c>
      <c r="AW1217" s="24"/>
      <c r="AX1217" s="28"/>
      <c r="AY1217" s="28" t="s">
        <v>3981</v>
      </c>
      <c r="AZ1217" s="132" t="s">
        <v>9</v>
      </c>
      <c r="BA1217" s="132"/>
      <c r="BB1217" s="24" t="s">
        <v>3264</v>
      </c>
      <c r="BC1217" s="135" t="s">
        <v>4723</v>
      </c>
      <c r="BD1217" s="24">
        <v>44126</v>
      </c>
      <c r="BE1217" s="135" t="s">
        <v>756</v>
      </c>
      <c r="BF1217" s="135" t="s">
        <v>3640</v>
      </c>
      <c r="BG1217" s="135" t="s">
        <v>64</v>
      </c>
      <c r="BH1217" s="135"/>
      <c r="BI1217" s="314" t="s">
        <v>124</v>
      </c>
      <c r="BJ1217" s="314" t="s">
        <v>143</v>
      </c>
      <c r="BK1217" s="24"/>
      <c r="BL1217" s="24"/>
      <c r="BM1217" s="24"/>
      <c r="BN1217" s="24"/>
      <c r="BO1217" s="24"/>
      <c r="BP1217" s="24"/>
      <c r="BQ1217" s="24"/>
      <c r="BR1217" s="43"/>
      <c r="BS1217" s="24"/>
      <c r="BT1217" s="24"/>
      <c r="BU1217" s="24"/>
      <c r="BV1217" s="132" t="e">
        <f>IF(#REF!="COMPLETO","OK","PENDIENTES")</f>
        <v>#REF!</v>
      </c>
      <c r="BW1217" s="325"/>
      <c r="BX1217" s="325"/>
      <c r="BY1217" s="325"/>
      <c r="BZ1217" s="325"/>
      <c r="CA1217" s="325"/>
      <c r="CB1217" s="325"/>
      <c r="CC1217" s="258"/>
      <c r="CG1217" s="24" t="s">
        <v>105</v>
      </c>
      <c r="CH1217" s="24"/>
      <c r="CI1217" s="24"/>
      <c r="CJ1217" s="24"/>
    </row>
    <row r="1218" spans="1:88" ht="15" customHeight="1">
      <c r="A1218" s="18">
        <v>2020</v>
      </c>
      <c r="B1218" s="18" t="str">
        <f>+INDEX(BDD!F:F,MATCH(P1218,BDD!D:D,0))&amp;"-"&amp;INDEX(BDD!E:E,MATCH(P1218,BDD!D:D,0))</f>
        <v>E-S</v>
      </c>
      <c r="C1218" s="125" t="s">
        <v>484</v>
      </c>
      <c r="D1218" s="150" t="s">
        <v>77</v>
      </c>
      <c r="E1218" s="132"/>
      <c r="F1218" s="24"/>
      <c r="G1218" s="346">
        <v>8000001191</v>
      </c>
      <c r="H1218" s="125" t="s">
        <v>4724</v>
      </c>
      <c r="I1218" s="329"/>
      <c r="J1218" s="346">
        <v>8000001191</v>
      </c>
      <c r="K1218" s="24"/>
      <c r="L1218" s="24"/>
      <c r="M1218" s="24"/>
      <c r="N1218" s="340" t="s">
        <v>486</v>
      </c>
      <c r="O1218" s="334">
        <v>208053</v>
      </c>
      <c r="P1218" s="25" t="s">
        <v>111</v>
      </c>
      <c r="Q1218" s="127" t="s">
        <v>276</v>
      </c>
      <c r="R1218" s="232" t="s">
        <v>4725</v>
      </c>
      <c r="S1218" s="89">
        <v>44096</v>
      </c>
      <c r="T1218" s="36">
        <v>120</v>
      </c>
      <c r="U1218" s="125" t="s">
        <v>131</v>
      </c>
      <c r="V1218" s="147" t="s">
        <v>4726</v>
      </c>
      <c r="W1218" s="129"/>
      <c r="X1218" s="88">
        <v>44267</v>
      </c>
      <c r="Y1218" s="130" t="s">
        <v>20</v>
      </c>
      <c r="Z1218" s="133" t="s">
        <v>81</v>
      </c>
      <c r="AA1218" s="133"/>
      <c r="AB1218" s="241">
        <v>100</v>
      </c>
      <c r="AC1218" s="134">
        <v>345</v>
      </c>
      <c r="AD1218" s="134"/>
      <c r="AE1218" s="403">
        <f t="shared" ref="AE1218:AE1281" si="69">AB1218*AC1218</f>
        <v>34500</v>
      </c>
      <c r="AF1218" s="132"/>
      <c r="AG1218" s="130" t="s">
        <v>58</v>
      </c>
      <c r="AH1218" s="130"/>
      <c r="AI1218" s="130" t="s">
        <v>71</v>
      </c>
      <c r="AJ1218" s="130"/>
      <c r="AK1218" s="130"/>
      <c r="AL1218" s="135" t="s">
        <v>4587</v>
      </c>
      <c r="AM1218" s="314"/>
      <c r="AN1218" s="26"/>
      <c r="AO1218" s="26"/>
      <c r="AP1218" s="26"/>
      <c r="AQ1218" s="26">
        <v>44195</v>
      </c>
      <c r="AR1218" s="24"/>
      <c r="AS1218" s="24"/>
      <c r="AT1218" s="24">
        <v>44208</v>
      </c>
      <c r="AU1218" s="418">
        <f t="shared" si="66"/>
        <v>1</v>
      </c>
      <c r="AV1218" s="418">
        <f t="shared" si="67"/>
        <v>2021</v>
      </c>
      <c r="AW1218" s="24"/>
      <c r="AX1218" s="24"/>
      <c r="AY1218" s="24" t="s">
        <v>95</v>
      </c>
      <c r="AZ1218" s="132" t="s">
        <v>37</v>
      </c>
      <c r="BA1218" s="132"/>
      <c r="BB1218" s="24" t="s">
        <v>2956</v>
      </c>
      <c r="BC1218" s="135" t="s">
        <v>4727</v>
      </c>
      <c r="BD1218" s="24">
        <v>44150</v>
      </c>
      <c r="BE1218" s="135" t="s">
        <v>3731</v>
      </c>
      <c r="BF1218" s="135" t="s">
        <v>3731</v>
      </c>
      <c r="BG1218" s="135" t="s">
        <v>52</v>
      </c>
      <c r="BH1218" s="135"/>
      <c r="BI1218" s="314" t="s">
        <v>124</v>
      </c>
      <c r="BJ1218" s="314" t="s">
        <v>143</v>
      </c>
      <c r="BK1218" s="24"/>
      <c r="BL1218" s="24"/>
      <c r="BM1218" s="24"/>
      <c r="BN1218" s="24"/>
      <c r="BO1218" s="24"/>
      <c r="BP1218" s="24"/>
      <c r="BQ1218" s="24"/>
      <c r="BR1218" s="43"/>
      <c r="BS1218" s="24"/>
      <c r="BT1218" s="24"/>
      <c r="BU1218" s="24"/>
      <c r="BV1218" s="132" t="e">
        <f>IF(#REF!="COMPLETO","OK","PENDIENTES")</f>
        <v>#REF!</v>
      </c>
      <c r="BW1218" s="325"/>
      <c r="BX1218" s="325"/>
      <c r="BY1218" s="325"/>
      <c r="BZ1218" s="325"/>
      <c r="CA1218" s="325"/>
      <c r="CB1218" s="325"/>
      <c r="CC1218" s="258"/>
      <c r="CG1218" s="24" t="s">
        <v>105</v>
      </c>
      <c r="CH1218" s="24"/>
      <c r="CI1218" s="24"/>
      <c r="CJ1218" s="24"/>
    </row>
    <row r="1219" spans="1:88" ht="15" customHeight="1">
      <c r="A1219" s="18">
        <v>2020</v>
      </c>
      <c r="B1219" s="18" t="str">
        <f>+INDEX(BDD!F:F,MATCH(P1219,BDD!D:D,0))&amp;"-"&amp;INDEX(BDD!E:E,MATCH(P1219,BDD!D:D,0))</f>
        <v>S-P</v>
      </c>
      <c r="C1219" s="125" t="s">
        <v>484</v>
      </c>
      <c r="D1219" s="150" t="s">
        <v>77</v>
      </c>
      <c r="E1219" s="132"/>
      <c r="F1219" s="24"/>
      <c r="G1219" s="346">
        <v>8000001183</v>
      </c>
      <c r="H1219" s="125" t="s">
        <v>4728</v>
      </c>
      <c r="I1219" s="329"/>
      <c r="J1219" s="346">
        <v>8000001183</v>
      </c>
      <c r="K1219" s="24"/>
      <c r="L1219" s="24"/>
      <c r="M1219" s="24"/>
      <c r="N1219" s="340" t="s">
        <v>486</v>
      </c>
      <c r="O1219" s="334">
        <v>207499</v>
      </c>
      <c r="P1219" s="25" t="s">
        <v>343</v>
      </c>
      <c r="Q1219" s="127" t="s">
        <v>297</v>
      </c>
      <c r="R1219" s="232" t="s">
        <v>4729</v>
      </c>
      <c r="S1219" s="89">
        <v>44095</v>
      </c>
      <c r="T1219" s="36">
        <v>90</v>
      </c>
      <c r="U1219" s="125" t="s">
        <v>118</v>
      </c>
      <c r="V1219" s="147" t="s">
        <v>4730</v>
      </c>
      <c r="W1219" s="129"/>
      <c r="X1219" s="88">
        <f>+T1219+BD1219</f>
        <v>44231</v>
      </c>
      <c r="Y1219" s="130" t="s">
        <v>20</v>
      </c>
      <c r="Z1219" s="133" t="s">
        <v>72</v>
      </c>
      <c r="AA1219" s="133"/>
      <c r="AB1219" s="241">
        <v>297</v>
      </c>
      <c r="AC1219" s="134">
        <v>505</v>
      </c>
      <c r="AD1219" s="134"/>
      <c r="AE1219" s="403">
        <f t="shared" si="69"/>
        <v>149985</v>
      </c>
      <c r="AF1219" s="132">
        <v>11</v>
      </c>
      <c r="AG1219" s="130" t="s">
        <v>5</v>
      </c>
      <c r="AH1219" s="130"/>
      <c r="AI1219" s="130" t="s">
        <v>34</v>
      </c>
      <c r="AJ1219" s="130"/>
      <c r="AK1219" s="130"/>
      <c r="AL1219" s="135" t="s">
        <v>4731</v>
      </c>
      <c r="AM1219" s="314"/>
      <c r="AN1219" s="26"/>
      <c r="AO1219" s="26"/>
      <c r="AP1219" s="26"/>
      <c r="AQ1219" s="26">
        <v>44197</v>
      </c>
      <c r="AR1219" s="24"/>
      <c r="AS1219" s="24"/>
      <c r="AT1219" s="24">
        <v>44202</v>
      </c>
      <c r="AU1219" s="418">
        <f t="shared" ref="AU1219:AU1282" si="70">MONTH(AT1219)</f>
        <v>1</v>
      </c>
      <c r="AV1219" s="418">
        <f t="shared" ref="AV1219:AV1282" si="71">YEAR(AT1219)</f>
        <v>2021</v>
      </c>
      <c r="AW1219" s="24"/>
      <c r="AX1219" s="24"/>
      <c r="AY1219" s="24" t="s">
        <v>4733</v>
      </c>
      <c r="AZ1219" s="132" t="s">
        <v>9</v>
      </c>
      <c r="BA1219" s="132"/>
      <c r="BB1219" s="24" t="s">
        <v>3519</v>
      </c>
      <c r="BC1219" s="135" t="s">
        <v>4732</v>
      </c>
      <c r="BD1219" s="24">
        <v>44141</v>
      </c>
      <c r="BE1219" s="135" t="s">
        <v>4734</v>
      </c>
      <c r="BF1219" s="135" t="s">
        <v>3276</v>
      </c>
      <c r="BG1219" s="135" t="s">
        <v>41</v>
      </c>
      <c r="BH1219" s="135"/>
      <c r="BI1219" s="314" t="s">
        <v>124</v>
      </c>
      <c r="BJ1219" s="314" t="s">
        <v>143</v>
      </c>
      <c r="BK1219" s="24"/>
      <c r="BL1219" s="24"/>
      <c r="BM1219" s="24"/>
      <c r="BN1219" s="24"/>
      <c r="BO1219" s="24">
        <v>44210</v>
      </c>
      <c r="BP1219" s="24"/>
      <c r="BQ1219" s="24"/>
      <c r="BR1219" s="43"/>
      <c r="BS1219" s="24"/>
      <c r="BT1219" s="24"/>
      <c r="BU1219" s="24"/>
      <c r="BV1219" s="132" t="e">
        <f>IF(#REF!="COMPLETO","OK","PENDIENTES")</f>
        <v>#REF!</v>
      </c>
      <c r="BW1219" s="325"/>
      <c r="BX1219" s="325"/>
      <c r="BY1219" s="325"/>
      <c r="BZ1219" s="325"/>
      <c r="CA1219" s="325"/>
      <c r="CB1219" s="325"/>
      <c r="CC1219" s="258"/>
      <c r="CG1219" s="24" t="s">
        <v>105</v>
      </c>
      <c r="CH1219" s="24"/>
      <c r="CI1219" s="24"/>
      <c r="CJ1219" s="24"/>
    </row>
    <row r="1220" spans="1:88" ht="15" customHeight="1">
      <c r="A1220" s="18">
        <v>2020</v>
      </c>
      <c r="B1220" s="18" t="str">
        <f>+INDEX(BDD!F:F,MATCH(P1220,BDD!D:D,0))&amp;"-"&amp;INDEX(BDD!E:E,MATCH(P1220,BDD!D:D,0))</f>
        <v>S-P</v>
      </c>
      <c r="C1220" s="125" t="s">
        <v>484</v>
      </c>
      <c r="D1220" s="150" t="s">
        <v>77</v>
      </c>
      <c r="E1220" s="132"/>
      <c r="F1220" s="24"/>
      <c r="G1220" s="346">
        <v>8000001197</v>
      </c>
      <c r="H1220" s="125" t="s">
        <v>4735</v>
      </c>
      <c r="I1220" s="329"/>
      <c r="J1220" s="346">
        <v>8000001197</v>
      </c>
      <c r="K1220" s="24"/>
      <c r="L1220" s="24"/>
      <c r="M1220" s="24"/>
      <c r="N1220" s="340" t="s">
        <v>486</v>
      </c>
      <c r="O1220" s="334">
        <v>207499</v>
      </c>
      <c r="P1220" s="25" t="s">
        <v>343</v>
      </c>
      <c r="Q1220" s="127" t="s">
        <v>297</v>
      </c>
      <c r="R1220" s="232" t="s">
        <v>4736</v>
      </c>
      <c r="S1220" s="89">
        <v>44099</v>
      </c>
      <c r="T1220" s="36">
        <v>90</v>
      </c>
      <c r="U1220" s="125" t="s">
        <v>118</v>
      </c>
      <c r="V1220" s="147" t="s">
        <v>4737</v>
      </c>
      <c r="W1220" s="129"/>
      <c r="X1220" s="88">
        <f>+BD1220+T1220</f>
        <v>44233</v>
      </c>
      <c r="Y1220" s="130" t="s">
        <v>20</v>
      </c>
      <c r="Z1220" s="133" t="s">
        <v>60</v>
      </c>
      <c r="AA1220" s="133"/>
      <c r="AB1220" s="241">
        <v>46.25</v>
      </c>
      <c r="AC1220" s="134">
        <v>447</v>
      </c>
      <c r="AD1220" s="134"/>
      <c r="AE1220" s="403">
        <f t="shared" si="69"/>
        <v>20673.75</v>
      </c>
      <c r="AF1220" s="132"/>
      <c r="AG1220" s="130" t="s">
        <v>58</v>
      </c>
      <c r="AH1220" s="130"/>
      <c r="AI1220" s="130" t="s">
        <v>34</v>
      </c>
      <c r="AJ1220" s="130"/>
      <c r="AK1220" s="130"/>
      <c r="AL1220" s="135" t="s">
        <v>4731</v>
      </c>
      <c r="AM1220" s="314"/>
      <c r="AN1220" s="26"/>
      <c r="AO1220" s="26"/>
      <c r="AP1220" s="26"/>
      <c r="AQ1220" s="26">
        <v>44195</v>
      </c>
      <c r="AR1220" s="24"/>
      <c r="AS1220" s="24"/>
      <c r="AT1220" s="24">
        <v>44208</v>
      </c>
      <c r="AU1220" s="418">
        <f t="shared" si="70"/>
        <v>1</v>
      </c>
      <c r="AV1220" s="418">
        <f t="shared" si="71"/>
        <v>2021</v>
      </c>
      <c r="AW1220" s="24"/>
      <c r="AX1220" s="24"/>
      <c r="AY1220" s="24" t="s">
        <v>230</v>
      </c>
      <c r="AZ1220" s="132" t="s">
        <v>37</v>
      </c>
      <c r="BA1220" s="132"/>
      <c r="BB1220" s="24" t="s">
        <v>2956</v>
      </c>
      <c r="BC1220" s="135" t="s">
        <v>4738</v>
      </c>
      <c r="BD1220" s="24">
        <v>44143</v>
      </c>
      <c r="BE1220" s="135" t="s">
        <v>3731</v>
      </c>
      <c r="BF1220" s="135" t="s">
        <v>3731</v>
      </c>
      <c r="BG1220" s="135" t="s">
        <v>52</v>
      </c>
      <c r="BH1220" s="135"/>
      <c r="BI1220" s="314" t="s">
        <v>124</v>
      </c>
      <c r="BJ1220" s="314" t="s">
        <v>143</v>
      </c>
      <c r="BK1220" s="24"/>
      <c r="BL1220" s="24"/>
      <c r="BM1220" s="24"/>
      <c r="BN1220" s="24"/>
      <c r="BO1220" s="24"/>
      <c r="BP1220" s="24"/>
      <c r="BQ1220" s="24"/>
      <c r="BR1220" s="43"/>
      <c r="BS1220" s="24"/>
      <c r="BT1220" s="24"/>
      <c r="BU1220" s="24"/>
      <c r="BV1220" s="132" t="e">
        <f>IF(#REF!="COMPLETO","OK","PENDIENTES")</f>
        <v>#REF!</v>
      </c>
      <c r="BW1220" s="325"/>
      <c r="BX1220" s="325"/>
      <c r="BY1220" s="325"/>
      <c r="BZ1220" s="325"/>
      <c r="CA1220" s="325"/>
      <c r="CB1220" s="325"/>
      <c r="CC1220" s="258"/>
      <c r="CG1220" s="24" t="s">
        <v>105</v>
      </c>
      <c r="CH1220" s="24"/>
      <c r="CI1220" s="24"/>
      <c r="CJ1220" s="24"/>
    </row>
    <row r="1221" spans="1:88" ht="15.75" customHeight="1">
      <c r="A1221" s="18">
        <v>2020</v>
      </c>
      <c r="B1221" s="18" t="str">
        <f>+INDEX(BDD!F:F,MATCH(P1221,BDD!D:D,0))&amp;"-"&amp;INDEX(BDD!E:E,MATCH(P1221,BDD!D:D,0))</f>
        <v>S-P</v>
      </c>
      <c r="C1221" s="125" t="s">
        <v>484</v>
      </c>
      <c r="D1221" s="150" t="s">
        <v>77</v>
      </c>
      <c r="E1221" s="132"/>
      <c r="F1221" s="24"/>
      <c r="G1221" s="346">
        <v>8000001123</v>
      </c>
      <c r="H1221" s="125" t="s">
        <v>4739</v>
      </c>
      <c r="I1221" s="329"/>
      <c r="J1221" s="346">
        <v>8000001123</v>
      </c>
      <c r="K1221" s="24"/>
      <c r="L1221" s="24"/>
      <c r="M1221" s="24"/>
      <c r="N1221" s="340" t="s">
        <v>486</v>
      </c>
      <c r="O1221" s="334">
        <v>207498</v>
      </c>
      <c r="P1221" s="25" t="s">
        <v>343</v>
      </c>
      <c r="Q1221" s="127" t="s">
        <v>297</v>
      </c>
      <c r="R1221" s="232" t="s">
        <v>4740</v>
      </c>
      <c r="S1221" s="89">
        <v>44099</v>
      </c>
      <c r="T1221" s="36">
        <v>90</v>
      </c>
      <c r="U1221" s="125" t="s">
        <v>118</v>
      </c>
      <c r="V1221" s="147" t="s">
        <v>4741</v>
      </c>
      <c r="W1221" s="129"/>
      <c r="X1221" s="88">
        <f>+BD1221+T1221</f>
        <v>44213</v>
      </c>
      <c r="Y1221" s="130" t="s">
        <v>20</v>
      </c>
      <c r="Z1221" s="133" t="s">
        <v>60</v>
      </c>
      <c r="AA1221" s="133"/>
      <c r="AB1221" s="241">
        <v>13.75</v>
      </c>
      <c r="AC1221" s="134">
        <v>458</v>
      </c>
      <c r="AD1221" s="134">
        <v>33</v>
      </c>
      <c r="AE1221" s="403">
        <f t="shared" si="69"/>
        <v>6297.5</v>
      </c>
      <c r="AF1221" s="132"/>
      <c r="AG1221" s="130" t="s">
        <v>58</v>
      </c>
      <c r="AH1221" s="130"/>
      <c r="AI1221" s="130" t="s">
        <v>34</v>
      </c>
      <c r="AJ1221" s="130"/>
      <c r="AK1221" s="130"/>
      <c r="AL1221" s="135" t="s">
        <v>4731</v>
      </c>
      <c r="AM1221" s="314"/>
      <c r="AN1221" s="26"/>
      <c r="AO1221" s="26"/>
      <c r="AP1221" s="26"/>
      <c r="AQ1221" s="26">
        <v>44162</v>
      </c>
      <c r="AR1221" s="24"/>
      <c r="AS1221" s="24"/>
      <c r="AT1221" s="24">
        <v>44163</v>
      </c>
      <c r="AU1221" s="418">
        <f t="shared" si="70"/>
        <v>11</v>
      </c>
      <c r="AV1221" s="418">
        <f t="shared" si="71"/>
        <v>2020</v>
      </c>
      <c r="AW1221" s="24"/>
      <c r="AX1221" s="28"/>
      <c r="AY1221" s="28" t="s">
        <v>311</v>
      </c>
      <c r="AZ1221" s="132" t="s">
        <v>9</v>
      </c>
      <c r="BA1221" s="132"/>
      <c r="BB1221" s="24" t="s">
        <v>3264</v>
      </c>
      <c r="BC1221" s="135" t="s">
        <v>4742</v>
      </c>
      <c r="BD1221" s="24">
        <v>44123</v>
      </c>
      <c r="BE1221" s="135" t="s">
        <v>4473</v>
      </c>
      <c r="BF1221" s="135" t="s">
        <v>4473</v>
      </c>
      <c r="BG1221" s="135" t="s">
        <v>52</v>
      </c>
      <c r="BH1221" s="135"/>
      <c r="BI1221" s="314" t="s">
        <v>124</v>
      </c>
      <c r="BJ1221" s="314" t="s">
        <v>148</v>
      </c>
      <c r="BK1221" s="24"/>
      <c r="BL1221" s="24"/>
      <c r="BM1221" s="24"/>
      <c r="BN1221" s="24"/>
      <c r="BO1221" s="24"/>
      <c r="BP1221" s="24"/>
      <c r="BQ1221" s="24"/>
      <c r="BR1221" s="43"/>
      <c r="BS1221" s="24"/>
      <c r="BT1221" s="24"/>
      <c r="BU1221" s="24"/>
      <c r="BV1221" s="132" t="e">
        <f>IF(#REF!="COMPLETO","OK","PENDIENTES")</f>
        <v>#REF!</v>
      </c>
      <c r="BW1221" s="325"/>
      <c r="BX1221" s="325"/>
      <c r="BY1221" s="325"/>
      <c r="BZ1221" s="325"/>
      <c r="CA1221" s="325"/>
      <c r="CB1221" s="325"/>
      <c r="CC1221" s="258"/>
      <c r="CG1221" s="24" t="s">
        <v>105</v>
      </c>
      <c r="CH1221" s="24"/>
      <c r="CI1221" s="24"/>
      <c r="CJ1221" s="24"/>
    </row>
    <row r="1222" spans="1:88" ht="15" customHeight="1">
      <c r="A1222" s="18">
        <v>2020</v>
      </c>
      <c r="B1222" s="18" t="str">
        <f>+INDEX(BDD!F:F,MATCH(P1222,BDD!D:D,0))&amp;"-"&amp;INDEX(BDD!E:E,MATCH(P1222,BDD!D:D,0))</f>
        <v>S-C</v>
      </c>
      <c r="C1222" s="125" t="s">
        <v>484</v>
      </c>
      <c r="D1222" s="150" t="s">
        <v>77</v>
      </c>
      <c r="E1222" s="132"/>
      <c r="F1222" s="24"/>
      <c r="G1222" s="346">
        <v>8000001141</v>
      </c>
      <c r="H1222" s="125" t="s">
        <v>4743</v>
      </c>
      <c r="I1222" s="329"/>
      <c r="J1222" s="346">
        <v>8000001141</v>
      </c>
      <c r="K1222" s="24"/>
      <c r="L1222" s="24"/>
      <c r="M1222" s="24"/>
      <c r="N1222" s="340" t="s">
        <v>486</v>
      </c>
      <c r="O1222" s="334">
        <v>207580</v>
      </c>
      <c r="P1222" s="25" t="s">
        <v>241</v>
      </c>
      <c r="Q1222" s="127" t="s">
        <v>297</v>
      </c>
      <c r="R1222" s="232" t="s">
        <v>4744</v>
      </c>
      <c r="S1222" s="89">
        <v>44099</v>
      </c>
      <c r="T1222" s="36" t="s">
        <v>19</v>
      </c>
      <c r="U1222" s="125"/>
      <c r="V1222" s="147" t="s">
        <v>4745</v>
      </c>
      <c r="W1222" s="129"/>
      <c r="X1222" s="88">
        <v>44139</v>
      </c>
      <c r="Y1222" s="130" t="s">
        <v>20</v>
      </c>
      <c r="Z1222" s="133" t="s">
        <v>72</v>
      </c>
      <c r="AA1222" s="133"/>
      <c r="AB1222" s="241">
        <v>264</v>
      </c>
      <c r="AC1222" s="134">
        <v>626</v>
      </c>
      <c r="AD1222" s="134"/>
      <c r="AE1222" s="403">
        <f t="shared" si="69"/>
        <v>165264</v>
      </c>
      <c r="AF1222" s="132">
        <v>11</v>
      </c>
      <c r="AG1222" s="130" t="s">
        <v>5</v>
      </c>
      <c r="AH1222" s="130"/>
      <c r="AI1222" s="130" t="s">
        <v>34</v>
      </c>
      <c r="AJ1222" s="130"/>
      <c r="AK1222" s="130"/>
      <c r="AL1222" s="135" t="s">
        <v>4587</v>
      </c>
      <c r="AM1222" s="314"/>
      <c r="AN1222" s="26"/>
      <c r="AO1222" s="26"/>
      <c r="AP1222" s="26"/>
      <c r="AQ1222" s="26">
        <v>44168</v>
      </c>
      <c r="AR1222" s="24"/>
      <c r="AS1222" s="24"/>
      <c r="AT1222" s="24">
        <v>44174</v>
      </c>
      <c r="AU1222" s="418">
        <f t="shared" si="70"/>
        <v>12</v>
      </c>
      <c r="AV1222" s="418">
        <f t="shared" si="71"/>
        <v>2020</v>
      </c>
      <c r="AW1222" s="24"/>
      <c r="AX1222" s="28"/>
      <c r="AY1222" s="28" t="s">
        <v>201</v>
      </c>
      <c r="AZ1222" s="132" t="s">
        <v>37</v>
      </c>
      <c r="BA1222" s="132"/>
      <c r="BB1222" s="24" t="s">
        <v>3291</v>
      </c>
      <c r="BC1222" s="135" t="s">
        <v>4746</v>
      </c>
      <c r="BD1222" s="24">
        <v>44131</v>
      </c>
      <c r="BE1222" s="135" t="s">
        <v>4541</v>
      </c>
      <c r="BF1222" s="135" t="s">
        <v>4747</v>
      </c>
      <c r="BG1222" s="135" t="s">
        <v>14</v>
      </c>
      <c r="BH1222" s="135"/>
      <c r="BI1222" s="314" t="s">
        <v>124</v>
      </c>
      <c r="BJ1222" s="314" t="s">
        <v>143</v>
      </c>
      <c r="BK1222" s="24"/>
      <c r="BL1222" s="24"/>
      <c r="BM1222" s="24"/>
      <c r="BN1222" s="24"/>
      <c r="BO1222" s="24"/>
      <c r="BP1222" s="24"/>
      <c r="BQ1222" s="24"/>
      <c r="BR1222" s="43"/>
      <c r="BS1222" s="24"/>
      <c r="BT1222" s="24"/>
      <c r="BU1222" s="24"/>
      <c r="BV1222" s="132" t="e">
        <f>IF(#REF!="COMPLETO","OK","PENDIENTES")</f>
        <v>#REF!</v>
      </c>
      <c r="BW1222" s="325"/>
      <c r="BX1222" s="325"/>
      <c r="BY1222" s="325"/>
      <c r="BZ1222" s="325"/>
      <c r="CA1222" s="325"/>
      <c r="CB1222" s="325"/>
      <c r="CC1222" s="258"/>
      <c r="CG1222" s="24" t="s">
        <v>105</v>
      </c>
      <c r="CH1222" s="24"/>
      <c r="CI1222" s="24"/>
      <c r="CJ1222" s="24"/>
    </row>
    <row r="1223" spans="1:88" ht="15" customHeight="1">
      <c r="A1223" s="18">
        <v>2020</v>
      </c>
      <c r="B1223" s="18" t="str">
        <f>+INDEX(BDD!F:F,MATCH(P1223,BDD!D:D,0))&amp;"-"&amp;INDEX(BDD!E:E,MATCH(P1223,BDD!D:D,0))</f>
        <v>S-C</v>
      </c>
      <c r="C1223" s="125" t="s">
        <v>484</v>
      </c>
      <c r="D1223" s="150" t="s">
        <v>77</v>
      </c>
      <c r="E1223" s="132"/>
      <c r="F1223" s="24"/>
      <c r="G1223" s="346">
        <v>8000001179</v>
      </c>
      <c r="H1223" s="125" t="s">
        <v>4748</v>
      </c>
      <c r="I1223" s="329"/>
      <c r="J1223" s="346">
        <v>8000001179</v>
      </c>
      <c r="K1223" s="24"/>
      <c r="L1223" s="24"/>
      <c r="M1223" s="24"/>
      <c r="N1223" s="340" t="s">
        <v>486</v>
      </c>
      <c r="O1223" s="334">
        <v>207580</v>
      </c>
      <c r="P1223" s="25" t="s">
        <v>241</v>
      </c>
      <c r="Q1223" s="127" t="s">
        <v>297</v>
      </c>
      <c r="R1223" s="232" t="s">
        <v>4749</v>
      </c>
      <c r="S1223" s="89">
        <v>44099</v>
      </c>
      <c r="T1223" s="36" t="s">
        <v>19</v>
      </c>
      <c r="U1223" s="125"/>
      <c r="V1223" s="147" t="s">
        <v>4750</v>
      </c>
      <c r="W1223" s="129"/>
      <c r="X1223" s="88">
        <v>44139</v>
      </c>
      <c r="Y1223" s="130" t="s">
        <v>20</v>
      </c>
      <c r="Z1223" s="133" t="s">
        <v>72</v>
      </c>
      <c r="AA1223" s="133"/>
      <c r="AB1223" s="241">
        <v>336</v>
      </c>
      <c r="AC1223" s="134">
        <v>630</v>
      </c>
      <c r="AD1223" s="134"/>
      <c r="AE1223" s="403">
        <f t="shared" si="69"/>
        <v>211680</v>
      </c>
      <c r="AF1223" s="132">
        <v>14</v>
      </c>
      <c r="AG1223" s="130" t="s">
        <v>5</v>
      </c>
      <c r="AH1223" s="130"/>
      <c r="AI1223" s="130" t="s">
        <v>34</v>
      </c>
      <c r="AJ1223" s="130"/>
      <c r="AK1223" s="130"/>
      <c r="AL1223" s="135" t="s">
        <v>4587</v>
      </c>
      <c r="AM1223" s="314"/>
      <c r="AN1223" s="26"/>
      <c r="AO1223" s="26"/>
      <c r="AP1223" s="26"/>
      <c r="AQ1223" s="26">
        <v>44175</v>
      </c>
      <c r="AR1223" s="24"/>
      <c r="AS1223" s="24"/>
      <c r="AT1223" s="24">
        <v>44187</v>
      </c>
      <c r="AU1223" s="418">
        <f t="shared" si="70"/>
        <v>12</v>
      </c>
      <c r="AV1223" s="418">
        <f t="shared" si="71"/>
        <v>2020</v>
      </c>
      <c r="AW1223" s="24"/>
      <c r="AX1223" s="28"/>
      <c r="AY1223" s="28" t="s">
        <v>201</v>
      </c>
      <c r="AZ1223" s="132" t="s">
        <v>9</v>
      </c>
      <c r="BA1223" s="132"/>
      <c r="BB1223" s="24" t="s">
        <v>3264</v>
      </c>
      <c r="BC1223" s="135" t="s">
        <v>4751</v>
      </c>
      <c r="BD1223" s="24">
        <v>44131</v>
      </c>
      <c r="BE1223" s="135" t="s">
        <v>4541</v>
      </c>
      <c r="BF1223" s="135" t="s">
        <v>4747</v>
      </c>
      <c r="BG1223" s="135" t="s">
        <v>14</v>
      </c>
      <c r="BH1223" s="135"/>
      <c r="BI1223" s="314" t="s">
        <v>124</v>
      </c>
      <c r="BJ1223" s="314" t="s">
        <v>143</v>
      </c>
      <c r="BK1223" s="24"/>
      <c r="BL1223" s="24"/>
      <c r="BM1223" s="24"/>
      <c r="BN1223" s="24"/>
      <c r="BO1223" s="24">
        <v>44188</v>
      </c>
      <c r="BP1223" s="24"/>
      <c r="BQ1223" s="24"/>
      <c r="BR1223" s="43"/>
      <c r="BS1223" s="24"/>
      <c r="BT1223" s="24"/>
      <c r="BU1223" s="24"/>
      <c r="BV1223" s="132" t="e">
        <f>IF(#REF!="COMPLETO","OK","PENDIENTES")</f>
        <v>#REF!</v>
      </c>
      <c r="BW1223" s="325"/>
      <c r="BX1223" s="325"/>
      <c r="BY1223" s="325"/>
      <c r="BZ1223" s="325"/>
      <c r="CA1223" s="325"/>
      <c r="CB1223" s="325"/>
      <c r="CC1223" s="258"/>
      <c r="CG1223" s="24" t="s">
        <v>105</v>
      </c>
      <c r="CH1223" s="24"/>
      <c r="CI1223" s="24"/>
      <c r="CJ1223" s="24"/>
    </row>
    <row r="1224" spans="1:88" ht="15" customHeight="1">
      <c r="A1224" s="18">
        <v>2020</v>
      </c>
      <c r="B1224" s="18" t="str">
        <f>+INDEX(BDD!F:F,MATCH(P1224,BDD!D:D,0))&amp;"-"&amp;INDEX(BDD!E:E,MATCH(P1224,BDD!D:D,0))</f>
        <v>S-C</v>
      </c>
      <c r="C1224" s="125" t="s">
        <v>484</v>
      </c>
      <c r="D1224" s="150" t="s">
        <v>77</v>
      </c>
      <c r="E1224" s="132"/>
      <c r="F1224" s="24"/>
      <c r="G1224" s="346">
        <v>8000001167</v>
      </c>
      <c r="H1224" s="125" t="s">
        <v>4752</v>
      </c>
      <c r="I1224" s="329"/>
      <c r="J1224" s="346">
        <v>8000001167</v>
      </c>
      <c r="K1224" s="24"/>
      <c r="L1224" s="24"/>
      <c r="M1224" s="24"/>
      <c r="N1224" s="340" t="s">
        <v>486</v>
      </c>
      <c r="O1224" s="334">
        <v>207580</v>
      </c>
      <c r="P1224" s="25" t="s">
        <v>241</v>
      </c>
      <c r="Q1224" s="127" t="s">
        <v>297</v>
      </c>
      <c r="R1224" s="232" t="s">
        <v>4749</v>
      </c>
      <c r="S1224" s="89">
        <v>44099</v>
      </c>
      <c r="T1224" s="36" t="s">
        <v>19</v>
      </c>
      <c r="U1224" s="125"/>
      <c r="V1224" s="147" t="s">
        <v>4753</v>
      </c>
      <c r="W1224" s="129"/>
      <c r="X1224" s="88">
        <v>44139</v>
      </c>
      <c r="Y1224" s="130" t="s">
        <v>20</v>
      </c>
      <c r="Z1224" s="133" t="s">
        <v>72</v>
      </c>
      <c r="AA1224" s="133"/>
      <c r="AB1224" s="241">
        <v>168</v>
      </c>
      <c r="AC1224" s="134">
        <v>630</v>
      </c>
      <c r="AD1224" s="134"/>
      <c r="AE1224" s="403">
        <f t="shared" si="69"/>
        <v>105840</v>
      </c>
      <c r="AF1224" s="132">
        <v>7</v>
      </c>
      <c r="AG1224" s="130" t="s">
        <v>5</v>
      </c>
      <c r="AH1224" s="130"/>
      <c r="AI1224" s="130" t="s">
        <v>34</v>
      </c>
      <c r="AJ1224" s="130"/>
      <c r="AK1224" s="130"/>
      <c r="AL1224" s="135" t="s">
        <v>4587</v>
      </c>
      <c r="AM1224" s="314"/>
      <c r="AN1224" s="26"/>
      <c r="AO1224" s="26"/>
      <c r="AP1224" s="26"/>
      <c r="AQ1224" s="26">
        <v>44175</v>
      </c>
      <c r="AR1224" s="24"/>
      <c r="AS1224" s="24"/>
      <c r="AT1224" s="24">
        <v>44184</v>
      </c>
      <c r="AU1224" s="418">
        <f t="shared" si="70"/>
        <v>12</v>
      </c>
      <c r="AV1224" s="418">
        <f t="shared" si="71"/>
        <v>2020</v>
      </c>
      <c r="AW1224" s="24"/>
      <c r="AX1224" s="28"/>
      <c r="AY1224" s="28" t="s">
        <v>201</v>
      </c>
      <c r="AZ1224" s="132" t="s">
        <v>9</v>
      </c>
      <c r="BA1224" s="132"/>
      <c r="BB1224" s="24" t="s">
        <v>2956</v>
      </c>
      <c r="BC1224" s="135" t="s">
        <v>4754</v>
      </c>
      <c r="BD1224" s="24">
        <v>44131</v>
      </c>
      <c r="BE1224" s="135" t="s">
        <v>4541</v>
      </c>
      <c r="BF1224" s="135" t="s">
        <v>4747</v>
      </c>
      <c r="BG1224" s="135" t="s">
        <v>14</v>
      </c>
      <c r="BH1224" s="135"/>
      <c r="BI1224" s="314" t="s">
        <v>124</v>
      </c>
      <c r="BJ1224" s="314" t="s">
        <v>143</v>
      </c>
      <c r="BK1224" s="24"/>
      <c r="BL1224" s="24"/>
      <c r="BM1224" s="24"/>
      <c r="BN1224" s="24"/>
      <c r="BO1224" s="24">
        <v>44188</v>
      </c>
      <c r="BP1224" s="24"/>
      <c r="BQ1224" s="24"/>
      <c r="BR1224" s="43"/>
      <c r="BS1224" s="24"/>
      <c r="BT1224" s="24"/>
      <c r="BU1224" s="24"/>
      <c r="BV1224" s="132" t="e">
        <f>IF(#REF!="COMPLETO","OK","PENDIENTES")</f>
        <v>#REF!</v>
      </c>
      <c r="BW1224" s="325"/>
      <c r="BX1224" s="325"/>
      <c r="BY1224" s="325"/>
      <c r="BZ1224" s="325"/>
      <c r="CA1224" s="325"/>
      <c r="CB1224" s="325"/>
      <c r="CC1224" s="258"/>
      <c r="CG1224" s="24" t="s">
        <v>105</v>
      </c>
      <c r="CH1224" s="24"/>
      <c r="CI1224" s="24"/>
      <c r="CJ1224" s="24"/>
    </row>
    <row r="1225" spans="1:88" ht="15" customHeight="1">
      <c r="A1225" s="18">
        <v>2020</v>
      </c>
      <c r="B1225" s="18" t="str">
        <f>+INDEX(BDD!F:F,MATCH(P1225,BDD!D:D,0))&amp;"-"&amp;INDEX(BDD!E:E,MATCH(P1225,BDD!D:D,0))</f>
        <v>G-S</v>
      </c>
      <c r="C1225" s="125" t="s">
        <v>484</v>
      </c>
      <c r="D1225" s="150" t="s">
        <v>77</v>
      </c>
      <c r="E1225" s="132"/>
      <c r="F1225" s="24"/>
      <c r="G1225" s="346">
        <v>8000001149</v>
      </c>
      <c r="H1225" s="125" t="s">
        <v>4755</v>
      </c>
      <c r="I1225" s="329"/>
      <c r="J1225" s="346">
        <v>8000001149</v>
      </c>
      <c r="K1225" s="24"/>
      <c r="L1225" s="24"/>
      <c r="M1225" s="24"/>
      <c r="N1225" s="340" t="s">
        <v>486</v>
      </c>
      <c r="O1225" s="334">
        <v>206599</v>
      </c>
      <c r="P1225" s="25" t="s">
        <v>339</v>
      </c>
      <c r="Q1225" s="127" t="s">
        <v>136</v>
      </c>
      <c r="R1225" s="232" t="s">
        <v>4756</v>
      </c>
      <c r="S1225" s="89">
        <v>44097</v>
      </c>
      <c r="T1225" s="36">
        <v>90</v>
      </c>
      <c r="U1225" s="125" t="s">
        <v>118</v>
      </c>
      <c r="V1225" s="147" t="s">
        <v>4757</v>
      </c>
      <c r="W1225" s="129"/>
      <c r="X1225" s="88">
        <f>+BD1225+T1225</f>
        <v>44218</v>
      </c>
      <c r="Y1225" s="130" t="s">
        <v>20</v>
      </c>
      <c r="Z1225" s="133" t="s">
        <v>60</v>
      </c>
      <c r="AA1225" s="133"/>
      <c r="AB1225" s="241">
        <v>160</v>
      </c>
      <c r="AC1225" s="134">
        <v>452</v>
      </c>
      <c r="AD1225" s="134">
        <v>35</v>
      </c>
      <c r="AE1225" s="403">
        <f t="shared" si="69"/>
        <v>72320</v>
      </c>
      <c r="AF1225" s="132"/>
      <c r="AG1225" s="130" t="s">
        <v>58</v>
      </c>
      <c r="AH1225" s="130"/>
      <c r="AI1225" s="130" t="s">
        <v>71</v>
      </c>
      <c r="AJ1225" s="130"/>
      <c r="AK1225" s="130"/>
      <c r="AL1225" s="135" t="s">
        <v>4587</v>
      </c>
      <c r="AM1225" s="314"/>
      <c r="AN1225" s="26"/>
      <c r="AO1225" s="26"/>
      <c r="AP1225" s="26"/>
      <c r="AQ1225" s="26">
        <v>44171</v>
      </c>
      <c r="AR1225" s="24"/>
      <c r="AS1225" s="24"/>
      <c r="AT1225" s="24">
        <v>44174</v>
      </c>
      <c r="AU1225" s="418">
        <f t="shared" si="70"/>
        <v>12</v>
      </c>
      <c r="AV1225" s="418">
        <f t="shared" si="71"/>
        <v>2020</v>
      </c>
      <c r="AW1225" s="24"/>
      <c r="AX1225" s="28"/>
      <c r="AY1225" s="28" t="s">
        <v>95</v>
      </c>
      <c r="AZ1225" s="132" t="s">
        <v>62</v>
      </c>
      <c r="BA1225" s="132"/>
      <c r="BB1225" s="24" t="s">
        <v>3334</v>
      </c>
      <c r="BC1225" s="135" t="s">
        <v>4758</v>
      </c>
      <c r="BD1225" s="24">
        <v>44128</v>
      </c>
      <c r="BE1225" s="135" t="s">
        <v>4473</v>
      </c>
      <c r="BF1225" s="135" t="s">
        <v>4473</v>
      </c>
      <c r="BG1225" s="135" t="s">
        <v>52</v>
      </c>
      <c r="BH1225" s="135"/>
      <c r="BI1225" s="314" t="s">
        <v>124</v>
      </c>
      <c r="BJ1225" s="314" t="s">
        <v>143</v>
      </c>
      <c r="BK1225" s="24"/>
      <c r="BL1225" s="24"/>
      <c r="BM1225" s="24"/>
      <c r="BN1225" s="24"/>
      <c r="BO1225" s="24"/>
      <c r="BP1225" s="24"/>
      <c r="BQ1225" s="24"/>
      <c r="BR1225" s="43"/>
      <c r="BS1225" s="24"/>
      <c r="BT1225" s="24"/>
      <c r="BU1225" s="24"/>
      <c r="BV1225" s="132" t="e">
        <f>IF(#REF!="COMPLETO","OK","PENDIENTES")</f>
        <v>#REF!</v>
      </c>
      <c r="BW1225" s="325"/>
      <c r="BX1225" s="325"/>
      <c r="BY1225" s="325"/>
      <c r="BZ1225" s="325"/>
      <c r="CA1225" s="325"/>
      <c r="CB1225" s="325"/>
      <c r="CC1225" s="258" t="s">
        <v>4759</v>
      </c>
      <c r="CG1225" s="24" t="s">
        <v>105</v>
      </c>
      <c r="CH1225" s="24"/>
      <c r="CI1225" s="24"/>
      <c r="CJ1225" s="24"/>
    </row>
    <row r="1226" spans="1:88" ht="13.5" customHeight="1">
      <c r="A1226" s="18">
        <v>2020</v>
      </c>
      <c r="B1226" s="18" t="str">
        <f>+INDEX(BDD!F:F,MATCH(P1226,BDD!D:D,0))&amp;"-"&amp;INDEX(BDD!E:E,MATCH(P1226,BDD!D:D,0))</f>
        <v>G-S</v>
      </c>
      <c r="C1226" s="125" t="s">
        <v>484</v>
      </c>
      <c r="D1226" s="150" t="s">
        <v>77</v>
      </c>
      <c r="E1226" s="132"/>
      <c r="F1226" s="24"/>
      <c r="G1226" s="346">
        <v>8000001001</v>
      </c>
      <c r="H1226" s="125" t="s">
        <v>4760</v>
      </c>
      <c r="I1226" s="329"/>
      <c r="J1226" s="346">
        <v>8000001001</v>
      </c>
      <c r="K1226" s="24"/>
      <c r="L1226" s="24"/>
      <c r="M1226" s="24"/>
      <c r="N1226" s="340" t="s">
        <v>486</v>
      </c>
      <c r="O1226" s="334">
        <v>205259</v>
      </c>
      <c r="P1226" s="25" t="s">
        <v>338</v>
      </c>
      <c r="Q1226" s="127" t="s">
        <v>210</v>
      </c>
      <c r="R1226" s="232" t="s">
        <v>4761</v>
      </c>
      <c r="S1226" s="89">
        <v>44091</v>
      </c>
      <c r="T1226" s="36">
        <v>120</v>
      </c>
      <c r="U1226" s="125" t="s">
        <v>118</v>
      </c>
      <c r="V1226" s="147" t="s">
        <v>4762</v>
      </c>
      <c r="W1226" s="129"/>
      <c r="X1226" s="88">
        <v>44267</v>
      </c>
      <c r="Y1226" s="130" t="s">
        <v>20</v>
      </c>
      <c r="Z1226" s="133" t="s">
        <v>72</v>
      </c>
      <c r="AA1226" s="133"/>
      <c r="AB1226" s="241">
        <v>476.08600000000001</v>
      </c>
      <c r="AC1226" s="134">
        <f>450-20</f>
        <v>430</v>
      </c>
      <c r="AD1226" s="134"/>
      <c r="AE1226" s="403">
        <f t="shared" si="69"/>
        <v>204716.98</v>
      </c>
      <c r="AF1226" s="132">
        <v>17</v>
      </c>
      <c r="AG1226" s="130" t="s">
        <v>5</v>
      </c>
      <c r="AH1226" s="130"/>
      <c r="AI1226" s="130" t="s">
        <v>100</v>
      </c>
      <c r="AJ1226" s="130"/>
      <c r="AK1226" s="130"/>
      <c r="AL1226" s="135" t="s">
        <v>4551</v>
      </c>
      <c r="AM1226" s="314"/>
      <c r="AN1226" s="26"/>
      <c r="AO1226" s="26"/>
      <c r="AP1226" s="26"/>
      <c r="AQ1226" s="26">
        <v>44175</v>
      </c>
      <c r="AR1226" s="24"/>
      <c r="AS1226" s="24"/>
      <c r="AT1226" s="24">
        <v>44182</v>
      </c>
      <c r="AU1226" s="418">
        <f t="shared" si="70"/>
        <v>12</v>
      </c>
      <c r="AV1226" s="418">
        <f t="shared" si="71"/>
        <v>2020</v>
      </c>
      <c r="AW1226" s="24"/>
      <c r="AX1226" s="28"/>
      <c r="AY1226" s="28" t="s">
        <v>162</v>
      </c>
      <c r="AZ1226" s="132" t="s">
        <v>37</v>
      </c>
      <c r="BA1226" s="132"/>
      <c r="BB1226" s="24" t="s">
        <v>3593</v>
      </c>
      <c r="BC1226" s="135" t="s">
        <v>4763</v>
      </c>
      <c r="BD1226" s="24">
        <v>44150</v>
      </c>
      <c r="BE1226" s="135" t="s">
        <v>579</v>
      </c>
      <c r="BF1226" s="135" t="s">
        <v>2668</v>
      </c>
      <c r="BG1226" s="135" t="s">
        <v>64</v>
      </c>
      <c r="BH1226" s="135"/>
      <c r="BI1226" s="314" t="s">
        <v>124</v>
      </c>
      <c r="BJ1226" s="314" t="s">
        <v>138</v>
      </c>
      <c r="BK1226" s="24"/>
      <c r="BL1226" s="24"/>
      <c r="BM1226" s="24"/>
      <c r="BN1226" s="24"/>
      <c r="BO1226" s="24"/>
      <c r="BP1226" s="24"/>
      <c r="BQ1226" s="24"/>
      <c r="BR1226" s="43"/>
      <c r="BS1226" s="24"/>
      <c r="BT1226" s="24"/>
      <c r="BU1226" s="24"/>
      <c r="BV1226" s="132" t="e">
        <f>IF(#REF!="COMPLETO","OK","PENDIENTES")</f>
        <v>#REF!</v>
      </c>
      <c r="BW1226" s="325"/>
      <c r="BX1226" s="325"/>
      <c r="BY1226" s="325"/>
      <c r="BZ1226" s="325"/>
      <c r="CA1226" s="325"/>
      <c r="CB1226" s="325"/>
      <c r="CC1226" s="258"/>
      <c r="CG1226" s="24" t="s">
        <v>105</v>
      </c>
      <c r="CH1226" s="24"/>
      <c r="CI1226" s="24"/>
      <c r="CJ1226" s="24"/>
    </row>
    <row r="1227" spans="1:88" ht="13.5" customHeight="1">
      <c r="A1227" s="18">
        <v>2020</v>
      </c>
      <c r="B1227" s="18" t="str">
        <f>+INDEX(BDD!F:F,MATCH(P1227,BDD!D:D,0))&amp;"-"&amp;INDEX(BDD!E:E,MATCH(P1227,BDD!D:D,0))</f>
        <v>T-S</v>
      </c>
      <c r="C1227" s="125" t="s">
        <v>484</v>
      </c>
      <c r="D1227" s="150" t="s">
        <v>77</v>
      </c>
      <c r="E1227" s="132"/>
      <c r="F1227" s="24"/>
      <c r="G1227" s="346">
        <v>8000001015</v>
      </c>
      <c r="H1227" s="125" t="s">
        <v>4764</v>
      </c>
      <c r="I1227" s="329"/>
      <c r="J1227" s="346">
        <v>8000001015</v>
      </c>
      <c r="K1227" s="24"/>
      <c r="L1227" s="24"/>
      <c r="M1227" s="24"/>
      <c r="N1227" s="340" t="s">
        <v>486</v>
      </c>
      <c r="O1227" s="334">
        <v>208067</v>
      </c>
      <c r="P1227" s="25" t="s">
        <v>383</v>
      </c>
      <c r="Q1227" s="127" t="s">
        <v>303</v>
      </c>
      <c r="R1227" s="232" t="s">
        <v>4765</v>
      </c>
      <c r="S1227" s="89" t="s">
        <v>605</v>
      </c>
      <c r="T1227" s="36">
        <v>30</v>
      </c>
      <c r="U1227" s="125" t="s">
        <v>118</v>
      </c>
      <c r="V1227" s="147" t="s">
        <v>4766</v>
      </c>
      <c r="W1227" s="129"/>
      <c r="X1227" s="88">
        <v>44148</v>
      </c>
      <c r="Y1227" s="130" t="s">
        <v>20</v>
      </c>
      <c r="Z1227" s="133" t="s">
        <v>60</v>
      </c>
      <c r="AA1227" s="133"/>
      <c r="AB1227" s="241">
        <v>750</v>
      </c>
      <c r="AC1227" s="134">
        <v>243.24</v>
      </c>
      <c r="AD1227" s="134"/>
      <c r="AE1227" s="403">
        <f t="shared" si="69"/>
        <v>182430</v>
      </c>
      <c r="AF1227" s="132">
        <v>30</v>
      </c>
      <c r="AG1227" s="130" t="s">
        <v>5</v>
      </c>
      <c r="AH1227" s="130"/>
      <c r="AI1227" s="130" t="s">
        <v>34</v>
      </c>
      <c r="AJ1227" s="130"/>
      <c r="AK1227" s="130"/>
      <c r="AL1227" s="135" t="s">
        <v>4587</v>
      </c>
      <c r="AM1227" s="314"/>
      <c r="AN1227" s="26"/>
      <c r="AO1227" s="26"/>
      <c r="AP1227" s="26"/>
      <c r="AQ1227" s="26">
        <v>44120</v>
      </c>
      <c r="AR1227" s="24"/>
      <c r="AS1227" s="24"/>
      <c r="AT1227" s="24">
        <v>44128</v>
      </c>
      <c r="AU1227" s="418">
        <f t="shared" si="70"/>
        <v>10</v>
      </c>
      <c r="AV1227" s="418">
        <f t="shared" si="71"/>
        <v>2020</v>
      </c>
      <c r="AW1227" s="24"/>
      <c r="AX1227" s="28"/>
      <c r="AY1227" s="28" t="s">
        <v>3415</v>
      </c>
      <c r="AZ1227" s="132" t="s">
        <v>37</v>
      </c>
      <c r="BA1227" s="132"/>
      <c r="BB1227" s="24" t="s">
        <v>3593</v>
      </c>
      <c r="BC1227" s="135" t="s">
        <v>4767</v>
      </c>
      <c r="BD1227" s="24">
        <v>44111</v>
      </c>
      <c r="BE1227" s="135" t="s">
        <v>865</v>
      </c>
      <c r="BF1227" s="135" t="s">
        <v>865</v>
      </c>
      <c r="BG1227" s="135" t="s">
        <v>29</v>
      </c>
      <c r="BH1227" s="135"/>
      <c r="BI1227" s="314" t="s">
        <v>124</v>
      </c>
      <c r="BJ1227" s="314" t="s">
        <v>148</v>
      </c>
      <c r="BK1227" s="24"/>
      <c r="BL1227" s="24"/>
      <c r="BM1227" s="24"/>
      <c r="BN1227" s="24"/>
      <c r="BO1227" s="24"/>
      <c r="BP1227" s="24"/>
      <c r="BQ1227" s="24"/>
      <c r="BR1227" s="43"/>
      <c r="BS1227" s="24"/>
      <c r="BT1227" s="24"/>
      <c r="BU1227" s="24"/>
      <c r="BV1227" s="132" t="e">
        <f>IF(#REF!="COMPLETO","OK","PENDIENTES")</f>
        <v>#REF!</v>
      </c>
      <c r="BW1227" s="325"/>
      <c r="BX1227" s="325"/>
      <c r="BY1227" s="325"/>
      <c r="BZ1227" s="325"/>
      <c r="CA1227" s="325"/>
      <c r="CB1227" s="325"/>
      <c r="CC1227" s="258"/>
      <c r="CG1227" s="24" t="s">
        <v>105</v>
      </c>
      <c r="CH1227" s="24"/>
      <c r="CI1227" s="24"/>
      <c r="CJ1227" s="24"/>
    </row>
    <row r="1228" spans="1:88" ht="13.5" customHeight="1">
      <c r="A1228" s="18">
        <v>2020</v>
      </c>
      <c r="B1228" s="18" t="str">
        <f>+INDEX(BDD!F:F,MATCH(P1228,BDD!D:D,0))&amp;"-"&amp;INDEX(BDD!E:E,MATCH(P1228,BDD!D:D,0))</f>
        <v>-</v>
      </c>
      <c r="C1228" s="125" t="s">
        <v>484</v>
      </c>
      <c r="D1228" s="150" t="s">
        <v>77</v>
      </c>
      <c r="E1228" s="132"/>
      <c r="F1228" s="24"/>
      <c r="G1228" s="346">
        <v>8000001174</v>
      </c>
      <c r="H1228" s="125" t="s">
        <v>4768</v>
      </c>
      <c r="I1228" s="329"/>
      <c r="J1228" s="346">
        <v>8000001174</v>
      </c>
      <c r="K1228" s="24"/>
      <c r="L1228" s="24"/>
      <c r="M1228" s="24"/>
      <c r="N1228" s="340" t="s">
        <v>486</v>
      </c>
      <c r="O1228" s="334">
        <v>7000112</v>
      </c>
      <c r="P1228" s="25" t="s">
        <v>395</v>
      </c>
      <c r="Q1228" s="127" t="s">
        <v>303</v>
      </c>
      <c r="R1228" s="232" t="s">
        <v>4765</v>
      </c>
      <c r="S1228" s="89">
        <v>44089</v>
      </c>
      <c r="T1228" s="36" t="s">
        <v>19</v>
      </c>
      <c r="U1228" s="125"/>
      <c r="V1228" s="147" t="s">
        <v>4769</v>
      </c>
      <c r="W1228" s="129"/>
      <c r="X1228" s="88" t="s">
        <v>944</v>
      </c>
      <c r="Y1228" s="130" t="s">
        <v>20</v>
      </c>
      <c r="Z1228" s="133" t="s">
        <v>60</v>
      </c>
      <c r="AA1228" s="133"/>
      <c r="AB1228" s="241">
        <v>6750</v>
      </c>
      <c r="AC1228" s="134">
        <v>0.31</v>
      </c>
      <c r="AD1228" s="134"/>
      <c r="AE1228" s="403">
        <f t="shared" si="69"/>
        <v>2092.5</v>
      </c>
      <c r="AF1228" s="132"/>
      <c r="AG1228" s="130" t="s">
        <v>5</v>
      </c>
      <c r="AH1228" s="130"/>
      <c r="AI1228" s="130"/>
      <c r="AJ1228" s="130"/>
      <c r="AK1228" s="130"/>
      <c r="AL1228" s="135" t="s">
        <v>4587</v>
      </c>
      <c r="AM1228" s="314"/>
      <c r="AN1228" s="26"/>
      <c r="AO1228" s="26"/>
      <c r="AP1228" s="26"/>
      <c r="AQ1228" s="26">
        <v>44120</v>
      </c>
      <c r="AR1228" s="24"/>
      <c r="AS1228" s="24"/>
      <c r="AT1228" s="24">
        <v>44183</v>
      </c>
      <c r="AU1228" s="418">
        <f t="shared" si="70"/>
        <v>12</v>
      </c>
      <c r="AV1228" s="418">
        <f t="shared" si="71"/>
        <v>2020</v>
      </c>
      <c r="AW1228" s="24"/>
      <c r="AX1228" s="28"/>
      <c r="AY1228" s="28" t="s">
        <v>3415</v>
      </c>
      <c r="AZ1228" s="132" t="s">
        <v>37</v>
      </c>
      <c r="BA1228" s="132"/>
      <c r="BB1228" s="24" t="s">
        <v>3593</v>
      </c>
      <c r="BC1228" s="135" t="s">
        <v>4767</v>
      </c>
      <c r="BD1228" s="24">
        <v>44111</v>
      </c>
      <c r="BE1228" s="135" t="s">
        <v>865</v>
      </c>
      <c r="BF1228" s="135" t="s">
        <v>865</v>
      </c>
      <c r="BG1228" s="135" t="s">
        <v>29</v>
      </c>
      <c r="BH1228" s="135"/>
      <c r="BI1228" s="314" t="s">
        <v>124</v>
      </c>
      <c r="BJ1228" s="314" t="s">
        <v>148</v>
      </c>
      <c r="BK1228" s="24"/>
      <c r="BL1228" s="24"/>
      <c r="BM1228" s="24"/>
      <c r="BN1228" s="24"/>
      <c r="BO1228" s="24"/>
      <c r="BP1228" s="24"/>
      <c r="BQ1228" s="24"/>
      <c r="BR1228" s="43"/>
      <c r="BS1228" s="24"/>
      <c r="BT1228" s="24"/>
      <c r="BU1228" s="24"/>
      <c r="BV1228" s="132" t="e">
        <f>IF(#REF!="COMPLETO","OK","PENDIENTES")</f>
        <v>#REF!</v>
      </c>
      <c r="BW1228" s="325"/>
      <c r="BX1228" s="325"/>
      <c r="BY1228" s="325"/>
      <c r="BZ1228" s="325"/>
      <c r="CA1228" s="325"/>
      <c r="CB1228" s="325"/>
      <c r="CC1228" s="258"/>
      <c r="CG1228" s="24" t="s">
        <v>105</v>
      </c>
      <c r="CH1228" s="24"/>
      <c r="CI1228" s="24"/>
      <c r="CJ1228" s="24"/>
    </row>
    <row r="1229" spans="1:88" ht="13.5" customHeight="1">
      <c r="A1229" s="18">
        <v>2020</v>
      </c>
      <c r="B1229" s="18" t="str">
        <f>+INDEX(BDD!F:F,MATCH(P1229,BDD!D:D,0))&amp;"-"&amp;INDEX(BDD!E:E,MATCH(P1229,BDD!D:D,0))</f>
        <v>-</v>
      </c>
      <c r="C1229" s="125" t="s">
        <v>484</v>
      </c>
      <c r="D1229" s="150" t="s">
        <v>77</v>
      </c>
      <c r="E1229" s="132"/>
      <c r="F1229" s="24"/>
      <c r="G1229" s="346">
        <v>8000001174</v>
      </c>
      <c r="H1229" s="125" t="s">
        <v>4770</v>
      </c>
      <c r="I1229" s="329"/>
      <c r="J1229" s="346">
        <v>8000001174</v>
      </c>
      <c r="K1229" s="24"/>
      <c r="L1229" s="24"/>
      <c r="M1229" s="24"/>
      <c r="N1229" s="340" t="s">
        <v>486</v>
      </c>
      <c r="O1229" s="334">
        <v>7000113</v>
      </c>
      <c r="P1229" s="25" t="s">
        <v>396</v>
      </c>
      <c r="Q1229" s="127" t="s">
        <v>303</v>
      </c>
      <c r="R1229" s="232" t="s">
        <v>4765</v>
      </c>
      <c r="S1229" s="89">
        <v>44089</v>
      </c>
      <c r="T1229" s="36" t="s">
        <v>19</v>
      </c>
      <c r="U1229" s="125"/>
      <c r="V1229" s="147" t="s">
        <v>4769</v>
      </c>
      <c r="W1229" s="129"/>
      <c r="X1229" s="88" t="s">
        <v>944</v>
      </c>
      <c r="Y1229" s="130" t="s">
        <v>20</v>
      </c>
      <c r="Z1229" s="133" t="s">
        <v>60</v>
      </c>
      <c r="AA1229" s="133"/>
      <c r="AB1229" s="241">
        <v>5700</v>
      </c>
      <c r="AC1229" s="134">
        <v>0.31</v>
      </c>
      <c r="AD1229" s="134"/>
      <c r="AE1229" s="403">
        <f t="shared" si="69"/>
        <v>1767</v>
      </c>
      <c r="AF1229" s="132"/>
      <c r="AG1229" s="130" t="s">
        <v>5</v>
      </c>
      <c r="AH1229" s="130"/>
      <c r="AI1229" s="130"/>
      <c r="AJ1229" s="130"/>
      <c r="AK1229" s="130"/>
      <c r="AL1229" s="135" t="s">
        <v>4587</v>
      </c>
      <c r="AM1229" s="314"/>
      <c r="AN1229" s="26"/>
      <c r="AO1229" s="26"/>
      <c r="AP1229" s="26"/>
      <c r="AQ1229" s="26">
        <v>44120</v>
      </c>
      <c r="AR1229" s="24"/>
      <c r="AS1229" s="24"/>
      <c r="AT1229" s="24">
        <v>44183</v>
      </c>
      <c r="AU1229" s="418">
        <f t="shared" si="70"/>
        <v>12</v>
      </c>
      <c r="AV1229" s="418">
        <f t="shared" si="71"/>
        <v>2020</v>
      </c>
      <c r="AW1229" s="24"/>
      <c r="AX1229" s="28"/>
      <c r="AY1229" s="28" t="s">
        <v>3415</v>
      </c>
      <c r="AZ1229" s="132" t="s">
        <v>37</v>
      </c>
      <c r="BA1229" s="132"/>
      <c r="BB1229" s="24" t="s">
        <v>3593</v>
      </c>
      <c r="BC1229" s="135" t="s">
        <v>4767</v>
      </c>
      <c r="BD1229" s="24">
        <v>44111</v>
      </c>
      <c r="BE1229" s="135" t="s">
        <v>865</v>
      </c>
      <c r="BF1229" s="135" t="s">
        <v>865</v>
      </c>
      <c r="BG1229" s="135" t="s">
        <v>29</v>
      </c>
      <c r="BH1229" s="135"/>
      <c r="BI1229" s="314" t="s">
        <v>124</v>
      </c>
      <c r="BJ1229" s="314" t="s">
        <v>148</v>
      </c>
      <c r="BK1229" s="24"/>
      <c r="BL1229" s="24"/>
      <c r="BM1229" s="24"/>
      <c r="BN1229" s="24"/>
      <c r="BO1229" s="24"/>
      <c r="BP1229" s="24"/>
      <c r="BQ1229" s="24"/>
      <c r="BR1229" s="43"/>
      <c r="BS1229" s="24"/>
      <c r="BT1229" s="24"/>
      <c r="BU1229" s="24"/>
      <c r="BV1229" s="132" t="e">
        <f>IF(#REF!="COMPLETO","OK","PENDIENTES")</f>
        <v>#REF!</v>
      </c>
      <c r="BW1229" s="325"/>
      <c r="BX1229" s="325"/>
      <c r="BY1229" s="325"/>
      <c r="BZ1229" s="325"/>
      <c r="CA1229" s="325"/>
      <c r="CB1229" s="325"/>
      <c r="CC1229" s="258"/>
      <c r="CG1229" s="24" t="s">
        <v>105</v>
      </c>
      <c r="CH1229" s="24"/>
      <c r="CI1229" s="24"/>
      <c r="CJ1229" s="24"/>
    </row>
    <row r="1230" spans="1:88" ht="15" customHeight="1">
      <c r="A1230" s="18">
        <v>2020</v>
      </c>
      <c r="B1230" s="18" t="str">
        <f>+INDEX(BDD!F:F,MATCH(P1230,BDD!D:D,0))&amp;"-"&amp;INDEX(BDD!E:E,MATCH(P1230,BDD!D:D,0))</f>
        <v>-</v>
      </c>
      <c r="C1230" s="125" t="s">
        <v>484</v>
      </c>
      <c r="D1230" s="150" t="s">
        <v>77</v>
      </c>
      <c r="E1230" s="132"/>
      <c r="F1230" s="24"/>
      <c r="G1230" s="346">
        <v>8000001174</v>
      </c>
      <c r="H1230" s="125" t="s">
        <v>4771</v>
      </c>
      <c r="I1230" s="329"/>
      <c r="J1230" s="346">
        <v>8000001174</v>
      </c>
      <c r="K1230" s="24"/>
      <c r="L1230" s="24"/>
      <c r="M1230" s="24"/>
      <c r="N1230" s="340" t="s">
        <v>486</v>
      </c>
      <c r="O1230" s="334">
        <v>7000114</v>
      </c>
      <c r="P1230" s="25" t="s">
        <v>397</v>
      </c>
      <c r="Q1230" s="127" t="s">
        <v>303</v>
      </c>
      <c r="R1230" s="232" t="s">
        <v>4765</v>
      </c>
      <c r="S1230" s="89">
        <v>44089</v>
      </c>
      <c r="T1230" s="36" t="s">
        <v>19</v>
      </c>
      <c r="U1230" s="125"/>
      <c r="V1230" s="147" t="s">
        <v>4769</v>
      </c>
      <c r="W1230" s="129"/>
      <c r="X1230" s="88" t="s">
        <v>944</v>
      </c>
      <c r="Y1230" s="130" t="s">
        <v>20</v>
      </c>
      <c r="Z1230" s="133" t="s">
        <v>60</v>
      </c>
      <c r="AA1230" s="133"/>
      <c r="AB1230" s="241">
        <v>500</v>
      </c>
      <c r="AC1230" s="134">
        <v>0.31</v>
      </c>
      <c r="AD1230" s="134"/>
      <c r="AE1230" s="403">
        <f t="shared" si="69"/>
        <v>155</v>
      </c>
      <c r="AF1230" s="132"/>
      <c r="AG1230" s="130" t="s">
        <v>5</v>
      </c>
      <c r="AH1230" s="130"/>
      <c r="AI1230" s="130"/>
      <c r="AJ1230" s="130"/>
      <c r="AK1230" s="130"/>
      <c r="AL1230" s="135" t="s">
        <v>4587</v>
      </c>
      <c r="AM1230" s="314"/>
      <c r="AN1230" s="26"/>
      <c r="AO1230" s="26"/>
      <c r="AP1230" s="26"/>
      <c r="AQ1230" s="26">
        <v>44120</v>
      </c>
      <c r="AR1230" s="24"/>
      <c r="AS1230" s="24"/>
      <c r="AT1230" s="24">
        <v>44183</v>
      </c>
      <c r="AU1230" s="418">
        <f t="shared" si="70"/>
        <v>12</v>
      </c>
      <c r="AV1230" s="418">
        <f t="shared" si="71"/>
        <v>2020</v>
      </c>
      <c r="AW1230" s="24"/>
      <c r="AX1230" s="28"/>
      <c r="AY1230" s="28" t="s">
        <v>3415</v>
      </c>
      <c r="AZ1230" s="132" t="s">
        <v>37</v>
      </c>
      <c r="BA1230" s="132"/>
      <c r="BB1230" s="24" t="s">
        <v>2956</v>
      </c>
      <c r="BC1230" s="135" t="s">
        <v>4767</v>
      </c>
      <c r="BD1230" s="24">
        <v>44111</v>
      </c>
      <c r="BE1230" s="135" t="s">
        <v>865</v>
      </c>
      <c r="BF1230" s="135" t="s">
        <v>865</v>
      </c>
      <c r="BG1230" s="135" t="s">
        <v>29</v>
      </c>
      <c r="BH1230" s="135"/>
      <c r="BI1230" s="314" t="s">
        <v>124</v>
      </c>
      <c r="BJ1230" s="314" t="s">
        <v>148</v>
      </c>
      <c r="BK1230" s="24"/>
      <c r="BL1230" s="24"/>
      <c r="BM1230" s="24"/>
      <c r="BN1230" s="24"/>
      <c r="BO1230" s="24"/>
      <c r="BP1230" s="24"/>
      <c r="BQ1230" s="24"/>
      <c r="BR1230" s="43"/>
      <c r="BS1230" s="24"/>
      <c r="BT1230" s="24"/>
      <c r="BU1230" s="24"/>
      <c r="BV1230" s="132" t="e">
        <f>IF(#REF!="COMPLETO","OK","PENDIENTES")</f>
        <v>#REF!</v>
      </c>
      <c r="BW1230" s="325"/>
      <c r="BX1230" s="325"/>
      <c r="BY1230" s="325"/>
      <c r="BZ1230" s="325"/>
      <c r="CA1230" s="325"/>
      <c r="CB1230" s="325"/>
      <c r="CC1230" s="258"/>
      <c r="CG1230" s="24" t="s">
        <v>105</v>
      </c>
      <c r="CH1230" s="24"/>
      <c r="CI1230" s="24"/>
      <c r="CJ1230" s="24"/>
    </row>
    <row r="1231" spans="1:88" ht="15" customHeight="1">
      <c r="A1231" s="18">
        <v>2020</v>
      </c>
      <c r="B1231" s="18" t="str">
        <f>+INDEX(BDD!F:F,MATCH(P1231,BDD!D:D,0))&amp;"-"&amp;INDEX(BDD!E:E,MATCH(P1231,BDD!D:D,0))</f>
        <v>E-S</v>
      </c>
      <c r="C1231" s="125" t="s">
        <v>484</v>
      </c>
      <c r="D1231" s="150" t="s">
        <v>77</v>
      </c>
      <c r="E1231" s="132"/>
      <c r="F1231" s="24"/>
      <c r="G1231" s="346">
        <v>8000001181</v>
      </c>
      <c r="H1231" s="125" t="s">
        <v>4772</v>
      </c>
      <c r="I1231" s="329"/>
      <c r="J1231" s="346">
        <v>8000001181</v>
      </c>
      <c r="K1231" s="24"/>
      <c r="L1231" s="24"/>
      <c r="M1231" s="24"/>
      <c r="N1231" s="340" t="s">
        <v>486</v>
      </c>
      <c r="O1231" s="334">
        <v>207522</v>
      </c>
      <c r="P1231" s="25" t="s">
        <v>298</v>
      </c>
      <c r="Q1231" s="127" t="s">
        <v>183</v>
      </c>
      <c r="R1231" s="232" t="s">
        <v>4773</v>
      </c>
      <c r="S1231" s="89">
        <v>44104</v>
      </c>
      <c r="T1231" s="36" t="s">
        <v>19</v>
      </c>
      <c r="U1231" s="125"/>
      <c r="V1231" s="147" t="s">
        <v>4774</v>
      </c>
      <c r="W1231" s="129"/>
      <c r="X1231" s="88">
        <v>44172</v>
      </c>
      <c r="Y1231" s="130" t="s">
        <v>20</v>
      </c>
      <c r="Z1231" s="133" t="s">
        <v>60</v>
      </c>
      <c r="AA1231" s="133"/>
      <c r="AB1231" s="241">
        <v>149.58000000000001</v>
      </c>
      <c r="AC1231" s="134">
        <v>220</v>
      </c>
      <c r="AD1231" s="134"/>
      <c r="AE1231" s="403">
        <f t="shared" si="69"/>
        <v>32907.600000000006</v>
      </c>
      <c r="AF1231" s="132">
        <v>6</v>
      </c>
      <c r="AG1231" s="130" t="s">
        <v>5</v>
      </c>
      <c r="AH1231" s="130"/>
      <c r="AI1231" s="130" t="s">
        <v>100</v>
      </c>
      <c r="AJ1231" s="130"/>
      <c r="AK1231" s="130"/>
      <c r="AL1231" s="135" t="s">
        <v>4604</v>
      </c>
      <c r="AM1231" s="314"/>
      <c r="AN1231" s="26"/>
      <c r="AO1231" s="26"/>
      <c r="AP1231" s="26"/>
      <c r="AQ1231" s="26">
        <v>44190</v>
      </c>
      <c r="AR1231" s="24"/>
      <c r="AS1231" s="24"/>
      <c r="AT1231" s="24">
        <v>44194</v>
      </c>
      <c r="AU1231" s="418">
        <f t="shared" si="70"/>
        <v>12</v>
      </c>
      <c r="AV1231" s="418">
        <f t="shared" si="71"/>
        <v>2020</v>
      </c>
      <c r="AW1231" s="24"/>
      <c r="AX1231" s="24"/>
      <c r="AY1231" s="24" t="s">
        <v>8</v>
      </c>
      <c r="AZ1231" s="132" t="s">
        <v>37</v>
      </c>
      <c r="BA1231" s="132"/>
      <c r="BB1231" s="24" t="s">
        <v>3291</v>
      </c>
      <c r="BC1231" s="135" t="s">
        <v>4775</v>
      </c>
      <c r="BD1231" s="24">
        <v>44163</v>
      </c>
      <c r="BE1231" s="135" t="s">
        <v>4776</v>
      </c>
      <c r="BF1231" s="135" t="s">
        <v>4776</v>
      </c>
      <c r="BG1231" s="135" t="s">
        <v>41</v>
      </c>
      <c r="BH1231" s="135"/>
      <c r="BI1231" s="314" t="s">
        <v>124</v>
      </c>
      <c r="BJ1231" s="314" t="s">
        <v>143</v>
      </c>
      <c r="BK1231" s="24"/>
      <c r="BL1231" s="24"/>
      <c r="BM1231" s="24"/>
      <c r="BN1231" s="24"/>
      <c r="BO1231" s="24"/>
      <c r="BP1231" s="24"/>
      <c r="BQ1231" s="24"/>
      <c r="BR1231" s="43"/>
      <c r="BS1231" s="24"/>
      <c r="BT1231" s="24"/>
      <c r="BU1231" s="24"/>
      <c r="BV1231" s="132" t="e">
        <f>IF(#REF!="COMPLETO","OK","PENDIENTES")</f>
        <v>#REF!</v>
      </c>
      <c r="BW1231" s="325"/>
      <c r="BX1231" s="325"/>
      <c r="BY1231" s="325"/>
      <c r="BZ1231" s="325"/>
      <c r="CA1231" s="325"/>
      <c r="CB1231" s="325"/>
      <c r="CC1231" s="258"/>
      <c r="CG1231" s="24" t="s">
        <v>105</v>
      </c>
      <c r="CH1231" s="24"/>
      <c r="CI1231" s="24"/>
      <c r="CJ1231" s="24"/>
    </row>
    <row r="1232" spans="1:88" ht="15" customHeight="1">
      <c r="A1232" s="18">
        <v>2020</v>
      </c>
      <c r="B1232" s="18" t="str">
        <f>+INDEX(BDD!F:F,MATCH(P1232,BDD!D:D,0))&amp;"-"&amp;INDEX(BDD!E:E,MATCH(P1232,BDD!D:D,0))</f>
        <v>E-S</v>
      </c>
      <c r="C1232" s="125" t="s">
        <v>484</v>
      </c>
      <c r="D1232" s="150" t="s">
        <v>77</v>
      </c>
      <c r="E1232" s="132"/>
      <c r="F1232" s="24"/>
      <c r="G1232" s="346">
        <v>8000001298</v>
      </c>
      <c r="H1232" s="125" t="s">
        <v>4777</v>
      </c>
      <c r="I1232" s="329"/>
      <c r="J1232" s="346">
        <v>8000001298</v>
      </c>
      <c r="K1232" s="24"/>
      <c r="L1232" s="24"/>
      <c r="M1232" s="24"/>
      <c r="N1232" s="340" t="s">
        <v>486</v>
      </c>
      <c r="O1232" s="334">
        <v>207522</v>
      </c>
      <c r="P1232" s="25" t="s">
        <v>298</v>
      </c>
      <c r="Q1232" s="127" t="s">
        <v>183</v>
      </c>
      <c r="R1232" s="232" t="s">
        <v>4773</v>
      </c>
      <c r="S1232" s="89">
        <v>44104</v>
      </c>
      <c r="T1232" s="36" t="s">
        <v>19</v>
      </c>
      <c r="U1232" s="125"/>
      <c r="V1232" s="147" t="s">
        <v>4778</v>
      </c>
      <c r="W1232" s="129"/>
      <c r="X1232" s="88">
        <v>44316</v>
      </c>
      <c r="Y1232" s="130" t="s">
        <v>20</v>
      </c>
      <c r="Z1232" s="133" t="s">
        <v>60</v>
      </c>
      <c r="AA1232" s="133"/>
      <c r="AB1232" s="241">
        <v>108.16</v>
      </c>
      <c r="AC1232" s="134">
        <v>220</v>
      </c>
      <c r="AD1232" s="134"/>
      <c r="AE1232" s="403">
        <f t="shared" si="69"/>
        <v>23795.200000000001</v>
      </c>
      <c r="AF1232" s="132">
        <v>4</v>
      </c>
      <c r="AG1232" s="130" t="s">
        <v>5</v>
      </c>
      <c r="AH1232" s="130"/>
      <c r="AI1232" s="130" t="s">
        <v>100</v>
      </c>
      <c r="AJ1232" s="130"/>
      <c r="AK1232" s="130"/>
      <c r="AL1232" s="135" t="s">
        <v>4779</v>
      </c>
      <c r="AM1232" s="314"/>
      <c r="AN1232" s="26"/>
      <c r="AO1232" s="26"/>
      <c r="AP1232" s="26"/>
      <c r="AQ1232" s="26">
        <v>44333</v>
      </c>
      <c r="AR1232" s="24"/>
      <c r="AS1232" s="24"/>
      <c r="AT1232" s="24">
        <v>44335</v>
      </c>
      <c r="AU1232" s="418">
        <f t="shared" si="70"/>
        <v>5</v>
      </c>
      <c r="AV1232" s="418">
        <f t="shared" si="71"/>
        <v>2021</v>
      </c>
      <c r="AW1232" s="24"/>
      <c r="AX1232" s="24"/>
      <c r="AY1232" s="24" t="s">
        <v>4781</v>
      </c>
      <c r="AZ1232" s="132" t="s">
        <v>37</v>
      </c>
      <c r="BA1232" s="132"/>
      <c r="BB1232" s="24" t="s">
        <v>2956</v>
      </c>
      <c r="BC1232" s="132" t="s">
        <v>4780</v>
      </c>
      <c r="BD1232" s="24">
        <v>44297</v>
      </c>
      <c r="BE1232" s="135" t="s">
        <v>4782</v>
      </c>
      <c r="BF1232" s="135" t="s">
        <v>2521</v>
      </c>
      <c r="BG1232" s="135" t="s">
        <v>65</v>
      </c>
      <c r="BH1232" s="135"/>
      <c r="BI1232" s="314" t="s">
        <v>124</v>
      </c>
      <c r="BJ1232" s="314" t="s">
        <v>143</v>
      </c>
      <c r="BK1232" s="24"/>
      <c r="BL1232" s="24"/>
      <c r="BM1232" s="24"/>
      <c r="BN1232" s="24"/>
      <c r="BO1232" s="24">
        <f>+AQ1232+14</f>
        <v>44347</v>
      </c>
      <c r="BP1232" s="24"/>
      <c r="BQ1232" s="24"/>
      <c r="BR1232" s="43"/>
      <c r="BS1232" s="24"/>
      <c r="BT1232" s="24"/>
      <c r="BU1232" s="24"/>
      <c r="BV1232" s="132" t="e">
        <f>IF(#REF!="COMPLETO","OK","PENDIENTES")</f>
        <v>#REF!</v>
      </c>
      <c r="BW1232" s="325"/>
      <c r="BX1232" s="325"/>
      <c r="BY1232" s="325"/>
      <c r="BZ1232" s="325"/>
      <c r="CA1232" s="325"/>
      <c r="CB1232" s="325"/>
      <c r="CC1232" s="258"/>
      <c r="CG1232" s="24" t="s">
        <v>105</v>
      </c>
      <c r="CH1232" s="24"/>
      <c r="CI1232" s="24"/>
      <c r="CJ1232" s="24"/>
    </row>
    <row r="1233" spans="1:88" ht="15" customHeight="1">
      <c r="A1233" s="18">
        <v>2020</v>
      </c>
      <c r="B1233" s="18" t="str">
        <f>+INDEX(BDD!F:F,MATCH(P1233,BDD!D:D,0))&amp;"-"&amp;INDEX(BDD!E:E,MATCH(P1233,BDD!D:D,0))</f>
        <v>E-S</v>
      </c>
      <c r="C1233" s="125" t="s">
        <v>484</v>
      </c>
      <c r="D1233" s="150" t="s">
        <v>77</v>
      </c>
      <c r="E1233" s="132"/>
      <c r="F1233" s="24"/>
      <c r="G1233" s="346">
        <v>8000001182</v>
      </c>
      <c r="H1233" s="125" t="s">
        <v>4783</v>
      </c>
      <c r="I1233" s="329"/>
      <c r="J1233" s="346">
        <v>8000001182</v>
      </c>
      <c r="K1233" s="24"/>
      <c r="L1233" s="24"/>
      <c r="M1233" s="24"/>
      <c r="N1233" s="340" t="s">
        <v>486</v>
      </c>
      <c r="O1233" s="334">
        <v>207522</v>
      </c>
      <c r="P1233" s="25" t="s">
        <v>298</v>
      </c>
      <c r="Q1233" s="127" t="s">
        <v>183</v>
      </c>
      <c r="R1233" s="232" t="s">
        <v>4773</v>
      </c>
      <c r="S1233" s="89">
        <v>44104</v>
      </c>
      <c r="T1233" s="36" t="s">
        <v>19</v>
      </c>
      <c r="U1233" s="125"/>
      <c r="V1233" s="147" t="s">
        <v>4784</v>
      </c>
      <c r="W1233" s="129"/>
      <c r="X1233" s="88">
        <v>44163</v>
      </c>
      <c r="Y1233" s="130" t="s">
        <v>20</v>
      </c>
      <c r="Z1233" s="133" t="s">
        <v>60</v>
      </c>
      <c r="AA1233" s="133"/>
      <c r="AB1233" s="241">
        <v>307.12</v>
      </c>
      <c r="AC1233" s="134">
        <v>220</v>
      </c>
      <c r="AD1233" s="134"/>
      <c r="AE1233" s="403">
        <f t="shared" si="69"/>
        <v>67566.399999999994</v>
      </c>
      <c r="AF1233" s="132">
        <v>11</v>
      </c>
      <c r="AG1233" s="130" t="s">
        <v>5</v>
      </c>
      <c r="AH1233" s="130"/>
      <c r="AI1233" s="130" t="s">
        <v>100</v>
      </c>
      <c r="AJ1233" s="130"/>
      <c r="AK1233" s="130"/>
      <c r="AL1233" s="135" t="s">
        <v>4604</v>
      </c>
      <c r="AM1233" s="314"/>
      <c r="AN1233" s="26"/>
      <c r="AO1233" s="26"/>
      <c r="AP1233" s="26"/>
      <c r="AQ1233" s="26">
        <v>44190</v>
      </c>
      <c r="AR1233" s="24"/>
      <c r="AS1233" s="24"/>
      <c r="AT1233" s="24">
        <v>44200</v>
      </c>
      <c r="AU1233" s="418">
        <f t="shared" si="70"/>
        <v>1</v>
      </c>
      <c r="AV1233" s="418">
        <f t="shared" si="71"/>
        <v>2021</v>
      </c>
      <c r="AW1233" s="24"/>
      <c r="AX1233" s="24"/>
      <c r="AY1233" s="24" t="s">
        <v>8</v>
      </c>
      <c r="AZ1233" s="132" t="s">
        <v>9</v>
      </c>
      <c r="BA1233" s="132"/>
      <c r="BB1233" s="24" t="s">
        <v>3264</v>
      </c>
      <c r="BC1233" s="135" t="s">
        <v>4785</v>
      </c>
      <c r="BD1233" s="24">
        <v>44156</v>
      </c>
      <c r="BE1233" s="135" t="s">
        <v>3429</v>
      </c>
      <c r="BF1233" s="135" t="s">
        <v>994</v>
      </c>
      <c r="BG1233" s="135" t="s">
        <v>41</v>
      </c>
      <c r="BH1233" s="135"/>
      <c r="BI1233" s="314" t="s">
        <v>124</v>
      </c>
      <c r="BJ1233" s="314" t="s">
        <v>143</v>
      </c>
      <c r="BK1233" s="24"/>
      <c r="BL1233" s="24"/>
      <c r="BM1233" s="24"/>
      <c r="BN1233" s="24"/>
      <c r="BO1233" s="24"/>
      <c r="BP1233" s="24"/>
      <c r="BQ1233" s="24"/>
      <c r="BR1233" s="43"/>
      <c r="BS1233" s="24"/>
      <c r="BT1233" s="24"/>
      <c r="BU1233" s="24"/>
      <c r="BV1233" s="132" t="e">
        <f>IF(#REF!="COMPLETO","OK","PENDIENTES")</f>
        <v>#REF!</v>
      </c>
      <c r="BW1233" s="325"/>
      <c r="BX1233" s="325"/>
      <c r="BY1233" s="325"/>
      <c r="BZ1233" s="325"/>
      <c r="CA1233" s="325"/>
      <c r="CB1233" s="325"/>
      <c r="CC1233" s="258"/>
      <c r="CG1233" s="24" t="s">
        <v>105</v>
      </c>
      <c r="CH1233" s="24"/>
      <c r="CI1233" s="24"/>
      <c r="CJ1233" s="24"/>
    </row>
    <row r="1234" spans="1:88" ht="15" customHeight="1">
      <c r="A1234" s="18">
        <v>2020</v>
      </c>
      <c r="B1234" s="18" t="str">
        <f>+INDEX(BDD!F:F,MATCH(P1234,BDD!D:D,0))&amp;"-"&amp;INDEX(BDD!E:E,MATCH(P1234,BDD!D:D,0))</f>
        <v>E-S</v>
      </c>
      <c r="C1234" s="125" t="s">
        <v>484</v>
      </c>
      <c r="D1234" s="150" t="s">
        <v>77</v>
      </c>
      <c r="E1234" s="132"/>
      <c r="F1234" s="24"/>
      <c r="G1234" s="346">
        <v>8000001217</v>
      </c>
      <c r="H1234" s="125" t="s">
        <v>4786</v>
      </c>
      <c r="I1234" s="329"/>
      <c r="J1234" s="346">
        <v>8000001217</v>
      </c>
      <c r="K1234" s="24"/>
      <c r="L1234" s="24"/>
      <c r="M1234" s="24"/>
      <c r="N1234" s="340" t="s">
        <v>486</v>
      </c>
      <c r="O1234" s="334">
        <v>207522</v>
      </c>
      <c r="P1234" s="25" t="s">
        <v>298</v>
      </c>
      <c r="Q1234" s="127" t="s">
        <v>183</v>
      </c>
      <c r="R1234" s="232" t="s">
        <v>4773</v>
      </c>
      <c r="S1234" s="89">
        <v>44104</v>
      </c>
      <c r="T1234" s="36" t="s">
        <v>19</v>
      </c>
      <c r="U1234" s="125"/>
      <c r="V1234" s="147" t="s">
        <v>4787</v>
      </c>
      <c r="W1234" s="129"/>
      <c r="X1234" s="88">
        <v>44202</v>
      </c>
      <c r="Y1234" s="130" t="s">
        <v>20</v>
      </c>
      <c r="Z1234" s="133" t="s">
        <v>60</v>
      </c>
      <c r="AA1234" s="133"/>
      <c r="AB1234" s="241">
        <v>149.86000000000001</v>
      </c>
      <c r="AC1234" s="134">
        <v>220</v>
      </c>
      <c r="AD1234" s="134"/>
      <c r="AE1234" s="403">
        <f t="shared" si="69"/>
        <v>32969.200000000004</v>
      </c>
      <c r="AF1234" s="132">
        <v>6</v>
      </c>
      <c r="AG1234" s="130" t="s">
        <v>5</v>
      </c>
      <c r="AH1234" s="130"/>
      <c r="AI1234" s="130" t="s">
        <v>100</v>
      </c>
      <c r="AJ1234" s="130"/>
      <c r="AK1234" s="130"/>
      <c r="AL1234" s="135" t="s">
        <v>4788</v>
      </c>
      <c r="AM1234" s="314"/>
      <c r="AN1234" s="26"/>
      <c r="AO1234" s="26"/>
      <c r="AP1234" s="26"/>
      <c r="AQ1234" s="26">
        <v>44225</v>
      </c>
      <c r="AR1234" s="24"/>
      <c r="AS1234" s="24"/>
      <c r="AT1234" s="24">
        <v>44230</v>
      </c>
      <c r="AU1234" s="418">
        <f t="shared" si="70"/>
        <v>2</v>
      </c>
      <c r="AV1234" s="418">
        <f t="shared" si="71"/>
        <v>2021</v>
      </c>
      <c r="AW1234" s="24"/>
      <c r="AX1234" s="24"/>
      <c r="AY1234" s="24" t="s">
        <v>8</v>
      </c>
      <c r="AZ1234" s="132" t="s">
        <v>9</v>
      </c>
      <c r="BA1234" s="132"/>
      <c r="BB1234" s="24" t="s">
        <v>3264</v>
      </c>
      <c r="BC1234" s="135" t="s">
        <v>4789</v>
      </c>
      <c r="BD1234" s="24">
        <v>44194</v>
      </c>
      <c r="BE1234" s="135" t="s">
        <v>4714</v>
      </c>
      <c r="BF1234" s="135" t="s">
        <v>3276</v>
      </c>
      <c r="BG1234" s="135" t="s">
        <v>41</v>
      </c>
      <c r="BH1234" s="135"/>
      <c r="BI1234" s="314" t="s">
        <v>124</v>
      </c>
      <c r="BJ1234" s="314" t="s">
        <v>143</v>
      </c>
      <c r="BK1234" s="24"/>
      <c r="BL1234" s="24"/>
      <c r="BM1234" s="24"/>
      <c r="BN1234" s="24"/>
      <c r="BO1234" s="24"/>
      <c r="BP1234" s="24"/>
      <c r="BQ1234" s="24"/>
      <c r="BR1234" s="43"/>
      <c r="BS1234" s="24"/>
      <c r="BT1234" s="24"/>
      <c r="BU1234" s="24"/>
      <c r="BV1234" s="132" t="e">
        <f>IF(#REF!="COMPLETO","OK","PENDIENTES")</f>
        <v>#REF!</v>
      </c>
      <c r="BW1234" s="325"/>
      <c r="BX1234" s="325"/>
      <c r="BY1234" s="325"/>
      <c r="BZ1234" s="325"/>
      <c r="CA1234" s="325"/>
      <c r="CB1234" s="325"/>
      <c r="CC1234" s="258"/>
      <c r="CG1234" s="24" t="s">
        <v>105</v>
      </c>
      <c r="CH1234" s="24"/>
      <c r="CI1234" s="24"/>
      <c r="CJ1234" s="24"/>
    </row>
    <row r="1235" spans="1:88" ht="15" customHeight="1">
      <c r="A1235" s="18">
        <v>2020</v>
      </c>
      <c r="B1235" s="18" t="str">
        <f>+INDEX(BDD!F:F,MATCH(P1235,BDD!D:D,0))&amp;"-"&amp;INDEX(BDD!E:E,MATCH(P1235,BDD!D:D,0))</f>
        <v>E-S</v>
      </c>
      <c r="C1235" s="125" t="s">
        <v>484</v>
      </c>
      <c r="D1235" s="150" t="s">
        <v>77</v>
      </c>
      <c r="E1235" s="132"/>
      <c r="F1235" s="24"/>
      <c r="G1235" s="346">
        <v>8000001263</v>
      </c>
      <c r="H1235" s="125" t="s">
        <v>4790</v>
      </c>
      <c r="I1235" s="329"/>
      <c r="J1235" s="346">
        <v>8000001263</v>
      </c>
      <c r="K1235" s="24"/>
      <c r="L1235" s="24"/>
      <c r="M1235" s="24"/>
      <c r="N1235" s="340" t="s">
        <v>486</v>
      </c>
      <c r="O1235" s="334">
        <v>207522</v>
      </c>
      <c r="P1235" s="25" t="s">
        <v>298</v>
      </c>
      <c r="Q1235" s="127" t="s">
        <v>183</v>
      </c>
      <c r="R1235" s="232" t="s">
        <v>4773</v>
      </c>
      <c r="S1235" s="89">
        <v>44104</v>
      </c>
      <c r="T1235" s="36" t="s">
        <v>19</v>
      </c>
      <c r="U1235" s="125"/>
      <c r="V1235" s="147" t="s">
        <v>4791</v>
      </c>
      <c r="W1235" s="129"/>
      <c r="X1235" s="88">
        <v>44188</v>
      </c>
      <c r="Y1235" s="130" t="s">
        <v>20</v>
      </c>
      <c r="Z1235" s="133" t="s">
        <v>60</v>
      </c>
      <c r="AA1235" s="133"/>
      <c r="AB1235" s="241">
        <v>195.56</v>
      </c>
      <c r="AC1235" s="134">
        <v>242</v>
      </c>
      <c r="AD1235" s="134"/>
      <c r="AE1235" s="403">
        <f t="shared" si="69"/>
        <v>47325.520000000004</v>
      </c>
      <c r="AF1235" s="132">
        <v>7</v>
      </c>
      <c r="AG1235" s="130" t="s">
        <v>5</v>
      </c>
      <c r="AH1235" s="130"/>
      <c r="AI1235" s="130" t="s">
        <v>100</v>
      </c>
      <c r="AJ1235" s="130"/>
      <c r="AK1235" s="130"/>
      <c r="AL1235" s="135" t="s">
        <v>4604</v>
      </c>
      <c r="AM1235" s="314"/>
      <c r="AN1235" s="26"/>
      <c r="AO1235" s="26"/>
      <c r="AP1235" s="26"/>
      <c r="AQ1235" s="26">
        <v>44274</v>
      </c>
      <c r="AR1235" s="24"/>
      <c r="AS1235" s="24"/>
      <c r="AT1235" s="24">
        <v>44281</v>
      </c>
      <c r="AU1235" s="418">
        <f t="shared" si="70"/>
        <v>3</v>
      </c>
      <c r="AV1235" s="418">
        <f t="shared" si="71"/>
        <v>2021</v>
      </c>
      <c r="AW1235" s="24"/>
      <c r="AX1235" s="24"/>
      <c r="AY1235" s="24" t="s">
        <v>8</v>
      </c>
      <c r="AZ1235" s="132" t="s">
        <v>62</v>
      </c>
      <c r="BA1235" s="132"/>
      <c r="BB1235" s="24" t="s">
        <v>3264</v>
      </c>
      <c r="BC1235" s="135" t="s">
        <v>4792</v>
      </c>
      <c r="BD1235" s="24">
        <v>44181</v>
      </c>
      <c r="BE1235" s="135" t="s">
        <v>3098</v>
      </c>
      <c r="BF1235" s="135" t="s">
        <v>1938</v>
      </c>
      <c r="BG1235" s="135" t="s">
        <v>29</v>
      </c>
      <c r="BH1235" s="135"/>
      <c r="BI1235" s="314" t="s">
        <v>124</v>
      </c>
      <c r="BJ1235" s="314" t="s">
        <v>143</v>
      </c>
      <c r="BK1235" s="24"/>
      <c r="BL1235" s="24"/>
      <c r="BM1235" s="24"/>
      <c r="BN1235" s="24"/>
      <c r="BO1235" s="24"/>
      <c r="BP1235" s="24"/>
      <c r="BQ1235" s="24"/>
      <c r="BR1235" s="43"/>
      <c r="BS1235" s="24"/>
      <c r="BT1235" s="24"/>
      <c r="BU1235" s="24"/>
      <c r="BV1235" s="132" t="e">
        <f>IF(#REF!="COMPLETO","OK","PENDIENTES")</f>
        <v>#REF!</v>
      </c>
      <c r="BW1235" s="325"/>
      <c r="BX1235" s="325"/>
      <c r="BY1235" s="325"/>
      <c r="BZ1235" s="325"/>
      <c r="CA1235" s="325"/>
      <c r="CB1235" s="325"/>
      <c r="CC1235" s="258"/>
      <c r="CG1235" s="24" t="s">
        <v>105</v>
      </c>
      <c r="CH1235" s="24"/>
      <c r="CI1235" s="24"/>
      <c r="CJ1235" s="24"/>
    </row>
    <row r="1236" spans="1:88" ht="15" customHeight="1">
      <c r="A1236" s="18">
        <v>2020</v>
      </c>
      <c r="B1236" s="18" t="str">
        <f>+INDEX(BDD!F:F,MATCH(P1236,BDD!D:D,0))&amp;"-"&amp;INDEX(BDD!E:E,MATCH(P1236,BDD!D:D,0))</f>
        <v>O-S</v>
      </c>
      <c r="C1236" s="125" t="s">
        <v>484</v>
      </c>
      <c r="D1236" s="150" t="s">
        <v>77</v>
      </c>
      <c r="E1236" s="132"/>
      <c r="F1236" s="24"/>
      <c r="G1236" s="346">
        <v>8000001059</v>
      </c>
      <c r="H1236" s="125" t="s">
        <v>4793</v>
      </c>
      <c r="I1236" s="329"/>
      <c r="J1236" s="346">
        <v>8000001059</v>
      </c>
      <c r="K1236" s="24"/>
      <c r="L1236" s="24"/>
      <c r="M1236" s="24"/>
      <c r="N1236" s="340" t="s">
        <v>486</v>
      </c>
      <c r="O1236" s="334">
        <v>203553</v>
      </c>
      <c r="P1236" s="25" t="s">
        <v>386</v>
      </c>
      <c r="Q1236" s="127" t="s">
        <v>303</v>
      </c>
      <c r="R1236" s="232" t="s">
        <v>4794</v>
      </c>
      <c r="S1236" s="89" t="s">
        <v>4795</v>
      </c>
      <c r="T1236" s="36" t="s">
        <v>19</v>
      </c>
      <c r="U1236" s="125"/>
      <c r="V1236" s="147" t="s">
        <v>4796</v>
      </c>
      <c r="W1236" s="129"/>
      <c r="X1236" s="88">
        <v>44140</v>
      </c>
      <c r="Y1236" s="130" t="s">
        <v>20</v>
      </c>
      <c r="Z1236" s="133" t="s">
        <v>60</v>
      </c>
      <c r="AA1236" s="133"/>
      <c r="AB1236" s="257">
        <v>79.504999999999995</v>
      </c>
      <c r="AC1236" s="134">
        <v>275.10000000000002</v>
      </c>
      <c r="AD1236" s="134"/>
      <c r="AE1236" s="403">
        <f t="shared" si="69"/>
        <v>21871.825499999999</v>
      </c>
      <c r="AF1236" s="132">
        <v>3</v>
      </c>
      <c r="AG1236" s="130" t="s">
        <v>5</v>
      </c>
      <c r="AH1236" s="130"/>
      <c r="AI1236" s="130" t="s">
        <v>100</v>
      </c>
      <c r="AJ1236" s="130"/>
      <c r="AK1236" s="130"/>
      <c r="AL1236" s="135" t="s">
        <v>4604</v>
      </c>
      <c r="AM1236" s="314"/>
      <c r="AN1236" s="26"/>
      <c r="AO1236" s="26"/>
      <c r="AP1236" s="26"/>
      <c r="AQ1236" s="26">
        <v>44153</v>
      </c>
      <c r="AR1236" s="24"/>
      <c r="AS1236" s="24"/>
      <c r="AT1236" s="24">
        <v>44158</v>
      </c>
      <c r="AU1236" s="418">
        <f t="shared" si="70"/>
        <v>11</v>
      </c>
      <c r="AV1236" s="418">
        <f t="shared" si="71"/>
        <v>2020</v>
      </c>
      <c r="AW1236" s="24"/>
      <c r="AX1236" s="28"/>
      <c r="AY1236" s="28" t="s">
        <v>4072</v>
      </c>
      <c r="AZ1236" s="132" t="s">
        <v>9</v>
      </c>
      <c r="BA1236" s="132"/>
      <c r="BB1236" s="24" t="s">
        <v>3264</v>
      </c>
      <c r="BC1236" s="135" t="s">
        <v>4797</v>
      </c>
      <c r="BD1236" s="24">
        <v>44117</v>
      </c>
      <c r="BE1236" s="135" t="s">
        <v>4344</v>
      </c>
      <c r="BF1236" s="135" t="s">
        <v>1806</v>
      </c>
      <c r="BG1236" s="135" t="s">
        <v>64</v>
      </c>
      <c r="BH1236" s="135"/>
      <c r="BI1236" s="314" t="s">
        <v>124</v>
      </c>
      <c r="BJ1236" s="314" t="s">
        <v>148</v>
      </c>
      <c r="BK1236" s="24"/>
      <c r="BL1236" s="24"/>
      <c r="BM1236" s="24"/>
      <c r="BN1236" s="24"/>
      <c r="BO1236" s="24"/>
      <c r="BP1236" s="24"/>
      <c r="BQ1236" s="24"/>
      <c r="BR1236" s="43"/>
      <c r="BS1236" s="24"/>
      <c r="BT1236" s="24"/>
      <c r="BU1236" s="24"/>
      <c r="BV1236" s="132" t="e">
        <f>IF(#REF!="COMPLETO","OK","PENDIENTES")</f>
        <v>#REF!</v>
      </c>
      <c r="BW1236" s="325"/>
      <c r="BX1236" s="325"/>
      <c r="BY1236" s="325"/>
      <c r="BZ1236" s="325"/>
      <c r="CA1236" s="325"/>
      <c r="CB1236" s="325"/>
      <c r="CC1236" s="258"/>
      <c r="CG1236" s="24" t="s">
        <v>105</v>
      </c>
      <c r="CH1236" s="24"/>
      <c r="CI1236" s="24"/>
      <c r="CJ1236" s="24"/>
    </row>
    <row r="1237" spans="1:88" ht="15" customHeight="1">
      <c r="A1237" s="18">
        <v>2020</v>
      </c>
      <c r="B1237" s="18" t="str">
        <f>+INDEX(BDD!F:F,MATCH(P1237,BDD!D:D,0))&amp;"-"&amp;INDEX(BDD!E:E,MATCH(P1237,BDD!D:D,0))</f>
        <v>E-S</v>
      </c>
      <c r="C1237" s="125" t="s">
        <v>484</v>
      </c>
      <c r="D1237" s="150" t="s">
        <v>77</v>
      </c>
      <c r="E1237" s="132"/>
      <c r="F1237" s="24"/>
      <c r="G1237" s="346">
        <v>8000001019</v>
      </c>
      <c r="H1237" s="125" t="s">
        <v>4798</v>
      </c>
      <c r="I1237" s="329"/>
      <c r="J1237" s="346">
        <v>8000001019</v>
      </c>
      <c r="K1237" s="24"/>
      <c r="L1237" s="24"/>
      <c r="M1237" s="24"/>
      <c r="N1237" s="340" t="s">
        <v>486</v>
      </c>
      <c r="O1237" s="334">
        <v>206720</v>
      </c>
      <c r="P1237" s="25" t="s">
        <v>336</v>
      </c>
      <c r="Q1237" s="127" t="s">
        <v>210</v>
      </c>
      <c r="R1237" s="232" t="s">
        <v>4799</v>
      </c>
      <c r="S1237" s="89">
        <v>44118</v>
      </c>
      <c r="T1237" s="36">
        <v>120</v>
      </c>
      <c r="U1237" s="125" t="s">
        <v>2805</v>
      </c>
      <c r="V1237" s="147" t="s">
        <v>4800</v>
      </c>
      <c r="W1237" s="129"/>
      <c r="X1237" s="88">
        <v>44267</v>
      </c>
      <c r="Y1237" s="130" t="s">
        <v>20</v>
      </c>
      <c r="Z1237" s="133" t="s">
        <v>60</v>
      </c>
      <c r="AA1237" s="133"/>
      <c r="AB1237" s="241">
        <v>105</v>
      </c>
      <c r="AC1237" s="134">
        <v>315</v>
      </c>
      <c r="AD1237" s="134"/>
      <c r="AE1237" s="403">
        <f t="shared" si="69"/>
        <v>33075</v>
      </c>
      <c r="AF1237" s="132">
        <v>5</v>
      </c>
      <c r="AG1237" s="130" t="s">
        <v>5</v>
      </c>
      <c r="AH1237" s="130"/>
      <c r="AI1237" s="130" t="s">
        <v>34</v>
      </c>
      <c r="AJ1237" s="130"/>
      <c r="AK1237" s="130"/>
      <c r="AL1237" s="135" t="s">
        <v>4551</v>
      </c>
      <c r="AM1237" s="314"/>
      <c r="AN1237" s="26"/>
      <c r="AO1237" s="26"/>
      <c r="AP1237" s="26"/>
      <c r="AQ1237" s="26">
        <v>44167</v>
      </c>
      <c r="AR1237" s="24"/>
      <c r="AS1237" s="24"/>
      <c r="AT1237" s="24">
        <v>44175</v>
      </c>
      <c r="AU1237" s="418">
        <f t="shared" si="70"/>
        <v>12</v>
      </c>
      <c r="AV1237" s="418">
        <f t="shared" si="71"/>
        <v>2020</v>
      </c>
      <c r="AW1237" s="24"/>
      <c r="AX1237" s="28"/>
      <c r="AY1237" s="28" t="s">
        <v>162</v>
      </c>
      <c r="AZ1237" s="132" t="s">
        <v>9</v>
      </c>
      <c r="BA1237" s="132"/>
      <c r="BB1237" s="24" t="s">
        <v>3264</v>
      </c>
      <c r="BC1237" s="135" t="s">
        <v>4801</v>
      </c>
      <c r="BD1237" s="24">
        <v>44143</v>
      </c>
      <c r="BE1237" s="135" t="s">
        <v>579</v>
      </c>
      <c r="BF1237" s="135" t="s">
        <v>1806</v>
      </c>
      <c r="BG1237" s="135" t="s">
        <v>64</v>
      </c>
      <c r="BH1237" s="135"/>
      <c r="BI1237" s="314" t="s">
        <v>124</v>
      </c>
      <c r="BJ1237" s="314" t="s">
        <v>138</v>
      </c>
      <c r="BK1237" s="24"/>
      <c r="BL1237" s="24"/>
      <c r="BM1237" s="24"/>
      <c r="BN1237" s="24"/>
      <c r="BO1237" s="24"/>
      <c r="BP1237" s="24"/>
      <c r="BQ1237" s="24"/>
      <c r="BR1237" s="43"/>
      <c r="BS1237" s="24"/>
      <c r="BT1237" s="24"/>
      <c r="BU1237" s="24"/>
      <c r="BV1237" s="132" t="e">
        <f>IF(#REF!="COMPLETO","OK","PENDIENTES")</f>
        <v>#REF!</v>
      </c>
      <c r="BW1237" s="325"/>
      <c r="BX1237" s="325"/>
      <c r="BY1237" s="325"/>
      <c r="BZ1237" s="325"/>
      <c r="CA1237" s="325"/>
      <c r="CB1237" s="325"/>
      <c r="CC1237" s="258"/>
      <c r="CG1237" s="24" t="s">
        <v>105</v>
      </c>
      <c r="CH1237" s="24"/>
      <c r="CI1237" s="24"/>
      <c r="CJ1237" s="24"/>
    </row>
    <row r="1238" spans="1:88" ht="15" customHeight="1">
      <c r="A1238" s="18">
        <v>2020</v>
      </c>
      <c r="B1238" s="18" t="str">
        <f>+INDEX(BDD!F:F,MATCH(P1238,BDD!D:D,0))&amp;"-"&amp;INDEX(BDD!E:E,MATCH(P1238,BDD!D:D,0))</f>
        <v>E-S</v>
      </c>
      <c r="C1238" s="125" t="s">
        <v>484</v>
      </c>
      <c r="D1238" s="150" t="s">
        <v>77</v>
      </c>
      <c r="E1238" s="132"/>
      <c r="F1238" s="24"/>
      <c r="G1238" s="346">
        <v>8000001029</v>
      </c>
      <c r="H1238" s="125" t="s">
        <v>4802</v>
      </c>
      <c r="I1238" s="329"/>
      <c r="J1238" s="346">
        <v>8000001029</v>
      </c>
      <c r="K1238" s="24"/>
      <c r="L1238" s="24"/>
      <c r="M1238" s="24"/>
      <c r="N1238" s="340" t="s">
        <v>486</v>
      </c>
      <c r="O1238" s="334">
        <v>204826</v>
      </c>
      <c r="P1238" s="25" t="s">
        <v>351</v>
      </c>
      <c r="Q1238" s="127" t="s">
        <v>252</v>
      </c>
      <c r="R1238" s="232" t="s">
        <v>4803</v>
      </c>
      <c r="S1238" s="89">
        <v>44123</v>
      </c>
      <c r="T1238" s="36" t="s">
        <v>19</v>
      </c>
      <c r="U1238" s="125"/>
      <c r="V1238" s="147" t="s">
        <v>4804</v>
      </c>
      <c r="W1238" s="129"/>
      <c r="X1238" s="88">
        <v>44188</v>
      </c>
      <c r="Y1238" s="130" t="s">
        <v>20</v>
      </c>
      <c r="Z1238" s="133" t="s">
        <v>60</v>
      </c>
      <c r="AA1238" s="133"/>
      <c r="AB1238" s="241">
        <v>614.4</v>
      </c>
      <c r="AC1238" s="134">
        <v>320</v>
      </c>
      <c r="AD1238" s="134"/>
      <c r="AE1238" s="403">
        <f t="shared" si="69"/>
        <v>196608</v>
      </c>
      <c r="AF1238" s="132">
        <v>22</v>
      </c>
      <c r="AG1238" s="130" t="s">
        <v>79</v>
      </c>
      <c r="AH1238" s="130"/>
      <c r="AI1238" s="130" t="s">
        <v>100</v>
      </c>
      <c r="AJ1238" s="130"/>
      <c r="AK1238" s="130"/>
      <c r="AL1238" s="135" t="s">
        <v>4788</v>
      </c>
      <c r="AM1238" s="314"/>
      <c r="AN1238" s="26"/>
      <c r="AO1238" s="26"/>
      <c r="AP1238" s="26"/>
      <c r="AQ1238" s="26">
        <v>44224</v>
      </c>
      <c r="AR1238" s="24"/>
      <c r="AS1238" s="24"/>
      <c r="AT1238" s="24">
        <v>44239</v>
      </c>
      <c r="AU1238" s="418">
        <f t="shared" si="70"/>
        <v>2</v>
      </c>
      <c r="AV1238" s="418">
        <f t="shared" si="71"/>
        <v>2021</v>
      </c>
      <c r="AW1238" s="24"/>
      <c r="AX1238" s="28"/>
      <c r="AY1238" s="28" t="s">
        <v>281</v>
      </c>
      <c r="AZ1238" s="132" t="s">
        <v>37</v>
      </c>
      <c r="BA1238" s="132"/>
      <c r="BB1238" s="24" t="s">
        <v>3593</v>
      </c>
      <c r="BC1238" s="135" t="s">
        <v>4805</v>
      </c>
      <c r="BD1238" s="24">
        <v>44181</v>
      </c>
      <c r="BE1238" s="135" t="s">
        <v>2782</v>
      </c>
      <c r="BF1238" s="135" t="s">
        <v>4806</v>
      </c>
      <c r="BG1238" s="135" t="s">
        <v>64</v>
      </c>
      <c r="BH1238" s="135"/>
      <c r="BI1238" s="314" t="s">
        <v>124</v>
      </c>
      <c r="BJ1238" s="314" t="s">
        <v>143</v>
      </c>
      <c r="BK1238" s="24"/>
      <c r="BL1238" s="24"/>
      <c r="BM1238" s="24"/>
      <c r="BN1238" s="24"/>
      <c r="BO1238" s="24">
        <v>44239</v>
      </c>
      <c r="BP1238" s="24"/>
      <c r="BQ1238" s="24"/>
      <c r="BR1238" s="43"/>
      <c r="BS1238" s="24"/>
      <c r="BT1238" s="24"/>
      <c r="BU1238" s="24"/>
      <c r="BV1238" s="132" t="e">
        <f>IF(#REF!="COMPLETO","OK","PENDIENTES")</f>
        <v>#REF!</v>
      </c>
      <c r="BW1238" s="325"/>
      <c r="BX1238" s="325"/>
      <c r="BY1238" s="325"/>
      <c r="BZ1238" s="325"/>
      <c r="CA1238" s="325"/>
      <c r="CB1238" s="325"/>
      <c r="CC1238" s="258"/>
      <c r="CG1238" s="24" t="s">
        <v>105</v>
      </c>
      <c r="CH1238" s="24"/>
      <c r="CI1238" s="24"/>
      <c r="CJ1238" s="24"/>
    </row>
    <row r="1239" spans="1:88" ht="15" customHeight="1">
      <c r="A1239" s="18">
        <v>2020</v>
      </c>
      <c r="B1239" s="18" t="str">
        <f>+INDEX(BDD!F:F,MATCH(P1239,BDD!D:D,0))&amp;"-"&amp;INDEX(BDD!E:E,MATCH(P1239,BDD!D:D,0))</f>
        <v>G-S</v>
      </c>
      <c r="C1239" s="125" t="s">
        <v>484</v>
      </c>
      <c r="D1239" s="150" t="s">
        <v>77</v>
      </c>
      <c r="E1239" s="132"/>
      <c r="F1239" s="24"/>
      <c r="G1239" s="346">
        <v>8000001153</v>
      </c>
      <c r="H1239" s="125" t="s">
        <v>4807</v>
      </c>
      <c r="I1239" s="329"/>
      <c r="J1239" s="346">
        <v>8000001153</v>
      </c>
      <c r="K1239" s="24"/>
      <c r="L1239" s="24"/>
      <c r="M1239" s="24"/>
      <c r="N1239" s="340" t="s">
        <v>486</v>
      </c>
      <c r="O1239" s="334">
        <v>207485</v>
      </c>
      <c r="P1239" s="25" t="s">
        <v>353</v>
      </c>
      <c r="Q1239" s="127" t="s">
        <v>294</v>
      </c>
      <c r="R1239" s="232" t="s">
        <v>544</v>
      </c>
      <c r="S1239" s="89">
        <v>44106</v>
      </c>
      <c r="T1239" s="36">
        <v>150</v>
      </c>
      <c r="U1239" s="125" t="s">
        <v>2805</v>
      </c>
      <c r="V1239" s="147" t="s">
        <v>4808</v>
      </c>
      <c r="W1239" s="129"/>
      <c r="X1239" s="88">
        <v>44295</v>
      </c>
      <c r="Y1239" s="130" t="s">
        <v>20</v>
      </c>
      <c r="Z1239" s="133" t="s">
        <v>60</v>
      </c>
      <c r="AA1239" s="133"/>
      <c r="AB1239" s="241">
        <v>900</v>
      </c>
      <c r="AC1239" s="134">
        <v>290.83</v>
      </c>
      <c r="AD1239" s="134"/>
      <c r="AE1239" s="403">
        <f t="shared" si="69"/>
        <v>261747</v>
      </c>
      <c r="AF1239" s="132"/>
      <c r="AG1239" s="130" t="s">
        <v>46</v>
      </c>
      <c r="AH1239" s="130"/>
      <c r="AI1239" s="130" t="s">
        <v>100</v>
      </c>
      <c r="AJ1239" s="130"/>
      <c r="AK1239" s="130"/>
      <c r="AL1239" s="135" t="s">
        <v>4809</v>
      </c>
      <c r="AM1239" s="314"/>
      <c r="AN1239" s="26"/>
      <c r="AO1239" s="26"/>
      <c r="AP1239" s="26"/>
      <c r="AQ1239" s="26">
        <v>44177</v>
      </c>
      <c r="AR1239" s="24"/>
      <c r="AS1239" s="24"/>
      <c r="AT1239" s="24">
        <v>44179</v>
      </c>
      <c r="AU1239" s="418">
        <f t="shared" si="70"/>
        <v>12</v>
      </c>
      <c r="AV1239" s="418">
        <f t="shared" si="71"/>
        <v>2020</v>
      </c>
      <c r="AW1239" s="24"/>
      <c r="AX1239" s="24"/>
      <c r="AY1239" s="24" t="s">
        <v>205</v>
      </c>
      <c r="AZ1239" s="132" t="s">
        <v>9</v>
      </c>
      <c r="BA1239" s="132"/>
      <c r="BB1239" s="24" t="s">
        <v>3519</v>
      </c>
      <c r="BC1239" s="135">
        <v>8</v>
      </c>
      <c r="BD1239" s="24">
        <v>44148</v>
      </c>
      <c r="BE1239" s="135" t="s">
        <v>4810</v>
      </c>
      <c r="BF1239" s="135" t="s">
        <v>4810</v>
      </c>
      <c r="BG1239" s="135" t="s">
        <v>52</v>
      </c>
      <c r="BH1239" s="135"/>
      <c r="BI1239" s="314" t="s">
        <v>117</v>
      </c>
      <c r="BJ1239" s="314" t="s">
        <v>143</v>
      </c>
      <c r="BK1239" s="24"/>
      <c r="BL1239" s="24"/>
      <c r="BM1239" s="24"/>
      <c r="BN1239" s="24"/>
      <c r="BO1239" s="24"/>
      <c r="BP1239" s="24"/>
      <c r="BQ1239" s="24"/>
      <c r="BR1239" s="43"/>
      <c r="BS1239" s="24"/>
      <c r="BT1239" s="24"/>
      <c r="BU1239" s="24"/>
      <c r="BV1239" s="132" t="e">
        <f>IF(#REF!="COMPLETO","OK","PENDIENTES")</f>
        <v>#REF!</v>
      </c>
      <c r="BW1239" s="325"/>
      <c r="BX1239" s="325"/>
      <c r="BY1239" s="325"/>
      <c r="BZ1239" s="325"/>
      <c r="CA1239" s="325"/>
      <c r="CB1239" s="325"/>
      <c r="CC1239" s="258"/>
      <c r="CG1239" s="24" t="s">
        <v>105</v>
      </c>
      <c r="CH1239" s="24"/>
      <c r="CI1239" s="24"/>
      <c r="CJ1239" s="24"/>
    </row>
    <row r="1240" spans="1:88" ht="15" customHeight="1">
      <c r="A1240" s="18">
        <v>2020</v>
      </c>
      <c r="B1240" s="18" t="str">
        <f>+INDEX(BDD!F:F,MATCH(P1240,BDD!D:D,0))&amp;"-"&amp;INDEX(BDD!E:E,MATCH(P1240,BDD!D:D,0))</f>
        <v>G-S</v>
      </c>
      <c r="C1240" s="125" t="s">
        <v>484</v>
      </c>
      <c r="D1240" s="150" t="s">
        <v>77</v>
      </c>
      <c r="E1240" s="132"/>
      <c r="F1240" s="24"/>
      <c r="G1240" s="346">
        <v>8000001168</v>
      </c>
      <c r="H1240" s="125" t="s">
        <v>4811</v>
      </c>
      <c r="I1240" s="329"/>
      <c r="J1240" s="346">
        <v>8000001168</v>
      </c>
      <c r="K1240" s="24"/>
      <c r="L1240" s="24"/>
      <c r="M1240" s="24"/>
      <c r="N1240" s="340" t="s">
        <v>486</v>
      </c>
      <c r="O1240" s="334">
        <v>207485</v>
      </c>
      <c r="P1240" s="25" t="s">
        <v>353</v>
      </c>
      <c r="Q1240" s="127" t="s">
        <v>294</v>
      </c>
      <c r="R1240" s="232" t="s">
        <v>544</v>
      </c>
      <c r="S1240" s="89">
        <v>44106</v>
      </c>
      <c r="T1240" s="36">
        <v>150</v>
      </c>
      <c r="U1240" s="125" t="s">
        <v>2805</v>
      </c>
      <c r="V1240" s="147" t="s">
        <v>4812</v>
      </c>
      <c r="W1240" s="129"/>
      <c r="X1240" s="88">
        <v>44295</v>
      </c>
      <c r="Y1240" s="130" t="s">
        <v>20</v>
      </c>
      <c r="Z1240" s="133" t="s">
        <v>60</v>
      </c>
      <c r="AA1240" s="133"/>
      <c r="AB1240" s="241">
        <v>1200</v>
      </c>
      <c r="AC1240" s="134">
        <v>290.83</v>
      </c>
      <c r="AD1240" s="134"/>
      <c r="AE1240" s="403">
        <f t="shared" si="69"/>
        <v>348996</v>
      </c>
      <c r="AF1240" s="132"/>
      <c r="AG1240" s="130" t="s">
        <v>46</v>
      </c>
      <c r="AH1240" s="130"/>
      <c r="AI1240" s="130" t="s">
        <v>100</v>
      </c>
      <c r="AJ1240" s="130"/>
      <c r="AK1240" s="130"/>
      <c r="AL1240" s="135" t="s">
        <v>4809</v>
      </c>
      <c r="AM1240" s="314"/>
      <c r="AN1240" s="26"/>
      <c r="AO1240" s="26"/>
      <c r="AP1240" s="26"/>
      <c r="AQ1240" s="26">
        <v>44180</v>
      </c>
      <c r="AR1240" s="24"/>
      <c r="AS1240" s="24"/>
      <c r="AT1240" s="24">
        <v>44181</v>
      </c>
      <c r="AU1240" s="418">
        <f t="shared" si="70"/>
        <v>12</v>
      </c>
      <c r="AV1240" s="418">
        <f t="shared" si="71"/>
        <v>2020</v>
      </c>
      <c r="AW1240" s="24"/>
      <c r="AX1240" s="24"/>
      <c r="AY1240" s="24" t="s">
        <v>205</v>
      </c>
      <c r="AZ1240" s="132" t="s">
        <v>25</v>
      </c>
      <c r="BA1240" s="132"/>
      <c r="BB1240" s="24" t="s">
        <v>3264</v>
      </c>
      <c r="BC1240" s="135">
        <v>9</v>
      </c>
      <c r="BD1240" s="24">
        <v>44148</v>
      </c>
      <c r="BE1240" s="135" t="s">
        <v>4810</v>
      </c>
      <c r="BF1240" s="135" t="s">
        <v>4810</v>
      </c>
      <c r="BG1240" s="135" t="s">
        <v>52</v>
      </c>
      <c r="BH1240" s="135"/>
      <c r="BI1240" s="314" t="s">
        <v>117</v>
      </c>
      <c r="BJ1240" s="314" t="s">
        <v>143</v>
      </c>
      <c r="BK1240" s="24"/>
      <c r="BL1240" s="24"/>
      <c r="BM1240" s="24"/>
      <c r="BN1240" s="24"/>
      <c r="BO1240" s="24"/>
      <c r="BP1240" s="24"/>
      <c r="BQ1240" s="24"/>
      <c r="BR1240" s="43"/>
      <c r="BS1240" s="24"/>
      <c r="BT1240" s="24"/>
      <c r="BU1240" s="24"/>
      <c r="BV1240" s="132" t="e">
        <f>IF(#REF!="COMPLETO","OK","PENDIENTES")</f>
        <v>#REF!</v>
      </c>
      <c r="BW1240" s="325"/>
      <c r="BX1240" s="325"/>
      <c r="BY1240" s="325"/>
      <c r="BZ1240" s="325"/>
      <c r="CA1240" s="325"/>
      <c r="CB1240" s="325"/>
      <c r="CC1240" s="258"/>
      <c r="CG1240" s="24" t="s">
        <v>105</v>
      </c>
      <c r="CH1240" s="24"/>
      <c r="CI1240" s="24"/>
      <c r="CJ1240" s="24"/>
    </row>
    <row r="1241" spans="1:88" ht="15" customHeight="1">
      <c r="A1241" s="18">
        <v>2020</v>
      </c>
      <c r="B1241" s="18" t="str">
        <f>+INDEX(BDD!F:F,MATCH(P1241,BDD!D:D,0))&amp;"-"&amp;INDEX(BDD!E:E,MATCH(P1241,BDD!D:D,0))</f>
        <v>G-S</v>
      </c>
      <c r="C1241" s="125" t="s">
        <v>484</v>
      </c>
      <c r="D1241" s="150" t="s">
        <v>77</v>
      </c>
      <c r="E1241" s="132"/>
      <c r="F1241" s="24"/>
      <c r="G1241" s="346">
        <v>8000001169</v>
      </c>
      <c r="H1241" s="125" t="s">
        <v>4813</v>
      </c>
      <c r="I1241" s="329"/>
      <c r="J1241" s="346">
        <v>8000001169</v>
      </c>
      <c r="K1241" s="24"/>
      <c r="L1241" s="24"/>
      <c r="M1241" s="24"/>
      <c r="N1241" s="340" t="s">
        <v>486</v>
      </c>
      <c r="O1241" s="334">
        <v>207485</v>
      </c>
      <c r="P1241" s="25" t="s">
        <v>353</v>
      </c>
      <c r="Q1241" s="127" t="s">
        <v>294</v>
      </c>
      <c r="R1241" s="232" t="s">
        <v>544</v>
      </c>
      <c r="S1241" s="89">
        <v>44106</v>
      </c>
      <c r="T1241" s="36">
        <v>150</v>
      </c>
      <c r="U1241" s="125" t="s">
        <v>2805</v>
      </c>
      <c r="V1241" s="147" t="s">
        <v>4814</v>
      </c>
      <c r="W1241" s="129"/>
      <c r="X1241" s="88">
        <v>44295</v>
      </c>
      <c r="Y1241" s="130" t="s">
        <v>20</v>
      </c>
      <c r="Z1241" s="133" t="s">
        <v>60</v>
      </c>
      <c r="AA1241" s="133"/>
      <c r="AB1241" s="241">
        <v>300</v>
      </c>
      <c r="AC1241" s="134">
        <v>290.83</v>
      </c>
      <c r="AD1241" s="134"/>
      <c r="AE1241" s="403">
        <f t="shared" si="69"/>
        <v>87249</v>
      </c>
      <c r="AF1241" s="132"/>
      <c r="AG1241" s="130" t="s">
        <v>46</v>
      </c>
      <c r="AH1241" s="130"/>
      <c r="AI1241" s="130" t="s">
        <v>100</v>
      </c>
      <c r="AJ1241" s="130"/>
      <c r="AK1241" s="130"/>
      <c r="AL1241" s="135" t="s">
        <v>4809</v>
      </c>
      <c r="AM1241" s="314"/>
      <c r="AN1241" s="26"/>
      <c r="AO1241" s="26"/>
      <c r="AP1241" s="26"/>
      <c r="AQ1241" s="26">
        <v>44183</v>
      </c>
      <c r="AR1241" s="24"/>
      <c r="AS1241" s="24"/>
      <c r="AT1241" s="24">
        <v>44184</v>
      </c>
      <c r="AU1241" s="418">
        <f t="shared" si="70"/>
        <v>12</v>
      </c>
      <c r="AV1241" s="418">
        <f t="shared" si="71"/>
        <v>2020</v>
      </c>
      <c r="AW1241" s="24"/>
      <c r="AX1241" s="24"/>
      <c r="AY1241" s="24" t="s">
        <v>205</v>
      </c>
      <c r="AZ1241" s="132" t="s">
        <v>37</v>
      </c>
      <c r="BA1241" s="132"/>
      <c r="BB1241" s="24" t="s">
        <v>2956</v>
      </c>
      <c r="BC1241" s="135">
        <v>10</v>
      </c>
      <c r="BD1241" s="24">
        <v>44148</v>
      </c>
      <c r="BE1241" s="135" t="s">
        <v>4810</v>
      </c>
      <c r="BF1241" s="135" t="s">
        <v>4810</v>
      </c>
      <c r="BG1241" s="135" t="s">
        <v>52</v>
      </c>
      <c r="BH1241" s="135"/>
      <c r="BI1241" s="314" t="s">
        <v>117</v>
      </c>
      <c r="BJ1241" s="314" t="s">
        <v>143</v>
      </c>
      <c r="BK1241" s="24"/>
      <c r="BL1241" s="24"/>
      <c r="BM1241" s="24"/>
      <c r="BN1241" s="24"/>
      <c r="BO1241" s="24"/>
      <c r="BP1241" s="24"/>
      <c r="BQ1241" s="24"/>
      <c r="BR1241" s="43"/>
      <c r="BS1241" s="24"/>
      <c r="BT1241" s="24"/>
      <c r="BU1241" s="24"/>
      <c r="BV1241" s="132" t="e">
        <f>IF(#REF!="COMPLETO","OK","PENDIENTES")</f>
        <v>#REF!</v>
      </c>
      <c r="BW1241" s="325"/>
      <c r="BX1241" s="325"/>
      <c r="BY1241" s="325"/>
      <c r="BZ1241" s="325"/>
      <c r="CA1241" s="325"/>
      <c r="CB1241" s="325"/>
      <c r="CC1241" s="258"/>
      <c r="CG1241" s="24" t="s">
        <v>105</v>
      </c>
      <c r="CH1241" s="24"/>
      <c r="CI1241" s="24"/>
      <c r="CJ1241" s="24"/>
    </row>
    <row r="1242" spans="1:88" ht="15" customHeight="1">
      <c r="A1242" s="18">
        <v>2020</v>
      </c>
      <c r="B1242" s="18" t="str">
        <f>+INDEX(BDD!F:F,MATCH(P1242,BDD!D:D,0))&amp;"-"&amp;INDEX(BDD!E:E,MATCH(P1242,BDD!D:D,0))</f>
        <v>G-S</v>
      </c>
      <c r="C1242" s="125" t="s">
        <v>484</v>
      </c>
      <c r="D1242" s="150" t="s">
        <v>77</v>
      </c>
      <c r="E1242" s="132"/>
      <c r="F1242" s="24"/>
      <c r="G1242" s="346">
        <v>8000001175</v>
      </c>
      <c r="H1242" s="125" t="s">
        <v>4815</v>
      </c>
      <c r="I1242" s="329"/>
      <c r="J1242" s="346">
        <v>8000001175</v>
      </c>
      <c r="K1242" s="24"/>
      <c r="L1242" s="24"/>
      <c r="M1242" s="24"/>
      <c r="N1242" s="340" t="s">
        <v>486</v>
      </c>
      <c r="O1242" s="334">
        <v>207485</v>
      </c>
      <c r="P1242" s="25" t="s">
        <v>353</v>
      </c>
      <c r="Q1242" s="127" t="s">
        <v>294</v>
      </c>
      <c r="R1242" s="232" t="s">
        <v>544</v>
      </c>
      <c r="S1242" s="89">
        <v>44106</v>
      </c>
      <c r="T1242" s="36">
        <v>150</v>
      </c>
      <c r="U1242" s="125" t="s">
        <v>2805</v>
      </c>
      <c r="V1242" s="147" t="s">
        <v>4816</v>
      </c>
      <c r="W1242" s="129"/>
      <c r="X1242" s="88">
        <v>44295</v>
      </c>
      <c r="Y1242" s="130" t="s">
        <v>20</v>
      </c>
      <c r="Z1242" s="133" t="s">
        <v>60</v>
      </c>
      <c r="AA1242" s="133"/>
      <c r="AB1242" s="241">
        <v>750</v>
      </c>
      <c r="AC1242" s="134">
        <v>290.83</v>
      </c>
      <c r="AD1242" s="134"/>
      <c r="AE1242" s="403">
        <f t="shared" si="69"/>
        <v>218122.5</v>
      </c>
      <c r="AF1242" s="132"/>
      <c r="AG1242" s="130" t="s">
        <v>46</v>
      </c>
      <c r="AH1242" s="130"/>
      <c r="AI1242" s="130" t="s">
        <v>100</v>
      </c>
      <c r="AJ1242" s="130"/>
      <c r="AK1242" s="130"/>
      <c r="AL1242" s="135" t="s">
        <v>4809</v>
      </c>
      <c r="AM1242" s="314"/>
      <c r="AN1242" s="26"/>
      <c r="AO1242" s="26"/>
      <c r="AP1242" s="26"/>
      <c r="AQ1242" s="26">
        <v>44186</v>
      </c>
      <c r="AR1242" s="24"/>
      <c r="AS1242" s="24"/>
      <c r="AT1242" s="24">
        <v>44190</v>
      </c>
      <c r="AU1242" s="418">
        <f t="shared" si="70"/>
        <v>12</v>
      </c>
      <c r="AV1242" s="418">
        <f t="shared" si="71"/>
        <v>2020</v>
      </c>
      <c r="AW1242" s="24"/>
      <c r="AX1242" s="24"/>
      <c r="AY1242" s="24" t="s">
        <v>205</v>
      </c>
      <c r="AZ1242" s="132" t="s">
        <v>62</v>
      </c>
      <c r="BA1242" s="132"/>
      <c r="BB1242" s="24" t="s">
        <v>3264</v>
      </c>
      <c r="BC1242" s="135">
        <v>11</v>
      </c>
      <c r="BD1242" s="24">
        <v>44148</v>
      </c>
      <c r="BE1242" s="135" t="s">
        <v>4810</v>
      </c>
      <c r="BF1242" s="135" t="s">
        <v>4810</v>
      </c>
      <c r="BG1242" s="135" t="s">
        <v>52</v>
      </c>
      <c r="BH1242" s="135"/>
      <c r="BI1242" s="314" t="s">
        <v>117</v>
      </c>
      <c r="BJ1242" s="314" t="s">
        <v>143</v>
      </c>
      <c r="BK1242" s="24"/>
      <c r="BL1242" s="24"/>
      <c r="BM1242" s="24"/>
      <c r="BN1242" s="24"/>
      <c r="BO1242" s="24"/>
      <c r="BP1242" s="24"/>
      <c r="BQ1242" s="24"/>
      <c r="BR1242" s="43"/>
      <c r="BS1242" s="24"/>
      <c r="BT1242" s="24"/>
      <c r="BU1242" s="24"/>
      <c r="BV1242" s="132" t="e">
        <f>IF(#REF!="COMPLETO","OK","PENDIENTES")</f>
        <v>#REF!</v>
      </c>
      <c r="BW1242" s="325"/>
      <c r="BX1242" s="325"/>
      <c r="BY1242" s="325"/>
      <c r="BZ1242" s="325"/>
      <c r="CA1242" s="325"/>
      <c r="CB1242" s="325"/>
      <c r="CC1242" s="258"/>
      <c r="CG1242" s="24" t="s">
        <v>105</v>
      </c>
      <c r="CH1242" s="24"/>
      <c r="CI1242" s="24"/>
      <c r="CJ1242" s="24"/>
    </row>
    <row r="1243" spans="1:88" ht="15" customHeight="1">
      <c r="A1243" s="18">
        <v>2020</v>
      </c>
      <c r="B1243" s="18" t="str">
        <f>+INDEX(BDD!F:F,MATCH(P1243,BDD!D:D,0))&amp;"-"&amp;INDEX(BDD!E:E,MATCH(P1243,BDD!D:D,0))</f>
        <v>G-S</v>
      </c>
      <c r="C1243" s="125" t="s">
        <v>484</v>
      </c>
      <c r="D1243" s="150" t="s">
        <v>77</v>
      </c>
      <c r="E1243" s="132"/>
      <c r="F1243" s="24"/>
      <c r="G1243" s="346">
        <v>8000001154</v>
      </c>
      <c r="H1243" s="125" t="s">
        <v>4817</v>
      </c>
      <c r="I1243" s="329"/>
      <c r="J1243" s="346">
        <v>8000001154</v>
      </c>
      <c r="K1243" s="24"/>
      <c r="L1243" s="24"/>
      <c r="M1243" s="24"/>
      <c r="N1243" s="340" t="s">
        <v>486</v>
      </c>
      <c r="O1243" s="334">
        <v>207951</v>
      </c>
      <c r="P1243" s="25" t="s">
        <v>354</v>
      </c>
      <c r="Q1243" s="127" t="s">
        <v>294</v>
      </c>
      <c r="R1243" s="232" t="s">
        <v>544</v>
      </c>
      <c r="S1243" s="89">
        <v>44106</v>
      </c>
      <c r="T1243" s="36">
        <v>150</v>
      </c>
      <c r="U1243" s="125" t="s">
        <v>2805</v>
      </c>
      <c r="V1243" s="147" t="s">
        <v>4818</v>
      </c>
      <c r="W1243" s="129"/>
      <c r="X1243" s="88">
        <v>44295</v>
      </c>
      <c r="Y1243" s="130" t="s">
        <v>20</v>
      </c>
      <c r="Z1243" s="133" t="s">
        <v>60</v>
      </c>
      <c r="AA1243" s="133"/>
      <c r="AB1243" s="241">
        <v>1500</v>
      </c>
      <c r="AC1243" s="134">
        <v>288.8</v>
      </c>
      <c r="AD1243" s="134"/>
      <c r="AE1243" s="403">
        <f t="shared" si="69"/>
        <v>433200</v>
      </c>
      <c r="AF1243" s="132"/>
      <c r="AG1243" s="130" t="s">
        <v>46</v>
      </c>
      <c r="AH1243" s="130"/>
      <c r="AI1243" s="130" t="s">
        <v>100</v>
      </c>
      <c r="AJ1243" s="130"/>
      <c r="AK1243" s="130"/>
      <c r="AL1243" s="135" t="s">
        <v>4809</v>
      </c>
      <c r="AM1243" s="314"/>
      <c r="AN1243" s="26"/>
      <c r="AO1243" s="26"/>
      <c r="AP1243" s="26"/>
      <c r="AQ1243" s="26">
        <v>44177</v>
      </c>
      <c r="AR1243" s="41"/>
      <c r="AS1243" s="41"/>
      <c r="AT1243" s="24">
        <v>44179</v>
      </c>
      <c r="AU1243" s="418">
        <f t="shared" si="70"/>
        <v>12</v>
      </c>
      <c r="AV1243" s="418">
        <f t="shared" si="71"/>
        <v>2020</v>
      </c>
      <c r="AW1243" s="24"/>
      <c r="AX1243" s="24"/>
      <c r="AY1243" s="24" t="s">
        <v>205</v>
      </c>
      <c r="AZ1243" s="132" t="s">
        <v>9</v>
      </c>
      <c r="BA1243" s="132"/>
      <c r="BB1243" s="24" t="s">
        <v>3519</v>
      </c>
      <c r="BC1243" s="135">
        <v>12</v>
      </c>
      <c r="BD1243" s="24">
        <v>44148</v>
      </c>
      <c r="BE1243" s="135" t="s">
        <v>4810</v>
      </c>
      <c r="BF1243" s="135" t="s">
        <v>4810</v>
      </c>
      <c r="BG1243" s="135" t="s">
        <v>52</v>
      </c>
      <c r="BH1243" s="135"/>
      <c r="BI1243" s="314" t="s">
        <v>117</v>
      </c>
      <c r="BJ1243" s="314" t="s">
        <v>143</v>
      </c>
      <c r="BK1243" s="24"/>
      <c r="BL1243" s="24"/>
      <c r="BM1243" s="24"/>
      <c r="BN1243" s="24"/>
      <c r="BO1243" s="41"/>
      <c r="BP1243" s="41"/>
      <c r="BQ1243" s="41"/>
      <c r="BR1243" s="43"/>
      <c r="BS1243" s="41"/>
      <c r="BT1243" s="41"/>
      <c r="BU1243" s="41"/>
      <c r="BV1243" s="132" t="e">
        <f>IF(#REF!="COMPLETO","OK","PENDIENTES")</f>
        <v>#REF!</v>
      </c>
      <c r="BW1243" s="325"/>
      <c r="BX1243" s="325"/>
      <c r="BY1243" s="325"/>
      <c r="BZ1243" s="325"/>
      <c r="CA1243" s="325"/>
      <c r="CB1243" s="325"/>
      <c r="CC1243" s="258"/>
      <c r="CG1243" s="24" t="s">
        <v>105</v>
      </c>
      <c r="CH1243" s="24"/>
      <c r="CI1243" s="24"/>
      <c r="CJ1243" s="24"/>
    </row>
    <row r="1244" spans="1:88" ht="15" customHeight="1">
      <c r="A1244" s="18">
        <v>2020</v>
      </c>
      <c r="B1244" s="18" t="str">
        <f>+INDEX(BDD!F:F,MATCH(P1244,BDD!D:D,0))&amp;"-"&amp;INDEX(BDD!E:E,MATCH(P1244,BDD!D:D,0))</f>
        <v>G-S</v>
      </c>
      <c r="C1244" s="125" t="s">
        <v>484</v>
      </c>
      <c r="D1244" s="150" t="s">
        <v>77</v>
      </c>
      <c r="E1244" s="132"/>
      <c r="F1244" s="24"/>
      <c r="G1244" s="346">
        <v>8000001170</v>
      </c>
      <c r="H1244" s="125" t="s">
        <v>4819</v>
      </c>
      <c r="I1244" s="329"/>
      <c r="J1244" s="346">
        <v>8000001170</v>
      </c>
      <c r="K1244" s="24"/>
      <c r="L1244" s="24"/>
      <c r="M1244" s="24"/>
      <c r="N1244" s="340" t="s">
        <v>486</v>
      </c>
      <c r="O1244" s="334">
        <v>207951</v>
      </c>
      <c r="P1244" s="25" t="s">
        <v>354</v>
      </c>
      <c r="Q1244" s="127" t="s">
        <v>294</v>
      </c>
      <c r="R1244" s="232" t="s">
        <v>544</v>
      </c>
      <c r="S1244" s="89">
        <v>44106</v>
      </c>
      <c r="T1244" s="36">
        <v>150</v>
      </c>
      <c r="U1244" s="125" t="s">
        <v>2805</v>
      </c>
      <c r="V1244" s="147" t="s">
        <v>4820</v>
      </c>
      <c r="W1244" s="129"/>
      <c r="X1244" s="88">
        <v>44295</v>
      </c>
      <c r="Y1244" s="130" t="s">
        <v>20</v>
      </c>
      <c r="Z1244" s="133" t="s">
        <v>60</v>
      </c>
      <c r="AA1244" s="133"/>
      <c r="AB1244" s="241">
        <v>2200</v>
      </c>
      <c r="AC1244" s="134">
        <v>288.8</v>
      </c>
      <c r="AD1244" s="134"/>
      <c r="AE1244" s="403">
        <f t="shared" si="69"/>
        <v>635360</v>
      </c>
      <c r="AF1244" s="132"/>
      <c r="AG1244" s="130" t="s">
        <v>46</v>
      </c>
      <c r="AH1244" s="130"/>
      <c r="AI1244" s="130" t="s">
        <v>100</v>
      </c>
      <c r="AJ1244" s="130"/>
      <c r="AK1244" s="130"/>
      <c r="AL1244" s="135" t="s">
        <v>4809</v>
      </c>
      <c r="AM1244" s="314"/>
      <c r="AN1244" s="26"/>
      <c r="AO1244" s="26"/>
      <c r="AP1244" s="26"/>
      <c r="AQ1244" s="26">
        <v>44180</v>
      </c>
      <c r="AR1244" s="41"/>
      <c r="AS1244" s="41"/>
      <c r="AT1244" s="24">
        <v>44181</v>
      </c>
      <c r="AU1244" s="418">
        <f t="shared" si="70"/>
        <v>12</v>
      </c>
      <c r="AV1244" s="418">
        <f t="shared" si="71"/>
        <v>2020</v>
      </c>
      <c r="AW1244" s="24"/>
      <c r="AX1244" s="24"/>
      <c r="AY1244" s="24" t="s">
        <v>205</v>
      </c>
      <c r="AZ1244" s="132" t="s">
        <v>25</v>
      </c>
      <c r="BA1244" s="132"/>
      <c r="BB1244" s="24" t="s">
        <v>3264</v>
      </c>
      <c r="BC1244" s="135">
        <v>13</v>
      </c>
      <c r="BD1244" s="24">
        <v>44148</v>
      </c>
      <c r="BE1244" s="135" t="s">
        <v>4810</v>
      </c>
      <c r="BF1244" s="135" t="s">
        <v>4810</v>
      </c>
      <c r="BG1244" s="135" t="s">
        <v>52</v>
      </c>
      <c r="BH1244" s="135"/>
      <c r="BI1244" s="314" t="s">
        <v>117</v>
      </c>
      <c r="BJ1244" s="314" t="s">
        <v>143</v>
      </c>
      <c r="BK1244" s="24"/>
      <c r="BL1244" s="24"/>
      <c r="BM1244" s="24"/>
      <c r="BN1244" s="24"/>
      <c r="BO1244" s="41"/>
      <c r="BP1244" s="41"/>
      <c r="BQ1244" s="41"/>
      <c r="BR1244" s="43"/>
      <c r="BS1244" s="41"/>
      <c r="BT1244" s="41"/>
      <c r="BU1244" s="41"/>
      <c r="BV1244" s="132" t="e">
        <f>IF(#REF!="COMPLETO","OK","PENDIENTES")</f>
        <v>#REF!</v>
      </c>
      <c r="BW1244" s="325"/>
      <c r="BX1244" s="325"/>
      <c r="BY1244" s="325"/>
      <c r="BZ1244" s="325"/>
      <c r="CA1244" s="325"/>
      <c r="CB1244" s="325"/>
      <c r="CC1244" s="258"/>
      <c r="CG1244" s="24" t="s">
        <v>105</v>
      </c>
      <c r="CH1244" s="24"/>
      <c r="CI1244" s="24"/>
      <c r="CJ1244" s="24"/>
    </row>
    <row r="1245" spans="1:88" ht="15" customHeight="1">
      <c r="A1245" s="18">
        <v>2020</v>
      </c>
      <c r="B1245" s="18" t="str">
        <f>+INDEX(BDD!F:F,MATCH(P1245,BDD!D:D,0))&amp;"-"&amp;INDEX(BDD!E:E,MATCH(P1245,BDD!D:D,0))</f>
        <v>G-S</v>
      </c>
      <c r="C1245" s="125" t="s">
        <v>484</v>
      </c>
      <c r="D1245" s="150" t="s">
        <v>77</v>
      </c>
      <c r="E1245" s="132"/>
      <c r="F1245" s="24"/>
      <c r="G1245" s="346">
        <v>8000001146</v>
      </c>
      <c r="H1245" s="125" t="s">
        <v>4821</v>
      </c>
      <c r="I1245" s="329"/>
      <c r="J1245" s="346">
        <v>8000001146</v>
      </c>
      <c r="K1245" s="24"/>
      <c r="L1245" s="24"/>
      <c r="M1245" s="24"/>
      <c r="N1245" s="340" t="s">
        <v>486</v>
      </c>
      <c r="O1245" s="334">
        <v>207951</v>
      </c>
      <c r="P1245" s="25" t="s">
        <v>354</v>
      </c>
      <c r="Q1245" s="127" t="s">
        <v>294</v>
      </c>
      <c r="R1245" s="232" t="s">
        <v>544</v>
      </c>
      <c r="S1245" s="89">
        <v>44106</v>
      </c>
      <c r="T1245" s="36">
        <v>150</v>
      </c>
      <c r="U1245" s="125" t="s">
        <v>2805</v>
      </c>
      <c r="V1245" s="147" t="s">
        <v>4822</v>
      </c>
      <c r="W1245" s="129"/>
      <c r="X1245" s="88">
        <v>44295</v>
      </c>
      <c r="Y1245" s="130" t="s">
        <v>20</v>
      </c>
      <c r="Z1245" s="133" t="s">
        <v>60</v>
      </c>
      <c r="AA1245" s="133"/>
      <c r="AB1245" s="241">
        <v>2650</v>
      </c>
      <c r="AC1245" s="134">
        <v>288.8</v>
      </c>
      <c r="AD1245" s="134"/>
      <c r="AE1245" s="403">
        <f t="shared" si="69"/>
        <v>765320</v>
      </c>
      <c r="AF1245" s="132"/>
      <c r="AG1245" s="130" t="s">
        <v>46</v>
      </c>
      <c r="AH1245" s="130"/>
      <c r="AI1245" s="130" t="s">
        <v>100</v>
      </c>
      <c r="AJ1245" s="130"/>
      <c r="AK1245" s="130"/>
      <c r="AL1245" s="135" t="s">
        <v>4809</v>
      </c>
      <c r="AM1245" s="314"/>
      <c r="AN1245" s="26"/>
      <c r="AO1245" s="26"/>
      <c r="AP1245" s="26"/>
      <c r="AQ1245" s="26">
        <v>44183</v>
      </c>
      <c r="AR1245" s="41"/>
      <c r="AS1245" s="41"/>
      <c r="AT1245" s="24">
        <v>44179</v>
      </c>
      <c r="AU1245" s="418">
        <f t="shared" si="70"/>
        <v>12</v>
      </c>
      <c r="AV1245" s="418">
        <f t="shared" si="71"/>
        <v>2020</v>
      </c>
      <c r="AW1245" s="24"/>
      <c r="AX1245" s="24"/>
      <c r="AY1245" s="24" t="s">
        <v>205</v>
      </c>
      <c r="AZ1245" s="132" t="s">
        <v>37</v>
      </c>
      <c r="BA1245" s="132"/>
      <c r="BB1245" s="24" t="s">
        <v>3593</v>
      </c>
      <c r="BC1245" s="135">
        <v>14</v>
      </c>
      <c r="BD1245" s="24">
        <v>44148</v>
      </c>
      <c r="BE1245" s="135" t="s">
        <v>4810</v>
      </c>
      <c r="BF1245" s="135" t="s">
        <v>4810</v>
      </c>
      <c r="BG1245" s="135" t="s">
        <v>52</v>
      </c>
      <c r="BH1245" s="135"/>
      <c r="BI1245" s="314" t="s">
        <v>117</v>
      </c>
      <c r="BJ1245" s="314" t="s">
        <v>143</v>
      </c>
      <c r="BK1245" s="24"/>
      <c r="BL1245" s="24"/>
      <c r="BM1245" s="24"/>
      <c r="BN1245" s="24"/>
      <c r="BO1245" s="41"/>
      <c r="BP1245" s="41"/>
      <c r="BQ1245" s="41"/>
      <c r="BR1245" s="43"/>
      <c r="BS1245" s="41"/>
      <c r="BT1245" s="41"/>
      <c r="BU1245" s="41"/>
      <c r="BV1245" s="132" t="e">
        <f>IF(#REF!="COMPLETO","OK","PENDIENTES")</f>
        <v>#REF!</v>
      </c>
      <c r="BW1245" s="325"/>
      <c r="BX1245" s="325"/>
      <c r="BY1245" s="325"/>
      <c r="BZ1245" s="325"/>
      <c r="CA1245" s="325"/>
      <c r="CB1245" s="325"/>
      <c r="CC1245" s="258"/>
      <c r="CG1245" s="24" t="s">
        <v>105</v>
      </c>
      <c r="CH1245" s="24"/>
      <c r="CI1245" s="24"/>
      <c r="CJ1245" s="24"/>
    </row>
    <row r="1246" spans="1:88" ht="15" customHeight="1">
      <c r="A1246" s="18">
        <v>2020</v>
      </c>
      <c r="B1246" s="18" t="str">
        <f>+INDEX(BDD!F:F,MATCH(P1246,BDD!D:D,0))&amp;"-"&amp;INDEX(BDD!E:E,MATCH(P1246,BDD!D:D,0))</f>
        <v>G-S</v>
      </c>
      <c r="C1246" s="125" t="s">
        <v>484</v>
      </c>
      <c r="D1246" s="150" t="s">
        <v>77</v>
      </c>
      <c r="E1246" s="132"/>
      <c r="F1246" s="24"/>
      <c r="G1246" s="346">
        <v>8000001176</v>
      </c>
      <c r="H1246" s="125" t="s">
        <v>4823</v>
      </c>
      <c r="I1246" s="329"/>
      <c r="J1246" s="346">
        <v>8000001176</v>
      </c>
      <c r="K1246" s="24"/>
      <c r="L1246" s="24"/>
      <c r="M1246" s="24"/>
      <c r="N1246" s="340" t="s">
        <v>486</v>
      </c>
      <c r="O1246" s="334">
        <v>207951</v>
      </c>
      <c r="P1246" s="25" t="s">
        <v>354</v>
      </c>
      <c r="Q1246" s="127" t="s">
        <v>294</v>
      </c>
      <c r="R1246" s="232" t="s">
        <v>544</v>
      </c>
      <c r="S1246" s="89">
        <v>44106</v>
      </c>
      <c r="T1246" s="36">
        <v>150</v>
      </c>
      <c r="U1246" s="125" t="s">
        <v>2805</v>
      </c>
      <c r="V1246" s="147" t="s">
        <v>4824</v>
      </c>
      <c r="W1246" s="129"/>
      <c r="X1246" s="88">
        <v>44295</v>
      </c>
      <c r="Y1246" s="130" t="s">
        <v>20</v>
      </c>
      <c r="Z1246" s="133" t="s">
        <v>60</v>
      </c>
      <c r="AA1246" s="133"/>
      <c r="AB1246" s="241">
        <v>1058</v>
      </c>
      <c r="AC1246" s="134">
        <v>288.8</v>
      </c>
      <c r="AD1246" s="134"/>
      <c r="AE1246" s="403">
        <f t="shared" si="69"/>
        <v>305550.40000000002</v>
      </c>
      <c r="AF1246" s="132" t="s">
        <v>944</v>
      </c>
      <c r="AG1246" s="130" t="s">
        <v>46</v>
      </c>
      <c r="AH1246" s="130"/>
      <c r="AI1246" s="130" t="s">
        <v>100</v>
      </c>
      <c r="AJ1246" s="130"/>
      <c r="AK1246" s="130"/>
      <c r="AL1246" s="135" t="s">
        <v>4809</v>
      </c>
      <c r="AM1246" s="314"/>
      <c r="AN1246" s="26"/>
      <c r="AO1246" s="26"/>
      <c r="AP1246" s="26"/>
      <c r="AQ1246" s="26">
        <v>44186</v>
      </c>
      <c r="AR1246" s="41"/>
      <c r="AS1246" s="41"/>
      <c r="AT1246" s="24">
        <v>44192</v>
      </c>
      <c r="AU1246" s="418">
        <f t="shared" si="70"/>
        <v>12</v>
      </c>
      <c r="AV1246" s="418">
        <f t="shared" si="71"/>
        <v>2020</v>
      </c>
      <c r="AW1246" s="24"/>
      <c r="AX1246" s="24"/>
      <c r="AY1246" s="24" t="s">
        <v>205</v>
      </c>
      <c r="AZ1246" s="132" t="s">
        <v>62</v>
      </c>
      <c r="BA1246" s="132"/>
      <c r="BB1246" s="24" t="s">
        <v>3264</v>
      </c>
      <c r="BC1246" s="135">
        <v>15</v>
      </c>
      <c r="BD1246" s="24">
        <v>44148</v>
      </c>
      <c r="BE1246" s="135" t="s">
        <v>4810</v>
      </c>
      <c r="BF1246" s="135" t="s">
        <v>4810</v>
      </c>
      <c r="BG1246" s="135" t="s">
        <v>52</v>
      </c>
      <c r="BH1246" s="135"/>
      <c r="BI1246" s="314" t="s">
        <v>117</v>
      </c>
      <c r="BJ1246" s="314" t="s">
        <v>143</v>
      </c>
      <c r="BK1246" s="24"/>
      <c r="BL1246" s="24"/>
      <c r="BM1246" s="24"/>
      <c r="BN1246" s="24"/>
      <c r="BO1246" s="41"/>
      <c r="BP1246" s="41"/>
      <c r="BQ1246" s="41"/>
      <c r="BR1246" s="43"/>
      <c r="BS1246" s="41"/>
      <c r="BT1246" s="41"/>
      <c r="BU1246" s="41"/>
      <c r="BV1246" s="132" t="e">
        <f>IF(#REF!="COMPLETO","OK","PENDIENTES")</f>
        <v>#REF!</v>
      </c>
      <c r="BW1246" s="325"/>
      <c r="BX1246" s="325"/>
      <c r="BY1246" s="325"/>
      <c r="BZ1246" s="325"/>
      <c r="CA1246" s="325"/>
      <c r="CB1246" s="325"/>
      <c r="CC1246" s="258"/>
      <c r="CG1246" s="24" t="s">
        <v>105</v>
      </c>
      <c r="CH1246" s="24"/>
      <c r="CI1246" s="24"/>
      <c r="CJ1246" s="24"/>
    </row>
    <row r="1247" spans="1:88" ht="15" customHeight="1">
      <c r="A1247" s="18">
        <v>2020</v>
      </c>
      <c r="B1247" s="18" t="str">
        <f>+INDEX(BDD!F:F,MATCH(P1247,BDD!D:D,0))&amp;"-"&amp;INDEX(BDD!E:E,MATCH(P1247,BDD!D:D,0))</f>
        <v>T-S</v>
      </c>
      <c r="C1247" s="125" t="s">
        <v>484</v>
      </c>
      <c r="D1247" s="150" t="s">
        <v>77</v>
      </c>
      <c r="E1247" s="132"/>
      <c r="F1247" s="24"/>
      <c r="G1247" s="346">
        <v>8000001043</v>
      </c>
      <c r="H1247" s="125" t="s">
        <v>4825</v>
      </c>
      <c r="I1247" s="329"/>
      <c r="J1247" s="346">
        <v>8000001043</v>
      </c>
      <c r="K1247" s="24"/>
      <c r="L1247" s="24"/>
      <c r="M1247" s="24"/>
      <c r="N1247" s="340" t="s">
        <v>486</v>
      </c>
      <c r="O1247" s="334">
        <v>208067</v>
      </c>
      <c r="P1247" s="25" t="s">
        <v>383</v>
      </c>
      <c r="Q1247" s="127" t="s">
        <v>303</v>
      </c>
      <c r="R1247" s="232" t="s">
        <v>4826</v>
      </c>
      <c r="S1247" s="89">
        <v>44124</v>
      </c>
      <c r="T1247" s="36">
        <v>30</v>
      </c>
      <c r="U1247" s="125" t="s">
        <v>118</v>
      </c>
      <c r="V1247" s="147" t="s">
        <v>4827</v>
      </c>
      <c r="W1247" s="129"/>
      <c r="X1247" s="88">
        <v>44172</v>
      </c>
      <c r="Y1247" s="130" t="s">
        <v>20</v>
      </c>
      <c r="Z1247" s="133" t="s">
        <v>60</v>
      </c>
      <c r="AA1247" s="133"/>
      <c r="AB1247" s="241">
        <v>775</v>
      </c>
      <c r="AC1247" s="134">
        <v>243.24</v>
      </c>
      <c r="AD1247" s="134"/>
      <c r="AE1247" s="403">
        <f t="shared" si="69"/>
        <v>188511</v>
      </c>
      <c r="AF1247" s="132">
        <v>31</v>
      </c>
      <c r="AG1247" s="130" t="s">
        <v>5</v>
      </c>
      <c r="AH1247" s="130"/>
      <c r="AI1247" s="130" t="s">
        <v>34</v>
      </c>
      <c r="AJ1247" s="130"/>
      <c r="AK1247" s="130"/>
      <c r="AL1247" s="135" t="s">
        <v>4587</v>
      </c>
      <c r="AM1247" s="314"/>
      <c r="AN1247" s="26"/>
      <c r="AO1247" s="26"/>
      <c r="AP1247" s="26"/>
      <c r="AQ1247" s="26">
        <v>44132</v>
      </c>
      <c r="AR1247" s="24"/>
      <c r="AS1247" s="24"/>
      <c r="AT1247" s="24">
        <v>44144</v>
      </c>
      <c r="AU1247" s="418">
        <f t="shared" si="70"/>
        <v>11</v>
      </c>
      <c r="AV1247" s="418">
        <f t="shared" si="71"/>
        <v>2020</v>
      </c>
      <c r="AW1247" s="24"/>
      <c r="AX1247" s="24"/>
      <c r="AY1247" s="24" t="s">
        <v>3415</v>
      </c>
      <c r="AZ1247" s="132" t="s">
        <v>9</v>
      </c>
      <c r="BA1247" s="132"/>
      <c r="BB1247" s="24" t="s">
        <v>3519</v>
      </c>
      <c r="BC1247" s="135" t="s">
        <v>4828</v>
      </c>
      <c r="BD1247" s="24">
        <v>44127</v>
      </c>
      <c r="BE1247" s="135" t="s">
        <v>3640</v>
      </c>
      <c r="BF1247" s="135" t="s">
        <v>3640</v>
      </c>
      <c r="BG1247" s="135" t="s">
        <v>64</v>
      </c>
      <c r="BH1247" s="135"/>
      <c r="BI1247" s="318" t="s">
        <v>124</v>
      </c>
      <c r="BJ1247" s="314" t="s">
        <v>148</v>
      </c>
      <c r="BK1247" s="24"/>
      <c r="BL1247" s="24"/>
      <c r="BM1247" s="24"/>
      <c r="BN1247" s="24"/>
      <c r="BO1247" s="24"/>
      <c r="BP1247" s="24"/>
      <c r="BQ1247" s="24"/>
      <c r="BR1247" s="43"/>
      <c r="BS1247" s="24"/>
      <c r="BT1247" s="24"/>
      <c r="BU1247" s="24"/>
      <c r="BV1247" s="132" t="e">
        <f>IF(#REF!="COMPLETO","OK","PENDIENTES")</f>
        <v>#REF!</v>
      </c>
      <c r="BW1247" s="325"/>
      <c r="BX1247" s="325"/>
      <c r="BY1247" s="325"/>
      <c r="BZ1247" s="325"/>
      <c r="CA1247" s="325"/>
      <c r="CB1247" s="325"/>
      <c r="CC1247" s="258"/>
      <c r="CG1247" s="24" t="s">
        <v>105</v>
      </c>
      <c r="CH1247" s="24"/>
      <c r="CI1247" s="24"/>
      <c r="CJ1247" s="24"/>
    </row>
    <row r="1248" spans="1:88" ht="15" customHeight="1">
      <c r="A1248" s="18">
        <v>2020</v>
      </c>
      <c r="B1248" s="18" t="str">
        <f>+INDEX(BDD!F:F,MATCH(P1248,BDD!D:D,0))&amp;"-"&amp;INDEX(BDD!E:E,MATCH(P1248,BDD!D:D,0))</f>
        <v>T-S</v>
      </c>
      <c r="C1248" s="125" t="s">
        <v>484</v>
      </c>
      <c r="D1248" s="150" t="s">
        <v>77</v>
      </c>
      <c r="E1248" s="132"/>
      <c r="F1248" s="24"/>
      <c r="G1248" s="346">
        <v>8000001064</v>
      </c>
      <c r="H1248" s="125" t="s">
        <v>4829</v>
      </c>
      <c r="I1248" s="329"/>
      <c r="J1248" s="346">
        <v>8000001064</v>
      </c>
      <c r="K1248" s="24"/>
      <c r="L1248" s="24"/>
      <c r="M1248" s="24"/>
      <c r="N1248" s="340" t="s">
        <v>486</v>
      </c>
      <c r="O1248" s="334">
        <v>208067</v>
      </c>
      <c r="P1248" s="25" t="s">
        <v>383</v>
      </c>
      <c r="Q1248" s="127" t="s">
        <v>303</v>
      </c>
      <c r="R1248" s="232" t="s">
        <v>4830</v>
      </c>
      <c r="S1248" s="89" t="s">
        <v>605</v>
      </c>
      <c r="T1248" s="36">
        <v>30</v>
      </c>
      <c r="U1248" s="125" t="s">
        <v>118</v>
      </c>
      <c r="V1248" s="147" t="s">
        <v>4831</v>
      </c>
      <c r="W1248" s="129"/>
      <c r="X1248" s="88">
        <v>44172</v>
      </c>
      <c r="Y1248" s="130" t="s">
        <v>20</v>
      </c>
      <c r="Z1248" s="133" t="s">
        <v>60</v>
      </c>
      <c r="AA1248" s="133"/>
      <c r="AB1248" s="241">
        <v>125</v>
      </c>
      <c r="AC1248" s="134">
        <v>242.07</v>
      </c>
      <c r="AD1248" s="134"/>
      <c r="AE1248" s="403">
        <f t="shared" si="69"/>
        <v>30258.75</v>
      </c>
      <c r="AF1248" s="132">
        <v>5</v>
      </c>
      <c r="AG1248" s="130" t="s">
        <v>5</v>
      </c>
      <c r="AH1248" s="130"/>
      <c r="AI1248" s="130" t="s">
        <v>34</v>
      </c>
      <c r="AJ1248" s="130"/>
      <c r="AK1248" s="130"/>
      <c r="AL1248" s="135" t="s">
        <v>4604</v>
      </c>
      <c r="AM1248" s="314"/>
      <c r="AN1248" s="26"/>
      <c r="AO1248" s="26"/>
      <c r="AP1248" s="26"/>
      <c r="AQ1248" s="26">
        <v>44155</v>
      </c>
      <c r="AR1248" s="24"/>
      <c r="AS1248" s="24"/>
      <c r="AT1248" s="24">
        <v>44165</v>
      </c>
      <c r="AU1248" s="418">
        <f t="shared" si="70"/>
        <v>11</v>
      </c>
      <c r="AV1248" s="418">
        <f t="shared" si="71"/>
        <v>2020</v>
      </c>
      <c r="AW1248" s="24"/>
      <c r="AX1248" s="24"/>
      <c r="AY1248" s="24" t="s">
        <v>3415</v>
      </c>
      <c r="AZ1248" s="132" t="s">
        <v>62</v>
      </c>
      <c r="BA1248" s="132"/>
      <c r="BB1248" s="24" t="s">
        <v>3264</v>
      </c>
      <c r="BC1248" s="132" t="s">
        <v>4832</v>
      </c>
      <c r="BD1248" s="24">
        <v>44128</v>
      </c>
      <c r="BE1248" s="135" t="s">
        <v>4833</v>
      </c>
      <c r="BF1248" s="135" t="s">
        <v>4834</v>
      </c>
      <c r="BG1248" s="135" t="s">
        <v>53</v>
      </c>
      <c r="BH1248" s="135"/>
      <c r="BI1248" s="314" t="s">
        <v>117</v>
      </c>
      <c r="BJ1248" s="314" t="s">
        <v>148</v>
      </c>
      <c r="BK1248" s="24"/>
      <c r="BL1248" s="24"/>
      <c r="BM1248" s="24"/>
      <c r="BN1248" s="24"/>
      <c r="BO1248" s="24">
        <f>+AQ1248+15</f>
        <v>44170</v>
      </c>
      <c r="BP1248" s="24"/>
      <c r="BQ1248" s="24"/>
      <c r="BR1248" s="43"/>
      <c r="BS1248" s="24"/>
      <c r="BT1248" s="24"/>
      <c r="BU1248" s="24"/>
      <c r="BV1248" s="132" t="e">
        <f>IF(#REF!="COMPLETO","OK","PENDIENTES")</f>
        <v>#REF!</v>
      </c>
      <c r="BW1248" s="325"/>
      <c r="BX1248" s="325"/>
      <c r="BY1248" s="325"/>
      <c r="BZ1248" s="325"/>
      <c r="CA1248" s="325"/>
      <c r="CB1248" s="325"/>
      <c r="CC1248" s="258"/>
      <c r="CG1248" s="24" t="s">
        <v>105</v>
      </c>
      <c r="CH1248" s="24"/>
      <c r="CI1248" s="24"/>
      <c r="CJ1248" s="24"/>
    </row>
    <row r="1249" spans="1:88" ht="15" customHeight="1">
      <c r="A1249" s="18">
        <v>2020</v>
      </c>
      <c r="B1249" s="18" t="str">
        <f>+INDEX(BDD!F:F,MATCH(P1249,BDD!D:D,0))&amp;"-"&amp;INDEX(BDD!E:E,MATCH(P1249,BDD!D:D,0))</f>
        <v>S-P</v>
      </c>
      <c r="C1249" s="125" t="s">
        <v>484</v>
      </c>
      <c r="D1249" s="150" t="s">
        <v>77</v>
      </c>
      <c r="E1249" s="132"/>
      <c r="F1249" s="24"/>
      <c r="G1249" s="346">
        <v>8000001192</v>
      </c>
      <c r="H1249" s="125" t="s">
        <v>4835</v>
      </c>
      <c r="I1249" s="329"/>
      <c r="J1249" s="346">
        <v>8000001192</v>
      </c>
      <c r="K1249" s="24"/>
      <c r="L1249" s="24"/>
      <c r="M1249" s="24"/>
      <c r="N1249" s="340" t="s">
        <v>486</v>
      </c>
      <c r="O1249" s="334">
        <v>206766</v>
      </c>
      <c r="P1249" s="25" t="s">
        <v>2</v>
      </c>
      <c r="Q1249" s="127" t="s">
        <v>237</v>
      </c>
      <c r="R1249" s="232" t="s">
        <v>4836</v>
      </c>
      <c r="S1249" s="89">
        <v>44131</v>
      </c>
      <c r="T1249" s="36">
        <v>90</v>
      </c>
      <c r="U1249" s="125" t="s">
        <v>118</v>
      </c>
      <c r="V1249" s="147" t="s">
        <v>4837</v>
      </c>
      <c r="W1249" s="129"/>
      <c r="X1249" s="88">
        <v>44267</v>
      </c>
      <c r="Y1249" s="130" t="s">
        <v>20</v>
      </c>
      <c r="Z1249" s="133" t="s">
        <v>60</v>
      </c>
      <c r="AA1249" s="133"/>
      <c r="AB1249" s="241">
        <v>456</v>
      </c>
      <c r="AC1249" s="134">
        <v>880</v>
      </c>
      <c r="AD1249" s="134"/>
      <c r="AE1249" s="403">
        <f t="shared" si="69"/>
        <v>401280</v>
      </c>
      <c r="AF1249" s="132">
        <v>19</v>
      </c>
      <c r="AG1249" s="130" t="s">
        <v>5</v>
      </c>
      <c r="AH1249" s="130"/>
      <c r="AI1249" s="130" t="s">
        <v>86</v>
      </c>
      <c r="AJ1249" s="130"/>
      <c r="AK1249" s="130"/>
      <c r="AL1249" s="135" t="s">
        <v>4604</v>
      </c>
      <c r="AM1249" s="314"/>
      <c r="AN1249" s="26"/>
      <c r="AO1249" s="26"/>
      <c r="AP1249" s="26"/>
      <c r="AQ1249" s="26">
        <v>44204</v>
      </c>
      <c r="AR1249" s="24"/>
      <c r="AS1249" s="24"/>
      <c r="AT1249" s="24">
        <v>44208</v>
      </c>
      <c r="AU1249" s="418">
        <f t="shared" si="70"/>
        <v>1</v>
      </c>
      <c r="AV1249" s="418">
        <f t="shared" si="71"/>
        <v>2021</v>
      </c>
      <c r="AW1249" s="24"/>
      <c r="AX1249" s="28"/>
      <c r="AY1249" s="28" t="s">
        <v>302</v>
      </c>
      <c r="AZ1249" s="132" t="s">
        <v>37</v>
      </c>
      <c r="BA1249" s="132"/>
      <c r="BB1249" s="24" t="s">
        <v>3593</v>
      </c>
      <c r="BC1249" s="135" t="s">
        <v>4838</v>
      </c>
      <c r="BD1249" s="24">
        <v>44172</v>
      </c>
      <c r="BE1249" s="135" t="s">
        <v>4839</v>
      </c>
      <c r="BF1249" s="135" t="s">
        <v>4840</v>
      </c>
      <c r="BG1249" s="135" t="s">
        <v>41</v>
      </c>
      <c r="BH1249" s="135"/>
      <c r="BI1249" s="314" t="s">
        <v>124</v>
      </c>
      <c r="BJ1249" s="314" t="s">
        <v>143</v>
      </c>
      <c r="BK1249" s="24"/>
      <c r="BL1249" s="24"/>
      <c r="BM1249" s="24"/>
      <c r="BN1249" s="24"/>
      <c r="BO1249" s="24"/>
      <c r="BP1249" s="24"/>
      <c r="BQ1249" s="24"/>
      <c r="BR1249" s="43"/>
      <c r="BS1249" s="24"/>
      <c r="BT1249" s="24"/>
      <c r="BU1249" s="24"/>
      <c r="BV1249" s="132" t="e">
        <f>IF(#REF!="COMPLETO","OK","PENDIENTES")</f>
        <v>#REF!</v>
      </c>
      <c r="BW1249" s="325"/>
      <c r="BX1249" s="325"/>
      <c r="BY1249" s="325"/>
      <c r="BZ1249" s="325"/>
      <c r="CA1249" s="325"/>
      <c r="CB1249" s="325"/>
      <c r="CC1249" s="258"/>
      <c r="CG1249" s="24" t="s">
        <v>105</v>
      </c>
      <c r="CH1249" s="24"/>
      <c r="CI1249" s="24"/>
      <c r="CJ1249" s="24"/>
    </row>
    <row r="1250" spans="1:88" ht="15" customHeight="1">
      <c r="A1250" s="18">
        <v>2020</v>
      </c>
      <c r="B1250" s="18" t="str">
        <f>+INDEX(BDD!F:F,MATCH(P1250,BDD!D:D,0))&amp;"-"&amp;INDEX(BDD!E:E,MATCH(P1250,BDD!D:D,0))</f>
        <v>S-S</v>
      </c>
      <c r="C1250" s="125" t="s">
        <v>484</v>
      </c>
      <c r="D1250" s="150" t="s">
        <v>77</v>
      </c>
      <c r="E1250" s="132"/>
      <c r="F1250" s="24"/>
      <c r="G1250" s="346">
        <v>8000001271</v>
      </c>
      <c r="H1250" s="125" t="s">
        <v>4841</v>
      </c>
      <c r="I1250" s="329"/>
      <c r="J1250" s="346">
        <v>8000001271</v>
      </c>
      <c r="K1250" s="24"/>
      <c r="L1250" s="24"/>
      <c r="M1250" s="24"/>
      <c r="N1250" s="340" t="s">
        <v>486</v>
      </c>
      <c r="O1250" s="334">
        <v>206971</v>
      </c>
      <c r="P1250" s="25" t="s">
        <v>340</v>
      </c>
      <c r="Q1250" s="127" t="s">
        <v>4469</v>
      </c>
      <c r="R1250" s="232" t="s">
        <v>4842</v>
      </c>
      <c r="S1250" s="89">
        <v>44159</v>
      </c>
      <c r="T1250" s="36">
        <v>30</v>
      </c>
      <c r="U1250" s="125" t="s">
        <v>118</v>
      </c>
      <c r="V1250" s="147" t="s">
        <v>4843</v>
      </c>
      <c r="W1250" s="129"/>
      <c r="X1250" s="88">
        <f>+BD1250+T1250</f>
        <v>44249</v>
      </c>
      <c r="Y1250" s="130" t="s">
        <v>20</v>
      </c>
      <c r="Z1250" s="133" t="s">
        <v>72</v>
      </c>
      <c r="AA1250" s="133"/>
      <c r="AB1250" s="241">
        <v>672</v>
      </c>
      <c r="AC1250" s="134">
        <v>432</v>
      </c>
      <c r="AD1250" s="134"/>
      <c r="AE1250" s="403">
        <f t="shared" si="69"/>
        <v>290304</v>
      </c>
      <c r="AF1250" s="132">
        <v>28</v>
      </c>
      <c r="AG1250" s="130" t="s">
        <v>5</v>
      </c>
      <c r="AH1250" s="130"/>
      <c r="AI1250" s="130" t="s">
        <v>34</v>
      </c>
      <c r="AJ1250" s="130"/>
      <c r="AK1250" s="130"/>
      <c r="AL1250" s="135" t="s">
        <v>4844</v>
      </c>
      <c r="AM1250" s="314"/>
      <c r="AN1250" s="26"/>
      <c r="AO1250" s="26">
        <v>44219</v>
      </c>
      <c r="AP1250" s="26"/>
      <c r="AQ1250" s="26">
        <v>44286</v>
      </c>
      <c r="AR1250" s="24"/>
      <c r="AS1250" s="24"/>
      <c r="AT1250" s="24">
        <v>44299</v>
      </c>
      <c r="AU1250" s="418">
        <f t="shared" si="70"/>
        <v>4</v>
      </c>
      <c r="AV1250" s="418">
        <f t="shared" si="71"/>
        <v>2021</v>
      </c>
      <c r="AW1250" s="24"/>
      <c r="AX1250" s="28"/>
      <c r="AY1250" s="28" t="s">
        <v>4312</v>
      </c>
      <c r="AZ1250" s="132" t="s">
        <v>9</v>
      </c>
      <c r="BA1250" s="132"/>
      <c r="BB1250" s="24" t="s">
        <v>3264</v>
      </c>
      <c r="BC1250" s="135" t="s">
        <v>4845</v>
      </c>
      <c r="BD1250" s="24">
        <v>44219</v>
      </c>
      <c r="BE1250" s="135" t="s">
        <v>4846</v>
      </c>
      <c r="BF1250" s="135" t="s">
        <v>4847</v>
      </c>
      <c r="BG1250" s="135" t="s">
        <v>29</v>
      </c>
      <c r="BH1250" s="135"/>
      <c r="BI1250" s="314" t="s">
        <v>124</v>
      </c>
      <c r="BJ1250" s="314" t="s">
        <v>148</v>
      </c>
      <c r="BK1250" s="24"/>
      <c r="BL1250" s="24"/>
      <c r="BM1250" s="24"/>
      <c r="BN1250" s="24"/>
      <c r="BO1250" s="24">
        <v>44299</v>
      </c>
      <c r="BP1250" s="24"/>
      <c r="BQ1250" s="24"/>
      <c r="BR1250" s="43"/>
      <c r="BS1250" s="24"/>
      <c r="BT1250" s="24"/>
      <c r="BU1250" s="24"/>
      <c r="BV1250" s="132" t="e">
        <f>IF(#REF!="COMPLETO","OK","PENDIENTES")</f>
        <v>#REF!</v>
      </c>
      <c r="BW1250" s="325"/>
      <c r="BX1250" s="325"/>
      <c r="BY1250" s="325"/>
      <c r="BZ1250" s="325"/>
      <c r="CA1250" s="325"/>
      <c r="CB1250" s="325"/>
      <c r="CC1250" s="258"/>
      <c r="CG1250" s="24" t="s">
        <v>105</v>
      </c>
      <c r="CH1250" s="24"/>
      <c r="CI1250" s="24"/>
      <c r="CJ1250" s="24"/>
    </row>
    <row r="1251" spans="1:88" ht="15" customHeight="1">
      <c r="A1251" s="18">
        <v>2020</v>
      </c>
      <c r="B1251" s="18" t="str">
        <f>+INDEX(BDD!F:F,MATCH(P1251,BDD!D:D,0))&amp;"-"&amp;INDEX(BDD!E:E,MATCH(P1251,BDD!D:D,0))</f>
        <v>S-S</v>
      </c>
      <c r="C1251" s="125" t="s">
        <v>484</v>
      </c>
      <c r="D1251" s="150" t="s">
        <v>77</v>
      </c>
      <c r="E1251" s="132"/>
      <c r="F1251" s="24"/>
      <c r="G1251" s="346">
        <v>8000001295</v>
      </c>
      <c r="H1251" s="125" t="s">
        <v>4848</v>
      </c>
      <c r="I1251" s="329"/>
      <c r="J1251" s="346">
        <v>8000001295</v>
      </c>
      <c r="K1251" s="24"/>
      <c r="L1251" s="24"/>
      <c r="M1251" s="24"/>
      <c r="N1251" s="340" t="s">
        <v>486</v>
      </c>
      <c r="O1251" s="334">
        <v>206971</v>
      </c>
      <c r="P1251" s="25" t="s">
        <v>340</v>
      </c>
      <c r="Q1251" s="127" t="s">
        <v>4469</v>
      </c>
      <c r="R1251" s="232" t="s">
        <v>4849</v>
      </c>
      <c r="S1251" s="89">
        <v>44159</v>
      </c>
      <c r="T1251" s="36">
        <v>30</v>
      </c>
      <c r="U1251" s="125" t="s">
        <v>118</v>
      </c>
      <c r="V1251" s="147" t="s">
        <v>4850</v>
      </c>
      <c r="W1251" s="129"/>
      <c r="X1251" s="88">
        <v>44308</v>
      </c>
      <c r="Y1251" s="130" t="s">
        <v>20</v>
      </c>
      <c r="Z1251" s="133" t="s">
        <v>72</v>
      </c>
      <c r="AA1251" s="133"/>
      <c r="AB1251" s="241">
        <v>504</v>
      </c>
      <c r="AC1251" s="134">
        <v>427</v>
      </c>
      <c r="AD1251" s="134"/>
      <c r="AE1251" s="403">
        <f t="shared" si="69"/>
        <v>215208</v>
      </c>
      <c r="AF1251" s="132">
        <v>21</v>
      </c>
      <c r="AG1251" s="130" t="s">
        <v>5</v>
      </c>
      <c r="AH1251" s="130"/>
      <c r="AI1251" s="130" t="s">
        <v>34</v>
      </c>
      <c r="AJ1251" s="130"/>
      <c r="AK1251" s="130"/>
      <c r="AL1251" s="135" t="s">
        <v>4844</v>
      </c>
      <c r="AM1251" s="314"/>
      <c r="AN1251" s="26"/>
      <c r="AO1251" s="26">
        <v>44273</v>
      </c>
      <c r="AP1251" s="26"/>
      <c r="AQ1251" s="26">
        <v>44317</v>
      </c>
      <c r="AR1251" s="24"/>
      <c r="AS1251" s="24"/>
      <c r="AT1251" s="24">
        <v>44330</v>
      </c>
      <c r="AU1251" s="418">
        <f t="shared" si="70"/>
        <v>5</v>
      </c>
      <c r="AV1251" s="418">
        <f t="shared" si="71"/>
        <v>2021</v>
      </c>
      <c r="AW1251" s="24"/>
      <c r="AX1251" s="28"/>
      <c r="AY1251" s="28" t="s">
        <v>4312</v>
      </c>
      <c r="AZ1251" s="132" t="s">
        <v>9</v>
      </c>
      <c r="BA1251" s="132"/>
      <c r="BB1251" s="24" t="s">
        <v>3519</v>
      </c>
      <c r="BC1251" s="135" t="s">
        <v>4851</v>
      </c>
      <c r="BD1251" s="24">
        <v>44273</v>
      </c>
      <c r="BE1251" s="135" t="s">
        <v>4852</v>
      </c>
      <c r="BF1251" s="135" t="s">
        <v>994</v>
      </c>
      <c r="BG1251" s="135" t="s">
        <v>41</v>
      </c>
      <c r="BH1251" s="135"/>
      <c r="BI1251" s="314" t="s">
        <v>124</v>
      </c>
      <c r="BJ1251" s="314" t="s">
        <v>143</v>
      </c>
      <c r="BK1251" s="24"/>
      <c r="BL1251" s="24"/>
      <c r="BM1251" s="24"/>
      <c r="BN1251" s="24"/>
      <c r="BO1251" s="24">
        <f>+AQ1251+14</f>
        <v>44331</v>
      </c>
      <c r="BP1251" s="24"/>
      <c r="BQ1251" s="24"/>
      <c r="BR1251" s="43"/>
      <c r="BS1251" s="24"/>
      <c r="BT1251" s="24"/>
      <c r="BU1251" s="24"/>
      <c r="BV1251" s="132" t="e">
        <f>IF(#REF!="COMPLETO","OK","PENDIENTES")</f>
        <v>#REF!</v>
      </c>
      <c r="BW1251" s="325"/>
      <c r="BX1251" s="325"/>
      <c r="BY1251" s="325"/>
      <c r="BZ1251" s="325"/>
      <c r="CA1251" s="325"/>
      <c r="CB1251" s="325"/>
      <c r="CC1251" s="258"/>
      <c r="CG1251" s="24" t="s">
        <v>105</v>
      </c>
      <c r="CH1251" s="24"/>
      <c r="CI1251" s="24"/>
      <c r="CJ1251" s="24"/>
    </row>
    <row r="1252" spans="1:88" ht="15" customHeight="1">
      <c r="A1252" s="18">
        <v>2020</v>
      </c>
      <c r="B1252" s="18" t="str">
        <f>+INDEX(BDD!F:F,MATCH(P1252,BDD!D:D,0))&amp;"-"&amp;INDEX(BDD!E:E,MATCH(P1252,BDD!D:D,0))</f>
        <v>S-S</v>
      </c>
      <c r="C1252" s="125" t="s">
        <v>484</v>
      </c>
      <c r="D1252" s="150" t="s">
        <v>77</v>
      </c>
      <c r="E1252" s="132" t="s">
        <v>51</v>
      </c>
      <c r="F1252" s="24"/>
      <c r="G1252" s="346">
        <v>8000001230</v>
      </c>
      <c r="H1252" s="125" t="s">
        <v>4853</v>
      </c>
      <c r="I1252" s="329"/>
      <c r="J1252" s="346">
        <v>8000001230</v>
      </c>
      <c r="K1252" s="24"/>
      <c r="L1252" s="24"/>
      <c r="M1252" s="24"/>
      <c r="N1252" s="340" t="s">
        <v>486</v>
      </c>
      <c r="O1252" s="334">
        <v>207579</v>
      </c>
      <c r="P1252" s="25" t="s">
        <v>238</v>
      </c>
      <c r="Q1252" s="127" t="s">
        <v>136</v>
      </c>
      <c r="R1252" s="232" t="s">
        <v>4854</v>
      </c>
      <c r="S1252" s="89">
        <v>44131</v>
      </c>
      <c r="T1252" s="36">
        <v>90</v>
      </c>
      <c r="U1252" s="125" t="s">
        <v>118</v>
      </c>
      <c r="V1252" s="147" t="s">
        <v>4855</v>
      </c>
      <c r="W1252" s="129"/>
      <c r="X1252" s="88">
        <v>44284</v>
      </c>
      <c r="Y1252" s="130" t="s">
        <v>20</v>
      </c>
      <c r="Z1252" s="133" t="s">
        <v>60</v>
      </c>
      <c r="AA1252" s="133"/>
      <c r="AB1252" s="241">
        <v>250</v>
      </c>
      <c r="AC1252" s="134">
        <v>234</v>
      </c>
      <c r="AD1252" s="134"/>
      <c r="AE1252" s="403">
        <f t="shared" si="69"/>
        <v>58500</v>
      </c>
      <c r="AF1252" s="132" t="s">
        <v>944</v>
      </c>
      <c r="AG1252" s="130" t="s">
        <v>58</v>
      </c>
      <c r="AH1252" s="130"/>
      <c r="AI1252" s="130" t="s">
        <v>34</v>
      </c>
      <c r="AJ1252" s="130"/>
      <c r="AK1252" s="130"/>
      <c r="AL1252" s="135" t="s">
        <v>4604</v>
      </c>
      <c r="AM1252" s="314"/>
      <c r="AN1252" s="26"/>
      <c r="AO1252" s="26"/>
      <c r="AP1252" s="26"/>
      <c r="AQ1252" s="26">
        <v>44236</v>
      </c>
      <c r="AR1252" s="24"/>
      <c r="AS1252" s="24"/>
      <c r="AT1252" s="24">
        <v>44243</v>
      </c>
      <c r="AU1252" s="418">
        <f t="shared" si="70"/>
        <v>2</v>
      </c>
      <c r="AV1252" s="418">
        <f t="shared" si="71"/>
        <v>2021</v>
      </c>
      <c r="AW1252" s="24"/>
      <c r="AX1252" s="28"/>
      <c r="AY1252" s="28" t="s">
        <v>3199</v>
      </c>
      <c r="AZ1252" s="132" t="s">
        <v>37</v>
      </c>
      <c r="BA1252" s="132"/>
      <c r="BB1252" s="24" t="s">
        <v>3593</v>
      </c>
      <c r="BC1252" s="135" t="s">
        <v>4856</v>
      </c>
      <c r="BD1252" s="24">
        <v>44192</v>
      </c>
      <c r="BE1252" s="135" t="s">
        <v>4857</v>
      </c>
      <c r="BF1252" s="135" t="s">
        <v>4857</v>
      </c>
      <c r="BG1252" s="135" t="s">
        <v>52</v>
      </c>
      <c r="BH1252" s="135"/>
      <c r="BI1252" s="314" t="s">
        <v>124</v>
      </c>
      <c r="BJ1252" s="314" t="s">
        <v>143</v>
      </c>
      <c r="BK1252" s="24"/>
      <c r="BL1252" s="24"/>
      <c r="BM1252" s="24"/>
      <c r="BN1252" s="24"/>
      <c r="BO1252" s="24"/>
      <c r="BP1252" s="24"/>
      <c r="BQ1252" s="24"/>
      <c r="BR1252" s="43"/>
      <c r="BS1252" s="24"/>
      <c r="BT1252" s="24"/>
      <c r="BU1252" s="24"/>
      <c r="BV1252" s="132" t="e">
        <f>IF(#REF!="COMPLETO","OK","PENDIENTES")</f>
        <v>#REF!</v>
      </c>
      <c r="BW1252" s="325"/>
      <c r="BX1252" s="325"/>
      <c r="BY1252" s="325"/>
      <c r="BZ1252" s="325"/>
      <c r="CA1252" s="325"/>
      <c r="CB1252" s="325"/>
      <c r="CC1252" s="258"/>
      <c r="CG1252" s="24" t="s">
        <v>105</v>
      </c>
      <c r="CH1252" s="24"/>
      <c r="CI1252" s="24"/>
      <c r="CJ1252" s="24"/>
    </row>
    <row r="1253" spans="1:88" ht="15" customHeight="1">
      <c r="A1253" s="18">
        <v>2020</v>
      </c>
      <c r="B1253" s="18" t="str">
        <f>+INDEX(BDD!F:F,MATCH(P1253,BDD!D:D,0))&amp;"-"&amp;INDEX(BDD!E:E,MATCH(P1253,BDD!D:D,0))</f>
        <v>S-S</v>
      </c>
      <c r="C1253" s="125" t="s">
        <v>484</v>
      </c>
      <c r="D1253" s="152" t="s">
        <v>92</v>
      </c>
      <c r="E1253" s="132"/>
      <c r="F1253" s="24"/>
      <c r="G1253" s="346"/>
      <c r="H1253" s="125" t="s">
        <v>4858</v>
      </c>
      <c r="I1253" s="330"/>
      <c r="J1253" s="346"/>
      <c r="K1253" s="24"/>
      <c r="L1253" s="24"/>
      <c r="M1253" s="24"/>
      <c r="N1253" s="340"/>
      <c r="O1253" s="334"/>
      <c r="P1253" s="25" t="s">
        <v>152</v>
      </c>
      <c r="Q1253" s="127" t="s">
        <v>297</v>
      </c>
      <c r="R1253" s="232"/>
      <c r="S1253" s="89"/>
      <c r="T1253" s="36"/>
      <c r="U1253" s="125"/>
      <c r="V1253" s="147"/>
      <c r="W1253" s="129"/>
      <c r="X1253" s="88"/>
      <c r="Y1253" s="130"/>
      <c r="Z1253" s="133"/>
      <c r="AA1253" s="133"/>
      <c r="AB1253" s="241"/>
      <c r="AC1253" s="134"/>
      <c r="AD1253" s="134"/>
      <c r="AE1253" s="403">
        <f t="shared" si="69"/>
        <v>0</v>
      </c>
      <c r="AF1253" s="132"/>
      <c r="AG1253" s="130"/>
      <c r="AH1253" s="130"/>
      <c r="AI1253" s="130"/>
      <c r="AJ1253" s="130"/>
      <c r="AK1253" s="130"/>
      <c r="AL1253" s="135"/>
      <c r="AM1253" s="314"/>
      <c r="AN1253" s="26"/>
      <c r="AO1253" s="26"/>
      <c r="AP1253" s="26"/>
      <c r="AQ1253" s="26"/>
      <c r="AR1253" s="24"/>
      <c r="AS1253" s="24"/>
      <c r="AT1253" s="24"/>
      <c r="AU1253" s="418">
        <f t="shared" si="70"/>
        <v>1</v>
      </c>
      <c r="AV1253" s="418">
        <f t="shared" si="71"/>
        <v>1900</v>
      </c>
      <c r="AW1253" s="24"/>
      <c r="AX1253" s="24"/>
      <c r="AY1253" s="24"/>
      <c r="AZ1253" s="132"/>
      <c r="BA1253" s="132"/>
      <c r="BB1253" s="24"/>
      <c r="BC1253" s="135"/>
      <c r="BD1253" s="24"/>
      <c r="BE1253" s="135"/>
      <c r="BF1253" s="135"/>
      <c r="BG1253" s="135"/>
      <c r="BH1253" s="135"/>
      <c r="BI1253" s="314"/>
      <c r="BJ1253" s="314"/>
      <c r="BK1253" s="24"/>
      <c r="BL1253" s="24"/>
      <c r="BM1253" s="24"/>
      <c r="BN1253" s="24"/>
      <c r="BO1253" s="24"/>
      <c r="BP1253" s="24"/>
      <c r="BQ1253" s="24"/>
      <c r="BR1253" s="43"/>
      <c r="BS1253" s="24"/>
      <c r="BT1253" s="24"/>
      <c r="BU1253" s="24"/>
      <c r="BV1253" s="132"/>
      <c r="BW1253" s="325"/>
      <c r="BX1253" s="325"/>
      <c r="BY1253" s="325"/>
      <c r="BZ1253" s="325"/>
      <c r="CA1253" s="325"/>
      <c r="CB1253" s="325"/>
      <c r="CC1253" s="258"/>
      <c r="CD1253" s="22"/>
      <c r="CE1253" s="22"/>
      <c r="CF1253" s="22"/>
      <c r="CG1253" s="24"/>
      <c r="CH1253" s="24"/>
      <c r="CI1253" s="24"/>
      <c r="CJ1253" s="24"/>
    </row>
    <row r="1254" spans="1:88" ht="15" customHeight="1">
      <c r="A1254" s="18">
        <v>2020</v>
      </c>
      <c r="B1254" s="18" t="str">
        <f>+INDEX(BDD!F:F,MATCH(P1254,BDD!D:D,0))&amp;"-"&amp;INDEX(BDD!E:E,MATCH(P1254,BDD!D:D,0))</f>
        <v>S-C</v>
      </c>
      <c r="C1254" s="125" t="s">
        <v>484</v>
      </c>
      <c r="D1254" s="152" t="s">
        <v>92</v>
      </c>
      <c r="E1254" s="132"/>
      <c r="F1254" s="24"/>
      <c r="G1254" s="346"/>
      <c r="H1254" s="125" t="s">
        <v>4859</v>
      </c>
      <c r="I1254" s="330"/>
      <c r="J1254" s="346"/>
      <c r="K1254" s="24"/>
      <c r="L1254" s="24"/>
      <c r="M1254" s="24"/>
      <c r="N1254" s="340"/>
      <c r="O1254" s="334"/>
      <c r="P1254" s="25" t="s">
        <v>241</v>
      </c>
      <c r="Q1254" s="127" t="s">
        <v>297</v>
      </c>
      <c r="R1254" s="232"/>
      <c r="S1254" s="89"/>
      <c r="T1254" s="36"/>
      <c r="U1254" s="125"/>
      <c r="V1254" s="147"/>
      <c r="W1254" s="129"/>
      <c r="X1254" s="88"/>
      <c r="Y1254" s="130"/>
      <c r="Z1254" s="133"/>
      <c r="AA1254" s="133"/>
      <c r="AB1254" s="241"/>
      <c r="AC1254" s="134"/>
      <c r="AD1254" s="134"/>
      <c r="AE1254" s="403">
        <f t="shared" si="69"/>
        <v>0</v>
      </c>
      <c r="AF1254" s="132"/>
      <c r="AG1254" s="130"/>
      <c r="AH1254" s="130"/>
      <c r="AI1254" s="130"/>
      <c r="AJ1254" s="130"/>
      <c r="AK1254" s="130"/>
      <c r="AL1254" s="135"/>
      <c r="AM1254" s="314"/>
      <c r="AN1254" s="26"/>
      <c r="AO1254" s="26"/>
      <c r="AP1254" s="26"/>
      <c r="AQ1254" s="26"/>
      <c r="AR1254" s="24"/>
      <c r="AS1254" s="24"/>
      <c r="AT1254" s="24"/>
      <c r="AU1254" s="418">
        <f t="shared" si="70"/>
        <v>1</v>
      </c>
      <c r="AV1254" s="418">
        <f t="shared" si="71"/>
        <v>1900</v>
      </c>
      <c r="AW1254" s="24"/>
      <c r="AX1254" s="24"/>
      <c r="AY1254" s="24"/>
      <c r="AZ1254" s="132"/>
      <c r="BA1254" s="132"/>
      <c r="BB1254" s="24"/>
      <c r="BC1254" s="135"/>
      <c r="BD1254" s="24"/>
      <c r="BE1254" s="135"/>
      <c r="BF1254" s="135"/>
      <c r="BG1254" s="135"/>
      <c r="BH1254" s="135"/>
      <c r="BI1254" s="314"/>
      <c r="BJ1254" s="314"/>
      <c r="BK1254" s="24"/>
      <c r="BL1254" s="24"/>
      <c r="BM1254" s="24"/>
      <c r="BN1254" s="24"/>
      <c r="BO1254" s="24"/>
      <c r="BP1254" s="24"/>
      <c r="BQ1254" s="24"/>
      <c r="BR1254" s="43"/>
      <c r="BS1254" s="24"/>
      <c r="BT1254" s="24"/>
      <c r="BU1254" s="24"/>
      <c r="BV1254" s="132"/>
      <c r="BW1254" s="325"/>
      <c r="BX1254" s="325"/>
      <c r="BY1254" s="325"/>
      <c r="BZ1254" s="325"/>
      <c r="CA1254" s="325"/>
      <c r="CB1254" s="325"/>
      <c r="CC1254" s="258"/>
      <c r="CD1254" s="22"/>
      <c r="CE1254" s="22"/>
      <c r="CF1254" s="22"/>
      <c r="CG1254" s="24"/>
      <c r="CH1254" s="24"/>
      <c r="CI1254" s="24"/>
      <c r="CJ1254" s="24"/>
    </row>
    <row r="1255" spans="1:88" ht="15" customHeight="1">
      <c r="A1255" s="18">
        <v>2020</v>
      </c>
      <c r="B1255" s="18" t="str">
        <f>+INDEX(BDD!F:F,MATCH(P1255,BDD!D:D,0))&amp;"-"&amp;INDEX(BDD!E:E,MATCH(P1255,BDD!D:D,0))</f>
        <v>S-C</v>
      </c>
      <c r="C1255" s="125" t="s">
        <v>484</v>
      </c>
      <c r="D1255" s="152" t="s">
        <v>92</v>
      </c>
      <c r="E1255" s="132"/>
      <c r="F1255" s="24"/>
      <c r="G1255" s="346"/>
      <c r="H1255" s="125" t="s">
        <v>4860</v>
      </c>
      <c r="I1255" s="330"/>
      <c r="J1255" s="346"/>
      <c r="K1255" s="24"/>
      <c r="L1255" s="24"/>
      <c r="M1255" s="24"/>
      <c r="N1255" s="340"/>
      <c r="O1255" s="334"/>
      <c r="P1255" s="25" t="s">
        <v>241</v>
      </c>
      <c r="Q1255" s="127" t="s">
        <v>297</v>
      </c>
      <c r="R1255" s="232"/>
      <c r="S1255" s="89"/>
      <c r="T1255" s="36"/>
      <c r="U1255" s="125"/>
      <c r="V1255" s="147"/>
      <c r="W1255" s="129"/>
      <c r="X1255" s="88"/>
      <c r="Y1255" s="130"/>
      <c r="Z1255" s="133"/>
      <c r="AA1255" s="133"/>
      <c r="AB1255" s="241"/>
      <c r="AC1255" s="134"/>
      <c r="AD1255" s="134"/>
      <c r="AE1255" s="403">
        <f t="shared" si="69"/>
        <v>0</v>
      </c>
      <c r="AF1255" s="132"/>
      <c r="AG1255" s="130"/>
      <c r="AH1255" s="130"/>
      <c r="AI1255" s="130"/>
      <c r="AJ1255" s="130"/>
      <c r="AK1255" s="130"/>
      <c r="AL1255" s="135"/>
      <c r="AM1255" s="314"/>
      <c r="AN1255" s="26"/>
      <c r="AO1255" s="26"/>
      <c r="AP1255" s="26"/>
      <c r="AQ1255" s="26"/>
      <c r="AR1255" s="24"/>
      <c r="AS1255" s="24"/>
      <c r="AT1255" s="24"/>
      <c r="AU1255" s="418">
        <f t="shared" si="70"/>
        <v>1</v>
      </c>
      <c r="AV1255" s="418">
        <f t="shared" si="71"/>
        <v>1900</v>
      </c>
      <c r="AW1255" s="24"/>
      <c r="AX1255" s="24"/>
      <c r="AY1255" s="24"/>
      <c r="AZ1255" s="132"/>
      <c r="BA1255" s="132"/>
      <c r="BB1255" s="24"/>
      <c r="BC1255" s="135"/>
      <c r="BD1255" s="24"/>
      <c r="BE1255" s="135"/>
      <c r="BF1255" s="135"/>
      <c r="BG1255" s="135"/>
      <c r="BH1255" s="135"/>
      <c r="BI1255" s="314"/>
      <c r="BJ1255" s="314"/>
      <c r="BK1255" s="24"/>
      <c r="BL1255" s="24"/>
      <c r="BM1255" s="24"/>
      <c r="BN1255" s="24"/>
      <c r="BO1255" s="24"/>
      <c r="BP1255" s="24"/>
      <c r="BQ1255" s="24"/>
      <c r="BR1255" s="43"/>
      <c r="BS1255" s="24"/>
      <c r="BT1255" s="24"/>
      <c r="BU1255" s="24"/>
      <c r="BV1255" s="132"/>
      <c r="BW1255" s="325"/>
      <c r="BX1255" s="325"/>
      <c r="BY1255" s="325"/>
      <c r="BZ1255" s="325"/>
      <c r="CA1255" s="325"/>
      <c r="CB1255" s="325"/>
      <c r="CC1255" s="258"/>
      <c r="CD1255" s="22"/>
      <c r="CE1255" s="22"/>
      <c r="CF1255" s="22"/>
      <c r="CG1255" s="24"/>
      <c r="CH1255" s="24"/>
      <c r="CI1255" s="24"/>
      <c r="CJ1255" s="24"/>
    </row>
    <row r="1256" spans="1:88" ht="15" customHeight="1">
      <c r="A1256" s="18">
        <v>2020</v>
      </c>
      <c r="B1256" s="18" t="str">
        <f>+INDEX(BDD!F:F,MATCH(P1256,BDD!D:D,0))&amp;"-"&amp;INDEX(BDD!E:E,MATCH(P1256,BDD!D:D,0))</f>
        <v>S-C</v>
      </c>
      <c r="C1256" s="125" t="s">
        <v>484</v>
      </c>
      <c r="D1256" s="152" t="s">
        <v>92</v>
      </c>
      <c r="E1256" s="132"/>
      <c r="F1256" s="24"/>
      <c r="G1256" s="346"/>
      <c r="H1256" s="125" t="s">
        <v>4861</v>
      </c>
      <c r="I1256" s="330"/>
      <c r="J1256" s="346"/>
      <c r="K1256" s="24"/>
      <c r="L1256" s="24"/>
      <c r="M1256" s="24"/>
      <c r="N1256" s="340"/>
      <c r="O1256" s="334"/>
      <c r="P1256" s="25" t="s">
        <v>241</v>
      </c>
      <c r="Q1256" s="127" t="s">
        <v>297</v>
      </c>
      <c r="R1256" s="232"/>
      <c r="S1256" s="89"/>
      <c r="T1256" s="36"/>
      <c r="U1256" s="125"/>
      <c r="V1256" s="147"/>
      <c r="W1256" s="129"/>
      <c r="X1256" s="88"/>
      <c r="Y1256" s="130"/>
      <c r="Z1256" s="133"/>
      <c r="AA1256" s="133"/>
      <c r="AB1256" s="270"/>
      <c r="AC1256" s="134"/>
      <c r="AD1256" s="134"/>
      <c r="AE1256" s="403">
        <f t="shared" si="69"/>
        <v>0</v>
      </c>
      <c r="AF1256" s="132"/>
      <c r="AG1256" s="130"/>
      <c r="AH1256" s="130"/>
      <c r="AI1256" s="130"/>
      <c r="AJ1256" s="130"/>
      <c r="AK1256" s="130"/>
      <c r="AL1256" s="135"/>
      <c r="AM1256" s="314"/>
      <c r="AN1256" s="26"/>
      <c r="AO1256" s="26"/>
      <c r="AP1256" s="26"/>
      <c r="AQ1256" s="26"/>
      <c r="AR1256" s="24"/>
      <c r="AS1256" s="24"/>
      <c r="AT1256" s="24"/>
      <c r="AU1256" s="418">
        <f t="shared" si="70"/>
        <v>1</v>
      </c>
      <c r="AV1256" s="418">
        <f t="shared" si="71"/>
        <v>1900</v>
      </c>
      <c r="AW1256" s="24"/>
      <c r="AX1256" s="24"/>
      <c r="AY1256" s="24"/>
      <c r="AZ1256" s="132"/>
      <c r="BA1256" s="132"/>
      <c r="BB1256" s="24"/>
      <c r="BC1256" s="135"/>
      <c r="BD1256" s="24"/>
      <c r="BE1256" s="135"/>
      <c r="BF1256" s="135"/>
      <c r="BG1256" s="135"/>
      <c r="BH1256" s="135"/>
      <c r="BI1256" s="314"/>
      <c r="BJ1256" s="314"/>
      <c r="BK1256" s="24"/>
      <c r="BL1256" s="24"/>
      <c r="BM1256" s="24"/>
      <c r="BN1256" s="24"/>
      <c r="BO1256" s="24"/>
      <c r="BP1256" s="24"/>
      <c r="BQ1256" s="24"/>
      <c r="BR1256" s="43"/>
      <c r="BS1256" s="24"/>
      <c r="BT1256" s="24"/>
      <c r="BU1256" s="24"/>
      <c r="BV1256" s="132"/>
      <c r="BW1256" s="325"/>
      <c r="BX1256" s="325"/>
      <c r="BY1256" s="325"/>
      <c r="BZ1256" s="325"/>
      <c r="CA1256" s="325"/>
      <c r="CB1256" s="325"/>
      <c r="CC1256" s="258"/>
      <c r="CD1256" s="22"/>
      <c r="CE1256" s="22"/>
      <c r="CF1256" s="22"/>
      <c r="CG1256" s="24"/>
      <c r="CH1256" s="24"/>
      <c r="CI1256" s="24"/>
      <c r="CJ1256" s="24"/>
    </row>
    <row r="1257" spans="1:88" ht="15" customHeight="1">
      <c r="A1257" s="18">
        <v>2020</v>
      </c>
      <c r="B1257" s="18" t="str">
        <f>+INDEX(BDD!F:F,MATCH(P1257,BDD!D:D,0))&amp;"-"&amp;INDEX(BDD!E:E,MATCH(P1257,BDD!D:D,0))</f>
        <v>G-S</v>
      </c>
      <c r="C1257" s="125" t="s">
        <v>484</v>
      </c>
      <c r="D1257" s="150" t="s">
        <v>77</v>
      </c>
      <c r="E1257" s="132"/>
      <c r="F1257" s="24"/>
      <c r="G1257" s="346">
        <v>8000001062</v>
      </c>
      <c r="H1257" s="125" t="s">
        <v>4862</v>
      </c>
      <c r="I1257" s="329"/>
      <c r="J1257" s="346">
        <v>8000001062</v>
      </c>
      <c r="K1257" s="24"/>
      <c r="L1257" s="24"/>
      <c r="M1257" s="24"/>
      <c r="N1257" s="339" t="s">
        <v>486</v>
      </c>
      <c r="O1257" s="334">
        <v>206599</v>
      </c>
      <c r="P1257" s="25" t="s">
        <v>339</v>
      </c>
      <c r="Q1257" s="127" t="s">
        <v>210</v>
      </c>
      <c r="R1257" s="232" t="s">
        <v>4863</v>
      </c>
      <c r="S1257" s="89">
        <v>44123</v>
      </c>
      <c r="T1257" s="36" t="s">
        <v>19</v>
      </c>
      <c r="U1257" s="125"/>
      <c r="V1257" s="147" t="s">
        <v>4864</v>
      </c>
      <c r="W1257" s="129"/>
      <c r="X1257" s="88">
        <v>44153</v>
      </c>
      <c r="Y1257" s="130" t="s">
        <v>20</v>
      </c>
      <c r="Z1257" s="133" t="s">
        <v>72</v>
      </c>
      <c r="AA1257" s="133"/>
      <c r="AB1257" s="241">
        <v>308.06400000000002</v>
      </c>
      <c r="AC1257" s="134">
        <v>423</v>
      </c>
      <c r="AD1257" s="134"/>
      <c r="AE1257" s="403">
        <f t="shared" si="69"/>
        <v>130311.07200000001</v>
      </c>
      <c r="AF1257" s="132">
        <v>11</v>
      </c>
      <c r="AG1257" s="130" t="s">
        <v>5</v>
      </c>
      <c r="AH1257" s="130"/>
      <c r="AI1257" s="130" t="s">
        <v>100</v>
      </c>
      <c r="AJ1257" s="130"/>
      <c r="AK1257" s="130"/>
      <c r="AL1257" s="135" t="s">
        <v>4788</v>
      </c>
      <c r="AM1257" s="314"/>
      <c r="AN1257" s="26"/>
      <c r="AO1257" s="26"/>
      <c r="AP1257" s="26"/>
      <c r="AQ1257" s="26">
        <v>44203</v>
      </c>
      <c r="AR1257" s="24"/>
      <c r="AS1257" s="24"/>
      <c r="AT1257" s="24">
        <v>44214</v>
      </c>
      <c r="AU1257" s="418">
        <f t="shared" si="70"/>
        <v>1</v>
      </c>
      <c r="AV1257" s="418">
        <f t="shared" si="71"/>
        <v>2021</v>
      </c>
      <c r="AW1257" s="24"/>
      <c r="AX1257" s="28"/>
      <c r="AY1257" s="28" t="s">
        <v>162</v>
      </c>
      <c r="AZ1257" s="132" t="s">
        <v>37</v>
      </c>
      <c r="BA1257" s="132"/>
      <c r="BB1257" s="24" t="s">
        <v>3593</v>
      </c>
      <c r="BC1257" s="135" t="s">
        <v>4865</v>
      </c>
      <c r="BD1257" s="24">
        <v>44178</v>
      </c>
      <c r="BE1257" s="135" t="s">
        <v>3098</v>
      </c>
      <c r="BF1257" s="135" t="s">
        <v>3098</v>
      </c>
      <c r="BG1257" s="135" t="s">
        <v>64</v>
      </c>
      <c r="BH1257" s="135"/>
      <c r="BI1257" s="314" t="s">
        <v>124</v>
      </c>
      <c r="BJ1257" s="314" t="s">
        <v>138</v>
      </c>
      <c r="BK1257" s="24"/>
      <c r="BL1257" s="24"/>
      <c r="BM1257" s="24"/>
      <c r="BN1257" s="24"/>
      <c r="BO1257" s="24"/>
      <c r="BP1257" s="24"/>
      <c r="BQ1257" s="24"/>
      <c r="BR1257" s="43"/>
      <c r="BS1257" s="24"/>
      <c r="BT1257" s="24"/>
      <c r="BU1257" s="24"/>
      <c r="BV1257" s="132" t="e">
        <f>IF(#REF!="COMPLETO","OK","PENDIENTES")</f>
        <v>#REF!</v>
      </c>
      <c r="BW1257" s="326"/>
      <c r="BX1257" s="326"/>
      <c r="BY1257" s="326"/>
      <c r="BZ1257" s="326"/>
      <c r="CA1257" s="326"/>
      <c r="CB1257" s="326"/>
      <c r="CC1257" s="269"/>
      <c r="CG1257" s="24" t="s">
        <v>105</v>
      </c>
      <c r="CH1257" s="24"/>
      <c r="CI1257" s="24"/>
      <c r="CJ1257" s="24"/>
    </row>
    <row r="1258" spans="1:88" ht="15" customHeight="1">
      <c r="A1258" s="18">
        <v>2020</v>
      </c>
      <c r="B1258" s="18" t="str">
        <f>+INDEX(BDD!F:F,MATCH(P1258,BDD!D:D,0))&amp;"-"&amp;INDEX(BDD!E:E,MATCH(P1258,BDD!D:D,0))</f>
        <v>G-S</v>
      </c>
      <c r="C1258" s="125" t="s">
        <v>484</v>
      </c>
      <c r="D1258" s="150" t="s">
        <v>77</v>
      </c>
      <c r="E1258" s="132"/>
      <c r="F1258" s="24"/>
      <c r="G1258" s="346">
        <v>8000001063</v>
      </c>
      <c r="H1258" s="125" t="s">
        <v>4866</v>
      </c>
      <c r="I1258" s="329"/>
      <c r="J1258" s="346">
        <v>8000001063</v>
      </c>
      <c r="K1258" s="24"/>
      <c r="L1258" s="24"/>
      <c r="M1258" s="24"/>
      <c r="N1258" s="339" t="s">
        <v>486</v>
      </c>
      <c r="O1258" s="334">
        <v>206599</v>
      </c>
      <c r="P1258" s="25" t="s">
        <v>339</v>
      </c>
      <c r="Q1258" s="127" t="s">
        <v>210</v>
      </c>
      <c r="R1258" s="232" t="s">
        <v>4867</v>
      </c>
      <c r="S1258" s="89">
        <v>44123</v>
      </c>
      <c r="T1258" s="36" t="s">
        <v>19</v>
      </c>
      <c r="U1258" s="125"/>
      <c r="V1258" s="147" t="s">
        <v>4868</v>
      </c>
      <c r="W1258" s="129"/>
      <c r="X1258" s="88">
        <v>44153</v>
      </c>
      <c r="Y1258" s="130" t="s">
        <v>20</v>
      </c>
      <c r="Z1258" s="133" t="s">
        <v>72</v>
      </c>
      <c r="AA1258" s="133"/>
      <c r="AB1258" s="241">
        <v>112.026</v>
      </c>
      <c r="AC1258" s="134">
        <v>423</v>
      </c>
      <c r="AD1258" s="134"/>
      <c r="AE1258" s="403">
        <f t="shared" si="69"/>
        <v>47386.998</v>
      </c>
      <c r="AF1258" s="132">
        <v>4</v>
      </c>
      <c r="AG1258" s="130" t="s">
        <v>5</v>
      </c>
      <c r="AH1258" s="130"/>
      <c r="AI1258" s="130" t="s">
        <v>100</v>
      </c>
      <c r="AJ1258" s="130"/>
      <c r="AK1258" s="130"/>
      <c r="AL1258" s="135" t="s">
        <v>4788</v>
      </c>
      <c r="AM1258" s="314"/>
      <c r="AN1258" s="26"/>
      <c r="AO1258" s="26"/>
      <c r="AP1258" s="26"/>
      <c r="AQ1258" s="26">
        <v>44202</v>
      </c>
      <c r="AR1258" s="24"/>
      <c r="AS1258" s="24"/>
      <c r="AT1258" s="24">
        <v>44203</v>
      </c>
      <c r="AU1258" s="418">
        <f t="shared" si="70"/>
        <v>1</v>
      </c>
      <c r="AV1258" s="418">
        <f t="shared" si="71"/>
        <v>2021</v>
      </c>
      <c r="AW1258" s="24"/>
      <c r="AX1258" s="28"/>
      <c r="AY1258" s="28" t="s">
        <v>162</v>
      </c>
      <c r="AZ1258" s="132" t="s">
        <v>9</v>
      </c>
      <c r="BA1258" s="132"/>
      <c r="BB1258" s="24" t="s">
        <v>3519</v>
      </c>
      <c r="BC1258" s="135" t="s">
        <v>4869</v>
      </c>
      <c r="BD1258" s="24">
        <v>44178</v>
      </c>
      <c r="BE1258" s="135" t="s">
        <v>3098</v>
      </c>
      <c r="BF1258" s="135" t="s">
        <v>3640</v>
      </c>
      <c r="BG1258" s="135" t="s">
        <v>64</v>
      </c>
      <c r="BH1258" s="135"/>
      <c r="BI1258" s="314" t="s">
        <v>124</v>
      </c>
      <c r="BJ1258" s="314" t="s">
        <v>138</v>
      </c>
      <c r="BK1258" s="24"/>
      <c r="BL1258" s="24"/>
      <c r="BM1258" s="24"/>
      <c r="BN1258" s="24"/>
      <c r="BO1258" s="24"/>
      <c r="BP1258" s="24"/>
      <c r="BQ1258" s="24"/>
      <c r="BR1258" s="43"/>
      <c r="BS1258" s="24"/>
      <c r="BT1258" s="24"/>
      <c r="BU1258" s="24"/>
      <c r="BV1258" s="132" t="e">
        <f>IF(#REF!="COMPLETO","OK","PENDIENTES")</f>
        <v>#REF!</v>
      </c>
      <c r="BW1258" s="326"/>
      <c r="BX1258" s="326"/>
      <c r="BY1258" s="326"/>
      <c r="BZ1258" s="326"/>
      <c r="CA1258" s="326"/>
      <c r="CB1258" s="326"/>
      <c r="CC1258" s="269"/>
      <c r="CG1258" s="24" t="s">
        <v>105</v>
      </c>
      <c r="CH1258" s="24"/>
      <c r="CI1258" s="24"/>
      <c r="CJ1258" s="24"/>
    </row>
    <row r="1259" spans="1:88" ht="15" customHeight="1">
      <c r="A1259" s="18">
        <v>2020</v>
      </c>
      <c r="B1259" s="18" t="str">
        <f>+INDEX(BDD!F:F,MATCH(P1259,BDD!D:D,0))&amp;"-"&amp;INDEX(BDD!E:E,MATCH(P1259,BDD!D:D,0))</f>
        <v>S-S</v>
      </c>
      <c r="C1259" s="125" t="s">
        <v>484</v>
      </c>
      <c r="D1259" s="150" t="s">
        <v>77</v>
      </c>
      <c r="E1259" s="132"/>
      <c r="F1259" s="24"/>
      <c r="G1259" s="346">
        <v>8000001210</v>
      </c>
      <c r="H1259" s="125" t="s">
        <v>4870</v>
      </c>
      <c r="I1259" s="329"/>
      <c r="J1259" s="346">
        <v>8000001210</v>
      </c>
      <c r="K1259" s="24"/>
      <c r="L1259" s="24"/>
      <c r="M1259" s="24"/>
      <c r="N1259" s="339" t="s">
        <v>486</v>
      </c>
      <c r="O1259" s="334">
        <v>206966</v>
      </c>
      <c r="P1259" s="25" t="s">
        <v>152</v>
      </c>
      <c r="Q1259" s="127" t="s">
        <v>4469</v>
      </c>
      <c r="R1259" s="232" t="s">
        <v>4871</v>
      </c>
      <c r="S1259" s="89">
        <v>44159</v>
      </c>
      <c r="T1259" s="36" t="s">
        <v>19</v>
      </c>
      <c r="U1259" s="125"/>
      <c r="V1259" s="147" t="s">
        <v>4872</v>
      </c>
      <c r="W1259" s="129"/>
      <c r="X1259" s="88">
        <v>44183</v>
      </c>
      <c r="Y1259" s="130" t="s">
        <v>20</v>
      </c>
      <c r="Z1259" s="133" t="s">
        <v>72</v>
      </c>
      <c r="AA1259" s="133"/>
      <c r="AB1259" s="241">
        <v>150</v>
      </c>
      <c r="AC1259" s="134">
        <v>603</v>
      </c>
      <c r="AD1259" s="134">
        <v>40</v>
      </c>
      <c r="AE1259" s="403">
        <f t="shared" si="69"/>
        <v>90450</v>
      </c>
      <c r="AF1259" s="132"/>
      <c r="AG1259" s="130" t="s">
        <v>58</v>
      </c>
      <c r="AH1259" s="130"/>
      <c r="AI1259" s="130" t="s">
        <v>34</v>
      </c>
      <c r="AJ1259" s="130"/>
      <c r="AK1259" s="130"/>
      <c r="AL1259" s="135" t="s">
        <v>4873</v>
      </c>
      <c r="AM1259" s="314"/>
      <c r="AN1259" s="26"/>
      <c r="AO1259" s="26"/>
      <c r="AP1259" s="26"/>
      <c r="AQ1259" s="26">
        <v>44217</v>
      </c>
      <c r="AR1259" s="24"/>
      <c r="AS1259" s="24"/>
      <c r="AT1259" s="24">
        <v>44228</v>
      </c>
      <c r="AU1259" s="418">
        <f t="shared" si="70"/>
        <v>2</v>
      </c>
      <c r="AV1259" s="418">
        <f t="shared" si="71"/>
        <v>2021</v>
      </c>
      <c r="AW1259" s="24"/>
      <c r="AX1259" s="24"/>
      <c r="AY1259" s="24" t="s">
        <v>230</v>
      </c>
      <c r="AZ1259" s="132" t="s">
        <v>37</v>
      </c>
      <c r="BA1259" s="132"/>
      <c r="BB1259" s="24" t="s">
        <v>3291</v>
      </c>
      <c r="BC1259" s="135" t="s">
        <v>4874</v>
      </c>
      <c r="BD1259" s="24">
        <v>44164</v>
      </c>
      <c r="BE1259" s="135" t="s">
        <v>4875</v>
      </c>
      <c r="BF1259" s="135" t="s">
        <v>4875</v>
      </c>
      <c r="BG1259" s="135" t="s">
        <v>52</v>
      </c>
      <c r="BH1259" s="135"/>
      <c r="BI1259" s="314" t="s">
        <v>124</v>
      </c>
      <c r="BJ1259" s="314" t="s">
        <v>143</v>
      </c>
      <c r="BK1259" s="24"/>
      <c r="BL1259" s="24"/>
      <c r="BM1259" s="24"/>
      <c r="BN1259" s="24"/>
      <c r="BO1259" s="24"/>
      <c r="BP1259" s="24"/>
      <c r="BQ1259" s="24"/>
      <c r="BR1259" s="43"/>
      <c r="BS1259" s="24"/>
      <c r="BT1259" s="24"/>
      <c r="BU1259" s="24"/>
      <c r="BV1259" s="132" t="e">
        <f>IF(#REF!="COMPLETO","OK","PENDIENTES")</f>
        <v>#REF!</v>
      </c>
      <c r="BW1259" s="326"/>
      <c r="BX1259" s="326"/>
      <c r="BY1259" s="326"/>
      <c r="BZ1259" s="326"/>
      <c r="CA1259" s="326"/>
      <c r="CB1259" s="326"/>
      <c r="CC1259" s="269"/>
      <c r="CG1259" s="24" t="s">
        <v>105</v>
      </c>
      <c r="CH1259" s="24"/>
      <c r="CI1259" s="24"/>
      <c r="CJ1259" s="24"/>
    </row>
    <row r="1260" spans="1:88" ht="15" customHeight="1">
      <c r="A1260" s="18">
        <v>2020</v>
      </c>
      <c r="B1260" s="18" t="str">
        <f>+INDEX(BDD!F:F,MATCH(P1260,BDD!D:D,0))&amp;"-"&amp;INDEX(BDD!E:E,MATCH(P1260,BDD!D:D,0))</f>
        <v>S-S</v>
      </c>
      <c r="C1260" s="125" t="s">
        <v>484</v>
      </c>
      <c r="D1260" s="150" t="s">
        <v>20</v>
      </c>
      <c r="E1260" s="132"/>
      <c r="F1260" s="24"/>
      <c r="G1260" s="346"/>
      <c r="H1260" s="125" t="s">
        <v>4876</v>
      </c>
      <c r="I1260" s="329"/>
      <c r="J1260" s="346"/>
      <c r="K1260" s="24"/>
      <c r="L1260" s="24"/>
      <c r="M1260" s="24"/>
      <c r="N1260" s="340"/>
      <c r="O1260" s="334"/>
      <c r="P1260" s="25" t="s">
        <v>152</v>
      </c>
      <c r="Q1260" s="127" t="s">
        <v>4469</v>
      </c>
      <c r="R1260" s="232"/>
      <c r="S1260" s="89"/>
      <c r="T1260" s="36"/>
      <c r="U1260" s="125"/>
      <c r="V1260" s="147"/>
      <c r="W1260" s="129"/>
      <c r="X1260" s="88"/>
      <c r="Y1260" s="130"/>
      <c r="Z1260" s="133"/>
      <c r="AA1260" s="133"/>
      <c r="AB1260" s="241"/>
      <c r="AC1260" s="134"/>
      <c r="AD1260" s="134"/>
      <c r="AE1260" s="403">
        <f t="shared" si="69"/>
        <v>0</v>
      </c>
      <c r="AF1260" s="132"/>
      <c r="AG1260" s="130"/>
      <c r="AH1260" s="130"/>
      <c r="AI1260" s="130"/>
      <c r="AJ1260" s="130"/>
      <c r="AK1260" s="130"/>
      <c r="AL1260" s="135"/>
      <c r="AM1260" s="314"/>
      <c r="AN1260" s="26"/>
      <c r="AO1260" s="26"/>
      <c r="AP1260" s="26"/>
      <c r="AQ1260" s="26"/>
      <c r="AR1260" s="24"/>
      <c r="AS1260" s="24"/>
      <c r="AT1260" s="24"/>
      <c r="AU1260" s="418">
        <f t="shared" si="70"/>
        <v>1</v>
      </c>
      <c r="AV1260" s="418">
        <f t="shared" si="71"/>
        <v>1900</v>
      </c>
      <c r="AW1260" s="24"/>
      <c r="AX1260" s="24"/>
      <c r="AY1260" s="24"/>
      <c r="AZ1260" s="132"/>
      <c r="BA1260" s="132"/>
      <c r="BB1260" s="24"/>
      <c r="BC1260" s="135"/>
      <c r="BD1260" s="24"/>
      <c r="BE1260" s="135"/>
      <c r="BF1260" s="135"/>
      <c r="BG1260" s="135"/>
      <c r="BH1260" s="135"/>
      <c r="BI1260" s="314"/>
      <c r="BJ1260" s="314"/>
      <c r="BK1260" s="24"/>
      <c r="BL1260" s="24"/>
      <c r="BM1260" s="24"/>
      <c r="BN1260" s="24"/>
      <c r="BO1260" s="24"/>
      <c r="BP1260" s="24"/>
      <c r="BQ1260" s="24"/>
      <c r="BR1260" s="43"/>
      <c r="BS1260" s="24"/>
      <c r="BT1260" s="24"/>
      <c r="BU1260" s="24"/>
      <c r="BV1260" s="132"/>
      <c r="BW1260" s="325"/>
      <c r="BX1260" s="325"/>
      <c r="BY1260" s="325"/>
      <c r="BZ1260" s="325"/>
      <c r="CA1260" s="325"/>
      <c r="CB1260" s="325"/>
      <c r="CC1260" s="258"/>
      <c r="CD1260" s="22"/>
      <c r="CE1260" s="22"/>
      <c r="CF1260" s="22"/>
      <c r="CG1260" s="24"/>
      <c r="CH1260" s="24"/>
      <c r="CI1260" s="24"/>
      <c r="CJ1260" s="24"/>
    </row>
    <row r="1261" spans="1:88" ht="15" customHeight="1">
      <c r="A1261" s="18">
        <v>2020</v>
      </c>
      <c r="B1261" s="18" t="str">
        <f>+INDEX(BDD!F:F,MATCH(P1261,BDD!D:D,0))&amp;"-"&amp;INDEX(BDD!E:E,MATCH(P1261,BDD!D:D,0))</f>
        <v>S-C</v>
      </c>
      <c r="C1261" s="125" t="s">
        <v>484</v>
      </c>
      <c r="D1261" s="150" t="s">
        <v>77</v>
      </c>
      <c r="E1261" s="132"/>
      <c r="F1261" s="24"/>
      <c r="G1261" s="346">
        <v>8000001198</v>
      </c>
      <c r="H1261" s="125" t="s">
        <v>4877</v>
      </c>
      <c r="I1261" s="329"/>
      <c r="J1261" s="346">
        <v>8000001198</v>
      </c>
      <c r="K1261" s="24"/>
      <c r="L1261" s="24"/>
      <c r="M1261" s="24"/>
      <c r="N1261" s="339" t="s">
        <v>486</v>
      </c>
      <c r="O1261" s="334">
        <v>207580</v>
      </c>
      <c r="P1261" s="25" t="s">
        <v>241</v>
      </c>
      <c r="Q1261" s="127" t="s">
        <v>297</v>
      </c>
      <c r="R1261" s="232" t="s">
        <v>4878</v>
      </c>
      <c r="S1261" s="89">
        <v>44132</v>
      </c>
      <c r="T1261" s="36" t="s">
        <v>19</v>
      </c>
      <c r="U1261" s="125"/>
      <c r="V1261" s="147" t="s">
        <v>4879</v>
      </c>
      <c r="W1261" s="129"/>
      <c r="X1261" s="88">
        <v>44166</v>
      </c>
      <c r="Y1261" s="130" t="s">
        <v>20</v>
      </c>
      <c r="Z1261" s="133" t="s">
        <v>60</v>
      </c>
      <c r="AA1261" s="133"/>
      <c r="AB1261" s="241">
        <v>312</v>
      </c>
      <c r="AC1261" s="134">
        <v>626</v>
      </c>
      <c r="AD1261" s="134"/>
      <c r="AE1261" s="403">
        <f t="shared" si="69"/>
        <v>195312</v>
      </c>
      <c r="AF1261" s="132">
        <v>13</v>
      </c>
      <c r="AG1261" s="130" t="s">
        <v>5</v>
      </c>
      <c r="AH1261" s="130"/>
      <c r="AI1261" s="130" t="s">
        <v>34</v>
      </c>
      <c r="AJ1261" s="130"/>
      <c r="AK1261" s="130"/>
      <c r="AL1261" s="135" t="s">
        <v>4604</v>
      </c>
      <c r="AM1261" s="314"/>
      <c r="AN1261" s="26"/>
      <c r="AO1261" s="26"/>
      <c r="AP1261" s="26"/>
      <c r="AQ1261" s="26">
        <v>44204</v>
      </c>
      <c r="AR1261" s="24"/>
      <c r="AS1261" s="24"/>
      <c r="AT1261" s="24">
        <v>44208</v>
      </c>
      <c r="AU1261" s="418">
        <f t="shared" si="70"/>
        <v>1</v>
      </c>
      <c r="AV1261" s="418">
        <f t="shared" si="71"/>
        <v>2021</v>
      </c>
      <c r="AW1261" s="24"/>
      <c r="AX1261" s="24"/>
      <c r="AY1261" s="24" t="s">
        <v>4881</v>
      </c>
      <c r="AZ1261" s="132" t="s">
        <v>9</v>
      </c>
      <c r="BA1261" s="132"/>
      <c r="BB1261" s="24" t="s">
        <v>2956</v>
      </c>
      <c r="BC1261" s="135" t="s">
        <v>4880</v>
      </c>
      <c r="BD1261" s="24">
        <v>44161</v>
      </c>
      <c r="BE1261" s="135" t="s">
        <v>4882</v>
      </c>
      <c r="BF1261" s="135" t="s">
        <v>994</v>
      </c>
      <c r="BG1261" s="135" t="s">
        <v>14</v>
      </c>
      <c r="BH1261" s="135"/>
      <c r="BI1261" s="314" t="s">
        <v>124</v>
      </c>
      <c r="BJ1261" s="314" t="s">
        <v>143</v>
      </c>
      <c r="BK1261" s="24"/>
      <c r="BL1261" s="24"/>
      <c r="BM1261" s="24"/>
      <c r="BN1261" s="24"/>
      <c r="BO1261" s="24"/>
      <c r="BP1261" s="24"/>
      <c r="BQ1261" s="24"/>
      <c r="BR1261" s="43"/>
      <c r="BS1261" s="24"/>
      <c r="BT1261" s="24"/>
      <c r="BU1261" s="24"/>
      <c r="BV1261" s="132" t="e">
        <f>IF(#REF!="COMPLETO","OK","PENDIENTES")</f>
        <v>#REF!</v>
      </c>
      <c r="BW1261" s="326"/>
      <c r="BX1261" s="326"/>
      <c r="BY1261" s="326"/>
      <c r="BZ1261" s="326"/>
      <c r="CA1261" s="326"/>
      <c r="CB1261" s="326"/>
      <c r="CC1261" s="269"/>
      <c r="CG1261" s="24" t="s">
        <v>105</v>
      </c>
      <c r="CH1261" s="24"/>
      <c r="CI1261" s="24"/>
      <c r="CJ1261" s="24"/>
    </row>
    <row r="1262" spans="1:88" ht="15" customHeight="1">
      <c r="A1262" s="18">
        <v>2020</v>
      </c>
      <c r="B1262" s="18" t="str">
        <f>+INDEX(BDD!F:F,MATCH(P1262,BDD!D:D,0))&amp;"-"&amp;INDEX(BDD!E:E,MATCH(P1262,BDD!D:D,0))</f>
        <v>S-C</v>
      </c>
      <c r="C1262" s="125" t="s">
        <v>484</v>
      </c>
      <c r="D1262" s="150" t="s">
        <v>77</v>
      </c>
      <c r="E1262" s="132"/>
      <c r="F1262" s="24"/>
      <c r="G1262" s="346">
        <v>8000001233</v>
      </c>
      <c r="H1262" s="125" t="s">
        <v>4883</v>
      </c>
      <c r="I1262" s="329"/>
      <c r="J1262" s="346">
        <v>8000001233</v>
      </c>
      <c r="K1262" s="24"/>
      <c r="L1262" s="24"/>
      <c r="M1262" s="24"/>
      <c r="N1262" s="339" t="s">
        <v>486</v>
      </c>
      <c r="O1262" s="334">
        <v>207580</v>
      </c>
      <c r="P1262" s="25" t="s">
        <v>241</v>
      </c>
      <c r="Q1262" s="127" t="s">
        <v>297</v>
      </c>
      <c r="R1262" s="232" t="s">
        <v>4878</v>
      </c>
      <c r="S1262" s="89">
        <v>44132</v>
      </c>
      <c r="T1262" s="36" t="s">
        <v>19</v>
      </c>
      <c r="U1262" s="125"/>
      <c r="V1262" s="147" t="s">
        <v>4884</v>
      </c>
      <c r="W1262" s="129"/>
      <c r="X1262" s="88">
        <v>44174</v>
      </c>
      <c r="Y1262" s="130" t="s">
        <v>20</v>
      </c>
      <c r="Z1262" s="133" t="s">
        <v>72</v>
      </c>
      <c r="AA1262" s="133"/>
      <c r="AB1262" s="241">
        <v>240</v>
      </c>
      <c r="AC1262" s="134">
        <v>626</v>
      </c>
      <c r="AD1262" s="134"/>
      <c r="AE1262" s="403">
        <f t="shared" si="69"/>
        <v>150240</v>
      </c>
      <c r="AF1262" s="132">
        <v>10</v>
      </c>
      <c r="AG1262" s="130" t="s">
        <v>5</v>
      </c>
      <c r="AH1262" s="130"/>
      <c r="AI1262" s="130" t="s">
        <v>34</v>
      </c>
      <c r="AJ1262" s="130"/>
      <c r="AK1262" s="130"/>
      <c r="AL1262" s="135" t="s">
        <v>4873</v>
      </c>
      <c r="AM1262" s="314"/>
      <c r="AN1262" s="26"/>
      <c r="AO1262" s="26"/>
      <c r="AP1262" s="26"/>
      <c r="AQ1262" s="26">
        <v>44239</v>
      </c>
      <c r="AR1262" s="24"/>
      <c r="AS1262" s="24"/>
      <c r="AT1262" s="24">
        <v>44244</v>
      </c>
      <c r="AU1262" s="418">
        <f t="shared" si="70"/>
        <v>2</v>
      </c>
      <c r="AV1262" s="418">
        <f t="shared" si="71"/>
        <v>2021</v>
      </c>
      <c r="AW1262" s="24"/>
      <c r="AX1262" s="24"/>
      <c r="AY1262" s="24" t="s">
        <v>4881</v>
      </c>
      <c r="AZ1262" s="132" t="s">
        <v>9</v>
      </c>
      <c r="BA1262" s="132"/>
      <c r="BB1262" s="24" t="s">
        <v>3264</v>
      </c>
      <c r="BC1262" s="135" t="s">
        <v>4885</v>
      </c>
      <c r="BD1262" s="26">
        <v>44169</v>
      </c>
      <c r="BE1262" s="135" t="s">
        <v>4886</v>
      </c>
      <c r="BF1262" s="135" t="s">
        <v>3276</v>
      </c>
      <c r="BG1262" s="135" t="s">
        <v>14</v>
      </c>
      <c r="BH1262" s="135"/>
      <c r="BI1262" s="314" t="s">
        <v>124</v>
      </c>
      <c r="BJ1262" s="314" t="s">
        <v>143</v>
      </c>
      <c r="BK1262" s="24"/>
      <c r="BL1262" s="24"/>
      <c r="BM1262" s="24"/>
      <c r="BN1262" s="24"/>
      <c r="BO1262" s="24">
        <v>44252</v>
      </c>
      <c r="BP1262" s="24"/>
      <c r="BQ1262" s="24"/>
      <c r="BR1262" s="43"/>
      <c r="BS1262" s="24"/>
      <c r="BT1262" s="24"/>
      <c r="BU1262" s="24"/>
      <c r="BV1262" s="132" t="e">
        <f>IF(#REF!="COMPLETO","OK","PENDIENTES")</f>
        <v>#REF!</v>
      </c>
      <c r="BW1262" s="326"/>
      <c r="BX1262" s="326"/>
      <c r="BY1262" s="326"/>
      <c r="BZ1262" s="326"/>
      <c r="CA1262" s="326"/>
      <c r="CB1262" s="326"/>
      <c r="CC1262" s="269"/>
      <c r="CG1262" s="24" t="s">
        <v>105</v>
      </c>
      <c r="CH1262" s="24"/>
      <c r="CI1262" s="24"/>
      <c r="CJ1262" s="24"/>
    </row>
    <row r="1263" spans="1:88" ht="15" customHeight="1">
      <c r="A1263" s="18">
        <v>2020</v>
      </c>
      <c r="B1263" s="18" t="str">
        <f>+INDEX(BDD!F:F,MATCH(P1263,BDD!D:D,0))&amp;"-"&amp;INDEX(BDD!E:E,MATCH(P1263,BDD!D:D,0))</f>
        <v>S-C</v>
      </c>
      <c r="C1263" s="125" t="s">
        <v>484</v>
      </c>
      <c r="D1263" s="150" t="s">
        <v>77</v>
      </c>
      <c r="E1263" s="132"/>
      <c r="F1263" s="24"/>
      <c r="G1263" s="346">
        <v>8000001184</v>
      </c>
      <c r="H1263" s="125" t="s">
        <v>4887</v>
      </c>
      <c r="I1263" s="329"/>
      <c r="J1263" s="346">
        <v>8000001184</v>
      </c>
      <c r="K1263" s="24"/>
      <c r="L1263" s="24"/>
      <c r="M1263" s="24"/>
      <c r="N1263" s="340" t="s">
        <v>486</v>
      </c>
      <c r="O1263" s="334">
        <v>207580</v>
      </c>
      <c r="P1263" s="25" t="s">
        <v>241</v>
      </c>
      <c r="Q1263" s="127" t="s">
        <v>297</v>
      </c>
      <c r="R1263" s="232" t="s">
        <v>4878</v>
      </c>
      <c r="S1263" s="89">
        <v>44132</v>
      </c>
      <c r="T1263" s="36" t="s">
        <v>19</v>
      </c>
      <c r="U1263" s="125"/>
      <c r="V1263" s="147" t="s">
        <v>4888</v>
      </c>
      <c r="W1263" s="129"/>
      <c r="X1263" s="88">
        <v>44159</v>
      </c>
      <c r="Y1263" s="130" t="s">
        <v>20</v>
      </c>
      <c r="Z1263" s="133" t="s">
        <v>60</v>
      </c>
      <c r="AA1263" s="133"/>
      <c r="AB1263" s="241">
        <v>240</v>
      </c>
      <c r="AC1263" s="134">
        <v>622</v>
      </c>
      <c r="AD1263" s="134"/>
      <c r="AE1263" s="403">
        <f t="shared" si="69"/>
        <v>149280</v>
      </c>
      <c r="AF1263" s="132">
        <v>10</v>
      </c>
      <c r="AG1263" s="130" t="s">
        <v>5</v>
      </c>
      <c r="AH1263" s="130"/>
      <c r="AI1263" s="130" t="s">
        <v>34</v>
      </c>
      <c r="AJ1263" s="130"/>
      <c r="AK1263" s="130"/>
      <c r="AL1263" s="135" t="s">
        <v>4889</v>
      </c>
      <c r="AM1263" s="314"/>
      <c r="AN1263" s="26"/>
      <c r="AO1263" s="26"/>
      <c r="AP1263" s="26"/>
      <c r="AQ1263" s="26">
        <v>44193</v>
      </c>
      <c r="AR1263" s="24"/>
      <c r="AS1263" s="24"/>
      <c r="AT1263" s="24">
        <v>44204</v>
      </c>
      <c r="AU1263" s="418">
        <f t="shared" si="70"/>
        <v>1</v>
      </c>
      <c r="AV1263" s="418">
        <f t="shared" si="71"/>
        <v>2021</v>
      </c>
      <c r="AW1263" s="24"/>
      <c r="AX1263" s="24"/>
      <c r="AY1263" s="24" t="s">
        <v>4881</v>
      </c>
      <c r="AZ1263" s="132" t="s">
        <v>37</v>
      </c>
      <c r="BA1263" s="132"/>
      <c r="BB1263" s="24" t="s">
        <v>2956</v>
      </c>
      <c r="BC1263" s="135" t="s">
        <v>4890</v>
      </c>
      <c r="BD1263" s="24">
        <v>44156</v>
      </c>
      <c r="BE1263" s="135" t="s">
        <v>4886</v>
      </c>
      <c r="BF1263" s="135" t="s">
        <v>4891</v>
      </c>
      <c r="BG1263" s="135" t="s">
        <v>14</v>
      </c>
      <c r="BH1263" s="135"/>
      <c r="BI1263" s="314" t="s">
        <v>124</v>
      </c>
      <c r="BJ1263" s="314" t="s">
        <v>143</v>
      </c>
      <c r="BK1263" s="24"/>
      <c r="BL1263" s="24"/>
      <c r="BM1263" s="24"/>
      <c r="BN1263" s="24"/>
      <c r="BO1263" s="24"/>
      <c r="BP1263" s="24"/>
      <c r="BQ1263" s="24"/>
      <c r="BR1263" s="43"/>
      <c r="BS1263" s="24"/>
      <c r="BT1263" s="24"/>
      <c r="BU1263" s="24"/>
      <c r="BV1263" s="132" t="e">
        <f>IF(#REF!="COMPLETO","OK","PENDIENTES")</f>
        <v>#REF!</v>
      </c>
      <c r="BW1263" s="325"/>
      <c r="BX1263" s="325"/>
      <c r="BY1263" s="325"/>
      <c r="BZ1263" s="325"/>
      <c r="CA1263" s="325"/>
      <c r="CB1263" s="325"/>
      <c r="CC1263" s="258"/>
      <c r="CG1263" s="24" t="s">
        <v>105</v>
      </c>
      <c r="CH1263" s="24"/>
      <c r="CI1263" s="24"/>
      <c r="CJ1263" s="24"/>
    </row>
    <row r="1264" spans="1:88" ht="15" customHeight="1">
      <c r="A1264" s="18">
        <v>2020</v>
      </c>
      <c r="B1264" s="18" t="str">
        <f>+INDEX(BDD!F:F,MATCH(P1264,BDD!D:D,0))&amp;"-"&amp;INDEX(BDD!E:E,MATCH(P1264,BDD!D:D,0))</f>
        <v>S-C</v>
      </c>
      <c r="C1264" s="125" t="s">
        <v>484</v>
      </c>
      <c r="D1264" s="150" t="s">
        <v>77</v>
      </c>
      <c r="E1264" s="132"/>
      <c r="F1264" s="24"/>
      <c r="G1264" s="346">
        <v>8000001185</v>
      </c>
      <c r="H1264" s="125" t="s">
        <v>4892</v>
      </c>
      <c r="I1264" s="329"/>
      <c r="J1264" s="346">
        <v>8000001185</v>
      </c>
      <c r="K1264" s="24"/>
      <c r="L1264" s="24"/>
      <c r="M1264" s="24"/>
      <c r="N1264" s="340" t="s">
        <v>486</v>
      </c>
      <c r="O1264" s="334">
        <v>207580</v>
      </c>
      <c r="P1264" s="25" t="s">
        <v>241</v>
      </c>
      <c r="Q1264" s="127" t="s">
        <v>297</v>
      </c>
      <c r="R1264" s="232" t="s">
        <v>4878</v>
      </c>
      <c r="S1264" s="89">
        <v>44132</v>
      </c>
      <c r="T1264" s="36" t="s">
        <v>19</v>
      </c>
      <c r="U1264" s="125"/>
      <c r="V1264" s="147" t="s">
        <v>4893</v>
      </c>
      <c r="W1264" s="129"/>
      <c r="X1264" s="88">
        <v>44166</v>
      </c>
      <c r="Y1264" s="130" t="s">
        <v>20</v>
      </c>
      <c r="Z1264" s="133" t="s">
        <v>60</v>
      </c>
      <c r="AA1264" s="133"/>
      <c r="AB1264" s="241">
        <v>336</v>
      </c>
      <c r="AC1264" s="134">
        <v>622</v>
      </c>
      <c r="AD1264" s="134"/>
      <c r="AE1264" s="403">
        <f t="shared" si="69"/>
        <v>208992</v>
      </c>
      <c r="AF1264" s="132">
        <v>14</v>
      </c>
      <c r="AG1264" s="130" t="s">
        <v>5</v>
      </c>
      <c r="AH1264" s="130"/>
      <c r="AI1264" s="130" t="s">
        <v>34</v>
      </c>
      <c r="AJ1264" s="130"/>
      <c r="AK1264" s="130"/>
      <c r="AL1264" s="135" t="s">
        <v>4894</v>
      </c>
      <c r="AM1264" s="314"/>
      <c r="AN1264" s="26"/>
      <c r="AO1264" s="26"/>
      <c r="AP1264" s="26"/>
      <c r="AQ1264" s="26">
        <v>44193</v>
      </c>
      <c r="AR1264" s="24"/>
      <c r="AS1264" s="24"/>
      <c r="AT1264" s="24">
        <v>44202</v>
      </c>
      <c r="AU1264" s="418">
        <f t="shared" si="70"/>
        <v>1</v>
      </c>
      <c r="AV1264" s="418">
        <f t="shared" si="71"/>
        <v>2021</v>
      </c>
      <c r="AW1264" s="24"/>
      <c r="AX1264" s="24"/>
      <c r="AY1264" s="24" t="s">
        <v>4881</v>
      </c>
      <c r="AZ1264" s="132" t="s">
        <v>37</v>
      </c>
      <c r="BA1264" s="132"/>
      <c r="BB1264" s="24" t="s">
        <v>3291</v>
      </c>
      <c r="BC1264" s="135" t="s">
        <v>4895</v>
      </c>
      <c r="BD1264" s="24">
        <v>44161</v>
      </c>
      <c r="BE1264" s="135" t="s">
        <v>4882</v>
      </c>
      <c r="BF1264" s="135" t="s">
        <v>4891</v>
      </c>
      <c r="BG1264" s="135" t="s">
        <v>14</v>
      </c>
      <c r="BH1264" s="135"/>
      <c r="BI1264" s="314" t="s">
        <v>124</v>
      </c>
      <c r="BJ1264" s="314" t="s">
        <v>143</v>
      </c>
      <c r="BK1264" s="24"/>
      <c r="BL1264" s="24"/>
      <c r="BM1264" s="24"/>
      <c r="BN1264" s="24"/>
      <c r="BO1264" s="24"/>
      <c r="BP1264" s="24"/>
      <c r="BQ1264" s="24"/>
      <c r="BR1264" s="43"/>
      <c r="BS1264" s="24"/>
      <c r="BT1264" s="24"/>
      <c r="BU1264" s="24"/>
      <c r="BV1264" s="132" t="e">
        <f>IF(#REF!="COMPLETO","OK","PENDIENTES")</f>
        <v>#REF!</v>
      </c>
      <c r="BW1264" s="325"/>
      <c r="BX1264" s="325"/>
      <c r="BY1264" s="325"/>
      <c r="BZ1264" s="325"/>
      <c r="CA1264" s="325"/>
      <c r="CB1264" s="325"/>
      <c r="CC1264" s="258"/>
      <c r="CG1264" s="24" t="s">
        <v>105</v>
      </c>
      <c r="CH1264" s="24"/>
      <c r="CI1264" s="24"/>
      <c r="CJ1264" s="24"/>
    </row>
    <row r="1265" spans="1:88" ht="15" customHeight="1">
      <c r="A1265" s="18">
        <v>2020</v>
      </c>
      <c r="B1265" s="18" t="str">
        <f>+INDEX(BDD!F:F,MATCH(P1265,BDD!D:D,0))&amp;"-"&amp;INDEX(BDD!E:E,MATCH(P1265,BDD!D:D,0))</f>
        <v>S-C</v>
      </c>
      <c r="C1265" s="125" t="s">
        <v>484</v>
      </c>
      <c r="D1265" s="150" t="s">
        <v>77</v>
      </c>
      <c r="E1265" s="132"/>
      <c r="F1265" s="24"/>
      <c r="G1265" s="346">
        <v>8000001202</v>
      </c>
      <c r="H1265" s="125" t="s">
        <v>4896</v>
      </c>
      <c r="I1265" s="329"/>
      <c r="J1265" s="346">
        <v>8000001202</v>
      </c>
      <c r="K1265" s="24"/>
      <c r="L1265" s="24"/>
      <c r="M1265" s="24"/>
      <c r="N1265" s="340" t="s">
        <v>486</v>
      </c>
      <c r="O1265" s="334">
        <v>207580</v>
      </c>
      <c r="P1265" s="25" t="s">
        <v>241</v>
      </c>
      <c r="Q1265" s="127" t="s">
        <v>297</v>
      </c>
      <c r="R1265" s="232" t="s">
        <v>4878</v>
      </c>
      <c r="S1265" s="89">
        <v>44132</v>
      </c>
      <c r="T1265" s="36" t="s">
        <v>19</v>
      </c>
      <c r="U1265" s="125"/>
      <c r="V1265" s="147" t="s">
        <v>4897</v>
      </c>
      <c r="W1265" s="129"/>
      <c r="X1265" s="88">
        <v>44174</v>
      </c>
      <c r="Y1265" s="130" t="s">
        <v>20</v>
      </c>
      <c r="Z1265" s="133" t="s">
        <v>60</v>
      </c>
      <c r="AA1265" s="133"/>
      <c r="AB1265" s="241">
        <v>480</v>
      </c>
      <c r="AC1265" s="134">
        <v>622</v>
      </c>
      <c r="AD1265" s="134"/>
      <c r="AE1265" s="403">
        <f t="shared" si="69"/>
        <v>298560</v>
      </c>
      <c r="AF1265" s="132">
        <v>20</v>
      </c>
      <c r="AG1265" s="130" t="s">
        <v>5</v>
      </c>
      <c r="AH1265" s="130"/>
      <c r="AI1265" s="130" t="s">
        <v>34</v>
      </c>
      <c r="AJ1265" s="130"/>
      <c r="AK1265" s="130"/>
      <c r="AL1265" s="135" t="s">
        <v>4898</v>
      </c>
      <c r="AM1265" s="314"/>
      <c r="AN1265" s="26"/>
      <c r="AO1265" s="26"/>
      <c r="AP1265" s="26"/>
      <c r="AQ1265" s="26">
        <v>44206</v>
      </c>
      <c r="AR1265" s="24"/>
      <c r="AS1265" s="24"/>
      <c r="AT1265" s="24">
        <v>44215</v>
      </c>
      <c r="AU1265" s="418">
        <f t="shared" si="70"/>
        <v>1</v>
      </c>
      <c r="AV1265" s="418">
        <f t="shared" si="71"/>
        <v>2021</v>
      </c>
      <c r="AW1265" s="24"/>
      <c r="AX1265" s="24"/>
      <c r="AY1265" s="24" t="s">
        <v>4881</v>
      </c>
      <c r="AZ1265" s="132" t="s">
        <v>37</v>
      </c>
      <c r="BA1265" s="132"/>
      <c r="BB1265" s="24" t="s">
        <v>2956</v>
      </c>
      <c r="BC1265" s="135" t="s">
        <v>4899</v>
      </c>
      <c r="BD1265" s="24">
        <v>44169</v>
      </c>
      <c r="BE1265" s="135" t="s">
        <v>4886</v>
      </c>
      <c r="BF1265" s="135" t="s">
        <v>4707</v>
      </c>
      <c r="BG1265" s="135" t="s">
        <v>14</v>
      </c>
      <c r="BH1265" s="135"/>
      <c r="BI1265" s="314" t="s">
        <v>124</v>
      </c>
      <c r="BJ1265" s="314" t="s">
        <v>143</v>
      </c>
      <c r="BK1265" s="24"/>
      <c r="BL1265" s="24"/>
      <c r="BM1265" s="24"/>
      <c r="BN1265" s="24"/>
      <c r="BO1265" s="24"/>
      <c r="BP1265" s="24"/>
      <c r="BQ1265" s="24"/>
      <c r="BR1265" s="43"/>
      <c r="BS1265" s="24"/>
      <c r="BT1265" s="24"/>
      <c r="BU1265" s="24"/>
      <c r="BV1265" s="132" t="e">
        <f>IF(#REF!="COMPLETO","OK","PENDIENTES")</f>
        <v>#REF!</v>
      </c>
      <c r="BW1265" s="325"/>
      <c r="BX1265" s="325"/>
      <c r="BY1265" s="325"/>
      <c r="BZ1265" s="325"/>
      <c r="CA1265" s="325"/>
      <c r="CB1265" s="325"/>
      <c r="CC1265" s="258"/>
      <c r="CG1265" s="24" t="s">
        <v>105</v>
      </c>
      <c r="CH1265" s="24"/>
      <c r="CI1265" s="24"/>
      <c r="CJ1265" s="24"/>
    </row>
    <row r="1266" spans="1:88" ht="15" customHeight="1">
      <c r="A1266" s="18">
        <v>2020</v>
      </c>
      <c r="B1266" s="18" t="str">
        <f>+INDEX(BDD!F:F,MATCH(P1266,BDD!D:D,0))&amp;"-"&amp;INDEX(BDD!E:E,MATCH(P1266,BDD!D:D,0))</f>
        <v>S-C</v>
      </c>
      <c r="C1266" s="125" t="s">
        <v>484</v>
      </c>
      <c r="D1266" s="150" t="s">
        <v>77</v>
      </c>
      <c r="E1266" s="132"/>
      <c r="F1266" s="24"/>
      <c r="G1266" s="346">
        <v>8000001237</v>
      </c>
      <c r="H1266" s="125" t="s">
        <v>4900</v>
      </c>
      <c r="I1266" s="329"/>
      <c r="J1266" s="346">
        <v>8000001237</v>
      </c>
      <c r="K1266" s="24"/>
      <c r="L1266" s="24"/>
      <c r="M1266" s="24"/>
      <c r="N1266" s="340" t="s">
        <v>486</v>
      </c>
      <c r="O1266" s="334">
        <v>207580</v>
      </c>
      <c r="P1266" s="25" t="s">
        <v>241</v>
      </c>
      <c r="Q1266" s="127" t="s">
        <v>297</v>
      </c>
      <c r="R1266" s="232" t="s">
        <v>4878</v>
      </c>
      <c r="S1266" s="89">
        <v>44132</v>
      </c>
      <c r="T1266" s="36" t="s">
        <v>19</v>
      </c>
      <c r="U1266" s="125"/>
      <c r="V1266" s="147" t="s">
        <v>4901</v>
      </c>
      <c r="W1266" s="129"/>
      <c r="X1266" s="88">
        <v>44181</v>
      </c>
      <c r="Y1266" s="130" t="s">
        <v>20</v>
      </c>
      <c r="Z1266" s="133" t="s">
        <v>60</v>
      </c>
      <c r="AA1266" s="133"/>
      <c r="AB1266" s="241">
        <v>312</v>
      </c>
      <c r="AC1266" s="134">
        <v>622</v>
      </c>
      <c r="AD1266" s="134"/>
      <c r="AE1266" s="403">
        <f t="shared" si="69"/>
        <v>194064</v>
      </c>
      <c r="AF1266" s="132">
        <v>13</v>
      </c>
      <c r="AG1266" s="130" t="s">
        <v>5</v>
      </c>
      <c r="AH1266" s="130"/>
      <c r="AI1266" s="130" t="s">
        <v>34</v>
      </c>
      <c r="AJ1266" s="130"/>
      <c r="AK1266" s="130"/>
      <c r="AL1266" s="135" t="s">
        <v>4898</v>
      </c>
      <c r="AM1266" s="314"/>
      <c r="AN1266" s="26"/>
      <c r="AO1266" s="26"/>
      <c r="AP1266" s="26"/>
      <c r="AQ1266" s="26">
        <v>44244</v>
      </c>
      <c r="AR1266" s="24"/>
      <c r="AS1266" s="24"/>
      <c r="AT1266" s="24">
        <v>44250</v>
      </c>
      <c r="AU1266" s="418">
        <f t="shared" si="70"/>
        <v>2</v>
      </c>
      <c r="AV1266" s="418">
        <f t="shared" si="71"/>
        <v>2021</v>
      </c>
      <c r="AW1266" s="24"/>
      <c r="AX1266" s="24"/>
      <c r="AY1266" s="24" t="s">
        <v>4881</v>
      </c>
      <c r="AZ1266" s="132" t="s">
        <v>37</v>
      </c>
      <c r="BA1266" s="132"/>
      <c r="BB1266" s="24" t="s">
        <v>3291</v>
      </c>
      <c r="BC1266" s="135" t="s">
        <v>4902</v>
      </c>
      <c r="BD1266" s="24">
        <v>44177</v>
      </c>
      <c r="BE1266" s="135" t="s">
        <v>4882</v>
      </c>
      <c r="BF1266" s="135" t="s">
        <v>1945</v>
      </c>
      <c r="BG1266" s="135" t="s">
        <v>14</v>
      </c>
      <c r="BH1266" s="135"/>
      <c r="BI1266" s="314" t="s">
        <v>124</v>
      </c>
      <c r="BJ1266" s="314" t="s">
        <v>143</v>
      </c>
      <c r="BK1266" s="24"/>
      <c r="BL1266" s="24"/>
      <c r="BM1266" s="24"/>
      <c r="BN1266" s="24"/>
      <c r="BO1266" s="24"/>
      <c r="BP1266" s="24"/>
      <c r="BQ1266" s="24"/>
      <c r="BR1266" s="43"/>
      <c r="BS1266" s="24"/>
      <c r="BT1266" s="24"/>
      <c r="BU1266" s="24"/>
      <c r="BV1266" s="132" t="e">
        <f>IF(#REF!="COMPLETO","OK","PENDIENTES")</f>
        <v>#REF!</v>
      </c>
      <c r="BW1266" s="325"/>
      <c r="BX1266" s="325"/>
      <c r="BY1266" s="325"/>
      <c r="BZ1266" s="325"/>
      <c r="CA1266" s="325"/>
      <c r="CB1266" s="325"/>
      <c r="CC1266" s="258"/>
      <c r="CG1266" s="24" t="s">
        <v>105</v>
      </c>
      <c r="CH1266" s="24"/>
      <c r="CI1266" s="24"/>
      <c r="CJ1266" s="24"/>
    </row>
    <row r="1267" spans="1:88" ht="15" customHeight="1">
      <c r="A1267" s="18">
        <v>2020</v>
      </c>
      <c r="B1267" s="18" t="str">
        <f>+INDEX(BDD!F:F,MATCH(P1267,BDD!D:D,0))&amp;"-"&amp;INDEX(BDD!E:E,MATCH(P1267,BDD!D:D,0))</f>
        <v>S-C</v>
      </c>
      <c r="C1267" s="125" t="s">
        <v>484</v>
      </c>
      <c r="D1267" s="150" t="s">
        <v>77</v>
      </c>
      <c r="E1267" s="132"/>
      <c r="F1267" s="24"/>
      <c r="G1267" s="346">
        <v>8000001264</v>
      </c>
      <c r="H1267" s="125" t="s">
        <v>4903</v>
      </c>
      <c r="I1267" s="329"/>
      <c r="J1267" s="346">
        <v>8000001264</v>
      </c>
      <c r="K1267" s="24"/>
      <c r="L1267" s="24"/>
      <c r="M1267" s="24"/>
      <c r="N1267" s="340" t="s">
        <v>486</v>
      </c>
      <c r="O1267" s="334">
        <v>207580</v>
      </c>
      <c r="P1267" s="25" t="s">
        <v>241</v>
      </c>
      <c r="Q1267" s="127" t="s">
        <v>297</v>
      </c>
      <c r="R1267" s="232" t="s">
        <v>4878</v>
      </c>
      <c r="S1267" s="89">
        <v>44132</v>
      </c>
      <c r="T1267" s="36" t="s">
        <v>19</v>
      </c>
      <c r="U1267" s="125"/>
      <c r="V1267" s="147" t="s">
        <v>4904</v>
      </c>
      <c r="W1267" s="129"/>
      <c r="X1267" s="88">
        <v>44202</v>
      </c>
      <c r="Y1267" s="130" t="s">
        <v>20</v>
      </c>
      <c r="Z1267" s="133" t="s">
        <v>60</v>
      </c>
      <c r="AA1267" s="133"/>
      <c r="AB1267" s="241">
        <v>96</v>
      </c>
      <c r="AC1267" s="134">
        <v>630</v>
      </c>
      <c r="AD1267" s="134"/>
      <c r="AE1267" s="403">
        <f t="shared" si="69"/>
        <v>60480</v>
      </c>
      <c r="AF1267" s="132">
        <v>4</v>
      </c>
      <c r="AG1267" s="130" t="s">
        <v>5</v>
      </c>
      <c r="AH1267" s="130"/>
      <c r="AI1267" s="130" t="s">
        <v>34</v>
      </c>
      <c r="AJ1267" s="130"/>
      <c r="AK1267" s="130"/>
      <c r="AL1267" s="135" t="s">
        <v>4898</v>
      </c>
      <c r="AM1267" s="314"/>
      <c r="AN1267" s="26"/>
      <c r="AO1267" s="26"/>
      <c r="AP1267" s="26"/>
      <c r="AQ1267" s="26">
        <v>44274</v>
      </c>
      <c r="AR1267" s="24"/>
      <c r="AS1267" s="24"/>
      <c r="AT1267" s="24">
        <v>44280</v>
      </c>
      <c r="AU1267" s="418">
        <f t="shared" si="70"/>
        <v>3</v>
      </c>
      <c r="AV1267" s="418">
        <f t="shared" si="71"/>
        <v>2021</v>
      </c>
      <c r="AW1267" s="24"/>
      <c r="AX1267" s="24"/>
      <c r="AY1267" s="24" t="s">
        <v>4881</v>
      </c>
      <c r="AZ1267" s="132" t="s">
        <v>62</v>
      </c>
      <c r="BA1267" s="132"/>
      <c r="BB1267" s="24" t="s">
        <v>3264</v>
      </c>
      <c r="BC1267" s="135" t="s">
        <v>4905</v>
      </c>
      <c r="BD1267" s="24">
        <v>44199</v>
      </c>
      <c r="BE1267" s="135" t="s">
        <v>774</v>
      </c>
      <c r="BF1267" s="135" t="s">
        <v>1938</v>
      </c>
      <c r="BG1267" s="135" t="s">
        <v>29</v>
      </c>
      <c r="BH1267" s="135"/>
      <c r="BI1267" s="314" t="s">
        <v>124</v>
      </c>
      <c r="BJ1267" s="314" t="s">
        <v>143</v>
      </c>
      <c r="BK1267" s="24"/>
      <c r="BL1267" s="24"/>
      <c r="BM1267" s="24"/>
      <c r="BN1267" s="24"/>
      <c r="BO1267" s="24"/>
      <c r="BP1267" s="24"/>
      <c r="BQ1267" s="24"/>
      <c r="BR1267" s="43"/>
      <c r="BS1267" s="24"/>
      <c r="BT1267" s="24"/>
      <c r="BU1267" s="24"/>
      <c r="BV1267" s="132" t="e">
        <f>IF(#REF!="COMPLETO","OK","PENDIENTES")</f>
        <v>#REF!</v>
      </c>
      <c r="BW1267" s="325"/>
      <c r="BX1267" s="325"/>
      <c r="BY1267" s="325"/>
      <c r="BZ1267" s="325"/>
      <c r="CA1267" s="325"/>
      <c r="CB1267" s="325"/>
      <c r="CC1267" s="258"/>
      <c r="CG1267" s="24" t="s">
        <v>105</v>
      </c>
      <c r="CH1267" s="24"/>
      <c r="CI1267" s="24"/>
      <c r="CJ1267" s="24"/>
    </row>
    <row r="1268" spans="1:88" ht="15" customHeight="1">
      <c r="A1268" s="18">
        <v>2020</v>
      </c>
      <c r="B1268" s="18" t="str">
        <f>+INDEX(BDD!F:F,MATCH(P1268,BDD!D:D,0))&amp;"-"&amp;INDEX(BDD!E:E,MATCH(P1268,BDD!D:D,0))</f>
        <v>S-S</v>
      </c>
      <c r="C1268" s="125" t="s">
        <v>484</v>
      </c>
      <c r="D1268" s="150" t="s">
        <v>77</v>
      </c>
      <c r="E1268" s="132"/>
      <c r="F1268" s="24"/>
      <c r="G1268" s="346">
        <v>8000001248</v>
      </c>
      <c r="H1268" s="125" t="s">
        <v>4906</v>
      </c>
      <c r="I1268" s="329"/>
      <c r="J1268" s="346">
        <v>8000001248</v>
      </c>
      <c r="K1268" s="24"/>
      <c r="L1268" s="24"/>
      <c r="M1268" s="24"/>
      <c r="N1268" s="340" t="s">
        <v>486</v>
      </c>
      <c r="O1268" s="334">
        <v>206966</v>
      </c>
      <c r="P1268" s="25" t="s">
        <v>152</v>
      </c>
      <c r="Q1268" s="127" t="s">
        <v>297</v>
      </c>
      <c r="R1268" s="232" t="s">
        <v>4907</v>
      </c>
      <c r="S1268" s="89">
        <v>44132</v>
      </c>
      <c r="T1268" s="36">
        <v>90</v>
      </c>
      <c r="U1268" s="125" t="s">
        <v>118</v>
      </c>
      <c r="V1268" s="147" t="s">
        <v>4908</v>
      </c>
      <c r="W1268" s="129"/>
      <c r="X1268" s="88">
        <v>44284</v>
      </c>
      <c r="Y1268" s="130" t="s">
        <v>20</v>
      </c>
      <c r="Z1268" s="133" t="s">
        <v>60</v>
      </c>
      <c r="AA1268" s="133"/>
      <c r="AB1268" s="241">
        <v>220</v>
      </c>
      <c r="AC1268" s="134">
        <v>598</v>
      </c>
      <c r="AD1268" s="134"/>
      <c r="AE1268" s="403">
        <f t="shared" si="69"/>
        <v>131560</v>
      </c>
      <c r="AF1268" s="132"/>
      <c r="AG1268" s="130" t="s">
        <v>58</v>
      </c>
      <c r="AH1268" s="130"/>
      <c r="AI1268" s="130" t="s">
        <v>34</v>
      </c>
      <c r="AJ1268" s="130"/>
      <c r="AK1268" s="130"/>
      <c r="AL1268" s="135" t="s">
        <v>4898</v>
      </c>
      <c r="AM1268" s="314"/>
      <c r="AN1268" s="26"/>
      <c r="AO1268" s="26"/>
      <c r="AP1268" s="26"/>
      <c r="AQ1268" s="26">
        <v>44266</v>
      </c>
      <c r="AR1268" s="24"/>
      <c r="AS1268" s="24"/>
      <c r="AT1268" s="24">
        <v>44268</v>
      </c>
      <c r="AU1268" s="418">
        <f t="shared" si="70"/>
        <v>3</v>
      </c>
      <c r="AV1268" s="418">
        <f t="shared" si="71"/>
        <v>2021</v>
      </c>
      <c r="AW1268" s="24"/>
      <c r="AX1268" s="24"/>
      <c r="AY1268" s="24" t="s">
        <v>3199</v>
      </c>
      <c r="AZ1268" s="132" t="s">
        <v>62</v>
      </c>
      <c r="BA1268" s="132"/>
      <c r="BB1268" s="24" t="s">
        <v>3264</v>
      </c>
      <c r="BC1268" s="135" t="s">
        <v>4909</v>
      </c>
      <c r="BD1268" s="24">
        <v>44191</v>
      </c>
      <c r="BE1268" s="135" t="s">
        <v>3878</v>
      </c>
      <c r="BF1268" s="135" t="s">
        <v>3878</v>
      </c>
      <c r="BG1268" s="135" t="s">
        <v>52</v>
      </c>
      <c r="BH1268" s="135"/>
      <c r="BI1268" s="314" t="s">
        <v>124</v>
      </c>
      <c r="BJ1268" s="314" t="s">
        <v>143</v>
      </c>
      <c r="BK1268" s="24"/>
      <c r="BL1268" s="24"/>
      <c r="BM1268" s="24"/>
      <c r="BN1268" s="24"/>
      <c r="BO1268" s="24"/>
      <c r="BP1268" s="24"/>
      <c r="BQ1268" s="24"/>
      <c r="BR1268" s="43"/>
      <c r="BS1268" s="24"/>
      <c r="BT1268" s="24"/>
      <c r="BU1268" s="24"/>
      <c r="BV1268" s="132" t="e">
        <f>IF(#REF!="COMPLETO","OK","PENDIENTES")</f>
        <v>#REF!</v>
      </c>
      <c r="BW1268" s="325"/>
      <c r="BX1268" s="325"/>
      <c r="BY1268" s="325"/>
      <c r="BZ1268" s="325"/>
      <c r="CA1268" s="325"/>
      <c r="CB1268" s="325"/>
      <c r="CC1268" s="258"/>
      <c r="CG1268" s="24" t="s">
        <v>105</v>
      </c>
      <c r="CH1268" s="24"/>
      <c r="CI1268" s="24"/>
      <c r="CJ1268" s="24"/>
    </row>
    <row r="1269" spans="1:88" ht="15" customHeight="1">
      <c r="A1269" s="18">
        <v>2020</v>
      </c>
      <c r="B1269" s="18" t="str">
        <f>+INDEX(BDD!F:F,MATCH(P1269,BDD!D:D,0))&amp;"-"&amp;INDEX(BDD!E:E,MATCH(P1269,BDD!D:D,0))</f>
        <v>S-P</v>
      </c>
      <c r="C1269" s="125" t="s">
        <v>484</v>
      </c>
      <c r="D1269" s="150" t="s">
        <v>77</v>
      </c>
      <c r="E1269" s="132"/>
      <c r="F1269" s="24"/>
      <c r="G1269" s="346">
        <v>8000001234</v>
      </c>
      <c r="H1269" s="125" t="s">
        <v>4910</v>
      </c>
      <c r="I1269" s="329"/>
      <c r="J1269" s="346">
        <v>8000001234</v>
      </c>
      <c r="K1269" s="24"/>
      <c r="L1269" s="24"/>
      <c r="M1269" s="24"/>
      <c r="N1269" s="340" t="s">
        <v>486</v>
      </c>
      <c r="O1269" s="334">
        <v>207499</v>
      </c>
      <c r="P1269" s="25" t="s">
        <v>343</v>
      </c>
      <c r="Q1269" s="127" t="s">
        <v>231</v>
      </c>
      <c r="R1269" s="232" t="s">
        <v>4911</v>
      </c>
      <c r="S1269" s="89">
        <v>44138</v>
      </c>
      <c r="T1269" s="36">
        <v>150</v>
      </c>
      <c r="U1269" s="125" t="s">
        <v>118</v>
      </c>
      <c r="V1269" s="147" t="s">
        <v>4912</v>
      </c>
      <c r="W1269" s="129"/>
      <c r="X1269" s="88">
        <f>+BD1269+T1269</f>
        <v>44337</v>
      </c>
      <c r="Y1269" s="130" t="s">
        <v>20</v>
      </c>
      <c r="Z1269" s="133" t="s">
        <v>60</v>
      </c>
      <c r="AA1269" s="133"/>
      <c r="AB1269" s="241">
        <v>200</v>
      </c>
      <c r="AC1269" s="134">
        <v>509</v>
      </c>
      <c r="AD1269" s="134"/>
      <c r="AE1269" s="403">
        <f t="shared" si="69"/>
        <v>101800</v>
      </c>
      <c r="AF1269" s="132"/>
      <c r="AG1269" s="130" t="s">
        <v>58</v>
      </c>
      <c r="AH1269" s="130"/>
      <c r="AI1269" s="130" t="s">
        <v>34</v>
      </c>
      <c r="AJ1269" s="130"/>
      <c r="AK1269" s="130"/>
      <c r="AL1269" s="135" t="s">
        <v>4913</v>
      </c>
      <c r="AM1269" s="314"/>
      <c r="AN1269" s="26"/>
      <c r="AO1269" s="26"/>
      <c r="AP1269" s="26"/>
      <c r="AQ1269" s="26">
        <v>44236</v>
      </c>
      <c r="AR1269" s="24"/>
      <c r="AS1269" s="24"/>
      <c r="AT1269" s="24">
        <v>44249</v>
      </c>
      <c r="AU1269" s="418">
        <f t="shared" si="70"/>
        <v>2</v>
      </c>
      <c r="AV1269" s="418">
        <f t="shared" si="71"/>
        <v>2021</v>
      </c>
      <c r="AW1269" s="24"/>
      <c r="AX1269" s="24"/>
      <c r="AY1269" s="24" t="s">
        <v>3199</v>
      </c>
      <c r="AZ1269" s="132" t="s">
        <v>37</v>
      </c>
      <c r="BA1269" s="132"/>
      <c r="BB1269" s="24" t="s">
        <v>3593</v>
      </c>
      <c r="BC1269" s="135" t="s">
        <v>4914</v>
      </c>
      <c r="BD1269" s="24">
        <v>44187</v>
      </c>
      <c r="BE1269" s="135" t="s">
        <v>4857</v>
      </c>
      <c r="BF1269" s="135" t="s">
        <v>4857</v>
      </c>
      <c r="BG1269" s="135" t="s">
        <v>52</v>
      </c>
      <c r="BH1269" s="135"/>
      <c r="BI1269" s="314" t="s">
        <v>124</v>
      </c>
      <c r="BJ1269" s="314" t="s">
        <v>143</v>
      </c>
      <c r="BK1269" s="24"/>
      <c r="BL1269" s="24"/>
      <c r="BM1269" s="24"/>
      <c r="BN1269" s="24"/>
      <c r="BO1269" s="24"/>
      <c r="BP1269" s="24"/>
      <c r="BQ1269" s="24"/>
      <c r="BR1269" s="43"/>
      <c r="BS1269" s="24"/>
      <c r="BT1269" s="24"/>
      <c r="BU1269" s="24"/>
      <c r="BV1269" s="132" t="e">
        <f>IF(#REF!="COMPLETO","OK","PENDIENTES")</f>
        <v>#REF!</v>
      </c>
      <c r="BW1269" s="325"/>
      <c r="BX1269" s="325"/>
      <c r="BY1269" s="325"/>
      <c r="BZ1269" s="325"/>
      <c r="CA1269" s="325"/>
      <c r="CB1269" s="325"/>
      <c r="CC1269" s="258"/>
      <c r="CG1269" s="24" t="s">
        <v>105</v>
      </c>
      <c r="CH1269" s="24"/>
      <c r="CI1269" s="24"/>
      <c r="CJ1269" s="24"/>
    </row>
    <row r="1270" spans="1:88" ht="15" customHeight="1">
      <c r="A1270" s="18">
        <v>2020</v>
      </c>
      <c r="B1270" s="18" t="str">
        <f>+INDEX(BDD!F:F,MATCH(P1270,BDD!D:D,0))&amp;"-"&amp;INDEX(BDD!E:E,MATCH(P1270,BDD!D:D,0))</f>
        <v>O-S</v>
      </c>
      <c r="C1270" s="125" t="s">
        <v>484</v>
      </c>
      <c r="D1270" s="150" t="s">
        <v>77</v>
      </c>
      <c r="E1270" s="132"/>
      <c r="F1270" s="24"/>
      <c r="G1270" s="346">
        <v>8000001090</v>
      </c>
      <c r="H1270" s="125" t="s">
        <v>4915</v>
      </c>
      <c r="I1270" s="329"/>
      <c r="J1270" s="346">
        <v>8000001090</v>
      </c>
      <c r="K1270" s="24"/>
      <c r="L1270" s="24"/>
      <c r="M1270" s="24"/>
      <c r="N1270" s="340" t="s">
        <v>486</v>
      </c>
      <c r="O1270" s="334">
        <v>203553</v>
      </c>
      <c r="P1270" s="25" t="s">
        <v>386</v>
      </c>
      <c r="Q1270" s="127" t="s">
        <v>303</v>
      </c>
      <c r="R1270" s="232" t="s">
        <v>4916</v>
      </c>
      <c r="S1270" s="89" t="s">
        <v>4795</v>
      </c>
      <c r="T1270" s="36" t="s">
        <v>19</v>
      </c>
      <c r="U1270" s="125"/>
      <c r="V1270" s="147" t="s">
        <v>4917</v>
      </c>
      <c r="W1270" s="129"/>
      <c r="X1270" s="88">
        <v>44162</v>
      </c>
      <c r="Y1270" s="130" t="s">
        <v>20</v>
      </c>
      <c r="Z1270" s="133" t="s">
        <v>60</v>
      </c>
      <c r="AA1270" s="133"/>
      <c r="AB1270" s="241">
        <v>158.94999999999999</v>
      </c>
      <c r="AC1270" s="134">
        <v>275.10000000000002</v>
      </c>
      <c r="AD1270" s="134"/>
      <c r="AE1270" s="403">
        <f t="shared" si="69"/>
        <v>43727.145000000004</v>
      </c>
      <c r="AF1270" s="132">
        <v>6</v>
      </c>
      <c r="AG1270" s="130" t="s">
        <v>5</v>
      </c>
      <c r="AH1270" s="130"/>
      <c r="AI1270" s="130" t="s">
        <v>100</v>
      </c>
      <c r="AJ1270" s="130"/>
      <c r="AK1270" s="130"/>
      <c r="AL1270" s="135" t="s">
        <v>4604</v>
      </c>
      <c r="AM1270" s="314"/>
      <c r="AN1270" s="26"/>
      <c r="AO1270" s="26"/>
      <c r="AP1270" s="26"/>
      <c r="AQ1270" s="26">
        <v>44187</v>
      </c>
      <c r="AR1270" s="24"/>
      <c r="AS1270" s="24"/>
      <c r="AT1270" s="24">
        <v>44195</v>
      </c>
      <c r="AU1270" s="418">
        <f t="shared" si="70"/>
        <v>12</v>
      </c>
      <c r="AV1270" s="418">
        <f t="shared" si="71"/>
        <v>2020</v>
      </c>
      <c r="AW1270" s="24"/>
      <c r="AX1270" s="28"/>
      <c r="AY1270" s="28" t="s">
        <v>4072</v>
      </c>
      <c r="AZ1270" s="132" t="s">
        <v>9</v>
      </c>
      <c r="BA1270" s="132"/>
      <c r="BB1270" s="24" t="s">
        <v>2956</v>
      </c>
      <c r="BC1270" s="135" t="s">
        <v>4918</v>
      </c>
      <c r="BD1270" s="24">
        <v>44141</v>
      </c>
      <c r="BE1270" s="135" t="s">
        <v>4919</v>
      </c>
      <c r="BF1270" s="135" t="s">
        <v>3640</v>
      </c>
      <c r="BG1270" s="135" t="s">
        <v>64</v>
      </c>
      <c r="BH1270" s="135"/>
      <c r="BI1270" s="314" t="s">
        <v>124</v>
      </c>
      <c r="BJ1270" s="314" t="s">
        <v>138</v>
      </c>
      <c r="BK1270" s="26"/>
      <c r="BL1270" s="26"/>
      <c r="BM1270" s="26"/>
      <c r="BN1270" s="26"/>
      <c r="BO1270" s="24">
        <v>43835</v>
      </c>
      <c r="BP1270" s="24"/>
      <c r="BQ1270" s="24"/>
      <c r="BR1270" s="43"/>
      <c r="BS1270" s="24"/>
      <c r="BT1270" s="24"/>
      <c r="BU1270" s="24"/>
      <c r="BV1270" s="132" t="e">
        <f>IF(#REF!="COMPLETO","OK","PENDIENTES")</f>
        <v>#REF!</v>
      </c>
      <c r="BW1270" s="325"/>
      <c r="BX1270" s="325"/>
      <c r="BY1270" s="325"/>
      <c r="BZ1270" s="325"/>
      <c r="CA1270" s="325"/>
      <c r="CB1270" s="325"/>
      <c r="CC1270" s="258"/>
      <c r="CG1270" s="24" t="s">
        <v>105</v>
      </c>
      <c r="CH1270" s="24"/>
      <c r="CI1270" s="24"/>
      <c r="CJ1270" s="24"/>
    </row>
    <row r="1271" spans="1:88" ht="15" customHeight="1">
      <c r="A1271" s="18">
        <v>2020</v>
      </c>
      <c r="B1271" s="18" t="str">
        <f>+INDEX(BDD!F:F,MATCH(P1271,BDD!D:D,0))&amp;"-"&amp;INDEX(BDD!E:E,MATCH(P1271,BDD!D:D,0))</f>
        <v>O-S</v>
      </c>
      <c r="C1271" s="125" t="s">
        <v>484</v>
      </c>
      <c r="D1271" s="150" t="s">
        <v>77</v>
      </c>
      <c r="E1271" s="132"/>
      <c r="F1271" s="24"/>
      <c r="G1271" s="346">
        <v>8000001074</v>
      </c>
      <c r="H1271" s="125" t="s">
        <v>4920</v>
      </c>
      <c r="I1271" s="329"/>
      <c r="J1271" s="346">
        <v>8000001074</v>
      </c>
      <c r="K1271" s="24"/>
      <c r="L1271" s="24"/>
      <c r="M1271" s="24"/>
      <c r="N1271" s="340" t="s">
        <v>486</v>
      </c>
      <c r="O1271" s="334">
        <v>204750</v>
      </c>
      <c r="P1271" s="25" t="s">
        <v>390</v>
      </c>
      <c r="Q1271" s="127" t="s">
        <v>303</v>
      </c>
      <c r="R1271" s="232" t="s">
        <v>4921</v>
      </c>
      <c r="S1271" s="89">
        <v>44150</v>
      </c>
      <c r="T1271" s="36" t="s">
        <v>19</v>
      </c>
      <c r="U1271" s="125"/>
      <c r="V1271" s="147" t="s">
        <v>4922</v>
      </c>
      <c r="W1271" s="129"/>
      <c r="X1271" s="88">
        <v>44190</v>
      </c>
      <c r="Y1271" s="130" t="s">
        <v>20</v>
      </c>
      <c r="Z1271" s="133" t="s">
        <v>60</v>
      </c>
      <c r="AA1271" s="133"/>
      <c r="AB1271" s="241">
        <v>220</v>
      </c>
      <c r="AC1271" s="134">
        <f>374+7</f>
        <v>381</v>
      </c>
      <c r="AD1271" s="134"/>
      <c r="AE1271" s="403">
        <f t="shared" si="69"/>
        <v>83820</v>
      </c>
      <c r="AF1271" s="132">
        <v>10</v>
      </c>
      <c r="AG1271" s="130" t="s">
        <v>5</v>
      </c>
      <c r="AH1271" s="130"/>
      <c r="AI1271" s="130" t="s">
        <v>47</v>
      </c>
      <c r="AJ1271" s="130"/>
      <c r="AK1271" s="130"/>
      <c r="AL1271" s="135" t="s">
        <v>4788</v>
      </c>
      <c r="AM1271" s="314"/>
      <c r="AN1271" s="26"/>
      <c r="AO1271" s="26"/>
      <c r="AP1271" s="26"/>
      <c r="AQ1271" s="26">
        <v>44189</v>
      </c>
      <c r="AR1271" s="24"/>
      <c r="AS1271" s="24"/>
      <c r="AT1271" s="24">
        <v>44203</v>
      </c>
      <c r="AU1271" s="418">
        <f t="shared" si="70"/>
        <v>1</v>
      </c>
      <c r="AV1271" s="418">
        <f t="shared" si="71"/>
        <v>2021</v>
      </c>
      <c r="AW1271" s="24"/>
      <c r="AX1271" s="28"/>
      <c r="AY1271" s="28" t="s">
        <v>3415</v>
      </c>
      <c r="AZ1271" s="132" t="s">
        <v>37</v>
      </c>
      <c r="BA1271" s="132"/>
      <c r="BB1271" s="24" t="s">
        <v>3593</v>
      </c>
      <c r="BC1271" s="135" t="s">
        <v>4923</v>
      </c>
      <c r="BD1271" s="24">
        <v>44181</v>
      </c>
      <c r="BE1271" s="135" t="s">
        <v>870</v>
      </c>
      <c r="BF1271" s="135" t="s">
        <v>870</v>
      </c>
      <c r="BG1271" s="135" t="s">
        <v>64</v>
      </c>
      <c r="BH1271" s="135"/>
      <c r="BI1271" s="314" t="s">
        <v>124</v>
      </c>
      <c r="BJ1271" s="314" t="s">
        <v>138</v>
      </c>
      <c r="BK1271" s="24"/>
      <c r="BL1271" s="24"/>
      <c r="BM1271" s="24"/>
      <c r="BN1271" s="24"/>
      <c r="BO1271" s="24"/>
      <c r="BP1271" s="24"/>
      <c r="BQ1271" s="24"/>
      <c r="BR1271" s="43"/>
      <c r="BS1271" s="24"/>
      <c r="BT1271" s="24"/>
      <c r="BU1271" s="24"/>
      <c r="BV1271" s="132" t="e">
        <f>IF(#REF!="COMPLETO","OK","PENDIENTES")</f>
        <v>#REF!</v>
      </c>
      <c r="BW1271" s="325"/>
      <c r="BX1271" s="325"/>
      <c r="BY1271" s="325"/>
      <c r="BZ1271" s="325"/>
      <c r="CA1271" s="325"/>
      <c r="CB1271" s="325"/>
      <c r="CC1271" s="258"/>
      <c r="CG1271" s="24" t="s">
        <v>105</v>
      </c>
      <c r="CH1271" s="24"/>
      <c r="CI1271" s="24"/>
      <c r="CJ1271" s="24"/>
    </row>
    <row r="1272" spans="1:88" ht="15" customHeight="1">
      <c r="A1272" s="18">
        <v>2020</v>
      </c>
      <c r="B1272" s="18" t="str">
        <f>+INDEX(BDD!F:F,MATCH(P1272,BDD!D:D,0))&amp;"-"&amp;INDEX(BDD!E:E,MATCH(P1272,BDD!D:D,0))</f>
        <v>O-S</v>
      </c>
      <c r="C1272" s="125" t="s">
        <v>484</v>
      </c>
      <c r="D1272" s="150" t="s">
        <v>77</v>
      </c>
      <c r="E1272" s="132"/>
      <c r="F1272" s="24"/>
      <c r="G1272" s="346">
        <v>8000001075</v>
      </c>
      <c r="H1272" s="125" t="s">
        <v>4924</v>
      </c>
      <c r="I1272" s="329"/>
      <c r="J1272" s="346">
        <v>8000001075</v>
      </c>
      <c r="K1272" s="24"/>
      <c r="L1272" s="24"/>
      <c r="M1272" s="24"/>
      <c r="N1272" s="340" t="s">
        <v>486</v>
      </c>
      <c r="O1272" s="334">
        <v>204750</v>
      </c>
      <c r="P1272" s="25" t="s">
        <v>390</v>
      </c>
      <c r="Q1272" s="127" t="s">
        <v>303</v>
      </c>
      <c r="R1272" s="232" t="s">
        <v>4925</v>
      </c>
      <c r="S1272" s="89">
        <v>44150</v>
      </c>
      <c r="T1272" s="36" t="s">
        <v>19</v>
      </c>
      <c r="U1272" s="125"/>
      <c r="V1272" s="147" t="s">
        <v>4926</v>
      </c>
      <c r="W1272" s="129"/>
      <c r="X1272" s="88">
        <v>44190</v>
      </c>
      <c r="Y1272" s="130" t="s">
        <v>20</v>
      </c>
      <c r="Z1272" s="133" t="s">
        <v>60</v>
      </c>
      <c r="AA1272" s="133"/>
      <c r="AB1272" s="241">
        <v>110</v>
      </c>
      <c r="AC1272" s="134">
        <f>374.5+7</f>
        <v>381.5</v>
      </c>
      <c r="AD1272" s="134"/>
      <c r="AE1272" s="403">
        <f t="shared" si="69"/>
        <v>41965</v>
      </c>
      <c r="AF1272" s="132">
        <v>5</v>
      </c>
      <c r="AG1272" s="130" t="s">
        <v>5</v>
      </c>
      <c r="AH1272" s="130"/>
      <c r="AI1272" s="130" t="s">
        <v>47</v>
      </c>
      <c r="AJ1272" s="130"/>
      <c r="AK1272" s="130"/>
      <c r="AL1272" s="135" t="s">
        <v>4788</v>
      </c>
      <c r="AM1272" s="314"/>
      <c r="AN1272" s="26"/>
      <c r="AO1272" s="26"/>
      <c r="AP1272" s="26"/>
      <c r="AQ1272" s="26">
        <v>44187</v>
      </c>
      <c r="AR1272" s="24"/>
      <c r="AS1272" s="24"/>
      <c r="AT1272" s="24">
        <v>44201</v>
      </c>
      <c r="AU1272" s="418">
        <f t="shared" si="70"/>
        <v>1</v>
      </c>
      <c r="AV1272" s="418">
        <f t="shared" si="71"/>
        <v>2021</v>
      </c>
      <c r="AW1272" s="24"/>
      <c r="AX1272" s="28"/>
      <c r="AY1272" s="28" t="s">
        <v>3415</v>
      </c>
      <c r="AZ1272" s="132" t="s">
        <v>9</v>
      </c>
      <c r="BA1272" s="132"/>
      <c r="BB1272" s="24" t="s">
        <v>3264</v>
      </c>
      <c r="BC1272" s="135" t="s">
        <v>4927</v>
      </c>
      <c r="BD1272" s="24">
        <v>44183</v>
      </c>
      <c r="BE1272" s="135" t="s">
        <v>3640</v>
      </c>
      <c r="BF1272" s="135" t="s">
        <v>3640</v>
      </c>
      <c r="BG1272" s="135" t="s">
        <v>64</v>
      </c>
      <c r="BH1272" s="135"/>
      <c r="BI1272" s="314" t="s">
        <v>124</v>
      </c>
      <c r="BJ1272" s="314" t="s">
        <v>138</v>
      </c>
      <c r="BK1272" s="24"/>
      <c r="BL1272" s="24"/>
      <c r="BM1272" s="24"/>
      <c r="BN1272" s="24"/>
      <c r="BO1272" s="24">
        <v>44201</v>
      </c>
      <c r="BP1272" s="24"/>
      <c r="BQ1272" s="24"/>
      <c r="BR1272" s="43"/>
      <c r="BS1272" s="24"/>
      <c r="BT1272" s="24"/>
      <c r="BU1272" s="24"/>
      <c r="BV1272" s="132" t="e">
        <f>IF(#REF!="COMPLETO","OK","PENDIENTES")</f>
        <v>#REF!</v>
      </c>
      <c r="BW1272" s="325"/>
      <c r="BX1272" s="325"/>
      <c r="BY1272" s="325"/>
      <c r="BZ1272" s="325"/>
      <c r="CA1272" s="325"/>
      <c r="CB1272" s="325"/>
      <c r="CC1272" s="258"/>
      <c r="CG1272" s="24" t="s">
        <v>105</v>
      </c>
      <c r="CH1272" s="24"/>
      <c r="CI1272" s="24"/>
      <c r="CJ1272" s="24"/>
    </row>
    <row r="1273" spans="1:88" ht="15" customHeight="1">
      <c r="A1273" s="18">
        <v>2020</v>
      </c>
      <c r="B1273" s="18" t="str">
        <f>+INDEX(BDD!F:F,MATCH(P1273,BDD!D:D,0))&amp;"-"&amp;INDEX(BDD!E:E,MATCH(P1273,BDD!D:D,0))</f>
        <v>O-S</v>
      </c>
      <c r="C1273" s="125" t="s">
        <v>484</v>
      </c>
      <c r="D1273" s="150" t="s">
        <v>77</v>
      </c>
      <c r="E1273" s="132"/>
      <c r="F1273" s="24"/>
      <c r="G1273" s="346">
        <v>8000001076</v>
      </c>
      <c r="H1273" s="125" t="s">
        <v>4928</v>
      </c>
      <c r="I1273" s="329"/>
      <c r="J1273" s="346">
        <v>8000001076</v>
      </c>
      <c r="K1273" s="24"/>
      <c r="L1273" s="24"/>
      <c r="M1273" s="24"/>
      <c r="N1273" s="340" t="s">
        <v>486</v>
      </c>
      <c r="O1273" s="334">
        <v>204750</v>
      </c>
      <c r="P1273" s="25" t="s">
        <v>390</v>
      </c>
      <c r="Q1273" s="127" t="s">
        <v>303</v>
      </c>
      <c r="R1273" s="232" t="s">
        <v>4929</v>
      </c>
      <c r="S1273" s="89">
        <v>44150</v>
      </c>
      <c r="T1273" s="36" t="s">
        <v>19</v>
      </c>
      <c r="U1273" s="125"/>
      <c r="V1273" s="147" t="s">
        <v>4930</v>
      </c>
      <c r="W1273" s="129"/>
      <c r="X1273" s="88">
        <v>44213</v>
      </c>
      <c r="Y1273" s="130" t="s">
        <v>20</v>
      </c>
      <c r="Z1273" s="133" t="s">
        <v>60</v>
      </c>
      <c r="AA1273" s="133"/>
      <c r="AB1273" s="241">
        <v>1210</v>
      </c>
      <c r="AC1273" s="134">
        <f>386.5+7</f>
        <v>393.5</v>
      </c>
      <c r="AD1273" s="134"/>
      <c r="AE1273" s="403">
        <f t="shared" si="69"/>
        <v>476135</v>
      </c>
      <c r="AF1273" s="132">
        <v>55</v>
      </c>
      <c r="AG1273" s="130" t="s">
        <v>5</v>
      </c>
      <c r="AH1273" s="130"/>
      <c r="AI1273" s="130" t="s">
        <v>47</v>
      </c>
      <c r="AJ1273" s="130"/>
      <c r="AK1273" s="130"/>
      <c r="AL1273" s="135" t="s">
        <v>4788</v>
      </c>
      <c r="AM1273" s="314"/>
      <c r="AN1273" s="26"/>
      <c r="AO1273" s="26"/>
      <c r="AP1273" s="26"/>
      <c r="AQ1273" s="26">
        <v>44208</v>
      </c>
      <c r="AR1273" s="24"/>
      <c r="AS1273" s="24"/>
      <c r="AT1273" s="24">
        <v>44226</v>
      </c>
      <c r="AU1273" s="418">
        <f t="shared" si="70"/>
        <v>1</v>
      </c>
      <c r="AV1273" s="418">
        <f t="shared" si="71"/>
        <v>2021</v>
      </c>
      <c r="AW1273" s="24"/>
      <c r="AX1273" s="28"/>
      <c r="AY1273" s="28" t="s">
        <v>3415</v>
      </c>
      <c r="AZ1273" s="132" t="s">
        <v>62</v>
      </c>
      <c r="BA1273" s="132"/>
      <c r="BB1273" s="24" t="s">
        <v>4001</v>
      </c>
      <c r="BC1273" s="135" t="s">
        <v>4931</v>
      </c>
      <c r="BD1273" s="24">
        <v>44183</v>
      </c>
      <c r="BE1273" s="135" t="s">
        <v>3640</v>
      </c>
      <c r="BF1273" s="135" t="s">
        <v>3640</v>
      </c>
      <c r="BG1273" s="135" t="s">
        <v>29</v>
      </c>
      <c r="BH1273" s="135"/>
      <c r="BI1273" s="314" t="s">
        <v>124</v>
      </c>
      <c r="BJ1273" s="314" t="s">
        <v>148</v>
      </c>
      <c r="BK1273" s="24"/>
      <c r="BL1273" s="24"/>
      <c r="BM1273" s="24"/>
      <c r="BN1273" s="24"/>
      <c r="BO1273" s="24">
        <v>44228</v>
      </c>
      <c r="BP1273" s="24"/>
      <c r="BQ1273" s="24"/>
      <c r="BR1273" s="43"/>
      <c r="BS1273" s="24"/>
      <c r="BT1273" s="24"/>
      <c r="BU1273" s="24"/>
      <c r="BV1273" s="132" t="e">
        <f>IF(#REF!="COMPLETO","OK","PENDIENTES")</f>
        <v>#REF!</v>
      </c>
      <c r="BW1273" s="325"/>
      <c r="BX1273" s="325"/>
      <c r="BY1273" s="325"/>
      <c r="BZ1273" s="325"/>
      <c r="CA1273" s="325"/>
      <c r="CB1273" s="325"/>
      <c r="CC1273" s="258"/>
      <c r="CG1273" s="24" t="s">
        <v>105</v>
      </c>
      <c r="CH1273" s="24"/>
      <c r="CI1273" s="24"/>
      <c r="CJ1273" s="24"/>
    </row>
    <row r="1274" spans="1:88" ht="15" customHeight="1">
      <c r="A1274" s="18">
        <v>2020</v>
      </c>
      <c r="B1274" s="18" t="str">
        <f>+INDEX(BDD!F:F,MATCH(P1274,BDD!D:D,0))&amp;"-"&amp;INDEX(BDD!E:E,MATCH(P1274,BDD!D:D,0))</f>
        <v>S-P</v>
      </c>
      <c r="C1274" s="125" t="s">
        <v>484</v>
      </c>
      <c r="D1274" s="150" t="s">
        <v>77</v>
      </c>
      <c r="E1274" s="132"/>
      <c r="F1274" s="24"/>
      <c r="G1274" s="346">
        <v>8000001232</v>
      </c>
      <c r="H1274" s="125" t="s">
        <v>4932</v>
      </c>
      <c r="I1274" s="329"/>
      <c r="J1274" s="346">
        <v>8000001232</v>
      </c>
      <c r="K1274" s="24"/>
      <c r="L1274" s="24"/>
      <c r="M1274" s="24"/>
      <c r="N1274" s="340" t="s">
        <v>486</v>
      </c>
      <c r="O1274" s="334">
        <v>207499</v>
      </c>
      <c r="P1274" s="25" t="s">
        <v>343</v>
      </c>
      <c r="Q1274" s="127" t="s">
        <v>297</v>
      </c>
      <c r="R1274" s="232" t="s">
        <v>4933</v>
      </c>
      <c r="S1274" s="89">
        <v>44140</v>
      </c>
      <c r="T1274" s="36">
        <v>90</v>
      </c>
      <c r="U1274" s="125" t="s">
        <v>118</v>
      </c>
      <c r="V1274" s="147" t="s">
        <v>4934</v>
      </c>
      <c r="W1274" s="129"/>
      <c r="X1274" s="88">
        <v>44284</v>
      </c>
      <c r="Y1274" s="130" t="s">
        <v>20</v>
      </c>
      <c r="Z1274" s="133" t="s">
        <v>72</v>
      </c>
      <c r="AA1274" s="133"/>
      <c r="AB1274" s="241">
        <v>162</v>
      </c>
      <c r="AC1274" s="134">
        <v>519</v>
      </c>
      <c r="AD1274" s="134"/>
      <c r="AE1274" s="403">
        <f t="shared" si="69"/>
        <v>84078</v>
      </c>
      <c r="AF1274" s="132">
        <v>6</v>
      </c>
      <c r="AG1274" s="130" t="s">
        <v>5</v>
      </c>
      <c r="AH1274" s="130"/>
      <c r="AI1274" s="130" t="s">
        <v>34</v>
      </c>
      <c r="AJ1274" s="130"/>
      <c r="AK1274" s="130"/>
      <c r="AL1274" s="135" t="s">
        <v>4935</v>
      </c>
      <c r="AM1274" s="314"/>
      <c r="AN1274" s="26"/>
      <c r="AO1274" s="26"/>
      <c r="AP1274" s="26"/>
      <c r="AQ1274" s="26">
        <v>44232</v>
      </c>
      <c r="AR1274" s="24"/>
      <c r="AS1274" s="24"/>
      <c r="AT1274" s="24">
        <v>44242</v>
      </c>
      <c r="AU1274" s="418">
        <f t="shared" si="70"/>
        <v>2</v>
      </c>
      <c r="AV1274" s="418">
        <f t="shared" si="71"/>
        <v>2021</v>
      </c>
      <c r="AW1274" s="24"/>
      <c r="AX1274" s="24"/>
      <c r="AY1274" s="24" t="s">
        <v>4937</v>
      </c>
      <c r="AZ1274" s="132" t="s">
        <v>9</v>
      </c>
      <c r="BA1274" s="132"/>
      <c r="BB1274" s="24" t="s">
        <v>3264</v>
      </c>
      <c r="BC1274" s="135" t="s">
        <v>4936</v>
      </c>
      <c r="BD1274" s="24">
        <v>44193</v>
      </c>
      <c r="BE1274" s="135" t="s">
        <v>2947</v>
      </c>
      <c r="BF1274" s="135" t="s">
        <v>3872</v>
      </c>
      <c r="BG1274" s="135" t="s">
        <v>41</v>
      </c>
      <c r="BH1274" s="135"/>
      <c r="BI1274" s="314" t="s">
        <v>124</v>
      </c>
      <c r="BJ1274" s="314" t="s">
        <v>148</v>
      </c>
      <c r="BK1274" s="24"/>
      <c r="BL1274" s="24"/>
      <c r="BM1274" s="24"/>
      <c r="BN1274" s="24"/>
      <c r="BO1274" s="24"/>
      <c r="BP1274" s="24"/>
      <c r="BQ1274" s="24"/>
      <c r="BR1274" s="43"/>
      <c r="BS1274" s="24"/>
      <c r="BT1274" s="24"/>
      <c r="BU1274" s="24"/>
      <c r="BV1274" s="132" t="e">
        <f>IF(#REF!="COMPLETO","OK","PENDIENTES")</f>
        <v>#REF!</v>
      </c>
      <c r="BW1274" s="325"/>
      <c r="BX1274" s="325"/>
      <c r="BY1274" s="325"/>
      <c r="BZ1274" s="325"/>
      <c r="CA1274" s="325"/>
      <c r="CB1274" s="325"/>
      <c r="CC1274" s="258"/>
      <c r="CG1274" s="24" t="s">
        <v>105</v>
      </c>
      <c r="CH1274" s="24"/>
      <c r="CI1274" s="24"/>
      <c r="CJ1274" s="24"/>
    </row>
    <row r="1275" spans="1:88" ht="15" customHeight="1">
      <c r="A1275" s="18">
        <v>2020</v>
      </c>
      <c r="B1275" s="18" t="str">
        <f>+INDEX(BDD!F:F,MATCH(P1275,BDD!D:D,0))&amp;"-"&amp;INDEX(BDD!E:E,MATCH(P1275,BDD!D:D,0))</f>
        <v>T-S</v>
      </c>
      <c r="C1275" s="125" t="s">
        <v>484</v>
      </c>
      <c r="D1275" s="150" t="s">
        <v>77</v>
      </c>
      <c r="E1275" s="132"/>
      <c r="F1275" s="24"/>
      <c r="G1275" s="346">
        <v>8000001115</v>
      </c>
      <c r="H1275" s="125" t="s">
        <v>4938</v>
      </c>
      <c r="I1275" s="329"/>
      <c r="J1275" s="346">
        <v>8000001115</v>
      </c>
      <c r="K1275" s="24"/>
      <c r="L1275" s="24"/>
      <c r="M1275" s="24"/>
      <c r="N1275" s="340" t="s">
        <v>486</v>
      </c>
      <c r="O1275" s="334">
        <v>208067</v>
      </c>
      <c r="P1275" s="25" t="s">
        <v>383</v>
      </c>
      <c r="Q1275" s="127" t="s">
        <v>303</v>
      </c>
      <c r="R1275" s="232" t="s">
        <v>4939</v>
      </c>
      <c r="S1275" s="89"/>
      <c r="T1275" s="36">
        <v>30</v>
      </c>
      <c r="U1275" s="125" t="s">
        <v>131</v>
      </c>
      <c r="V1275" s="147" t="s">
        <v>4940</v>
      </c>
      <c r="W1275" s="129"/>
      <c r="X1275" s="88">
        <v>44195</v>
      </c>
      <c r="Y1275" s="130" t="s">
        <v>20</v>
      </c>
      <c r="Z1275" s="133" t="s">
        <v>60</v>
      </c>
      <c r="AA1275" s="133"/>
      <c r="AB1275" s="241">
        <v>750</v>
      </c>
      <c r="AC1275" s="134">
        <v>242.07</v>
      </c>
      <c r="AD1275" s="134"/>
      <c r="AE1275" s="403">
        <f t="shared" si="69"/>
        <v>181552.5</v>
      </c>
      <c r="AF1275" s="132">
        <v>30</v>
      </c>
      <c r="AG1275" s="130" t="s">
        <v>5</v>
      </c>
      <c r="AH1275" s="130"/>
      <c r="AI1275" s="130" t="s">
        <v>34</v>
      </c>
      <c r="AJ1275" s="130"/>
      <c r="AK1275" s="130"/>
      <c r="AL1275" s="135" t="s">
        <v>4604</v>
      </c>
      <c r="AM1275" s="314"/>
      <c r="AN1275" s="26"/>
      <c r="AO1275" s="26"/>
      <c r="AP1275" s="26"/>
      <c r="AQ1275" s="26">
        <v>44167</v>
      </c>
      <c r="AR1275" s="24"/>
      <c r="AS1275" s="24"/>
      <c r="AT1275" s="24">
        <v>44181</v>
      </c>
      <c r="AU1275" s="418">
        <f t="shared" si="70"/>
        <v>12</v>
      </c>
      <c r="AV1275" s="418">
        <f t="shared" si="71"/>
        <v>2020</v>
      </c>
      <c r="AW1275" s="24"/>
      <c r="AX1275" s="24"/>
      <c r="AY1275" s="24" t="s">
        <v>3415</v>
      </c>
      <c r="AZ1275" s="132" t="s">
        <v>9</v>
      </c>
      <c r="BA1275" s="132"/>
      <c r="BB1275" s="24" t="s">
        <v>3264</v>
      </c>
      <c r="BC1275" s="135" t="s">
        <v>4941</v>
      </c>
      <c r="BD1275" s="24">
        <v>44162</v>
      </c>
      <c r="BE1275" s="135" t="s">
        <v>1806</v>
      </c>
      <c r="BF1275" s="135" t="s">
        <v>1806</v>
      </c>
      <c r="BG1275" s="135" t="s">
        <v>64</v>
      </c>
      <c r="BH1275" s="135"/>
      <c r="BI1275" s="314" t="s">
        <v>124</v>
      </c>
      <c r="BJ1275" s="314" t="s">
        <v>138</v>
      </c>
      <c r="BK1275" s="24"/>
      <c r="BL1275" s="24"/>
      <c r="BM1275" s="24"/>
      <c r="BN1275" s="24"/>
      <c r="BO1275" s="24">
        <v>44187</v>
      </c>
      <c r="BP1275" s="24"/>
      <c r="BQ1275" s="24"/>
      <c r="BR1275" s="43"/>
      <c r="BS1275" s="24"/>
      <c r="BT1275" s="24"/>
      <c r="BU1275" s="24"/>
      <c r="BV1275" s="132" t="e">
        <f>IF(#REF!="COMPLETO","OK","PENDIENTES")</f>
        <v>#REF!</v>
      </c>
      <c r="BW1275" s="325"/>
      <c r="BX1275" s="325"/>
      <c r="BY1275" s="325"/>
      <c r="BZ1275" s="325"/>
      <c r="CA1275" s="325"/>
      <c r="CB1275" s="325"/>
      <c r="CC1275" s="258" t="s">
        <v>4942</v>
      </c>
      <c r="CG1275" s="24" t="s">
        <v>105</v>
      </c>
      <c r="CH1275" s="24"/>
      <c r="CI1275" s="24"/>
      <c r="CJ1275" s="24"/>
    </row>
    <row r="1276" spans="1:88" ht="15" customHeight="1">
      <c r="A1276" s="18">
        <v>2020</v>
      </c>
      <c r="B1276" s="18" t="str">
        <f>+INDEX(BDD!F:F,MATCH(P1276,BDD!D:D,0))&amp;"-"&amp;INDEX(BDD!E:E,MATCH(P1276,BDD!D:D,0))</f>
        <v>T-S</v>
      </c>
      <c r="C1276" s="125" t="s">
        <v>484</v>
      </c>
      <c r="D1276" s="150" t="s">
        <v>77</v>
      </c>
      <c r="E1276" s="132"/>
      <c r="F1276" s="24"/>
      <c r="G1276" s="346">
        <v>8000001106</v>
      </c>
      <c r="H1276" s="125" t="s">
        <v>4943</v>
      </c>
      <c r="I1276" s="329"/>
      <c r="J1276" s="346">
        <v>8000001106</v>
      </c>
      <c r="K1276" s="24"/>
      <c r="L1276" s="24"/>
      <c r="M1276" s="24"/>
      <c r="N1276" s="340" t="s">
        <v>486</v>
      </c>
      <c r="O1276" s="334">
        <v>208067</v>
      </c>
      <c r="P1276" s="25" t="s">
        <v>383</v>
      </c>
      <c r="Q1276" s="127" t="s">
        <v>303</v>
      </c>
      <c r="R1276" s="232" t="s">
        <v>4944</v>
      </c>
      <c r="S1276" s="89"/>
      <c r="T1276" s="36">
        <v>30</v>
      </c>
      <c r="U1276" s="125" t="s">
        <v>131</v>
      </c>
      <c r="V1276" s="147" t="s">
        <v>4945</v>
      </c>
      <c r="W1276" s="129"/>
      <c r="X1276" s="88">
        <v>44195</v>
      </c>
      <c r="Y1276" s="130" t="s">
        <v>20</v>
      </c>
      <c r="Z1276" s="133" t="s">
        <v>60</v>
      </c>
      <c r="AA1276" s="133"/>
      <c r="AB1276" s="241">
        <v>300</v>
      </c>
      <c r="AC1276" s="134">
        <v>242.07</v>
      </c>
      <c r="AD1276" s="134"/>
      <c r="AE1276" s="403">
        <f t="shared" si="69"/>
        <v>72621</v>
      </c>
      <c r="AF1276" s="132">
        <v>12</v>
      </c>
      <c r="AG1276" s="130" t="s">
        <v>5</v>
      </c>
      <c r="AH1276" s="130"/>
      <c r="AI1276" s="130" t="s">
        <v>34</v>
      </c>
      <c r="AJ1276" s="130"/>
      <c r="AK1276" s="130"/>
      <c r="AL1276" s="135" t="s">
        <v>4604</v>
      </c>
      <c r="AM1276" s="314"/>
      <c r="AN1276" s="26"/>
      <c r="AO1276" s="26"/>
      <c r="AP1276" s="26"/>
      <c r="AQ1276" s="26">
        <v>44167</v>
      </c>
      <c r="AR1276" s="24"/>
      <c r="AS1276" s="24"/>
      <c r="AT1276" s="24">
        <v>44176</v>
      </c>
      <c r="AU1276" s="418">
        <f t="shared" si="70"/>
        <v>12</v>
      </c>
      <c r="AV1276" s="418">
        <f t="shared" si="71"/>
        <v>2020</v>
      </c>
      <c r="AW1276" s="24"/>
      <c r="AX1276" s="24"/>
      <c r="AY1276" s="24" t="s">
        <v>3415</v>
      </c>
      <c r="AZ1276" s="132" t="s">
        <v>9</v>
      </c>
      <c r="BA1276" s="132"/>
      <c r="BB1276" s="24" t="s">
        <v>2956</v>
      </c>
      <c r="BC1276" s="135" t="s">
        <v>4946</v>
      </c>
      <c r="BD1276" s="24">
        <v>44162</v>
      </c>
      <c r="BE1276" s="135" t="s">
        <v>1806</v>
      </c>
      <c r="BF1276" s="135" t="s">
        <v>1806</v>
      </c>
      <c r="BG1276" s="135" t="s">
        <v>29</v>
      </c>
      <c r="BH1276" s="135"/>
      <c r="BI1276" s="314" t="s">
        <v>124</v>
      </c>
      <c r="BJ1276" s="314" t="s">
        <v>148</v>
      </c>
      <c r="BK1276" s="24"/>
      <c r="BL1276" s="24"/>
      <c r="BM1276" s="24"/>
      <c r="BN1276" s="24"/>
      <c r="BO1276" s="24"/>
      <c r="BP1276" s="24"/>
      <c r="BQ1276" s="24"/>
      <c r="BR1276" s="43"/>
      <c r="BS1276" s="24"/>
      <c r="BT1276" s="24"/>
      <c r="BU1276" s="24"/>
      <c r="BV1276" s="132" t="e">
        <f>IF(#REF!="COMPLETO","OK","PENDIENTES")</f>
        <v>#REF!</v>
      </c>
      <c r="BW1276" s="325"/>
      <c r="BX1276" s="325"/>
      <c r="BY1276" s="325"/>
      <c r="BZ1276" s="325"/>
      <c r="CA1276" s="325"/>
      <c r="CB1276" s="325"/>
      <c r="CC1276" s="258" t="s">
        <v>4942</v>
      </c>
      <c r="CG1276" s="24" t="s">
        <v>105</v>
      </c>
      <c r="CH1276" s="24"/>
      <c r="CI1276" s="24"/>
      <c r="CJ1276" s="24"/>
    </row>
    <row r="1277" spans="1:88" ht="15" customHeight="1">
      <c r="A1277" s="18">
        <v>2020</v>
      </c>
      <c r="B1277" s="18" t="str">
        <f>+INDEX(BDD!F:F,MATCH(P1277,BDD!D:D,0))&amp;"-"&amp;INDEX(BDD!E:E,MATCH(P1277,BDD!D:D,0))</f>
        <v>T-S</v>
      </c>
      <c r="C1277" s="125" t="s">
        <v>484</v>
      </c>
      <c r="D1277" s="150" t="s">
        <v>77</v>
      </c>
      <c r="E1277" s="132"/>
      <c r="F1277" s="24"/>
      <c r="G1277" s="346">
        <v>8000001107</v>
      </c>
      <c r="H1277" s="125" t="s">
        <v>4947</v>
      </c>
      <c r="I1277" s="329"/>
      <c r="J1277" s="346">
        <v>8000001107</v>
      </c>
      <c r="K1277" s="24"/>
      <c r="L1277" s="24"/>
      <c r="M1277" s="24"/>
      <c r="N1277" s="340" t="s">
        <v>486</v>
      </c>
      <c r="O1277" s="334">
        <v>208067</v>
      </c>
      <c r="P1277" s="25" t="s">
        <v>383</v>
      </c>
      <c r="Q1277" s="127" t="s">
        <v>303</v>
      </c>
      <c r="R1277" s="232" t="s">
        <v>4948</v>
      </c>
      <c r="S1277" s="89"/>
      <c r="T1277" s="36">
        <v>30</v>
      </c>
      <c r="U1277" s="125" t="s">
        <v>131</v>
      </c>
      <c r="V1277" s="147" t="s">
        <v>4949</v>
      </c>
      <c r="W1277" s="129"/>
      <c r="X1277" s="88">
        <v>44195</v>
      </c>
      <c r="Y1277" s="130" t="s">
        <v>20</v>
      </c>
      <c r="Z1277" s="133" t="s">
        <v>60</v>
      </c>
      <c r="AA1277" s="133"/>
      <c r="AB1277" s="241">
        <v>150</v>
      </c>
      <c r="AC1277" s="134">
        <v>242.07</v>
      </c>
      <c r="AD1277" s="134"/>
      <c r="AE1277" s="403">
        <f t="shared" si="69"/>
        <v>36310.5</v>
      </c>
      <c r="AF1277" s="132">
        <v>6</v>
      </c>
      <c r="AG1277" s="130" t="s">
        <v>5</v>
      </c>
      <c r="AH1277" s="130"/>
      <c r="AI1277" s="130" t="s">
        <v>34</v>
      </c>
      <c r="AJ1277" s="130"/>
      <c r="AK1277" s="130"/>
      <c r="AL1277" s="135" t="s">
        <v>4604</v>
      </c>
      <c r="AM1277" s="314"/>
      <c r="AN1277" s="26"/>
      <c r="AO1277" s="26"/>
      <c r="AP1277" s="26"/>
      <c r="AQ1277" s="26">
        <v>44167</v>
      </c>
      <c r="AR1277" s="24"/>
      <c r="AS1277" s="24"/>
      <c r="AT1277" s="24">
        <v>44172</v>
      </c>
      <c r="AU1277" s="418">
        <f t="shared" si="70"/>
        <v>12</v>
      </c>
      <c r="AV1277" s="418">
        <f t="shared" si="71"/>
        <v>2020</v>
      </c>
      <c r="AW1277" s="24"/>
      <c r="AX1277" s="24"/>
      <c r="AY1277" s="24" t="s">
        <v>3415</v>
      </c>
      <c r="AZ1277" s="132" t="s">
        <v>9</v>
      </c>
      <c r="BA1277" s="132"/>
      <c r="BB1277" s="24" t="s">
        <v>2956</v>
      </c>
      <c r="BC1277" s="135" t="s">
        <v>4950</v>
      </c>
      <c r="BD1277" s="24">
        <v>44162</v>
      </c>
      <c r="BE1277" s="135" t="s">
        <v>1806</v>
      </c>
      <c r="BF1277" s="135" t="s">
        <v>1806</v>
      </c>
      <c r="BG1277" s="135" t="s">
        <v>29</v>
      </c>
      <c r="BH1277" s="135"/>
      <c r="BI1277" s="314" t="s">
        <v>124</v>
      </c>
      <c r="BJ1277" s="314" t="s">
        <v>148</v>
      </c>
      <c r="BK1277" s="24"/>
      <c r="BL1277" s="24"/>
      <c r="BM1277" s="24"/>
      <c r="BN1277" s="24"/>
      <c r="BO1277" s="24"/>
      <c r="BP1277" s="24"/>
      <c r="BQ1277" s="24"/>
      <c r="BR1277" s="43"/>
      <c r="BS1277" s="24"/>
      <c r="BT1277" s="24"/>
      <c r="BU1277" s="24"/>
      <c r="BV1277" s="132" t="e">
        <f>IF(#REF!="COMPLETO","OK","PENDIENTES")</f>
        <v>#REF!</v>
      </c>
      <c r="BW1277" s="325"/>
      <c r="BX1277" s="325"/>
      <c r="BY1277" s="325"/>
      <c r="BZ1277" s="325"/>
      <c r="CA1277" s="325"/>
      <c r="CB1277" s="325"/>
      <c r="CC1277" s="258" t="s">
        <v>4942</v>
      </c>
      <c r="CG1277" s="24" t="s">
        <v>105</v>
      </c>
      <c r="CH1277" s="24"/>
      <c r="CI1277" s="24"/>
      <c r="CJ1277" s="24"/>
    </row>
    <row r="1278" spans="1:88" ht="15" customHeight="1">
      <c r="A1278" s="18">
        <v>2020</v>
      </c>
      <c r="B1278" s="18" t="str">
        <f>+INDEX(BDD!F:F,MATCH(P1278,BDD!D:D,0))&amp;"-"&amp;INDEX(BDD!E:E,MATCH(P1278,BDD!D:D,0))</f>
        <v>T-S</v>
      </c>
      <c r="C1278" s="125" t="s">
        <v>484</v>
      </c>
      <c r="D1278" s="150" t="s">
        <v>77</v>
      </c>
      <c r="E1278" s="132"/>
      <c r="F1278" s="24"/>
      <c r="G1278" s="346">
        <v>8000001103</v>
      </c>
      <c r="H1278" s="125" t="s">
        <v>4951</v>
      </c>
      <c r="I1278" s="329"/>
      <c r="J1278" s="346">
        <v>8000001103</v>
      </c>
      <c r="K1278" s="24"/>
      <c r="L1278" s="24"/>
      <c r="M1278" s="24"/>
      <c r="N1278" s="340" t="s">
        <v>486</v>
      </c>
      <c r="O1278" s="334">
        <v>208067</v>
      </c>
      <c r="P1278" s="25" t="s">
        <v>383</v>
      </c>
      <c r="Q1278" s="127" t="s">
        <v>303</v>
      </c>
      <c r="R1278" s="232" t="s">
        <v>4952</v>
      </c>
      <c r="S1278" s="89"/>
      <c r="T1278" s="36">
        <v>30</v>
      </c>
      <c r="U1278" s="125" t="s">
        <v>131</v>
      </c>
      <c r="V1278" s="147" t="s">
        <v>4953</v>
      </c>
      <c r="W1278" s="129"/>
      <c r="X1278" s="88">
        <v>44192</v>
      </c>
      <c r="Y1278" s="130" t="s">
        <v>20</v>
      </c>
      <c r="Z1278" s="133" t="s">
        <v>60</v>
      </c>
      <c r="AA1278" s="133"/>
      <c r="AB1278" s="241">
        <v>750</v>
      </c>
      <c r="AC1278" s="134">
        <v>242.07</v>
      </c>
      <c r="AD1278" s="134"/>
      <c r="AE1278" s="403">
        <f t="shared" si="69"/>
        <v>181552.5</v>
      </c>
      <c r="AF1278" s="132">
        <v>30</v>
      </c>
      <c r="AG1278" s="130" t="s">
        <v>5</v>
      </c>
      <c r="AH1278" s="130"/>
      <c r="AI1278" s="130" t="s">
        <v>34</v>
      </c>
      <c r="AJ1278" s="130"/>
      <c r="AK1278" s="130"/>
      <c r="AL1278" s="135" t="s">
        <v>4604</v>
      </c>
      <c r="AM1278" s="314"/>
      <c r="AN1278" s="26"/>
      <c r="AO1278" s="26"/>
      <c r="AP1278" s="26"/>
      <c r="AQ1278" s="26">
        <v>44168</v>
      </c>
      <c r="AR1278" s="24"/>
      <c r="AS1278" s="24"/>
      <c r="AT1278" s="24">
        <v>44179</v>
      </c>
      <c r="AU1278" s="418">
        <f t="shared" si="70"/>
        <v>12</v>
      </c>
      <c r="AV1278" s="418">
        <f t="shared" si="71"/>
        <v>2020</v>
      </c>
      <c r="AW1278" s="24"/>
      <c r="AX1278" s="24"/>
      <c r="AY1278" s="24" t="s">
        <v>3415</v>
      </c>
      <c r="AZ1278" s="132" t="s">
        <v>37</v>
      </c>
      <c r="BA1278" s="132"/>
      <c r="BB1278" s="24" t="s">
        <v>3593</v>
      </c>
      <c r="BC1278" s="135" t="s">
        <v>4954</v>
      </c>
      <c r="BD1278" s="24">
        <v>44160</v>
      </c>
      <c r="BE1278" s="135" t="s">
        <v>579</v>
      </c>
      <c r="BF1278" s="135" t="s">
        <v>579</v>
      </c>
      <c r="BG1278" s="135" t="s">
        <v>29</v>
      </c>
      <c r="BH1278" s="135"/>
      <c r="BI1278" s="314" t="s">
        <v>124</v>
      </c>
      <c r="BJ1278" s="314" t="s">
        <v>148</v>
      </c>
      <c r="BK1278" s="24"/>
      <c r="BL1278" s="24"/>
      <c r="BM1278" s="24"/>
      <c r="BN1278" s="24"/>
      <c r="BO1278" s="24"/>
      <c r="BP1278" s="24"/>
      <c r="BQ1278" s="24"/>
      <c r="BR1278" s="43"/>
      <c r="BS1278" s="24"/>
      <c r="BT1278" s="24"/>
      <c r="BU1278" s="24"/>
      <c r="BV1278" s="132" t="e">
        <f>IF(#REF!="COMPLETO","OK","PENDIENTES")</f>
        <v>#REF!</v>
      </c>
      <c r="BW1278" s="325"/>
      <c r="BX1278" s="325"/>
      <c r="BY1278" s="325"/>
      <c r="BZ1278" s="325"/>
      <c r="CA1278" s="325"/>
      <c r="CB1278" s="325"/>
      <c r="CC1278" s="258" t="s">
        <v>4942</v>
      </c>
      <c r="CG1278" s="24" t="s">
        <v>105</v>
      </c>
      <c r="CH1278" s="24"/>
      <c r="CI1278" s="24"/>
      <c r="CJ1278" s="24"/>
    </row>
    <row r="1279" spans="1:88" ht="15" customHeight="1">
      <c r="A1279" s="18">
        <v>2020</v>
      </c>
      <c r="B1279" s="18" t="str">
        <f>+INDEX(BDD!F:F,MATCH(P1279,BDD!D:D,0))&amp;"-"&amp;INDEX(BDD!E:E,MATCH(P1279,BDD!D:D,0))</f>
        <v>T-S</v>
      </c>
      <c r="C1279" s="125" t="s">
        <v>484</v>
      </c>
      <c r="D1279" s="150" t="s">
        <v>77</v>
      </c>
      <c r="E1279" s="132"/>
      <c r="F1279" s="24"/>
      <c r="G1279" s="346">
        <v>8000001085</v>
      </c>
      <c r="H1279" s="125" t="s">
        <v>4955</v>
      </c>
      <c r="I1279" s="329"/>
      <c r="J1279" s="346">
        <v>8000001085</v>
      </c>
      <c r="K1279" s="24"/>
      <c r="L1279" s="24"/>
      <c r="M1279" s="24"/>
      <c r="N1279" s="340" t="s">
        <v>486</v>
      </c>
      <c r="O1279" s="334">
        <v>208067</v>
      </c>
      <c r="P1279" s="25" t="s">
        <v>383</v>
      </c>
      <c r="Q1279" s="127" t="s">
        <v>303</v>
      </c>
      <c r="R1279" s="232" t="s">
        <v>4956</v>
      </c>
      <c r="S1279" s="89"/>
      <c r="T1279" s="36">
        <v>30</v>
      </c>
      <c r="U1279" s="125" t="s">
        <v>131</v>
      </c>
      <c r="V1279" s="147" t="s">
        <v>4957</v>
      </c>
      <c r="W1279" s="129"/>
      <c r="X1279" s="88">
        <v>44182</v>
      </c>
      <c r="Y1279" s="130" t="s">
        <v>20</v>
      </c>
      <c r="Z1279" s="133" t="s">
        <v>60</v>
      </c>
      <c r="AA1279" s="133"/>
      <c r="AB1279" s="241">
        <v>350</v>
      </c>
      <c r="AC1279" s="134">
        <v>242.07</v>
      </c>
      <c r="AD1279" s="134"/>
      <c r="AE1279" s="403">
        <f t="shared" si="69"/>
        <v>84724.5</v>
      </c>
      <c r="AF1279" s="132">
        <v>14</v>
      </c>
      <c r="AG1279" s="130" t="s">
        <v>5</v>
      </c>
      <c r="AH1279" s="130"/>
      <c r="AI1279" s="130" t="s">
        <v>34</v>
      </c>
      <c r="AJ1279" s="130"/>
      <c r="AK1279" s="130"/>
      <c r="AL1279" s="135" t="s">
        <v>4604</v>
      </c>
      <c r="AM1279" s="314"/>
      <c r="AN1279" s="26"/>
      <c r="AO1279" s="26"/>
      <c r="AP1279" s="26"/>
      <c r="AQ1279" s="26">
        <v>44154</v>
      </c>
      <c r="AR1279" s="24"/>
      <c r="AS1279" s="24"/>
      <c r="AT1279" s="24">
        <v>44165</v>
      </c>
      <c r="AU1279" s="418">
        <f t="shared" si="70"/>
        <v>11</v>
      </c>
      <c r="AV1279" s="418">
        <f t="shared" si="71"/>
        <v>2020</v>
      </c>
      <c r="AW1279" s="24"/>
      <c r="AX1279" s="24"/>
      <c r="AY1279" s="24" t="s">
        <v>3415</v>
      </c>
      <c r="AZ1279" s="132" t="s">
        <v>37</v>
      </c>
      <c r="BA1279" s="132"/>
      <c r="BB1279" s="24" t="s">
        <v>3593</v>
      </c>
      <c r="BC1279" s="135" t="s">
        <v>4958</v>
      </c>
      <c r="BD1279" s="24">
        <v>44146</v>
      </c>
      <c r="BE1279" s="135" t="s">
        <v>756</v>
      </c>
      <c r="BF1279" s="135" t="s">
        <v>756</v>
      </c>
      <c r="BG1279" s="135" t="s">
        <v>29</v>
      </c>
      <c r="BH1279" s="135"/>
      <c r="BI1279" s="314" t="s">
        <v>124</v>
      </c>
      <c r="BJ1279" s="314" t="s">
        <v>148</v>
      </c>
      <c r="BK1279" s="24"/>
      <c r="BL1279" s="24"/>
      <c r="BM1279" s="24"/>
      <c r="BN1279" s="24"/>
      <c r="BO1279" s="24"/>
      <c r="BP1279" s="24"/>
      <c r="BQ1279" s="24"/>
      <c r="BR1279" s="43"/>
      <c r="BS1279" s="24"/>
      <c r="BT1279" s="24"/>
      <c r="BU1279" s="24"/>
      <c r="BV1279" s="132" t="e">
        <f>IF(#REF!="COMPLETO","OK","PENDIENTES")</f>
        <v>#REF!</v>
      </c>
      <c r="BW1279" s="325"/>
      <c r="BX1279" s="325"/>
      <c r="BY1279" s="325"/>
      <c r="BZ1279" s="325"/>
      <c r="CA1279" s="325"/>
      <c r="CB1279" s="325"/>
      <c r="CC1279" s="258"/>
      <c r="CG1279" s="24" t="s">
        <v>105</v>
      </c>
      <c r="CH1279" s="24"/>
      <c r="CI1279" s="24"/>
      <c r="CJ1279" s="24"/>
    </row>
    <row r="1280" spans="1:88" ht="15" customHeight="1">
      <c r="A1280" s="18">
        <v>2020</v>
      </c>
      <c r="B1280" s="18" t="str">
        <f>+INDEX(BDD!F:F,MATCH(P1280,BDD!D:D,0))&amp;"-"&amp;INDEX(BDD!E:E,MATCH(P1280,BDD!D:D,0))</f>
        <v>T-S</v>
      </c>
      <c r="C1280" s="125" t="s">
        <v>484</v>
      </c>
      <c r="D1280" s="150" t="s">
        <v>77</v>
      </c>
      <c r="E1280" s="132"/>
      <c r="F1280" s="24"/>
      <c r="G1280" s="346">
        <v>8000001104</v>
      </c>
      <c r="H1280" s="125" t="s">
        <v>4959</v>
      </c>
      <c r="I1280" s="329"/>
      <c r="J1280" s="346">
        <v>8000001104</v>
      </c>
      <c r="K1280" s="24"/>
      <c r="L1280" s="24"/>
      <c r="M1280" s="24"/>
      <c r="N1280" s="340" t="s">
        <v>486</v>
      </c>
      <c r="O1280" s="334">
        <v>208067</v>
      </c>
      <c r="P1280" s="25" t="s">
        <v>383</v>
      </c>
      <c r="Q1280" s="127" t="s">
        <v>303</v>
      </c>
      <c r="R1280" s="232" t="s">
        <v>4960</v>
      </c>
      <c r="S1280" s="89"/>
      <c r="T1280" s="36">
        <v>30</v>
      </c>
      <c r="U1280" s="125" t="s">
        <v>131</v>
      </c>
      <c r="V1280" s="147" t="s">
        <v>4961</v>
      </c>
      <c r="W1280" s="129"/>
      <c r="X1280" s="88">
        <v>44195</v>
      </c>
      <c r="Y1280" s="130" t="s">
        <v>20</v>
      </c>
      <c r="Z1280" s="133" t="s">
        <v>60</v>
      </c>
      <c r="AA1280" s="133"/>
      <c r="AB1280" s="241">
        <v>175</v>
      </c>
      <c r="AC1280" s="134">
        <v>242.07</v>
      </c>
      <c r="AD1280" s="134"/>
      <c r="AE1280" s="403">
        <f t="shared" si="69"/>
        <v>42362.25</v>
      </c>
      <c r="AF1280" s="132">
        <v>7</v>
      </c>
      <c r="AG1280" s="130" t="s">
        <v>5</v>
      </c>
      <c r="AH1280" s="130"/>
      <c r="AI1280" s="130" t="s">
        <v>34</v>
      </c>
      <c r="AJ1280" s="130"/>
      <c r="AK1280" s="130"/>
      <c r="AL1280" s="135" t="s">
        <v>4604</v>
      </c>
      <c r="AM1280" s="314"/>
      <c r="AN1280" s="26"/>
      <c r="AO1280" s="26"/>
      <c r="AP1280" s="26"/>
      <c r="AQ1280" s="26">
        <v>44183</v>
      </c>
      <c r="AR1280" s="24"/>
      <c r="AS1280" s="24"/>
      <c r="AT1280" s="24">
        <v>44194</v>
      </c>
      <c r="AU1280" s="418">
        <f t="shared" si="70"/>
        <v>12</v>
      </c>
      <c r="AV1280" s="418">
        <f t="shared" si="71"/>
        <v>2020</v>
      </c>
      <c r="AW1280" s="24"/>
      <c r="AX1280" s="24"/>
      <c r="AY1280" s="24" t="s">
        <v>3415</v>
      </c>
      <c r="AZ1280" s="132" t="s">
        <v>62</v>
      </c>
      <c r="BA1280" s="132"/>
      <c r="BB1280" s="24" t="s">
        <v>3264</v>
      </c>
      <c r="BC1280" s="132">
        <v>711000057100</v>
      </c>
      <c r="BD1280" s="24">
        <v>44156</v>
      </c>
      <c r="BE1280" s="135" t="s">
        <v>4962</v>
      </c>
      <c r="BF1280" s="135" t="s">
        <v>2214</v>
      </c>
      <c r="BG1280" s="135" t="s">
        <v>53</v>
      </c>
      <c r="BH1280" s="135"/>
      <c r="BI1280" s="314" t="s">
        <v>124</v>
      </c>
      <c r="BJ1280" s="314" t="s">
        <v>148</v>
      </c>
      <c r="BK1280" s="24"/>
      <c r="BL1280" s="24"/>
      <c r="BM1280" s="24"/>
      <c r="BN1280" s="24"/>
      <c r="BO1280" s="24"/>
      <c r="BP1280" s="24"/>
      <c r="BQ1280" s="24"/>
      <c r="BR1280" s="43"/>
      <c r="BS1280" s="24"/>
      <c r="BT1280" s="24"/>
      <c r="BU1280" s="24"/>
      <c r="BV1280" s="132" t="e">
        <f>IF(#REF!="COMPLETO","OK","PENDIENTES")</f>
        <v>#REF!</v>
      </c>
      <c r="BW1280" s="325"/>
      <c r="BX1280" s="325"/>
      <c r="BY1280" s="325"/>
      <c r="BZ1280" s="325"/>
      <c r="CA1280" s="325"/>
      <c r="CB1280" s="325"/>
      <c r="CC1280" s="258"/>
      <c r="CG1280" s="24" t="s">
        <v>105</v>
      </c>
      <c r="CH1280" s="24"/>
      <c r="CI1280" s="24"/>
      <c r="CJ1280" s="24"/>
    </row>
    <row r="1281" spans="1:88" ht="15" customHeight="1">
      <c r="A1281" s="18">
        <v>2020</v>
      </c>
      <c r="B1281" s="18" t="str">
        <f>+INDEX(BDD!F:F,MATCH(P1281,BDD!D:D,0))&amp;"-"&amp;INDEX(BDD!E:E,MATCH(P1281,BDD!D:D,0))</f>
        <v>T-S</v>
      </c>
      <c r="C1281" s="125" t="s">
        <v>484</v>
      </c>
      <c r="D1281" s="150" t="s">
        <v>77</v>
      </c>
      <c r="E1281" s="132"/>
      <c r="F1281" s="24"/>
      <c r="G1281" s="346">
        <v>8000001131</v>
      </c>
      <c r="H1281" s="125" t="s">
        <v>4963</v>
      </c>
      <c r="I1281" s="329"/>
      <c r="J1281" s="346">
        <v>8000001131</v>
      </c>
      <c r="K1281" s="24"/>
      <c r="L1281" s="24"/>
      <c r="M1281" s="24"/>
      <c r="N1281" s="340" t="s">
        <v>486</v>
      </c>
      <c r="O1281" s="334">
        <v>208067</v>
      </c>
      <c r="P1281" s="25" t="s">
        <v>383</v>
      </c>
      <c r="Q1281" s="127" t="s">
        <v>303</v>
      </c>
      <c r="R1281" s="232" t="s">
        <v>4964</v>
      </c>
      <c r="S1281" s="89">
        <v>44168</v>
      </c>
      <c r="T1281" s="36">
        <v>30</v>
      </c>
      <c r="U1281" s="125" t="s">
        <v>131</v>
      </c>
      <c r="V1281" s="147" t="s">
        <v>4965</v>
      </c>
      <c r="W1281" s="129"/>
      <c r="X1281" s="88">
        <f>+BD1281+T1281</f>
        <v>44199</v>
      </c>
      <c r="Y1281" s="130" t="s">
        <v>20</v>
      </c>
      <c r="Z1281" s="133" t="s">
        <v>60</v>
      </c>
      <c r="AA1281" s="133"/>
      <c r="AB1281" s="241">
        <v>775</v>
      </c>
      <c r="AC1281" s="134">
        <v>233.09</v>
      </c>
      <c r="AD1281" s="134"/>
      <c r="AE1281" s="403">
        <f t="shared" si="69"/>
        <v>180644.75</v>
      </c>
      <c r="AF1281" s="132">
        <v>31</v>
      </c>
      <c r="AG1281" s="130" t="s">
        <v>5</v>
      </c>
      <c r="AH1281" s="130"/>
      <c r="AI1281" s="130" t="s">
        <v>34</v>
      </c>
      <c r="AJ1281" s="130"/>
      <c r="AK1281" s="130"/>
      <c r="AL1281" s="135" t="s">
        <v>4788</v>
      </c>
      <c r="AM1281" s="314"/>
      <c r="AN1281" s="26"/>
      <c r="AO1281" s="26"/>
      <c r="AP1281" s="26"/>
      <c r="AQ1281" s="26">
        <v>44174</v>
      </c>
      <c r="AR1281" s="24"/>
      <c r="AS1281" s="24"/>
      <c r="AT1281" s="24">
        <v>44193</v>
      </c>
      <c r="AU1281" s="418">
        <f t="shared" si="70"/>
        <v>12</v>
      </c>
      <c r="AV1281" s="418">
        <f t="shared" si="71"/>
        <v>2020</v>
      </c>
      <c r="AW1281" s="24"/>
      <c r="AX1281" s="24"/>
      <c r="AY1281" s="24" t="s">
        <v>3415</v>
      </c>
      <c r="AZ1281" s="132" t="s">
        <v>9</v>
      </c>
      <c r="BA1281" s="132"/>
      <c r="BB1281" s="24" t="s">
        <v>3519</v>
      </c>
      <c r="BC1281" s="135" t="s">
        <v>4966</v>
      </c>
      <c r="BD1281" s="24">
        <v>44169</v>
      </c>
      <c r="BE1281" s="135" t="s">
        <v>3640</v>
      </c>
      <c r="BF1281" s="135" t="s">
        <v>3640</v>
      </c>
      <c r="BG1281" s="135" t="s">
        <v>64</v>
      </c>
      <c r="BH1281" s="135"/>
      <c r="BI1281" s="314" t="s">
        <v>124</v>
      </c>
      <c r="BJ1281" s="314" t="s">
        <v>138</v>
      </c>
      <c r="BK1281" s="24"/>
      <c r="BL1281" s="24"/>
      <c r="BM1281" s="24"/>
      <c r="BN1281" s="24"/>
      <c r="BO1281" s="24">
        <v>44194</v>
      </c>
      <c r="BP1281" s="24"/>
      <c r="BQ1281" s="24"/>
      <c r="BR1281" s="43"/>
      <c r="BS1281" s="24"/>
      <c r="BT1281" s="24"/>
      <c r="BU1281" s="24"/>
      <c r="BV1281" s="132" t="e">
        <f>IF(#REF!="COMPLETO","OK","PENDIENTES")</f>
        <v>#REF!</v>
      </c>
      <c r="BW1281" s="325"/>
      <c r="BX1281" s="325"/>
      <c r="BY1281" s="325"/>
      <c r="BZ1281" s="325"/>
      <c r="CA1281" s="325"/>
      <c r="CB1281" s="325"/>
      <c r="CC1281" s="258"/>
      <c r="CG1281" s="24" t="s">
        <v>105</v>
      </c>
      <c r="CH1281" s="24"/>
      <c r="CI1281" s="24"/>
      <c r="CJ1281" s="24"/>
    </row>
    <row r="1282" spans="1:88" ht="15" customHeight="1">
      <c r="A1282" s="18">
        <v>2020</v>
      </c>
      <c r="B1282" s="18" t="str">
        <f>+INDEX(BDD!F:F,MATCH(P1282,BDD!D:D,0))&amp;"-"&amp;INDEX(BDD!E:E,MATCH(P1282,BDD!D:D,0))</f>
        <v>T-S</v>
      </c>
      <c r="C1282" s="125" t="s">
        <v>484</v>
      </c>
      <c r="D1282" s="150" t="s">
        <v>77</v>
      </c>
      <c r="E1282" s="132"/>
      <c r="F1282" s="24"/>
      <c r="G1282" s="346">
        <v>8000001145</v>
      </c>
      <c r="H1282" s="125" t="s">
        <v>4967</v>
      </c>
      <c r="I1282" s="329"/>
      <c r="J1282" s="346">
        <v>8000001145</v>
      </c>
      <c r="K1282" s="24"/>
      <c r="L1282" s="24"/>
      <c r="M1282" s="24"/>
      <c r="N1282" s="340" t="s">
        <v>486</v>
      </c>
      <c r="O1282" s="334">
        <v>208067</v>
      </c>
      <c r="P1282" s="25" t="s">
        <v>383</v>
      </c>
      <c r="Q1282" s="127" t="s">
        <v>303</v>
      </c>
      <c r="R1282" s="232" t="s">
        <v>4968</v>
      </c>
      <c r="S1282" s="89"/>
      <c r="T1282" s="36">
        <v>30</v>
      </c>
      <c r="U1282" s="125" t="s">
        <v>131</v>
      </c>
      <c r="V1282" s="147" t="s">
        <v>4969</v>
      </c>
      <c r="W1282" s="129"/>
      <c r="X1282" s="88">
        <v>44209</v>
      </c>
      <c r="Y1282" s="130" t="s">
        <v>20</v>
      </c>
      <c r="Z1282" s="133" t="s">
        <v>60</v>
      </c>
      <c r="AA1282" s="133"/>
      <c r="AB1282" s="241">
        <v>350</v>
      </c>
      <c r="AC1282" s="134">
        <v>233.09</v>
      </c>
      <c r="AD1282" s="134"/>
      <c r="AE1282" s="403">
        <f t="shared" ref="AE1282:AE1345" si="72">AB1282*AC1282</f>
        <v>81581.5</v>
      </c>
      <c r="AF1282" s="132">
        <v>14</v>
      </c>
      <c r="AG1282" s="130" t="s">
        <v>5</v>
      </c>
      <c r="AH1282" s="130"/>
      <c r="AI1282" s="130" t="s">
        <v>34</v>
      </c>
      <c r="AJ1282" s="130"/>
      <c r="AK1282" s="130"/>
      <c r="AL1282" s="135" t="s">
        <v>4788</v>
      </c>
      <c r="AM1282" s="314"/>
      <c r="AN1282" s="26"/>
      <c r="AO1282" s="26"/>
      <c r="AP1282" s="26"/>
      <c r="AQ1282" s="26">
        <v>44181</v>
      </c>
      <c r="AR1282" s="24"/>
      <c r="AS1282" s="24"/>
      <c r="AT1282" s="24">
        <v>44195</v>
      </c>
      <c r="AU1282" s="418">
        <f t="shared" si="70"/>
        <v>12</v>
      </c>
      <c r="AV1282" s="418">
        <f t="shared" si="71"/>
        <v>2020</v>
      </c>
      <c r="AW1282" s="24"/>
      <c r="AX1282" s="24"/>
      <c r="AY1282" s="24" t="s">
        <v>3415</v>
      </c>
      <c r="AZ1282" s="132" t="s">
        <v>9</v>
      </c>
      <c r="BA1282" s="132"/>
      <c r="BB1282" s="24" t="s">
        <v>3519</v>
      </c>
      <c r="BC1282" s="135" t="s">
        <v>4970</v>
      </c>
      <c r="BD1282" s="24">
        <v>44176</v>
      </c>
      <c r="BE1282" s="135" t="s">
        <v>1806</v>
      </c>
      <c r="BF1282" s="135" t="s">
        <v>1806</v>
      </c>
      <c r="BG1282" s="135" t="s">
        <v>64</v>
      </c>
      <c r="BH1282" s="135"/>
      <c r="BI1282" s="314" t="s">
        <v>124</v>
      </c>
      <c r="BJ1282" s="314" t="s">
        <v>138</v>
      </c>
      <c r="BK1282" s="24"/>
      <c r="BL1282" s="24"/>
      <c r="BM1282" s="24"/>
      <c r="BN1282" s="24"/>
      <c r="BO1282" s="24"/>
      <c r="BP1282" s="24"/>
      <c r="BQ1282" s="24"/>
      <c r="BR1282" s="43"/>
      <c r="BS1282" s="24"/>
      <c r="BT1282" s="24"/>
      <c r="BU1282" s="24"/>
      <c r="BV1282" s="132" t="e">
        <f>IF(#REF!="COMPLETO","OK","PENDIENTES")</f>
        <v>#REF!</v>
      </c>
      <c r="BW1282" s="325"/>
      <c r="BX1282" s="325"/>
      <c r="BY1282" s="325"/>
      <c r="BZ1282" s="325"/>
      <c r="CA1282" s="325"/>
      <c r="CB1282" s="325"/>
      <c r="CC1282" s="258"/>
      <c r="CG1282" s="24" t="s">
        <v>105</v>
      </c>
      <c r="CH1282" s="24"/>
      <c r="CI1282" s="24"/>
      <c r="CJ1282" s="24"/>
    </row>
    <row r="1283" spans="1:88" ht="15" customHeight="1">
      <c r="A1283" s="18">
        <v>2020</v>
      </c>
      <c r="B1283" s="18" t="str">
        <f>+INDEX(BDD!F:F,MATCH(P1283,BDD!D:D,0))&amp;"-"&amp;INDEX(BDD!E:E,MATCH(P1283,BDD!D:D,0))</f>
        <v>T-S</v>
      </c>
      <c r="C1283" s="125" t="s">
        <v>484</v>
      </c>
      <c r="D1283" s="150" t="s">
        <v>77</v>
      </c>
      <c r="E1283" s="132"/>
      <c r="F1283" s="24"/>
      <c r="G1283" s="346">
        <v>8000001173</v>
      </c>
      <c r="H1283" s="125" t="s">
        <v>4971</v>
      </c>
      <c r="I1283" s="329"/>
      <c r="J1283" s="346">
        <v>8000001173</v>
      </c>
      <c r="K1283" s="24"/>
      <c r="L1283" s="24"/>
      <c r="M1283" s="24"/>
      <c r="N1283" s="340" t="s">
        <v>486</v>
      </c>
      <c r="O1283" s="334">
        <v>208067</v>
      </c>
      <c r="P1283" s="25" t="s">
        <v>383</v>
      </c>
      <c r="Q1283" s="127" t="s">
        <v>303</v>
      </c>
      <c r="R1283" s="232" t="s">
        <v>4972</v>
      </c>
      <c r="S1283" s="89">
        <v>44150</v>
      </c>
      <c r="T1283" s="36">
        <v>30</v>
      </c>
      <c r="U1283" s="125" t="s">
        <v>131</v>
      </c>
      <c r="V1283" s="147" t="s">
        <v>4973</v>
      </c>
      <c r="W1283" s="129"/>
      <c r="X1283" s="88">
        <v>44223</v>
      </c>
      <c r="Y1283" s="130" t="s">
        <v>20</v>
      </c>
      <c r="Z1283" s="133" t="s">
        <v>60</v>
      </c>
      <c r="AA1283" s="133"/>
      <c r="AB1283" s="241">
        <v>250</v>
      </c>
      <c r="AC1283" s="134">
        <v>233.09</v>
      </c>
      <c r="AD1283" s="134"/>
      <c r="AE1283" s="403">
        <f t="shared" si="72"/>
        <v>58272.5</v>
      </c>
      <c r="AF1283" s="132">
        <v>10</v>
      </c>
      <c r="AG1283" s="130" t="s">
        <v>5</v>
      </c>
      <c r="AH1283" s="130"/>
      <c r="AI1283" s="130" t="s">
        <v>34</v>
      </c>
      <c r="AJ1283" s="130"/>
      <c r="AK1283" s="130"/>
      <c r="AL1283" s="135" t="s">
        <v>4788</v>
      </c>
      <c r="AM1283" s="314"/>
      <c r="AN1283" s="26"/>
      <c r="AO1283" s="26"/>
      <c r="AP1283" s="26"/>
      <c r="AQ1283" s="26">
        <v>44195</v>
      </c>
      <c r="AR1283" s="24"/>
      <c r="AS1283" s="24"/>
      <c r="AT1283" s="24">
        <v>44202</v>
      </c>
      <c r="AU1283" s="418">
        <f t="shared" ref="AU1283:AU1346" si="73">MONTH(AT1283)</f>
        <v>1</v>
      </c>
      <c r="AV1283" s="418">
        <f t="shared" ref="AV1283:AV1346" si="74">YEAR(AT1283)</f>
        <v>2021</v>
      </c>
      <c r="AW1283" s="24"/>
      <c r="AX1283" s="24"/>
      <c r="AY1283" s="24" t="s">
        <v>3415</v>
      </c>
      <c r="AZ1283" s="132" t="s">
        <v>9</v>
      </c>
      <c r="BA1283" s="132"/>
      <c r="BB1283" s="24" t="s">
        <v>4975</v>
      </c>
      <c r="BC1283" s="135" t="s">
        <v>4974</v>
      </c>
      <c r="BD1283" s="24">
        <v>44190</v>
      </c>
      <c r="BE1283" s="135" t="s">
        <v>1806</v>
      </c>
      <c r="BF1283" s="135" t="s">
        <v>1806</v>
      </c>
      <c r="BG1283" s="135" t="s">
        <v>64</v>
      </c>
      <c r="BH1283" s="135"/>
      <c r="BI1283" s="314" t="s">
        <v>124</v>
      </c>
      <c r="BJ1283" s="314" t="s">
        <v>138</v>
      </c>
      <c r="BK1283" s="24"/>
      <c r="BL1283" s="24"/>
      <c r="BM1283" s="24"/>
      <c r="BN1283" s="24"/>
      <c r="BO1283" s="24">
        <v>44215</v>
      </c>
      <c r="BP1283" s="24"/>
      <c r="BQ1283" s="24"/>
      <c r="BR1283" s="43"/>
      <c r="BS1283" s="24"/>
      <c r="BT1283" s="24"/>
      <c r="BU1283" s="24"/>
      <c r="BV1283" s="132" t="e">
        <f>IF(#REF!="COMPLETO","OK","PENDIENTES")</f>
        <v>#REF!</v>
      </c>
      <c r="BW1283" s="325"/>
      <c r="BX1283" s="325"/>
      <c r="BY1283" s="325"/>
      <c r="BZ1283" s="325"/>
      <c r="CA1283" s="325"/>
      <c r="CB1283" s="325"/>
      <c r="CC1283" s="258"/>
      <c r="CG1283" s="24" t="s">
        <v>105</v>
      </c>
      <c r="CH1283" s="24"/>
      <c r="CI1283" s="24"/>
      <c r="CJ1283" s="24"/>
    </row>
    <row r="1284" spans="1:88" ht="15" customHeight="1">
      <c r="A1284" s="18">
        <v>2020</v>
      </c>
      <c r="B1284" s="18" t="str">
        <f>+INDEX(BDD!F:F,MATCH(P1284,BDD!D:D,0))&amp;"-"&amp;INDEX(BDD!E:E,MATCH(P1284,BDD!D:D,0))</f>
        <v>T-S</v>
      </c>
      <c r="C1284" s="125" t="s">
        <v>484</v>
      </c>
      <c r="D1284" s="150" t="s">
        <v>77</v>
      </c>
      <c r="E1284" s="132"/>
      <c r="F1284" s="24"/>
      <c r="G1284" s="346">
        <v>8000001156</v>
      </c>
      <c r="H1284" s="125" t="s">
        <v>4976</v>
      </c>
      <c r="I1284" s="329"/>
      <c r="J1284" s="346">
        <v>8000001156</v>
      </c>
      <c r="K1284" s="24"/>
      <c r="L1284" s="24"/>
      <c r="M1284" s="24"/>
      <c r="N1284" s="340" t="s">
        <v>486</v>
      </c>
      <c r="O1284" s="334">
        <v>208067</v>
      </c>
      <c r="P1284" s="25" t="s">
        <v>383</v>
      </c>
      <c r="Q1284" s="127" t="s">
        <v>303</v>
      </c>
      <c r="R1284" s="232" t="s">
        <v>4977</v>
      </c>
      <c r="S1284" s="89">
        <v>44150</v>
      </c>
      <c r="T1284" s="36">
        <v>30</v>
      </c>
      <c r="U1284" s="125" t="s">
        <v>131</v>
      </c>
      <c r="V1284" s="147" t="s">
        <v>4978</v>
      </c>
      <c r="W1284" s="129"/>
      <c r="X1284" s="88">
        <v>44213</v>
      </c>
      <c r="Y1284" s="130" t="s">
        <v>20</v>
      </c>
      <c r="Z1284" s="133" t="s">
        <v>60</v>
      </c>
      <c r="AA1284" s="133"/>
      <c r="AB1284" s="241">
        <v>450</v>
      </c>
      <c r="AC1284" s="134">
        <v>233.09</v>
      </c>
      <c r="AD1284" s="134"/>
      <c r="AE1284" s="403">
        <f t="shared" si="72"/>
        <v>104890.5</v>
      </c>
      <c r="AF1284" s="132">
        <v>18</v>
      </c>
      <c r="AG1284" s="130" t="s">
        <v>5</v>
      </c>
      <c r="AH1284" s="130"/>
      <c r="AI1284" s="130" t="s">
        <v>34</v>
      </c>
      <c r="AJ1284" s="130"/>
      <c r="AK1284" s="130"/>
      <c r="AL1284" s="135" t="s">
        <v>4788</v>
      </c>
      <c r="AM1284" s="314"/>
      <c r="AN1284" s="26"/>
      <c r="AO1284" s="26"/>
      <c r="AP1284" s="26"/>
      <c r="AQ1284" s="26">
        <v>44189</v>
      </c>
      <c r="AR1284" s="24"/>
      <c r="AS1284" s="24"/>
      <c r="AT1284" s="24">
        <v>44207</v>
      </c>
      <c r="AU1284" s="418">
        <f t="shared" si="73"/>
        <v>1</v>
      </c>
      <c r="AV1284" s="418">
        <f t="shared" si="74"/>
        <v>2021</v>
      </c>
      <c r="AW1284" s="24"/>
      <c r="AX1284" s="24"/>
      <c r="AY1284" s="24" t="s">
        <v>3415</v>
      </c>
      <c r="AZ1284" s="132" t="s">
        <v>37</v>
      </c>
      <c r="BA1284" s="132"/>
      <c r="BB1284" s="24" t="s">
        <v>3291</v>
      </c>
      <c r="BC1284" s="135" t="s">
        <v>4979</v>
      </c>
      <c r="BD1284" s="24">
        <v>44182</v>
      </c>
      <c r="BE1284" s="135" t="s">
        <v>870</v>
      </c>
      <c r="BF1284" s="135" t="s">
        <v>870</v>
      </c>
      <c r="BG1284" s="135" t="s">
        <v>29</v>
      </c>
      <c r="BH1284" s="135"/>
      <c r="BI1284" s="314" t="s">
        <v>124</v>
      </c>
      <c r="BJ1284" s="314" t="s">
        <v>148</v>
      </c>
      <c r="BK1284" s="24"/>
      <c r="BL1284" s="24"/>
      <c r="BM1284" s="24"/>
      <c r="BN1284" s="24"/>
      <c r="BO1284" s="24"/>
      <c r="BP1284" s="24"/>
      <c r="BQ1284" s="24"/>
      <c r="BR1284" s="43"/>
      <c r="BS1284" s="24"/>
      <c r="BT1284" s="24"/>
      <c r="BU1284" s="24"/>
      <c r="BV1284" s="132" t="e">
        <f>IF(#REF!="COMPLETO","OK","PENDIENTES")</f>
        <v>#REF!</v>
      </c>
      <c r="BW1284" s="325"/>
      <c r="BX1284" s="325"/>
      <c r="BY1284" s="325"/>
      <c r="BZ1284" s="325"/>
      <c r="CA1284" s="325"/>
      <c r="CB1284" s="325"/>
      <c r="CC1284" s="258"/>
      <c r="CG1284" s="24" t="s">
        <v>105</v>
      </c>
      <c r="CH1284" s="24"/>
      <c r="CI1284" s="24"/>
      <c r="CJ1284" s="24"/>
    </row>
    <row r="1285" spans="1:88" ht="15" customHeight="1">
      <c r="A1285" s="18">
        <v>2020</v>
      </c>
      <c r="B1285" s="18" t="str">
        <f>+INDEX(BDD!F:F,MATCH(P1285,BDD!D:D,0))&amp;"-"&amp;INDEX(BDD!E:E,MATCH(P1285,BDD!D:D,0))</f>
        <v>T-S</v>
      </c>
      <c r="C1285" s="125" t="s">
        <v>484</v>
      </c>
      <c r="D1285" s="150" t="s">
        <v>77</v>
      </c>
      <c r="E1285" s="132"/>
      <c r="F1285" s="24"/>
      <c r="G1285" s="346">
        <v>8000001155</v>
      </c>
      <c r="H1285" s="125" t="s">
        <v>4980</v>
      </c>
      <c r="I1285" s="329"/>
      <c r="J1285" s="346">
        <v>8000001155</v>
      </c>
      <c r="K1285" s="24"/>
      <c r="L1285" s="24"/>
      <c r="M1285" s="24"/>
      <c r="N1285" s="340" t="s">
        <v>486</v>
      </c>
      <c r="O1285" s="334">
        <v>208067</v>
      </c>
      <c r="P1285" s="25" t="s">
        <v>383</v>
      </c>
      <c r="Q1285" s="127" t="s">
        <v>303</v>
      </c>
      <c r="R1285" s="232" t="s">
        <v>4981</v>
      </c>
      <c r="S1285" s="89">
        <v>44150</v>
      </c>
      <c r="T1285" s="36">
        <v>30</v>
      </c>
      <c r="U1285" s="125" t="s">
        <v>131</v>
      </c>
      <c r="V1285" s="147" t="s">
        <v>4982</v>
      </c>
      <c r="W1285" s="129"/>
      <c r="X1285" s="88">
        <v>44213</v>
      </c>
      <c r="Y1285" s="130" t="s">
        <v>20</v>
      </c>
      <c r="Z1285" s="133" t="s">
        <v>60</v>
      </c>
      <c r="AA1285" s="133"/>
      <c r="AB1285" s="241">
        <v>425</v>
      </c>
      <c r="AC1285" s="134">
        <v>233.09</v>
      </c>
      <c r="AD1285" s="134"/>
      <c r="AE1285" s="403">
        <f t="shared" si="72"/>
        <v>99063.25</v>
      </c>
      <c r="AF1285" s="132">
        <v>17</v>
      </c>
      <c r="AG1285" s="130" t="s">
        <v>5</v>
      </c>
      <c r="AH1285" s="130"/>
      <c r="AI1285" s="130" t="s">
        <v>34</v>
      </c>
      <c r="AJ1285" s="130"/>
      <c r="AK1285" s="130"/>
      <c r="AL1285" s="135" t="s">
        <v>4788</v>
      </c>
      <c r="AM1285" s="314"/>
      <c r="AN1285" s="26"/>
      <c r="AO1285" s="26"/>
      <c r="AP1285" s="26"/>
      <c r="AQ1285" s="26">
        <v>44189</v>
      </c>
      <c r="AR1285" s="24"/>
      <c r="AS1285" s="24"/>
      <c r="AT1285" s="24">
        <v>44204</v>
      </c>
      <c r="AU1285" s="418">
        <f t="shared" si="73"/>
        <v>1</v>
      </c>
      <c r="AV1285" s="418">
        <f t="shared" si="74"/>
        <v>2021</v>
      </c>
      <c r="AW1285" s="24"/>
      <c r="AX1285" s="24"/>
      <c r="AY1285" s="24" t="s">
        <v>3415</v>
      </c>
      <c r="AZ1285" s="132" t="s">
        <v>37</v>
      </c>
      <c r="BA1285" s="132"/>
      <c r="BB1285" s="24" t="s">
        <v>2956</v>
      </c>
      <c r="BC1285" s="135" t="s">
        <v>4983</v>
      </c>
      <c r="BD1285" s="24">
        <v>44182</v>
      </c>
      <c r="BE1285" s="135" t="s">
        <v>870</v>
      </c>
      <c r="BF1285" s="135" t="s">
        <v>870</v>
      </c>
      <c r="BG1285" s="135" t="s">
        <v>29</v>
      </c>
      <c r="BH1285" s="135"/>
      <c r="BI1285" s="314" t="s">
        <v>124</v>
      </c>
      <c r="BJ1285" s="314" t="s">
        <v>148</v>
      </c>
      <c r="BK1285" s="24"/>
      <c r="BL1285" s="24"/>
      <c r="BM1285" s="24"/>
      <c r="BN1285" s="24"/>
      <c r="BO1285" s="24"/>
      <c r="BP1285" s="24"/>
      <c r="BQ1285" s="24"/>
      <c r="BR1285" s="43"/>
      <c r="BS1285" s="24"/>
      <c r="BT1285" s="24"/>
      <c r="BU1285" s="24"/>
      <c r="BV1285" s="132" t="e">
        <f>IF(#REF!="COMPLETO","OK","PENDIENTES")</f>
        <v>#REF!</v>
      </c>
      <c r="BW1285" s="325"/>
      <c r="BX1285" s="325"/>
      <c r="BY1285" s="325"/>
      <c r="BZ1285" s="325"/>
      <c r="CA1285" s="325"/>
      <c r="CB1285" s="325"/>
      <c r="CC1285" s="258"/>
      <c r="CG1285" s="24" t="s">
        <v>105</v>
      </c>
      <c r="CH1285" s="24"/>
      <c r="CI1285" s="24"/>
      <c r="CJ1285" s="24"/>
    </row>
    <row r="1286" spans="1:88" ht="15" customHeight="1">
      <c r="A1286" s="18">
        <v>2020</v>
      </c>
      <c r="B1286" s="18" t="str">
        <f>+INDEX(BDD!F:F,MATCH(P1286,BDD!D:D,0))&amp;"-"&amp;INDEX(BDD!E:E,MATCH(P1286,BDD!D:D,0))</f>
        <v>T-S</v>
      </c>
      <c r="C1286" s="125" t="s">
        <v>484</v>
      </c>
      <c r="D1286" s="150" t="s">
        <v>77</v>
      </c>
      <c r="E1286" s="132"/>
      <c r="F1286" s="24"/>
      <c r="G1286" s="346">
        <v>8000001172</v>
      </c>
      <c r="H1286" s="125" t="s">
        <v>4984</v>
      </c>
      <c r="I1286" s="329"/>
      <c r="J1286" s="346">
        <v>8000001172</v>
      </c>
      <c r="K1286" s="24"/>
      <c r="L1286" s="24"/>
      <c r="M1286" s="24"/>
      <c r="N1286" s="340" t="s">
        <v>486</v>
      </c>
      <c r="O1286" s="334">
        <v>208067</v>
      </c>
      <c r="P1286" s="25" t="s">
        <v>383</v>
      </c>
      <c r="Q1286" s="127" t="s">
        <v>303</v>
      </c>
      <c r="R1286" s="232" t="s">
        <v>4985</v>
      </c>
      <c r="S1286" s="89">
        <v>44150</v>
      </c>
      <c r="T1286" s="36">
        <v>30</v>
      </c>
      <c r="U1286" s="125" t="s">
        <v>131</v>
      </c>
      <c r="V1286" s="147" t="s">
        <v>4986</v>
      </c>
      <c r="W1286" s="129"/>
      <c r="X1286" s="88">
        <v>44223</v>
      </c>
      <c r="Y1286" s="130" t="s">
        <v>20</v>
      </c>
      <c r="Z1286" s="133" t="s">
        <v>60</v>
      </c>
      <c r="AA1286" s="133"/>
      <c r="AB1286" s="241">
        <v>225</v>
      </c>
      <c r="AC1286" s="134">
        <v>233.09</v>
      </c>
      <c r="AD1286" s="134"/>
      <c r="AE1286" s="403">
        <f t="shared" si="72"/>
        <v>52445.25</v>
      </c>
      <c r="AF1286" s="132">
        <v>9</v>
      </c>
      <c r="AG1286" s="130" t="s">
        <v>5</v>
      </c>
      <c r="AH1286" s="130"/>
      <c r="AI1286" s="130" t="s">
        <v>34</v>
      </c>
      <c r="AJ1286" s="130"/>
      <c r="AK1286" s="130"/>
      <c r="AL1286" s="135" t="s">
        <v>4788</v>
      </c>
      <c r="AM1286" s="314"/>
      <c r="AN1286" s="26"/>
      <c r="AO1286" s="26"/>
      <c r="AP1286" s="26"/>
      <c r="AQ1286" s="26">
        <v>44197</v>
      </c>
      <c r="AR1286" s="41"/>
      <c r="AS1286" s="41"/>
      <c r="AT1286" s="24">
        <v>44212</v>
      </c>
      <c r="AU1286" s="418">
        <f t="shared" si="73"/>
        <v>1</v>
      </c>
      <c r="AV1286" s="418">
        <f t="shared" si="74"/>
        <v>2021</v>
      </c>
      <c r="AW1286" s="24"/>
      <c r="AX1286" s="24"/>
      <c r="AY1286" s="24" t="s">
        <v>3415</v>
      </c>
      <c r="AZ1286" s="132" t="s">
        <v>37</v>
      </c>
      <c r="BA1286" s="132"/>
      <c r="BB1286" s="24" t="s">
        <v>3291</v>
      </c>
      <c r="BC1286" s="135" t="s">
        <v>4987</v>
      </c>
      <c r="BD1286" s="24">
        <v>44188</v>
      </c>
      <c r="BE1286" s="135" t="s">
        <v>797</v>
      </c>
      <c r="BF1286" s="135" t="s">
        <v>797</v>
      </c>
      <c r="BG1286" s="135" t="s">
        <v>29</v>
      </c>
      <c r="BH1286" s="135"/>
      <c r="BI1286" s="314" t="s">
        <v>124</v>
      </c>
      <c r="BJ1286" s="314" t="s">
        <v>138</v>
      </c>
      <c r="BK1286" s="24"/>
      <c r="BL1286" s="24"/>
      <c r="BM1286" s="24"/>
      <c r="BN1286" s="24"/>
      <c r="BO1286" s="24"/>
      <c r="BP1286" s="24"/>
      <c r="BQ1286" s="24"/>
      <c r="BR1286" s="43"/>
      <c r="BS1286" s="24"/>
      <c r="BT1286" s="24"/>
      <c r="BU1286" s="24"/>
      <c r="BV1286" s="132" t="e">
        <f>IF(#REF!="COMPLETO","OK","PENDIENTES")</f>
        <v>#REF!</v>
      </c>
      <c r="BW1286" s="325"/>
      <c r="BX1286" s="325"/>
      <c r="BY1286" s="325"/>
      <c r="BZ1286" s="325"/>
      <c r="CA1286" s="325"/>
      <c r="CB1286" s="325"/>
      <c r="CC1286" s="258"/>
      <c r="CG1286" s="24" t="s">
        <v>105</v>
      </c>
      <c r="CH1286" s="24"/>
      <c r="CI1286" s="24"/>
      <c r="CJ1286" s="24"/>
    </row>
    <row r="1287" spans="1:88" ht="15" customHeight="1">
      <c r="A1287" s="18">
        <v>2020</v>
      </c>
      <c r="B1287" s="18" t="str">
        <f>+INDEX(BDD!F:F,MATCH(P1287,BDD!D:D,0))&amp;"-"&amp;INDEX(BDD!E:E,MATCH(P1287,BDD!D:D,0))</f>
        <v>T-S</v>
      </c>
      <c r="C1287" s="125" t="s">
        <v>484</v>
      </c>
      <c r="D1287" s="150" t="s">
        <v>77</v>
      </c>
      <c r="E1287" s="132"/>
      <c r="F1287" s="24"/>
      <c r="G1287" s="346">
        <v>8000001159</v>
      </c>
      <c r="H1287" s="125" t="s">
        <v>4988</v>
      </c>
      <c r="I1287" s="329"/>
      <c r="J1287" s="346">
        <v>8000001159</v>
      </c>
      <c r="K1287" s="24"/>
      <c r="L1287" s="24"/>
      <c r="M1287" s="24"/>
      <c r="N1287" s="340" t="s">
        <v>486</v>
      </c>
      <c r="O1287" s="334">
        <v>208067</v>
      </c>
      <c r="P1287" s="25" t="s">
        <v>383</v>
      </c>
      <c r="Q1287" s="127" t="s">
        <v>303</v>
      </c>
      <c r="R1287" s="232" t="s">
        <v>4989</v>
      </c>
      <c r="S1287" s="89">
        <v>44150</v>
      </c>
      <c r="T1287" s="36">
        <v>30</v>
      </c>
      <c r="U1287" s="125" t="s">
        <v>131</v>
      </c>
      <c r="V1287" s="147" t="s">
        <v>4990</v>
      </c>
      <c r="W1287" s="129"/>
      <c r="X1287" s="88">
        <v>44217</v>
      </c>
      <c r="Y1287" s="130" t="s">
        <v>20</v>
      </c>
      <c r="Z1287" s="133" t="s">
        <v>60</v>
      </c>
      <c r="AA1287" s="133"/>
      <c r="AB1287" s="241">
        <v>300</v>
      </c>
      <c r="AC1287" s="134">
        <v>233.09</v>
      </c>
      <c r="AD1287" s="134"/>
      <c r="AE1287" s="403">
        <f t="shared" si="72"/>
        <v>69927</v>
      </c>
      <c r="AF1287" s="132">
        <v>12</v>
      </c>
      <c r="AG1287" s="130" t="s">
        <v>5</v>
      </c>
      <c r="AH1287" s="130"/>
      <c r="AI1287" s="130" t="s">
        <v>34</v>
      </c>
      <c r="AJ1287" s="130"/>
      <c r="AK1287" s="130"/>
      <c r="AL1287" s="135" t="s">
        <v>4788</v>
      </c>
      <c r="AM1287" s="314"/>
      <c r="AN1287" s="26"/>
      <c r="AO1287" s="26"/>
      <c r="AP1287" s="26"/>
      <c r="AQ1287" s="26">
        <v>44211</v>
      </c>
      <c r="AR1287" s="24"/>
      <c r="AS1287" s="24"/>
      <c r="AT1287" s="24">
        <v>44217</v>
      </c>
      <c r="AU1287" s="418">
        <f t="shared" si="73"/>
        <v>1</v>
      </c>
      <c r="AV1287" s="418">
        <f t="shared" si="74"/>
        <v>2021</v>
      </c>
      <c r="AW1287" s="24"/>
      <c r="AX1287" s="24"/>
      <c r="AY1287" s="24" t="s">
        <v>3415</v>
      </c>
      <c r="AZ1287" s="132" t="s">
        <v>62</v>
      </c>
      <c r="BA1287" s="132"/>
      <c r="BB1287" s="24" t="s">
        <v>3264</v>
      </c>
      <c r="BC1287" s="132">
        <v>711000061883</v>
      </c>
      <c r="BD1287" s="24">
        <v>44184</v>
      </c>
      <c r="BE1287" s="135" t="s">
        <v>4381</v>
      </c>
      <c r="BF1287" s="135" t="s">
        <v>3922</v>
      </c>
      <c r="BG1287" s="135" t="s">
        <v>53</v>
      </c>
      <c r="BH1287" s="135"/>
      <c r="BI1287" s="314" t="s">
        <v>124</v>
      </c>
      <c r="BJ1287" s="314" t="s">
        <v>148</v>
      </c>
      <c r="BK1287" s="24"/>
      <c r="BL1287" s="24"/>
      <c r="BM1287" s="24"/>
      <c r="BN1287" s="24"/>
      <c r="BO1287" s="24"/>
      <c r="BP1287" s="24"/>
      <c r="BQ1287" s="24"/>
      <c r="BR1287" s="43"/>
      <c r="BS1287" s="24"/>
      <c r="BT1287" s="24"/>
      <c r="BU1287" s="24"/>
      <c r="BV1287" s="132" t="e">
        <f>IF(#REF!="COMPLETO","OK","PENDIENTES")</f>
        <v>#REF!</v>
      </c>
      <c r="BW1287" s="325"/>
      <c r="BX1287" s="325"/>
      <c r="BY1287" s="325"/>
      <c r="BZ1287" s="325"/>
      <c r="CA1287" s="325"/>
      <c r="CB1287" s="325"/>
      <c r="CC1287" s="258"/>
      <c r="CG1287" s="24" t="s">
        <v>105</v>
      </c>
      <c r="CH1287" s="24"/>
      <c r="CI1287" s="24"/>
      <c r="CJ1287" s="24"/>
    </row>
    <row r="1288" spans="1:88" ht="15" customHeight="1">
      <c r="A1288" s="18">
        <v>2020</v>
      </c>
      <c r="B1288" s="18" t="str">
        <f>+INDEX(BDD!F:F,MATCH(P1288,BDD!D:D,0))&amp;"-"&amp;INDEX(BDD!E:E,MATCH(P1288,BDD!D:D,0))</f>
        <v>S-S</v>
      </c>
      <c r="C1288" s="125" t="s">
        <v>484</v>
      </c>
      <c r="D1288" s="150" t="s">
        <v>77</v>
      </c>
      <c r="E1288" s="132"/>
      <c r="F1288" s="24"/>
      <c r="G1288" s="346">
        <v>8000001077</v>
      </c>
      <c r="H1288" s="125" t="s">
        <v>4991</v>
      </c>
      <c r="I1288" s="329"/>
      <c r="J1288" s="346">
        <v>8000001077</v>
      </c>
      <c r="K1288" s="24"/>
      <c r="L1288" s="24"/>
      <c r="M1288" s="24"/>
      <c r="N1288" s="340" t="s">
        <v>486</v>
      </c>
      <c r="O1288" s="334">
        <v>206615</v>
      </c>
      <c r="P1288" s="25" t="s">
        <v>387</v>
      </c>
      <c r="Q1288" s="127" t="s">
        <v>30</v>
      </c>
      <c r="R1288" s="232" t="s">
        <v>544</v>
      </c>
      <c r="S1288" s="89">
        <v>44150</v>
      </c>
      <c r="T1288" s="36">
        <v>90</v>
      </c>
      <c r="U1288" s="125" t="s">
        <v>118</v>
      </c>
      <c r="V1288" s="147" t="s">
        <v>4992</v>
      </c>
      <c r="W1288" s="129"/>
      <c r="X1288" s="88">
        <f>+BD1288+T1288</f>
        <v>44322</v>
      </c>
      <c r="Y1288" s="130" t="s">
        <v>20</v>
      </c>
      <c r="Z1288" s="133" t="s">
        <v>60</v>
      </c>
      <c r="AA1288" s="133"/>
      <c r="AB1288" s="241">
        <v>120</v>
      </c>
      <c r="AC1288" s="134">
        <v>680</v>
      </c>
      <c r="AD1288" s="134"/>
      <c r="AE1288" s="403">
        <f t="shared" si="72"/>
        <v>81600</v>
      </c>
      <c r="AF1288" s="132">
        <v>5</v>
      </c>
      <c r="AG1288" s="130" t="s">
        <v>5</v>
      </c>
      <c r="AH1288" s="130"/>
      <c r="AI1288" s="130" t="s">
        <v>34</v>
      </c>
      <c r="AJ1288" s="130"/>
      <c r="AK1288" s="130"/>
      <c r="AL1288" s="135" t="s">
        <v>4873</v>
      </c>
      <c r="AM1288" s="314"/>
      <c r="AN1288" s="26"/>
      <c r="AO1288" s="26"/>
      <c r="AP1288" s="26"/>
      <c r="AQ1288" s="26">
        <v>44236</v>
      </c>
      <c r="AR1288" s="24"/>
      <c r="AS1288" s="24"/>
      <c r="AT1288" s="24">
        <v>44239</v>
      </c>
      <c r="AU1288" s="418">
        <f t="shared" si="73"/>
        <v>2</v>
      </c>
      <c r="AV1288" s="418">
        <f t="shared" si="74"/>
        <v>2021</v>
      </c>
      <c r="AW1288" s="24"/>
      <c r="AX1288" s="24"/>
      <c r="AY1288" s="24" t="s">
        <v>181</v>
      </c>
      <c r="AZ1288" s="132" t="s">
        <v>9</v>
      </c>
      <c r="BA1288" s="132"/>
      <c r="BB1288" s="24" t="s">
        <v>3264</v>
      </c>
      <c r="BC1288" s="135" t="s">
        <v>4993</v>
      </c>
      <c r="BD1288" s="24">
        <v>44232</v>
      </c>
      <c r="BE1288" s="135" t="s">
        <v>2214</v>
      </c>
      <c r="BF1288" s="135" t="s">
        <v>3922</v>
      </c>
      <c r="BG1288" s="135" t="s">
        <v>29</v>
      </c>
      <c r="BH1288" s="135"/>
      <c r="BI1288" s="314" t="s">
        <v>124</v>
      </c>
      <c r="BJ1288" s="314" t="s">
        <v>148</v>
      </c>
      <c r="BK1288" s="24"/>
      <c r="BL1288" s="24"/>
      <c r="BM1288" s="24"/>
      <c r="BN1288" s="24"/>
      <c r="BO1288" s="24"/>
      <c r="BP1288" s="24"/>
      <c r="BQ1288" s="24"/>
      <c r="BR1288" s="43"/>
      <c r="BS1288" s="24"/>
      <c r="BT1288" s="24"/>
      <c r="BU1288" s="24"/>
      <c r="BV1288" s="132" t="e">
        <f>IF(#REF!="COMPLETO","OK","PENDIENTES")</f>
        <v>#REF!</v>
      </c>
      <c r="BW1288" s="325"/>
      <c r="BX1288" s="325"/>
      <c r="BY1288" s="325"/>
      <c r="BZ1288" s="325"/>
      <c r="CA1288" s="325"/>
      <c r="CB1288" s="325"/>
      <c r="CC1288" s="258"/>
      <c r="CG1288" s="24" t="s">
        <v>105</v>
      </c>
      <c r="CH1288" s="24"/>
      <c r="CI1288" s="24"/>
      <c r="CJ1288" s="24"/>
    </row>
    <row r="1289" spans="1:88" ht="15" customHeight="1">
      <c r="A1289" s="18">
        <v>2020</v>
      </c>
      <c r="B1289" s="18" t="str">
        <f>+INDEX(BDD!F:F,MATCH(P1289,BDD!D:D,0))&amp;"-"&amp;INDEX(BDD!E:E,MATCH(P1289,BDD!D:D,0))</f>
        <v>S-S</v>
      </c>
      <c r="C1289" s="125" t="s">
        <v>484</v>
      </c>
      <c r="D1289" s="150" t="s">
        <v>77</v>
      </c>
      <c r="E1289" s="132"/>
      <c r="F1289" s="24"/>
      <c r="G1289" s="346">
        <v>8000001241</v>
      </c>
      <c r="H1289" s="125" t="s">
        <v>4994</v>
      </c>
      <c r="I1289" s="329"/>
      <c r="J1289" s="346">
        <v>8000001241</v>
      </c>
      <c r="K1289" s="24"/>
      <c r="L1289" s="24"/>
      <c r="M1289" s="24"/>
      <c r="N1289" s="340" t="s">
        <v>486</v>
      </c>
      <c r="O1289" s="334">
        <v>206914</v>
      </c>
      <c r="P1289" s="25" t="s">
        <v>335</v>
      </c>
      <c r="Q1289" s="127" t="s">
        <v>264</v>
      </c>
      <c r="R1289" s="232" t="s">
        <v>4995</v>
      </c>
      <c r="S1289" s="89">
        <v>44132</v>
      </c>
      <c r="T1289" s="36">
        <v>90</v>
      </c>
      <c r="U1289" s="125" t="s">
        <v>118</v>
      </c>
      <c r="V1289" s="147" t="s">
        <v>4996</v>
      </c>
      <c r="W1289" s="129"/>
      <c r="X1289" s="88">
        <f>+BD1289+T1289</f>
        <v>44276</v>
      </c>
      <c r="Y1289" s="130" t="s">
        <v>20</v>
      </c>
      <c r="Z1289" s="133" t="s">
        <v>60</v>
      </c>
      <c r="AA1289" s="133"/>
      <c r="AB1289" s="241">
        <v>350.4</v>
      </c>
      <c r="AC1289" s="134">
        <v>99.5</v>
      </c>
      <c r="AD1289" s="134"/>
      <c r="AE1289" s="403">
        <f t="shared" si="72"/>
        <v>34864.799999999996</v>
      </c>
      <c r="AF1289" s="132"/>
      <c r="AG1289" s="130" t="s">
        <v>58</v>
      </c>
      <c r="AH1289" s="130"/>
      <c r="AI1289" s="130" t="s">
        <v>34</v>
      </c>
      <c r="AJ1289" s="130"/>
      <c r="AK1289" s="130"/>
      <c r="AL1289" s="135" t="s">
        <v>4997</v>
      </c>
      <c r="AM1289" s="314"/>
      <c r="AN1289" s="26"/>
      <c r="AO1289" s="26"/>
      <c r="AP1289" s="26"/>
      <c r="AQ1289" s="26">
        <v>44248</v>
      </c>
      <c r="AR1289" s="41"/>
      <c r="AS1289" s="41"/>
      <c r="AT1289" s="24">
        <v>44260</v>
      </c>
      <c r="AU1289" s="418">
        <f t="shared" si="73"/>
        <v>3</v>
      </c>
      <c r="AV1289" s="418">
        <f t="shared" si="74"/>
        <v>2021</v>
      </c>
      <c r="AW1289" s="24"/>
      <c r="AX1289" s="28"/>
      <c r="AY1289" s="28" t="s">
        <v>95</v>
      </c>
      <c r="AZ1289" s="132" t="s">
        <v>37</v>
      </c>
      <c r="BA1289" s="132"/>
      <c r="BB1289" s="24" t="s">
        <v>3291</v>
      </c>
      <c r="BC1289" s="135" t="s">
        <v>4998</v>
      </c>
      <c r="BD1289" s="26">
        <v>44186</v>
      </c>
      <c r="BE1289" s="135" t="s">
        <v>4680</v>
      </c>
      <c r="BF1289" s="135" t="s">
        <v>4680</v>
      </c>
      <c r="BG1289" s="135" t="s">
        <v>52</v>
      </c>
      <c r="BH1289" s="135"/>
      <c r="BI1289" s="314" t="s">
        <v>124</v>
      </c>
      <c r="BJ1289" s="314" t="s">
        <v>143</v>
      </c>
      <c r="BK1289" s="24"/>
      <c r="BL1289" s="24"/>
      <c r="BM1289" s="24"/>
      <c r="BN1289" s="24"/>
      <c r="BO1289" s="41"/>
      <c r="BP1289" s="41"/>
      <c r="BQ1289" s="41"/>
      <c r="BR1289" s="43"/>
      <c r="BS1289" s="41"/>
      <c r="BT1289" s="41"/>
      <c r="BU1289" s="41"/>
      <c r="BV1289" s="132" t="e">
        <f>IF(#REF!="COMPLETO","OK","PENDIENTES")</f>
        <v>#REF!</v>
      </c>
      <c r="BW1289" s="325"/>
      <c r="BX1289" s="325"/>
      <c r="BY1289" s="325"/>
      <c r="BZ1289" s="325"/>
      <c r="CA1289" s="325"/>
      <c r="CB1289" s="325"/>
      <c r="CC1289" s="258"/>
      <c r="CG1289" s="24" t="s">
        <v>105</v>
      </c>
      <c r="CH1289" s="24"/>
      <c r="CI1289" s="24"/>
      <c r="CJ1289" s="24"/>
    </row>
    <row r="1290" spans="1:88" ht="15" customHeight="1">
      <c r="A1290" s="18">
        <v>2020</v>
      </c>
      <c r="B1290" s="18" t="str">
        <f>+INDEX(BDD!F:F,MATCH(P1290,BDD!D:D,0))&amp;"-"&amp;INDEX(BDD!E:E,MATCH(P1290,BDD!D:D,0))</f>
        <v>S-S</v>
      </c>
      <c r="C1290" s="125" t="s">
        <v>484</v>
      </c>
      <c r="D1290" s="150" t="s">
        <v>77</v>
      </c>
      <c r="E1290" s="132"/>
      <c r="F1290" s="24"/>
      <c r="G1290" s="346">
        <v>8000001249</v>
      </c>
      <c r="H1290" s="125" t="s">
        <v>4999</v>
      </c>
      <c r="I1290" s="329"/>
      <c r="J1290" s="346">
        <v>8000001249</v>
      </c>
      <c r="K1290" s="24"/>
      <c r="L1290" s="24"/>
      <c r="M1290" s="24"/>
      <c r="N1290" s="340" t="s">
        <v>486</v>
      </c>
      <c r="O1290" s="334">
        <v>206914</v>
      </c>
      <c r="P1290" s="25" t="s">
        <v>335</v>
      </c>
      <c r="Q1290" s="127" t="s">
        <v>264</v>
      </c>
      <c r="R1290" s="232" t="s">
        <v>4995</v>
      </c>
      <c r="S1290" s="89">
        <v>44132</v>
      </c>
      <c r="T1290" s="36">
        <v>90</v>
      </c>
      <c r="U1290" s="125" t="s">
        <v>118</v>
      </c>
      <c r="V1290" s="147" t="s">
        <v>5000</v>
      </c>
      <c r="W1290" s="129"/>
      <c r="X1290" s="88">
        <f>+BD1290+T1290</f>
        <v>44288</v>
      </c>
      <c r="Y1290" s="130" t="s">
        <v>20</v>
      </c>
      <c r="Z1290" s="133" t="s">
        <v>60</v>
      </c>
      <c r="AA1290" s="133"/>
      <c r="AB1290" s="241">
        <v>350.4</v>
      </c>
      <c r="AC1290" s="134">
        <v>99.5</v>
      </c>
      <c r="AD1290" s="134"/>
      <c r="AE1290" s="403">
        <f t="shared" si="72"/>
        <v>34864.799999999996</v>
      </c>
      <c r="AF1290" s="132"/>
      <c r="AG1290" s="130" t="s">
        <v>58</v>
      </c>
      <c r="AH1290" s="130"/>
      <c r="AI1290" s="130" t="s">
        <v>34</v>
      </c>
      <c r="AJ1290" s="130"/>
      <c r="AK1290" s="130"/>
      <c r="AL1290" s="135" t="s">
        <v>5001</v>
      </c>
      <c r="AM1290" s="314"/>
      <c r="AN1290" s="26"/>
      <c r="AO1290" s="26"/>
      <c r="AP1290" s="26"/>
      <c r="AQ1290" s="26">
        <v>44254</v>
      </c>
      <c r="AR1290" s="41"/>
      <c r="AS1290" s="41"/>
      <c r="AT1290" s="24">
        <v>44266</v>
      </c>
      <c r="AU1290" s="418">
        <f t="shared" si="73"/>
        <v>3</v>
      </c>
      <c r="AV1290" s="418">
        <f t="shared" si="74"/>
        <v>2021</v>
      </c>
      <c r="AW1290" s="24"/>
      <c r="AX1290" s="28"/>
      <c r="AY1290" s="28" t="s">
        <v>95</v>
      </c>
      <c r="AZ1290" s="132" t="s">
        <v>37</v>
      </c>
      <c r="BA1290" s="132"/>
      <c r="BB1290" s="24" t="s">
        <v>3291</v>
      </c>
      <c r="BC1290" s="135" t="s">
        <v>5002</v>
      </c>
      <c r="BD1290" s="26">
        <v>44198</v>
      </c>
      <c r="BE1290" s="135" t="s">
        <v>3878</v>
      </c>
      <c r="BF1290" s="135" t="s">
        <v>3878</v>
      </c>
      <c r="BG1290" s="135" t="s">
        <v>52</v>
      </c>
      <c r="BH1290" s="135"/>
      <c r="BI1290" s="314" t="s">
        <v>124</v>
      </c>
      <c r="BJ1290" s="314" t="s">
        <v>143</v>
      </c>
      <c r="BK1290" s="24"/>
      <c r="BL1290" s="24"/>
      <c r="BM1290" s="24"/>
      <c r="BN1290" s="24"/>
      <c r="BO1290" s="41"/>
      <c r="BP1290" s="41"/>
      <c r="BQ1290" s="41"/>
      <c r="BR1290" s="43"/>
      <c r="BS1290" s="41"/>
      <c r="BT1290" s="41"/>
      <c r="BU1290" s="41"/>
      <c r="BV1290" s="132" t="e">
        <f>IF(#REF!="COMPLETO","OK","PENDIENTES")</f>
        <v>#REF!</v>
      </c>
      <c r="BW1290" s="325"/>
      <c r="BX1290" s="325"/>
      <c r="BY1290" s="325"/>
      <c r="BZ1290" s="325"/>
      <c r="CA1290" s="325"/>
      <c r="CB1290" s="325"/>
      <c r="CC1290" s="258"/>
      <c r="CG1290" s="24" t="s">
        <v>105</v>
      </c>
      <c r="CH1290" s="24"/>
      <c r="CI1290" s="24"/>
      <c r="CJ1290" s="24"/>
    </row>
    <row r="1291" spans="1:88" ht="15" customHeight="1">
      <c r="A1291" s="18">
        <v>2020</v>
      </c>
      <c r="B1291" s="18" t="str">
        <f>+INDEX(BDD!F:F,MATCH(P1291,BDD!D:D,0))&amp;"-"&amp;INDEX(BDD!E:E,MATCH(P1291,BDD!D:D,0))</f>
        <v>S-S</v>
      </c>
      <c r="C1291" s="125" t="s">
        <v>484</v>
      </c>
      <c r="D1291" s="150" t="s">
        <v>77</v>
      </c>
      <c r="E1291" s="132"/>
      <c r="F1291" s="24"/>
      <c r="G1291" s="346">
        <v>8000001250</v>
      </c>
      <c r="H1291" s="125" t="s">
        <v>5003</v>
      </c>
      <c r="I1291" s="329"/>
      <c r="J1291" s="346">
        <v>8000001250</v>
      </c>
      <c r="K1291" s="24"/>
      <c r="L1291" s="24"/>
      <c r="M1291" s="24"/>
      <c r="N1291" s="340" t="s">
        <v>486</v>
      </c>
      <c r="O1291" s="334">
        <v>206914</v>
      </c>
      <c r="P1291" s="25" t="s">
        <v>335</v>
      </c>
      <c r="Q1291" s="127" t="s">
        <v>264</v>
      </c>
      <c r="R1291" s="232" t="s">
        <v>5004</v>
      </c>
      <c r="S1291" s="89">
        <v>44132</v>
      </c>
      <c r="T1291" s="36">
        <v>90</v>
      </c>
      <c r="U1291" s="125" t="s">
        <v>118</v>
      </c>
      <c r="V1291" s="147" t="s">
        <v>5004</v>
      </c>
      <c r="W1291" s="129"/>
      <c r="X1291" s="88">
        <v>44284</v>
      </c>
      <c r="Y1291" s="130" t="s">
        <v>20</v>
      </c>
      <c r="Z1291" s="133" t="s">
        <v>60</v>
      </c>
      <c r="AA1291" s="133"/>
      <c r="AB1291" s="241">
        <v>150</v>
      </c>
      <c r="AC1291" s="134">
        <v>109</v>
      </c>
      <c r="AD1291" s="134"/>
      <c r="AE1291" s="403">
        <f t="shared" si="72"/>
        <v>16350</v>
      </c>
      <c r="AF1291" s="132"/>
      <c r="AG1291" s="130" t="s">
        <v>58</v>
      </c>
      <c r="AH1291" s="130"/>
      <c r="AI1291" s="130" t="s">
        <v>34</v>
      </c>
      <c r="AJ1291" s="130"/>
      <c r="AK1291" s="130"/>
      <c r="AL1291" s="135" t="s">
        <v>4604</v>
      </c>
      <c r="AM1291" s="314"/>
      <c r="AN1291" s="26"/>
      <c r="AO1291" s="26"/>
      <c r="AP1291" s="26"/>
      <c r="AQ1291" s="26">
        <v>44266</v>
      </c>
      <c r="AR1291" s="24"/>
      <c r="AS1291" s="24"/>
      <c r="AT1291" s="24">
        <v>44267</v>
      </c>
      <c r="AU1291" s="418">
        <f t="shared" si="73"/>
        <v>3</v>
      </c>
      <c r="AV1291" s="418">
        <f t="shared" si="74"/>
        <v>2021</v>
      </c>
      <c r="AW1291" s="24"/>
      <c r="AX1291" s="28"/>
      <c r="AY1291" s="28" t="s">
        <v>3199</v>
      </c>
      <c r="AZ1291" s="132" t="s">
        <v>62</v>
      </c>
      <c r="BA1291" s="132"/>
      <c r="BB1291" s="24" t="s">
        <v>3264</v>
      </c>
      <c r="BC1291" s="135" t="s">
        <v>5005</v>
      </c>
      <c r="BD1291" s="24">
        <v>44191</v>
      </c>
      <c r="BE1291" s="135" t="s">
        <v>3878</v>
      </c>
      <c r="BF1291" s="135" t="s">
        <v>3878</v>
      </c>
      <c r="BG1291" s="135" t="s">
        <v>52</v>
      </c>
      <c r="BH1291" s="135"/>
      <c r="BI1291" s="314" t="s">
        <v>124</v>
      </c>
      <c r="BJ1291" s="314" t="s">
        <v>143</v>
      </c>
      <c r="BK1291" s="24"/>
      <c r="BL1291" s="24"/>
      <c r="BM1291" s="24"/>
      <c r="BN1291" s="24"/>
      <c r="BO1291" s="24"/>
      <c r="BP1291" s="24"/>
      <c r="BQ1291" s="24"/>
      <c r="BR1291" s="43"/>
      <c r="BS1291" s="24"/>
      <c r="BT1291" s="24"/>
      <c r="BU1291" s="24"/>
      <c r="BV1291" s="132" t="e">
        <f>IF(#REF!="COMPLETO","OK","PENDIENTES")</f>
        <v>#REF!</v>
      </c>
      <c r="BW1291" s="325"/>
      <c r="BX1291" s="325"/>
      <c r="BY1291" s="325"/>
      <c r="BZ1291" s="325"/>
      <c r="CA1291" s="325"/>
      <c r="CB1291" s="325"/>
      <c r="CC1291" s="258"/>
      <c r="CG1291" s="24" t="s">
        <v>105</v>
      </c>
      <c r="CH1291" s="24"/>
      <c r="CI1291" s="24"/>
      <c r="CJ1291" s="24"/>
    </row>
    <row r="1292" spans="1:88" ht="15" customHeight="1">
      <c r="A1292" s="18">
        <v>2020</v>
      </c>
      <c r="B1292" s="18" t="str">
        <f>+INDEX(BDD!F:F,MATCH(P1292,BDD!D:D,0))&amp;"-"&amp;INDEX(BDD!E:E,MATCH(P1292,BDD!D:D,0))</f>
        <v>E-S</v>
      </c>
      <c r="C1292" s="125" t="s">
        <v>484</v>
      </c>
      <c r="D1292" s="150" t="s">
        <v>77</v>
      </c>
      <c r="E1292" s="132"/>
      <c r="F1292" s="24"/>
      <c r="G1292" s="346">
        <v>8000001108</v>
      </c>
      <c r="H1292" s="125" t="s">
        <v>5006</v>
      </c>
      <c r="I1292" s="329"/>
      <c r="J1292" s="346">
        <v>8000001108</v>
      </c>
      <c r="K1292" s="24"/>
      <c r="L1292" s="24"/>
      <c r="M1292" s="24"/>
      <c r="N1292" s="340" t="s">
        <v>486</v>
      </c>
      <c r="O1292" s="334">
        <v>203622</v>
      </c>
      <c r="P1292" s="25" t="s">
        <v>341</v>
      </c>
      <c r="Q1292" s="127" t="s">
        <v>210</v>
      </c>
      <c r="R1292" s="232" t="s">
        <v>5007</v>
      </c>
      <c r="S1292" s="89" t="s">
        <v>4795</v>
      </c>
      <c r="T1292" s="36">
        <v>90</v>
      </c>
      <c r="U1292" s="125" t="s">
        <v>118</v>
      </c>
      <c r="V1292" s="147" t="s">
        <v>5008</v>
      </c>
      <c r="W1292" s="129"/>
      <c r="X1292" s="88">
        <v>44309</v>
      </c>
      <c r="Y1292" s="130" t="s">
        <v>20</v>
      </c>
      <c r="Z1292" s="133" t="s">
        <v>60</v>
      </c>
      <c r="AA1292" s="133"/>
      <c r="AB1292" s="241">
        <v>96</v>
      </c>
      <c r="AC1292" s="134">
        <v>705</v>
      </c>
      <c r="AD1292" s="134"/>
      <c r="AE1292" s="403">
        <f t="shared" si="72"/>
        <v>67680</v>
      </c>
      <c r="AF1292" s="132">
        <v>4</v>
      </c>
      <c r="AG1292" s="130" t="s">
        <v>5</v>
      </c>
      <c r="AH1292" s="130"/>
      <c r="AI1292" s="130" t="s">
        <v>34</v>
      </c>
      <c r="AJ1292" s="130"/>
      <c r="AK1292" s="130"/>
      <c r="AL1292" s="135" t="s">
        <v>5009</v>
      </c>
      <c r="AM1292" s="314"/>
      <c r="AN1292" s="26"/>
      <c r="AO1292" s="26"/>
      <c r="AP1292" s="26"/>
      <c r="AQ1292" s="26">
        <v>44237</v>
      </c>
      <c r="AR1292" s="24"/>
      <c r="AS1292" s="24"/>
      <c r="AT1292" s="24">
        <v>44243</v>
      </c>
      <c r="AU1292" s="418">
        <f t="shared" si="73"/>
        <v>2</v>
      </c>
      <c r="AV1292" s="418">
        <f t="shared" si="74"/>
        <v>2021</v>
      </c>
      <c r="AW1292" s="24"/>
      <c r="AX1292" s="28"/>
      <c r="AY1292" s="28" t="s">
        <v>162</v>
      </c>
      <c r="AZ1292" s="132" t="s">
        <v>9</v>
      </c>
      <c r="BA1292" s="132"/>
      <c r="BB1292" s="24" t="s">
        <v>3264</v>
      </c>
      <c r="BC1292" s="135" t="s">
        <v>5010</v>
      </c>
      <c r="BD1292" s="24">
        <v>44214</v>
      </c>
      <c r="BE1292" s="135" t="s">
        <v>2668</v>
      </c>
      <c r="BF1292" s="135" t="s">
        <v>1806</v>
      </c>
      <c r="BG1292" s="135" t="s">
        <v>64</v>
      </c>
      <c r="BH1292" s="135"/>
      <c r="BI1292" s="314" t="s">
        <v>124</v>
      </c>
      <c r="BJ1292" s="314" t="s">
        <v>138</v>
      </c>
      <c r="BK1292" s="24"/>
      <c r="BL1292" s="24"/>
      <c r="BM1292" s="24"/>
      <c r="BN1292" s="24"/>
      <c r="BO1292" s="24"/>
      <c r="BP1292" s="24"/>
      <c r="BQ1292" s="24"/>
      <c r="BR1292" s="43"/>
      <c r="BS1292" s="24"/>
      <c r="BT1292" s="24"/>
      <c r="BU1292" s="24"/>
      <c r="BV1292" s="132" t="e">
        <f>IF(#REF!="COMPLETO","OK","PENDIENTES")</f>
        <v>#REF!</v>
      </c>
      <c r="BW1292" s="325"/>
      <c r="BX1292" s="325"/>
      <c r="BY1292" s="325"/>
      <c r="BZ1292" s="325"/>
      <c r="CA1292" s="325"/>
      <c r="CB1292" s="325"/>
      <c r="CC1292" s="258"/>
      <c r="CG1292" s="24" t="s">
        <v>105</v>
      </c>
      <c r="CH1292" s="24"/>
      <c r="CI1292" s="24"/>
      <c r="CJ1292" s="24"/>
    </row>
    <row r="1293" spans="1:88" ht="15" customHeight="1">
      <c r="A1293" s="18">
        <v>2020</v>
      </c>
      <c r="B1293" s="18" t="str">
        <f>+INDEX(BDD!F:F,MATCH(P1293,BDD!D:D,0))&amp;"-"&amp;INDEX(BDD!E:E,MATCH(P1293,BDD!D:D,0))</f>
        <v>G-C</v>
      </c>
      <c r="C1293" s="125" t="s">
        <v>484</v>
      </c>
      <c r="D1293" s="150" t="s">
        <v>77</v>
      </c>
      <c r="E1293" s="132"/>
      <c r="F1293" s="24"/>
      <c r="G1293" s="346">
        <v>8000001211</v>
      </c>
      <c r="H1293" s="125" t="s">
        <v>5011</v>
      </c>
      <c r="I1293" s="329"/>
      <c r="J1293" s="346">
        <v>8000001211</v>
      </c>
      <c r="K1293" s="24"/>
      <c r="L1293" s="24"/>
      <c r="M1293" s="24"/>
      <c r="N1293" s="340" t="s">
        <v>486</v>
      </c>
      <c r="O1293" s="334">
        <v>206573</v>
      </c>
      <c r="P1293" s="25" t="s">
        <v>226</v>
      </c>
      <c r="Q1293" s="127" t="s">
        <v>291</v>
      </c>
      <c r="R1293" s="232" t="s">
        <v>5012</v>
      </c>
      <c r="S1293" s="89">
        <v>44167</v>
      </c>
      <c r="T1293" s="36">
        <v>150</v>
      </c>
      <c r="U1293" s="125" t="s">
        <v>118</v>
      </c>
      <c r="V1293" s="147" t="s">
        <v>5013</v>
      </c>
      <c r="W1293" s="129"/>
      <c r="X1293" s="88">
        <v>44344</v>
      </c>
      <c r="Y1293" s="130" t="s">
        <v>20</v>
      </c>
      <c r="Z1293" s="133" t="s">
        <v>101</v>
      </c>
      <c r="AA1293" s="133"/>
      <c r="AB1293" s="241">
        <v>1650</v>
      </c>
      <c r="AC1293" s="134">
        <v>253</v>
      </c>
      <c r="AD1293" s="134"/>
      <c r="AE1293" s="403">
        <f t="shared" si="72"/>
        <v>417450</v>
      </c>
      <c r="AF1293" s="132"/>
      <c r="AG1293" s="130" t="s">
        <v>46</v>
      </c>
      <c r="AH1293" s="130"/>
      <c r="AI1293" s="130" t="s">
        <v>100</v>
      </c>
      <c r="AJ1293" s="130"/>
      <c r="AK1293" s="130"/>
      <c r="AL1293" s="135" t="s">
        <v>5014</v>
      </c>
      <c r="AM1293" s="314"/>
      <c r="AN1293" s="26"/>
      <c r="AO1293" s="26"/>
      <c r="AP1293" s="26"/>
      <c r="AQ1293" s="26">
        <v>44221</v>
      </c>
      <c r="AR1293" s="41"/>
      <c r="AS1293" s="41"/>
      <c r="AT1293" s="24">
        <v>44226</v>
      </c>
      <c r="AU1293" s="418">
        <f t="shared" si="73"/>
        <v>1</v>
      </c>
      <c r="AV1293" s="418">
        <f t="shared" si="74"/>
        <v>2021</v>
      </c>
      <c r="AW1293" s="24"/>
      <c r="AX1293" s="28"/>
      <c r="AY1293" s="28" t="s">
        <v>269</v>
      </c>
      <c r="AZ1293" s="132" t="s">
        <v>9</v>
      </c>
      <c r="BA1293" s="132"/>
      <c r="BB1293" s="24" t="s">
        <v>3264</v>
      </c>
      <c r="BC1293" s="135">
        <v>1</v>
      </c>
      <c r="BD1293" s="24">
        <v>44195</v>
      </c>
      <c r="BE1293" s="135" t="s">
        <v>5015</v>
      </c>
      <c r="BF1293" s="135" t="s">
        <v>5015</v>
      </c>
      <c r="BG1293" s="135" t="s">
        <v>52</v>
      </c>
      <c r="BH1293" s="135"/>
      <c r="BI1293" s="314" t="s">
        <v>117</v>
      </c>
      <c r="BJ1293" s="314" t="s">
        <v>143</v>
      </c>
      <c r="BK1293" s="24"/>
      <c r="BL1293" s="24"/>
      <c r="BM1293" s="24"/>
      <c r="BN1293" s="24"/>
      <c r="BO1293" s="41">
        <f>AQ1293-BD1293</f>
        <v>26</v>
      </c>
      <c r="BP1293" s="41"/>
      <c r="BQ1293" s="41"/>
      <c r="BR1293" s="43"/>
      <c r="BS1293" s="41"/>
      <c r="BT1293" s="41"/>
      <c r="BU1293" s="41"/>
      <c r="BV1293" s="132" t="e">
        <f>IF(#REF!="COMPLETO","OK","PENDIENTES")</f>
        <v>#REF!</v>
      </c>
      <c r="BW1293" s="325"/>
      <c r="BX1293" s="325"/>
      <c r="BY1293" s="325"/>
      <c r="BZ1293" s="325"/>
      <c r="CA1293" s="325"/>
      <c r="CB1293" s="325"/>
      <c r="CC1293" s="258"/>
      <c r="CG1293" s="24" t="s">
        <v>105</v>
      </c>
      <c r="CH1293" s="24"/>
      <c r="CI1293" s="24"/>
      <c r="CJ1293" s="24"/>
    </row>
    <row r="1294" spans="1:88" ht="15" customHeight="1">
      <c r="A1294" s="18">
        <v>2020</v>
      </c>
      <c r="B1294" s="18" t="str">
        <f>+INDEX(BDD!F:F,MATCH(P1294,BDD!D:D,0))&amp;"-"&amp;INDEX(BDD!E:E,MATCH(P1294,BDD!D:D,0))</f>
        <v>G-C</v>
      </c>
      <c r="C1294" s="125" t="s">
        <v>484</v>
      </c>
      <c r="D1294" s="150" t="s">
        <v>77</v>
      </c>
      <c r="E1294" s="132"/>
      <c r="F1294" s="24"/>
      <c r="G1294" s="346">
        <v>8000001215</v>
      </c>
      <c r="H1294" s="125" t="s">
        <v>5016</v>
      </c>
      <c r="I1294" s="329"/>
      <c r="J1294" s="346">
        <v>8000001215</v>
      </c>
      <c r="K1294" s="24"/>
      <c r="L1294" s="24"/>
      <c r="M1294" s="24"/>
      <c r="N1294" s="340" t="s">
        <v>486</v>
      </c>
      <c r="O1294" s="334">
        <v>206573</v>
      </c>
      <c r="P1294" s="25" t="s">
        <v>226</v>
      </c>
      <c r="Q1294" s="127" t="s">
        <v>291</v>
      </c>
      <c r="R1294" s="232" t="s">
        <v>5012</v>
      </c>
      <c r="S1294" s="89">
        <v>44167</v>
      </c>
      <c r="T1294" s="36">
        <v>150</v>
      </c>
      <c r="U1294" s="125" t="s">
        <v>118</v>
      </c>
      <c r="V1294" s="147" t="s">
        <v>5017</v>
      </c>
      <c r="W1294" s="129"/>
      <c r="X1294" s="88">
        <v>44344</v>
      </c>
      <c r="Y1294" s="130" t="s">
        <v>20</v>
      </c>
      <c r="Z1294" s="133" t="s">
        <v>101</v>
      </c>
      <c r="AA1294" s="133"/>
      <c r="AB1294" s="241">
        <v>1870</v>
      </c>
      <c r="AC1294" s="134">
        <v>253</v>
      </c>
      <c r="AD1294" s="134"/>
      <c r="AE1294" s="403">
        <f t="shared" si="72"/>
        <v>473110</v>
      </c>
      <c r="AF1294" s="132"/>
      <c r="AG1294" s="130" t="s">
        <v>46</v>
      </c>
      <c r="AH1294" s="130"/>
      <c r="AI1294" s="130" t="s">
        <v>100</v>
      </c>
      <c r="AJ1294" s="130"/>
      <c r="AK1294" s="130"/>
      <c r="AL1294" s="135" t="s">
        <v>5014</v>
      </c>
      <c r="AM1294" s="314"/>
      <c r="AN1294" s="26"/>
      <c r="AO1294" s="26"/>
      <c r="AP1294" s="26"/>
      <c r="AQ1294" s="26">
        <v>44227</v>
      </c>
      <c r="AR1294" s="41"/>
      <c r="AS1294" s="41"/>
      <c r="AT1294" s="24">
        <v>44229</v>
      </c>
      <c r="AU1294" s="418">
        <f t="shared" si="73"/>
        <v>2</v>
      </c>
      <c r="AV1294" s="418">
        <f t="shared" si="74"/>
        <v>2021</v>
      </c>
      <c r="AW1294" s="24"/>
      <c r="AX1294" s="28"/>
      <c r="AY1294" s="28" t="s">
        <v>269</v>
      </c>
      <c r="AZ1294" s="132" t="s">
        <v>25</v>
      </c>
      <c r="BA1294" s="132"/>
      <c r="BB1294" s="24" t="s">
        <v>3264</v>
      </c>
      <c r="BC1294" s="135">
        <v>2</v>
      </c>
      <c r="BD1294" s="24">
        <v>44195</v>
      </c>
      <c r="BE1294" s="135" t="s">
        <v>5015</v>
      </c>
      <c r="BF1294" s="135" t="s">
        <v>5015</v>
      </c>
      <c r="BG1294" s="135" t="s">
        <v>52</v>
      </c>
      <c r="BH1294" s="135"/>
      <c r="BI1294" s="314" t="s">
        <v>117</v>
      </c>
      <c r="BJ1294" s="314" t="s">
        <v>143</v>
      </c>
      <c r="BK1294" s="24"/>
      <c r="BL1294" s="24"/>
      <c r="BM1294" s="24"/>
      <c r="BN1294" s="24"/>
      <c r="BO1294" s="41">
        <f>AQ1294-BD1294</f>
        <v>32</v>
      </c>
      <c r="BP1294" s="41"/>
      <c r="BQ1294" s="41"/>
      <c r="BR1294" s="43"/>
      <c r="BS1294" s="41"/>
      <c r="BT1294" s="41"/>
      <c r="BU1294" s="41"/>
      <c r="BV1294" s="132" t="e">
        <f>IF(#REF!="COMPLETO","OK","PENDIENTES")</f>
        <v>#REF!</v>
      </c>
      <c r="BW1294" s="325"/>
      <c r="BX1294" s="325"/>
      <c r="BY1294" s="325"/>
      <c r="BZ1294" s="325"/>
      <c r="CA1294" s="325"/>
      <c r="CB1294" s="325"/>
      <c r="CC1294" s="258"/>
      <c r="CG1294" s="24" t="s">
        <v>105</v>
      </c>
      <c r="CH1294" s="24"/>
      <c r="CI1294" s="24"/>
      <c r="CJ1294" s="24"/>
    </row>
    <row r="1295" spans="1:88" ht="15" customHeight="1">
      <c r="A1295" s="18">
        <v>2020</v>
      </c>
      <c r="B1295" s="18" t="str">
        <f>+INDEX(BDD!F:F,MATCH(P1295,BDD!D:D,0))&amp;"-"&amp;INDEX(BDD!E:E,MATCH(P1295,BDD!D:D,0))</f>
        <v>G-C</v>
      </c>
      <c r="C1295" s="125" t="s">
        <v>484</v>
      </c>
      <c r="D1295" s="150" t="s">
        <v>77</v>
      </c>
      <c r="E1295" s="132"/>
      <c r="F1295" s="24"/>
      <c r="G1295" s="346">
        <v>8000001231</v>
      </c>
      <c r="H1295" s="125" t="s">
        <v>5018</v>
      </c>
      <c r="I1295" s="329"/>
      <c r="J1295" s="346">
        <v>8000001231</v>
      </c>
      <c r="K1295" s="24"/>
      <c r="L1295" s="24"/>
      <c r="M1295" s="24"/>
      <c r="N1295" s="340" t="s">
        <v>486</v>
      </c>
      <c r="O1295" s="334">
        <v>206573</v>
      </c>
      <c r="P1295" s="25" t="s">
        <v>226</v>
      </c>
      <c r="Q1295" s="127" t="s">
        <v>291</v>
      </c>
      <c r="R1295" s="232" t="s">
        <v>5012</v>
      </c>
      <c r="S1295" s="89">
        <v>44167</v>
      </c>
      <c r="T1295" s="36">
        <v>150</v>
      </c>
      <c r="U1295" s="125" t="s">
        <v>118</v>
      </c>
      <c r="V1295" s="147" t="s">
        <v>5019</v>
      </c>
      <c r="W1295" s="129"/>
      <c r="X1295" s="88">
        <v>44344</v>
      </c>
      <c r="Y1295" s="130" t="s">
        <v>20</v>
      </c>
      <c r="Z1295" s="133" t="s">
        <v>101</v>
      </c>
      <c r="AA1295" s="133"/>
      <c r="AB1295" s="241">
        <v>1540</v>
      </c>
      <c r="AC1295" s="134">
        <v>253</v>
      </c>
      <c r="AD1295" s="134"/>
      <c r="AE1295" s="403">
        <f t="shared" si="72"/>
        <v>389620</v>
      </c>
      <c r="AF1295" s="132"/>
      <c r="AG1295" s="130" t="s">
        <v>46</v>
      </c>
      <c r="AH1295" s="130"/>
      <c r="AI1295" s="130" t="s">
        <v>100</v>
      </c>
      <c r="AJ1295" s="130"/>
      <c r="AK1295" s="130"/>
      <c r="AL1295" s="135" t="s">
        <v>5014</v>
      </c>
      <c r="AM1295" s="314"/>
      <c r="AN1295" s="26"/>
      <c r="AO1295" s="26"/>
      <c r="AP1295" s="26"/>
      <c r="AQ1295" s="26">
        <v>44236</v>
      </c>
      <c r="AR1295" s="41"/>
      <c r="AS1295" s="41"/>
      <c r="AT1295" s="24">
        <v>44238</v>
      </c>
      <c r="AU1295" s="418">
        <f t="shared" si="73"/>
        <v>2</v>
      </c>
      <c r="AV1295" s="418">
        <f t="shared" si="74"/>
        <v>2021</v>
      </c>
      <c r="AW1295" s="24"/>
      <c r="AX1295" s="28"/>
      <c r="AY1295" s="28" t="s">
        <v>269</v>
      </c>
      <c r="AZ1295" s="132" t="s">
        <v>50</v>
      </c>
      <c r="BA1295" s="132"/>
      <c r="BB1295" s="24" t="s">
        <v>2956</v>
      </c>
      <c r="BC1295" s="135">
        <v>3</v>
      </c>
      <c r="BD1295" s="24">
        <v>44195</v>
      </c>
      <c r="BE1295" s="135" t="s">
        <v>5015</v>
      </c>
      <c r="BF1295" s="135" t="s">
        <v>5015</v>
      </c>
      <c r="BG1295" s="135" t="s">
        <v>52</v>
      </c>
      <c r="BH1295" s="135"/>
      <c r="BI1295" s="314" t="s">
        <v>117</v>
      </c>
      <c r="BJ1295" s="314" t="s">
        <v>143</v>
      </c>
      <c r="BK1295" s="24"/>
      <c r="BL1295" s="24"/>
      <c r="BM1295" s="24"/>
      <c r="BN1295" s="24"/>
      <c r="BO1295" s="41">
        <f>AQ1295-BD1295</f>
        <v>41</v>
      </c>
      <c r="BP1295" s="41"/>
      <c r="BQ1295" s="41"/>
      <c r="BR1295" s="43"/>
      <c r="BS1295" s="41"/>
      <c r="BT1295" s="41"/>
      <c r="BU1295" s="41"/>
      <c r="BV1295" s="132" t="e">
        <f>IF(#REF!="COMPLETO","OK","PENDIENTES")</f>
        <v>#REF!</v>
      </c>
      <c r="BW1295" s="325"/>
      <c r="BX1295" s="325"/>
      <c r="BY1295" s="325"/>
      <c r="BZ1295" s="325"/>
      <c r="CA1295" s="325"/>
      <c r="CB1295" s="325"/>
      <c r="CC1295" s="258"/>
      <c r="CG1295" s="24" t="s">
        <v>105</v>
      </c>
      <c r="CH1295" s="24"/>
      <c r="CI1295" s="24"/>
      <c r="CJ1295" s="24"/>
    </row>
    <row r="1296" spans="1:88" ht="15" customHeight="1">
      <c r="A1296" s="18">
        <v>2020</v>
      </c>
      <c r="B1296" s="18" t="str">
        <f>+INDEX(BDD!F:F,MATCH(P1296,BDD!D:D,0))&amp;"-"&amp;INDEX(BDD!E:E,MATCH(P1296,BDD!D:D,0))</f>
        <v>G-C</v>
      </c>
      <c r="C1296" s="125" t="s">
        <v>484</v>
      </c>
      <c r="D1296" s="150" t="s">
        <v>77</v>
      </c>
      <c r="E1296" s="132"/>
      <c r="F1296" s="24"/>
      <c r="G1296" s="346">
        <v>8000001228</v>
      </c>
      <c r="H1296" s="125" t="s">
        <v>5020</v>
      </c>
      <c r="I1296" s="329"/>
      <c r="J1296" s="346">
        <v>8000001228</v>
      </c>
      <c r="K1296" s="24"/>
      <c r="L1296" s="24"/>
      <c r="M1296" s="24"/>
      <c r="N1296" s="340" t="s">
        <v>486</v>
      </c>
      <c r="O1296" s="334">
        <v>206573</v>
      </c>
      <c r="P1296" s="25" t="s">
        <v>226</v>
      </c>
      <c r="Q1296" s="127" t="s">
        <v>291</v>
      </c>
      <c r="R1296" s="232" t="s">
        <v>5012</v>
      </c>
      <c r="S1296" s="89">
        <v>44167</v>
      </c>
      <c r="T1296" s="36">
        <v>150</v>
      </c>
      <c r="U1296" s="125" t="s">
        <v>118</v>
      </c>
      <c r="V1296" s="147" t="s">
        <v>5021</v>
      </c>
      <c r="W1296" s="129"/>
      <c r="X1296" s="88">
        <v>44344</v>
      </c>
      <c r="Y1296" s="130" t="s">
        <v>20</v>
      </c>
      <c r="Z1296" s="133" t="s">
        <v>101</v>
      </c>
      <c r="AA1296" s="133"/>
      <c r="AB1296" s="241">
        <v>440</v>
      </c>
      <c r="AC1296" s="134">
        <v>253</v>
      </c>
      <c r="AD1296" s="134"/>
      <c r="AE1296" s="403">
        <f t="shared" si="72"/>
        <v>111320</v>
      </c>
      <c r="AF1296" s="132"/>
      <c r="AG1296" s="130" t="s">
        <v>46</v>
      </c>
      <c r="AH1296" s="130"/>
      <c r="AI1296" s="130" t="s">
        <v>100</v>
      </c>
      <c r="AJ1296" s="130"/>
      <c r="AK1296" s="130"/>
      <c r="AL1296" s="135" t="s">
        <v>5014</v>
      </c>
      <c r="AM1296" s="314"/>
      <c r="AN1296" s="26"/>
      <c r="AO1296" s="26"/>
      <c r="AP1296" s="26"/>
      <c r="AQ1296" s="26">
        <v>44239</v>
      </c>
      <c r="AR1296" s="41"/>
      <c r="AS1296" s="41"/>
      <c r="AT1296" s="24">
        <v>44242</v>
      </c>
      <c r="AU1296" s="418">
        <f t="shared" si="73"/>
        <v>2</v>
      </c>
      <c r="AV1296" s="418">
        <f t="shared" si="74"/>
        <v>2021</v>
      </c>
      <c r="AW1296" s="24"/>
      <c r="AX1296" s="28"/>
      <c r="AY1296" s="28" t="s">
        <v>269</v>
      </c>
      <c r="AZ1296" s="132" t="s">
        <v>62</v>
      </c>
      <c r="BA1296" s="132"/>
      <c r="BB1296" s="24" t="s">
        <v>3264</v>
      </c>
      <c r="BC1296" s="135">
        <v>4</v>
      </c>
      <c r="BD1296" s="24">
        <v>44195</v>
      </c>
      <c r="BE1296" s="135" t="s">
        <v>5015</v>
      </c>
      <c r="BF1296" s="135" t="s">
        <v>5015</v>
      </c>
      <c r="BG1296" s="135" t="s">
        <v>52</v>
      </c>
      <c r="BH1296" s="135"/>
      <c r="BI1296" s="314" t="s">
        <v>117</v>
      </c>
      <c r="BJ1296" s="314" t="s">
        <v>143</v>
      </c>
      <c r="BK1296" s="24"/>
      <c r="BL1296" s="24"/>
      <c r="BM1296" s="24"/>
      <c r="BN1296" s="24"/>
      <c r="BO1296" s="41">
        <f>AQ1296-BD1296</f>
        <v>44</v>
      </c>
      <c r="BP1296" s="41"/>
      <c r="BQ1296" s="41"/>
      <c r="BR1296" s="43"/>
      <c r="BS1296" s="41"/>
      <c r="BT1296" s="41"/>
      <c r="BU1296" s="41"/>
      <c r="BV1296" s="132" t="e">
        <f>IF(#REF!="COMPLETO","OK","PENDIENTES")</f>
        <v>#REF!</v>
      </c>
      <c r="BW1296" s="325"/>
      <c r="BX1296" s="325"/>
      <c r="BY1296" s="325"/>
      <c r="BZ1296" s="325"/>
      <c r="CA1296" s="325"/>
      <c r="CB1296" s="325"/>
      <c r="CC1296" s="258"/>
      <c r="CG1296" s="24" t="s">
        <v>105</v>
      </c>
      <c r="CH1296" s="24"/>
      <c r="CI1296" s="24"/>
      <c r="CJ1296" s="24"/>
    </row>
    <row r="1297" spans="1:88" ht="15" customHeight="1">
      <c r="A1297" s="18">
        <v>2020</v>
      </c>
      <c r="B1297" s="18" t="str">
        <f>+INDEX(BDD!F:F,MATCH(P1297,BDD!D:D,0))&amp;"-"&amp;INDEX(BDD!E:E,MATCH(P1297,BDD!D:D,0))</f>
        <v>G-S</v>
      </c>
      <c r="C1297" s="125" t="s">
        <v>484</v>
      </c>
      <c r="D1297" s="150" t="s">
        <v>77</v>
      </c>
      <c r="E1297" s="132"/>
      <c r="F1297" s="24"/>
      <c r="G1297" s="346">
        <v>8000001229</v>
      </c>
      <c r="H1297" s="125" t="s">
        <v>5022</v>
      </c>
      <c r="I1297" s="329"/>
      <c r="J1297" s="346">
        <v>8000001229</v>
      </c>
      <c r="K1297" s="24"/>
      <c r="L1297" s="24"/>
      <c r="M1297" s="24"/>
      <c r="N1297" s="340" t="s">
        <v>486</v>
      </c>
      <c r="O1297" s="334">
        <v>207951</v>
      </c>
      <c r="P1297" s="25" t="s">
        <v>354</v>
      </c>
      <c r="Q1297" s="127" t="s">
        <v>291</v>
      </c>
      <c r="R1297" s="232" t="s">
        <v>5012</v>
      </c>
      <c r="S1297" s="89">
        <v>44167</v>
      </c>
      <c r="T1297" s="36">
        <v>150</v>
      </c>
      <c r="U1297" s="125" t="s">
        <v>118</v>
      </c>
      <c r="V1297" s="147" t="s">
        <v>5023</v>
      </c>
      <c r="W1297" s="129"/>
      <c r="X1297" s="88">
        <v>44344</v>
      </c>
      <c r="Y1297" s="130" t="s">
        <v>20</v>
      </c>
      <c r="Z1297" s="133" t="s">
        <v>101</v>
      </c>
      <c r="AA1297" s="133"/>
      <c r="AB1297" s="241">
        <v>1100</v>
      </c>
      <c r="AC1297" s="134">
        <v>294.64999999999998</v>
      </c>
      <c r="AD1297" s="134"/>
      <c r="AE1297" s="403">
        <f t="shared" si="72"/>
        <v>324115</v>
      </c>
      <c r="AF1297" s="132"/>
      <c r="AG1297" s="130" t="s">
        <v>46</v>
      </c>
      <c r="AH1297" s="130"/>
      <c r="AI1297" s="130" t="s">
        <v>100</v>
      </c>
      <c r="AJ1297" s="130"/>
      <c r="AK1297" s="130"/>
      <c r="AL1297" s="135" t="s">
        <v>5014</v>
      </c>
      <c r="AM1297" s="314"/>
      <c r="AN1297" s="26"/>
      <c r="AO1297" s="26"/>
      <c r="AP1297" s="26"/>
      <c r="AQ1297" s="26">
        <f>+AQ1296</f>
        <v>44239</v>
      </c>
      <c r="AR1297" s="24"/>
      <c r="AS1297" s="24"/>
      <c r="AT1297" s="24">
        <v>44242</v>
      </c>
      <c r="AU1297" s="418">
        <f t="shared" si="73"/>
        <v>2</v>
      </c>
      <c r="AV1297" s="418">
        <f t="shared" si="74"/>
        <v>2021</v>
      </c>
      <c r="AW1297" s="24"/>
      <c r="AX1297" s="28"/>
      <c r="AY1297" s="28" t="s">
        <v>269</v>
      </c>
      <c r="AZ1297" s="132" t="s">
        <v>62</v>
      </c>
      <c r="BA1297" s="132"/>
      <c r="BB1297" s="24" t="s">
        <v>3264</v>
      </c>
      <c r="BC1297" s="135">
        <v>5</v>
      </c>
      <c r="BD1297" s="24">
        <v>44195</v>
      </c>
      <c r="BE1297" s="135" t="s">
        <v>5015</v>
      </c>
      <c r="BF1297" s="135" t="s">
        <v>5015</v>
      </c>
      <c r="BG1297" s="135" t="s">
        <v>52</v>
      </c>
      <c r="BH1297" s="135"/>
      <c r="BI1297" s="314" t="s">
        <v>117</v>
      </c>
      <c r="BJ1297" s="314" t="s">
        <v>143</v>
      </c>
      <c r="BK1297" s="24"/>
      <c r="BL1297" s="24"/>
      <c r="BM1297" s="24"/>
      <c r="BN1297" s="24"/>
      <c r="BO1297" s="24"/>
      <c r="BP1297" s="24"/>
      <c r="BQ1297" s="24"/>
      <c r="BR1297" s="43"/>
      <c r="BS1297" s="24"/>
      <c r="BT1297" s="24"/>
      <c r="BU1297" s="24"/>
      <c r="BV1297" s="132" t="e">
        <f>IF(#REF!="COMPLETO","OK","PENDIENTES")</f>
        <v>#REF!</v>
      </c>
      <c r="BW1297" s="325"/>
      <c r="BX1297" s="325"/>
      <c r="BY1297" s="325"/>
      <c r="BZ1297" s="325"/>
      <c r="CA1297" s="325"/>
      <c r="CB1297" s="325"/>
      <c r="CC1297" s="258"/>
      <c r="CG1297" s="24" t="s">
        <v>105</v>
      </c>
      <c r="CH1297" s="24"/>
      <c r="CI1297" s="24"/>
      <c r="CJ1297" s="24"/>
    </row>
    <row r="1298" spans="1:88" ht="15" customHeight="1">
      <c r="A1298" s="18">
        <v>2020</v>
      </c>
      <c r="B1298" s="18" t="str">
        <f>+INDEX(BDD!F:F,MATCH(P1298,BDD!D:D,0))&amp;"-"&amp;INDEX(BDD!E:E,MATCH(P1298,BDD!D:D,0))</f>
        <v>G-S</v>
      </c>
      <c r="C1298" s="125" t="s">
        <v>484</v>
      </c>
      <c r="D1298" s="150" t="s">
        <v>77</v>
      </c>
      <c r="E1298" s="132"/>
      <c r="F1298" s="24"/>
      <c r="G1298" s="346">
        <v>8000001216</v>
      </c>
      <c r="H1298" s="125" t="s">
        <v>5024</v>
      </c>
      <c r="I1298" s="329"/>
      <c r="J1298" s="346">
        <v>8000001216</v>
      </c>
      <c r="K1298" s="24"/>
      <c r="L1298" s="24"/>
      <c r="M1298" s="24"/>
      <c r="N1298" s="340" t="s">
        <v>486</v>
      </c>
      <c r="O1298" s="334">
        <v>206597</v>
      </c>
      <c r="P1298" s="25" t="s">
        <v>104</v>
      </c>
      <c r="Q1298" s="127" t="s">
        <v>285</v>
      </c>
      <c r="R1298" s="232" t="s">
        <v>5025</v>
      </c>
      <c r="S1298" s="89" t="s">
        <v>921</v>
      </c>
      <c r="T1298" s="36">
        <v>180</v>
      </c>
      <c r="U1298" s="125" t="s">
        <v>118</v>
      </c>
      <c r="V1298" s="147" t="s">
        <v>5026</v>
      </c>
      <c r="W1298" s="129"/>
      <c r="X1298" s="88">
        <v>44375</v>
      </c>
      <c r="Y1298" s="130" t="s">
        <v>20</v>
      </c>
      <c r="Z1298" s="133" t="s">
        <v>60</v>
      </c>
      <c r="AA1298" s="133"/>
      <c r="AB1298" s="241">
        <v>1060</v>
      </c>
      <c r="AC1298" s="134">
        <v>255</v>
      </c>
      <c r="AD1298" s="134"/>
      <c r="AE1298" s="403">
        <f t="shared" si="72"/>
        <v>270300</v>
      </c>
      <c r="AF1298" s="132"/>
      <c r="AG1298" s="130" t="s">
        <v>46</v>
      </c>
      <c r="AH1298" s="130"/>
      <c r="AI1298" s="130" t="s">
        <v>100</v>
      </c>
      <c r="AJ1298" s="130"/>
      <c r="AK1298" s="130"/>
      <c r="AL1298" s="135" t="s">
        <v>5014</v>
      </c>
      <c r="AM1298" s="314"/>
      <c r="AN1298" s="26"/>
      <c r="AO1298" s="26"/>
      <c r="AP1298" s="26"/>
      <c r="AQ1298" s="26">
        <f>+AQ1294</f>
        <v>44227</v>
      </c>
      <c r="AR1298" s="24"/>
      <c r="AS1298" s="24"/>
      <c r="AT1298" s="24">
        <v>44229</v>
      </c>
      <c r="AU1298" s="418">
        <f t="shared" si="73"/>
        <v>2</v>
      </c>
      <c r="AV1298" s="418">
        <f t="shared" si="74"/>
        <v>2021</v>
      </c>
      <c r="AW1298" s="24"/>
      <c r="AX1298" s="24"/>
      <c r="AY1298" s="24" t="s">
        <v>269</v>
      </c>
      <c r="AZ1298" s="132" t="s">
        <v>25</v>
      </c>
      <c r="BA1298" s="132"/>
      <c r="BB1298" s="24" t="s">
        <v>3264</v>
      </c>
      <c r="BC1298" s="135">
        <v>28</v>
      </c>
      <c r="BD1298" s="24">
        <v>44195</v>
      </c>
      <c r="BE1298" s="135" t="s">
        <v>5015</v>
      </c>
      <c r="BF1298" s="135" t="s">
        <v>5015</v>
      </c>
      <c r="BG1298" s="135" t="s">
        <v>52</v>
      </c>
      <c r="BH1298" s="135"/>
      <c r="BI1298" s="314" t="s">
        <v>117</v>
      </c>
      <c r="BJ1298" s="314" t="s">
        <v>143</v>
      </c>
      <c r="BK1298" s="24"/>
      <c r="BL1298" s="24"/>
      <c r="BM1298" s="24"/>
      <c r="BN1298" s="24"/>
      <c r="BO1298" s="24"/>
      <c r="BP1298" s="24"/>
      <c r="BQ1298" s="24"/>
      <c r="BR1298" s="43"/>
      <c r="BS1298" s="24"/>
      <c r="BT1298" s="24"/>
      <c r="BU1298" s="24"/>
      <c r="BV1298" s="132" t="e">
        <f>IF(#REF!="COMPLETO","OK","PENDIENTES")</f>
        <v>#REF!</v>
      </c>
      <c r="BW1298" s="132"/>
      <c r="BX1298" s="132"/>
      <c r="BY1298" s="132"/>
      <c r="BZ1298" s="132"/>
      <c r="CA1298" s="132"/>
      <c r="CB1298" s="132"/>
      <c r="CC1298" s="269"/>
      <c r="CG1298" s="24" t="s">
        <v>105</v>
      </c>
      <c r="CH1298" s="24"/>
      <c r="CI1298" s="24"/>
      <c r="CJ1298" s="24"/>
    </row>
    <row r="1299" spans="1:88" ht="15" customHeight="1">
      <c r="A1299" s="18">
        <v>2020</v>
      </c>
      <c r="B1299" s="18" t="str">
        <f>+INDEX(BDD!F:F,MATCH(P1299,BDD!D:D,0))&amp;"-"&amp;INDEX(BDD!E:E,MATCH(P1299,BDD!D:D,0))</f>
        <v>G-S</v>
      </c>
      <c r="C1299" s="125" t="s">
        <v>484</v>
      </c>
      <c r="D1299" s="150" t="s">
        <v>77</v>
      </c>
      <c r="E1299" s="132"/>
      <c r="F1299" s="24"/>
      <c r="G1299" s="346">
        <v>8000001219</v>
      </c>
      <c r="H1299" s="125" t="s">
        <v>5027</v>
      </c>
      <c r="I1299" s="329"/>
      <c r="J1299" s="346">
        <v>8000001219</v>
      </c>
      <c r="K1299" s="24"/>
      <c r="L1299" s="24"/>
      <c r="M1299" s="24"/>
      <c r="N1299" s="340" t="s">
        <v>486</v>
      </c>
      <c r="O1299" s="334">
        <v>206597</v>
      </c>
      <c r="P1299" s="25" t="s">
        <v>104</v>
      </c>
      <c r="Q1299" s="127" t="s">
        <v>285</v>
      </c>
      <c r="R1299" s="232" t="s">
        <v>5025</v>
      </c>
      <c r="S1299" s="89" t="s">
        <v>921</v>
      </c>
      <c r="T1299" s="36">
        <v>180</v>
      </c>
      <c r="U1299" s="125" t="s">
        <v>118</v>
      </c>
      <c r="V1299" s="147" t="s">
        <v>5028</v>
      </c>
      <c r="W1299" s="129"/>
      <c r="X1299" s="88">
        <v>44375</v>
      </c>
      <c r="Y1299" s="130" t="s">
        <v>20</v>
      </c>
      <c r="Z1299" s="133" t="s">
        <v>60</v>
      </c>
      <c r="AA1299" s="133"/>
      <c r="AB1299" s="241">
        <v>2300</v>
      </c>
      <c r="AC1299" s="134">
        <v>255</v>
      </c>
      <c r="AD1299" s="134"/>
      <c r="AE1299" s="403">
        <f t="shared" si="72"/>
        <v>586500</v>
      </c>
      <c r="AF1299" s="132"/>
      <c r="AG1299" s="130" t="s">
        <v>46</v>
      </c>
      <c r="AH1299" s="130"/>
      <c r="AI1299" s="130" t="s">
        <v>100</v>
      </c>
      <c r="AJ1299" s="130"/>
      <c r="AK1299" s="130"/>
      <c r="AL1299" s="135" t="s">
        <v>5014</v>
      </c>
      <c r="AM1299" s="314"/>
      <c r="AN1299" s="26"/>
      <c r="AO1299" s="26"/>
      <c r="AP1299" s="26"/>
      <c r="AQ1299" s="26">
        <v>44230</v>
      </c>
      <c r="AR1299" s="24"/>
      <c r="AS1299" s="24"/>
      <c r="AT1299" s="24">
        <v>44235</v>
      </c>
      <c r="AU1299" s="418">
        <f t="shared" si="73"/>
        <v>2</v>
      </c>
      <c r="AV1299" s="418">
        <f t="shared" si="74"/>
        <v>2021</v>
      </c>
      <c r="AW1299" s="24"/>
      <c r="AX1299" s="24"/>
      <c r="AY1299" s="24" t="s">
        <v>269</v>
      </c>
      <c r="AZ1299" s="132" t="s">
        <v>37</v>
      </c>
      <c r="BA1299" s="132"/>
      <c r="BB1299" s="24" t="s">
        <v>3593</v>
      </c>
      <c r="BC1299" s="135">
        <v>29</v>
      </c>
      <c r="BD1299" s="24">
        <v>44195</v>
      </c>
      <c r="BE1299" s="135" t="s">
        <v>5015</v>
      </c>
      <c r="BF1299" s="135" t="s">
        <v>5015</v>
      </c>
      <c r="BG1299" s="135" t="s">
        <v>52</v>
      </c>
      <c r="BH1299" s="135"/>
      <c r="BI1299" s="314" t="s">
        <v>117</v>
      </c>
      <c r="BJ1299" s="314" t="s">
        <v>143</v>
      </c>
      <c r="BK1299" s="24"/>
      <c r="BL1299" s="24"/>
      <c r="BM1299" s="24"/>
      <c r="BN1299" s="24"/>
      <c r="BO1299" s="24"/>
      <c r="BP1299" s="24"/>
      <c r="BQ1299" s="24"/>
      <c r="BR1299" s="43"/>
      <c r="BS1299" s="24"/>
      <c r="BT1299" s="24"/>
      <c r="BU1299" s="24"/>
      <c r="BV1299" s="132" t="e">
        <f>IF(#REF!="COMPLETO","OK","PENDIENTES")</f>
        <v>#REF!</v>
      </c>
      <c r="BW1299" s="132"/>
      <c r="BX1299" s="132"/>
      <c r="BY1299" s="132"/>
      <c r="BZ1299" s="132"/>
      <c r="CA1299" s="132"/>
      <c r="CB1299" s="132"/>
      <c r="CC1299" s="269"/>
      <c r="CG1299" s="24" t="s">
        <v>105</v>
      </c>
      <c r="CH1299" s="24"/>
      <c r="CI1299" s="24"/>
      <c r="CJ1299" s="24"/>
    </row>
    <row r="1300" spans="1:88" ht="15" customHeight="1">
      <c r="A1300" s="18">
        <v>2020</v>
      </c>
      <c r="B1300" s="18" t="str">
        <f>+INDEX(BDD!F:F,MATCH(P1300,BDD!D:D,0))&amp;"-"&amp;INDEX(BDD!E:E,MATCH(P1300,BDD!D:D,0))</f>
        <v>G-S</v>
      </c>
      <c r="C1300" s="125" t="s">
        <v>484</v>
      </c>
      <c r="D1300" s="150" t="s">
        <v>77</v>
      </c>
      <c r="E1300" s="132"/>
      <c r="F1300" s="24"/>
      <c r="G1300" s="346">
        <v>8000001227</v>
      </c>
      <c r="H1300" s="125" t="s">
        <v>5029</v>
      </c>
      <c r="I1300" s="329"/>
      <c r="J1300" s="346">
        <v>8000001227</v>
      </c>
      <c r="K1300" s="24"/>
      <c r="L1300" s="24"/>
      <c r="M1300" s="24"/>
      <c r="N1300" s="340" t="s">
        <v>486</v>
      </c>
      <c r="O1300" s="334">
        <v>206597</v>
      </c>
      <c r="P1300" s="25" t="s">
        <v>104</v>
      </c>
      <c r="Q1300" s="127" t="s">
        <v>285</v>
      </c>
      <c r="R1300" s="232" t="s">
        <v>5025</v>
      </c>
      <c r="S1300" s="89" t="s">
        <v>921</v>
      </c>
      <c r="T1300" s="36">
        <v>180</v>
      </c>
      <c r="U1300" s="125" t="s">
        <v>118</v>
      </c>
      <c r="V1300" s="147" t="s">
        <v>5030</v>
      </c>
      <c r="W1300" s="129"/>
      <c r="X1300" s="88">
        <v>44375</v>
      </c>
      <c r="Y1300" s="130" t="s">
        <v>20</v>
      </c>
      <c r="Z1300" s="133" t="s">
        <v>60</v>
      </c>
      <c r="AA1300" s="133"/>
      <c r="AB1300" s="241">
        <v>640</v>
      </c>
      <c r="AC1300" s="134">
        <v>255</v>
      </c>
      <c r="AD1300" s="134"/>
      <c r="AE1300" s="403">
        <f t="shared" si="72"/>
        <v>163200</v>
      </c>
      <c r="AF1300" s="132"/>
      <c r="AG1300" s="130" t="s">
        <v>46</v>
      </c>
      <c r="AH1300" s="130"/>
      <c r="AI1300" s="130" t="s">
        <v>100</v>
      </c>
      <c r="AJ1300" s="130"/>
      <c r="AK1300" s="130"/>
      <c r="AL1300" s="135" t="s">
        <v>5014</v>
      </c>
      <c r="AM1300" s="314"/>
      <c r="AN1300" s="26"/>
      <c r="AO1300" s="26"/>
      <c r="AP1300" s="26"/>
      <c r="AQ1300" s="26">
        <f>+AQ1296</f>
        <v>44239</v>
      </c>
      <c r="AR1300" s="24"/>
      <c r="AS1300" s="24"/>
      <c r="AT1300" s="24">
        <v>44242</v>
      </c>
      <c r="AU1300" s="418">
        <f t="shared" si="73"/>
        <v>2</v>
      </c>
      <c r="AV1300" s="418">
        <f t="shared" si="74"/>
        <v>2021</v>
      </c>
      <c r="AW1300" s="24"/>
      <c r="AX1300" s="24"/>
      <c r="AY1300" s="24" t="s">
        <v>269</v>
      </c>
      <c r="AZ1300" s="132" t="s">
        <v>62</v>
      </c>
      <c r="BA1300" s="132"/>
      <c r="BB1300" s="24" t="s">
        <v>3264</v>
      </c>
      <c r="BC1300" s="135">
        <v>30</v>
      </c>
      <c r="BD1300" s="24">
        <v>44195</v>
      </c>
      <c r="BE1300" s="135" t="s">
        <v>5015</v>
      </c>
      <c r="BF1300" s="135" t="s">
        <v>5015</v>
      </c>
      <c r="BG1300" s="135" t="s">
        <v>52</v>
      </c>
      <c r="BH1300" s="135"/>
      <c r="BI1300" s="314" t="s">
        <v>117</v>
      </c>
      <c r="BJ1300" s="314" t="s">
        <v>143</v>
      </c>
      <c r="BK1300" s="24"/>
      <c r="BL1300" s="24"/>
      <c r="BM1300" s="24"/>
      <c r="BN1300" s="24"/>
      <c r="BO1300" s="24"/>
      <c r="BP1300" s="24"/>
      <c r="BQ1300" s="24"/>
      <c r="BR1300" s="43"/>
      <c r="BS1300" s="24"/>
      <c r="BT1300" s="24"/>
      <c r="BU1300" s="24"/>
      <c r="BV1300" s="132" t="e">
        <f>IF(#REF!="COMPLETO","OK","PENDIENTES")</f>
        <v>#REF!</v>
      </c>
      <c r="BW1300" s="132"/>
      <c r="BX1300" s="132"/>
      <c r="BY1300" s="132"/>
      <c r="BZ1300" s="132"/>
      <c r="CA1300" s="132"/>
      <c r="CB1300" s="132"/>
      <c r="CC1300" s="269"/>
      <c r="CG1300" s="24" t="s">
        <v>105</v>
      </c>
      <c r="CH1300" s="24"/>
      <c r="CI1300" s="24"/>
      <c r="CJ1300" s="24"/>
    </row>
    <row r="1301" spans="1:88" ht="15" customHeight="1">
      <c r="A1301" s="18">
        <v>2020</v>
      </c>
      <c r="B1301" s="18" t="str">
        <f>+INDEX(BDD!F:F,MATCH(P1301,BDD!D:D,0))&amp;"-"&amp;INDEX(BDD!E:E,MATCH(P1301,BDD!D:D,0))</f>
        <v>E-S</v>
      </c>
      <c r="C1301" s="125" t="s">
        <v>484</v>
      </c>
      <c r="D1301" s="152" t="s">
        <v>92</v>
      </c>
      <c r="E1301" s="132"/>
      <c r="F1301" s="24"/>
      <c r="G1301" s="346"/>
      <c r="H1301" s="125" t="s">
        <v>5031</v>
      </c>
      <c r="I1301" s="330"/>
      <c r="J1301" s="346"/>
      <c r="K1301" s="24"/>
      <c r="L1301" s="24"/>
      <c r="M1301" s="24"/>
      <c r="N1301" s="340"/>
      <c r="O1301" s="334"/>
      <c r="P1301" s="25" t="s">
        <v>341</v>
      </c>
      <c r="Q1301" s="127" t="s">
        <v>210</v>
      </c>
      <c r="R1301" s="232"/>
      <c r="S1301" s="89"/>
      <c r="T1301" s="36"/>
      <c r="U1301" s="125"/>
      <c r="V1301" s="147"/>
      <c r="W1301" s="129"/>
      <c r="X1301" s="88"/>
      <c r="Y1301" s="130"/>
      <c r="Z1301" s="133"/>
      <c r="AA1301" s="133"/>
      <c r="AB1301" s="241"/>
      <c r="AC1301" s="134"/>
      <c r="AD1301" s="134"/>
      <c r="AE1301" s="403">
        <f t="shared" si="72"/>
        <v>0</v>
      </c>
      <c r="AF1301" s="132"/>
      <c r="AG1301" s="130"/>
      <c r="AH1301" s="130"/>
      <c r="AI1301" s="130"/>
      <c r="AJ1301" s="130"/>
      <c r="AK1301" s="130"/>
      <c r="AL1301" s="135"/>
      <c r="AM1301" s="314"/>
      <c r="AN1301" s="26"/>
      <c r="AO1301" s="26"/>
      <c r="AP1301" s="26"/>
      <c r="AQ1301" s="26"/>
      <c r="AR1301" s="24"/>
      <c r="AS1301" s="24"/>
      <c r="AT1301" s="24"/>
      <c r="AU1301" s="418">
        <f t="shared" si="73"/>
        <v>1</v>
      </c>
      <c r="AV1301" s="418">
        <f t="shared" si="74"/>
        <v>1900</v>
      </c>
      <c r="AW1301" s="24"/>
      <c r="AX1301" s="28"/>
      <c r="AY1301" s="28"/>
      <c r="AZ1301" s="132"/>
      <c r="BA1301" s="132"/>
      <c r="BB1301" s="24"/>
      <c r="BC1301" s="135"/>
      <c r="BD1301" s="24"/>
      <c r="BE1301" s="135"/>
      <c r="BF1301" s="135"/>
      <c r="BG1301" s="135"/>
      <c r="BH1301" s="135"/>
      <c r="BI1301" s="314"/>
      <c r="BJ1301" s="314"/>
      <c r="BK1301" s="24"/>
      <c r="BL1301" s="24"/>
      <c r="BM1301" s="24"/>
      <c r="BN1301" s="24"/>
      <c r="BO1301" s="24"/>
      <c r="BP1301" s="24"/>
      <c r="BQ1301" s="24"/>
      <c r="BR1301" s="43"/>
      <c r="BS1301" s="24"/>
      <c r="BT1301" s="24"/>
      <c r="BU1301" s="24"/>
      <c r="BV1301" s="132"/>
      <c r="BW1301" s="132"/>
      <c r="BX1301" s="132"/>
      <c r="BY1301" s="132"/>
      <c r="BZ1301" s="132"/>
      <c r="CA1301" s="132"/>
      <c r="CB1301" s="132"/>
      <c r="CC1301" s="269"/>
      <c r="CD1301" s="22"/>
      <c r="CE1301" s="22"/>
      <c r="CF1301" s="22"/>
      <c r="CG1301" s="24"/>
      <c r="CH1301" s="24"/>
      <c r="CI1301" s="24"/>
      <c r="CJ1301" s="24"/>
    </row>
    <row r="1302" spans="1:88" ht="15" customHeight="1">
      <c r="A1302" s="18">
        <v>2020</v>
      </c>
      <c r="B1302" s="18" t="str">
        <f>+INDEX(BDD!F:F,MATCH(P1302,BDD!D:D,0))&amp;"-"&amp;INDEX(BDD!E:E,MATCH(P1302,BDD!D:D,0))</f>
        <v>G-S</v>
      </c>
      <c r="C1302" s="125" t="s">
        <v>484</v>
      </c>
      <c r="D1302" s="150" t="s">
        <v>77</v>
      </c>
      <c r="E1302" s="132"/>
      <c r="F1302" s="24"/>
      <c r="G1302" s="346">
        <v>8000001133</v>
      </c>
      <c r="H1302" s="125" t="s">
        <v>5032</v>
      </c>
      <c r="I1302" s="329"/>
      <c r="J1302" s="346">
        <v>8000001133</v>
      </c>
      <c r="K1302" s="24"/>
      <c r="L1302" s="24"/>
      <c r="M1302" s="24"/>
      <c r="N1302" s="340" t="s">
        <v>486</v>
      </c>
      <c r="O1302" s="334">
        <v>206599</v>
      </c>
      <c r="P1302" s="25" t="s">
        <v>339</v>
      </c>
      <c r="Q1302" s="127" t="s">
        <v>210</v>
      </c>
      <c r="R1302" s="232" t="s">
        <v>5033</v>
      </c>
      <c r="S1302" s="89" t="s">
        <v>921</v>
      </c>
      <c r="T1302" s="36">
        <v>120</v>
      </c>
      <c r="U1302" s="125" t="s">
        <v>118</v>
      </c>
      <c r="V1302" s="147" t="s">
        <v>5034</v>
      </c>
      <c r="W1302" s="129"/>
      <c r="X1302" s="88">
        <v>44350</v>
      </c>
      <c r="Y1302" s="130" t="s">
        <v>20</v>
      </c>
      <c r="Z1302" s="133" t="s">
        <v>72</v>
      </c>
      <c r="AA1302" s="133"/>
      <c r="AB1302" s="257">
        <v>196.03800000000001</v>
      </c>
      <c r="AC1302" s="134">
        <v>430</v>
      </c>
      <c r="AD1302" s="134"/>
      <c r="AE1302" s="403">
        <f t="shared" si="72"/>
        <v>84296.340000000011</v>
      </c>
      <c r="AF1302" s="132">
        <v>7</v>
      </c>
      <c r="AG1302" s="130" t="s">
        <v>5</v>
      </c>
      <c r="AH1302" s="130"/>
      <c r="AI1302" s="130" t="s">
        <v>100</v>
      </c>
      <c r="AJ1302" s="130"/>
      <c r="AK1302" s="130"/>
      <c r="AL1302" s="135" t="s">
        <v>4788</v>
      </c>
      <c r="AM1302" s="314"/>
      <c r="AN1302" s="26"/>
      <c r="AO1302" s="26"/>
      <c r="AP1302" s="26"/>
      <c r="AQ1302" s="26">
        <v>44251</v>
      </c>
      <c r="AR1302" s="24"/>
      <c r="AS1302" s="24"/>
      <c r="AT1302" s="24">
        <v>44259</v>
      </c>
      <c r="AU1302" s="418">
        <f t="shared" si="73"/>
        <v>3</v>
      </c>
      <c r="AV1302" s="418">
        <f t="shared" si="74"/>
        <v>2021</v>
      </c>
      <c r="AW1302" s="24"/>
      <c r="AX1302" s="28"/>
      <c r="AY1302" s="28" t="s">
        <v>162</v>
      </c>
      <c r="AZ1302" s="132" t="s">
        <v>9</v>
      </c>
      <c r="BA1302" s="132"/>
      <c r="BB1302" s="24" t="s">
        <v>3264</v>
      </c>
      <c r="BC1302" s="135" t="s">
        <v>5035</v>
      </c>
      <c r="BD1302" s="24">
        <v>44228</v>
      </c>
      <c r="BE1302" s="135" t="s">
        <v>870</v>
      </c>
      <c r="BF1302" s="135" t="s">
        <v>1806</v>
      </c>
      <c r="BG1302" s="135" t="s">
        <v>64</v>
      </c>
      <c r="BH1302" s="135"/>
      <c r="BI1302" s="314" t="s">
        <v>124</v>
      </c>
      <c r="BJ1302" s="314" t="s">
        <v>138</v>
      </c>
      <c r="BK1302" s="24"/>
      <c r="BL1302" s="24"/>
      <c r="BM1302" s="24"/>
      <c r="BN1302" s="24"/>
      <c r="BO1302" s="24"/>
      <c r="BP1302" s="24"/>
      <c r="BQ1302" s="24"/>
      <c r="BR1302" s="43"/>
      <c r="BS1302" s="24"/>
      <c r="BT1302" s="24"/>
      <c r="BU1302" s="24"/>
      <c r="BV1302" s="132" t="e">
        <f>IF(#REF!="COMPLETO","OK","PENDIENTES")</f>
        <v>#REF!</v>
      </c>
      <c r="BW1302" s="132"/>
      <c r="BX1302" s="132"/>
      <c r="BY1302" s="132"/>
      <c r="BZ1302" s="132"/>
      <c r="CA1302" s="132"/>
      <c r="CB1302" s="132"/>
      <c r="CC1302" s="269"/>
      <c r="CG1302" s="24" t="s">
        <v>105</v>
      </c>
      <c r="CH1302" s="24"/>
      <c r="CI1302" s="24"/>
      <c r="CJ1302" s="24"/>
    </row>
    <row r="1303" spans="1:88" ht="14.25" customHeight="1">
      <c r="A1303" s="18">
        <v>2020</v>
      </c>
      <c r="B1303" s="18" t="str">
        <f>+INDEX(BDD!F:F,MATCH(P1303,BDD!D:D,0))&amp;"-"&amp;INDEX(BDD!E:E,MATCH(P1303,BDD!D:D,0))</f>
        <v>S-S</v>
      </c>
      <c r="C1303" s="125" t="s">
        <v>484</v>
      </c>
      <c r="D1303" s="150" t="s">
        <v>77</v>
      </c>
      <c r="E1303" s="132"/>
      <c r="F1303" s="24"/>
      <c r="G1303" s="346">
        <v>8000001235</v>
      </c>
      <c r="H1303" s="125" t="s">
        <v>5036</v>
      </c>
      <c r="I1303" s="329"/>
      <c r="J1303" s="346">
        <v>8000001235</v>
      </c>
      <c r="K1303" s="24"/>
      <c r="L1303" s="24"/>
      <c r="M1303" s="24"/>
      <c r="N1303" s="340" t="s">
        <v>486</v>
      </c>
      <c r="O1303" s="334">
        <v>206914</v>
      </c>
      <c r="P1303" s="25" t="s">
        <v>335</v>
      </c>
      <c r="Q1303" s="127" t="s">
        <v>297</v>
      </c>
      <c r="R1303" s="232" t="s">
        <v>5037</v>
      </c>
      <c r="S1303" s="89">
        <v>44174</v>
      </c>
      <c r="T1303" s="36">
        <v>90</v>
      </c>
      <c r="U1303" s="125" t="s">
        <v>118</v>
      </c>
      <c r="V1303" s="147" t="s">
        <v>5038</v>
      </c>
      <c r="W1303" s="129"/>
      <c r="X1303" s="88">
        <f>+BD1303+T1303</f>
        <v>44277</v>
      </c>
      <c r="Y1303" s="130" t="s">
        <v>20</v>
      </c>
      <c r="Z1303" s="133" t="s">
        <v>60</v>
      </c>
      <c r="AA1303" s="133"/>
      <c r="AB1303" s="241">
        <v>795</v>
      </c>
      <c r="AC1303" s="134">
        <v>117</v>
      </c>
      <c r="AD1303" s="134"/>
      <c r="AE1303" s="403">
        <f t="shared" si="72"/>
        <v>93015</v>
      </c>
      <c r="AF1303" s="132"/>
      <c r="AG1303" s="130" t="s">
        <v>58</v>
      </c>
      <c r="AH1303" s="130"/>
      <c r="AI1303" s="130" t="s">
        <v>34</v>
      </c>
      <c r="AJ1303" s="130"/>
      <c r="AK1303" s="130"/>
      <c r="AL1303" s="135" t="s">
        <v>5039</v>
      </c>
      <c r="AM1303" s="314"/>
      <c r="AN1303" s="26"/>
      <c r="AO1303" s="26"/>
      <c r="AP1303" s="26"/>
      <c r="AQ1303" s="26">
        <v>44243</v>
      </c>
      <c r="AR1303" s="24"/>
      <c r="AS1303" s="24"/>
      <c r="AT1303" s="24">
        <v>44246</v>
      </c>
      <c r="AU1303" s="418">
        <f t="shared" si="73"/>
        <v>2</v>
      </c>
      <c r="AV1303" s="418">
        <f t="shared" si="74"/>
        <v>2021</v>
      </c>
      <c r="AW1303" s="24"/>
      <c r="AX1303" s="24"/>
      <c r="AY1303" s="24" t="s">
        <v>95</v>
      </c>
      <c r="AZ1303" s="132" t="s">
        <v>9</v>
      </c>
      <c r="BA1303" s="132"/>
      <c r="BB1303" s="24" t="s">
        <v>3264</v>
      </c>
      <c r="BC1303" s="135" t="s">
        <v>5040</v>
      </c>
      <c r="BD1303" s="227">
        <v>44187</v>
      </c>
      <c r="BE1303" s="135" t="s">
        <v>5041</v>
      </c>
      <c r="BF1303" s="135" t="s">
        <v>5041</v>
      </c>
      <c r="BG1303" s="135" t="s">
        <v>52</v>
      </c>
      <c r="BH1303" s="135"/>
      <c r="BI1303" s="314" t="s">
        <v>124</v>
      </c>
      <c r="BJ1303" s="314" t="s">
        <v>143</v>
      </c>
      <c r="BK1303" s="24"/>
      <c r="BL1303" s="24"/>
      <c r="BM1303" s="24"/>
      <c r="BN1303" s="24"/>
      <c r="BO1303" s="24"/>
      <c r="BP1303" s="24"/>
      <c r="BQ1303" s="24"/>
      <c r="BR1303" s="43"/>
      <c r="BS1303" s="24"/>
      <c r="BT1303" s="24"/>
      <c r="BU1303" s="24"/>
      <c r="BV1303" s="132" t="e">
        <f>IF(#REF!="COMPLETO","OK","PENDIENTES")</f>
        <v>#REF!</v>
      </c>
      <c r="BW1303" s="132"/>
      <c r="BX1303" s="132"/>
      <c r="BY1303" s="132"/>
      <c r="BZ1303" s="132"/>
      <c r="CA1303" s="132"/>
      <c r="CB1303" s="132"/>
      <c r="CC1303" s="269"/>
      <c r="CG1303" s="24" t="s">
        <v>105</v>
      </c>
      <c r="CH1303" s="24"/>
      <c r="CI1303" s="24"/>
      <c r="CJ1303" s="24"/>
    </row>
    <row r="1304" spans="1:88" ht="15" customHeight="1">
      <c r="A1304" s="18">
        <v>2020</v>
      </c>
      <c r="B1304" s="18" t="str">
        <f>+INDEX(BDD!F:F,MATCH(P1304,BDD!D:D,0))&amp;"-"&amp;INDEX(BDD!E:E,MATCH(P1304,BDD!D:D,0))</f>
        <v>S-S</v>
      </c>
      <c r="C1304" s="125" t="s">
        <v>484</v>
      </c>
      <c r="D1304" s="150" t="s">
        <v>77</v>
      </c>
      <c r="E1304" s="132"/>
      <c r="F1304" s="24"/>
      <c r="G1304" s="346">
        <v>8000001251</v>
      </c>
      <c r="H1304" s="125" t="s">
        <v>5042</v>
      </c>
      <c r="I1304" s="329"/>
      <c r="J1304" s="346">
        <v>8000001251</v>
      </c>
      <c r="K1304" s="24"/>
      <c r="L1304" s="24"/>
      <c r="M1304" s="24"/>
      <c r="N1304" s="340" t="s">
        <v>486</v>
      </c>
      <c r="O1304" s="334">
        <v>206914</v>
      </c>
      <c r="P1304" s="25" t="s">
        <v>335</v>
      </c>
      <c r="Q1304" s="127" t="s">
        <v>297</v>
      </c>
      <c r="R1304" s="232" t="s">
        <v>5043</v>
      </c>
      <c r="S1304" s="89">
        <v>44174</v>
      </c>
      <c r="T1304" s="36">
        <v>90</v>
      </c>
      <c r="U1304" s="125" t="s">
        <v>118</v>
      </c>
      <c r="V1304" s="147" t="s">
        <v>5044</v>
      </c>
      <c r="W1304" s="129"/>
      <c r="X1304" s="88">
        <v>44267</v>
      </c>
      <c r="Y1304" s="130" t="s">
        <v>20</v>
      </c>
      <c r="Z1304" s="133" t="s">
        <v>60</v>
      </c>
      <c r="AA1304" s="133"/>
      <c r="AB1304" s="241">
        <v>215</v>
      </c>
      <c r="AC1304" s="134">
        <v>120</v>
      </c>
      <c r="AD1304" s="134"/>
      <c r="AE1304" s="403">
        <f t="shared" si="72"/>
        <v>25800</v>
      </c>
      <c r="AF1304" s="132"/>
      <c r="AG1304" s="130" t="s">
        <v>58</v>
      </c>
      <c r="AH1304" s="130"/>
      <c r="AI1304" s="130" t="s">
        <v>34</v>
      </c>
      <c r="AJ1304" s="130"/>
      <c r="AK1304" s="130"/>
      <c r="AL1304" s="135" t="s">
        <v>5039</v>
      </c>
      <c r="AM1304" s="314"/>
      <c r="AN1304" s="26"/>
      <c r="AO1304" s="26"/>
      <c r="AP1304" s="26"/>
      <c r="AQ1304" s="26">
        <v>44266</v>
      </c>
      <c r="AR1304" s="24"/>
      <c r="AS1304" s="24"/>
      <c r="AT1304" s="24">
        <v>44268</v>
      </c>
      <c r="AU1304" s="418">
        <f t="shared" si="73"/>
        <v>3</v>
      </c>
      <c r="AV1304" s="418">
        <f t="shared" si="74"/>
        <v>2021</v>
      </c>
      <c r="AW1304" s="24"/>
      <c r="AX1304" s="24"/>
      <c r="AY1304" s="24" t="s">
        <v>3199</v>
      </c>
      <c r="AZ1304" s="132" t="s">
        <v>62</v>
      </c>
      <c r="BA1304" s="132"/>
      <c r="BB1304" s="24" t="s">
        <v>3264</v>
      </c>
      <c r="BC1304" s="135" t="s">
        <v>5045</v>
      </c>
      <c r="BD1304" s="24">
        <v>44194</v>
      </c>
      <c r="BE1304" s="135" t="s">
        <v>4061</v>
      </c>
      <c r="BF1304" s="135" t="s">
        <v>4061</v>
      </c>
      <c r="BG1304" s="135" t="s">
        <v>52</v>
      </c>
      <c r="BH1304" s="135"/>
      <c r="BI1304" s="314" t="s">
        <v>124</v>
      </c>
      <c r="BJ1304" s="314" t="s">
        <v>143</v>
      </c>
      <c r="BK1304" s="24"/>
      <c r="BL1304" s="24"/>
      <c r="BM1304" s="24"/>
      <c r="BN1304" s="24"/>
      <c r="BO1304" s="24"/>
      <c r="BP1304" s="24"/>
      <c r="BQ1304" s="24"/>
      <c r="BR1304" s="43"/>
      <c r="BS1304" s="24"/>
      <c r="BT1304" s="24"/>
      <c r="BU1304" s="24"/>
      <c r="BV1304" s="132" t="e">
        <f>IF(#REF!="COMPLETO","OK","PENDIENTES")</f>
        <v>#REF!</v>
      </c>
      <c r="BW1304" s="132"/>
      <c r="BX1304" s="132"/>
      <c r="BY1304" s="132"/>
      <c r="BZ1304" s="132"/>
      <c r="CA1304" s="132"/>
      <c r="CB1304" s="132"/>
      <c r="CC1304" s="269"/>
      <c r="CG1304" s="24" t="s">
        <v>105</v>
      </c>
      <c r="CH1304" s="24"/>
      <c r="CI1304" s="24"/>
      <c r="CJ1304" s="24"/>
    </row>
    <row r="1305" spans="1:88" ht="15" customHeight="1">
      <c r="A1305" s="18">
        <v>2020</v>
      </c>
      <c r="B1305" s="18" t="str">
        <f>+INDEX(BDD!F:F,MATCH(P1305,BDD!D:D,0))&amp;"-"&amp;INDEX(BDD!E:E,MATCH(P1305,BDD!D:D,0))</f>
        <v>S-S</v>
      </c>
      <c r="C1305" s="125" t="s">
        <v>484</v>
      </c>
      <c r="D1305" s="150" t="s">
        <v>77</v>
      </c>
      <c r="E1305" s="132"/>
      <c r="F1305" s="24"/>
      <c r="G1305" s="346">
        <v>8000001398</v>
      </c>
      <c r="H1305" s="125" t="s">
        <v>5046</v>
      </c>
      <c r="I1305" s="329"/>
      <c r="J1305" s="346">
        <v>8000001398</v>
      </c>
      <c r="K1305" s="24"/>
      <c r="L1305" s="24"/>
      <c r="M1305" s="24"/>
      <c r="N1305" s="340" t="s">
        <v>486</v>
      </c>
      <c r="O1305" s="334">
        <v>206971</v>
      </c>
      <c r="P1305" s="25" t="s">
        <v>340</v>
      </c>
      <c r="Q1305" s="127" t="s">
        <v>4469</v>
      </c>
      <c r="R1305" s="232" t="s">
        <v>5047</v>
      </c>
      <c r="S1305" s="89">
        <v>44243</v>
      </c>
      <c r="T1305" s="36">
        <v>30</v>
      </c>
      <c r="U1305" s="125" t="s">
        <v>118</v>
      </c>
      <c r="V1305" s="147" t="s">
        <v>5048</v>
      </c>
      <c r="W1305" s="129"/>
      <c r="X1305" s="88">
        <v>44322</v>
      </c>
      <c r="Y1305" s="130" t="s">
        <v>20</v>
      </c>
      <c r="Z1305" s="133" t="s">
        <v>60</v>
      </c>
      <c r="AA1305" s="133"/>
      <c r="AB1305" s="241">
        <v>408</v>
      </c>
      <c r="AC1305" s="134">
        <v>430</v>
      </c>
      <c r="AD1305" s="134"/>
      <c r="AE1305" s="403">
        <f t="shared" si="72"/>
        <v>175440</v>
      </c>
      <c r="AF1305" s="132">
        <v>17</v>
      </c>
      <c r="AG1305" s="130" t="s">
        <v>5</v>
      </c>
      <c r="AH1305" s="130"/>
      <c r="AI1305" s="130" t="s">
        <v>34</v>
      </c>
      <c r="AJ1305" s="130"/>
      <c r="AK1305" s="130"/>
      <c r="AL1305" s="135" t="s">
        <v>5049</v>
      </c>
      <c r="AM1305" s="314"/>
      <c r="AN1305" s="26"/>
      <c r="AO1305" s="26"/>
      <c r="AP1305" s="26"/>
      <c r="AQ1305" s="26">
        <v>44345</v>
      </c>
      <c r="AR1305" s="24"/>
      <c r="AS1305" s="24"/>
      <c r="AT1305" s="24">
        <v>44366</v>
      </c>
      <c r="AU1305" s="418">
        <f t="shared" si="73"/>
        <v>6</v>
      </c>
      <c r="AV1305" s="418">
        <f t="shared" si="74"/>
        <v>2021</v>
      </c>
      <c r="AW1305" s="24"/>
      <c r="AX1305" s="28"/>
      <c r="AY1305" s="28" t="s">
        <v>4312</v>
      </c>
      <c r="AZ1305" s="132" t="s">
        <v>37</v>
      </c>
      <c r="BA1305" s="132"/>
      <c r="BB1305" s="24" t="s">
        <v>3593</v>
      </c>
      <c r="BC1305" s="135" t="s">
        <v>5050</v>
      </c>
      <c r="BD1305" s="26">
        <v>44289</v>
      </c>
      <c r="BE1305" s="135" t="s">
        <v>5051</v>
      </c>
      <c r="BF1305" s="135" t="s">
        <v>2525</v>
      </c>
      <c r="BG1305" s="135" t="s">
        <v>41</v>
      </c>
      <c r="BH1305" s="135"/>
      <c r="BI1305" s="314" t="s">
        <v>124</v>
      </c>
      <c r="BJ1305" s="314" t="s">
        <v>143</v>
      </c>
      <c r="BK1305" s="24"/>
      <c r="BL1305" s="24"/>
      <c r="BM1305" s="24"/>
      <c r="BN1305" s="24"/>
      <c r="BO1305" s="24">
        <v>44350</v>
      </c>
      <c r="BP1305" s="24"/>
      <c r="BQ1305" s="24"/>
      <c r="BR1305" s="43"/>
      <c r="BS1305" s="24"/>
      <c r="BT1305" s="24"/>
      <c r="BU1305" s="24"/>
      <c r="BV1305" s="132" t="e">
        <f>IF(#REF!="COMPLETO","OK","PENDIENTES")</f>
        <v>#REF!</v>
      </c>
      <c r="BW1305" s="132"/>
      <c r="BX1305" s="132"/>
      <c r="BY1305" s="132"/>
      <c r="BZ1305" s="132"/>
      <c r="CA1305" s="132"/>
      <c r="CB1305" s="132"/>
      <c r="CC1305" s="269" t="s">
        <v>5052</v>
      </c>
      <c r="CG1305" s="24" t="s">
        <v>105</v>
      </c>
      <c r="CH1305" s="24"/>
      <c r="CI1305" s="24"/>
      <c r="CJ1305" s="24"/>
    </row>
    <row r="1306" spans="1:88" ht="15" customHeight="1">
      <c r="A1306" s="18">
        <v>2020</v>
      </c>
      <c r="B1306" s="18" t="str">
        <f>+INDEX(BDD!F:F,MATCH(P1306,BDD!D:D,0))&amp;"-"&amp;INDEX(BDD!E:E,MATCH(P1306,BDD!D:D,0))</f>
        <v>S-S</v>
      </c>
      <c r="C1306" s="125" t="s">
        <v>484</v>
      </c>
      <c r="D1306" s="150" t="s">
        <v>77</v>
      </c>
      <c r="E1306" s="132"/>
      <c r="F1306" s="24"/>
      <c r="G1306" s="346">
        <v>8000001435</v>
      </c>
      <c r="H1306" s="125" t="s">
        <v>5053</v>
      </c>
      <c r="I1306" s="329"/>
      <c r="J1306" s="346">
        <v>8000001435</v>
      </c>
      <c r="K1306" s="24"/>
      <c r="L1306" s="24">
        <v>44413</v>
      </c>
      <c r="M1306" s="24">
        <v>44414</v>
      </c>
      <c r="N1306" s="340" t="s">
        <v>486</v>
      </c>
      <c r="O1306" s="334">
        <v>206971</v>
      </c>
      <c r="P1306" s="25" t="s">
        <v>340</v>
      </c>
      <c r="Q1306" s="127" t="s">
        <v>4469</v>
      </c>
      <c r="R1306" s="232" t="s">
        <v>5054</v>
      </c>
      <c r="S1306" s="89">
        <v>44243</v>
      </c>
      <c r="T1306" s="36">
        <v>30</v>
      </c>
      <c r="U1306" s="125" t="s">
        <v>118</v>
      </c>
      <c r="V1306" s="147" t="s">
        <v>5055</v>
      </c>
      <c r="W1306" s="129"/>
      <c r="X1306" s="88">
        <f>+BD1306+T1306</f>
        <v>44391</v>
      </c>
      <c r="Y1306" s="130" t="s">
        <v>20</v>
      </c>
      <c r="Z1306" s="133" t="s">
        <v>60</v>
      </c>
      <c r="AA1306" s="133"/>
      <c r="AB1306" s="241">
        <v>408</v>
      </c>
      <c r="AC1306" s="134">
        <v>430</v>
      </c>
      <c r="AD1306" s="134"/>
      <c r="AE1306" s="403">
        <f t="shared" si="72"/>
        <v>175440</v>
      </c>
      <c r="AF1306" s="132">
        <v>17</v>
      </c>
      <c r="AG1306" s="130" t="s">
        <v>5</v>
      </c>
      <c r="AH1306" s="130"/>
      <c r="AI1306" s="130" t="s">
        <v>34</v>
      </c>
      <c r="AJ1306" s="130"/>
      <c r="AK1306" s="130"/>
      <c r="AL1306" s="135" t="s">
        <v>5049</v>
      </c>
      <c r="AM1306" s="314"/>
      <c r="AN1306" s="26"/>
      <c r="AO1306" s="26">
        <v>44361</v>
      </c>
      <c r="AP1306" s="26"/>
      <c r="AQ1306" s="26">
        <v>44412</v>
      </c>
      <c r="AR1306" s="24"/>
      <c r="AS1306" s="24"/>
      <c r="AT1306" s="24">
        <v>44417</v>
      </c>
      <c r="AU1306" s="418">
        <f t="shared" si="73"/>
        <v>8</v>
      </c>
      <c r="AV1306" s="418">
        <f t="shared" si="74"/>
        <v>2021</v>
      </c>
      <c r="AW1306" s="24"/>
      <c r="AX1306" s="28"/>
      <c r="AY1306" s="28" t="s">
        <v>4312</v>
      </c>
      <c r="AZ1306" s="132" t="s">
        <v>37</v>
      </c>
      <c r="BA1306" s="132"/>
      <c r="BB1306" s="24" t="s">
        <v>3593</v>
      </c>
      <c r="BC1306" s="135" t="s">
        <v>5056</v>
      </c>
      <c r="BD1306" s="26">
        <v>44361</v>
      </c>
      <c r="BE1306" s="135" t="s">
        <v>2097</v>
      </c>
      <c r="BF1306" s="135" t="s">
        <v>3429</v>
      </c>
      <c r="BG1306" s="135" t="s">
        <v>41</v>
      </c>
      <c r="BH1306" s="135"/>
      <c r="BI1306" s="314" t="s">
        <v>124</v>
      </c>
      <c r="BJ1306" s="314" t="s">
        <v>148</v>
      </c>
      <c r="BK1306" s="24"/>
      <c r="BL1306" s="24"/>
      <c r="BM1306" s="24"/>
      <c r="BN1306" s="24"/>
      <c r="BO1306" s="24"/>
      <c r="BP1306" s="24"/>
      <c r="BQ1306" s="24"/>
      <c r="BR1306" s="43"/>
      <c r="BS1306" s="24"/>
      <c r="BT1306" s="24"/>
      <c r="BU1306" s="24"/>
      <c r="BV1306" s="132" t="e">
        <f>IF(#REF!="COMPLETO","OK","PENDIENTES")</f>
        <v>#REF!</v>
      </c>
      <c r="BW1306" s="132"/>
      <c r="BX1306" s="132"/>
      <c r="BY1306" s="132"/>
      <c r="BZ1306" s="132"/>
      <c r="CA1306" s="132"/>
      <c r="CB1306" s="132"/>
      <c r="CC1306" s="269"/>
      <c r="CG1306" s="24" t="s">
        <v>105</v>
      </c>
      <c r="CH1306" s="24"/>
      <c r="CI1306" s="24"/>
      <c r="CJ1306" s="24"/>
    </row>
    <row r="1307" spans="1:88" ht="15" customHeight="1">
      <c r="A1307" s="18">
        <v>2020</v>
      </c>
      <c r="B1307" s="18" t="str">
        <f>+INDEX(BDD!F:F,MATCH(P1307,BDD!D:D,0))&amp;"-"&amp;INDEX(BDD!E:E,MATCH(P1307,BDD!D:D,0))</f>
        <v>S-S</v>
      </c>
      <c r="C1307" s="125" t="s">
        <v>484</v>
      </c>
      <c r="D1307" s="150" t="s">
        <v>77</v>
      </c>
      <c r="E1307" s="132" t="s">
        <v>51</v>
      </c>
      <c r="F1307" s="24"/>
      <c r="G1307" s="346">
        <v>8000001277</v>
      </c>
      <c r="H1307" s="125" t="s">
        <v>5057</v>
      </c>
      <c r="I1307" s="329"/>
      <c r="J1307" s="346">
        <v>8000001277</v>
      </c>
      <c r="K1307" s="24"/>
      <c r="L1307" s="24"/>
      <c r="M1307" s="24"/>
      <c r="N1307" s="340" t="s">
        <v>486</v>
      </c>
      <c r="O1307" s="334">
        <v>207579</v>
      </c>
      <c r="P1307" s="25" t="s">
        <v>238</v>
      </c>
      <c r="Q1307" s="127" t="s">
        <v>5058</v>
      </c>
      <c r="R1307" s="232" t="s">
        <v>5059</v>
      </c>
      <c r="S1307" s="89">
        <v>44177</v>
      </c>
      <c r="T1307" s="36" t="s">
        <v>19</v>
      </c>
      <c r="U1307" s="125"/>
      <c r="V1307" s="147" t="s">
        <v>5059</v>
      </c>
      <c r="W1307" s="129"/>
      <c r="X1307" s="88" t="s">
        <v>944</v>
      </c>
      <c r="Y1307" s="130" t="s">
        <v>20</v>
      </c>
      <c r="Z1307" s="133" t="s">
        <v>60</v>
      </c>
      <c r="AA1307" s="133"/>
      <c r="AB1307" s="241">
        <v>100.1</v>
      </c>
      <c r="AC1307" s="134">
        <v>227</v>
      </c>
      <c r="AD1307" s="134"/>
      <c r="AE1307" s="403">
        <f t="shared" si="72"/>
        <v>22722.699999999997</v>
      </c>
      <c r="AF1307" s="132"/>
      <c r="AG1307" s="130" t="s">
        <v>58</v>
      </c>
      <c r="AH1307" s="130"/>
      <c r="AI1307" s="130" t="s">
        <v>34</v>
      </c>
      <c r="AJ1307" s="130"/>
      <c r="AK1307" s="130"/>
      <c r="AL1307" s="135" t="s">
        <v>5060</v>
      </c>
      <c r="AM1307" s="314"/>
      <c r="AN1307" s="26"/>
      <c r="AO1307" s="26"/>
      <c r="AP1307" s="26"/>
      <c r="AQ1307" s="26">
        <v>44296</v>
      </c>
      <c r="AR1307" s="24"/>
      <c r="AS1307" s="24"/>
      <c r="AT1307" s="24">
        <v>44312</v>
      </c>
      <c r="AU1307" s="418">
        <f t="shared" si="73"/>
        <v>4</v>
      </c>
      <c r="AV1307" s="418">
        <f t="shared" si="74"/>
        <v>2021</v>
      </c>
      <c r="AW1307" s="24"/>
      <c r="AX1307" s="24"/>
      <c r="AY1307" s="24" t="s">
        <v>3199</v>
      </c>
      <c r="AZ1307" s="132" t="s">
        <v>37</v>
      </c>
      <c r="BA1307" s="132"/>
      <c r="BB1307" s="24" t="s">
        <v>3593</v>
      </c>
      <c r="BC1307" s="135" t="s">
        <v>5061</v>
      </c>
      <c r="BD1307" s="26">
        <v>44255</v>
      </c>
      <c r="BE1307" s="135" t="s">
        <v>5062</v>
      </c>
      <c r="BF1307" s="135" t="s">
        <v>5062</v>
      </c>
      <c r="BG1307" s="135" t="s">
        <v>52</v>
      </c>
      <c r="BH1307" s="135"/>
      <c r="BI1307" s="314" t="s">
        <v>124</v>
      </c>
      <c r="BJ1307" s="314" t="s">
        <v>143</v>
      </c>
      <c r="BK1307" s="24"/>
      <c r="BL1307" s="24"/>
      <c r="BM1307" s="24"/>
      <c r="BN1307" s="24"/>
      <c r="BO1307" s="24"/>
      <c r="BP1307" s="24"/>
      <c r="BQ1307" s="24"/>
      <c r="BR1307" s="43"/>
      <c r="BS1307" s="24"/>
      <c r="BT1307" s="24"/>
      <c r="BU1307" s="24"/>
      <c r="BV1307" s="132" t="e">
        <f>IF(#REF!="COMPLETO","OK","PENDIENTES")</f>
        <v>#REF!</v>
      </c>
      <c r="BW1307" s="132"/>
      <c r="BX1307" s="132"/>
      <c r="BY1307" s="132"/>
      <c r="BZ1307" s="132"/>
      <c r="CA1307" s="132"/>
      <c r="CB1307" s="132"/>
      <c r="CC1307" s="269"/>
      <c r="CG1307" s="24" t="s">
        <v>105</v>
      </c>
      <c r="CH1307" s="24"/>
      <c r="CI1307" s="24"/>
      <c r="CJ1307" s="24"/>
    </row>
    <row r="1308" spans="1:88" ht="15" customHeight="1">
      <c r="A1308" s="18">
        <v>2020</v>
      </c>
      <c r="B1308" s="18" t="str">
        <f>+INDEX(BDD!F:F,MATCH(P1308,BDD!D:D,0))&amp;"-"&amp;INDEX(BDD!E:E,MATCH(P1308,BDD!D:D,0))</f>
        <v>S-S</v>
      </c>
      <c r="C1308" s="125" t="s">
        <v>484</v>
      </c>
      <c r="D1308" s="150" t="s">
        <v>77</v>
      </c>
      <c r="E1308" s="132" t="s">
        <v>51</v>
      </c>
      <c r="F1308" s="24"/>
      <c r="G1308" s="346">
        <v>8000001518</v>
      </c>
      <c r="H1308" s="125" t="s">
        <v>5063</v>
      </c>
      <c r="I1308" s="329"/>
      <c r="J1308" s="346">
        <v>8000001518</v>
      </c>
      <c r="K1308" s="24"/>
      <c r="L1308" s="24">
        <v>44449</v>
      </c>
      <c r="M1308" s="24">
        <v>44452</v>
      </c>
      <c r="N1308" s="340" t="s">
        <v>486</v>
      </c>
      <c r="O1308" s="334">
        <v>207579</v>
      </c>
      <c r="P1308" s="25" t="s">
        <v>238</v>
      </c>
      <c r="Q1308" s="127" t="s">
        <v>5058</v>
      </c>
      <c r="R1308" s="232" t="s">
        <v>5064</v>
      </c>
      <c r="S1308" s="89">
        <v>44177</v>
      </c>
      <c r="T1308" s="36" t="s">
        <v>19</v>
      </c>
      <c r="U1308" s="125"/>
      <c r="V1308" s="147" t="s">
        <v>5064</v>
      </c>
      <c r="W1308" s="129"/>
      <c r="X1308" s="88">
        <v>44392</v>
      </c>
      <c r="Y1308" s="130" t="s">
        <v>20</v>
      </c>
      <c r="Z1308" s="133" t="s">
        <v>60</v>
      </c>
      <c r="AA1308" s="133"/>
      <c r="AB1308" s="241">
        <v>100</v>
      </c>
      <c r="AC1308" s="134">
        <v>245</v>
      </c>
      <c r="AD1308" s="134"/>
      <c r="AE1308" s="403">
        <f t="shared" si="72"/>
        <v>24500</v>
      </c>
      <c r="AF1308" s="132"/>
      <c r="AG1308" s="130" t="s">
        <v>58</v>
      </c>
      <c r="AH1308" s="130"/>
      <c r="AI1308" s="130" t="s">
        <v>34</v>
      </c>
      <c r="AJ1308" s="130"/>
      <c r="AK1308" s="130"/>
      <c r="AL1308" s="135" t="s">
        <v>5065</v>
      </c>
      <c r="AM1308" s="314"/>
      <c r="AN1308" s="26"/>
      <c r="AO1308" s="26">
        <v>44397</v>
      </c>
      <c r="AP1308" s="26"/>
      <c r="AQ1308" s="26">
        <v>44427</v>
      </c>
      <c r="AR1308" s="24"/>
      <c r="AS1308" s="24"/>
      <c r="AT1308" s="24">
        <v>44468</v>
      </c>
      <c r="AU1308" s="418">
        <f t="shared" si="73"/>
        <v>9</v>
      </c>
      <c r="AV1308" s="418">
        <f t="shared" si="74"/>
        <v>2021</v>
      </c>
      <c r="AW1308" s="24"/>
      <c r="AX1308" s="24"/>
      <c r="AY1308" s="24" t="s">
        <v>3199</v>
      </c>
      <c r="AZ1308" s="132" t="s">
        <v>37</v>
      </c>
      <c r="BA1308" s="132"/>
      <c r="BB1308" s="24" t="s">
        <v>3291</v>
      </c>
      <c r="BC1308" s="135" t="s">
        <v>5066</v>
      </c>
      <c r="BD1308" s="24">
        <v>44388</v>
      </c>
      <c r="BE1308" s="135" t="s">
        <v>5067</v>
      </c>
      <c r="BF1308" s="135" t="s">
        <v>5067</v>
      </c>
      <c r="BG1308" s="135" t="s">
        <v>52</v>
      </c>
      <c r="BH1308" s="135"/>
      <c r="BI1308" s="314" t="s">
        <v>124</v>
      </c>
      <c r="BJ1308" s="314" t="s">
        <v>143</v>
      </c>
      <c r="BK1308" s="24"/>
      <c r="BL1308" s="24"/>
      <c r="BM1308" s="24"/>
      <c r="BN1308" s="24"/>
      <c r="BO1308" s="24"/>
      <c r="BP1308" s="24"/>
      <c r="BQ1308" s="24"/>
      <c r="BR1308" s="43"/>
      <c r="BS1308" s="24"/>
      <c r="BT1308" s="24"/>
      <c r="BU1308" s="24"/>
      <c r="BV1308" s="132" t="e">
        <f>IF(#REF!="COMPLETO","OK","PENDIENTES")</f>
        <v>#REF!</v>
      </c>
      <c r="BW1308" s="132"/>
      <c r="BX1308" s="132"/>
      <c r="BY1308" s="132"/>
      <c r="BZ1308" s="132"/>
      <c r="CA1308" s="132"/>
      <c r="CB1308" s="132"/>
      <c r="CC1308" s="269"/>
      <c r="CG1308" s="24" t="s">
        <v>105</v>
      </c>
      <c r="CH1308" s="24"/>
      <c r="CI1308" s="24"/>
      <c r="CJ1308" s="24"/>
    </row>
    <row r="1309" spans="1:88" ht="15" customHeight="1">
      <c r="A1309" s="18">
        <v>2020</v>
      </c>
      <c r="B1309" s="18" t="str">
        <f>+INDEX(BDD!F:F,MATCH(P1309,BDD!D:D,0))&amp;"-"&amp;INDEX(BDD!E:E,MATCH(P1309,BDD!D:D,0))</f>
        <v>E-S</v>
      </c>
      <c r="C1309" s="125" t="s">
        <v>484</v>
      </c>
      <c r="D1309" s="150" t="s">
        <v>77</v>
      </c>
      <c r="E1309" s="132"/>
      <c r="F1309" s="24"/>
      <c r="G1309" s="346">
        <v>8000001144</v>
      </c>
      <c r="H1309" s="125" t="s">
        <v>5068</v>
      </c>
      <c r="I1309" s="329"/>
      <c r="J1309" s="346">
        <v>8000001144</v>
      </c>
      <c r="K1309" s="24"/>
      <c r="L1309" s="24"/>
      <c r="M1309" s="24"/>
      <c r="N1309" s="340" t="s">
        <v>486</v>
      </c>
      <c r="O1309" s="334">
        <v>203647</v>
      </c>
      <c r="P1309" s="25" t="s">
        <v>17</v>
      </c>
      <c r="Q1309" s="127" t="s">
        <v>297</v>
      </c>
      <c r="R1309" s="232" t="s">
        <v>5069</v>
      </c>
      <c r="S1309" s="89">
        <v>44180</v>
      </c>
      <c r="T1309" s="36">
        <v>90</v>
      </c>
      <c r="U1309" s="125" t="s">
        <v>118</v>
      </c>
      <c r="V1309" s="147" t="s">
        <v>5070</v>
      </c>
      <c r="W1309" s="129"/>
      <c r="X1309" s="88">
        <v>44322</v>
      </c>
      <c r="Y1309" s="130" t="s">
        <v>20</v>
      </c>
      <c r="Z1309" s="133" t="s">
        <v>60</v>
      </c>
      <c r="AA1309" s="133"/>
      <c r="AB1309" s="241">
        <v>32.25</v>
      </c>
      <c r="AC1309" s="134">
        <v>710</v>
      </c>
      <c r="AD1309" s="134"/>
      <c r="AE1309" s="403">
        <f t="shared" si="72"/>
        <v>22897.5</v>
      </c>
      <c r="AF1309" s="132"/>
      <c r="AG1309" s="130" t="s">
        <v>58</v>
      </c>
      <c r="AH1309" s="130"/>
      <c r="AI1309" s="130" t="s">
        <v>34</v>
      </c>
      <c r="AJ1309" s="130"/>
      <c r="AK1309" s="130"/>
      <c r="AL1309" s="135" t="s">
        <v>5009</v>
      </c>
      <c r="AM1309" s="314"/>
      <c r="AN1309" s="26"/>
      <c r="AO1309" s="26"/>
      <c r="AP1309" s="26"/>
      <c r="AQ1309" s="26">
        <v>44290</v>
      </c>
      <c r="AR1309" s="24"/>
      <c r="AS1309" s="24"/>
      <c r="AT1309" s="24">
        <v>44300</v>
      </c>
      <c r="AU1309" s="418">
        <f t="shared" si="73"/>
        <v>4</v>
      </c>
      <c r="AV1309" s="418">
        <f t="shared" si="74"/>
        <v>2021</v>
      </c>
      <c r="AW1309" s="24"/>
      <c r="AX1309" s="24"/>
      <c r="AY1309" s="24" t="s">
        <v>230</v>
      </c>
      <c r="AZ1309" s="132" t="s">
        <v>37</v>
      </c>
      <c r="BA1309" s="132"/>
      <c r="BB1309" s="24" t="s">
        <v>2956</v>
      </c>
      <c r="BC1309" s="135" t="s">
        <v>5071</v>
      </c>
      <c r="BD1309" s="24">
        <v>44231</v>
      </c>
      <c r="BE1309" s="135" t="s">
        <v>5072</v>
      </c>
      <c r="BF1309" s="135" t="s">
        <v>5072</v>
      </c>
      <c r="BG1309" s="135" t="s">
        <v>52</v>
      </c>
      <c r="BH1309" s="135"/>
      <c r="BI1309" s="314" t="s">
        <v>124</v>
      </c>
      <c r="BJ1309" s="314" t="s">
        <v>148</v>
      </c>
      <c r="BK1309" s="26"/>
      <c r="BL1309" s="26"/>
      <c r="BM1309" s="26"/>
      <c r="BN1309" s="26"/>
      <c r="BO1309" s="24"/>
      <c r="BP1309" s="24"/>
      <c r="BQ1309" s="24"/>
      <c r="BR1309" s="43"/>
      <c r="BS1309" s="24"/>
      <c r="BT1309" s="24"/>
      <c r="BU1309" s="24"/>
      <c r="BV1309" s="132" t="e">
        <f>IF(#REF!="COMPLETO","OK","PENDIENTES")</f>
        <v>#REF!</v>
      </c>
      <c r="BW1309" s="132"/>
      <c r="BX1309" s="132"/>
      <c r="BY1309" s="132"/>
      <c r="BZ1309" s="132"/>
      <c r="CA1309" s="132"/>
      <c r="CB1309" s="132"/>
      <c r="CC1309" s="269"/>
      <c r="CG1309" s="24" t="s">
        <v>105</v>
      </c>
      <c r="CH1309" s="24"/>
      <c r="CI1309" s="24"/>
      <c r="CJ1309" s="24"/>
    </row>
    <row r="1310" spans="1:88" ht="15" customHeight="1">
      <c r="A1310" s="18">
        <v>2020</v>
      </c>
      <c r="B1310" s="18" t="str">
        <f>+INDEX(BDD!F:F,MATCH(P1310,BDD!D:D,0))&amp;"-"&amp;INDEX(BDD!E:E,MATCH(P1310,BDD!D:D,0))</f>
        <v>S-S</v>
      </c>
      <c r="C1310" s="125" t="s">
        <v>484</v>
      </c>
      <c r="D1310" s="150" t="s">
        <v>77</v>
      </c>
      <c r="E1310" s="132"/>
      <c r="F1310" s="24"/>
      <c r="G1310" s="346">
        <v>8000001575</v>
      </c>
      <c r="H1310" s="125" t="s">
        <v>5073</v>
      </c>
      <c r="I1310" s="329"/>
      <c r="J1310" s="346">
        <v>8000001575</v>
      </c>
      <c r="K1310" s="24"/>
      <c r="L1310" s="24">
        <v>0</v>
      </c>
      <c r="M1310" s="24">
        <v>44509</v>
      </c>
      <c r="N1310" s="340" t="s">
        <v>486</v>
      </c>
      <c r="O1310" s="334">
        <v>206971</v>
      </c>
      <c r="P1310" s="25" t="s">
        <v>340</v>
      </c>
      <c r="Q1310" s="127" t="s">
        <v>4469</v>
      </c>
      <c r="R1310" s="232" t="s">
        <v>5074</v>
      </c>
      <c r="S1310" s="89">
        <v>44188</v>
      </c>
      <c r="T1310" s="36">
        <v>30</v>
      </c>
      <c r="U1310" s="125" t="s">
        <v>118</v>
      </c>
      <c r="V1310" s="147" t="s">
        <v>5075</v>
      </c>
      <c r="W1310" s="129"/>
      <c r="X1310" s="88">
        <f>+BD1310+T1310</f>
        <v>44472</v>
      </c>
      <c r="Y1310" s="130" t="s">
        <v>20</v>
      </c>
      <c r="Z1310" s="133" t="s">
        <v>60</v>
      </c>
      <c r="AA1310" s="133"/>
      <c r="AB1310" s="241">
        <v>240</v>
      </c>
      <c r="AC1310" s="134">
        <v>440</v>
      </c>
      <c r="AD1310" s="134"/>
      <c r="AE1310" s="403">
        <f t="shared" si="72"/>
        <v>105600</v>
      </c>
      <c r="AF1310" s="132">
        <v>10</v>
      </c>
      <c r="AG1310" s="130" t="s">
        <v>5</v>
      </c>
      <c r="AH1310" s="130"/>
      <c r="AI1310" s="130" t="s">
        <v>34</v>
      </c>
      <c r="AJ1310" s="130"/>
      <c r="AK1310" s="130"/>
      <c r="AL1310" s="135" t="s">
        <v>5076</v>
      </c>
      <c r="AM1310" s="314"/>
      <c r="AN1310" s="26">
        <f>BL1310</f>
        <v>0</v>
      </c>
      <c r="AO1310" s="26">
        <v>44447</v>
      </c>
      <c r="AP1310" s="26">
        <f>AQ1310</f>
        <v>44498</v>
      </c>
      <c r="AQ1310" s="26">
        <v>44498</v>
      </c>
      <c r="AR1310" s="24">
        <f>AP1310+4</f>
        <v>44502</v>
      </c>
      <c r="AS1310" s="24"/>
      <c r="AT1310" s="24">
        <v>44504</v>
      </c>
      <c r="AU1310" s="418">
        <f t="shared" si="73"/>
        <v>11</v>
      </c>
      <c r="AV1310" s="418">
        <f t="shared" si="74"/>
        <v>2021</v>
      </c>
      <c r="AW1310" s="24"/>
      <c r="AX1310" s="24"/>
      <c r="AY1310" s="24" t="s">
        <v>4312</v>
      </c>
      <c r="AZ1310" s="24" t="s">
        <v>9</v>
      </c>
      <c r="BA1310" s="24"/>
      <c r="BB1310" s="24" t="s">
        <v>4975</v>
      </c>
      <c r="BC1310" s="135" t="s">
        <v>5077</v>
      </c>
      <c r="BD1310" s="24">
        <v>44442</v>
      </c>
      <c r="BE1310" s="24" t="s">
        <v>5078</v>
      </c>
      <c r="BF1310" s="24" t="s">
        <v>994</v>
      </c>
      <c r="BG1310" s="135" t="s">
        <v>41</v>
      </c>
      <c r="BH1310" s="135"/>
      <c r="BI1310" s="314" t="s">
        <v>3</v>
      </c>
      <c r="BJ1310" s="314" t="s">
        <v>143</v>
      </c>
      <c r="BK1310" s="24"/>
      <c r="BL1310" s="24"/>
      <c r="BM1310" s="24"/>
      <c r="BN1310" s="24"/>
      <c r="BO1310" s="24"/>
      <c r="BP1310" s="24"/>
      <c r="BQ1310" s="24"/>
      <c r="BR1310" s="43"/>
      <c r="BS1310" s="24"/>
      <c r="BT1310" s="24"/>
      <c r="BU1310" s="24"/>
      <c r="BV1310" s="132" t="e">
        <f>IF(#REF!="COMPLETO","OK","PENDIENTES")</f>
        <v>#REF!</v>
      </c>
      <c r="BW1310" s="132"/>
      <c r="BX1310" s="132"/>
      <c r="BY1310" s="132"/>
      <c r="BZ1310" s="132"/>
      <c r="CA1310" s="132"/>
      <c r="CB1310" s="132"/>
      <c r="CC1310" s="269"/>
      <c r="CG1310" s="24" t="s">
        <v>105</v>
      </c>
      <c r="CH1310" s="24"/>
      <c r="CI1310" s="24"/>
      <c r="CJ1310" s="24"/>
    </row>
    <row r="1311" spans="1:88" ht="15" customHeight="1">
      <c r="A1311" s="18">
        <v>2020</v>
      </c>
      <c r="B1311" s="18" t="str">
        <f>+INDEX(BDD!F:F,MATCH(P1311,BDD!D:D,0))&amp;"-"&amp;INDEX(BDD!E:E,MATCH(P1311,BDD!D:D,0))</f>
        <v>S-S</v>
      </c>
      <c r="C1311" s="125" t="s">
        <v>484</v>
      </c>
      <c r="D1311" s="150" t="s">
        <v>77</v>
      </c>
      <c r="E1311" s="132"/>
      <c r="F1311" s="24"/>
      <c r="G1311" s="346">
        <v>8000001715</v>
      </c>
      <c r="H1311" s="125" t="s">
        <v>5079</v>
      </c>
      <c r="I1311" s="329"/>
      <c r="J1311" s="346">
        <v>8000001715</v>
      </c>
      <c r="K1311" s="24"/>
      <c r="L1311" s="24">
        <v>0</v>
      </c>
      <c r="M1311" s="24">
        <v>44518</v>
      </c>
      <c r="N1311" s="340" t="s">
        <v>486</v>
      </c>
      <c r="O1311" s="334">
        <v>206971</v>
      </c>
      <c r="P1311" s="25" t="s">
        <v>340</v>
      </c>
      <c r="Q1311" s="127" t="s">
        <v>4469</v>
      </c>
      <c r="R1311" s="232" t="s">
        <v>5080</v>
      </c>
      <c r="S1311" s="89">
        <v>44188</v>
      </c>
      <c r="T1311" s="36">
        <v>30</v>
      </c>
      <c r="U1311" s="125" t="s">
        <v>118</v>
      </c>
      <c r="V1311" s="147" t="s">
        <v>5081</v>
      </c>
      <c r="W1311" s="129"/>
      <c r="X1311" s="88">
        <f>+BD1311+T1311</f>
        <v>44486</v>
      </c>
      <c r="Y1311" s="130" t="s">
        <v>20</v>
      </c>
      <c r="Z1311" s="133" t="s">
        <v>60</v>
      </c>
      <c r="AA1311" s="133"/>
      <c r="AB1311" s="241">
        <v>240</v>
      </c>
      <c r="AC1311" s="134">
        <v>440</v>
      </c>
      <c r="AD1311" s="134"/>
      <c r="AE1311" s="403">
        <f t="shared" si="72"/>
        <v>105600</v>
      </c>
      <c r="AF1311" s="132">
        <v>10</v>
      </c>
      <c r="AG1311" s="130" t="s">
        <v>5</v>
      </c>
      <c r="AH1311" s="130"/>
      <c r="AI1311" s="130" t="s">
        <v>34</v>
      </c>
      <c r="AJ1311" s="130"/>
      <c r="AK1311" s="130"/>
      <c r="AL1311" s="135" t="s">
        <v>5076</v>
      </c>
      <c r="AM1311" s="314"/>
      <c r="AN1311" s="26">
        <f>BL1311</f>
        <v>0</v>
      </c>
      <c r="AO1311" s="26">
        <v>44456</v>
      </c>
      <c r="AP1311" s="26">
        <f>AQ1311</f>
        <v>44512</v>
      </c>
      <c r="AQ1311" s="26">
        <v>44512</v>
      </c>
      <c r="AR1311" s="24">
        <f>AP1311+4</f>
        <v>44516</v>
      </c>
      <c r="AS1311" s="24"/>
      <c r="AT1311" s="24">
        <v>44518</v>
      </c>
      <c r="AU1311" s="418">
        <f t="shared" si="73"/>
        <v>11</v>
      </c>
      <c r="AV1311" s="418">
        <f t="shared" si="74"/>
        <v>2021</v>
      </c>
      <c r="AW1311" s="24"/>
      <c r="AX1311" s="24"/>
      <c r="AY1311" s="24" t="s">
        <v>4312</v>
      </c>
      <c r="AZ1311" s="24" t="s">
        <v>9</v>
      </c>
      <c r="BA1311" s="24"/>
      <c r="BB1311" s="24" t="s">
        <v>3264</v>
      </c>
      <c r="BC1311" s="135" t="s">
        <v>5082</v>
      </c>
      <c r="BD1311" s="24">
        <v>44456</v>
      </c>
      <c r="BE1311" s="24" t="s">
        <v>885</v>
      </c>
      <c r="BF1311" s="24" t="s">
        <v>994</v>
      </c>
      <c r="BG1311" s="135" t="s">
        <v>41</v>
      </c>
      <c r="BH1311" s="135"/>
      <c r="BI1311" s="314" t="s">
        <v>3</v>
      </c>
      <c r="BJ1311" s="314" t="s">
        <v>143</v>
      </c>
      <c r="BK1311" s="24"/>
      <c r="BL1311" s="24"/>
      <c r="BM1311" s="24"/>
      <c r="BN1311" s="24"/>
      <c r="BO1311" s="24"/>
      <c r="BP1311" s="24"/>
      <c r="BQ1311" s="24"/>
      <c r="BR1311" s="43"/>
      <c r="BS1311" s="24"/>
      <c r="BT1311" s="24"/>
      <c r="BU1311" s="24"/>
      <c r="BV1311" s="132" t="e">
        <f>IF(#REF!="COMPLETO","OK","PENDIENTES")</f>
        <v>#REF!</v>
      </c>
      <c r="BW1311" s="132"/>
      <c r="BX1311" s="132"/>
      <c r="BY1311" s="132"/>
      <c r="BZ1311" s="132"/>
      <c r="CA1311" s="132"/>
      <c r="CB1311" s="132"/>
      <c r="CC1311" s="269"/>
      <c r="CG1311" s="24" t="s">
        <v>105</v>
      </c>
      <c r="CH1311" s="24"/>
      <c r="CI1311" s="24"/>
      <c r="CJ1311" s="24"/>
    </row>
    <row r="1312" spans="1:88" ht="15" customHeight="1">
      <c r="A1312" s="18">
        <v>2020</v>
      </c>
      <c r="B1312" s="18" t="str">
        <f>+INDEX(BDD!F:F,MATCH(P1312,BDD!D:D,0))&amp;"-"&amp;INDEX(BDD!E:E,MATCH(P1312,BDD!D:D,0))</f>
        <v>S-S</v>
      </c>
      <c r="C1312" s="125" t="s">
        <v>484</v>
      </c>
      <c r="D1312" s="150" t="s">
        <v>77</v>
      </c>
      <c r="E1312" s="132"/>
      <c r="F1312" s="24"/>
      <c r="G1312" s="346">
        <v>8000001791</v>
      </c>
      <c r="H1312" s="125" t="s">
        <v>5083</v>
      </c>
      <c r="I1312" s="329"/>
      <c r="J1312" s="346">
        <v>8000001791</v>
      </c>
      <c r="K1312" s="24"/>
      <c r="L1312" s="24">
        <v>44580</v>
      </c>
      <c r="M1312" s="24">
        <v>44580</v>
      </c>
      <c r="N1312" s="340" t="s">
        <v>486</v>
      </c>
      <c r="O1312" s="334">
        <v>206971</v>
      </c>
      <c r="P1312" s="25" t="s">
        <v>340</v>
      </c>
      <c r="Q1312" s="127" t="s">
        <v>4469</v>
      </c>
      <c r="R1312" s="232" t="s">
        <v>5084</v>
      </c>
      <c r="S1312" s="89">
        <v>44188</v>
      </c>
      <c r="T1312" s="36">
        <v>30</v>
      </c>
      <c r="U1312" s="125" t="s">
        <v>118</v>
      </c>
      <c r="V1312" s="147" t="s">
        <v>5085</v>
      </c>
      <c r="W1312" s="129"/>
      <c r="X1312" s="88">
        <f>+BD1312+T1312</f>
        <v>44554</v>
      </c>
      <c r="Y1312" s="130" t="s">
        <v>20</v>
      </c>
      <c r="Z1312" s="133" t="s">
        <v>60</v>
      </c>
      <c r="AA1312" s="133"/>
      <c r="AB1312" s="241">
        <v>182</v>
      </c>
      <c r="AC1312" s="134">
        <v>457</v>
      </c>
      <c r="AD1312" s="134"/>
      <c r="AE1312" s="403">
        <f t="shared" si="72"/>
        <v>83174</v>
      </c>
      <c r="AF1312" s="132">
        <v>7</v>
      </c>
      <c r="AG1312" s="130" t="s">
        <v>5</v>
      </c>
      <c r="AH1312" s="130"/>
      <c r="AI1312" s="130" t="s">
        <v>34</v>
      </c>
      <c r="AJ1312" s="130"/>
      <c r="AK1312" s="130"/>
      <c r="AL1312" s="135" t="s">
        <v>5076</v>
      </c>
      <c r="AM1312" s="314"/>
      <c r="AN1312" s="26">
        <v>44524</v>
      </c>
      <c r="AO1312" s="26">
        <v>44524</v>
      </c>
      <c r="AP1312" s="26">
        <f>AQ1312</f>
        <v>44575</v>
      </c>
      <c r="AQ1312" s="26">
        <v>44575</v>
      </c>
      <c r="AR1312" s="24">
        <f>AQ1312+4</f>
        <v>44579</v>
      </c>
      <c r="AS1312" s="24"/>
      <c r="AT1312" s="24">
        <v>44580</v>
      </c>
      <c r="AU1312" s="418">
        <f t="shared" si="73"/>
        <v>1</v>
      </c>
      <c r="AV1312" s="418">
        <f t="shared" si="74"/>
        <v>2022</v>
      </c>
      <c r="AW1312" s="24"/>
      <c r="AX1312" s="24"/>
      <c r="AY1312" s="24" t="s">
        <v>4312</v>
      </c>
      <c r="AZ1312" s="24" t="s">
        <v>9</v>
      </c>
      <c r="BA1312" s="24"/>
      <c r="BB1312" s="24" t="s">
        <v>3264</v>
      </c>
      <c r="BC1312" s="135" t="s">
        <v>5086</v>
      </c>
      <c r="BD1312" s="24">
        <v>44524</v>
      </c>
      <c r="BE1312" s="24" t="s">
        <v>5087</v>
      </c>
      <c r="BF1312" s="24" t="s">
        <v>3632</v>
      </c>
      <c r="BG1312" s="135" t="s">
        <v>41</v>
      </c>
      <c r="BH1312" s="135"/>
      <c r="BI1312" s="314" t="s">
        <v>3</v>
      </c>
      <c r="BJ1312" s="314" t="s">
        <v>148</v>
      </c>
      <c r="BK1312" s="24"/>
      <c r="BL1312" s="24"/>
      <c r="BM1312" s="24"/>
      <c r="BN1312" s="24"/>
      <c r="BO1312" s="24"/>
      <c r="BP1312" s="24"/>
      <c r="BQ1312" s="24"/>
      <c r="BR1312" s="43"/>
      <c r="BS1312" s="24"/>
      <c r="BT1312" s="24"/>
      <c r="BU1312" s="24"/>
      <c r="BV1312" s="132" t="e">
        <f>IF(#REF!="COMPLETO","OK","PENDIENTES")</f>
        <v>#REF!</v>
      </c>
      <c r="BW1312" s="132"/>
      <c r="BX1312" s="132"/>
      <c r="BY1312" s="132"/>
      <c r="BZ1312" s="132"/>
      <c r="CA1312" s="132"/>
      <c r="CB1312" s="132"/>
      <c r="CC1312" s="269"/>
      <c r="CG1312" s="24" t="s">
        <v>105</v>
      </c>
      <c r="CH1312" s="24"/>
      <c r="CI1312" s="24"/>
      <c r="CJ1312" s="24"/>
    </row>
    <row r="1313" spans="1:88" ht="15" customHeight="1">
      <c r="A1313" s="18">
        <v>2020</v>
      </c>
      <c r="B1313" s="18" t="str">
        <f>+INDEX(BDD!F:F,MATCH(P1313,BDD!D:D,0))&amp;"-"&amp;INDEX(BDD!E:E,MATCH(P1313,BDD!D:D,0))</f>
        <v>S-S</v>
      </c>
      <c r="C1313" s="125" t="s">
        <v>484</v>
      </c>
      <c r="D1313" s="150" t="s">
        <v>77</v>
      </c>
      <c r="E1313" s="132"/>
      <c r="F1313" s="24"/>
      <c r="G1313" s="346">
        <v>8000001832</v>
      </c>
      <c r="H1313" s="125" t="s">
        <v>5088</v>
      </c>
      <c r="I1313" s="329"/>
      <c r="J1313" s="346">
        <v>8000001832</v>
      </c>
      <c r="K1313" s="24"/>
      <c r="L1313" s="24">
        <v>44594</v>
      </c>
      <c r="M1313" s="24">
        <v>44594</v>
      </c>
      <c r="N1313" s="340" t="s">
        <v>486</v>
      </c>
      <c r="O1313" s="334">
        <v>206971</v>
      </c>
      <c r="P1313" s="25" t="s">
        <v>340</v>
      </c>
      <c r="Q1313" s="127" t="s">
        <v>4469</v>
      </c>
      <c r="R1313" s="232" t="s">
        <v>5084</v>
      </c>
      <c r="S1313" s="89">
        <v>44188</v>
      </c>
      <c r="T1313" s="36">
        <v>30</v>
      </c>
      <c r="U1313" s="125" t="s">
        <v>118</v>
      </c>
      <c r="V1313" s="147" t="s">
        <v>5085</v>
      </c>
      <c r="W1313" s="129"/>
      <c r="X1313" s="88">
        <f>+BD1313+T1313</f>
        <v>44554</v>
      </c>
      <c r="Y1313" s="130" t="s">
        <v>20</v>
      </c>
      <c r="Z1313" s="133" t="s">
        <v>60</v>
      </c>
      <c r="AA1313" s="133"/>
      <c r="AB1313" s="241">
        <v>52</v>
      </c>
      <c r="AC1313" s="134">
        <v>457</v>
      </c>
      <c r="AD1313" s="134"/>
      <c r="AE1313" s="403">
        <f t="shared" si="72"/>
        <v>23764</v>
      </c>
      <c r="AF1313" s="132">
        <v>2</v>
      </c>
      <c r="AG1313" s="130" t="s">
        <v>21</v>
      </c>
      <c r="AH1313" s="130"/>
      <c r="AI1313" s="130" t="s">
        <v>34</v>
      </c>
      <c r="AJ1313" s="130"/>
      <c r="AK1313" s="130"/>
      <c r="AL1313" s="135" t="s">
        <v>5076</v>
      </c>
      <c r="AM1313" s="314"/>
      <c r="AN1313" s="26">
        <v>44524</v>
      </c>
      <c r="AO1313" s="26">
        <v>44524</v>
      </c>
      <c r="AP1313" s="26">
        <f>AQ1313</f>
        <v>44589</v>
      </c>
      <c r="AQ1313" s="26">
        <v>44589</v>
      </c>
      <c r="AR1313" s="24">
        <f>AQ1313+4</f>
        <v>44593</v>
      </c>
      <c r="AS1313" s="24"/>
      <c r="AT1313" s="454">
        <v>44593</v>
      </c>
      <c r="AU1313" s="418">
        <f t="shared" si="73"/>
        <v>2</v>
      </c>
      <c r="AV1313" s="418">
        <f t="shared" si="74"/>
        <v>2022</v>
      </c>
      <c r="AW1313" s="24"/>
      <c r="AX1313" s="24"/>
      <c r="AY1313" s="24" t="s">
        <v>4312</v>
      </c>
      <c r="AZ1313" s="24" t="s">
        <v>9</v>
      </c>
      <c r="BA1313" s="24"/>
      <c r="BB1313" s="24" t="s">
        <v>3264</v>
      </c>
      <c r="BC1313" s="135" t="s">
        <v>5089</v>
      </c>
      <c r="BD1313" s="24">
        <v>44524</v>
      </c>
      <c r="BE1313" s="24" t="s">
        <v>5087</v>
      </c>
      <c r="BF1313" s="24" t="s">
        <v>3632</v>
      </c>
      <c r="BG1313" s="135" t="s">
        <v>41</v>
      </c>
      <c r="BH1313" s="135"/>
      <c r="BI1313" s="314" t="s">
        <v>3</v>
      </c>
      <c r="BJ1313" s="314" t="s">
        <v>148</v>
      </c>
      <c r="BK1313" s="24"/>
      <c r="BL1313" s="24"/>
      <c r="BM1313" s="24"/>
      <c r="BN1313" s="24"/>
      <c r="BO1313" s="24"/>
      <c r="BP1313" s="24"/>
      <c r="BQ1313" s="24"/>
      <c r="BR1313" s="43"/>
      <c r="BS1313" s="24"/>
      <c r="BT1313" s="24"/>
      <c r="BU1313" s="24"/>
      <c r="BV1313" s="132" t="e">
        <f>IF(#REF!="COMPLETO","OK","PENDIENTES")</f>
        <v>#REF!</v>
      </c>
      <c r="BW1313" s="132"/>
      <c r="BX1313" s="132"/>
      <c r="BY1313" s="132"/>
      <c r="BZ1313" s="132"/>
      <c r="CA1313" s="132"/>
      <c r="CB1313" s="132"/>
      <c r="CC1313" s="269"/>
      <c r="CG1313" s="24" t="s">
        <v>105</v>
      </c>
      <c r="CH1313" s="24"/>
      <c r="CI1313" s="24"/>
      <c r="CJ1313" s="24"/>
    </row>
    <row r="1314" spans="1:88" ht="14.65" customHeight="1">
      <c r="A1314" s="18">
        <v>2020</v>
      </c>
      <c r="B1314" s="18" t="str">
        <f>+INDEX(BDD!F:F,MATCH(P1314,BDD!D:D,0))&amp;"-"&amp;INDEX(BDD!E:E,MATCH(P1314,BDD!D:D,0))</f>
        <v>S-S</v>
      </c>
      <c r="C1314" s="125" t="s">
        <v>484</v>
      </c>
      <c r="D1314" s="150" t="s">
        <v>77</v>
      </c>
      <c r="E1314" s="132"/>
      <c r="F1314" s="24"/>
      <c r="G1314" s="346">
        <v>8000001399</v>
      </c>
      <c r="H1314" s="125" t="s">
        <v>5090</v>
      </c>
      <c r="I1314" s="329"/>
      <c r="J1314" s="346">
        <v>8000001399</v>
      </c>
      <c r="K1314" s="24"/>
      <c r="L1314" s="24"/>
      <c r="M1314" s="24"/>
      <c r="N1314" s="340" t="s">
        <v>486</v>
      </c>
      <c r="O1314" s="334">
        <v>206971</v>
      </c>
      <c r="P1314" s="25" t="s">
        <v>340</v>
      </c>
      <c r="Q1314" s="127" t="s">
        <v>4469</v>
      </c>
      <c r="R1314" s="232" t="s">
        <v>5091</v>
      </c>
      <c r="S1314" s="89">
        <v>44188</v>
      </c>
      <c r="T1314" s="36">
        <v>30</v>
      </c>
      <c r="U1314" s="125" t="s">
        <v>118</v>
      </c>
      <c r="V1314" s="147" t="s">
        <v>5092</v>
      </c>
      <c r="W1314" s="129"/>
      <c r="X1314" s="88">
        <v>44341</v>
      </c>
      <c r="Y1314" s="130" t="s">
        <v>20</v>
      </c>
      <c r="Z1314" s="133" t="s">
        <v>60</v>
      </c>
      <c r="AA1314" s="133"/>
      <c r="AB1314" s="241">
        <v>288</v>
      </c>
      <c r="AC1314" s="134">
        <v>440</v>
      </c>
      <c r="AD1314" s="134"/>
      <c r="AE1314" s="403">
        <f t="shared" si="72"/>
        <v>126720</v>
      </c>
      <c r="AF1314" s="132">
        <v>12</v>
      </c>
      <c r="AG1314" s="130" t="s">
        <v>5</v>
      </c>
      <c r="AH1314" s="130"/>
      <c r="AI1314" s="130" t="s">
        <v>34</v>
      </c>
      <c r="AJ1314" s="130"/>
      <c r="AK1314" s="130"/>
      <c r="AL1314" s="135" t="s">
        <v>5076</v>
      </c>
      <c r="AM1314" s="314"/>
      <c r="AN1314" s="26"/>
      <c r="AO1314" s="26">
        <v>44355</v>
      </c>
      <c r="AP1314" s="26"/>
      <c r="AQ1314" s="26">
        <v>44360</v>
      </c>
      <c r="AR1314" s="24">
        <v>44370</v>
      </c>
      <c r="AS1314" s="24"/>
      <c r="AT1314" s="24">
        <v>44384</v>
      </c>
      <c r="AU1314" s="418">
        <f t="shared" si="73"/>
        <v>7</v>
      </c>
      <c r="AV1314" s="418">
        <f t="shared" si="74"/>
        <v>2021</v>
      </c>
      <c r="AW1314" s="24"/>
      <c r="AX1314" s="24"/>
      <c r="AY1314" s="24" t="s">
        <v>4312</v>
      </c>
      <c r="AZ1314" s="24" t="s">
        <v>9</v>
      </c>
      <c r="BA1314" s="24"/>
      <c r="BB1314" s="24" t="s">
        <v>3264</v>
      </c>
      <c r="BC1314" s="135" t="s">
        <v>5093</v>
      </c>
      <c r="BD1314" s="24">
        <v>44294</v>
      </c>
      <c r="BE1314" s="24" t="s">
        <v>5051</v>
      </c>
      <c r="BF1314" s="24" t="s">
        <v>3276</v>
      </c>
      <c r="BG1314" s="135" t="s">
        <v>41</v>
      </c>
      <c r="BH1314" s="135"/>
      <c r="BI1314" s="314" t="s">
        <v>124</v>
      </c>
      <c r="BJ1314" s="314" t="s">
        <v>148</v>
      </c>
      <c r="BK1314" s="24"/>
      <c r="BL1314" s="24"/>
      <c r="BM1314" s="24"/>
      <c r="BN1314" s="24"/>
      <c r="BO1314" s="24"/>
      <c r="BP1314" s="24"/>
      <c r="BQ1314" s="24"/>
      <c r="BR1314" s="43"/>
      <c r="BS1314" s="24"/>
      <c r="BT1314" s="24"/>
      <c r="BU1314" s="24"/>
      <c r="BV1314" s="132" t="e">
        <f>IF(#REF!="COMPLETO","OK","PENDIENTES")</f>
        <v>#REF!</v>
      </c>
      <c r="BW1314" s="132"/>
      <c r="BX1314" s="132"/>
      <c r="BY1314" s="132"/>
      <c r="BZ1314" s="132"/>
      <c r="CA1314" s="132"/>
      <c r="CB1314" s="132"/>
      <c r="CC1314" s="269" t="s">
        <v>5094</v>
      </c>
      <c r="CG1314" s="24" t="s">
        <v>105</v>
      </c>
      <c r="CH1314" s="24"/>
      <c r="CI1314" s="24"/>
      <c r="CJ1314" s="24"/>
    </row>
    <row r="1315" spans="1:88" ht="15" customHeight="1">
      <c r="A1315" s="18">
        <v>2021</v>
      </c>
      <c r="B1315" s="18" t="e">
        <f>+INDEX(BDD!F:F,MATCH(P1315,BDD!D:D,0))&amp;"-"&amp;INDEX(BDD!E:E,MATCH(P1315,BDD!D:D,0))</f>
        <v>#N/A</v>
      </c>
      <c r="C1315" s="125" t="s">
        <v>484</v>
      </c>
      <c r="D1315" s="150" t="s">
        <v>77</v>
      </c>
      <c r="E1315" s="132"/>
      <c r="F1315" s="24"/>
      <c r="G1315" s="346">
        <v>8000001189</v>
      </c>
      <c r="H1315" s="125" t="s">
        <v>5095</v>
      </c>
      <c r="I1315" s="329"/>
      <c r="J1315" s="346">
        <v>8000001189</v>
      </c>
      <c r="K1315" s="24"/>
      <c r="L1315" s="24"/>
      <c r="M1315" s="24"/>
      <c r="N1315" s="340" t="s">
        <v>486</v>
      </c>
      <c r="O1315" s="334">
        <v>209878</v>
      </c>
      <c r="P1315" s="25" t="s">
        <v>5096</v>
      </c>
      <c r="Q1315" s="127" t="s">
        <v>309</v>
      </c>
      <c r="R1315" s="232" t="s">
        <v>944</v>
      </c>
      <c r="S1315" s="89">
        <v>44204</v>
      </c>
      <c r="T1315" s="36">
        <v>90</v>
      </c>
      <c r="U1315" s="125" t="s">
        <v>118</v>
      </c>
      <c r="V1315" s="147" t="s">
        <v>5097</v>
      </c>
      <c r="W1315" s="129"/>
      <c r="X1315" s="88">
        <v>44337</v>
      </c>
      <c r="Y1315" s="130" t="s">
        <v>20</v>
      </c>
      <c r="Z1315" s="133" t="s">
        <v>81</v>
      </c>
      <c r="AA1315" s="133"/>
      <c r="AB1315" s="241">
        <v>9</v>
      </c>
      <c r="AC1315" s="134">
        <v>4680</v>
      </c>
      <c r="AD1315" s="134"/>
      <c r="AE1315" s="403">
        <f t="shared" si="72"/>
        <v>42120</v>
      </c>
      <c r="AF1315" s="132">
        <v>1</v>
      </c>
      <c r="AG1315" s="130" t="s">
        <v>5</v>
      </c>
      <c r="AH1315" s="130"/>
      <c r="AI1315" s="130" t="s">
        <v>3619</v>
      </c>
      <c r="AJ1315" s="130"/>
      <c r="AK1315" s="130"/>
      <c r="AL1315" s="135" t="s">
        <v>5098</v>
      </c>
      <c r="AM1315" s="314"/>
      <c r="AN1315" s="26"/>
      <c r="AO1315" s="26"/>
      <c r="AP1315" s="26"/>
      <c r="AQ1315" s="26">
        <v>44281</v>
      </c>
      <c r="AR1315" s="24"/>
      <c r="AS1315" s="24"/>
      <c r="AT1315" s="24">
        <v>44286</v>
      </c>
      <c r="AU1315" s="418">
        <f t="shared" si="73"/>
        <v>3</v>
      </c>
      <c r="AV1315" s="418">
        <f t="shared" si="74"/>
        <v>2021</v>
      </c>
      <c r="AW1315" s="24"/>
      <c r="AX1315" s="28"/>
      <c r="AY1315" s="28" t="s">
        <v>153</v>
      </c>
      <c r="AZ1315" s="24" t="s">
        <v>37</v>
      </c>
      <c r="BA1315" s="24"/>
      <c r="BB1315" s="24" t="s">
        <v>2956</v>
      </c>
      <c r="BC1315" s="135" t="s">
        <v>5099</v>
      </c>
      <c r="BD1315" s="24">
        <v>44246</v>
      </c>
      <c r="BE1315" s="24" t="s">
        <v>5100</v>
      </c>
      <c r="BF1315" s="24" t="s">
        <v>756</v>
      </c>
      <c r="BG1315" s="135" t="s">
        <v>74</v>
      </c>
      <c r="BH1315" s="135"/>
      <c r="BI1315" s="314" t="s">
        <v>124</v>
      </c>
      <c r="BJ1315" s="314" t="s">
        <v>143</v>
      </c>
      <c r="BK1315" s="24"/>
      <c r="BL1315" s="24"/>
      <c r="BM1315" s="24"/>
      <c r="BN1315" s="24"/>
      <c r="BO1315" s="24"/>
      <c r="BP1315" s="24"/>
      <c r="BQ1315" s="24"/>
      <c r="BR1315" s="24"/>
      <c r="BS1315" s="24"/>
      <c r="BT1315" s="24"/>
      <c r="BU1315" s="24"/>
      <c r="BV1315" s="132" t="e">
        <f>IF(#REF!="COMPLETO","OK","PENDIENTES")</f>
        <v>#REF!</v>
      </c>
      <c r="BW1315" s="132"/>
      <c r="BX1315" s="132"/>
      <c r="BY1315" s="132"/>
      <c r="BZ1315" s="132"/>
      <c r="CA1315" s="132"/>
      <c r="CB1315" s="132"/>
      <c r="CC1315" s="269" t="s">
        <v>5101</v>
      </c>
      <c r="CG1315" s="24" t="s">
        <v>105</v>
      </c>
      <c r="CH1315" s="24"/>
      <c r="CI1315" s="24"/>
      <c r="CJ1315" s="24"/>
    </row>
    <row r="1316" spans="1:88" ht="15" customHeight="1">
      <c r="A1316" s="18">
        <v>2021</v>
      </c>
      <c r="B1316" s="18" t="str">
        <f>+INDEX(BDD!F:F,MATCH(P1316,BDD!D:D,0))&amp;"-"&amp;INDEX(BDD!E:E,MATCH(P1316,BDD!D:D,0))</f>
        <v>G-S</v>
      </c>
      <c r="C1316" s="125" t="s">
        <v>484</v>
      </c>
      <c r="D1316" s="150" t="s">
        <v>77</v>
      </c>
      <c r="E1316" s="132"/>
      <c r="F1316" s="24"/>
      <c r="G1316" s="346">
        <v>8000001267</v>
      </c>
      <c r="H1316" s="125" t="s">
        <v>5102</v>
      </c>
      <c r="I1316" s="329"/>
      <c r="J1316" s="346">
        <v>8000001267</v>
      </c>
      <c r="K1316" s="24"/>
      <c r="L1316" s="24"/>
      <c r="M1316" s="24"/>
      <c r="N1316" s="340" t="s">
        <v>486</v>
      </c>
      <c r="O1316" s="334">
        <v>207791</v>
      </c>
      <c r="P1316" s="25" t="s">
        <v>98</v>
      </c>
      <c r="Q1316" s="127" t="s">
        <v>210</v>
      </c>
      <c r="R1316" s="232" t="s">
        <v>5103</v>
      </c>
      <c r="S1316" s="89">
        <v>44207</v>
      </c>
      <c r="T1316" s="36">
        <v>120</v>
      </c>
      <c r="U1316" s="125" t="s">
        <v>118</v>
      </c>
      <c r="V1316" s="147" t="s">
        <v>5104</v>
      </c>
      <c r="W1316" s="129"/>
      <c r="X1316" s="88">
        <f>+T1316+BD1316</f>
        <v>44365</v>
      </c>
      <c r="Y1316" s="130" t="s">
        <v>20</v>
      </c>
      <c r="Z1316" s="133" t="s">
        <v>72</v>
      </c>
      <c r="AA1316" s="133"/>
      <c r="AB1316" s="241">
        <v>504.29500000000002</v>
      </c>
      <c r="AC1316" s="134">
        <v>255</v>
      </c>
      <c r="AD1316" s="134"/>
      <c r="AE1316" s="403">
        <f t="shared" si="72"/>
        <v>128595.22500000001</v>
      </c>
      <c r="AF1316" s="132">
        <v>18</v>
      </c>
      <c r="AG1316" s="130" t="s">
        <v>5</v>
      </c>
      <c r="AH1316" s="130"/>
      <c r="AI1316" s="130" t="s">
        <v>100</v>
      </c>
      <c r="AJ1316" s="130"/>
      <c r="AK1316" s="130"/>
      <c r="AL1316" s="135" t="s">
        <v>5105</v>
      </c>
      <c r="AM1316" s="314"/>
      <c r="AN1316" s="26"/>
      <c r="AO1316" s="26"/>
      <c r="AP1316" s="26"/>
      <c r="AQ1316" s="26">
        <v>44265</v>
      </c>
      <c r="AR1316" s="24"/>
      <c r="AS1316" s="24"/>
      <c r="AT1316" s="24">
        <v>44279</v>
      </c>
      <c r="AU1316" s="418">
        <f t="shared" si="73"/>
        <v>3</v>
      </c>
      <c r="AV1316" s="418">
        <f t="shared" si="74"/>
        <v>2021</v>
      </c>
      <c r="AW1316" s="24"/>
      <c r="AX1316" s="24"/>
      <c r="AY1316" s="24" t="s">
        <v>162</v>
      </c>
      <c r="AZ1316" s="24" t="s">
        <v>9</v>
      </c>
      <c r="BA1316" s="24"/>
      <c r="BB1316" s="24" t="s">
        <v>3264</v>
      </c>
      <c r="BC1316" s="135" t="s">
        <v>5106</v>
      </c>
      <c r="BD1316" s="24">
        <v>44245</v>
      </c>
      <c r="BE1316" s="24" t="s">
        <v>3098</v>
      </c>
      <c r="BF1316" s="24" t="s">
        <v>1806</v>
      </c>
      <c r="BG1316" s="135" t="s">
        <v>64</v>
      </c>
      <c r="BH1316" s="135"/>
      <c r="BI1316" s="314" t="s">
        <v>124</v>
      </c>
      <c r="BJ1316" s="314" t="s">
        <v>138</v>
      </c>
      <c r="BK1316" s="24"/>
      <c r="BL1316" s="24"/>
      <c r="BM1316" s="24"/>
      <c r="BN1316" s="24"/>
      <c r="BO1316" s="24">
        <f>+AQ1316+14</f>
        <v>44279</v>
      </c>
      <c r="BP1316" s="24"/>
      <c r="BQ1316" s="24"/>
      <c r="BR1316" s="24"/>
      <c r="BS1316" s="24"/>
      <c r="BT1316" s="24"/>
      <c r="BU1316" s="24"/>
      <c r="BV1316" s="132" t="e">
        <f>IF(#REF!="COMPLETO","OK","PENDIENTES")</f>
        <v>#REF!</v>
      </c>
      <c r="BW1316" s="132"/>
      <c r="BX1316" s="132"/>
      <c r="BY1316" s="132"/>
      <c r="BZ1316" s="132"/>
      <c r="CA1316" s="132"/>
      <c r="CB1316" s="132"/>
      <c r="CC1316" s="269" t="s">
        <v>5107</v>
      </c>
      <c r="CG1316" s="24" t="s">
        <v>105</v>
      </c>
      <c r="CH1316" s="24"/>
      <c r="CI1316" s="24"/>
      <c r="CJ1316" s="24"/>
    </row>
    <row r="1317" spans="1:88" ht="15" customHeight="1">
      <c r="A1317" s="18">
        <v>2021</v>
      </c>
      <c r="B1317" s="18" t="str">
        <f>+INDEX(BDD!F:F,MATCH(P1317,BDD!D:D,0))&amp;"-"&amp;INDEX(BDD!E:E,MATCH(P1317,BDD!D:D,0))</f>
        <v>E-S</v>
      </c>
      <c r="C1317" s="125" t="s">
        <v>484</v>
      </c>
      <c r="D1317" s="150" t="s">
        <v>77</v>
      </c>
      <c r="E1317" s="132"/>
      <c r="F1317" s="24"/>
      <c r="G1317" s="346">
        <v>8000001386</v>
      </c>
      <c r="H1317" s="125" t="s">
        <v>5108</v>
      </c>
      <c r="I1317" s="329"/>
      <c r="J1317" s="346">
        <v>8000001386</v>
      </c>
      <c r="K1317" s="24"/>
      <c r="L1317" s="24"/>
      <c r="M1317" s="24"/>
      <c r="N1317" s="340" t="s">
        <v>486</v>
      </c>
      <c r="O1317" s="334">
        <v>208053</v>
      </c>
      <c r="P1317" s="25" t="s">
        <v>111</v>
      </c>
      <c r="Q1317" s="127" t="s">
        <v>276</v>
      </c>
      <c r="R1317" s="232" t="s">
        <v>5109</v>
      </c>
      <c r="S1317" s="89">
        <v>44209</v>
      </c>
      <c r="T1317" s="36">
        <v>120</v>
      </c>
      <c r="U1317" s="125" t="s">
        <v>118</v>
      </c>
      <c r="V1317" s="147" t="s">
        <v>5110</v>
      </c>
      <c r="W1317" s="129"/>
      <c r="X1317" s="88">
        <f>+BD1317+T1317</f>
        <v>44394</v>
      </c>
      <c r="Y1317" s="130" t="s">
        <v>20</v>
      </c>
      <c r="Z1317" s="133" t="s">
        <v>81</v>
      </c>
      <c r="AA1317" s="133"/>
      <c r="AB1317" s="241">
        <v>100</v>
      </c>
      <c r="AC1317" s="134">
        <v>358</v>
      </c>
      <c r="AD1317" s="134"/>
      <c r="AE1317" s="403">
        <f t="shared" si="72"/>
        <v>35800</v>
      </c>
      <c r="AF1317" s="132"/>
      <c r="AG1317" s="130" t="s">
        <v>58</v>
      </c>
      <c r="AH1317" s="130"/>
      <c r="AI1317" s="130" t="s">
        <v>71</v>
      </c>
      <c r="AJ1317" s="130"/>
      <c r="AK1317" s="130"/>
      <c r="AL1317" s="135" t="s">
        <v>5105</v>
      </c>
      <c r="AM1317" s="314"/>
      <c r="AN1317" s="26"/>
      <c r="AO1317" s="26"/>
      <c r="AP1317" s="26"/>
      <c r="AQ1317" s="26">
        <v>44356</v>
      </c>
      <c r="AR1317" s="24"/>
      <c r="AS1317" s="24"/>
      <c r="AT1317" s="24">
        <v>44369</v>
      </c>
      <c r="AU1317" s="418">
        <f t="shared" si="73"/>
        <v>6</v>
      </c>
      <c r="AV1317" s="418">
        <f t="shared" si="74"/>
        <v>2021</v>
      </c>
      <c r="AW1317" s="24"/>
      <c r="AX1317" s="24"/>
      <c r="AY1317" s="24" t="s">
        <v>95</v>
      </c>
      <c r="AZ1317" s="24" t="s">
        <v>37</v>
      </c>
      <c r="BA1317" s="24"/>
      <c r="BB1317" s="24" t="s">
        <v>2956</v>
      </c>
      <c r="BC1317" s="135" t="s">
        <v>5111</v>
      </c>
      <c r="BD1317" s="24">
        <v>44274</v>
      </c>
      <c r="BE1317" s="24" t="s">
        <v>5112</v>
      </c>
      <c r="BF1317" s="24" t="s">
        <v>5112</v>
      </c>
      <c r="BG1317" s="135" t="s">
        <v>52</v>
      </c>
      <c r="BH1317" s="135"/>
      <c r="BI1317" s="314" t="s">
        <v>124</v>
      </c>
      <c r="BJ1317" s="314" t="s">
        <v>143</v>
      </c>
      <c r="BK1317" s="24"/>
      <c r="BL1317" s="24"/>
      <c r="BM1317" s="24"/>
      <c r="BN1317" s="24"/>
      <c r="BO1317" s="24"/>
      <c r="BP1317" s="24"/>
      <c r="BQ1317" s="24"/>
      <c r="BR1317" s="24"/>
      <c r="BS1317" s="24"/>
      <c r="BT1317" s="24"/>
      <c r="BU1317" s="24"/>
      <c r="BV1317" s="132" t="e">
        <f>IF(#REF!="COMPLETO","OK","PENDIENTES")</f>
        <v>#REF!</v>
      </c>
      <c r="BW1317" s="132"/>
      <c r="BX1317" s="132"/>
      <c r="BY1317" s="132"/>
      <c r="BZ1317" s="132"/>
      <c r="CA1317" s="132"/>
      <c r="CB1317" s="132"/>
      <c r="CC1317" s="269" t="s">
        <v>5113</v>
      </c>
      <c r="CG1317" s="24" t="s">
        <v>105</v>
      </c>
      <c r="CH1317" s="24"/>
      <c r="CI1317" s="24"/>
      <c r="CJ1317" s="24"/>
    </row>
    <row r="1318" spans="1:88" ht="15" customHeight="1">
      <c r="A1318" s="18">
        <v>2021</v>
      </c>
      <c r="B1318" s="18" t="str">
        <f>+INDEX(BDD!F:F,MATCH(P1318,BDD!D:D,0))&amp;"-"&amp;INDEX(BDD!E:E,MATCH(P1318,BDD!D:D,0))</f>
        <v>E-S</v>
      </c>
      <c r="C1318" s="125" t="s">
        <v>484</v>
      </c>
      <c r="D1318" s="150" t="s">
        <v>77</v>
      </c>
      <c r="E1318" s="132"/>
      <c r="F1318" s="24"/>
      <c r="G1318" s="346">
        <v>8000001284</v>
      </c>
      <c r="H1318" s="125" t="s">
        <v>5114</v>
      </c>
      <c r="I1318" s="329"/>
      <c r="J1318" s="346">
        <v>8000001284</v>
      </c>
      <c r="K1318" s="24"/>
      <c r="L1318" s="24"/>
      <c r="M1318" s="24"/>
      <c r="N1318" s="340" t="s">
        <v>486</v>
      </c>
      <c r="O1318" s="334">
        <v>204826</v>
      </c>
      <c r="P1318" s="25" t="s">
        <v>351</v>
      </c>
      <c r="Q1318" s="127" t="s">
        <v>252</v>
      </c>
      <c r="R1318" s="232" t="s">
        <v>5115</v>
      </c>
      <c r="S1318" s="89">
        <v>44214</v>
      </c>
      <c r="T1318" s="36" t="s">
        <v>19</v>
      </c>
      <c r="U1318" s="125"/>
      <c r="V1318" s="147" t="s">
        <v>5116</v>
      </c>
      <c r="W1318" s="129"/>
      <c r="X1318" s="88">
        <v>44260</v>
      </c>
      <c r="Y1318" s="130" t="s">
        <v>20</v>
      </c>
      <c r="Z1318" s="133" t="s">
        <v>60</v>
      </c>
      <c r="AA1318" s="133"/>
      <c r="AB1318" s="241">
        <v>892.80000000000007</v>
      </c>
      <c r="AC1318" s="134">
        <v>365</v>
      </c>
      <c r="AD1318" s="134"/>
      <c r="AE1318" s="403">
        <f t="shared" si="72"/>
        <v>325872</v>
      </c>
      <c r="AF1318" s="132">
        <v>31</v>
      </c>
      <c r="AG1318" s="130" t="s">
        <v>79</v>
      </c>
      <c r="AH1318" s="130"/>
      <c r="AI1318" s="130" t="s">
        <v>100</v>
      </c>
      <c r="AJ1318" s="130"/>
      <c r="AK1318" s="130"/>
      <c r="AL1318" s="135" t="s">
        <v>5117</v>
      </c>
      <c r="AM1318" s="314"/>
      <c r="AN1318" s="26"/>
      <c r="AO1318" s="26"/>
      <c r="AP1318" s="26"/>
      <c r="AQ1318" s="26">
        <v>44309</v>
      </c>
      <c r="AR1318" s="24"/>
      <c r="AS1318" s="24"/>
      <c r="AT1318" s="24">
        <v>44315</v>
      </c>
      <c r="AU1318" s="418">
        <f t="shared" si="73"/>
        <v>4</v>
      </c>
      <c r="AV1318" s="418">
        <f t="shared" si="74"/>
        <v>2021</v>
      </c>
      <c r="AW1318" s="24"/>
      <c r="AX1318" s="28"/>
      <c r="AY1318" s="28" t="s">
        <v>281</v>
      </c>
      <c r="AZ1318" s="24" t="s">
        <v>37</v>
      </c>
      <c r="BA1318" s="24"/>
      <c r="BB1318" s="24" t="s">
        <v>3593</v>
      </c>
      <c r="BC1318" s="135" t="s">
        <v>5118</v>
      </c>
      <c r="BD1318" s="24">
        <v>44254</v>
      </c>
      <c r="BE1318" s="24" t="s">
        <v>5119</v>
      </c>
      <c r="BF1318" s="24" t="s">
        <v>3164</v>
      </c>
      <c r="BG1318" s="135" t="s">
        <v>65</v>
      </c>
      <c r="BH1318" s="135"/>
      <c r="BI1318" s="314" t="s">
        <v>124</v>
      </c>
      <c r="BJ1318" s="314" t="s">
        <v>138</v>
      </c>
      <c r="BK1318" s="24"/>
      <c r="BL1318" s="24"/>
      <c r="BM1318" s="24"/>
      <c r="BN1318" s="24"/>
      <c r="BO1318" s="24"/>
      <c r="BP1318" s="24"/>
      <c r="BQ1318" s="24"/>
      <c r="BR1318" s="24"/>
      <c r="BS1318" s="24"/>
      <c r="BT1318" s="24"/>
      <c r="BU1318" s="24"/>
      <c r="BV1318" s="132" t="e">
        <f>IF(#REF!="COMPLETO","OK","PENDIENTES")</f>
        <v>#REF!</v>
      </c>
      <c r="BW1318" s="132"/>
      <c r="BX1318" s="132"/>
      <c r="BY1318" s="132"/>
      <c r="BZ1318" s="132"/>
      <c r="CA1318" s="132"/>
      <c r="CB1318" s="132"/>
      <c r="CC1318" s="269"/>
      <c r="CG1318" s="24" t="s">
        <v>105</v>
      </c>
      <c r="CH1318" s="24"/>
      <c r="CI1318" s="24"/>
      <c r="CJ1318" s="24"/>
    </row>
    <row r="1319" spans="1:88" ht="15" customHeight="1">
      <c r="A1319" s="18">
        <v>2021</v>
      </c>
      <c r="B1319" s="18" t="str">
        <f>+INDEX(BDD!F:F,MATCH(P1319,BDD!D:D,0))&amp;"-"&amp;INDEX(BDD!E:E,MATCH(P1319,BDD!D:D,0))</f>
        <v>E-S</v>
      </c>
      <c r="C1319" s="125" t="s">
        <v>484</v>
      </c>
      <c r="D1319" s="150" t="s">
        <v>77</v>
      </c>
      <c r="E1319" s="132"/>
      <c r="F1319" s="24"/>
      <c r="G1319" s="346">
        <v>8000001385</v>
      </c>
      <c r="H1319" s="125" t="s">
        <v>5120</v>
      </c>
      <c r="I1319" s="329"/>
      <c r="J1319" s="346">
        <v>8000001385</v>
      </c>
      <c r="K1319" s="24"/>
      <c r="L1319" s="24"/>
      <c r="M1319" s="24"/>
      <c r="N1319" s="340" t="s">
        <v>486</v>
      </c>
      <c r="O1319" s="334">
        <v>204826</v>
      </c>
      <c r="P1319" s="125" t="s">
        <v>351</v>
      </c>
      <c r="Q1319" s="127" t="s">
        <v>252</v>
      </c>
      <c r="R1319" s="232" t="s">
        <v>5115</v>
      </c>
      <c r="S1319" s="89">
        <v>44214</v>
      </c>
      <c r="T1319" s="36" t="s">
        <v>19</v>
      </c>
      <c r="U1319" s="125"/>
      <c r="V1319" s="147" t="s">
        <v>5116</v>
      </c>
      <c r="W1319" s="129"/>
      <c r="X1319" s="88">
        <v>44260</v>
      </c>
      <c r="Y1319" s="130" t="s">
        <v>20</v>
      </c>
      <c r="Z1319" s="133" t="s">
        <v>60</v>
      </c>
      <c r="AA1319" s="133"/>
      <c r="AB1319" s="241">
        <f>28.8*3</f>
        <v>86.4</v>
      </c>
      <c r="AC1319" s="134">
        <v>365</v>
      </c>
      <c r="AD1319" s="134"/>
      <c r="AE1319" s="403">
        <f t="shared" si="72"/>
        <v>31536.000000000004</v>
      </c>
      <c r="AF1319" s="132">
        <v>3</v>
      </c>
      <c r="AG1319" s="130" t="s">
        <v>79</v>
      </c>
      <c r="AH1319" s="130"/>
      <c r="AI1319" s="130" t="s">
        <v>100</v>
      </c>
      <c r="AJ1319" s="130"/>
      <c r="AK1319" s="130"/>
      <c r="AL1319" s="135" t="s">
        <v>5117</v>
      </c>
      <c r="AM1319" s="314"/>
      <c r="AN1319" s="26"/>
      <c r="AO1319" s="26"/>
      <c r="AP1319" s="26"/>
      <c r="AQ1319" s="26">
        <v>44367</v>
      </c>
      <c r="AR1319" s="24"/>
      <c r="AS1319" s="24"/>
      <c r="AT1319" s="24">
        <v>44372</v>
      </c>
      <c r="AU1319" s="418">
        <f t="shared" si="73"/>
        <v>6</v>
      </c>
      <c r="AV1319" s="418">
        <f t="shared" si="74"/>
        <v>2021</v>
      </c>
      <c r="AW1319" s="24"/>
      <c r="AX1319" s="28"/>
      <c r="AY1319" s="28" t="s">
        <v>281</v>
      </c>
      <c r="AZ1319" s="24" t="s">
        <v>37</v>
      </c>
      <c r="BA1319" s="24"/>
      <c r="BB1319" s="24" t="s">
        <v>2956</v>
      </c>
      <c r="BC1319" s="135" t="s">
        <v>5118</v>
      </c>
      <c r="BD1319" s="24">
        <v>44254</v>
      </c>
      <c r="BE1319" s="24" t="s">
        <v>5119</v>
      </c>
      <c r="BF1319" s="24" t="s">
        <v>2521</v>
      </c>
      <c r="BG1319" s="135" t="s">
        <v>65</v>
      </c>
      <c r="BH1319" s="135"/>
      <c r="BI1319" s="314" t="s">
        <v>124</v>
      </c>
      <c r="BJ1319" s="314" t="s">
        <v>138</v>
      </c>
      <c r="BK1319" s="24"/>
      <c r="BL1319" s="24"/>
      <c r="BM1319" s="24"/>
      <c r="BN1319" s="24"/>
      <c r="BO1319" s="24"/>
      <c r="BP1319" s="24"/>
      <c r="BQ1319" s="24"/>
      <c r="BR1319" s="24"/>
      <c r="BS1319" s="24"/>
      <c r="BT1319" s="24"/>
      <c r="BU1319" s="24"/>
      <c r="BV1319" s="132" t="e">
        <f>IF(#REF!="COMPLETO","OK","PENDIENTES")</f>
        <v>#REF!</v>
      </c>
      <c r="BW1319" s="132"/>
      <c r="BX1319" s="132"/>
      <c r="BY1319" s="132"/>
      <c r="BZ1319" s="132"/>
      <c r="CA1319" s="132"/>
      <c r="CB1319" s="132"/>
      <c r="CC1319" s="269"/>
      <c r="CG1319" s="24" t="s">
        <v>105</v>
      </c>
      <c r="CH1319" s="24"/>
      <c r="CI1319" s="24"/>
      <c r="CJ1319" s="24"/>
    </row>
    <row r="1320" spans="1:88" ht="15" customHeight="1">
      <c r="A1320" s="18">
        <v>2021</v>
      </c>
      <c r="B1320" s="18" t="str">
        <f>+INDEX(BDD!F:F,MATCH(P1320,BDD!D:D,0))&amp;"-"&amp;INDEX(BDD!E:E,MATCH(P1320,BDD!D:D,0))</f>
        <v>T-S</v>
      </c>
      <c r="C1320" s="125" t="s">
        <v>484</v>
      </c>
      <c r="D1320" s="150" t="s">
        <v>77</v>
      </c>
      <c r="E1320" s="132"/>
      <c r="F1320" s="24"/>
      <c r="G1320" s="346">
        <v>8000001203</v>
      </c>
      <c r="H1320" s="125" t="s">
        <v>5121</v>
      </c>
      <c r="I1320" s="329"/>
      <c r="J1320" s="346">
        <v>8000001203</v>
      </c>
      <c r="K1320" s="24"/>
      <c r="L1320" s="24"/>
      <c r="M1320" s="24"/>
      <c r="N1320" s="340" t="s">
        <v>486</v>
      </c>
      <c r="O1320" s="334">
        <v>208067</v>
      </c>
      <c r="P1320" s="125" t="s">
        <v>383</v>
      </c>
      <c r="Q1320" s="127" t="s">
        <v>303</v>
      </c>
      <c r="R1320" s="232" t="s">
        <v>5122</v>
      </c>
      <c r="S1320" s="89" t="s">
        <v>5009</v>
      </c>
      <c r="T1320" s="36">
        <v>30</v>
      </c>
      <c r="U1320" s="125" t="s">
        <v>131</v>
      </c>
      <c r="V1320" s="147" t="s">
        <v>8015</v>
      </c>
      <c r="W1320" s="129"/>
      <c r="X1320" s="88">
        <v>44251</v>
      </c>
      <c r="Y1320" s="130" t="s">
        <v>20</v>
      </c>
      <c r="Z1320" s="133" t="s">
        <v>60</v>
      </c>
      <c r="AA1320" s="133"/>
      <c r="AB1320" s="241">
        <v>600</v>
      </c>
      <c r="AC1320" s="134">
        <v>230</v>
      </c>
      <c r="AD1320" s="134"/>
      <c r="AE1320" s="403">
        <f t="shared" si="72"/>
        <v>138000</v>
      </c>
      <c r="AF1320" s="132">
        <v>24</v>
      </c>
      <c r="AG1320" s="130" t="s">
        <v>5</v>
      </c>
      <c r="AH1320" s="130"/>
      <c r="AI1320" s="130" t="s">
        <v>34</v>
      </c>
      <c r="AJ1320" s="130"/>
      <c r="AK1320" s="130"/>
      <c r="AL1320" s="135" t="s">
        <v>5009</v>
      </c>
      <c r="AM1320" s="314"/>
      <c r="AN1320" s="26"/>
      <c r="AO1320" s="26"/>
      <c r="AP1320" s="26"/>
      <c r="AQ1320" s="26">
        <v>44223</v>
      </c>
      <c r="AR1320" s="24"/>
      <c r="AS1320" s="24"/>
      <c r="AT1320" s="24">
        <v>44238</v>
      </c>
      <c r="AU1320" s="418">
        <f t="shared" si="73"/>
        <v>2</v>
      </c>
      <c r="AV1320" s="418">
        <f t="shared" si="74"/>
        <v>2021</v>
      </c>
      <c r="AW1320" s="24"/>
      <c r="AX1320" s="24"/>
      <c r="AY1320" s="24" t="s">
        <v>3415</v>
      </c>
      <c r="AZ1320" s="24" t="s">
        <v>9</v>
      </c>
      <c r="BA1320" s="24"/>
      <c r="BB1320" s="24" t="s">
        <v>3519</v>
      </c>
      <c r="BC1320" s="135" t="s">
        <v>5123</v>
      </c>
      <c r="BD1320" s="24">
        <v>44218</v>
      </c>
      <c r="BE1320" s="24" t="s">
        <v>1806</v>
      </c>
      <c r="BF1320" s="24" t="s">
        <v>1806</v>
      </c>
      <c r="BG1320" s="135" t="s">
        <v>64</v>
      </c>
      <c r="BH1320" s="135"/>
      <c r="BI1320" s="314" t="s">
        <v>124</v>
      </c>
      <c r="BJ1320" s="314" t="s">
        <v>138</v>
      </c>
      <c r="BK1320" s="24"/>
      <c r="BL1320" s="24"/>
      <c r="BM1320" s="24"/>
      <c r="BN1320" s="24"/>
      <c r="BO1320" s="24">
        <v>44243</v>
      </c>
      <c r="BP1320" s="24"/>
      <c r="BQ1320" s="24"/>
      <c r="BR1320" s="24"/>
      <c r="BS1320" s="24"/>
      <c r="BT1320" s="24"/>
      <c r="BU1320" s="24"/>
      <c r="BV1320" s="132" t="e">
        <f>IF(#REF!="COMPLETO","OK","PENDIENTES")</f>
        <v>#REF!</v>
      </c>
      <c r="BW1320" s="132"/>
      <c r="BX1320" s="132"/>
      <c r="BY1320" s="132"/>
      <c r="BZ1320" s="132"/>
      <c r="CA1320" s="132"/>
      <c r="CB1320" s="132"/>
      <c r="CC1320" s="269"/>
      <c r="CG1320" s="24" t="s">
        <v>105</v>
      </c>
      <c r="CH1320" s="24"/>
      <c r="CI1320" s="24"/>
      <c r="CJ1320" s="24"/>
    </row>
    <row r="1321" spans="1:88" ht="15" customHeight="1">
      <c r="A1321" s="18">
        <v>2021</v>
      </c>
      <c r="B1321" s="18" t="str">
        <f>+INDEX(BDD!F:F,MATCH(P1321,BDD!D:D,0))&amp;"-"&amp;INDEX(BDD!E:E,MATCH(P1321,BDD!D:D,0))</f>
        <v>S-S</v>
      </c>
      <c r="C1321" s="125" t="s">
        <v>484</v>
      </c>
      <c r="D1321" s="152" t="s">
        <v>20</v>
      </c>
      <c r="E1321" s="132" t="s">
        <v>51</v>
      </c>
      <c r="F1321" s="24"/>
      <c r="G1321" s="346"/>
      <c r="H1321" s="125" t="s">
        <v>5124</v>
      </c>
      <c r="I1321" s="329"/>
      <c r="J1321" s="346"/>
      <c r="K1321" s="24"/>
      <c r="L1321" s="24"/>
      <c r="M1321" s="24"/>
      <c r="N1321" s="340"/>
      <c r="O1321" s="334"/>
      <c r="P1321" s="125" t="s">
        <v>238</v>
      </c>
      <c r="Q1321" s="127" t="s">
        <v>231</v>
      </c>
      <c r="R1321" s="232"/>
      <c r="S1321" s="89"/>
      <c r="T1321" s="36"/>
      <c r="U1321" s="125"/>
      <c r="V1321" s="147"/>
      <c r="W1321" s="129"/>
      <c r="X1321" s="88"/>
      <c r="Y1321" s="130"/>
      <c r="Z1321" s="133"/>
      <c r="AA1321" s="133"/>
      <c r="AB1321" s="241"/>
      <c r="AC1321" s="134"/>
      <c r="AD1321" s="134"/>
      <c r="AE1321" s="403">
        <f t="shared" si="72"/>
        <v>0</v>
      </c>
      <c r="AF1321" s="132"/>
      <c r="AG1321" s="130"/>
      <c r="AH1321" s="130"/>
      <c r="AI1321" s="130"/>
      <c r="AJ1321" s="130"/>
      <c r="AK1321" s="130"/>
      <c r="AL1321" s="135"/>
      <c r="AM1321" s="314"/>
      <c r="AN1321" s="26"/>
      <c r="AO1321" s="26"/>
      <c r="AP1321" s="26"/>
      <c r="AQ1321" s="26"/>
      <c r="AR1321" s="24"/>
      <c r="AS1321" s="24"/>
      <c r="AT1321" s="24"/>
      <c r="AU1321" s="418">
        <f t="shared" si="73"/>
        <v>1</v>
      </c>
      <c r="AV1321" s="418">
        <f t="shared" si="74"/>
        <v>1900</v>
      </c>
      <c r="AW1321" s="24"/>
      <c r="AX1321" s="24"/>
      <c r="AY1321" s="24"/>
      <c r="AZ1321" s="24"/>
      <c r="BA1321" s="24"/>
      <c r="BB1321" s="24"/>
      <c r="BC1321" s="135"/>
      <c r="BD1321" s="24"/>
      <c r="BE1321" s="24"/>
      <c r="BF1321" s="24"/>
      <c r="BG1321" s="135"/>
      <c r="BH1321" s="135"/>
      <c r="BI1321" s="314"/>
      <c r="BJ1321" s="314"/>
      <c r="BK1321" s="24"/>
      <c r="BL1321" s="24"/>
      <c r="BM1321" s="24"/>
      <c r="BN1321" s="24"/>
      <c r="BO1321" s="24"/>
      <c r="BP1321" s="24"/>
      <c r="BQ1321" s="24"/>
      <c r="BR1321" s="24"/>
      <c r="BS1321" s="24"/>
      <c r="BT1321" s="24"/>
      <c r="BU1321" s="24"/>
      <c r="BV1321" s="132"/>
      <c r="BW1321" s="132"/>
      <c r="BX1321" s="132"/>
      <c r="BY1321" s="132"/>
      <c r="BZ1321" s="132"/>
      <c r="CA1321" s="132"/>
      <c r="CB1321" s="132"/>
      <c r="CC1321" s="269"/>
      <c r="CD1321" s="22"/>
      <c r="CE1321" s="22"/>
      <c r="CF1321" s="22"/>
      <c r="CG1321" s="24"/>
      <c r="CH1321" s="24"/>
      <c r="CI1321" s="24"/>
      <c r="CJ1321" s="24"/>
    </row>
    <row r="1322" spans="1:88" ht="15" customHeight="1">
      <c r="A1322" s="18">
        <v>2021</v>
      </c>
      <c r="B1322" s="18" t="str">
        <f>+INDEX(BDD!F:F,MATCH(P1322,BDD!D:D,0))&amp;"-"&amp;INDEX(BDD!E:E,MATCH(P1322,BDD!D:D,0))</f>
        <v>S-P</v>
      </c>
      <c r="C1322" s="125" t="s">
        <v>484</v>
      </c>
      <c r="D1322" s="150" t="s">
        <v>77</v>
      </c>
      <c r="E1322" s="132"/>
      <c r="F1322" s="24"/>
      <c r="G1322" s="346">
        <v>8000001270</v>
      </c>
      <c r="H1322" s="125" t="s">
        <v>5125</v>
      </c>
      <c r="I1322" s="329"/>
      <c r="J1322" s="346">
        <v>8000001270</v>
      </c>
      <c r="K1322" s="24"/>
      <c r="L1322" s="24"/>
      <c r="M1322" s="24"/>
      <c r="N1322" s="340" t="s">
        <v>486</v>
      </c>
      <c r="O1322" s="334">
        <v>206766</v>
      </c>
      <c r="P1322" s="125" t="s">
        <v>2</v>
      </c>
      <c r="Q1322" s="127" t="s">
        <v>237</v>
      </c>
      <c r="R1322" s="232" t="s">
        <v>5126</v>
      </c>
      <c r="S1322" s="89">
        <v>44216</v>
      </c>
      <c r="T1322" s="36">
        <v>90</v>
      </c>
      <c r="U1322" s="125" t="s">
        <v>118</v>
      </c>
      <c r="V1322" s="147" t="s">
        <v>5127</v>
      </c>
      <c r="W1322" s="129"/>
      <c r="X1322" s="88">
        <f>+T1322+BD1322</f>
        <v>44342</v>
      </c>
      <c r="Y1322" s="130" t="s">
        <v>20</v>
      </c>
      <c r="Z1322" s="133" t="s">
        <v>60</v>
      </c>
      <c r="AA1322" s="133"/>
      <c r="AB1322" s="241">
        <v>672</v>
      </c>
      <c r="AC1322" s="134">
        <v>944.24</v>
      </c>
      <c r="AD1322" s="134"/>
      <c r="AE1322" s="403">
        <f t="shared" si="72"/>
        <v>634529.28000000003</v>
      </c>
      <c r="AF1322" s="132">
        <v>28</v>
      </c>
      <c r="AG1322" s="130" t="s">
        <v>5</v>
      </c>
      <c r="AH1322" s="130"/>
      <c r="AI1322" s="130" t="s">
        <v>47</v>
      </c>
      <c r="AJ1322" s="130"/>
      <c r="AK1322" s="130"/>
      <c r="AL1322" s="135" t="s">
        <v>4779</v>
      </c>
      <c r="AM1322" s="314"/>
      <c r="AN1322" s="26"/>
      <c r="AO1322" s="26"/>
      <c r="AP1322" s="26"/>
      <c r="AQ1322" s="26">
        <v>44286</v>
      </c>
      <c r="AR1322" s="24"/>
      <c r="AS1322" s="24"/>
      <c r="AT1322" s="24">
        <v>44299</v>
      </c>
      <c r="AU1322" s="418">
        <f t="shared" si="73"/>
        <v>4</v>
      </c>
      <c r="AV1322" s="418">
        <f t="shared" si="74"/>
        <v>2021</v>
      </c>
      <c r="AW1322" s="24"/>
      <c r="AX1322" s="24"/>
      <c r="AY1322" s="24" t="s">
        <v>302</v>
      </c>
      <c r="AZ1322" s="24" t="s">
        <v>9</v>
      </c>
      <c r="BA1322" s="24"/>
      <c r="BB1322" s="24" t="s">
        <v>3264</v>
      </c>
      <c r="BC1322" s="135" t="s">
        <v>5128</v>
      </c>
      <c r="BD1322" s="24">
        <v>44252</v>
      </c>
      <c r="BE1322" s="24" t="s">
        <v>5129</v>
      </c>
      <c r="BF1322" s="24" t="s">
        <v>5130</v>
      </c>
      <c r="BG1322" s="135" t="s">
        <v>29</v>
      </c>
      <c r="BH1322" s="135"/>
      <c r="BI1322" s="314" t="s">
        <v>124</v>
      </c>
      <c r="BJ1322" s="314" t="s">
        <v>148</v>
      </c>
      <c r="BK1322" s="24"/>
      <c r="BL1322" s="24"/>
      <c r="BM1322" s="24"/>
      <c r="BN1322" s="24"/>
      <c r="BO1322" s="24">
        <v>44306</v>
      </c>
      <c r="BP1322" s="24"/>
      <c r="BQ1322" s="24" t="s">
        <v>5131</v>
      </c>
      <c r="BR1322" s="24">
        <v>44627</v>
      </c>
      <c r="BS1322" s="24" t="s">
        <v>38</v>
      </c>
      <c r="BT1322" s="24" t="s">
        <v>11</v>
      </c>
      <c r="BU1322" s="24"/>
      <c r="BV1322" s="132" t="e">
        <f>IF(#REF!="COMPLETO","OK","PENDIENTES")</f>
        <v>#REF!</v>
      </c>
      <c r="BW1322" s="132"/>
      <c r="BX1322" s="132"/>
      <c r="BY1322" s="132"/>
      <c r="BZ1322" s="132"/>
      <c r="CA1322" s="132"/>
      <c r="CB1322" s="132"/>
      <c r="CC1322" s="269"/>
      <c r="CG1322" s="24" t="s">
        <v>105</v>
      </c>
      <c r="CH1322" s="24"/>
      <c r="CI1322" s="24"/>
      <c r="CJ1322" s="24"/>
    </row>
    <row r="1323" spans="1:88" ht="15" customHeight="1">
      <c r="A1323" s="18">
        <v>2021</v>
      </c>
      <c r="B1323" s="18" t="str">
        <f>+INDEX(BDD!F:F,MATCH(P1323,BDD!D:D,0))&amp;"-"&amp;INDEX(BDD!E:E,MATCH(P1323,BDD!D:D,0))</f>
        <v>S-P</v>
      </c>
      <c r="C1323" s="125" t="s">
        <v>484</v>
      </c>
      <c r="D1323" s="152" t="s">
        <v>92</v>
      </c>
      <c r="E1323" s="132"/>
      <c r="F1323" s="24"/>
      <c r="G1323" s="346"/>
      <c r="H1323" s="125" t="s">
        <v>5132</v>
      </c>
      <c r="I1323" s="330"/>
      <c r="J1323" s="346"/>
      <c r="K1323" s="24"/>
      <c r="L1323" s="24"/>
      <c r="M1323" s="24"/>
      <c r="N1323" s="340"/>
      <c r="O1323" s="334"/>
      <c r="P1323" s="125" t="s">
        <v>2</v>
      </c>
      <c r="Q1323" s="127" t="s">
        <v>237</v>
      </c>
      <c r="R1323" s="232"/>
      <c r="S1323" s="89"/>
      <c r="T1323" s="36"/>
      <c r="U1323" s="125"/>
      <c r="V1323" s="147"/>
      <c r="W1323" s="129"/>
      <c r="X1323" s="88"/>
      <c r="Y1323" s="130"/>
      <c r="Z1323" s="133"/>
      <c r="AA1323" s="133"/>
      <c r="AB1323" s="241"/>
      <c r="AC1323" s="134"/>
      <c r="AD1323" s="134"/>
      <c r="AE1323" s="403">
        <f t="shared" si="72"/>
        <v>0</v>
      </c>
      <c r="AF1323" s="132"/>
      <c r="AG1323" s="130"/>
      <c r="AH1323" s="130"/>
      <c r="AI1323" s="130"/>
      <c r="AJ1323" s="130"/>
      <c r="AK1323" s="130"/>
      <c r="AL1323" s="135"/>
      <c r="AM1323" s="314"/>
      <c r="AN1323" s="26"/>
      <c r="AO1323" s="26"/>
      <c r="AP1323" s="26"/>
      <c r="AQ1323" s="26"/>
      <c r="AR1323" s="24"/>
      <c r="AS1323" s="24"/>
      <c r="AT1323" s="24"/>
      <c r="AU1323" s="418">
        <f t="shared" si="73"/>
        <v>1</v>
      </c>
      <c r="AV1323" s="418">
        <f t="shared" si="74"/>
        <v>1900</v>
      </c>
      <c r="AW1323" s="24"/>
      <c r="AX1323" s="24"/>
      <c r="AY1323" s="24"/>
      <c r="AZ1323" s="24"/>
      <c r="BA1323" s="24"/>
      <c r="BB1323" s="24"/>
      <c r="BC1323" s="135"/>
      <c r="BD1323" s="24"/>
      <c r="BE1323" s="24"/>
      <c r="BF1323" s="24"/>
      <c r="BG1323" s="135"/>
      <c r="BH1323" s="135"/>
      <c r="BI1323" s="314"/>
      <c r="BJ1323" s="314"/>
      <c r="BK1323" s="24"/>
      <c r="BL1323" s="24"/>
      <c r="BM1323" s="24"/>
      <c r="BN1323" s="24"/>
      <c r="BO1323" s="24"/>
      <c r="BP1323" s="24"/>
      <c r="BQ1323" s="24"/>
      <c r="BR1323" s="24"/>
      <c r="BS1323" s="24"/>
      <c r="BT1323" s="24"/>
      <c r="BU1323" s="24"/>
      <c r="BV1323" s="132"/>
      <c r="BW1323" s="132"/>
      <c r="BX1323" s="132"/>
      <c r="BY1323" s="132"/>
      <c r="BZ1323" s="132"/>
      <c r="CA1323" s="132"/>
      <c r="CB1323" s="132"/>
      <c r="CC1323" s="269"/>
      <c r="CD1323" s="22"/>
      <c r="CE1323" s="22"/>
      <c r="CF1323" s="22"/>
      <c r="CG1323" s="24"/>
      <c r="CH1323" s="24"/>
      <c r="CI1323" s="24"/>
      <c r="CJ1323" s="24"/>
    </row>
    <row r="1324" spans="1:88" ht="15" customHeight="1">
      <c r="A1324" s="18">
        <v>2021</v>
      </c>
      <c r="B1324" s="18" t="str">
        <f>+INDEX(BDD!F:F,MATCH(P1324,BDD!D:D,0))&amp;"-"&amp;INDEX(BDD!E:E,MATCH(P1324,BDD!D:D,0))</f>
        <v>S-P</v>
      </c>
      <c r="C1324" s="125" t="s">
        <v>484</v>
      </c>
      <c r="D1324" s="150" t="s">
        <v>77</v>
      </c>
      <c r="E1324" s="132"/>
      <c r="F1324" s="24"/>
      <c r="G1324" s="346">
        <v>8000001289</v>
      </c>
      <c r="H1324" s="125" t="s">
        <v>5133</v>
      </c>
      <c r="I1324" s="329"/>
      <c r="J1324" s="346">
        <v>8000001289</v>
      </c>
      <c r="K1324" s="24"/>
      <c r="L1324" s="24"/>
      <c r="M1324" s="24"/>
      <c r="N1324" s="340" t="s">
        <v>486</v>
      </c>
      <c r="O1324" s="334">
        <v>206766</v>
      </c>
      <c r="P1324" s="125" t="s">
        <v>2</v>
      </c>
      <c r="Q1324" s="127" t="s">
        <v>237</v>
      </c>
      <c r="R1324" s="232" t="s">
        <v>5126</v>
      </c>
      <c r="S1324" s="89">
        <v>44216</v>
      </c>
      <c r="T1324" s="36">
        <v>90</v>
      </c>
      <c r="U1324" s="125" t="s">
        <v>118</v>
      </c>
      <c r="V1324" s="147" t="s">
        <v>5134</v>
      </c>
      <c r="W1324" s="129"/>
      <c r="X1324" s="88">
        <f>+T1324+BD1324</f>
        <v>44384</v>
      </c>
      <c r="Y1324" s="130" t="s">
        <v>20</v>
      </c>
      <c r="Z1324" s="133" t="s">
        <v>60</v>
      </c>
      <c r="AA1324" s="133"/>
      <c r="AB1324" s="241">
        <v>168</v>
      </c>
      <c r="AC1324" s="134">
        <v>944.24</v>
      </c>
      <c r="AD1324" s="134"/>
      <c r="AE1324" s="403">
        <f t="shared" si="72"/>
        <v>158632.32000000001</v>
      </c>
      <c r="AF1324" s="132">
        <v>7</v>
      </c>
      <c r="AG1324" s="130" t="s">
        <v>5</v>
      </c>
      <c r="AH1324" s="130"/>
      <c r="AI1324" s="130" t="s">
        <v>47</v>
      </c>
      <c r="AJ1324" s="130"/>
      <c r="AK1324" s="130"/>
      <c r="AL1324" s="135" t="s">
        <v>5135</v>
      </c>
      <c r="AM1324" s="314"/>
      <c r="AN1324" s="26"/>
      <c r="AO1324" s="26"/>
      <c r="AP1324" s="26"/>
      <c r="AQ1324" s="26">
        <v>44314</v>
      </c>
      <c r="AR1324" s="24"/>
      <c r="AS1324" s="24"/>
      <c r="AT1324" s="24">
        <v>44319</v>
      </c>
      <c r="AU1324" s="418">
        <f t="shared" si="73"/>
        <v>5</v>
      </c>
      <c r="AV1324" s="418">
        <f t="shared" si="74"/>
        <v>2021</v>
      </c>
      <c r="AW1324" s="24"/>
      <c r="AX1324" s="24"/>
      <c r="AY1324" s="24" t="s">
        <v>302</v>
      </c>
      <c r="AZ1324" s="24" t="s">
        <v>9</v>
      </c>
      <c r="BA1324" s="24"/>
      <c r="BB1324" s="24" t="s">
        <v>3264</v>
      </c>
      <c r="BC1324" s="135" t="s">
        <v>5136</v>
      </c>
      <c r="BD1324" s="24">
        <v>44294</v>
      </c>
      <c r="BE1324" s="24" t="s">
        <v>5137</v>
      </c>
      <c r="BF1324" s="24" t="s">
        <v>5130</v>
      </c>
      <c r="BG1324" s="135" t="s">
        <v>29</v>
      </c>
      <c r="BH1324" s="135"/>
      <c r="BI1324" s="314" t="s">
        <v>124</v>
      </c>
      <c r="BJ1324" s="314" t="s">
        <v>148</v>
      </c>
      <c r="BK1324" s="24"/>
      <c r="BL1324" s="24"/>
      <c r="BM1324" s="24"/>
      <c r="BN1324" s="24"/>
      <c r="BO1324" s="24">
        <f>+AQ1324+18</f>
        <v>44332</v>
      </c>
      <c r="BP1324" s="24"/>
      <c r="BQ1324" s="24" t="s">
        <v>5131</v>
      </c>
      <c r="BR1324" s="24">
        <v>44627</v>
      </c>
      <c r="BS1324" s="24" t="s">
        <v>38</v>
      </c>
      <c r="BT1324" s="24" t="s">
        <v>11</v>
      </c>
      <c r="BU1324" s="24"/>
      <c r="BV1324" s="132" t="e">
        <f>IF(#REF!="COMPLETO","OK","PENDIENTES")</f>
        <v>#REF!</v>
      </c>
      <c r="BW1324" s="132"/>
      <c r="BX1324" s="132"/>
      <c r="BY1324" s="132"/>
      <c r="BZ1324" s="132"/>
      <c r="CA1324" s="132"/>
      <c r="CB1324" s="132"/>
      <c r="CC1324" s="269"/>
      <c r="CG1324" s="24" t="s">
        <v>105</v>
      </c>
      <c r="CH1324" s="24"/>
      <c r="CI1324" s="24"/>
      <c r="CJ1324" s="24"/>
    </row>
    <row r="1325" spans="1:88" ht="15" customHeight="1">
      <c r="A1325" s="18">
        <v>2021</v>
      </c>
      <c r="B1325" s="18" t="str">
        <f>+INDEX(BDD!F:F,MATCH(P1325,BDD!D:D,0))&amp;"-"&amp;INDEX(BDD!E:E,MATCH(P1325,BDD!D:D,0))</f>
        <v>S-P</v>
      </c>
      <c r="C1325" s="125" t="s">
        <v>484</v>
      </c>
      <c r="D1325" s="150" t="s">
        <v>77</v>
      </c>
      <c r="E1325" s="132"/>
      <c r="F1325" s="24"/>
      <c r="G1325" s="346">
        <v>8000001280</v>
      </c>
      <c r="H1325" s="125" t="s">
        <v>5138</v>
      </c>
      <c r="I1325" s="329"/>
      <c r="J1325" s="346">
        <v>8000001280</v>
      </c>
      <c r="K1325" s="24"/>
      <c r="L1325" s="24"/>
      <c r="M1325" s="24"/>
      <c r="N1325" s="340" t="s">
        <v>486</v>
      </c>
      <c r="O1325" s="334">
        <v>206766</v>
      </c>
      <c r="P1325" s="125" t="s">
        <v>2</v>
      </c>
      <c r="Q1325" s="127" t="s">
        <v>237</v>
      </c>
      <c r="R1325" s="232" t="s">
        <v>5126</v>
      </c>
      <c r="S1325" s="89">
        <v>44216</v>
      </c>
      <c r="T1325" s="36">
        <v>90</v>
      </c>
      <c r="U1325" s="125" t="s">
        <v>118</v>
      </c>
      <c r="V1325" s="147" t="s">
        <v>5139</v>
      </c>
      <c r="W1325" s="129"/>
      <c r="X1325" s="88">
        <f>+T1325+BD1325</f>
        <v>44370</v>
      </c>
      <c r="Y1325" s="130" t="s">
        <v>20</v>
      </c>
      <c r="Z1325" s="133" t="s">
        <v>60</v>
      </c>
      <c r="AA1325" s="133"/>
      <c r="AB1325" s="241">
        <v>312</v>
      </c>
      <c r="AC1325" s="134">
        <v>944.24</v>
      </c>
      <c r="AD1325" s="134"/>
      <c r="AE1325" s="403">
        <f t="shared" si="72"/>
        <v>294602.88</v>
      </c>
      <c r="AF1325" s="132">
        <v>13</v>
      </c>
      <c r="AG1325" s="130" t="s">
        <v>5</v>
      </c>
      <c r="AH1325" s="130"/>
      <c r="AI1325" s="130" t="s">
        <v>47</v>
      </c>
      <c r="AJ1325" s="130"/>
      <c r="AK1325" s="130"/>
      <c r="AL1325" s="135" t="s">
        <v>5076</v>
      </c>
      <c r="AM1325" s="314"/>
      <c r="AN1325" s="26"/>
      <c r="AO1325" s="26"/>
      <c r="AP1325" s="26"/>
      <c r="AQ1325" s="26">
        <v>44300</v>
      </c>
      <c r="AR1325" s="24"/>
      <c r="AS1325" s="24"/>
      <c r="AT1325" s="24">
        <v>44306</v>
      </c>
      <c r="AU1325" s="418">
        <f t="shared" si="73"/>
        <v>4</v>
      </c>
      <c r="AV1325" s="418">
        <f t="shared" si="74"/>
        <v>2021</v>
      </c>
      <c r="AW1325" s="24"/>
      <c r="AX1325" s="24"/>
      <c r="AY1325" s="24" t="s">
        <v>302</v>
      </c>
      <c r="AZ1325" s="24" t="s">
        <v>9</v>
      </c>
      <c r="BA1325" s="24"/>
      <c r="BB1325" s="24" t="s">
        <v>3264</v>
      </c>
      <c r="BC1325" s="135" t="s">
        <v>5140</v>
      </c>
      <c r="BD1325" s="24">
        <v>44280</v>
      </c>
      <c r="BE1325" s="24" t="s">
        <v>5141</v>
      </c>
      <c r="BF1325" s="24" t="s">
        <v>5130</v>
      </c>
      <c r="BG1325" s="135" t="s">
        <v>29</v>
      </c>
      <c r="BH1325" s="135"/>
      <c r="BI1325" s="314" t="s">
        <v>124</v>
      </c>
      <c r="BJ1325" s="314" t="s">
        <v>148</v>
      </c>
      <c r="BK1325" s="24"/>
      <c r="BL1325" s="24"/>
      <c r="BM1325" s="24"/>
      <c r="BN1325" s="24"/>
      <c r="BO1325" s="24">
        <v>44320</v>
      </c>
      <c r="BP1325" s="24"/>
      <c r="BQ1325" s="24"/>
      <c r="BR1325" s="24"/>
      <c r="BS1325" s="24"/>
      <c r="BT1325" s="24"/>
      <c r="BU1325" s="24"/>
      <c r="BV1325" s="132" t="e">
        <f>IF(#REF!="COMPLETO","OK","PENDIENTES")</f>
        <v>#REF!</v>
      </c>
      <c r="BW1325" s="132"/>
      <c r="BX1325" s="132"/>
      <c r="BY1325" s="132"/>
      <c r="BZ1325" s="132"/>
      <c r="CA1325" s="132"/>
      <c r="CB1325" s="132"/>
      <c r="CC1325" s="269"/>
      <c r="CG1325" s="24" t="s">
        <v>105</v>
      </c>
      <c r="CH1325" s="24"/>
      <c r="CI1325" s="24"/>
      <c r="CJ1325" s="24"/>
    </row>
    <row r="1326" spans="1:88" ht="15" customHeight="1">
      <c r="A1326" s="18">
        <v>2021</v>
      </c>
      <c r="B1326" s="18" t="str">
        <f>+INDEX(BDD!F:F,MATCH(P1326,BDD!D:D,0))&amp;"-"&amp;INDEX(BDD!E:E,MATCH(P1326,BDD!D:D,0))</f>
        <v>S-P</v>
      </c>
      <c r="C1326" s="125" t="s">
        <v>484</v>
      </c>
      <c r="D1326" s="150" t="s">
        <v>77</v>
      </c>
      <c r="E1326" s="132"/>
      <c r="F1326" s="24"/>
      <c r="G1326" s="346">
        <v>8000001272</v>
      </c>
      <c r="H1326" s="125" t="s">
        <v>5142</v>
      </c>
      <c r="I1326" s="329"/>
      <c r="J1326" s="346">
        <v>8000001272</v>
      </c>
      <c r="K1326" s="24"/>
      <c r="L1326" s="24"/>
      <c r="M1326" s="24"/>
      <c r="N1326" s="340" t="s">
        <v>486</v>
      </c>
      <c r="O1326" s="334">
        <v>206766</v>
      </c>
      <c r="P1326" s="125" t="s">
        <v>2</v>
      </c>
      <c r="Q1326" s="127" t="s">
        <v>237</v>
      </c>
      <c r="R1326" s="232" t="s">
        <v>5126</v>
      </c>
      <c r="S1326" s="89">
        <v>44216</v>
      </c>
      <c r="T1326" s="36">
        <v>90</v>
      </c>
      <c r="U1326" s="125" t="s">
        <v>118</v>
      </c>
      <c r="V1326" s="147" t="s">
        <v>5143</v>
      </c>
      <c r="W1326" s="129"/>
      <c r="X1326" s="88">
        <f>+T1326+BD1326</f>
        <v>44342</v>
      </c>
      <c r="Y1326" s="130" t="s">
        <v>20</v>
      </c>
      <c r="Z1326" s="133" t="s">
        <v>60</v>
      </c>
      <c r="AA1326" s="133"/>
      <c r="AB1326" s="241">
        <v>216</v>
      </c>
      <c r="AC1326" s="134">
        <v>920.83</v>
      </c>
      <c r="AD1326" s="134"/>
      <c r="AE1326" s="403">
        <f t="shared" si="72"/>
        <v>198899.28</v>
      </c>
      <c r="AF1326" s="132">
        <v>9</v>
      </c>
      <c r="AG1326" s="130" t="s">
        <v>5</v>
      </c>
      <c r="AH1326" s="130"/>
      <c r="AI1326" s="130" t="s">
        <v>47</v>
      </c>
      <c r="AJ1326" s="130"/>
      <c r="AK1326" s="130"/>
      <c r="AL1326" s="135" t="s">
        <v>4779</v>
      </c>
      <c r="AM1326" s="314"/>
      <c r="AN1326" s="26"/>
      <c r="AO1326" s="26"/>
      <c r="AP1326" s="26"/>
      <c r="AQ1326" s="26">
        <v>44288</v>
      </c>
      <c r="AR1326" s="24"/>
      <c r="AS1326" s="24"/>
      <c r="AT1326" s="24">
        <v>44294</v>
      </c>
      <c r="AU1326" s="418">
        <f t="shared" si="73"/>
        <v>4</v>
      </c>
      <c r="AV1326" s="418">
        <f t="shared" si="74"/>
        <v>2021</v>
      </c>
      <c r="AW1326" s="24"/>
      <c r="AX1326" s="24"/>
      <c r="AY1326" s="24" t="s">
        <v>302</v>
      </c>
      <c r="AZ1326" s="24" t="s">
        <v>37</v>
      </c>
      <c r="BA1326" s="24"/>
      <c r="BB1326" s="24" t="s">
        <v>3593</v>
      </c>
      <c r="BC1326" s="135" t="s">
        <v>5144</v>
      </c>
      <c r="BD1326" s="24">
        <v>44252</v>
      </c>
      <c r="BE1326" s="24" t="s">
        <v>5145</v>
      </c>
      <c r="BF1326" s="24" t="s">
        <v>2329</v>
      </c>
      <c r="BG1326" s="135" t="s">
        <v>29</v>
      </c>
      <c r="BH1326" s="135"/>
      <c r="BI1326" s="314" t="s">
        <v>124</v>
      </c>
      <c r="BJ1326" s="314" t="s">
        <v>148</v>
      </c>
      <c r="BK1326" s="24"/>
      <c r="BL1326" s="24"/>
      <c r="BM1326" s="24"/>
      <c r="BN1326" s="24"/>
      <c r="BO1326" s="24"/>
      <c r="BP1326" s="24"/>
      <c r="BQ1326" s="24"/>
      <c r="BR1326" s="24"/>
      <c r="BS1326" s="24"/>
      <c r="BT1326" s="24"/>
      <c r="BU1326" s="24"/>
      <c r="BV1326" s="132" t="e">
        <f>IF(#REF!="COMPLETO","OK","PENDIENTES")</f>
        <v>#REF!</v>
      </c>
      <c r="BW1326" s="132"/>
      <c r="BX1326" s="132"/>
      <c r="BY1326" s="132"/>
      <c r="BZ1326" s="132"/>
      <c r="CA1326" s="132"/>
      <c r="CB1326" s="132"/>
      <c r="CC1326" s="269"/>
      <c r="CG1326" s="24" t="s">
        <v>105</v>
      </c>
      <c r="CH1326" s="24"/>
      <c r="CI1326" s="24"/>
      <c r="CJ1326" s="24"/>
    </row>
    <row r="1327" spans="1:88" ht="15" customHeight="1">
      <c r="A1327" s="18">
        <v>2021</v>
      </c>
      <c r="B1327" s="18" t="str">
        <f>+INDEX(BDD!F:F,MATCH(P1327,BDD!D:D,0))&amp;"-"&amp;INDEX(BDD!E:E,MATCH(P1327,BDD!D:D,0))</f>
        <v>S-P</v>
      </c>
      <c r="C1327" s="125" t="s">
        <v>484</v>
      </c>
      <c r="D1327" s="150" t="s">
        <v>77</v>
      </c>
      <c r="E1327" s="132"/>
      <c r="F1327" s="24"/>
      <c r="G1327" s="346">
        <v>8000001281</v>
      </c>
      <c r="H1327" s="125" t="s">
        <v>5146</v>
      </c>
      <c r="I1327" s="329"/>
      <c r="J1327" s="346">
        <v>8000001281</v>
      </c>
      <c r="K1327" s="24"/>
      <c r="L1327" s="24"/>
      <c r="M1327" s="24"/>
      <c r="N1327" s="340" t="s">
        <v>486</v>
      </c>
      <c r="O1327" s="334">
        <v>206766</v>
      </c>
      <c r="P1327" s="125" t="s">
        <v>2</v>
      </c>
      <c r="Q1327" s="127" t="s">
        <v>237</v>
      </c>
      <c r="R1327" s="232" t="s">
        <v>5147</v>
      </c>
      <c r="S1327" s="89">
        <v>44217</v>
      </c>
      <c r="T1327" s="36">
        <v>90</v>
      </c>
      <c r="U1327" s="125" t="s">
        <v>118</v>
      </c>
      <c r="V1327" s="147" t="s">
        <v>5148</v>
      </c>
      <c r="W1327" s="129"/>
      <c r="X1327" s="88">
        <f t="shared" ref="X1327:X1333" si="75">+BD1327+T1327</f>
        <v>44370</v>
      </c>
      <c r="Y1327" s="130" t="s">
        <v>20</v>
      </c>
      <c r="Z1327" s="133" t="s">
        <v>60</v>
      </c>
      <c r="AA1327" s="133"/>
      <c r="AB1327" s="241">
        <v>264</v>
      </c>
      <c r="AC1327" s="134">
        <v>1002</v>
      </c>
      <c r="AD1327" s="134"/>
      <c r="AE1327" s="403">
        <f t="shared" si="72"/>
        <v>264528</v>
      </c>
      <c r="AF1327" s="132">
        <v>11</v>
      </c>
      <c r="AG1327" s="130" t="s">
        <v>5</v>
      </c>
      <c r="AH1327" s="130"/>
      <c r="AI1327" s="130" t="s">
        <v>47</v>
      </c>
      <c r="AJ1327" s="130"/>
      <c r="AK1327" s="130"/>
      <c r="AL1327" s="135" t="s">
        <v>5076</v>
      </c>
      <c r="AM1327" s="314"/>
      <c r="AN1327" s="26"/>
      <c r="AO1327" s="26"/>
      <c r="AP1327" s="26"/>
      <c r="AQ1327" s="26">
        <v>44300</v>
      </c>
      <c r="AR1327" s="24"/>
      <c r="AS1327" s="24"/>
      <c r="AT1327" s="24">
        <v>44302</v>
      </c>
      <c r="AU1327" s="418">
        <f t="shared" si="73"/>
        <v>4</v>
      </c>
      <c r="AV1327" s="418">
        <f t="shared" si="74"/>
        <v>2021</v>
      </c>
      <c r="AW1327" s="24"/>
      <c r="AX1327" s="24"/>
      <c r="AY1327" s="24" t="s">
        <v>302</v>
      </c>
      <c r="AZ1327" s="24" t="s">
        <v>9</v>
      </c>
      <c r="BA1327" s="24"/>
      <c r="BB1327" s="24" t="s">
        <v>2956</v>
      </c>
      <c r="BC1327" s="135" t="s">
        <v>5149</v>
      </c>
      <c r="BD1327" s="24">
        <v>44280</v>
      </c>
      <c r="BE1327" s="24" t="s">
        <v>5141</v>
      </c>
      <c r="BF1327" s="24" t="s">
        <v>5130</v>
      </c>
      <c r="BG1327" s="135" t="s">
        <v>29</v>
      </c>
      <c r="BH1327" s="135"/>
      <c r="BI1327" s="314" t="s">
        <v>124</v>
      </c>
      <c r="BJ1327" s="314" t="s">
        <v>148</v>
      </c>
      <c r="BK1327" s="24"/>
      <c r="BL1327" s="24"/>
      <c r="BM1327" s="24"/>
      <c r="BN1327" s="24"/>
      <c r="BO1327" s="24">
        <v>44320</v>
      </c>
      <c r="BP1327" s="24"/>
      <c r="BQ1327" s="24"/>
      <c r="BR1327" s="24"/>
      <c r="BS1327" s="24"/>
      <c r="BT1327" s="24"/>
      <c r="BU1327" s="24"/>
      <c r="BV1327" s="132" t="e">
        <f>IF(#REF!="COMPLETO","OK","PENDIENTES")</f>
        <v>#REF!</v>
      </c>
      <c r="BW1327" s="132"/>
      <c r="BX1327" s="132"/>
      <c r="BY1327" s="132"/>
      <c r="BZ1327" s="132"/>
      <c r="CA1327" s="132"/>
      <c r="CB1327" s="132"/>
      <c r="CC1327" s="269"/>
      <c r="CG1327" s="24" t="s">
        <v>105</v>
      </c>
      <c r="CH1327" s="24"/>
      <c r="CI1327" s="24"/>
      <c r="CJ1327" s="24"/>
    </row>
    <row r="1328" spans="1:88" ht="15" customHeight="1">
      <c r="A1328" s="18">
        <v>2021</v>
      </c>
      <c r="B1328" s="18" t="str">
        <f>+INDEX(BDD!F:F,MATCH(P1328,BDD!D:D,0))&amp;"-"&amp;INDEX(BDD!E:E,MATCH(P1328,BDD!D:D,0))</f>
        <v>S-P</v>
      </c>
      <c r="C1328" s="125" t="s">
        <v>484</v>
      </c>
      <c r="D1328" s="150" t="s">
        <v>77</v>
      </c>
      <c r="E1328" s="132"/>
      <c r="F1328" s="24"/>
      <c r="G1328" s="346">
        <v>8000001299</v>
      </c>
      <c r="H1328" s="125" t="s">
        <v>5150</v>
      </c>
      <c r="I1328" s="329"/>
      <c r="J1328" s="346">
        <v>8000001299</v>
      </c>
      <c r="K1328" s="24"/>
      <c r="L1328" s="24"/>
      <c r="M1328" s="24"/>
      <c r="N1328" s="340" t="s">
        <v>486</v>
      </c>
      <c r="O1328" s="334">
        <v>206766</v>
      </c>
      <c r="P1328" s="125" t="s">
        <v>2</v>
      </c>
      <c r="Q1328" s="127" t="s">
        <v>237</v>
      </c>
      <c r="R1328" s="232" t="s">
        <v>5147</v>
      </c>
      <c r="S1328" s="89">
        <v>44217</v>
      </c>
      <c r="T1328" s="36">
        <v>90</v>
      </c>
      <c r="U1328" s="125" t="s">
        <v>118</v>
      </c>
      <c r="V1328" s="147" t="s">
        <v>5151</v>
      </c>
      <c r="W1328" s="129"/>
      <c r="X1328" s="88">
        <f t="shared" si="75"/>
        <v>44398</v>
      </c>
      <c r="Y1328" s="130" t="s">
        <v>20</v>
      </c>
      <c r="Z1328" s="133" t="s">
        <v>60</v>
      </c>
      <c r="AA1328" s="133"/>
      <c r="AB1328" s="241">
        <v>168</v>
      </c>
      <c r="AC1328" s="134">
        <v>1002</v>
      </c>
      <c r="AD1328" s="134"/>
      <c r="AE1328" s="403">
        <f t="shared" si="72"/>
        <v>168336</v>
      </c>
      <c r="AF1328" s="132">
        <v>7</v>
      </c>
      <c r="AG1328" s="130" t="s">
        <v>5</v>
      </c>
      <c r="AH1328" s="130"/>
      <c r="AI1328" s="130" t="s">
        <v>47</v>
      </c>
      <c r="AJ1328" s="130"/>
      <c r="AK1328" s="130"/>
      <c r="AL1328" s="135" t="s">
        <v>5152</v>
      </c>
      <c r="AM1328" s="314"/>
      <c r="AN1328" s="26"/>
      <c r="AO1328" s="26"/>
      <c r="AP1328" s="26"/>
      <c r="AQ1328" s="26">
        <v>44328</v>
      </c>
      <c r="AR1328" s="24"/>
      <c r="AS1328" s="24"/>
      <c r="AT1328" s="24">
        <v>44334</v>
      </c>
      <c r="AU1328" s="418">
        <f t="shared" si="73"/>
        <v>5</v>
      </c>
      <c r="AV1328" s="418">
        <f t="shared" si="74"/>
        <v>2021</v>
      </c>
      <c r="AW1328" s="24"/>
      <c r="AX1328" s="24"/>
      <c r="AY1328" s="24" t="s">
        <v>302</v>
      </c>
      <c r="AZ1328" s="24" t="s">
        <v>9</v>
      </c>
      <c r="BA1328" s="24"/>
      <c r="BB1328" s="24" t="s">
        <v>3264</v>
      </c>
      <c r="BC1328" s="135" t="s">
        <v>5153</v>
      </c>
      <c r="BD1328" s="24">
        <v>44308</v>
      </c>
      <c r="BE1328" s="24" t="s">
        <v>5129</v>
      </c>
      <c r="BF1328" s="24" t="s">
        <v>5130</v>
      </c>
      <c r="BG1328" s="135" t="s">
        <v>29</v>
      </c>
      <c r="BH1328" s="135"/>
      <c r="BI1328" s="314" t="s">
        <v>124</v>
      </c>
      <c r="BJ1328" s="314" t="s">
        <v>148</v>
      </c>
      <c r="BK1328" s="24"/>
      <c r="BL1328" s="24"/>
      <c r="BM1328" s="24"/>
      <c r="BN1328" s="24"/>
      <c r="BO1328" s="24"/>
      <c r="BP1328" s="24"/>
      <c r="BQ1328" s="24"/>
      <c r="BR1328" s="24"/>
      <c r="BS1328" s="24"/>
      <c r="BT1328" s="24"/>
      <c r="BU1328" s="24"/>
      <c r="BV1328" s="132" t="e">
        <f>IF(#REF!="COMPLETO","OK","PENDIENTES")</f>
        <v>#REF!</v>
      </c>
      <c r="BW1328" s="132"/>
      <c r="BX1328" s="132"/>
      <c r="BY1328" s="132"/>
      <c r="BZ1328" s="132"/>
      <c r="CA1328" s="132"/>
      <c r="CB1328" s="132"/>
      <c r="CC1328" s="269"/>
      <c r="CG1328" s="24" t="s">
        <v>105</v>
      </c>
      <c r="CH1328" s="24"/>
      <c r="CI1328" s="24"/>
      <c r="CJ1328" s="24"/>
    </row>
    <row r="1329" spans="1:88" ht="15" customHeight="1">
      <c r="A1329" s="18">
        <v>2021</v>
      </c>
      <c r="B1329" s="18" t="str">
        <f>+INDEX(BDD!F:F,MATCH(P1329,BDD!D:D,0))&amp;"-"&amp;INDEX(BDD!E:E,MATCH(P1329,BDD!D:D,0))</f>
        <v>S-P</v>
      </c>
      <c r="C1329" s="125" t="s">
        <v>484</v>
      </c>
      <c r="D1329" s="150" t="s">
        <v>77</v>
      </c>
      <c r="E1329" s="132"/>
      <c r="F1329" s="24"/>
      <c r="G1329" s="346">
        <v>8000001408</v>
      </c>
      <c r="H1329" s="125" t="s">
        <v>5154</v>
      </c>
      <c r="I1329" s="329"/>
      <c r="J1329" s="346">
        <v>8000001408</v>
      </c>
      <c r="K1329" s="24"/>
      <c r="L1329" s="24"/>
      <c r="M1329" s="24"/>
      <c r="N1329" s="340" t="s">
        <v>486</v>
      </c>
      <c r="O1329" s="334">
        <v>206766</v>
      </c>
      <c r="P1329" s="125" t="s">
        <v>2</v>
      </c>
      <c r="Q1329" s="127" t="s">
        <v>237</v>
      </c>
      <c r="R1329" s="232" t="s">
        <v>5147</v>
      </c>
      <c r="S1329" s="89">
        <v>44217</v>
      </c>
      <c r="T1329" s="36">
        <v>90</v>
      </c>
      <c r="U1329" s="125" t="s">
        <v>118</v>
      </c>
      <c r="V1329" s="147" t="s">
        <v>5155</v>
      </c>
      <c r="W1329" s="129"/>
      <c r="X1329" s="88">
        <f t="shared" si="75"/>
        <v>44447</v>
      </c>
      <c r="Y1329" s="130" t="s">
        <v>20</v>
      </c>
      <c r="Z1329" s="133" t="s">
        <v>60</v>
      </c>
      <c r="AA1329" s="133"/>
      <c r="AB1329" s="241">
        <v>312</v>
      </c>
      <c r="AC1329" s="134">
        <v>1002</v>
      </c>
      <c r="AD1329" s="134"/>
      <c r="AE1329" s="403">
        <f t="shared" si="72"/>
        <v>312624</v>
      </c>
      <c r="AF1329" s="132">
        <v>13</v>
      </c>
      <c r="AG1329" s="130" t="s">
        <v>5</v>
      </c>
      <c r="AH1329" s="130"/>
      <c r="AI1329" s="130" t="s">
        <v>47</v>
      </c>
      <c r="AJ1329" s="130"/>
      <c r="AK1329" s="130"/>
      <c r="AL1329" s="135" t="s">
        <v>5156</v>
      </c>
      <c r="AM1329" s="314"/>
      <c r="AN1329" s="26"/>
      <c r="AO1329" s="26"/>
      <c r="AP1329" s="26"/>
      <c r="AQ1329" s="26">
        <v>44384</v>
      </c>
      <c r="AR1329" s="24"/>
      <c r="AS1329" s="24"/>
      <c r="AT1329" s="24">
        <v>44390</v>
      </c>
      <c r="AU1329" s="418">
        <f t="shared" si="73"/>
        <v>7</v>
      </c>
      <c r="AV1329" s="418">
        <f t="shared" si="74"/>
        <v>2021</v>
      </c>
      <c r="AW1329" s="24"/>
      <c r="AX1329" s="24"/>
      <c r="AY1329" s="24" t="s">
        <v>302</v>
      </c>
      <c r="AZ1329" s="24" t="s">
        <v>9</v>
      </c>
      <c r="BA1329" s="24"/>
      <c r="BB1329" s="24" t="s">
        <v>3264</v>
      </c>
      <c r="BC1329" s="135" t="s">
        <v>5157</v>
      </c>
      <c r="BD1329" s="24">
        <v>44357</v>
      </c>
      <c r="BE1329" s="24" t="s">
        <v>5158</v>
      </c>
      <c r="BF1329" s="24" t="s">
        <v>5130</v>
      </c>
      <c r="BG1329" s="135" t="s">
        <v>29</v>
      </c>
      <c r="BH1329" s="135"/>
      <c r="BI1329" s="314" t="s">
        <v>124</v>
      </c>
      <c r="BJ1329" s="314" t="s">
        <v>148</v>
      </c>
      <c r="BK1329" s="24"/>
      <c r="BL1329" s="24"/>
      <c r="BM1329" s="24"/>
      <c r="BN1329" s="24"/>
      <c r="BO1329" s="24">
        <v>44401</v>
      </c>
      <c r="BP1329" s="24"/>
      <c r="BQ1329" s="24"/>
      <c r="BR1329" s="24"/>
      <c r="BS1329" s="24"/>
      <c r="BT1329" s="24"/>
      <c r="BU1329" s="24"/>
      <c r="BV1329" s="132" t="e">
        <f>IF(#REF!="COMPLETO","OK","PENDIENTES")</f>
        <v>#REF!</v>
      </c>
      <c r="BW1329" s="132"/>
      <c r="BX1329" s="132"/>
      <c r="BY1329" s="132"/>
      <c r="BZ1329" s="132"/>
      <c r="CA1329" s="132"/>
      <c r="CB1329" s="132"/>
      <c r="CC1329" s="269"/>
      <c r="CG1329" s="24" t="s">
        <v>105</v>
      </c>
      <c r="CH1329" s="24"/>
      <c r="CI1329" s="24"/>
      <c r="CJ1329" s="24"/>
    </row>
    <row r="1330" spans="1:88" ht="15" customHeight="1">
      <c r="A1330" s="18">
        <v>2021</v>
      </c>
      <c r="B1330" s="18" t="str">
        <f>+INDEX(BDD!F:F,MATCH(P1330,BDD!D:D,0))&amp;"-"&amp;INDEX(BDD!E:E,MATCH(P1330,BDD!D:D,0))</f>
        <v>S-P</v>
      </c>
      <c r="C1330" s="125" t="s">
        <v>484</v>
      </c>
      <c r="D1330" s="150" t="s">
        <v>77</v>
      </c>
      <c r="E1330" s="132"/>
      <c r="F1330" s="24"/>
      <c r="G1330" s="346">
        <v>8000001290</v>
      </c>
      <c r="H1330" s="125" t="s">
        <v>5159</v>
      </c>
      <c r="I1330" s="329"/>
      <c r="J1330" s="346">
        <v>8000001290</v>
      </c>
      <c r="K1330" s="24"/>
      <c r="L1330" s="24"/>
      <c r="M1330" s="24"/>
      <c r="N1330" s="340" t="s">
        <v>486</v>
      </c>
      <c r="O1330" s="334">
        <v>206766</v>
      </c>
      <c r="P1330" s="125" t="s">
        <v>2</v>
      </c>
      <c r="Q1330" s="127" t="s">
        <v>237</v>
      </c>
      <c r="R1330" s="232" t="s">
        <v>5147</v>
      </c>
      <c r="S1330" s="89">
        <v>44217</v>
      </c>
      <c r="T1330" s="36">
        <v>90</v>
      </c>
      <c r="U1330" s="125" t="s">
        <v>118</v>
      </c>
      <c r="V1330" s="147" t="s">
        <v>5160</v>
      </c>
      <c r="W1330" s="129"/>
      <c r="X1330" s="88">
        <f t="shared" si="75"/>
        <v>44379</v>
      </c>
      <c r="Y1330" s="130" t="s">
        <v>20</v>
      </c>
      <c r="Z1330" s="133" t="s">
        <v>60</v>
      </c>
      <c r="AA1330" s="133"/>
      <c r="AB1330" s="241">
        <v>312</v>
      </c>
      <c r="AC1330" s="134">
        <v>980</v>
      </c>
      <c r="AD1330" s="134"/>
      <c r="AE1330" s="403">
        <f t="shared" si="72"/>
        <v>305760</v>
      </c>
      <c r="AF1330" s="132">
        <v>13</v>
      </c>
      <c r="AG1330" s="130" t="s">
        <v>5</v>
      </c>
      <c r="AH1330" s="130"/>
      <c r="AI1330" s="130" t="s">
        <v>47</v>
      </c>
      <c r="AJ1330" s="130"/>
      <c r="AK1330" s="130"/>
      <c r="AL1330" s="135" t="s">
        <v>5076</v>
      </c>
      <c r="AM1330" s="314"/>
      <c r="AN1330" s="26"/>
      <c r="AO1330" s="26"/>
      <c r="AP1330" s="26"/>
      <c r="AQ1330" s="26">
        <v>44312</v>
      </c>
      <c r="AR1330" s="24"/>
      <c r="AS1330" s="24"/>
      <c r="AT1330" s="24">
        <v>44319</v>
      </c>
      <c r="AU1330" s="418">
        <f t="shared" si="73"/>
        <v>5</v>
      </c>
      <c r="AV1330" s="418">
        <f t="shared" si="74"/>
        <v>2021</v>
      </c>
      <c r="AW1330" s="24"/>
      <c r="AX1330" s="24"/>
      <c r="AY1330" s="24" t="s">
        <v>302</v>
      </c>
      <c r="AZ1330" s="24" t="s">
        <v>37</v>
      </c>
      <c r="BA1330" s="24"/>
      <c r="BB1330" s="24" t="s">
        <v>3593</v>
      </c>
      <c r="BC1330" s="135" t="s">
        <v>5161</v>
      </c>
      <c r="BD1330" s="24">
        <v>44289</v>
      </c>
      <c r="BE1330" s="24" t="s">
        <v>2941</v>
      </c>
      <c r="BF1330" s="24" t="s">
        <v>5162</v>
      </c>
      <c r="BG1330" s="135" t="s">
        <v>29</v>
      </c>
      <c r="BH1330" s="135"/>
      <c r="BI1330" s="314" t="s">
        <v>124</v>
      </c>
      <c r="BJ1330" s="314" t="s">
        <v>148</v>
      </c>
      <c r="BK1330" s="24"/>
      <c r="BL1330" s="24"/>
      <c r="BM1330" s="24"/>
      <c r="BN1330" s="24"/>
      <c r="BO1330" s="24">
        <f>+AQ1330+18</f>
        <v>44330</v>
      </c>
      <c r="BP1330" s="24"/>
      <c r="BQ1330" s="24"/>
      <c r="BR1330" s="24"/>
      <c r="BS1330" s="24"/>
      <c r="BT1330" s="24"/>
      <c r="BU1330" s="24"/>
      <c r="BV1330" s="132" t="e">
        <f>IF(#REF!="COMPLETO","OK","PENDIENTES")</f>
        <v>#REF!</v>
      </c>
      <c r="BW1330" s="132"/>
      <c r="BX1330" s="132"/>
      <c r="BY1330" s="132"/>
      <c r="BZ1330" s="132"/>
      <c r="CA1330" s="132"/>
      <c r="CB1330" s="132"/>
      <c r="CC1330" s="269"/>
      <c r="CG1330" s="24" t="s">
        <v>105</v>
      </c>
      <c r="CH1330" s="24"/>
      <c r="CI1330" s="24"/>
      <c r="CJ1330" s="24"/>
    </row>
    <row r="1331" spans="1:88" ht="15" customHeight="1">
      <c r="A1331" s="18">
        <v>2021</v>
      </c>
      <c r="B1331" s="18" t="str">
        <f>+INDEX(BDD!F:F,MATCH(P1331,BDD!D:D,0))&amp;"-"&amp;INDEX(BDD!E:E,MATCH(P1331,BDD!D:D,0))</f>
        <v>S-P</v>
      </c>
      <c r="C1331" s="125" t="s">
        <v>484</v>
      </c>
      <c r="D1331" s="150" t="s">
        <v>77</v>
      </c>
      <c r="E1331" s="132"/>
      <c r="F1331" s="24"/>
      <c r="G1331" s="346">
        <v>8000001347</v>
      </c>
      <c r="H1331" s="125" t="s">
        <v>5163</v>
      </c>
      <c r="I1331" s="329"/>
      <c r="J1331" s="346">
        <v>8000001347</v>
      </c>
      <c r="K1331" s="24"/>
      <c r="L1331" s="24"/>
      <c r="M1331" s="24"/>
      <c r="N1331" s="340" t="s">
        <v>486</v>
      </c>
      <c r="O1331" s="334">
        <v>206766</v>
      </c>
      <c r="P1331" s="125" t="s">
        <v>2</v>
      </c>
      <c r="Q1331" s="127" t="s">
        <v>237</v>
      </c>
      <c r="R1331" s="232" t="s">
        <v>5147</v>
      </c>
      <c r="S1331" s="89">
        <v>44217</v>
      </c>
      <c r="T1331" s="36">
        <v>90</v>
      </c>
      <c r="U1331" s="125" t="s">
        <v>118</v>
      </c>
      <c r="V1331" s="147" t="s">
        <v>5164</v>
      </c>
      <c r="W1331" s="129"/>
      <c r="X1331" s="88">
        <f t="shared" si="75"/>
        <v>44398</v>
      </c>
      <c r="Y1331" s="130" t="s">
        <v>20</v>
      </c>
      <c r="Z1331" s="133" t="s">
        <v>60</v>
      </c>
      <c r="AA1331" s="133"/>
      <c r="AB1331" s="241">
        <v>408</v>
      </c>
      <c r="AC1331" s="134">
        <v>980</v>
      </c>
      <c r="AD1331" s="134"/>
      <c r="AE1331" s="403">
        <f t="shared" si="72"/>
        <v>399840</v>
      </c>
      <c r="AF1331" s="132">
        <v>17</v>
      </c>
      <c r="AG1331" s="130" t="s">
        <v>5</v>
      </c>
      <c r="AH1331" s="130"/>
      <c r="AI1331" s="130" t="s">
        <v>47</v>
      </c>
      <c r="AJ1331" s="130"/>
      <c r="AK1331" s="130"/>
      <c r="AL1331" s="135" t="s">
        <v>5152</v>
      </c>
      <c r="AM1331" s="314"/>
      <c r="AN1331" s="26"/>
      <c r="AO1331" s="26"/>
      <c r="AP1331" s="26"/>
      <c r="AQ1331" s="26">
        <v>44336</v>
      </c>
      <c r="AR1331" s="24"/>
      <c r="AS1331" s="24"/>
      <c r="AT1331" s="24">
        <v>44348</v>
      </c>
      <c r="AU1331" s="418">
        <f t="shared" si="73"/>
        <v>6</v>
      </c>
      <c r="AV1331" s="418">
        <f t="shared" si="74"/>
        <v>2021</v>
      </c>
      <c r="AW1331" s="24"/>
      <c r="AX1331" s="24"/>
      <c r="AY1331" s="24" t="s">
        <v>302</v>
      </c>
      <c r="AZ1331" s="24" t="s">
        <v>37</v>
      </c>
      <c r="BA1331" s="24"/>
      <c r="BB1331" s="24" t="s">
        <v>3593</v>
      </c>
      <c r="BC1331" s="135" t="s">
        <v>5165</v>
      </c>
      <c r="BD1331" s="24">
        <v>44308</v>
      </c>
      <c r="BE1331" s="24" t="s">
        <v>5129</v>
      </c>
      <c r="BF1331" s="24" t="s">
        <v>814</v>
      </c>
      <c r="BG1331" s="135" t="s">
        <v>29</v>
      </c>
      <c r="BH1331" s="135"/>
      <c r="BI1331" s="314" t="s">
        <v>124</v>
      </c>
      <c r="BJ1331" s="314" t="s">
        <v>148</v>
      </c>
      <c r="BK1331" s="24"/>
      <c r="BL1331" s="24"/>
      <c r="BM1331" s="24"/>
      <c r="BN1331" s="24"/>
      <c r="BO1331" s="24">
        <v>44353</v>
      </c>
      <c r="BP1331" s="24"/>
      <c r="BQ1331" s="24"/>
      <c r="BR1331" s="24"/>
      <c r="BS1331" s="24"/>
      <c r="BT1331" s="24"/>
      <c r="BU1331" s="24"/>
      <c r="BV1331" s="132" t="e">
        <f>IF(#REF!="COMPLETO","OK","PENDIENTES")</f>
        <v>#REF!</v>
      </c>
      <c r="BW1331" s="132"/>
      <c r="BX1331" s="132"/>
      <c r="BY1331" s="132"/>
      <c r="BZ1331" s="132"/>
      <c r="CA1331" s="132"/>
      <c r="CB1331" s="132"/>
      <c r="CC1331" s="269"/>
      <c r="CG1331" s="24" t="s">
        <v>105</v>
      </c>
      <c r="CH1331" s="24"/>
      <c r="CI1331" s="24"/>
      <c r="CJ1331" s="24"/>
    </row>
    <row r="1332" spans="1:88" ht="15" customHeight="1">
      <c r="A1332" s="18">
        <v>2021</v>
      </c>
      <c r="B1332" s="18" t="str">
        <f>+INDEX(BDD!F:F,MATCH(P1332,BDD!D:D,0))&amp;"-"&amp;INDEX(BDD!E:E,MATCH(P1332,BDD!D:D,0))</f>
        <v>S-P</v>
      </c>
      <c r="C1332" s="125" t="s">
        <v>484</v>
      </c>
      <c r="D1332" s="150" t="s">
        <v>77</v>
      </c>
      <c r="E1332" s="132"/>
      <c r="F1332" s="24"/>
      <c r="G1332" s="346">
        <v>8000001431</v>
      </c>
      <c r="H1332" s="125" t="s">
        <v>5166</v>
      </c>
      <c r="I1332" s="329"/>
      <c r="J1332" s="346">
        <v>8000001431</v>
      </c>
      <c r="K1332" s="24"/>
      <c r="L1332" s="24"/>
      <c r="M1332" s="24"/>
      <c r="N1332" s="340" t="s">
        <v>486</v>
      </c>
      <c r="O1332" s="334">
        <v>206766</v>
      </c>
      <c r="P1332" s="125" t="s">
        <v>2</v>
      </c>
      <c r="Q1332" s="127" t="s">
        <v>237</v>
      </c>
      <c r="R1332" s="232" t="s">
        <v>5147</v>
      </c>
      <c r="S1332" s="89">
        <v>44217</v>
      </c>
      <c r="T1332" s="36">
        <v>90</v>
      </c>
      <c r="U1332" s="125" t="s">
        <v>118</v>
      </c>
      <c r="V1332" s="147" t="s">
        <v>5167</v>
      </c>
      <c r="W1332" s="129"/>
      <c r="X1332" s="88">
        <f t="shared" si="75"/>
        <v>44463</v>
      </c>
      <c r="Y1332" s="130" t="s">
        <v>20</v>
      </c>
      <c r="Z1332" s="133" t="s">
        <v>60</v>
      </c>
      <c r="AA1332" s="133"/>
      <c r="AB1332" s="241">
        <v>216</v>
      </c>
      <c r="AC1332" s="134">
        <v>980</v>
      </c>
      <c r="AD1332" s="134"/>
      <c r="AE1332" s="403">
        <f t="shared" si="72"/>
        <v>211680</v>
      </c>
      <c r="AF1332" s="132">
        <v>9</v>
      </c>
      <c r="AG1332" s="130" t="s">
        <v>5</v>
      </c>
      <c r="AH1332" s="130"/>
      <c r="AI1332" s="130" t="s">
        <v>47</v>
      </c>
      <c r="AJ1332" s="130"/>
      <c r="AK1332" s="130"/>
      <c r="AL1332" s="135" t="s">
        <v>5156</v>
      </c>
      <c r="AM1332" s="314"/>
      <c r="AN1332" s="26"/>
      <c r="AO1332" s="26"/>
      <c r="AP1332" s="26"/>
      <c r="AQ1332" s="26">
        <v>44399</v>
      </c>
      <c r="AR1332" s="24"/>
      <c r="AS1332" s="24"/>
      <c r="AT1332" s="24">
        <v>44404</v>
      </c>
      <c r="AU1332" s="418">
        <f t="shared" si="73"/>
        <v>7</v>
      </c>
      <c r="AV1332" s="418">
        <f t="shared" si="74"/>
        <v>2021</v>
      </c>
      <c r="AW1332" s="24"/>
      <c r="AX1332" s="24"/>
      <c r="AY1332" s="24" t="s">
        <v>302</v>
      </c>
      <c r="AZ1332" s="24" t="s">
        <v>37</v>
      </c>
      <c r="BA1332" s="24"/>
      <c r="BB1332" s="24" t="s">
        <v>3593</v>
      </c>
      <c r="BC1332" s="135" t="s">
        <v>5168</v>
      </c>
      <c r="BD1332" s="24">
        <v>44373</v>
      </c>
      <c r="BE1332" s="24" t="s">
        <v>1030</v>
      </c>
      <c r="BF1332" s="24" t="s">
        <v>814</v>
      </c>
      <c r="BG1332" s="135" t="s">
        <v>29</v>
      </c>
      <c r="BH1332" s="135"/>
      <c r="BI1332" s="314" t="s">
        <v>124</v>
      </c>
      <c r="BJ1332" s="314" t="s">
        <v>148</v>
      </c>
      <c r="BK1332" s="24"/>
      <c r="BL1332" s="24"/>
      <c r="BM1332" s="24"/>
      <c r="BN1332" s="24"/>
      <c r="BO1332" s="24">
        <v>44417</v>
      </c>
      <c r="BP1332" s="24"/>
      <c r="BQ1332" s="24"/>
      <c r="BR1332" s="24"/>
      <c r="BS1332" s="24"/>
      <c r="BT1332" s="24"/>
      <c r="BU1332" s="24"/>
      <c r="BV1332" s="132" t="e">
        <f>IF(#REF!="COMPLETO","OK","PENDIENTES")</f>
        <v>#REF!</v>
      </c>
      <c r="BW1332" s="132"/>
      <c r="BX1332" s="132"/>
      <c r="BY1332" s="132"/>
      <c r="BZ1332" s="132"/>
      <c r="CA1332" s="132"/>
      <c r="CB1332" s="132"/>
      <c r="CC1332" s="269"/>
      <c r="CG1332" s="24" t="s">
        <v>105</v>
      </c>
      <c r="CH1332" s="24"/>
      <c r="CI1332" s="24"/>
      <c r="CJ1332" s="24"/>
    </row>
    <row r="1333" spans="1:88" ht="15" customHeight="1">
      <c r="A1333" s="18">
        <v>2021</v>
      </c>
      <c r="B1333" s="18" t="str">
        <f>+INDEX(BDD!F:F,MATCH(P1333,BDD!D:D,0))&amp;"-"&amp;INDEX(BDD!E:E,MATCH(P1333,BDD!D:D,0))</f>
        <v>S-S</v>
      </c>
      <c r="C1333" s="125" t="s">
        <v>484</v>
      </c>
      <c r="D1333" s="150" t="s">
        <v>77</v>
      </c>
      <c r="E1333" s="132"/>
      <c r="F1333" s="24"/>
      <c r="G1333" s="346">
        <v>8000001792</v>
      </c>
      <c r="H1333" s="125" t="s">
        <v>5169</v>
      </c>
      <c r="I1333" s="329"/>
      <c r="J1333" s="346">
        <v>8000001792</v>
      </c>
      <c r="K1333" s="24"/>
      <c r="L1333" s="24">
        <v>44572</v>
      </c>
      <c r="M1333" s="24">
        <v>44572</v>
      </c>
      <c r="N1333" s="340" t="s">
        <v>486</v>
      </c>
      <c r="O1333" s="334">
        <v>206971</v>
      </c>
      <c r="P1333" s="125" t="s">
        <v>340</v>
      </c>
      <c r="Q1333" s="127" t="s">
        <v>4469</v>
      </c>
      <c r="R1333" s="232" t="s">
        <v>5170</v>
      </c>
      <c r="S1333" s="89">
        <v>44218</v>
      </c>
      <c r="T1333" s="36">
        <v>30</v>
      </c>
      <c r="U1333" s="125" t="s">
        <v>118</v>
      </c>
      <c r="V1333" s="147" t="s">
        <v>5171</v>
      </c>
      <c r="W1333" s="129"/>
      <c r="X1333" s="88">
        <f t="shared" si="75"/>
        <v>44553</v>
      </c>
      <c r="Y1333" s="130" t="s">
        <v>20</v>
      </c>
      <c r="Z1333" s="133" t="s">
        <v>60</v>
      </c>
      <c r="AA1333" s="133"/>
      <c r="AB1333" s="241">
        <v>234</v>
      </c>
      <c r="AC1333" s="134">
        <v>453</v>
      </c>
      <c r="AD1333" s="134"/>
      <c r="AE1333" s="403">
        <f t="shared" si="72"/>
        <v>106002</v>
      </c>
      <c r="AF1333" s="132">
        <v>9</v>
      </c>
      <c r="AG1333" s="130" t="s">
        <v>5</v>
      </c>
      <c r="AH1333" s="130"/>
      <c r="AI1333" s="130" t="s">
        <v>34</v>
      </c>
      <c r="AJ1333" s="130"/>
      <c r="AK1333" s="130"/>
      <c r="AL1333" s="135" t="s">
        <v>5172</v>
      </c>
      <c r="AM1333" s="314"/>
      <c r="AN1333" s="26">
        <v>44523</v>
      </c>
      <c r="AO1333" s="26">
        <v>44523</v>
      </c>
      <c r="AP1333" s="26" t="e">
        <f>+#REF!+55</f>
        <v>#REF!</v>
      </c>
      <c r="AQ1333" s="26">
        <v>44568</v>
      </c>
      <c r="AR1333" s="24">
        <f>AQ1333+4</f>
        <v>44572</v>
      </c>
      <c r="AS1333" s="24"/>
      <c r="AT1333" s="24">
        <v>44572</v>
      </c>
      <c r="AU1333" s="418">
        <f t="shared" si="73"/>
        <v>1</v>
      </c>
      <c r="AV1333" s="418">
        <f t="shared" si="74"/>
        <v>2022</v>
      </c>
      <c r="AW1333" s="24"/>
      <c r="AX1333" s="24"/>
      <c r="AY1333" s="24" t="s">
        <v>4312</v>
      </c>
      <c r="AZ1333" s="24" t="s">
        <v>37</v>
      </c>
      <c r="BA1333" s="24"/>
      <c r="BB1333" s="24" t="s">
        <v>3291</v>
      </c>
      <c r="BC1333" s="135" t="s">
        <v>5173</v>
      </c>
      <c r="BD1333" s="24">
        <v>44523</v>
      </c>
      <c r="BE1333" s="24" t="s">
        <v>5051</v>
      </c>
      <c r="BF1333" s="24" t="s">
        <v>2525</v>
      </c>
      <c r="BG1333" s="135" t="s">
        <v>41</v>
      </c>
      <c r="BH1333" s="135"/>
      <c r="BI1333" s="314" t="s">
        <v>3</v>
      </c>
      <c r="BJ1333" s="314" t="s">
        <v>143</v>
      </c>
      <c r="BK1333" s="24"/>
      <c r="BL1333" s="24"/>
      <c r="BM1333" s="24"/>
      <c r="BN1333" s="24"/>
      <c r="BO1333" s="24"/>
      <c r="BP1333" s="24"/>
      <c r="BQ1333" s="24"/>
      <c r="BR1333" s="24"/>
      <c r="BS1333" s="24"/>
      <c r="BT1333" s="24"/>
      <c r="BU1333" s="24"/>
      <c r="BV1333" s="132" t="e">
        <f>IF(#REF!="COMPLETO","OK","PENDIENTE")</f>
        <v>#REF!</v>
      </c>
      <c r="BW1333" s="132"/>
      <c r="BX1333" s="132"/>
      <c r="BY1333" s="132"/>
      <c r="BZ1333" s="132"/>
      <c r="CA1333" s="132"/>
      <c r="CB1333" s="132"/>
      <c r="CC1333" s="269"/>
      <c r="CG1333" s="24" t="s">
        <v>105</v>
      </c>
      <c r="CH1333" s="24"/>
      <c r="CI1333" s="24"/>
      <c r="CJ1333" s="24"/>
    </row>
    <row r="1334" spans="1:88" ht="15" customHeight="1">
      <c r="A1334" s="18">
        <v>2021</v>
      </c>
      <c r="B1334" s="18" t="str">
        <f>+INDEX(BDD!F:F,MATCH(P1334,BDD!D:D,0))&amp;"-"&amp;INDEX(BDD!E:E,MATCH(P1334,BDD!D:D,0))</f>
        <v>S-S</v>
      </c>
      <c r="C1334" s="125" t="s">
        <v>484</v>
      </c>
      <c r="D1334" s="150" t="s">
        <v>20</v>
      </c>
      <c r="E1334" s="132"/>
      <c r="F1334" s="24"/>
      <c r="G1334" s="346"/>
      <c r="H1334" s="125" t="s">
        <v>5174</v>
      </c>
      <c r="I1334" s="329"/>
      <c r="J1334" s="346"/>
      <c r="K1334" s="24"/>
      <c r="L1334" s="24"/>
      <c r="M1334" s="24"/>
      <c r="N1334" s="340"/>
      <c r="O1334" s="334"/>
      <c r="P1334" s="125" t="s">
        <v>340</v>
      </c>
      <c r="Q1334" s="127" t="s">
        <v>4469</v>
      </c>
      <c r="R1334" s="232"/>
      <c r="S1334" s="89"/>
      <c r="T1334" s="36"/>
      <c r="U1334" s="125"/>
      <c r="V1334" s="147"/>
      <c r="W1334" s="129"/>
      <c r="X1334" s="88"/>
      <c r="Y1334" s="130"/>
      <c r="Z1334" s="133"/>
      <c r="AA1334" s="133"/>
      <c r="AB1334" s="241"/>
      <c r="AC1334" s="134"/>
      <c r="AD1334" s="134"/>
      <c r="AE1334" s="403">
        <f t="shared" si="72"/>
        <v>0</v>
      </c>
      <c r="AF1334" s="132"/>
      <c r="AG1334" s="130"/>
      <c r="AH1334" s="130"/>
      <c r="AI1334" s="130"/>
      <c r="AJ1334" s="130"/>
      <c r="AK1334" s="130"/>
      <c r="AL1334" s="135"/>
      <c r="AM1334" s="314"/>
      <c r="AN1334" s="26"/>
      <c r="AO1334" s="26"/>
      <c r="AP1334" s="26"/>
      <c r="AQ1334" s="26"/>
      <c r="AR1334" s="24"/>
      <c r="AS1334" s="24"/>
      <c r="AT1334" s="24"/>
      <c r="AU1334" s="418">
        <f t="shared" si="73"/>
        <v>1</v>
      </c>
      <c r="AV1334" s="418">
        <f t="shared" si="74"/>
        <v>1900</v>
      </c>
      <c r="AW1334" s="24"/>
      <c r="AX1334" s="24"/>
      <c r="AY1334" s="24"/>
      <c r="AZ1334" s="24"/>
      <c r="BA1334" s="24"/>
      <c r="BB1334" s="24"/>
      <c r="BC1334" s="135"/>
      <c r="BD1334" s="24"/>
      <c r="BE1334" s="24"/>
      <c r="BF1334" s="24"/>
      <c r="BG1334" s="135"/>
      <c r="BH1334" s="135"/>
      <c r="BI1334" s="314"/>
      <c r="BJ1334" s="314"/>
      <c r="BK1334" s="24"/>
      <c r="BL1334" s="24"/>
      <c r="BM1334" s="24"/>
      <c r="BN1334" s="24"/>
      <c r="BO1334" s="24"/>
      <c r="BP1334" s="24"/>
      <c r="BQ1334" s="24"/>
      <c r="BR1334" s="24"/>
      <c r="BS1334" s="24"/>
      <c r="BT1334" s="24"/>
      <c r="BU1334" s="24"/>
      <c r="BV1334" s="132"/>
      <c r="BW1334" s="132"/>
      <c r="BX1334" s="132"/>
      <c r="BY1334" s="132"/>
      <c r="BZ1334" s="132"/>
      <c r="CA1334" s="132"/>
      <c r="CB1334" s="132"/>
      <c r="CC1334" s="269"/>
      <c r="CD1334" s="22"/>
      <c r="CE1334" s="22"/>
      <c r="CF1334" s="22"/>
      <c r="CG1334" s="24"/>
      <c r="CH1334" s="24"/>
      <c r="CI1334" s="24"/>
      <c r="CJ1334" s="24"/>
    </row>
    <row r="1335" spans="1:88" ht="15" customHeight="1">
      <c r="A1335" s="18">
        <v>2021</v>
      </c>
      <c r="B1335" s="18" t="str">
        <f>+INDEX(BDD!F:F,MATCH(P1335,BDD!D:D,0))&amp;"-"&amp;INDEX(BDD!E:E,MATCH(P1335,BDD!D:D,0))</f>
        <v>S-S</v>
      </c>
      <c r="C1335" s="125" t="s">
        <v>484</v>
      </c>
      <c r="D1335" s="150" t="s">
        <v>20</v>
      </c>
      <c r="E1335" s="132"/>
      <c r="F1335" s="24"/>
      <c r="G1335" s="346"/>
      <c r="H1335" s="125" t="s">
        <v>5175</v>
      </c>
      <c r="I1335" s="329"/>
      <c r="J1335" s="346"/>
      <c r="K1335" s="24"/>
      <c r="L1335" s="24"/>
      <c r="M1335" s="24"/>
      <c r="N1335" s="340"/>
      <c r="O1335" s="334"/>
      <c r="P1335" s="125" t="s">
        <v>340</v>
      </c>
      <c r="Q1335" s="127" t="s">
        <v>4469</v>
      </c>
      <c r="R1335" s="232"/>
      <c r="S1335" s="89"/>
      <c r="T1335" s="36"/>
      <c r="U1335" s="125"/>
      <c r="V1335" s="147"/>
      <c r="W1335" s="129"/>
      <c r="X1335" s="88"/>
      <c r="Y1335" s="130"/>
      <c r="Z1335" s="133"/>
      <c r="AA1335" s="133"/>
      <c r="AB1335" s="241"/>
      <c r="AC1335" s="134"/>
      <c r="AD1335" s="134"/>
      <c r="AE1335" s="403">
        <f t="shared" si="72"/>
        <v>0</v>
      </c>
      <c r="AF1335" s="132"/>
      <c r="AG1335" s="130"/>
      <c r="AH1335" s="130"/>
      <c r="AI1335" s="130"/>
      <c r="AJ1335" s="130"/>
      <c r="AK1335" s="130"/>
      <c r="AL1335" s="135"/>
      <c r="AM1335" s="314"/>
      <c r="AN1335" s="26"/>
      <c r="AO1335" s="26"/>
      <c r="AP1335" s="26"/>
      <c r="AQ1335" s="26"/>
      <c r="AR1335" s="24"/>
      <c r="AS1335" s="24"/>
      <c r="AT1335" s="24"/>
      <c r="AU1335" s="418">
        <f t="shared" si="73"/>
        <v>1</v>
      </c>
      <c r="AV1335" s="418">
        <f t="shared" si="74"/>
        <v>1900</v>
      </c>
      <c r="AW1335" s="24"/>
      <c r="AX1335" s="24"/>
      <c r="AY1335" s="24"/>
      <c r="AZ1335" s="24"/>
      <c r="BA1335" s="24"/>
      <c r="BB1335" s="24"/>
      <c r="BC1335" s="135"/>
      <c r="BD1335" s="24"/>
      <c r="BE1335" s="24"/>
      <c r="BF1335" s="24"/>
      <c r="BG1335" s="135"/>
      <c r="BH1335" s="135"/>
      <c r="BI1335" s="314"/>
      <c r="BJ1335" s="314"/>
      <c r="BK1335" s="24"/>
      <c r="BL1335" s="24"/>
      <c r="BM1335" s="24"/>
      <c r="BN1335" s="24"/>
      <c r="BO1335" s="24"/>
      <c r="BP1335" s="24"/>
      <c r="BQ1335" s="24"/>
      <c r="BR1335" s="24"/>
      <c r="BS1335" s="24"/>
      <c r="BT1335" s="24"/>
      <c r="BU1335" s="24"/>
      <c r="BV1335" s="132"/>
      <c r="BW1335" s="132"/>
      <c r="BX1335" s="132"/>
      <c r="BY1335" s="132"/>
      <c r="BZ1335" s="132"/>
      <c r="CA1335" s="132"/>
      <c r="CB1335" s="132"/>
      <c r="CC1335" s="269"/>
      <c r="CD1335" s="22"/>
      <c r="CE1335" s="22"/>
      <c r="CF1335" s="22"/>
      <c r="CG1335" s="24"/>
      <c r="CH1335" s="24"/>
      <c r="CI1335" s="24"/>
      <c r="CJ1335" s="24"/>
    </row>
    <row r="1336" spans="1:88" ht="15" customHeight="1">
      <c r="A1336" s="18">
        <v>2021</v>
      </c>
      <c r="B1336" s="18" t="str">
        <f>+INDEX(BDD!F:F,MATCH(P1336,BDD!D:D,0))&amp;"-"&amp;INDEX(BDD!E:E,MATCH(P1336,BDD!D:D,0))</f>
        <v>S-S</v>
      </c>
      <c r="C1336" s="125" t="s">
        <v>484</v>
      </c>
      <c r="D1336" s="150" t="s">
        <v>20</v>
      </c>
      <c r="E1336" s="132"/>
      <c r="F1336" s="24"/>
      <c r="G1336" s="346"/>
      <c r="H1336" s="125" t="s">
        <v>5176</v>
      </c>
      <c r="I1336" s="329"/>
      <c r="J1336" s="346"/>
      <c r="K1336" s="24"/>
      <c r="L1336" s="24"/>
      <c r="M1336" s="24"/>
      <c r="N1336" s="340"/>
      <c r="O1336" s="334"/>
      <c r="P1336" s="125" t="s">
        <v>340</v>
      </c>
      <c r="Q1336" s="127" t="s">
        <v>4469</v>
      </c>
      <c r="R1336" s="232"/>
      <c r="S1336" s="89"/>
      <c r="T1336" s="36"/>
      <c r="U1336" s="125"/>
      <c r="V1336" s="147"/>
      <c r="W1336" s="129"/>
      <c r="X1336" s="88"/>
      <c r="Y1336" s="130"/>
      <c r="Z1336" s="133"/>
      <c r="AA1336" s="133"/>
      <c r="AB1336" s="241"/>
      <c r="AC1336" s="134"/>
      <c r="AD1336" s="134"/>
      <c r="AE1336" s="403">
        <f t="shared" si="72"/>
        <v>0</v>
      </c>
      <c r="AF1336" s="132"/>
      <c r="AG1336" s="130"/>
      <c r="AH1336" s="130"/>
      <c r="AI1336" s="130"/>
      <c r="AJ1336" s="130"/>
      <c r="AK1336" s="130"/>
      <c r="AL1336" s="135"/>
      <c r="AM1336" s="314"/>
      <c r="AN1336" s="26"/>
      <c r="AO1336" s="26"/>
      <c r="AP1336" s="26"/>
      <c r="AQ1336" s="26"/>
      <c r="AR1336" s="24"/>
      <c r="AS1336" s="24"/>
      <c r="AT1336" s="24"/>
      <c r="AU1336" s="418">
        <f t="shared" si="73"/>
        <v>1</v>
      </c>
      <c r="AV1336" s="418">
        <f t="shared" si="74"/>
        <v>1900</v>
      </c>
      <c r="AW1336" s="24"/>
      <c r="AX1336" s="24"/>
      <c r="AY1336" s="24"/>
      <c r="AZ1336" s="24"/>
      <c r="BA1336" s="24"/>
      <c r="BB1336" s="24"/>
      <c r="BC1336" s="135"/>
      <c r="BD1336" s="24"/>
      <c r="BE1336" s="24"/>
      <c r="BF1336" s="24"/>
      <c r="BG1336" s="135"/>
      <c r="BH1336" s="135"/>
      <c r="BI1336" s="314"/>
      <c r="BJ1336" s="314"/>
      <c r="BK1336" s="24"/>
      <c r="BL1336" s="24"/>
      <c r="BM1336" s="24"/>
      <c r="BN1336" s="24"/>
      <c r="BO1336" s="24"/>
      <c r="BP1336" s="24"/>
      <c r="BQ1336" s="24"/>
      <c r="BR1336" s="24"/>
      <c r="BS1336" s="24"/>
      <c r="BT1336" s="24"/>
      <c r="BU1336" s="24"/>
      <c r="BV1336" s="132"/>
      <c r="BW1336" s="132"/>
      <c r="BX1336" s="132"/>
      <c r="BY1336" s="132"/>
      <c r="BZ1336" s="132"/>
      <c r="CA1336" s="132"/>
      <c r="CB1336" s="132"/>
      <c r="CC1336" s="269"/>
      <c r="CD1336" s="22"/>
      <c r="CE1336" s="22"/>
      <c r="CF1336" s="22"/>
      <c r="CG1336" s="24"/>
      <c r="CH1336" s="24"/>
      <c r="CI1336" s="24"/>
      <c r="CJ1336" s="24"/>
    </row>
    <row r="1337" spans="1:88" ht="15" customHeight="1">
      <c r="A1337" s="18">
        <v>2021</v>
      </c>
      <c r="B1337" s="18" t="str">
        <f>+INDEX(BDD!F:F,MATCH(P1337,BDD!D:D,0))&amp;"-"&amp;INDEX(BDD!E:E,MATCH(P1337,BDD!D:D,0))</f>
        <v>S-S</v>
      </c>
      <c r="C1337" s="125" t="s">
        <v>484</v>
      </c>
      <c r="D1337" s="150" t="s">
        <v>20</v>
      </c>
      <c r="E1337" s="132"/>
      <c r="F1337" s="24"/>
      <c r="G1337" s="346"/>
      <c r="H1337" s="125" t="s">
        <v>5177</v>
      </c>
      <c r="I1337" s="329"/>
      <c r="J1337" s="346"/>
      <c r="K1337" s="24"/>
      <c r="L1337" s="24"/>
      <c r="M1337" s="24"/>
      <c r="N1337" s="340"/>
      <c r="O1337" s="334"/>
      <c r="P1337" s="125" t="s">
        <v>340</v>
      </c>
      <c r="Q1337" s="127" t="s">
        <v>4469</v>
      </c>
      <c r="R1337" s="232"/>
      <c r="S1337" s="89"/>
      <c r="T1337" s="36"/>
      <c r="U1337" s="125"/>
      <c r="V1337" s="147"/>
      <c r="W1337" s="129"/>
      <c r="X1337" s="88"/>
      <c r="Y1337" s="130"/>
      <c r="Z1337" s="133"/>
      <c r="AA1337" s="133"/>
      <c r="AB1337" s="241"/>
      <c r="AC1337" s="134"/>
      <c r="AD1337" s="134"/>
      <c r="AE1337" s="403">
        <f t="shared" si="72"/>
        <v>0</v>
      </c>
      <c r="AF1337" s="132"/>
      <c r="AG1337" s="130"/>
      <c r="AH1337" s="130"/>
      <c r="AI1337" s="130"/>
      <c r="AJ1337" s="130"/>
      <c r="AK1337" s="130"/>
      <c r="AL1337" s="135"/>
      <c r="AM1337" s="314"/>
      <c r="AN1337" s="26"/>
      <c r="AO1337" s="26"/>
      <c r="AP1337" s="26"/>
      <c r="AQ1337" s="26"/>
      <c r="AR1337" s="24"/>
      <c r="AS1337" s="24"/>
      <c r="AT1337" s="24"/>
      <c r="AU1337" s="418">
        <f t="shared" si="73"/>
        <v>1</v>
      </c>
      <c r="AV1337" s="418">
        <f t="shared" si="74"/>
        <v>1900</v>
      </c>
      <c r="AW1337" s="24"/>
      <c r="AX1337" s="24"/>
      <c r="AY1337" s="24"/>
      <c r="AZ1337" s="24"/>
      <c r="BA1337" s="24"/>
      <c r="BB1337" s="24"/>
      <c r="BC1337" s="135"/>
      <c r="BD1337" s="24"/>
      <c r="BE1337" s="24"/>
      <c r="BF1337" s="24"/>
      <c r="BG1337" s="135"/>
      <c r="BH1337" s="135"/>
      <c r="BI1337" s="314"/>
      <c r="BJ1337" s="314"/>
      <c r="BK1337" s="24"/>
      <c r="BL1337" s="24"/>
      <c r="BM1337" s="24"/>
      <c r="BN1337" s="24"/>
      <c r="BO1337" s="24"/>
      <c r="BP1337" s="24"/>
      <c r="BQ1337" s="24"/>
      <c r="BR1337" s="24"/>
      <c r="BS1337" s="24"/>
      <c r="BT1337" s="24"/>
      <c r="BU1337" s="24"/>
      <c r="BV1337" s="132"/>
      <c r="BW1337" s="132"/>
      <c r="BX1337" s="132"/>
      <c r="BY1337" s="132"/>
      <c r="BZ1337" s="132"/>
      <c r="CA1337" s="132"/>
      <c r="CB1337" s="132"/>
      <c r="CC1337" s="269"/>
      <c r="CD1337" s="22"/>
      <c r="CE1337" s="22"/>
      <c r="CF1337" s="22"/>
      <c r="CG1337" s="24"/>
      <c r="CH1337" s="24"/>
      <c r="CI1337" s="24"/>
      <c r="CJ1337" s="24"/>
    </row>
    <row r="1338" spans="1:88" ht="15" customHeight="1">
      <c r="A1338" s="18">
        <v>2021</v>
      </c>
      <c r="B1338" s="18" t="str">
        <f>+INDEX(BDD!F:F,MATCH(P1338,BDD!D:D,0))&amp;"-"&amp;INDEX(BDD!E:E,MATCH(P1338,BDD!D:D,0))</f>
        <v>S-S</v>
      </c>
      <c r="C1338" s="125" t="s">
        <v>484</v>
      </c>
      <c r="D1338" s="150" t="s">
        <v>20</v>
      </c>
      <c r="E1338" s="132"/>
      <c r="F1338" s="24"/>
      <c r="G1338" s="346"/>
      <c r="H1338" s="125" t="s">
        <v>5178</v>
      </c>
      <c r="I1338" s="329"/>
      <c r="J1338" s="346"/>
      <c r="K1338" s="24"/>
      <c r="L1338" s="24"/>
      <c r="M1338" s="24"/>
      <c r="N1338" s="340"/>
      <c r="O1338" s="334"/>
      <c r="P1338" s="125" t="s">
        <v>340</v>
      </c>
      <c r="Q1338" s="127" t="s">
        <v>4469</v>
      </c>
      <c r="R1338" s="232"/>
      <c r="S1338" s="89"/>
      <c r="T1338" s="36"/>
      <c r="U1338" s="125"/>
      <c r="V1338" s="147"/>
      <c r="W1338" s="129"/>
      <c r="X1338" s="88"/>
      <c r="Y1338" s="130"/>
      <c r="Z1338" s="133"/>
      <c r="AA1338" s="133"/>
      <c r="AB1338" s="241"/>
      <c r="AC1338" s="134"/>
      <c r="AD1338" s="134"/>
      <c r="AE1338" s="403">
        <f t="shared" si="72"/>
        <v>0</v>
      </c>
      <c r="AF1338" s="132"/>
      <c r="AG1338" s="130"/>
      <c r="AH1338" s="130"/>
      <c r="AI1338" s="130"/>
      <c r="AJ1338" s="130"/>
      <c r="AK1338" s="130"/>
      <c r="AL1338" s="135"/>
      <c r="AM1338" s="314"/>
      <c r="AN1338" s="26"/>
      <c r="AO1338" s="26"/>
      <c r="AP1338" s="26"/>
      <c r="AQ1338" s="26"/>
      <c r="AR1338" s="24"/>
      <c r="AS1338" s="24"/>
      <c r="AT1338" s="24"/>
      <c r="AU1338" s="418">
        <f t="shared" si="73"/>
        <v>1</v>
      </c>
      <c r="AV1338" s="418">
        <f t="shared" si="74"/>
        <v>1900</v>
      </c>
      <c r="AW1338" s="24"/>
      <c r="AX1338" s="24"/>
      <c r="AY1338" s="24"/>
      <c r="AZ1338" s="24"/>
      <c r="BA1338" s="24"/>
      <c r="BB1338" s="24"/>
      <c r="BC1338" s="135"/>
      <c r="BD1338" s="24"/>
      <c r="BE1338" s="24"/>
      <c r="BF1338" s="24"/>
      <c r="BG1338" s="135"/>
      <c r="BH1338" s="135"/>
      <c r="BI1338" s="314"/>
      <c r="BJ1338" s="314"/>
      <c r="BK1338" s="24"/>
      <c r="BL1338" s="24"/>
      <c r="BM1338" s="24"/>
      <c r="BN1338" s="24"/>
      <c r="BO1338" s="24"/>
      <c r="BP1338" s="24"/>
      <c r="BQ1338" s="24"/>
      <c r="BR1338" s="24"/>
      <c r="BS1338" s="24"/>
      <c r="BT1338" s="24"/>
      <c r="BU1338" s="24"/>
      <c r="BV1338" s="132"/>
      <c r="BW1338" s="132"/>
      <c r="BX1338" s="132"/>
      <c r="BY1338" s="132"/>
      <c r="BZ1338" s="132"/>
      <c r="CA1338" s="132"/>
      <c r="CB1338" s="132"/>
      <c r="CC1338" s="269"/>
      <c r="CD1338" s="22"/>
      <c r="CE1338" s="22"/>
      <c r="CF1338" s="22"/>
      <c r="CG1338" s="24"/>
      <c r="CH1338" s="24"/>
      <c r="CI1338" s="24"/>
      <c r="CJ1338" s="24"/>
    </row>
    <row r="1339" spans="1:88" ht="15" customHeight="1">
      <c r="A1339" s="18">
        <v>2021</v>
      </c>
      <c r="B1339" s="18" t="str">
        <f>+INDEX(BDD!F:F,MATCH(P1339,BDD!D:D,0))&amp;"-"&amp;INDEX(BDD!E:E,MATCH(P1339,BDD!D:D,0))</f>
        <v>S-S</v>
      </c>
      <c r="C1339" s="125" t="s">
        <v>484</v>
      </c>
      <c r="D1339" s="150" t="s">
        <v>20</v>
      </c>
      <c r="E1339" s="132"/>
      <c r="F1339" s="24"/>
      <c r="G1339" s="346"/>
      <c r="H1339" s="125" t="s">
        <v>5179</v>
      </c>
      <c r="I1339" s="329"/>
      <c r="J1339" s="346"/>
      <c r="K1339" s="24"/>
      <c r="L1339" s="24"/>
      <c r="M1339" s="24"/>
      <c r="N1339" s="340"/>
      <c r="O1339" s="334"/>
      <c r="P1339" s="125" t="s">
        <v>340</v>
      </c>
      <c r="Q1339" s="127" t="s">
        <v>4469</v>
      </c>
      <c r="R1339" s="232"/>
      <c r="S1339" s="89"/>
      <c r="T1339" s="36"/>
      <c r="U1339" s="125"/>
      <c r="V1339" s="147"/>
      <c r="W1339" s="129"/>
      <c r="X1339" s="88"/>
      <c r="Y1339" s="130"/>
      <c r="Z1339" s="133"/>
      <c r="AA1339" s="133"/>
      <c r="AB1339" s="241"/>
      <c r="AC1339" s="134"/>
      <c r="AD1339" s="134"/>
      <c r="AE1339" s="403">
        <f t="shared" si="72"/>
        <v>0</v>
      </c>
      <c r="AF1339" s="132"/>
      <c r="AG1339" s="130"/>
      <c r="AH1339" s="130"/>
      <c r="AI1339" s="130"/>
      <c r="AJ1339" s="130"/>
      <c r="AK1339" s="130"/>
      <c r="AL1339" s="135"/>
      <c r="AM1339" s="314"/>
      <c r="AN1339" s="26"/>
      <c r="AO1339" s="26"/>
      <c r="AP1339" s="26"/>
      <c r="AQ1339" s="26"/>
      <c r="AR1339" s="24"/>
      <c r="AS1339" s="24"/>
      <c r="AT1339" s="24"/>
      <c r="AU1339" s="418">
        <f t="shared" si="73"/>
        <v>1</v>
      </c>
      <c r="AV1339" s="418">
        <f t="shared" si="74"/>
        <v>1900</v>
      </c>
      <c r="AW1339" s="24"/>
      <c r="AX1339" s="24"/>
      <c r="AY1339" s="24"/>
      <c r="AZ1339" s="24"/>
      <c r="BA1339" s="24"/>
      <c r="BB1339" s="24"/>
      <c r="BC1339" s="135"/>
      <c r="BD1339" s="24"/>
      <c r="BE1339" s="24"/>
      <c r="BF1339" s="24"/>
      <c r="BG1339" s="135"/>
      <c r="BH1339" s="135"/>
      <c r="BI1339" s="314"/>
      <c r="BJ1339" s="314"/>
      <c r="BK1339" s="24"/>
      <c r="BL1339" s="24"/>
      <c r="BM1339" s="24"/>
      <c r="BN1339" s="24"/>
      <c r="BO1339" s="24"/>
      <c r="BP1339" s="24"/>
      <c r="BQ1339" s="24"/>
      <c r="BR1339" s="24"/>
      <c r="BS1339" s="24"/>
      <c r="BT1339" s="24"/>
      <c r="BU1339" s="24"/>
      <c r="BV1339" s="132"/>
      <c r="BW1339" s="132"/>
      <c r="BX1339" s="132"/>
      <c r="BY1339" s="132"/>
      <c r="BZ1339" s="132"/>
      <c r="CA1339" s="132"/>
      <c r="CB1339" s="132"/>
      <c r="CC1339" s="269"/>
      <c r="CD1339" s="22"/>
      <c r="CE1339" s="22"/>
      <c r="CF1339" s="22"/>
      <c r="CG1339" s="24"/>
      <c r="CH1339" s="24"/>
      <c r="CI1339" s="24"/>
      <c r="CJ1339" s="24"/>
    </row>
    <row r="1340" spans="1:88" ht="15" customHeight="1">
      <c r="A1340" s="18">
        <v>2021</v>
      </c>
      <c r="B1340" s="18" t="str">
        <f>+INDEX(BDD!F:F,MATCH(P1340,BDD!D:D,0))&amp;"-"&amp;INDEX(BDD!E:E,MATCH(P1340,BDD!D:D,0))</f>
        <v>S-S</v>
      </c>
      <c r="C1340" s="125" t="s">
        <v>484</v>
      </c>
      <c r="D1340" s="150" t="s">
        <v>20</v>
      </c>
      <c r="E1340" s="132"/>
      <c r="F1340" s="24"/>
      <c r="G1340" s="346"/>
      <c r="H1340" s="125" t="s">
        <v>5180</v>
      </c>
      <c r="I1340" s="329"/>
      <c r="J1340" s="346"/>
      <c r="K1340" s="24"/>
      <c r="L1340" s="24"/>
      <c r="M1340" s="24"/>
      <c r="N1340" s="340"/>
      <c r="O1340" s="334"/>
      <c r="P1340" s="125" t="s">
        <v>340</v>
      </c>
      <c r="Q1340" s="127" t="s">
        <v>4469</v>
      </c>
      <c r="R1340" s="232"/>
      <c r="S1340" s="89"/>
      <c r="T1340" s="36"/>
      <c r="U1340" s="125"/>
      <c r="V1340" s="147"/>
      <c r="W1340" s="129"/>
      <c r="X1340" s="88"/>
      <c r="Y1340" s="130"/>
      <c r="Z1340" s="133"/>
      <c r="AA1340" s="133"/>
      <c r="AB1340" s="241"/>
      <c r="AC1340" s="134"/>
      <c r="AD1340" s="134"/>
      <c r="AE1340" s="403">
        <f t="shared" si="72"/>
        <v>0</v>
      </c>
      <c r="AF1340" s="132"/>
      <c r="AG1340" s="130"/>
      <c r="AH1340" s="130"/>
      <c r="AI1340" s="130"/>
      <c r="AJ1340" s="130"/>
      <c r="AK1340" s="130"/>
      <c r="AL1340" s="135"/>
      <c r="AM1340" s="314"/>
      <c r="AN1340" s="26"/>
      <c r="AO1340" s="26"/>
      <c r="AP1340" s="26"/>
      <c r="AQ1340" s="26"/>
      <c r="AR1340" s="24"/>
      <c r="AS1340" s="24"/>
      <c r="AT1340" s="24"/>
      <c r="AU1340" s="418">
        <f t="shared" si="73"/>
        <v>1</v>
      </c>
      <c r="AV1340" s="418">
        <f t="shared" si="74"/>
        <v>1900</v>
      </c>
      <c r="AW1340" s="24"/>
      <c r="AX1340" s="24"/>
      <c r="AY1340" s="24"/>
      <c r="AZ1340" s="24"/>
      <c r="BA1340" s="24"/>
      <c r="BB1340" s="24"/>
      <c r="BC1340" s="135"/>
      <c r="BD1340" s="24"/>
      <c r="BE1340" s="24"/>
      <c r="BF1340" s="24"/>
      <c r="BG1340" s="135"/>
      <c r="BH1340" s="135"/>
      <c r="BI1340" s="314"/>
      <c r="BJ1340" s="314"/>
      <c r="BK1340" s="24"/>
      <c r="BL1340" s="24"/>
      <c r="BM1340" s="24"/>
      <c r="BN1340" s="24"/>
      <c r="BO1340" s="24"/>
      <c r="BP1340" s="24"/>
      <c r="BQ1340" s="24"/>
      <c r="BR1340" s="24"/>
      <c r="BS1340" s="24"/>
      <c r="BT1340" s="24"/>
      <c r="BU1340" s="24"/>
      <c r="BV1340" s="132"/>
      <c r="BW1340" s="132"/>
      <c r="BX1340" s="132"/>
      <c r="BY1340" s="132"/>
      <c r="BZ1340" s="132"/>
      <c r="CA1340" s="132"/>
      <c r="CB1340" s="132"/>
      <c r="CC1340" s="269"/>
      <c r="CD1340" s="22"/>
      <c r="CE1340" s="22"/>
      <c r="CF1340" s="22"/>
      <c r="CG1340" s="24"/>
      <c r="CH1340" s="24"/>
      <c r="CI1340" s="24"/>
      <c r="CJ1340" s="24"/>
    </row>
    <row r="1341" spans="1:88" ht="15" customHeight="1">
      <c r="A1341" s="18">
        <v>2021</v>
      </c>
      <c r="B1341" s="18" t="str">
        <f>+INDEX(BDD!F:F,MATCH(P1341,BDD!D:D,0))&amp;"-"&amp;INDEX(BDD!E:E,MATCH(P1341,BDD!D:D,0))</f>
        <v>S-S</v>
      </c>
      <c r="C1341" s="125" t="s">
        <v>484</v>
      </c>
      <c r="D1341" s="150" t="s">
        <v>20</v>
      </c>
      <c r="E1341" s="132"/>
      <c r="F1341" s="24"/>
      <c r="G1341" s="346"/>
      <c r="H1341" s="125" t="s">
        <v>5181</v>
      </c>
      <c r="I1341" s="329"/>
      <c r="J1341" s="346"/>
      <c r="K1341" s="24"/>
      <c r="L1341" s="24"/>
      <c r="M1341" s="24"/>
      <c r="N1341" s="340"/>
      <c r="O1341" s="334"/>
      <c r="P1341" s="125" t="s">
        <v>340</v>
      </c>
      <c r="Q1341" s="127" t="s">
        <v>4469</v>
      </c>
      <c r="R1341" s="232"/>
      <c r="S1341" s="89"/>
      <c r="T1341" s="36"/>
      <c r="U1341" s="125"/>
      <c r="V1341" s="147"/>
      <c r="W1341" s="129"/>
      <c r="X1341" s="88"/>
      <c r="Y1341" s="130"/>
      <c r="Z1341" s="133"/>
      <c r="AA1341" s="133"/>
      <c r="AB1341" s="241"/>
      <c r="AC1341" s="134"/>
      <c r="AD1341" s="134"/>
      <c r="AE1341" s="403">
        <f t="shared" si="72"/>
        <v>0</v>
      </c>
      <c r="AF1341" s="132"/>
      <c r="AG1341" s="130"/>
      <c r="AH1341" s="130"/>
      <c r="AI1341" s="130"/>
      <c r="AJ1341" s="130"/>
      <c r="AK1341" s="130"/>
      <c r="AL1341" s="135"/>
      <c r="AM1341" s="314"/>
      <c r="AN1341" s="26"/>
      <c r="AO1341" s="26"/>
      <c r="AP1341" s="26"/>
      <c r="AQ1341" s="26"/>
      <c r="AR1341" s="24"/>
      <c r="AS1341" s="24"/>
      <c r="AT1341" s="24"/>
      <c r="AU1341" s="418">
        <f t="shared" si="73"/>
        <v>1</v>
      </c>
      <c r="AV1341" s="418">
        <f t="shared" si="74"/>
        <v>1900</v>
      </c>
      <c r="AW1341" s="24"/>
      <c r="AX1341" s="24"/>
      <c r="AY1341" s="24"/>
      <c r="AZ1341" s="24"/>
      <c r="BA1341" s="24"/>
      <c r="BB1341" s="24"/>
      <c r="BC1341" s="135"/>
      <c r="BD1341" s="24"/>
      <c r="BE1341" s="24"/>
      <c r="BF1341" s="24"/>
      <c r="BG1341" s="135"/>
      <c r="BH1341" s="135"/>
      <c r="BI1341" s="314"/>
      <c r="BJ1341" s="314"/>
      <c r="BK1341" s="24"/>
      <c r="BL1341" s="24"/>
      <c r="BM1341" s="24"/>
      <c r="BN1341" s="24"/>
      <c r="BO1341" s="24"/>
      <c r="BP1341" s="24"/>
      <c r="BQ1341" s="24"/>
      <c r="BR1341" s="24"/>
      <c r="BS1341" s="24"/>
      <c r="BT1341" s="24"/>
      <c r="BU1341" s="24"/>
      <c r="BV1341" s="132"/>
      <c r="BW1341" s="132"/>
      <c r="BX1341" s="132"/>
      <c r="BY1341" s="132"/>
      <c r="BZ1341" s="132"/>
      <c r="CA1341" s="132"/>
      <c r="CB1341" s="132"/>
      <c r="CC1341" s="269"/>
      <c r="CD1341" s="22"/>
      <c r="CE1341" s="22"/>
      <c r="CF1341" s="22"/>
      <c r="CG1341" s="24"/>
      <c r="CH1341" s="24"/>
      <c r="CI1341" s="24"/>
      <c r="CJ1341" s="24"/>
    </row>
    <row r="1342" spans="1:88" ht="15" customHeight="1">
      <c r="A1342" s="18">
        <v>2021</v>
      </c>
      <c r="B1342" s="18" t="str">
        <f>+INDEX(BDD!F:F,MATCH(P1342,BDD!D:D,0))&amp;"-"&amp;INDEX(BDD!E:E,MATCH(P1342,BDD!D:D,0))</f>
        <v>S-S</v>
      </c>
      <c r="C1342" s="125" t="s">
        <v>484</v>
      </c>
      <c r="D1342" s="150" t="s">
        <v>20</v>
      </c>
      <c r="E1342" s="132"/>
      <c r="F1342" s="24"/>
      <c r="G1342" s="346"/>
      <c r="H1342" s="125" t="s">
        <v>5182</v>
      </c>
      <c r="I1342" s="329"/>
      <c r="J1342" s="346"/>
      <c r="K1342" s="24"/>
      <c r="L1342" s="24"/>
      <c r="M1342" s="24"/>
      <c r="N1342" s="340"/>
      <c r="O1342" s="334"/>
      <c r="P1342" s="125" t="s">
        <v>340</v>
      </c>
      <c r="Q1342" s="127" t="s">
        <v>4469</v>
      </c>
      <c r="R1342" s="232"/>
      <c r="S1342" s="89"/>
      <c r="T1342" s="36"/>
      <c r="U1342" s="125"/>
      <c r="V1342" s="147"/>
      <c r="W1342" s="129"/>
      <c r="X1342" s="88"/>
      <c r="Y1342" s="130"/>
      <c r="Z1342" s="133"/>
      <c r="AA1342" s="133"/>
      <c r="AB1342" s="241"/>
      <c r="AC1342" s="134"/>
      <c r="AD1342" s="134"/>
      <c r="AE1342" s="403">
        <f t="shared" si="72"/>
        <v>0</v>
      </c>
      <c r="AF1342" s="132"/>
      <c r="AG1342" s="130"/>
      <c r="AH1342" s="130"/>
      <c r="AI1342" s="130"/>
      <c r="AJ1342" s="130"/>
      <c r="AK1342" s="130"/>
      <c r="AL1342" s="135"/>
      <c r="AM1342" s="314"/>
      <c r="AN1342" s="26"/>
      <c r="AO1342" s="26"/>
      <c r="AP1342" s="26"/>
      <c r="AQ1342" s="26"/>
      <c r="AR1342" s="24"/>
      <c r="AS1342" s="24"/>
      <c r="AT1342" s="24"/>
      <c r="AU1342" s="418">
        <f t="shared" si="73"/>
        <v>1</v>
      </c>
      <c r="AV1342" s="418">
        <f t="shared" si="74"/>
        <v>1900</v>
      </c>
      <c r="AW1342" s="24"/>
      <c r="AX1342" s="24"/>
      <c r="AY1342" s="24"/>
      <c r="AZ1342" s="24"/>
      <c r="BA1342" s="24"/>
      <c r="BB1342" s="24"/>
      <c r="BC1342" s="135"/>
      <c r="BD1342" s="24"/>
      <c r="BE1342" s="24"/>
      <c r="BF1342" s="24"/>
      <c r="BG1342" s="135"/>
      <c r="BH1342" s="135"/>
      <c r="BI1342" s="314"/>
      <c r="BJ1342" s="314"/>
      <c r="BK1342" s="24"/>
      <c r="BL1342" s="24"/>
      <c r="BM1342" s="24"/>
      <c r="BN1342" s="24"/>
      <c r="BO1342" s="24"/>
      <c r="BP1342" s="24"/>
      <c r="BQ1342" s="24"/>
      <c r="BR1342" s="24"/>
      <c r="BS1342" s="24"/>
      <c r="BT1342" s="24"/>
      <c r="BU1342" s="24"/>
      <c r="BV1342" s="132"/>
      <c r="BW1342" s="132"/>
      <c r="BX1342" s="132"/>
      <c r="BY1342" s="132"/>
      <c r="BZ1342" s="132"/>
      <c r="CA1342" s="132"/>
      <c r="CB1342" s="132"/>
      <c r="CC1342" s="269"/>
      <c r="CD1342" s="22"/>
      <c r="CE1342" s="22"/>
      <c r="CF1342" s="22"/>
      <c r="CG1342" s="24"/>
      <c r="CH1342" s="24"/>
      <c r="CI1342" s="24"/>
      <c r="CJ1342" s="24"/>
    </row>
    <row r="1343" spans="1:88" ht="15" customHeight="1">
      <c r="A1343" s="18">
        <v>2021</v>
      </c>
      <c r="B1343" s="18" t="str">
        <f>+INDEX(BDD!F:F,MATCH(P1343,BDD!D:D,0))&amp;"-"&amp;INDEX(BDD!E:E,MATCH(P1343,BDD!D:D,0))</f>
        <v>E-S</v>
      </c>
      <c r="C1343" s="125" t="s">
        <v>484</v>
      </c>
      <c r="D1343" s="150" t="s">
        <v>77</v>
      </c>
      <c r="E1343" s="132"/>
      <c r="F1343" s="24"/>
      <c r="G1343" s="346">
        <v>8000001545</v>
      </c>
      <c r="H1343" s="125" t="s">
        <v>5183</v>
      </c>
      <c r="I1343" s="329"/>
      <c r="J1343" s="346">
        <v>8000001545</v>
      </c>
      <c r="K1343" s="24"/>
      <c r="L1343" s="24">
        <v>44469</v>
      </c>
      <c r="M1343" s="24">
        <v>44470</v>
      </c>
      <c r="N1343" s="340" t="s">
        <v>486</v>
      </c>
      <c r="O1343" s="334">
        <v>208053</v>
      </c>
      <c r="P1343" s="125" t="s">
        <v>111</v>
      </c>
      <c r="Q1343" s="127" t="s">
        <v>276</v>
      </c>
      <c r="R1343" s="232" t="s">
        <v>5184</v>
      </c>
      <c r="S1343" s="89">
        <v>44216</v>
      </c>
      <c r="T1343" s="36">
        <v>120</v>
      </c>
      <c r="U1343" s="125" t="s">
        <v>118</v>
      </c>
      <c r="V1343" s="147" t="s">
        <v>5185</v>
      </c>
      <c r="W1343" s="129"/>
      <c r="X1343" s="88">
        <f>+BD1343+T1343</f>
        <v>44512</v>
      </c>
      <c r="Y1343" s="130" t="s">
        <v>20</v>
      </c>
      <c r="Z1343" s="133" t="s">
        <v>81</v>
      </c>
      <c r="AA1343" s="133"/>
      <c r="AB1343" s="241">
        <v>100</v>
      </c>
      <c r="AC1343" s="134">
        <v>348</v>
      </c>
      <c r="AD1343" s="134"/>
      <c r="AE1343" s="403">
        <f t="shared" si="72"/>
        <v>34800</v>
      </c>
      <c r="AF1343" s="132"/>
      <c r="AG1343" s="130" t="s">
        <v>58</v>
      </c>
      <c r="AH1343" s="130"/>
      <c r="AI1343" s="130" t="s">
        <v>71</v>
      </c>
      <c r="AJ1343" s="130"/>
      <c r="AK1343" s="130"/>
      <c r="AL1343" s="135" t="s">
        <v>5076</v>
      </c>
      <c r="AM1343" s="314"/>
      <c r="AN1343" s="26">
        <f>BL1343</f>
        <v>0</v>
      </c>
      <c r="AO1343" s="26">
        <v>44392</v>
      </c>
      <c r="AP1343" s="26">
        <f>AQ1343</f>
        <v>44453</v>
      </c>
      <c r="AQ1343" s="26">
        <v>44453</v>
      </c>
      <c r="AR1343" s="24">
        <f>AP1343+10</f>
        <v>44463</v>
      </c>
      <c r="AS1343" s="24"/>
      <c r="AT1343" s="24">
        <v>44468</v>
      </c>
      <c r="AU1343" s="418">
        <f t="shared" si="73"/>
        <v>9</v>
      </c>
      <c r="AV1343" s="418">
        <f t="shared" si="74"/>
        <v>2021</v>
      </c>
      <c r="AW1343" s="24"/>
      <c r="AX1343" s="24"/>
      <c r="AY1343" s="24" t="s">
        <v>95</v>
      </c>
      <c r="AZ1343" s="24" t="s">
        <v>37</v>
      </c>
      <c r="BA1343" s="24"/>
      <c r="BB1343" s="24" t="s">
        <v>2956</v>
      </c>
      <c r="BC1343" s="135" t="s">
        <v>5186</v>
      </c>
      <c r="BD1343" s="24">
        <v>44392</v>
      </c>
      <c r="BE1343" s="135" t="s">
        <v>4061</v>
      </c>
      <c r="BF1343" s="135" t="s">
        <v>4061</v>
      </c>
      <c r="BG1343" s="135" t="s">
        <v>52</v>
      </c>
      <c r="BH1343" s="135"/>
      <c r="BI1343" s="314" t="s">
        <v>124</v>
      </c>
      <c r="BJ1343" s="314" t="s">
        <v>143</v>
      </c>
      <c r="BK1343" s="24"/>
      <c r="BL1343" s="24"/>
      <c r="BM1343" s="24"/>
      <c r="BN1343" s="24"/>
      <c r="BO1343" s="24"/>
      <c r="BP1343" s="24"/>
      <c r="BQ1343" s="24"/>
      <c r="BR1343" s="24"/>
      <c r="BS1343" s="24"/>
      <c r="BT1343" s="24"/>
      <c r="BU1343" s="24"/>
      <c r="BV1343" s="132" t="e">
        <f>IF(#REF!="COMPLETO","OK","PENDIENTES")</f>
        <v>#REF!</v>
      </c>
      <c r="BW1343" s="132"/>
      <c r="BX1343" s="132"/>
      <c r="BY1343" s="132"/>
      <c r="BZ1343" s="132"/>
      <c r="CA1343" s="132"/>
      <c r="CB1343" s="132"/>
      <c r="CC1343" s="269"/>
      <c r="CG1343" s="24" t="s">
        <v>105</v>
      </c>
      <c r="CH1343" s="24"/>
      <c r="CI1343" s="24"/>
      <c r="CJ1343" s="24"/>
    </row>
    <row r="1344" spans="1:88" ht="15" customHeight="1">
      <c r="A1344" s="18">
        <v>2021</v>
      </c>
      <c r="B1344" s="18" t="str">
        <f>+INDEX(BDD!F:F,MATCH(P1344,BDD!D:D,0))&amp;"-"&amp;INDEX(BDD!E:E,MATCH(P1344,BDD!D:D,0))</f>
        <v>T-S</v>
      </c>
      <c r="C1344" s="125" t="s">
        <v>484</v>
      </c>
      <c r="D1344" s="150" t="s">
        <v>77</v>
      </c>
      <c r="E1344" s="132"/>
      <c r="F1344" s="24"/>
      <c r="G1344" s="346">
        <v>8000001204</v>
      </c>
      <c r="H1344" s="125" t="s">
        <v>5187</v>
      </c>
      <c r="I1344" s="329"/>
      <c r="J1344" s="346">
        <v>8000001204</v>
      </c>
      <c r="K1344" s="24"/>
      <c r="L1344" s="24"/>
      <c r="M1344" s="24"/>
      <c r="N1344" s="340" t="s">
        <v>486</v>
      </c>
      <c r="O1344" s="334">
        <v>208067</v>
      </c>
      <c r="P1344" s="125" t="s">
        <v>383</v>
      </c>
      <c r="Q1344" s="127" t="s">
        <v>303</v>
      </c>
      <c r="R1344" s="232" t="s">
        <v>5188</v>
      </c>
      <c r="S1344" s="89" t="s">
        <v>5009</v>
      </c>
      <c r="T1344" s="36">
        <v>30</v>
      </c>
      <c r="U1344" s="125" t="s">
        <v>131</v>
      </c>
      <c r="V1344" s="147" t="s">
        <v>5189</v>
      </c>
      <c r="W1344" s="129"/>
      <c r="X1344" s="88">
        <v>44248</v>
      </c>
      <c r="Y1344" s="130" t="s">
        <v>20</v>
      </c>
      <c r="Z1344" s="133" t="s">
        <v>60</v>
      </c>
      <c r="AA1344" s="133"/>
      <c r="AB1344" s="241">
        <v>700</v>
      </c>
      <c r="AC1344" s="134">
        <v>230</v>
      </c>
      <c r="AD1344" s="134"/>
      <c r="AE1344" s="403">
        <f t="shared" si="72"/>
        <v>161000</v>
      </c>
      <c r="AF1344" s="132">
        <v>28</v>
      </c>
      <c r="AG1344" s="130" t="s">
        <v>5</v>
      </c>
      <c r="AH1344" s="130"/>
      <c r="AI1344" s="130" t="s">
        <v>34</v>
      </c>
      <c r="AJ1344" s="130"/>
      <c r="AK1344" s="130"/>
      <c r="AL1344" s="135" t="s">
        <v>5009</v>
      </c>
      <c r="AM1344" s="314"/>
      <c r="AN1344" s="26"/>
      <c r="AO1344" s="26"/>
      <c r="AP1344" s="26"/>
      <c r="AQ1344" s="26">
        <v>44224</v>
      </c>
      <c r="AR1344" s="24"/>
      <c r="AS1344" s="24"/>
      <c r="AT1344" s="24">
        <v>44232</v>
      </c>
      <c r="AU1344" s="418">
        <f t="shared" si="73"/>
        <v>2</v>
      </c>
      <c r="AV1344" s="418">
        <f t="shared" si="74"/>
        <v>2021</v>
      </c>
      <c r="AW1344" s="24"/>
      <c r="AX1344" s="24"/>
      <c r="AY1344" s="24" t="s">
        <v>3415</v>
      </c>
      <c r="AZ1344" s="24" t="s">
        <v>37</v>
      </c>
      <c r="BA1344" s="24"/>
      <c r="BB1344" s="24" t="s">
        <v>3593</v>
      </c>
      <c r="BC1344" s="135" t="s">
        <v>5190</v>
      </c>
      <c r="BD1344" s="24">
        <v>44216</v>
      </c>
      <c r="BE1344" s="24" t="s">
        <v>756</v>
      </c>
      <c r="BF1344" s="24" t="s">
        <v>2329</v>
      </c>
      <c r="BG1344" s="135" t="s">
        <v>29</v>
      </c>
      <c r="BH1344" s="135"/>
      <c r="BI1344" s="314" t="s">
        <v>124</v>
      </c>
      <c r="BJ1344" s="314" t="s">
        <v>148</v>
      </c>
      <c r="BK1344" s="24"/>
      <c r="BL1344" s="24"/>
      <c r="BM1344" s="24"/>
      <c r="BN1344" s="24"/>
      <c r="BO1344" s="24"/>
      <c r="BP1344" s="24"/>
      <c r="BQ1344" s="24"/>
      <c r="BR1344" s="24"/>
      <c r="BS1344" s="24"/>
      <c r="BT1344" s="24"/>
      <c r="BU1344" s="24"/>
      <c r="BV1344" s="132" t="e">
        <f>IF(#REF!="COMPLETO","OK","PENDIENTES")</f>
        <v>#REF!</v>
      </c>
      <c r="BW1344" s="132"/>
      <c r="BX1344" s="132"/>
      <c r="BY1344" s="132"/>
      <c r="BZ1344" s="132"/>
      <c r="CA1344" s="132"/>
      <c r="CB1344" s="132"/>
      <c r="CC1344" s="269"/>
      <c r="CG1344" s="24" t="s">
        <v>105</v>
      </c>
      <c r="CH1344" s="24"/>
      <c r="CI1344" s="24"/>
      <c r="CJ1344" s="24"/>
    </row>
    <row r="1345" spans="1:88" ht="15" customHeight="1">
      <c r="A1345" s="18">
        <v>2021</v>
      </c>
      <c r="B1345" s="18" t="str">
        <f>+INDEX(BDD!F:F,MATCH(P1345,BDD!D:D,0))&amp;"-"&amp;INDEX(BDD!E:E,MATCH(P1345,BDD!D:D,0))</f>
        <v>G-S</v>
      </c>
      <c r="C1345" s="125" t="s">
        <v>484</v>
      </c>
      <c r="D1345" s="150" t="s">
        <v>77</v>
      </c>
      <c r="E1345" s="132"/>
      <c r="F1345" s="24"/>
      <c r="G1345" s="346">
        <v>8000001392</v>
      </c>
      <c r="H1345" s="125" t="s">
        <v>5191</v>
      </c>
      <c r="I1345" s="329"/>
      <c r="J1345" s="346">
        <v>8000001392</v>
      </c>
      <c r="K1345" s="24"/>
      <c r="L1345" s="24"/>
      <c r="M1345" s="24"/>
      <c r="N1345" s="340" t="s">
        <v>486</v>
      </c>
      <c r="O1345" s="334">
        <v>206599</v>
      </c>
      <c r="P1345" s="125" t="s">
        <v>339</v>
      </c>
      <c r="Q1345" s="127" t="s">
        <v>210</v>
      </c>
      <c r="R1345" s="232" t="s">
        <v>5192</v>
      </c>
      <c r="S1345" s="89">
        <v>44218</v>
      </c>
      <c r="T1345" s="36">
        <v>120</v>
      </c>
      <c r="U1345" s="125" t="s">
        <v>118</v>
      </c>
      <c r="V1345" s="147" t="s">
        <v>5193</v>
      </c>
      <c r="W1345" s="129"/>
      <c r="X1345" s="88">
        <f>+T1345+BD1345</f>
        <v>44439</v>
      </c>
      <c r="Y1345" s="130" t="s">
        <v>20</v>
      </c>
      <c r="Z1345" s="133" t="s">
        <v>60</v>
      </c>
      <c r="AA1345" s="133"/>
      <c r="AB1345" s="241">
        <v>392.09800000000001</v>
      </c>
      <c r="AC1345" s="134">
        <v>458</v>
      </c>
      <c r="AD1345" s="134"/>
      <c r="AE1345" s="403">
        <f t="shared" si="72"/>
        <v>179580.88400000002</v>
      </c>
      <c r="AF1345" s="132">
        <v>14</v>
      </c>
      <c r="AG1345" s="130" t="s">
        <v>5</v>
      </c>
      <c r="AH1345" s="130"/>
      <c r="AI1345" s="130" t="s">
        <v>100</v>
      </c>
      <c r="AJ1345" s="130"/>
      <c r="AK1345" s="130"/>
      <c r="AL1345" s="135" t="s">
        <v>5156</v>
      </c>
      <c r="AM1345" s="314"/>
      <c r="AN1345" s="26"/>
      <c r="AO1345" s="26"/>
      <c r="AP1345" s="26"/>
      <c r="AQ1345" s="26">
        <v>44370</v>
      </c>
      <c r="AR1345" s="24"/>
      <c r="AS1345" s="24"/>
      <c r="AT1345" s="24">
        <v>44378</v>
      </c>
      <c r="AU1345" s="418">
        <f t="shared" si="73"/>
        <v>7</v>
      </c>
      <c r="AV1345" s="418">
        <f t="shared" si="74"/>
        <v>2021</v>
      </c>
      <c r="AW1345" s="24"/>
      <c r="AX1345" s="24"/>
      <c r="AY1345" s="24" t="s">
        <v>162</v>
      </c>
      <c r="AZ1345" s="24" t="s">
        <v>9</v>
      </c>
      <c r="BA1345" s="24"/>
      <c r="BB1345" s="24" t="s">
        <v>3264</v>
      </c>
      <c r="BC1345" s="135" t="s">
        <v>5194</v>
      </c>
      <c r="BD1345" s="26">
        <v>44319</v>
      </c>
      <c r="BE1345" s="24" t="s">
        <v>756</v>
      </c>
      <c r="BF1345" s="24" t="s">
        <v>5195</v>
      </c>
      <c r="BG1345" s="135" t="s">
        <v>64</v>
      </c>
      <c r="BH1345" s="135"/>
      <c r="BI1345" s="314" t="s">
        <v>124</v>
      </c>
      <c r="BJ1345" s="314" t="s">
        <v>138</v>
      </c>
      <c r="BK1345" s="24"/>
      <c r="BL1345" s="24"/>
      <c r="BM1345" s="24"/>
      <c r="BN1345" s="24"/>
      <c r="BO1345" s="24">
        <v>44389</v>
      </c>
      <c r="BP1345" s="24"/>
      <c r="BQ1345" s="24"/>
      <c r="BR1345" s="24"/>
      <c r="BS1345" s="24"/>
      <c r="BT1345" s="24"/>
      <c r="BU1345" s="24"/>
      <c r="BV1345" s="132" t="e">
        <f>IF(#REF!="COMPLETO","OK","PENDIENTES")</f>
        <v>#REF!</v>
      </c>
      <c r="BW1345" s="132"/>
      <c r="BX1345" s="132"/>
      <c r="BY1345" s="132"/>
      <c r="BZ1345" s="132"/>
      <c r="CA1345" s="132"/>
      <c r="CB1345" s="132"/>
      <c r="CC1345" s="269" t="s">
        <v>5196</v>
      </c>
      <c r="CG1345" s="24" t="s">
        <v>105</v>
      </c>
      <c r="CH1345" s="24"/>
      <c r="CI1345" s="24"/>
      <c r="CJ1345" s="24"/>
    </row>
    <row r="1346" spans="1:88" ht="15" customHeight="1">
      <c r="A1346" s="18">
        <v>2021</v>
      </c>
      <c r="B1346" s="18" t="str">
        <f>+INDEX(BDD!F:F,MATCH(P1346,BDD!D:D,0))&amp;"-"&amp;INDEX(BDD!E:E,MATCH(P1346,BDD!D:D,0))</f>
        <v>S-S</v>
      </c>
      <c r="C1346" s="125" t="s">
        <v>484</v>
      </c>
      <c r="D1346" s="150" t="s">
        <v>77</v>
      </c>
      <c r="E1346" s="132" t="s">
        <v>51</v>
      </c>
      <c r="F1346" s="24"/>
      <c r="G1346" s="346">
        <v>8000001519</v>
      </c>
      <c r="H1346" s="125" t="s">
        <v>5197</v>
      </c>
      <c r="I1346" s="329"/>
      <c r="J1346" s="346">
        <v>8000001519</v>
      </c>
      <c r="K1346" s="24"/>
      <c r="L1346" s="24">
        <v>44449</v>
      </c>
      <c r="M1346" s="24">
        <v>44452</v>
      </c>
      <c r="N1346" s="340" t="s">
        <v>486</v>
      </c>
      <c r="O1346" s="334">
        <v>207579</v>
      </c>
      <c r="P1346" s="125" t="s">
        <v>238</v>
      </c>
      <c r="Q1346" s="127" t="s">
        <v>231</v>
      </c>
      <c r="R1346" s="147" t="s">
        <v>5198</v>
      </c>
      <c r="S1346" s="89">
        <v>44217</v>
      </c>
      <c r="T1346" s="36">
        <v>150</v>
      </c>
      <c r="U1346" s="125" t="s">
        <v>118</v>
      </c>
      <c r="V1346" s="147" t="s">
        <v>5198</v>
      </c>
      <c r="W1346" s="129"/>
      <c r="X1346" s="88">
        <f>+T1346+BD1346</f>
        <v>44538</v>
      </c>
      <c r="Y1346" s="130" t="s">
        <v>20</v>
      </c>
      <c r="Z1346" s="133" t="s">
        <v>60</v>
      </c>
      <c r="AA1346" s="133"/>
      <c r="AB1346" s="241">
        <v>150</v>
      </c>
      <c r="AC1346" s="134">
        <v>268</v>
      </c>
      <c r="AD1346" s="134"/>
      <c r="AE1346" s="403">
        <f t="shared" ref="AE1346:AE1409" si="76">AB1346*AC1346</f>
        <v>40200</v>
      </c>
      <c r="AF1346" s="132"/>
      <c r="AG1346" s="130" t="s">
        <v>58</v>
      </c>
      <c r="AH1346" s="130"/>
      <c r="AI1346" s="130" t="s">
        <v>34</v>
      </c>
      <c r="AJ1346" s="130"/>
      <c r="AK1346" s="130"/>
      <c r="AL1346" s="135" t="s">
        <v>5199</v>
      </c>
      <c r="AM1346" s="314"/>
      <c r="AN1346" s="26"/>
      <c r="AO1346" s="26">
        <v>44397</v>
      </c>
      <c r="AP1346" s="26"/>
      <c r="AQ1346" s="26">
        <v>44427</v>
      </c>
      <c r="AR1346" s="24"/>
      <c r="AS1346" s="24"/>
      <c r="AT1346" s="24">
        <v>44467</v>
      </c>
      <c r="AU1346" s="418">
        <f t="shared" si="73"/>
        <v>9</v>
      </c>
      <c r="AV1346" s="418">
        <f t="shared" si="74"/>
        <v>2021</v>
      </c>
      <c r="AW1346" s="24"/>
      <c r="AX1346" s="24"/>
      <c r="AY1346" s="24" t="s">
        <v>3199</v>
      </c>
      <c r="AZ1346" s="24" t="s">
        <v>37</v>
      </c>
      <c r="BA1346" s="24"/>
      <c r="BB1346" s="24" t="s">
        <v>3291</v>
      </c>
      <c r="BC1346" s="135" t="s">
        <v>5200</v>
      </c>
      <c r="BD1346" s="24">
        <v>44388</v>
      </c>
      <c r="BE1346" s="24" t="s">
        <v>5067</v>
      </c>
      <c r="BF1346" s="24" t="s">
        <v>5067</v>
      </c>
      <c r="BG1346" s="135" t="s">
        <v>52</v>
      </c>
      <c r="BH1346" s="135"/>
      <c r="BI1346" s="314" t="s">
        <v>124</v>
      </c>
      <c r="BJ1346" s="314" t="s">
        <v>143</v>
      </c>
      <c r="BK1346" s="24"/>
      <c r="BL1346" s="24"/>
      <c r="BM1346" s="24"/>
      <c r="BN1346" s="24"/>
      <c r="BO1346" s="24"/>
      <c r="BP1346" s="24"/>
      <c r="BQ1346" s="24"/>
      <c r="BR1346" s="24"/>
      <c r="BS1346" s="24"/>
      <c r="BT1346" s="24"/>
      <c r="BU1346" s="24"/>
      <c r="BV1346" s="132" t="e">
        <f>IF(#REF!="COMPLETO","OK","PENDIENTES")</f>
        <v>#REF!</v>
      </c>
      <c r="BW1346" s="132"/>
      <c r="BX1346" s="132"/>
      <c r="BY1346" s="132"/>
      <c r="BZ1346" s="132"/>
      <c r="CA1346" s="132"/>
      <c r="CB1346" s="132"/>
      <c r="CC1346" s="269"/>
      <c r="CG1346" s="24" t="s">
        <v>105</v>
      </c>
      <c r="CH1346" s="24"/>
      <c r="CI1346" s="24"/>
      <c r="CJ1346" s="24"/>
    </row>
    <row r="1347" spans="1:88" ht="15" customHeight="1">
      <c r="A1347" s="18">
        <v>2021</v>
      </c>
      <c r="B1347" s="18" t="str">
        <f>+INDEX(BDD!F:F,MATCH(P1347,BDD!D:D,0))&amp;"-"&amp;INDEX(BDD!E:E,MATCH(P1347,BDD!D:D,0))</f>
        <v>G-S</v>
      </c>
      <c r="C1347" s="125" t="s">
        <v>484</v>
      </c>
      <c r="D1347" s="150" t="s">
        <v>77</v>
      </c>
      <c r="E1347" s="132"/>
      <c r="F1347" s="24"/>
      <c r="G1347" s="346">
        <v>8000001257</v>
      </c>
      <c r="H1347" s="125" t="s">
        <v>5201</v>
      </c>
      <c r="I1347" s="329"/>
      <c r="J1347" s="346">
        <v>8000001257</v>
      </c>
      <c r="K1347" s="24"/>
      <c r="L1347" s="24"/>
      <c r="M1347" s="24"/>
      <c r="N1347" s="340" t="s">
        <v>486</v>
      </c>
      <c r="O1347" s="334">
        <v>207951</v>
      </c>
      <c r="P1347" s="125" t="s">
        <v>354</v>
      </c>
      <c r="Q1347" s="127" t="s">
        <v>237</v>
      </c>
      <c r="R1347" s="232" t="s">
        <v>5202</v>
      </c>
      <c r="S1347" s="89">
        <v>44217</v>
      </c>
      <c r="T1347" s="36">
        <v>120</v>
      </c>
      <c r="U1347" s="125" t="s">
        <v>118</v>
      </c>
      <c r="V1347" s="147" t="s">
        <v>5203</v>
      </c>
      <c r="W1347" s="129"/>
      <c r="X1347" s="88">
        <f>+BD1347+T1347</f>
        <v>44358</v>
      </c>
      <c r="Y1347" s="130" t="s">
        <v>20</v>
      </c>
      <c r="Z1347" s="133" t="s">
        <v>60</v>
      </c>
      <c r="AA1347" s="133"/>
      <c r="AB1347" s="241">
        <v>600</v>
      </c>
      <c r="AC1347" s="134">
        <v>370.11950000000002</v>
      </c>
      <c r="AD1347" s="134"/>
      <c r="AE1347" s="403">
        <f t="shared" si="76"/>
        <v>222071.7</v>
      </c>
      <c r="AF1347" s="132"/>
      <c r="AG1347" s="130" t="s">
        <v>46</v>
      </c>
      <c r="AH1347" s="130"/>
      <c r="AI1347" s="130" t="s">
        <v>100</v>
      </c>
      <c r="AJ1347" s="130"/>
      <c r="AK1347" s="130"/>
      <c r="AL1347" s="135" t="s">
        <v>4779</v>
      </c>
      <c r="AM1347" s="314"/>
      <c r="AN1347" s="26"/>
      <c r="AO1347" s="26"/>
      <c r="AP1347" s="26"/>
      <c r="AQ1347" s="26">
        <v>44274</v>
      </c>
      <c r="AR1347" s="41"/>
      <c r="AS1347" s="41"/>
      <c r="AT1347" s="24">
        <v>44276</v>
      </c>
      <c r="AU1347" s="418">
        <f t="shared" ref="AU1347:AU1410" si="77">MONTH(AT1347)</f>
        <v>3</v>
      </c>
      <c r="AV1347" s="418">
        <f t="shared" ref="AV1347:AV1410" si="78">YEAR(AT1347)</f>
        <v>2021</v>
      </c>
      <c r="AW1347" s="24"/>
      <c r="AX1347" s="24"/>
      <c r="AY1347" s="24" t="s">
        <v>205</v>
      </c>
      <c r="AZ1347" s="24" t="s">
        <v>9</v>
      </c>
      <c r="BA1347" s="24"/>
      <c r="BB1347" s="24" t="s">
        <v>3264</v>
      </c>
      <c r="BC1347" s="135">
        <v>2</v>
      </c>
      <c r="BD1347" s="24">
        <v>44238</v>
      </c>
      <c r="BE1347" s="24" t="s">
        <v>5204</v>
      </c>
      <c r="BF1347" s="24" t="s">
        <v>5204</v>
      </c>
      <c r="BG1347" s="135" t="s">
        <v>52</v>
      </c>
      <c r="BH1347" s="135"/>
      <c r="BI1347" s="314" t="s">
        <v>117</v>
      </c>
      <c r="BJ1347" s="314" t="s">
        <v>143</v>
      </c>
      <c r="BK1347" s="24"/>
      <c r="BL1347" s="24"/>
      <c r="BM1347" s="24"/>
      <c r="BN1347" s="24"/>
      <c r="BO1347" s="41"/>
      <c r="BP1347" s="41"/>
      <c r="BQ1347" s="41"/>
      <c r="BR1347" s="24"/>
      <c r="BS1347" s="41"/>
      <c r="BT1347" s="41"/>
      <c r="BU1347" s="41"/>
      <c r="BV1347" s="132" t="e">
        <f>IF(#REF!="COMPLETO","OK","PENDIENTES")</f>
        <v>#REF!</v>
      </c>
      <c r="BW1347" s="132"/>
      <c r="BX1347" s="132"/>
      <c r="BY1347" s="132"/>
      <c r="BZ1347" s="132"/>
      <c r="CA1347" s="132"/>
      <c r="CB1347" s="132"/>
      <c r="CC1347" s="269"/>
      <c r="CG1347" s="24" t="s">
        <v>105</v>
      </c>
      <c r="CH1347" s="24"/>
      <c r="CI1347" s="24"/>
      <c r="CJ1347" s="24"/>
    </row>
    <row r="1348" spans="1:88" ht="15" customHeight="1">
      <c r="A1348" s="18">
        <v>2021</v>
      </c>
      <c r="B1348" s="18" t="str">
        <f>+INDEX(BDD!F:F,MATCH(P1348,BDD!D:D,0))&amp;"-"&amp;INDEX(BDD!E:E,MATCH(P1348,BDD!D:D,0))</f>
        <v>G-S</v>
      </c>
      <c r="C1348" s="125" t="s">
        <v>484</v>
      </c>
      <c r="D1348" s="150" t="s">
        <v>77</v>
      </c>
      <c r="E1348" s="132"/>
      <c r="F1348" s="24"/>
      <c r="G1348" s="346">
        <v>8000001254</v>
      </c>
      <c r="H1348" s="125" t="s">
        <v>5205</v>
      </c>
      <c r="I1348" s="329"/>
      <c r="J1348" s="346">
        <v>8000001254</v>
      </c>
      <c r="K1348" s="24"/>
      <c r="L1348" s="24"/>
      <c r="M1348" s="24"/>
      <c r="N1348" s="340" t="s">
        <v>486</v>
      </c>
      <c r="O1348" s="334">
        <v>207951</v>
      </c>
      <c r="P1348" s="125" t="s">
        <v>354</v>
      </c>
      <c r="Q1348" s="127" t="s">
        <v>237</v>
      </c>
      <c r="R1348" s="232" t="s">
        <v>5202</v>
      </c>
      <c r="S1348" s="89">
        <v>44217</v>
      </c>
      <c r="T1348" s="36">
        <v>120</v>
      </c>
      <c r="U1348" s="125" t="s">
        <v>118</v>
      </c>
      <c r="V1348" s="147" t="s">
        <v>5206</v>
      </c>
      <c r="W1348" s="129"/>
      <c r="X1348" s="88">
        <f>+BD1348+T1348</f>
        <v>44358</v>
      </c>
      <c r="Y1348" s="130" t="s">
        <v>20</v>
      </c>
      <c r="Z1348" s="133" t="s">
        <v>60</v>
      </c>
      <c r="AA1348" s="133"/>
      <c r="AB1348" s="241">
        <v>1500</v>
      </c>
      <c r="AC1348" s="134">
        <v>370.11950000000002</v>
      </c>
      <c r="AD1348" s="134"/>
      <c r="AE1348" s="403">
        <f t="shared" si="76"/>
        <v>555179.25</v>
      </c>
      <c r="AF1348" s="132"/>
      <c r="AG1348" s="130" t="s">
        <v>46</v>
      </c>
      <c r="AH1348" s="130"/>
      <c r="AI1348" s="130" t="s">
        <v>100</v>
      </c>
      <c r="AJ1348" s="130"/>
      <c r="AK1348" s="130"/>
      <c r="AL1348" s="135" t="s">
        <v>4779</v>
      </c>
      <c r="AM1348" s="314"/>
      <c r="AN1348" s="26"/>
      <c r="AO1348" s="26"/>
      <c r="AP1348" s="26"/>
      <c r="AQ1348" s="26">
        <f>+AQ1347+2</f>
        <v>44276</v>
      </c>
      <c r="AR1348" s="41"/>
      <c r="AS1348" s="41"/>
      <c r="AT1348" s="24">
        <v>44278</v>
      </c>
      <c r="AU1348" s="418">
        <f t="shared" si="77"/>
        <v>3</v>
      </c>
      <c r="AV1348" s="418">
        <f t="shared" si="78"/>
        <v>2021</v>
      </c>
      <c r="AW1348" s="24"/>
      <c r="AX1348" s="24"/>
      <c r="AY1348" s="24" t="s">
        <v>205</v>
      </c>
      <c r="AZ1348" s="24" t="s">
        <v>25</v>
      </c>
      <c r="BA1348" s="24"/>
      <c r="BB1348" s="24" t="s">
        <v>3264</v>
      </c>
      <c r="BC1348" s="135" t="s">
        <v>5207</v>
      </c>
      <c r="BD1348" s="24">
        <v>44238</v>
      </c>
      <c r="BE1348" s="24" t="s">
        <v>5204</v>
      </c>
      <c r="BF1348" s="24" t="s">
        <v>5204</v>
      </c>
      <c r="BG1348" s="135" t="s">
        <v>52</v>
      </c>
      <c r="BH1348" s="135"/>
      <c r="BI1348" s="314" t="s">
        <v>117</v>
      </c>
      <c r="BJ1348" s="314" t="s">
        <v>143</v>
      </c>
      <c r="BK1348" s="24"/>
      <c r="BL1348" s="24"/>
      <c r="BM1348" s="24"/>
      <c r="BN1348" s="24"/>
      <c r="BO1348" s="41"/>
      <c r="BP1348" s="41"/>
      <c r="BQ1348" s="41"/>
      <c r="BR1348" s="24"/>
      <c r="BS1348" s="41"/>
      <c r="BT1348" s="41"/>
      <c r="BU1348" s="41"/>
      <c r="BV1348" s="132" t="e">
        <f>IF(#REF!="COMPLETO","OK","PENDIENTES")</f>
        <v>#REF!</v>
      </c>
      <c r="BW1348" s="132"/>
      <c r="BX1348" s="132"/>
      <c r="BY1348" s="132"/>
      <c r="BZ1348" s="132"/>
      <c r="CA1348" s="132"/>
      <c r="CB1348" s="132"/>
      <c r="CC1348" s="269" t="s">
        <v>5208</v>
      </c>
      <c r="CG1348" s="24" t="s">
        <v>105</v>
      </c>
      <c r="CH1348" s="24"/>
      <c r="CI1348" s="24"/>
      <c r="CJ1348" s="24"/>
    </row>
    <row r="1349" spans="1:88" ht="15" customHeight="1">
      <c r="A1349" s="18">
        <v>2021</v>
      </c>
      <c r="B1349" s="18" t="str">
        <f>+INDEX(BDD!F:F,MATCH(P1349,BDD!D:D,0))&amp;"-"&amp;INDEX(BDD!E:E,MATCH(P1349,BDD!D:D,0))</f>
        <v>G-S</v>
      </c>
      <c r="C1349" s="125" t="s">
        <v>484</v>
      </c>
      <c r="D1349" s="150" t="s">
        <v>77</v>
      </c>
      <c r="E1349" s="132"/>
      <c r="F1349" s="24"/>
      <c r="G1349" s="346">
        <v>8000001266</v>
      </c>
      <c r="H1349" s="125" t="s">
        <v>5209</v>
      </c>
      <c r="I1349" s="329"/>
      <c r="J1349" s="346">
        <v>8000001266</v>
      </c>
      <c r="K1349" s="24"/>
      <c r="L1349" s="24"/>
      <c r="M1349" s="24"/>
      <c r="N1349" s="340" t="s">
        <v>486</v>
      </c>
      <c r="O1349" s="334">
        <v>207951</v>
      </c>
      <c r="P1349" s="125" t="s">
        <v>354</v>
      </c>
      <c r="Q1349" s="127" t="s">
        <v>237</v>
      </c>
      <c r="R1349" s="232" t="s">
        <v>5202</v>
      </c>
      <c r="S1349" s="89">
        <v>44217</v>
      </c>
      <c r="T1349" s="36">
        <v>120</v>
      </c>
      <c r="U1349" s="125" t="s">
        <v>118</v>
      </c>
      <c r="V1349" s="147" t="s">
        <v>5210</v>
      </c>
      <c r="W1349" s="129"/>
      <c r="X1349" s="88">
        <f>+BD1349+T1349</f>
        <v>44358</v>
      </c>
      <c r="Y1349" s="130" t="s">
        <v>20</v>
      </c>
      <c r="Z1349" s="133" t="s">
        <v>60</v>
      </c>
      <c r="AA1349" s="133"/>
      <c r="AB1349" s="241">
        <v>2750</v>
      </c>
      <c r="AC1349" s="134">
        <v>370.11950000000002</v>
      </c>
      <c r="AD1349" s="134"/>
      <c r="AE1349" s="403">
        <f t="shared" si="76"/>
        <v>1017828.625</v>
      </c>
      <c r="AF1349" s="132"/>
      <c r="AG1349" s="130" t="s">
        <v>46</v>
      </c>
      <c r="AH1349" s="130"/>
      <c r="AI1349" s="130" t="s">
        <v>100</v>
      </c>
      <c r="AJ1349" s="130"/>
      <c r="AK1349" s="130"/>
      <c r="AL1349" s="135" t="s">
        <v>4779</v>
      </c>
      <c r="AM1349" s="314"/>
      <c r="AN1349" s="26"/>
      <c r="AO1349" s="26"/>
      <c r="AP1349" s="26"/>
      <c r="AQ1349" s="26">
        <v>44279</v>
      </c>
      <c r="AR1349" s="41"/>
      <c r="AS1349" s="41"/>
      <c r="AT1349" s="24">
        <v>44280</v>
      </c>
      <c r="AU1349" s="418">
        <f t="shared" si="77"/>
        <v>3</v>
      </c>
      <c r="AV1349" s="418">
        <f t="shared" si="78"/>
        <v>2021</v>
      </c>
      <c r="AW1349" s="24"/>
      <c r="AX1349" s="24"/>
      <c r="AY1349" s="24" t="s">
        <v>205</v>
      </c>
      <c r="AZ1349" s="24" t="s">
        <v>37</v>
      </c>
      <c r="BA1349" s="24"/>
      <c r="BB1349" s="24" t="s">
        <v>3593</v>
      </c>
      <c r="BC1349" s="135" t="s">
        <v>5211</v>
      </c>
      <c r="BD1349" s="24">
        <v>44238</v>
      </c>
      <c r="BE1349" s="24" t="s">
        <v>5204</v>
      </c>
      <c r="BF1349" s="24" t="s">
        <v>5204</v>
      </c>
      <c r="BG1349" s="135" t="s">
        <v>52</v>
      </c>
      <c r="BH1349" s="135"/>
      <c r="BI1349" s="314" t="s">
        <v>117</v>
      </c>
      <c r="BJ1349" s="314" t="s">
        <v>143</v>
      </c>
      <c r="BK1349" s="24"/>
      <c r="BL1349" s="24"/>
      <c r="BM1349" s="24"/>
      <c r="BN1349" s="24"/>
      <c r="BO1349" s="41"/>
      <c r="BP1349" s="41"/>
      <c r="BQ1349" s="41"/>
      <c r="BR1349" s="24"/>
      <c r="BS1349" s="41"/>
      <c r="BT1349" s="41"/>
      <c r="BU1349" s="41"/>
      <c r="BV1349" s="132" t="e">
        <f>IF(#REF!="COMPLETO","OK","PENDIENTES")</f>
        <v>#REF!</v>
      </c>
      <c r="BW1349" s="132"/>
      <c r="BX1349" s="132"/>
      <c r="BY1349" s="132"/>
      <c r="BZ1349" s="132"/>
      <c r="CA1349" s="132"/>
      <c r="CB1349" s="132"/>
      <c r="CC1349" s="269"/>
      <c r="CG1349" s="24" t="s">
        <v>105</v>
      </c>
      <c r="CH1349" s="24"/>
      <c r="CI1349" s="24"/>
      <c r="CJ1349" s="24"/>
    </row>
    <row r="1350" spans="1:88" ht="15" customHeight="1">
      <c r="A1350" s="18">
        <v>2021</v>
      </c>
      <c r="B1350" s="18" t="str">
        <f>+INDEX(BDD!F:F,MATCH(P1350,BDD!D:D,0))&amp;"-"&amp;INDEX(BDD!E:E,MATCH(P1350,BDD!D:D,0))</f>
        <v>G-S</v>
      </c>
      <c r="C1350" s="125" t="s">
        <v>484</v>
      </c>
      <c r="D1350" s="150" t="s">
        <v>77</v>
      </c>
      <c r="E1350" s="132"/>
      <c r="F1350" s="24"/>
      <c r="G1350" s="346">
        <v>8000001268</v>
      </c>
      <c r="H1350" s="125" t="s">
        <v>5212</v>
      </c>
      <c r="I1350" s="329"/>
      <c r="J1350" s="346">
        <v>8000001268</v>
      </c>
      <c r="K1350" s="24"/>
      <c r="L1350" s="24"/>
      <c r="M1350" s="24"/>
      <c r="N1350" s="340" t="s">
        <v>486</v>
      </c>
      <c r="O1350" s="334">
        <v>207951</v>
      </c>
      <c r="P1350" s="125" t="s">
        <v>354</v>
      </c>
      <c r="Q1350" s="127" t="s">
        <v>237</v>
      </c>
      <c r="R1350" s="232" t="s">
        <v>5202</v>
      </c>
      <c r="S1350" s="89">
        <v>44217</v>
      </c>
      <c r="T1350" s="36">
        <v>120</v>
      </c>
      <c r="U1350" s="125" t="s">
        <v>118</v>
      </c>
      <c r="V1350" s="147" t="s">
        <v>5213</v>
      </c>
      <c r="W1350" s="129"/>
      <c r="X1350" s="88">
        <f>+BD1350+T1350</f>
        <v>44358</v>
      </c>
      <c r="Y1350" s="130" t="s">
        <v>20</v>
      </c>
      <c r="Z1350" s="133" t="s">
        <v>60</v>
      </c>
      <c r="AA1350" s="133"/>
      <c r="AB1350" s="241">
        <v>2150</v>
      </c>
      <c r="AC1350" s="134">
        <v>370.11950000000002</v>
      </c>
      <c r="AD1350" s="134"/>
      <c r="AE1350" s="403">
        <f t="shared" si="76"/>
        <v>795756.92500000005</v>
      </c>
      <c r="AF1350" s="132"/>
      <c r="AG1350" s="130" t="s">
        <v>46</v>
      </c>
      <c r="AH1350" s="130"/>
      <c r="AI1350" s="130" t="s">
        <v>100</v>
      </c>
      <c r="AJ1350" s="130"/>
      <c r="AK1350" s="130"/>
      <c r="AL1350" s="135" t="s">
        <v>4779</v>
      </c>
      <c r="AM1350" s="314"/>
      <c r="AN1350" s="26"/>
      <c r="AO1350" s="26"/>
      <c r="AP1350" s="26"/>
      <c r="AQ1350" s="26">
        <v>44282</v>
      </c>
      <c r="AR1350" s="41"/>
      <c r="AS1350" s="41"/>
      <c r="AT1350" s="24">
        <v>44283</v>
      </c>
      <c r="AU1350" s="418">
        <f t="shared" si="77"/>
        <v>3</v>
      </c>
      <c r="AV1350" s="418">
        <f t="shared" si="78"/>
        <v>2021</v>
      </c>
      <c r="AW1350" s="24"/>
      <c r="AX1350" s="24"/>
      <c r="AY1350" s="24" t="s">
        <v>205</v>
      </c>
      <c r="AZ1350" s="24" t="s">
        <v>62</v>
      </c>
      <c r="BA1350" s="24"/>
      <c r="BB1350" s="24" t="s">
        <v>3264</v>
      </c>
      <c r="BC1350" s="135" t="s">
        <v>5214</v>
      </c>
      <c r="BD1350" s="24">
        <v>44238</v>
      </c>
      <c r="BE1350" s="24" t="s">
        <v>5204</v>
      </c>
      <c r="BF1350" s="24" t="s">
        <v>5204</v>
      </c>
      <c r="BG1350" s="135" t="s">
        <v>52</v>
      </c>
      <c r="BH1350" s="135"/>
      <c r="BI1350" s="314" t="s">
        <v>117</v>
      </c>
      <c r="BJ1350" s="314" t="s">
        <v>143</v>
      </c>
      <c r="BK1350" s="24"/>
      <c r="BL1350" s="24"/>
      <c r="BM1350" s="24"/>
      <c r="BN1350" s="24"/>
      <c r="BO1350" s="41"/>
      <c r="BP1350" s="41"/>
      <c r="BQ1350" s="41"/>
      <c r="BR1350" s="24"/>
      <c r="BS1350" s="41"/>
      <c r="BT1350" s="41"/>
      <c r="BU1350" s="41"/>
      <c r="BV1350" s="132" t="e">
        <f>IF(#REF!="COMPLETO","OK","PENDIENTES")</f>
        <v>#REF!</v>
      </c>
      <c r="BW1350" s="132"/>
      <c r="BX1350" s="132"/>
      <c r="BY1350" s="132"/>
      <c r="BZ1350" s="132"/>
      <c r="CA1350" s="132"/>
      <c r="CB1350" s="132"/>
      <c r="CC1350" s="269"/>
      <c r="CG1350" s="24" t="s">
        <v>105</v>
      </c>
      <c r="CH1350" s="24"/>
      <c r="CI1350" s="24"/>
      <c r="CJ1350" s="24"/>
    </row>
    <row r="1351" spans="1:88" ht="15" customHeight="1">
      <c r="A1351" s="18">
        <v>2021</v>
      </c>
      <c r="B1351" s="18" t="str">
        <f>+INDEX(BDD!F:F,MATCH(P1351,BDD!D:D,0))&amp;"-"&amp;INDEX(BDD!E:E,MATCH(P1351,BDD!D:D,0))</f>
        <v>G-S</v>
      </c>
      <c r="C1351" s="125" t="s">
        <v>484</v>
      </c>
      <c r="D1351" s="150" t="s">
        <v>77</v>
      </c>
      <c r="E1351" s="132"/>
      <c r="F1351" s="24"/>
      <c r="G1351" s="346">
        <v>8000001312</v>
      </c>
      <c r="H1351" s="125" t="s">
        <v>5215</v>
      </c>
      <c r="I1351" s="329"/>
      <c r="J1351" s="346">
        <v>8000001312</v>
      </c>
      <c r="K1351" s="24"/>
      <c r="L1351" s="24"/>
      <c r="M1351" s="24"/>
      <c r="N1351" s="340" t="s">
        <v>486</v>
      </c>
      <c r="O1351" s="334">
        <v>203616</v>
      </c>
      <c r="P1351" s="125" t="s">
        <v>357</v>
      </c>
      <c r="Q1351" s="127" t="s">
        <v>273</v>
      </c>
      <c r="R1351" s="232" t="s">
        <v>5216</v>
      </c>
      <c r="S1351" s="89">
        <v>44256</v>
      </c>
      <c r="T1351" s="36" t="s">
        <v>19</v>
      </c>
      <c r="U1351" s="125"/>
      <c r="V1351" s="147" t="s">
        <v>5217</v>
      </c>
      <c r="W1351" s="129"/>
      <c r="X1351" s="88">
        <v>44309</v>
      </c>
      <c r="Y1351" s="130" t="s">
        <v>20</v>
      </c>
      <c r="Z1351" s="133" t="s">
        <v>60</v>
      </c>
      <c r="AA1351" s="133"/>
      <c r="AB1351" s="241">
        <v>2000</v>
      </c>
      <c r="AC1351" s="134">
        <v>159.5</v>
      </c>
      <c r="AD1351" s="134"/>
      <c r="AE1351" s="403">
        <f t="shared" si="76"/>
        <v>319000</v>
      </c>
      <c r="AF1351" s="132"/>
      <c r="AG1351" s="130" t="s">
        <v>46</v>
      </c>
      <c r="AH1351" s="130"/>
      <c r="AI1351" s="130" t="s">
        <v>100</v>
      </c>
      <c r="AJ1351" s="130"/>
      <c r="AK1351" s="130"/>
      <c r="AL1351" s="135" t="s">
        <v>5076</v>
      </c>
      <c r="AM1351" s="314"/>
      <c r="AN1351" s="26"/>
      <c r="AO1351" s="26"/>
      <c r="AP1351" s="26"/>
      <c r="AQ1351" s="26">
        <v>44331</v>
      </c>
      <c r="AR1351" s="24"/>
      <c r="AS1351" s="24"/>
      <c r="AT1351" s="24">
        <v>44342</v>
      </c>
      <c r="AU1351" s="418">
        <f t="shared" si="77"/>
        <v>5</v>
      </c>
      <c r="AV1351" s="418">
        <f t="shared" si="78"/>
        <v>2021</v>
      </c>
      <c r="AW1351" s="24"/>
      <c r="AX1351" s="24"/>
      <c r="AY1351" s="24" t="s">
        <v>230</v>
      </c>
      <c r="AZ1351" s="24" t="s">
        <v>9</v>
      </c>
      <c r="BA1351" s="24"/>
      <c r="BB1351" s="24" t="s">
        <v>2956</v>
      </c>
      <c r="BC1351" s="135" t="s">
        <v>5218</v>
      </c>
      <c r="BD1351" s="24">
        <v>44293</v>
      </c>
      <c r="BE1351" s="24" t="s">
        <v>5219</v>
      </c>
      <c r="BF1351" s="24" t="s">
        <v>5219</v>
      </c>
      <c r="BG1351" s="135" t="s">
        <v>52</v>
      </c>
      <c r="BH1351" s="135"/>
      <c r="BI1351" s="314" t="s">
        <v>117</v>
      </c>
      <c r="BJ1351" s="314" t="s">
        <v>143</v>
      </c>
      <c r="BK1351" s="24"/>
      <c r="BL1351" s="24"/>
      <c r="BM1351" s="24"/>
      <c r="BN1351" s="24"/>
      <c r="BO1351" s="24"/>
      <c r="BP1351" s="24"/>
      <c r="BQ1351" s="24"/>
      <c r="BR1351" s="24"/>
      <c r="BS1351" s="24"/>
      <c r="BT1351" s="24"/>
      <c r="BU1351" s="24"/>
      <c r="BV1351" s="132" t="e">
        <f>IF(#REF!="COMPLETO","OK","PENDIENTES")</f>
        <v>#REF!</v>
      </c>
      <c r="BW1351" s="132"/>
      <c r="BX1351" s="132"/>
      <c r="BY1351" s="132"/>
      <c r="BZ1351" s="132"/>
      <c r="CA1351" s="132"/>
      <c r="CB1351" s="132"/>
      <c r="CC1351" s="269"/>
      <c r="CG1351" s="24" t="s">
        <v>105</v>
      </c>
      <c r="CH1351" s="24"/>
      <c r="CI1351" s="24"/>
      <c r="CJ1351" s="24"/>
    </row>
    <row r="1352" spans="1:88" ht="15" customHeight="1">
      <c r="A1352" s="18">
        <v>2021</v>
      </c>
      <c r="B1352" s="18" t="str">
        <f>+INDEX(BDD!F:F,MATCH(P1352,BDD!D:D,0))&amp;"-"&amp;INDEX(BDD!E:E,MATCH(P1352,BDD!D:D,0))</f>
        <v>G-S</v>
      </c>
      <c r="C1352" s="125" t="s">
        <v>484</v>
      </c>
      <c r="D1352" s="150" t="s">
        <v>77</v>
      </c>
      <c r="E1352" s="132"/>
      <c r="F1352" s="24"/>
      <c r="G1352" s="346">
        <v>8000001320</v>
      </c>
      <c r="H1352" s="125" t="s">
        <v>5220</v>
      </c>
      <c r="I1352" s="329"/>
      <c r="J1352" s="346">
        <v>8000001320</v>
      </c>
      <c r="K1352" s="24"/>
      <c r="L1352" s="24"/>
      <c r="M1352" s="24"/>
      <c r="N1352" s="340" t="s">
        <v>486</v>
      </c>
      <c r="O1352" s="334">
        <v>203616</v>
      </c>
      <c r="P1352" s="125" t="s">
        <v>357</v>
      </c>
      <c r="Q1352" s="127" t="s">
        <v>273</v>
      </c>
      <c r="R1352" s="232" t="s">
        <v>5216</v>
      </c>
      <c r="S1352" s="89">
        <v>44256</v>
      </c>
      <c r="T1352" s="36" t="s">
        <v>19</v>
      </c>
      <c r="U1352" s="125"/>
      <c r="V1352" s="147" t="s">
        <v>5221</v>
      </c>
      <c r="W1352" s="129"/>
      <c r="X1352" s="88">
        <v>44309</v>
      </c>
      <c r="Y1352" s="130" t="s">
        <v>20</v>
      </c>
      <c r="Z1352" s="133" t="s">
        <v>60</v>
      </c>
      <c r="AA1352" s="133"/>
      <c r="AB1352" s="241">
        <v>1720</v>
      </c>
      <c r="AC1352" s="134">
        <v>159.5</v>
      </c>
      <c r="AD1352" s="134"/>
      <c r="AE1352" s="403">
        <f t="shared" si="76"/>
        <v>274340</v>
      </c>
      <c r="AF1352" s="132"/>
      <c r="AG1352" s="130" t="s">
        <v>46</v>
      </c>
      <c r="AH1352" s="130"/>
      <c r="AI1352" s="130" t="s">
        <v>100</v>
      </c>
      <c r="AJ1352" s="130"/>
      <c r="AK1352" s="130"/>
      <c r="AL1352" s="135" t="s">
        <v>5076</v>
      </c>
      <c r="AM1352" s="314"/>
      <c r="AN1352" s="26"/>
      <c r="AO1352" s="26"/>
      <c r="AP1352" s="26"/>
      <c r="AQ1352" s="26">
        <v>44343</v>
      </c>
      <c r="AR1352" s="24"/>
      <c r="AS1352" s="24"/>
      <c r="AT1352" s="24">
        <v>44345</v>
      </c>
      <c r="AU1352" s="418">
        <f t="shared" si="77"/>
        <v>5</v>
      </c>
      <c r="AV1352" s="418">
        <f t="shared" si="78"/>
        <v>2021</v>
      </c>
      <c r="AW1352" s="24"/>
      <c r="AX1352" s="24"/>
      <c r="AY1352" s="24" t="s">
        <v>3437</v>
      </c>
      <c r="AZ1352" s="24" t="s">
        <v>25</v>
      </c>
      <c r="BA1352" s="24"/>
      <c r="BB1352" s="24" t="s">
        <v>3264</v>
      </c>
      <c r="BC1352" s="135" t="s">
        <v>5222</v>
      </c>
      <c r="BD1352" s="24">
        <v>44293</v>
      </c>
      <c r="BE1352" s="24" t="s">
        <v>5219</v>
      </c>
      <c r="BF1352" s="24" t="s">
        <v>5219</v>
      </c>
      <c r="BG1352" s="135" t="s">
        <v>52</v>
      </c>
      <c r="BH1352" s="135"/>
      <c r="BI1352" s="314" t="s">
        <v>117</v>
      </c>
      <c r="BJ1352" s="314" t="s">
        <v>143</v>
      </c>
      <c r="BK1352" s="24"/>
      <c r="BL1352" s="24"/>
      <c r="BM1352" s="24"/>
      <c r="BN1352" s="24"/>
      <c r="BO1352" s="24"/>
      <c r="BP1352" s="24"/>
      <c r="BQ1352" s="24"/>
      <c r="BR1352" s="24"/>
      <c r="BS1352" s="24"/>
      <c r="BT1352" s="24"/>
      <c r="BU1352" s="24"/>
      <c r="BV1352" s="132" t="e">
        <f>IF(#REF!="COMPLETO","OK","PENDIENTES")</f>
        <v>#REF!</v>
      </c>
      <c r="BW1352" s="132"/>
      <c r="BX1352" s="132"/>
      <c r="BY1352" s="132"/>
      <c r="BZ1352" s="132"/>
      <c r="CA1352" s="132"/>
      <c r="CB1352" s="132"/>
      <c r="CC1352" s="269"/>
      <c r="CG1352" s="24" t="s">
        <v>105</v>
      </c>
      <c r="CH1352" s="24"/>
      <c r="CI1352" s="24"/>
      <c r="CJ1352" s="24"/>
    </row>
    <row r="1353" spans="1:88" ht="15" customHeight="1">
      <c r="A1353" s="18">
        <v>2021</v>
      </c>
      <c r="B1353" s="18" t="str">
        <f>+INDEX(BDD!F:F,MATCH(P1353,BDD!D:D,0))&amp;"-"&amp;INDEX(BDD!E:E,MATCH(P1353,BDD!D:D,0))</f>
        <v>G-S</v>
      </c>
      <c r="C1353" s="125" t="s">
        <v>484</v>
      </c>
      <c r="D1353" s="150" t="s">
        <v>77</v>
      </c>
      <c r="E1353" s="132"/>
      <c r="F1353" s="24"/>
      <c r="G1353" s="346">
        <v>8000001339</v>
      </c>
      <c r="H1353" s="125" t="s">
        <v>5223</v>
      </c>
      <c r="I1353" s="329"/>
      <c r="J1353" s="346">
        <v>8000001339</v>
      </c>
      <c r="K1353" s="24"/>
      <c r="L1353" s="24"/>
      <c r="M1353" s="24"/>
      <c r="N1353" s="340" t="s">
        <v>486</v>
      </c>
      <c r="O1353" s="334">
        <v>203616</v>
      </c>
      <c r="P1353" s="125" t="s">
        <v>357</v>
      </c>
      <c r="Q1353" s="127" t="s">
        <v>273</v>
      </c>
      <c r="R1353" s="232" t="s">
        <v>5216</v>
      </c>
      <c r="S1353" s="89">
        <v>44256</v>
      </c>
      <c r="T1353" s="36" t="s">
        <v>19</v>
      </c>
      <c r="U1353" s="125"/>
      <c r="V1353" s="147" t="s">
        <v>5224</v>
      </c>
      <c r="W1353" s="129"/>
      <c r="X1353" s="88">
        <v>44309</v>
      </c>
      <c r="Y1353" s="130" t="s">
        <v>20</v>
      </c>
      <c r="Z1353" s="133" t="s">
        <v>60</v>
      </c>
      <c r="AA1353" s="133"/>
      <c r="AB1353" s="241">
        <v>330</v>
      </c>
      <c r="AC1353" s="134">
        <v>159.5</v>
      </c>
      <c r="AD1353" s="134"/>
      <c r="AE1353" s="403">
        <f t="shared" si="76"/>
        <v>52635</v>
      </c>
      <c r="AF1353" s="132"/>
      <c r="AG1353" s="130" t="s">
        <v>46</v>
      </c>
      <c r="AH1353" s="130"/>
      <c r="AI1353" s="130" t="s">
        <v>100</v>
      </c>
      <c r="AJ1353" s="130"/>
      <c r="AK1353" s="130"/>
      <c r="AL1353" s="135" t="s">
        <v>5076</v>
      </c>
      <c r="AM1353" s="314"/>
      <c r="AN1353" s="26"/>
      <c r="AO1353" s="26"/>
      <c r="AP1353" s="26"/>
      <c r="AQ1353" s="26">
        <v>44356</v>
      </c>
      <c r="AR1353" s="24"/>
      <c r="AS1353" s="24"/>
      <c r="AT1353" s="24">
        <v>44363</v>
      </c>
      <c r="AU1353" s="418">
        <f t="shared" si="77"/>
        <v>6</v>
      </c>
      <c r="AV1353" s="418">
        <f t="shared" si="78"/>
        <v>2021</v>
      </c>
      <c r="AW1353" s="24"/>
      <c r="AX1353" s="24"/>
      <c r="AY1353" s="24" t="s">
        <v>3437</v>
      </c>
      <c r="AZ1353" s="24" t="s">
        <v>37</v>
      </c>
      <c r="BA1353" s="24"/>
      <c r="BB1353" s="24" t="s">
        <v>2956</v>
      </c>
      <c r="BC1353" s="135" t="s">
        <v>5225</v>
      </c>
      <c r="BD1353" s="24">
        <v>44293</v>
      </c>
      <c r="BE1353" s="24" t="s">
        <v>5219</v>
      </c>
      <c r="BF1353" s="24" t="s">
        <v>5219</v>
      </c>
      <c r="BG1353" s="135" t="s">
        <v>52</v>
      </c>
      <c r="BH1353" s="135"/>
      <c r="BI1353" s="314" t="s">
        <v>117</v>
      </c>
      <c r="BJ1353" s="314" t="s">
        <v>143</v>
      </c>
      <c r="BK1353" s="24"/>
      <c r="BL1353" s="24"/>
      <c r="BM1353" s="24"/>
      <c r="BN1353" s="24"/>
      <c r="BO1353" s="24"/>
      <c r="BP1353" s="24"/>
      <c r="BQ1353" s="24"/>
      <c r="BR1353" s="24"/>
      <c r="BS1353" s="24"/>
      <c r="BT1353" s="24"/>
      <c r="BU1353" s="24"/>
      <c r="BV1353" s="132" t="e">
        <f>IF(#REF!="COMPLETO","OK","PENDIENTES")</f>
        <v>#REF!</v>
      </c>
      <c r="BW1353" s="132"/>
      <c r="BX1353" s="132"/>
      <c r="BY1353" s="132"/>
      <c r="BZ1353" s="132"/>
      <c r="CA1353" s="132"/>
      <c r="CB1353" s="132"/>
      <c r="CC1353" s="269"/>
      <c r="CG1353" s="24" t="s">
        <v>105</v>
      </c>
      <c r="CH1353" s="24"/>
      <c r="CI1353" s="24"/>
      <c r="CJ1353" s="24"/>
    </row>
    <row r="1354" spans="1:88" ht="15" customHeight="1">
      <c r="A1354" s="18">
        <v>2021</v>
      </c>
      <c r="B1354" s="18" t="str">
        <f>+INDEX(BDD!F:F,MATCH(P1354,BDD!D:D,0))&amp;"-"&amp;INDEX(BDD!E:E,MATCH(P1354,BDD!D:D,0))</f>
        <v>G-S</v>
      </c>
      <c r="C1354" s="125" t="s">
        <v>484</v>
      </c>
      <c r="D1354" s="150" t="s">
        <v>77</v>
      </c>
      <c r="E1354" s="132"/>
      <c r="F1354" s="24"/>
      <c r="G1354" s="346">
        <v>8000001343</v>
      </c>
      <c r="H1354" s="125" t="s">
        <v>5226</v>
      </c>
      <c r="I1354" s="329"/>
      <c r="J1354" s="346">
        <v>8000001343</v>
      </c>
      <c r="K1354" s="24"/>
      <c r="L1354" s="24"/>
      <c r="M1354" s="24"/>
      <c r="N1354" s="340" t="s">
        <v>486</v>
      </c>
      <c r="O1354" s="334">
        <v>203616</v>
      </c>
      <c r="P1354" s="125" t="s">
        <v>357</v>
      </c>
      <c r="Q1354" s="127" t="s">
        <v>273</v>
      </c>
      <c r="R1354" s="232" t="s">
        <v>5216</v>
      </c>
      <c r="S1354" s="89">
        <v>44256</v>
      </c>
      <c r="T1354" s="36" t="s">
        <v>19</v>
      </c>
      <c r="U1354" s="125"/>
      <c r="V1354" s="147" t="s">
        <v>5227</v>
      </c>
      <c r="W1354" s="129"/>
      <c r="X1354" s="88">
        <v>44309</v>
      </c>
      <c r="Y1354" s="130" t="s">
        <v>20</v>
      </c>
      <c r="Z1354" s="133" t="s">
        <v>60</v>
      </c>
      <c r="AA1354" s="133"/>
      <c r="AB1354" s="241">
        <v>150</v>
      </c>
      <c r="AC1354" s="134">
        <v>159.5</v>
      </c>
      <c r="AD1354" s="134"/>
      <c r="AE1354" s="403">
        <f t="shared" si="76"/>
        <v>23925</v>
      </c>
      <c r="AF1354" s="132"/>
      <c r="AG1354" s="130" t="s">
        <v>46</v>
      </c>
      <c r="AH1354" s="130"/>
      <c r="AI1354" s="130" t="s">
        <v>100</v>
      </c>
      <c r="AJ1354" s="130"/>
      <c r="AK1354" s="130"/>
      <c r="AL1354" s="135" t="s">
        <v>5076</v>
      </c>
      <c r="AM1354" s="314"/>
      <c r="AN1354" s="26"/>
      <c r="AO1354" s="26"/>
      <c r="AP1354" s="26"/>
      <c r="AQ1354" s="26">
        <v>44352</v>
      </c>
      <c r="AR1354" s="24"/>
      <c r="AS1354" s="24"/>
      <c r="AT1354" s="24">
        <v>44352</v>
      </c>
      <c r="AU1354" s="418">
        <f t="shared" si="77"/>
        <v>6</v>
      </c>
      <c r="AV1354" s="418">
        <f t="shared" si="78"/>
        <v>2021</v>
      </c>
      <c r="AW1354" s="24"/>
      <c r="AX1354" s="24"/>
      <c r="AY1354" s="24" t="s">
        <v>3437</v>
      </c>
      <c r="AZ1354" s="24" t="s">
        <v>50</v>
      </c>
      <c r="BA1354" s="24"/>
      <c r="BB1354" s="24" t="s">
        <v>2956</v>
      </c>
      <c r="BC1354" s="135" t="s">
        <v>5228</v>
      </c>
      <c r="BD1354" s="24">
        <v>44293</v>
      </c>
      <c r="BE1354" s="24" t="s">
        <v>5219</v>
      </c>
      <c r="BF1354" s="24" t="s">
        <v>5219</v>
      </c>
      <c r="BG1354" s="135" t="s">
        <v>52</v>
      </c>
      <c r="BH1354" s="135"/>
      <c r="BI1354" s="314" t="s">
        <v>117</v>
      </c>
      <c r="BJ1354" s="314" t="s">
        <v>143</v>
      </c>
      <c r="BK1354" s="24"/>
      <c r="BL1354" s="24"/>
      <c r="BM1354" s="24"/>
      <c r="BN1354" s="24"/>
      <c r="BO1354" s="24"/>
      <c r="BP1354" s="24"/>
      <c r="BQ1354" s="24"/>
      <c r="BR1354" s="24"/>
      <c r="BS1354" s="24"/>
      <c r="BT1354" s="24"/>
      <c r="BU1354" s="24"/>
      <c r="BV1354" s="132" t="e">
        <f>IF(#REF!="COMPLETO","OK","PENDIENTES")</f>
        <v>#REF!</v>
      </c>
      <c r="BW1354" s="132"/>
      <c r="BX1354" s="132"/>
      <c r="BY1354" s="132"/>
      <c r="BZ1354" s="132"/>
      <c r="CA1354" s="132"/>
      <c r="CB1354" s="132"/>
      <c r="CC1354" s="269"/>
      <c r="CG1354" s="24" t="s">
        <v>105</v>
      </c>
      <c r="CH1354" s="24"/>
      <c r="CI1354" s="24"/>
      <c r="CJ1354" s="24"/>
    </row>
    <row r="1355" spans="1:88" ht="15" customHeight="1">
      <c r="A1355" s="18">
        <v>2021</v>
      </c>
      <c r="B1355" s="18" t="str">
        <f>+INDEX(BDD!F:F,MATCH(P1355,BDD!D:D,0))&amp;"-"&amp;INDEX(BDD!E:E,MATCH(P1355,BDD!D:D,0))</f>
        <v>G-S</v>
      </c>
      <c r="C1355" s="125" t="s">
        <v>484</v>
      </c>
      <c r="D1355" s="150" t="s">
        <v>77</v>
      </c>
      <c r="E1355" s="132"/>
      <c r="F1355" s="24"/>
      <c r="G1355" s="346">
        <v>8000001334</v>
      </c>
      <c r="H1355" s="125" t="s">
        <v>5229</v>
      </c>
      <c r="I1355" s="329"/>
      <c r="J1355" s="346">
        <v>8000001334</v>
      </c>
      <c r="K1355" s="24"/>
      <c r="L1355" s="24"/>
      <c r="M1355" s="24"/>
      <c r="N1355" s="340" t="s">
        <v>486</v>
      </c>
      <c r="O1355" s="334">
        <v>203616</v>
      </c>
      <c r="P1355" s="125" t="s">
        <v>357</v>
      </c>
      <c r="Q1355" s="127" t="s">
        <v>273</v>
      </c>
      <c r="R1355" s="232" t="s">
        <v>5216</v>
      </c>
      <c r="S1355" s="89">
        <v>44256</v>
      </c>
      <c r="T1355" s="36" t="s">
        <v>19</v>
      </c>
      <c r="U1355" s="125"/>
      <c r="V1355" s="147" t="s">
        <v>5230</v>
      </c>
      <c r="W1355" s="129"/>
      <c r="X1355" s="88">
        <v>44309</v>
      </c>
      <c r="Y1355" s="130" t="s">
        <v>20</v>
      </c>
      <c r="Z1355" s="133" t="s">
        <v>60</v>
      </c>
      <c r="AA1355" s="133"/>
      <c r="AB1355" s="241">
        <v>300</v>
      </c>
      <c r="AC1355" s="134">
        <v>159.5</v>
      </c>
      <c r="AD1355" s="134"/>
      <c r="AE1355" s="403">
        <f t="shared" si="76"/>
        <v>47850</v>
      </c>
      <c r="AF1355" s="132"/>
      <c r="AG1355" s="130" t="s">
        <v>46</v>
      </c>
      <c r="AH1355" s="130"/>
      <c r="AI1355" s="130" t="s">
        <v>100</v>
      </c>
      <c r="AJ1355" s="130"/>
      <c r="AK1355" s="130"/>
      <c r="AL1355" s="135" t="s">
        <v>5076</v>
      </c>
      <c r="AM1355" s="314"/>
      <c r="AN1355" s="26"/>
      <c r="AO1355" s="26"/>
      <c r="AP1355" s="26"/>
      <c r="AQ1355" s="26">
        <v>44354</v>
      </c>
      <c r="AR1355" s="24"/>
      <c r="AS1355" s="24"/>
      <c r="AT1355" s="24">
        <v>44355</v>
      </c>
      <c r="AU1355" s="418">
        <f t="shared" si="77"/>
        <v>6</v>
      </c>
      <c r="AV1355" s="418">
        <f t="shared" si="78"/>
        <v>2021</v>
      </c>
      <c r="AW1355" s="24"/>
      <c r="AX1355" s="24"/>
      <c r="AY1355" s="24" t="s">
        <v>230</v>
      </c>
      <c r="AZ1355" s="24" t="s">
        <v>62</v>
      </c>
      <c r="BA1355" s="24"/>
      <c r="BB1355" s="24" t="s">
        <v>3264</v>
      </c>
      <c r="BC1355" s="135" t="s">
        <v>5231</v>
      </c>
      <c r="BD1355" s="24">
        <v>44293</v>
      </c>
      <c r="BE1355" s="24" t="s">
        <v>5219</v>
      </c>
      <c r="BF1355" s="24" t="s">
        <v>5219</v>
      </c>
      <c r="BG1355" s="135" t="s">
        <v>52</v>
      </c>
      <c r="BH1355" s="135"/>
      <c r="BI1355" s="314" t="s">
        <v>117</v>
      </c>
      <c r="BJ1355" s="314" t="s">
        <v>143</v>
      </c>
      <c r="BK1355" s="24"/>
      <c r="BL1355" s="24"/>
      <c r="BM1355" s="24"/>
      <c r="BN1355" s="24"/>
      <c r="BO1355" s="24"/>
      <c r="BP1355" s="24"/>
      <c r="BQ1355" s="24"/>
      <c r="BR1355" s="24"/>
      <c r="BS1355" s="24"/>
      <c r="BT1355" s="24"/>
      <c r="BU1355" s="24"/>
      <c r="BV1355" s="132" t="e">
        <f>IF(#REF!="COMPLETO","OK","PENDIENTES")</f>
        <v>#REF!</v>
      </c>
      <c r="BW1355" s="132"/>
      <c r="BX1355" s="132"/>
      <c r="BY1355" s="132"/>
      <c r="BZ1355" s="132"/>
      <c r="CA1355" s="132"/>
      <c r="CB1355" s="132"/>
      <c r="CC1355" s="269"/>
      <c r="CG1355" s="24" t="s">
        <v>105</v>
      </c>
      <c r="CH1355" s="24"/>
      <c r="CI1355" s="24"/>
      <c r="CJ1355" s="24"/>
    </row>
    <row r="1356" spans="1:88" ht="15" customHeight="1">
      <c r="A1356" s="18">
        <v>2021</v>
      </c>
      <c r="B1356" s="18" t="str">
        <f>+INDEX(BDD!F:F,MATCH(P1356,BDD!D:D,0))&amp;"-"&amp;INDEX(BDD!E:E,MATCH(P1356,BDD!D:D,0))</f>
        <v>G-S</v>
      </c>
      <c r="C1356" s="125" t="s">
        <v>484</v>
      </c>
      <c r="D1356" s="150" t="s">
        <v>77</v>
      </c>
      <c r="E1356" s="132"/>
      <c r="F1356" s="24"/>
      <c r="G1356" s="346">
        <v>8000001337</v>
      </c>
      <c r="H1356" s="125" t="s">
        <v>5232</v>
      </c>
      <c r="I1356" s="329"/>
      <c r="J1356" s="346">
        <v>8000001337</v>
      </c>
      <c r="K1356" s="24"/>
      <c r="L1356" s="24"/>
      <c r="M1356" s="24"/>
      <c r="N1356" s="340" t="s">
        <v>486</v>
      </c>
      <c r="O1356" s="334">
        <v>206569</v>
      </c>
      <c r="P1356" s="125" t="s">
        <v>142</v>
      </c>
      <c r="Q1356" s="127" t="s">
        <v>273</v>
      </c>
      <c r="R1356" s="232" t="s">
        <v>5216</v>
      </c>
      <c r="S1356" s="89">
        <v>44256</v>
      </c>
      <c r="T1356" s="36" t="s">
        <v>19</v>
      </c>
      <c r="U1356" s="125"/>
      <c r="V1356" s="147" t="s">
        <v>5233</v>
      </c>
      <c r="W1356" s="129"/>
      <c r="X1356" s="88">
        <v>44309</v>
      </c>
      <c r="Y1356" s="130" t="s">
        <v>20</v>
      </c>
      <c r="Z1356" s="133" t="s">
        <v>60</v>
      </c>
      <c r="AA1356" s="133"/>
      <c r="AB1356" s="241">
        <v>2700</v>
      </c>
      <c r="AC1356" s="134">
        <v>472</v>
      </c>
      <c r="AD1356" s="134"/>
      <c r="AE1356" s="403">
        <f t="shared" si="76"/>
        <v>1274400</v>
      </c>
      <c r="AF1356" s="132"/>
      <c r="AG1356" s="130" t="s">
        <v>46</v>
      </c>
      <c r="AH1356" s="130"/>
      <c r="AI1356" s="130" t="s">
        <v>100</v>
      </c>
      <c r="AJ1356" s="130"/>
      <c r="AK1356" s="130"/>
      <c r="AL1356" s="135" t="s">
        <v>5076</v>
      </c>
      <c r="AM1356" s="314"/>
      <c r="AN1356" s="26"/>
      <c r="AO1356" s="26"/>
      <c r="AP1356" s="26"/>
      <c r="AQ1356" s="26">
        <f>+AQ1355</f>
        <v>44354</v>
      </c>
      <c r="AR1356" s="24"/>
      <c r="AS1356" s="24"/>
      <c r="AT1356" s="24">
        <v>44355</v>
      </c>
      <c r="AU1356" s="418">
        <f t="shared" si="77"/>
        <v>6</v>
      </c>
      <c r="AV1356" s="418">
        <f t="shared" si="78"/>
        <v>2021</v>
      </c>
      <c r="AW1356" s="24"/>
      <c r="AX1356" s="24"/>
      <c r="AY1356" s="24" t="s">
        <v>230</v>
      </c>
      <c r="AZ1356" s="24" t="s">
        <v>62</v>
      </c>
      <c r="BA1356" s="24"/>
      <c r="BB1356" s="24" t="s">
        <v>3264</v>
      </c>
      <c r="BC1356" s="135" t="s">
        <v>5234</v>
      </c>
      <c r="BD1356" s="24">
        <v>44300</v>
      </c>
      <c r="BE1356" s="24" t="s">
        <v>5219</v>
      </c>
      <c r="BF1356" s="24" t="s">
        <v>5219</v>
      </c>
      <c r="BG1356" s="135" t="s">
        <v>52</v>
      </c>
      <c r="BH1356" s="135"/>
      <c r="BI1356" s="314" t="s">
        <v>117</v>
      </c>
      <c r="BJ1356" s="314" t="s">
        <v>143</v>
      </c>
      <c r="BK1356" s="24"/>
      <c r="BL1356" s="24"/>
      <c r="BM1356" s="24"/>
      <c r="BN1356" s="24"/>
      <c r="BO1356" s="24"/>
      <c r="BP1356" s="24"/>
      <c r="BQ1356" s="24"/>
      <c r="BR1356" s="24"/>
      <c r="BS1356" s="24"/>
      <c r="BT1356" s="24"/>
      <c r="BU1356" s="24"/>
      <c r="BV1356" s="132" t="e">
        <f>IF(#REF!="COMPLETO","OK","PENDIENTES")</f>
        <v>#REF!</v>
      </c>
      <c r="BW1356" s="132"/>
      <c r="BX1356" s="132"/>
      <c r="BY1356" s="132"/>
      <c r="BZ1356" s="132"/>
      <c r="CA1356" s="132"/>
      <c r="CB1356" s="132"/>
      <c r="CC1356" s="269"/>
      <c r="CG1356" s="24" t="s">
        <v>105</v>
      </c>
      <c r="CH1356" s="24"/>
      <c r="CI1356" s="24"/>
      <c r="CJ1356" s="24"/>
    </row>
    <row r="1357" spans="1:88" ht="15" customHeight="1">
      <c r="A1357" s="18">
        <v>2021</v>
      </c>
      <c r="B1357" s="18" t="str">
        <f>+INDEX(BDD!F:F,MATCH(P1357,BDD!D:D,0))&amp;"-"&amp;INDEX(BDD!E:E,MATCH(P1357,BDD!D:D,0))</f>
        <v>G-S</v>
      </c>
      <c r="C1357" s="125" t="s">
        <v>484</v>
      </c>
      <c r="D1357" s="150" t="s">
        <v>92</v>
      </c>
      <c r="E1357" s="132"/>
      <c r="F1357" s="24"/>
      <c r="G1357" s="346"/>
      <c r="H1357" s="125" t="s">
        <v>5235</v>
      </c>
      <c r="I1357" s="330"/>
      <c r="J1357" s="346"/>
      <c r="K1357" s="24"/>
      <c r="L1357" s="24"/>
      <c r="M1357" s="24"/>
      <c r="N1357" s="340"/>
      <c r="O1357" s="334"/>
      <c r="P1357" s="125" t="s">
        <v>142</v>
      </c>
      <c r="Q1357" s="127" t="s">
        <v>273</v>
      </c>
      <c r="R1357" s="232"/>
      <c r="S1357" s="89"/>
      <c r="T1357" s="36"/>
      <c r="U1357" s="125"/>
      <c r="V1357" s="147"/>
      <c r="W1357" s="129"/>
      <c r="X1357" s="88"/>
      <c r="Y1357" s="130"/>
      <c r="Z1357" s="133"/>
      <c r="AA1357" s="133"/>
      <c r="AB1357" s="241"/>
      <c r="AC1357" s="134"/>
      <c r="AD1357" s="134"/>
      <c r="AE1357" s="403">
        <f t="shared" si="76"/>
        <v>0</v>
      </c>
      <c r="AF1357" s="132"/>
      <c r="AG1357" s="130"/>
      <c r="AH1357" s="130"/>
      <c r="AI1357" s="130"/>
      <c r="AJ1357" s="130"/>
      <c r="AK1357" s="130"/>
      <c r="AL1357" s="135"/>
      <c r="AM1357" s="314"/>
      <c r="AN1357" s="26"/>
      <c r="AO1357" s="26"/>
      <c r="AP1357" s="26"/>
      <c r="AQ1357" s="26"/>
      <c r="AR1357" s="24"/>
      <c r="AS1357" s="24"/>
      <c r="AT1357" s="24"/>
      <c r="AU1357" s="418">
        <f t="shared" si="77"/>
        <v>1</v>
      </c>
      <c r="AV1357" s="418">
        <f t="shared" si="78"/>
        <v>1900</v>
      </c>
      <c r="AW1357" s="24"/>
      <c r="AX1357" s="24"/>
      <c r="AY1357" s="24"/>
      <c r="AZ1357" s="24"/>
      <c r="BA1357" s="24"/>
      <c r="BB1357" s="24"/>
      <c r="BC1357" s="135"/>
      <c r="BD1357" s="24"/>
      <c r="BE1357" s="24"/>
      <c r="BF1357" s="24"/>
      <c r="BG1357" s="135"/>
      <c r="BH1357" s="135"/>
      <c r="BI1357" s="314"/>
      <c r="BJ1357" s="314"/>
      <c r="BK1357" s="24"/>
      <c r="BL1357" s="24"/>
      <c r="BM1357" s="24"/>
      <c r="BN1357" s="24"/>
      <c r="BO1357" s="24"/>
      <c r="BP1357" s="24"/>
      <c r="BQ1357" s="24"/>
      <c r="BR1357" s="24"/>
      <c r="BS1357" s="24"/>
      <c r="BT1357" s="24"/>
      <c r="BU1357" s="24"/>
      <c r="BV1357" s="132"/>
      <c r="BW1357" s="132"/>
      <c r="BX1357" s="132"/>
      <c r="BY1357" s="132"/>
      <c r="BZ1357" s="132"/>
      <c r="CA1357" s="132"/>
      <c r="CB1357" s="132"/>
      <c r="CC1357" s="269"/>
      <c r="CD1357" s="22"/>
      <c r="CE1357" s="22"/>
      <c r="CF1357" s="22"/>
      <c r="CG1357" s="24"/>
      <c r="CH1357" s="24"/>
      <c r="CI1357" s="24"/>
      <c r="CJ1357" s="24"/>
    </row>
    <row r="1358" spans="1:88" ht="15" customHeight="1">
      <c r="A1358" s="18">
        <v>2021</v>
      </c>
      <c r="B1358" s="18" t="str">
        <f>+INDEX(BDD!F:F,MATCH(P1358,BDD!D:D,0))&amp;"-"&amp;INDEX(BDD!E:E,MATCH(P1358,BDD!D:D,0))</f>
        <v>E-S</v>
      </c>
      <c r="C1358" s="125" t="s">
        <v>484</v>
      </c>
      <c r="D1358" s="150" t="s">
        <v>77</v>
      </c>
      <c r="E1358" s="132"/>
      <c r="F1358" s="24"/>
      <c r="G1358" s="346">
        <v>8000001205</v>
      </c>
      <c r="H1358" s="125" t="s">
        <v>5236</v>
      </c>
      <c r="I1358" s="329"/>
      <c r="J1358" s="346">
        <v>8000001205</v>
      </c>
      <c r="K1358" s="24"/>
      <c r="L1358" s="24"/>
      <c r="M1358" s="24"/>
      <c r="N1358" s="340" t="s">
        <v>486</v>
      </c>
      <c r="O1358" s="334">
        <v>205972</v>
      </c>
      <c r="P1358" s="125" t="s">
        <v>91</v>
      </c>
      <c r="Q1358" s="127" t="s">
        <v>219</v>
      </c>
      <c r="R1358" s="232" t="s">
        <v>5237</v>
      </c>
      <c r="S1358" s="89">
        <v>44221</v>
      </c>
      <c r="T1358" s="188" t="s">
        <v>4</v>
      </c>
      <c r="U1358" s="125"/>
      <c r="V1358" s="147" t="s">
        <v>5238</v>
      </c>
      <c r="W1358" s="129"/>
      <c r="X1358" s="88">
        <v>44224</v>
      </c>
      <c r="Y1358" s="130" t="s">
        <v>20</v>
      </c>
      <c r="Z1358" s="133" t="s">
        <v>81</v>
      </c>
      <c r="AA1358" s="133"/>
      <c r="AB1358" s="241">
        <v>2</v>
      </c>
      <c r="AC1358" s="134">
        <v>4092</v>
      </c>
      <c r="AD1358" s="134"/>
      <c r="AE1358" s="403">
        <f t="shared" si="76"/>
        <v>8184</v>
      </c>
      <c r="AF1358" s="132"/>
      <c r="AG1358" s="130" t="s">
        <v>21</v>
      </c>
      <c r="AH1358" s="130"/>
      <c r="AI1358" s="130" t="s">
        <v>22</v>
      </c>
      <c r="AJ1358" s="130"/>
      <c r="AK1358" s="130"/>
      <c r="AL1358" s="135" t="s">
        <v>4779</v>
      </c>
      <c r="AM1358" s="314"/>
      <c r="AN1358" s="26"/>
      <c r="AO1358" s="26"/>
      <c r="AP1358" s="26"/>
      <c r="AQ1358" s="26">
        <v>44274</v>
      </c>
      <c r="AR1358" s="24"/>
      <c r="AS1358" s="24"/>
      <c r="AT1358" s="24">
        <v>44281</v>
      </c>
      <c r="AU1358" s="418">
        <f t="shared" si="77"/>
        <v>3</v>
      </c>
      <c r="AV1358" s="418">
        <f t="shared" si="78"/>
        <v>2021</v>
      </c>
      <c r="AW1358" s="24"/>
      <c r="AX1358" s="28"/>
      <c r="AY1358" s="28" t="s">
        <v>102</v>
      </c>
      <c r="AZ1358" s="24" t="s">
        <v>37</v>
      </c>
      <c r="BA1358" s="24"/>
      <c r="BB1358" s="24" t="s">
        <v>2956</v>
      </c>
      <c r="BC1358" s="135" t="s">
        <v>5239</v>
      </c>
      <c r="BD1358" s="24">
        <v>44240</v>
      </c>
      <c r="BE1358" s="24" t="s">
        <v>4037</v>
      </c>
      <c r="BF1358" s="24" t="s">
        <v>3098</v>
      </c>
      <c r="BG1358" s="135" t="s">
        <v>3112</v>
      </c>
      <c r="BH1358" s="135"/>
      <c r="BI1358" s="314" t="s">
        <v>117</v>
      </c>
      <c r="BJ1358" s="314" t="s">
        <v>143</v>
      </c>
      <c r="BK1358" s="24"/>
      <c r="BL1358" s="24"/>
      <c r="BM1358" s="24"/>
      <c r="BN1358" s="24"/>
      <c r="BO1358" s="24"/>
      <c r="BP1358" s="24"/>
      <c r="BQ1358" s="24"/>
      <c r="BR1358" s="24"/>
      <c r="BS1358" s="24"/>
      <c r="BT1358" s="24"/>
      <c r="BU1358" s="24"/>
      <c r="BV1358" s="132" t="e">
        <f>IF(#REF!="COMPLETO","OK","PENDIENTES")</f>
        <v>#REF!</v>
      </c>
      <c r="BW1358" s="132"/>
      <c r="BX1358" s="132"/>
      <c r="BY1358" s="132"/>
      <c r="BZ1358" s="132"/>
      <c r="CA1358" s="132"/>
      <c r="CB1358" s="132"/>
      <c r="CC1358" s="269"/>
      <c r="CG1358" s="24" t="s">
        <v>105</v>
      </c>
      <c r="CH1358" s="24"/>
      <c r="CI1358" s="24"/>
      <c r="CJ1358" s="24"/>
    </row>
    <row r="1359" spans="1:88" ht="15" customHeight="1">
      <c r="A1359" s="18">
        <v>2021</v>
      </c>
      <c r="B1359" s="18" t="str">
        <f>+INDEX(BDD!F:F,MATCH(P1359,BDD!D:D,0))&amp;"-"&amp;INDEX(BDD!E:E,MATCH(P1359,BDD!D:D,0))</f>
        <v>E-S</v>
      </c>
      <c r="C1359" s="125" t="s">
        <v>484</v>
      </c>
      <c r="D1359" s="150" t="s">
        <v>77</v>
      </c>
      <c r="E1359" s="132"/>
      <c r="F1359" s="24"/>
      <c r="G1359" s="346">
        <v>8000001283</v>
      </c>
      <c r="H1359" s="125" t="s">
        <v>5240</v>
      </c>
      <c r="I1359" s="329"/>
      <c r="J1359" s="346">
        <v>8000001283</v>
      </c>
      <c r="K1359" s="24"/>
      <c r="L1359" s="24"/>
      <c r="M1359" s="24"/>
      <c r="N1359" s="340" t="s">
        <v>486</v>
      </c>
      <c r="O1359" s="334">
        <v>206613</v>
      </c>
      <c r="P1359" s="125" t="s">
        <v>304</v>
      </c>
      <c r="Q1359" s="127" t="s">
        <v>183</v>
      </c>
      <c r="R1359" s="232" t="s">
        <v>5241</v>
      </c>
      <c r="S1359" s="89">
        <v>44228</v>
      </c>
      <c r="T1359" s="36" t="s">
        <v>19</v>
      </c>
      <c r="U1359" s="125"/>
      <c r="V1359" s="147" t="s">
        <v>5242</v>
      </c>
      <c r="W1359" s="129"/>
      <c r="X1359" s="88">
        <v>44284</v>
      </c>
      <c r="Y1359" s="130" t="s">
        <v>20</v>
      </c>
      <c r="Z1359" s="133" t="s">
        <v>60</v>
      </c>
      <c r="AA1359" s="133"/>
      <c r="AB1359" s="241">
        <v>307.92</v>
      </c>
      <c r="AC1359" s="134">
        <v>255</v>
      </c>
      <c r="AD1359" s="134"/>
      <c r="AE1359" s="403">
        <f t="shared" si="76"/>
        <v>78519.600000000006</v>
      </c>
      <c r="AF1359" s="132">
        <v>13</v>
      </c>
      <c r="AG1359" s="130" t="s">
        <v>5</v>
      </c>
      <c r="AH1359" s="130"/>
      <c r="AI1359" s="130" t="s">
        <v>100</v>
      </c>
      <c r="AJ1359" s="130"/>
      <c r="AK1359" s="130"/>
      <c r="AL1359" s="135" t="s">
        <v>5243</v>
      </c>
      <c r="AM1359" s="314"/>
      <c r="AN1359" s="26"/>
      <c r="AO1359" s="26"/>
      <c r="AP1359" s="26"/>
      <c r="AQ1359" s="26">
        <v>44303</v>
      </c>
      <c r="AR1359" s="24"/>
      <c r="AS1359" s="24"/>
      <c r="AT1359" s="24">
        <v>44307</v>
      </c>
      <c r="AU1359" s="418">
        <f t="shared" si="77"/>
        <v>4</v>
      </c>
      <c r="AV1359" s="418">
        <f t="shared" si="78"/>
        <v>2021</v>
      </c>
      <c r="AW1359" s="24"/>
      <c r="AX1359" s="24"/>
      <c r="AY1359" s="24" t="s">
        <v>4781</v>
      </c>
      <c r="AZ1359" s="24" t="s">
        <v>37</v>
      </c>
      <c r="BA1359" s="24"/>
      <c r="BB1359" s="24" t="s">
        <v>3291</v>
      </c>
      <c r="BC1359" s="132" t="s">
        <v>5244</v>
      </c>
      <c r="BD1359" s="24">
        <v>44276</v>
      </c>
      <c r="BE1359" s="24" t="s">
        <v>5245</v>
      </c>
      <c r="BF1359" s="24" t="s">
        <v>4776</v>
      </c>
      <c r="BG1359" s="135" t="s">
        <v>65</v>
      </c>
      <c r="BH1359" s="135"/>
      <c r="BI1359" s="314" t="s">
        <v>124</v>
      </c>
      <c r="BJ1359" s="314" t="s">
        <v>143</v>
      </c>
      <c r="BK1359" s="24"/>
      <c r="BL1359" s="24"/>
      <c r="BM1359" s="24"/>
      <c r="BN1359" s="24"/>
      <c r="BO1359" s="24">
        <v>44308</v>
      </c>
      <c r="BP1359" s="24"/>
      <c r="BQ1359" s="24"/>
      <c r="BR1359" s="24"/>
      <c r="BS1359" s="24"/>
      <c r="BT1359" s="24"/>
      <c r="BU1359" s="24"/>
      <c r="BV1359" s="132" t="e">
        <f>IF(#REF!="COMPLETO","OK","PENDIENTES")</f>
        <v>#REF!</v>
      </c>
      <c r="BW1359" s="132"/>
      <c r="BX1359" s="132"/>
      <c r="BY1359" s="132"/>
      <c r="BZ1359" s="132"/>
      <c r="CA1359" s="132"/>
      <c r="CB1359" s="132"/>
      <c r="CC1359" s="269" t="s">
        <v>5246</v>
      </c>
      <c r="CG1359" s="24" t="s">
        <v>105</v>
      </c>
      <c r="CH1359" s="24"/>
      <c r="CI1359" s="24"/>
      <c r="CJ1359" s="24"/>
    </row>
    <row r="1360" spans="1:88" ht="15" customHeight="1">
      <c r="A1360" s="18">
        <v>2021</v>
      </c>
      <c r="B1360" s="18" t="str">
        <f>+INDEX(BDD!F:F,MATCH(P1360,BDD!D:D,0))&amp;"-"&amp;INDEX(BDD!E:E,MATCH(P1360,BDD!D:D,0))</f>
        <v>E-S</v>
      </c>
      <c r="C1360" s="125" t="s">
        <v>484</v>
      </c>
      <c r="D1360" s="150" t="s">
        <v>77</v>
      </c>
      <c r="E1360" s="132"/>
      <c r="F1360" s="24"/>
      <c r="G1360" s="346">
        <v>8000001207</v>
      </c>
      <c r="H1360" s="125" t="s">
        <v>5247</v>
      </c>
      <c r="I1360" s="329"/>
      <c r="J1360" s="346">
        <v>8000001207</v>
      </c>
      <c r="K1360" s="24"/>
      <c r="L1360" s="24"/>
      <c r="M1360" s="24"/>
      <c r="N1360" s="340" t="s">
        <v>486</v>
      </c>
      <c r="O1360" s="334">
        <v>206613</v>
      </c>
      <c r="P1360" s="125" t="s">
        <v>304</v>
      </c>
      <c r="Q1360" s="127" t="s">
        <v>183</v>
      </c>
      <c r="R1360" s="232" t="s">
        <v>5248</v>
      </c>
      <c r="S1360" s="89">
        <v>44228</v>
      </c>
      <c r="T1360" s="36" t="s">
        <v>19</v>
      </c>
      <c r="U1360" s="125"/>
      <c r="V1360" s="147" t="s">
        <v>5249</v>
      </c>
      <c r="W1360" s="129"/>
      <c r="X1360" s="88">
        <v>44284</v>
      </c>
      <c r="Y1360" s="130" t="s">
        <v>20</v>
      </c>
      <c r="Z1360" s="133" t="s">
        <v>60</v>
      </c>
      <c r="AA1360" s="133"/>
      <c r="AB1360" s="241">
        <v>139.82</v>
      </c>
      <c r="AC1360" s="134">
        <v>255</v>
      </c>
      <c r="AD1360" s="134"/>
      <c r="AE1360" s="403">
        <f t="shared" si="76"/>
        <v>35654.1</v>
      </c>
      <c r="AF1360" s="132">
        <v>6</v>
      </c>
      <c r="AG1360" s="130" t="s">
        <v>5</v>
      </c>
      <c r="AH1360" s="130"/>
      <c r="AI1360" s="130" t="s">
        <v>100</v>
      </c>
      <c r="AJ1360" s="130"/>
      <c r="AK1360" s="130"/>
      <c r="AL1360" s="135" t="s">
        <v>5243</v>
      </c>
      <c r="AM1360" s="314"/>
      <c r="AN1360" s="26"/>
      <c r="AO1360" s="26"/>
      <c r="AP1360" s="26"/>
      <c r="AQ1360" s="26">
        <v>44316</v>
      </c>
      <c r="AR1360" s="24"/>
      <c r="AS1360" s="24"/>
      <c r="AT1360" s="24">
        <v>44321</v>
      </c>
      <c r="AU1360" s="418">
        <f t="shared" si="77"/>
        <v>5</v>
      </c>
      <c r="AV1360" s="418">
        <f t="shared" si="78"/>
        <v>2021</v>
      </c>
      <c r="AW1360" s="24"/>
      <c r="AX1360" s="24"/>
      <c r="AY1360" s="24" t="s">
        <v>4781</v>
      </c>
      <c r="AZ1360" s="24" t="s">
        <v>9</v>
      </c>
      <c r="BA1360" s="24"/>
      <c r="BB1360" s="24" t="s">
        <v>3264</v>
      </c>
      <c r="BC1360" s="132" t="s">
        <v>5250</v>
      </c>
      <c r="BD1360" s="24">
        <v>44277</v>
      </c>
      <c r="BE1360" s="24" t="s">
        <v>3164</v>
      </c>
      <c r="BF1360" s="24" t="s">
        <v>994</v>
      </c>
      <c r="BG1360" s="135" t="s">
        <v>65</v>
      </c>
      <c r="BH1360" s="135"/>
      <c r="BI1360" s="314" t="s">
        <v>124</v>
      </c>
      <c r="BJ1360" s="314" t="s">
        <v>143</v>
      </c>
      <c r="BK1360" s="24"/>
      <c r="BL1360" s="24"/>
      <c r="BM1360" s="24"/>
      <c r="BN1360" s="24"/>
      <c r="BO1360" s="24">
        <v>44336</v>
      </c>
      <c r="BP1360" s="24"/>
      <c r="BQ1360" s="24"/>
      <c r="BR1360" s="24"/>
      <c r="BS1360" s="24"/>
      <c r="BT1360" s="24"/>
      <c r="BU1360" s="24"/>
      <c r="BV1360" s="132" t="e">
        <f>IF(#REF!="COMPLETO","OK","PENDIENTES")</f>
        <v>#REF!</v>
      </c>
      <c r="BW1360" s="132"/>
      <c r="BX1360" s="132"/>
      <c r="BY1360" s="132"/>
      <c r="BZ1360" s="132"/>
      <c r="CA1360" s="132"/>
      <c r="CB1360" s="132"/>
      <c r="CC1360" s="269"/>
      <c r="CG1360" s="24" t="s">
        <v>105</v>
      </c>
      <c r="CH1360" s="24"/>
      <c r="CI1360" s="24"/>
      <c r="CJ1360" s="24"/>
    </row>
    <row r="1361" spans="1:88" ht="15" customHeight="1">
      <c r="A1361" s="18">
        <v>2021</v>
      </c>
      <c r="B1361" s="18" t="str">
        <f>+INDEX(BDD!F:F,MATCH(P1361,BDD!D:D,0))&amp;"-"&amp;INDEX(BDD!E:E,MATCH(P1361,BDD!D:D,0))</f>
        <v>E-S</v>
      </c>
      <c r="C1361" s="125" t="s">
        <v>484</v>
      </c>
      <c r="D1361" s="150" t="s">
        <v>77</v>
      </c>
      <c r="E1361" s="132"/>
      <c r="F1361" s="24"/>
      <c r="G1361" s="346">
        <v>8000001208</v>
      </c>
      <c r="H1361" s="125" t="s">
        <v>5251</v>
      </c>
      <c r="I1361" s="329"/>
      <c r="J1361" s="346">
        <v>8000001208</v>
      </c>
      <c r="K1361" s="24"/>
      <c r="L1361" s="24"/>
      <c r="M1361" s="24"/>
      <c r="N1361" s="340" t="s">
        <v>486</v>
      </c>
      <c r="O1361" s="334">
        <v>206613</v>
      </c>
      <c r="P1361" s="125" t="s">
        <v>304</v>
      </c>
      <c r="Q1361" s="127" t="s">
        <v>183</v>
      </c>
      <c r="R1361" s="232" t="s">
        <v>5252</v>
      </c>
      <c r="S1361" s="89">
        <v>44228</v>
      </c>
      <c r="T1361" s="36" t="s">
        <v>19</v>
      </c>
      <c r="U1361" s="125"/>
      <c r="V1361" s="147" t="s">
        <v>5253</v>
      </c>
      <c r="W1361" s="129"/>
      <c r="X1361" s="88">
        <v>44316</v>
      </c>
      <c r="Y1361" s="130" t="s">
        <v>20</v>
      </c>
      <c r="Z1361" s="133" t="s">
        <v>60</v>
      </c>
      <c r="AA1361" s="133"/>
      <c r="AB1361" s="241">
        <v>155.12</v>
      </c>
      <c r="AC1361" s="134">
        <v>255</v>
      </c>
      <c r="AD1361" s="134"/>
      <c r="AE1361" s="403">
        <f t="shared" si="76"/>
        <v>39555.599999999999</v>
      </c>
      <c r="AF1361" s="132">
        <v>6</v>
      </c>
      <c r="AG1361" s="130" t="s">
        <v>5</v>
      </c>
      <c r="AH1361" s="130"/>
      <c r="AI1361" s="130" t="s">
        <v>100</v>
      </c>
      <c r="AJ1361" s="130"/>
      <c r="AK1361" s="130"/>
      <c r="AL1361" s="135" t="s">
        <v>5243</v>
      </c>
      <c r="AM1361" s="314"/>
      <c r="AN1361" s="26"/>
      <c r="AO1361" s="26"/>
      <c r="AP1361" s="26"/>
      <c r="AQ1361" s="26">
        <v>44333</v>
      </c>
      <c r="AR1361" s="24"/>
      <c r="AS1361" s="24"/>
      <c r="AT1361" s="24">
        <v>44337</v>
      </c>
      <c r="AU1361" s="418">
        <f t="shared" si="77"/>
        <v>5</v>
      </c>
      <c r="AV1361" s="418">
        <f t="shared" si="78"/>
        <v>2021</v>
      </c>
      <c r="AW1361" s="24"/>
      <c r="AX1361" s="24"/>
      <c r="AY1361" s="24" t="s">
        <v>4781</v>
      </c>
      <c r="AZ1361" s="24" t="s">
        <v>37</v>
      </c>
      <c r="BA1361" s="24"/>
      <c r="BB1361" s="24" t="s">
        <v>2956</v>
      </c>
      <c r="BC1361" s="132" t="s">
        <v>5254</v>
      </c>
      <c r="BD1361" s="24">
        <v>44297</v>
      </c>
      <c r="BE1361" s="24" t="s">
        <v>4782</v>
      </c>
      <c r="BF1361" s="24" t="s">
        <v>2521</v>
      </c>
      <c r="BG1361" s="135" t="s">
        <v>65</v>
      </c>
      <c r="BH1361" s="135"/>
      <c r="BI1361" s="314" t="s">
        <v>124</v>
      </c>
      <c r="BJ1361" s="314" t="s">
        <v>143</v>
      </c>
      <c r="BK1361" s="24"/>
      <c r="BL1361" s="24"/>
      <c r="BM1361" s="24"/>
      <c r="BN1361" s="24"/>
      <c r="BO1361" s="24">
        <f>+AQ1361+14</f>
        <v>44347</v>
      </c>
      <c r="BP1361" s="24"/>
      <c r="BQ1361" s="24"/>
      <c r="BR1361" s="24"/>
      <c r="BS1361" s="24"/>
      <c r="BT1361" s="24"/>
      <c r="BU1361" s="24"/>
      <c r="BV1361" s="132" t="e">
        <f>IF(#REF!="COMPLETO","OK","PENDIENTES")</f>
        <v>#REF!</v>
      </c>
      <c r="BW1361" s="132"/>
      <c r="BX1361" s="132"/>
      <c r="BY1361" s="132"/>
      <c r="BZ1361" s="132"/>
      <c r="CA1361" s="132"/>
      <c r="CB1361" s="132"/>
      <c r="CC1361" s="269"/>
      <c r="CG1361" s="24" t="s">
        <v>105</v>
      </c>
      <c r="CH1361" s="24"/>
      <c r="CI1361" s="24"/>
      <c r="CJ1361" s="24"/>
    </row>
    <row r="1362" spans="1:88" ht="15" customHeight="1">
      <c r="A1362" s="18">
        <v>2021</v>
      </c>
      <c r="B1362" s="18" t="str">
        <f>+INDEX(BDD!F:F,MATCH(P1362,BDD!D:D,0))&amp;"-"&amp;INDEX(BDD!E:E,MATCH(P1362,BDD!D:D,0))</f>
        <v>G-S</v>
      </c>
      <c r="C1362" s="125" t="s">
        <v>484</v>
      </c>
      <c r="D1362" s="150" t="s">
        <v>77</v>
      </c>
      <c r="E1362" s="132"/>
      <c r="F1362" s="24"/>
      <c r="G1362" s="346">
        <v>8000001273</v>
      </c>
      <c r="H1362" s="125" t="s">
        <v>5255</v>
      </c>
      <c r="I1362" s="329"/>
      <c r="J1362" s="346">
        <v>8000001273</v>
      </c>
      <c r="K1362" s="24"/>
      <c r="L1362" s="24"/>
      <c r="M1362" s="24"/>
      <c r="N1362" s="340" t="s">
        <v>486</v>
      </c>
      <c r="O1362" s="334">
        <v>207791</v>
      </c>
      <c r="P1362" s="125" t="s">
        <v>98</v>
      </c>
      <c r="Q1362" s="127" t="s">
        <v>285</v>
      </c>
      <c r="R1362" s="232" t="s">
        <v>5256</v>
      </c>
      <c r="S1362" s="89">
        <v>44231</v>
      </c>
      <c r="T1362" s="36">
        <v>180</v>
      </c>
      <c r="U1362" s="125" t="s">
        <v>118</v>
      </c>
      <c r="V1362" s="147" t="s">
        <v>5257</v>
      </c>
      <c r="W1362" s="129"/>
      <c r="X1362" s="88">
        <f>+BD1362+T1362</f>
        <v>44443</v>
      </c>
      <c r="Y1362" s="130" t="s">
        <v>20</v>
      </c>
      <c r="Z1362" s="133" t="s">
        <v>60</v>
      </c>
      <c r="AA1362" s="133"/>
      <c r="AB1362" s="241">
        <v>2145</v>
      </c>
      <c r="AC1362" s="134">
        <v>260</v>
      </c>
      <c r="AD1362" s="134"/>
      <c r="AE1362" s="403">
        <f t="shared" si="76"/>
        <v>557700</v>
      </c>
      <c r="AF1362" s="132"/>
      <c r="AG1362" s="130" t="s">
        <v>46</v>
      </c>
      <c r="AH1362" s="130"/>
      <c r="AI1362" s="130" t="s">
        <v>100</v>
      </c>
      <c r="AJ1362" s="130"/>
      <c r="AK1362" s="130"/>
      <c r="AL1362" s="135" t="s">
        <v>4779</v>
      </c>
      <c r="AM1362" s="314"/>
      <c r="AN1362" s="26"/>
      <c r="AO1362" s="26"/>
      <c r="AP1362" s="26"/>
      <c r="AQ1362" s="26">
        <v>44294</v>
      </c>
      <c r="AR1362" s="24"/>
      <c r="AS1362" s="24"/>
      <c r="AT1362" s="24">
        <v>44295</v>
      </c>
      <c r="AU1362" s="418">
        <f t="shared" si="77"/>
        <v>4</v>
      </c>
      <c r="AV1362" s="418">
        <f t="shared" si="78"/>
        <v>2021</v>
      </c>
      <c r="AW1362" s="24"/>
      <c r="AX1362" s="24"/>
      <c r="AY1362" s="24" t="s">
        <v>281</v>
      </c>
      <c r="AZ1362" s="24" t="s">
        <v>9</v>
      </c>
      <c r="BA1362" s="24"/>
      <c r="BB1362" s="24" t="s">
        <v>3264</v>
      </c>
      <c r="BC1362" s="135" t="s">
        <v>5258</v>
      </c>
      <c r="BD1362" s="24">
        <v>44263</v>
      </c>
      <c r="BE1362" s="24" t="s">
        <v>546</v>
      </c>
      <c r="BF1362" s="24" t="s">
        <v>546</v>
      </c>
      <c r="BG1362" s="135" t="s">
        <v>52</v>
      </c>
      <c r="BH1362" s="135"/>
      <c r="BI1362" s="314" t="s">
        <v>117</v>
      </c>
      <c r="BJ1362" s="314" t="s">
        <v>143</v>
      </c>
      <c r="BK1362" s="24"/>
      <c r="BL1362" s="24"/>
      <c r="BM1362" s="24"/>
      <c r="BN1362" s="24"/>
      <c r="BO1362" s="24"/>
      <c r="BP1362" s="24"/>
      <c r="BQ1362" s="24"/>
      <c r="BR1362" s="24"/>
      <c r="BS1362" s="24"/>
      <c r="BT1362" s="24"/>
      <c r="BU1362" s="24"/>
      <c r="BV1362" s="132" t="e">
        <f>IF(#REF!="COMPLETO","OK","PENDIENTES")</f>
        <v>#REF!</v>
      </c>
      <c r="BW1362" s="132"/>
      <c r="BX1362" s="132"/>
      <c r="BY1362" s="132"/>
      <c r="BZ1362" s="132"/>
      <c r="CA1362" s="132"/>
      <c r="CB1362" s="132"/>
      <c r="CC1362" s="269"/>
      <c r="CG1362" s="24" t="s">
        <v>105</v>
      </c>
      <c r="CH1362" s="24"/>
      <c r="CI1362" s="24"/>
      <c r="CJ1362" s="24"/>
    </row>
    <row r="1363" spans="1:88" ht="15" customHeight="1">
      <c r="A1363" s="18">
        <v>2021</v>
      </c>
      <c r="B1363" s="18" t="str">
        <f>+INDEX(BDD!F:F,MATCH(P1363,BDD!D:D,0))&amp;"-"&amp;INDEX(BDD!E:E,MATCH(P1363,BDD!D:D,0))</f>
        <v>G-S</v>
      </c>
      <c r="C1363" s="125" t="s">
        <v>484</v>
      </c>
      <c r="D1363" s="150" t="s">
        <v>77</v>
      </c>
      <c r="E1363" s="132"/>
      <c r="F1363" s="24"/>
      <c r="G1363" s="346">
        <v>8000001274</v>
      </c>
      <c r="H1363" s="125" t="s">
        <v>5259</v>
      </c>
      <c r="I1363" s="329"/>
      <c r="J1363" s="346">
        <v>8000001274</v>
      </c>
      <c r="K1363" s="24"/>
      <c r="L1363" s="24"/>
      <c r="M1363" s="24"/>
      <c r="N1363" s="340" t="s">
        <v>486</v>
      </c>
      <c r="O1363" s="334">
        <v>207791</v>
      </c>
      <c r="P1363" s="125" t="s">
        <v>98</v>
      </c>
      <c r="Q1363" s="127" t="s">
        <v>285</v>
      </c>
      <c r="R1363" s="232" t="s">
        <v>5256</v>
      </c>
      <c r="S1363" s="89">
        <v>44231</v>
      </c>
      <c r="T1363" s="36">
        <v>180</v>
      </c>
      <c r="U1363" s="125" t="s">
        <v>118</v>
      </c>
      <c r="V1363" s="147" t="s">
        <v>5260</v>
      </c>
      <c r="W1363" s="129"/>
      <c r="X1363" s="88">
        <f>+BD1363+T1363</f>
        <v>44443</v>
      </c>
      <c r="Y1363" s="130" t="s">
        <v>20</v>
      </c>
      <c r="Z1363" s="133" t="s">
        <v>60</v>
      </c>
      <c r="AA1363" s="133"/>
      <c r="AB1363" s="241">
        <v>1100</v>
      </c>
      <c r="AC1363" s="134">
        <v>260</v>
      </c>
      <c r="AD1363" s="134"/>
      <c r="AE1363" s="403">
        <f t="shared" si="76"/>
        <v>286000</v>
      </c>
      <c r="AF1363" s="132"/>
      <c r="AG1363" s="130" t="s">
        <v>46</v>
      </c>
      <c r="AH1363" s="130"/>
      <c r="AI1363" s="130" t="s">
        <v>100</v>
      </c>
      <c r="AJ1363" s="130"/>
      <c r="AK1363" s="130"/>
      <c r="AL1363" s="135" t="s">
        <v>4779</v>
      </c>
      <c r="AM1363" s="314"/>
      <c r="AN1363" s="26"/>
      <c r="AO1363" s="26"/>
      <c r="AP1363" s="26"/>
      <c r="AQ1363" s="26">
        <f>+AQ1362+2</f>
        <v>44296</v>
      </c>
      <c r="AR1363" s="24"/>
      <c r="AS1363" s="24"/>
      <c r="AT1363" s="24">
        <v>44299</v>
      </c>
      <c r="AU1363" s="418">
        <f t="shared" si="77"/>
        <v>4</v>
      </c>
      <c r="AV1363" s="418">
        <f t="shared" si="78"/>
        <v>2021</v>
      </c>
      <c r="AW1363" s="24"/>
      <c r="AX1363" s="24"/>
      <c r="AY1363" s="24" t="s">
        <v>281</v>
      </c>
      <c r="AZ1363" s="24" t="s">
        <v>25</v>
      </c>
      <c r="BA1363" s="24"/>
      <c r="BB1363" s="24" t="s">
        <v>3264</v>
      </c>
      <c r="BC1363" s="135" t="s">
        <v>5261</v>
      </c>
      <c r="BD1363" s="24">
        <v>44263</v>
      </c>
      <c r="BE1363" s="24" t="s">
        <v>546</v>
      </c>
      <c r="BF1363" s="24" t="s">
        <v>546</v>
      </c>
      <c r="BG1363" s="135" t="s">
        <v>52</v>
      </c>
      <c r="BH1363" s="135"/>
      <c r="BI1363" s="314" t="s">
        <v>117</v>
      </c>
      <c r="BJ1363" s="314" t="s">
        <v>143</v>
      </c>
      <c r="BK1363" s="24"/>
      <c r="BL1363" s="24"/>
      <c r="BM1363" s="24"/>
      <c r="BN1363" s="24"/>
      <c r="BO1363" s="24"/>
      <c r="BP1363" s="24"/>
      <c r="BQ1363" s="24"/>
      <c r="BR1363" s="24"/>
      <c r="BS1363" s="24"/>
      <c r="BT1363" s="24"/>
      <c r="BU1363" s="24"/>
      <c r="BV1363" s="132" t="e">
        <f>IF(#REF!="COMPLETO","OK","PENDIENTES")</f>
        <v>#REF!</v>
      </c>
      <c r="BW1363" s="132"/>
      <c r="BX1363" s="132"/>
      <c r="BY1363" s="132"/>
      <c r="BZ1363" s="132"/>
      <c r="CA1363" s="132"/>
      <c r="CB1363" s="132"/>
      <c r="CC1363" s="269"/>
      <c r="CG1363" s="24" t="s">
        <v>105</v>
      </c>
      <c r="CH1363" s="24"/>
      <c r="CI1363" s="24"/>
      <c r="CJ1363" s="24"/>
    </row>
    <row r="1364" spans="1:88" ht="14.25" customHeight="1">
      <c r="A1364" s="18">
        <v>2021</v>
      </c>
      <c r="B1364" s="18" t="str">
        <f>+INDEX(BDD!F:F,MATCH(P1364,BDD!D:D,0))&amp;"-"&amp;INDEX(BDD!E:E,MATCH(P1364,BDD!D:D,0))</f>
        <v>G-S</v>
      </c>
      <c r="C1364" s="125" t="s">
        <v>484</v>
      </c>
      <c r="D1364" s="150" t="s">
        <v>77</v>
      </c>
      <c r="E1364" s="132"/>
      <c r="F1364" s="24"/>
      <c r="G1364" s="346">
        <v>8000001282</v>
      </c>
      <c r="H1364" s="125" t="s">
        <v>5262</v>
      </c>
      <c r="I1364" s="329"/>
      <c r="J1364" s="346">
        <v>8000001282</v>
      </c>
      <c r="K1364" s="24"/>
      <c r="L1364" s="24"/>
      <c r="M1364" s="24"/>
      <c r="N1364" s="340" t="s">
        <v>486</v>
      </c>
      <c r="O1364" s="334">
        <v>207791</v>
      </c>
      <c r="P1364" s="125" t="s">
        <v>98</v>
      </c>
      <c r="Q1364" s="127" t="s">
        <v>285</v>
      </c>
      <c r="R1364" s="232" t="s">
        <v>5256</v>
      </c>
      <c r="S1364" s="89">
        <v>44231</v>
      </c>
      <c r="T1364" s="36">
        <v>180</v>
      </c>
      <c r="U1364" s="125" t="s">
        <v>118</v>
      </c>
      <c r="V1364" s="147" t="s">
        <v>5263</v>
      </c>
      <c r="W1364" s="129"/>
      <c r="X1364" s="88">
        <f>+BD1364+T1364</f>
        <v>44443</v>
      </c>
      <c r="Y1364" s="130" t="s">
        <v>20</v>
      </c>
      <c r="Z1364" s="133" t="s">
        <v>60</v>
      </c>
      <c r="AA1364" s="133"/>
      <c r="AB1364" s="241">
        <v>110</v>
      </c>
      <c r="AC1364" s="134">
        <v>260</v>
      </c>
      <c r="AD1364" s="134"/>
      <c r="AE1364" s="403">
        <f t="shared" si="76"/>
        <v>28600</v>
      </c>
      <c r="AF1364" s="132"/>
      <c r="AG1364" s="130" t="s">
        <v>46</v>
      </c>
      <c r="AH1364" s="130"/>
      <c r="AI1364" s="130" t="s">
        <v>100</v>
      </c>
      <c r="AJ1364" s="130"/>
      <c r="AK1364" s="130"/>
      <c r="AL1364" s="135" t="s">
        <v>4779</v>
      </c>
      <c r="AM1364" s="314"/>
      <c r="AN1364" s="26"/>
      <c r="AO1364" s="26"/>
      <c r="AP1364" s="26"/>
      <c r="AQ1364" s="26">
        <v>44301</v>
      </c>
      <c r="AR1364" s="24"/>
      <c r="AS1364" s="24"/>
      <c r="AT1364" s="24">
        <v>44305</v>
      </c>
      <c r="AU1364" s="418">
        <f t="shared" si="77"/>
        <v>4</v>
      </c>
      <c r="AV1364" s="418">
        <f t="shared" si="78"/>
        <v>2021</v>
      </c>
      <c r="AW1364" s="24"/>
      <c r="AX1364" s="24"/>
      <c r="AY1364" s="24" t="s">
        <v>281</v>
      </c>
      <c r="AZ1364" s="24" t="s">
        <v>37</v>
      </c>
      <c r="BA1364" s="24"/>
      <c r="BB1364" s="24" t="s">
        <v>3291</v>
      </c>
      <c r="BC1364" s="135" t="s">
        <v>5264</v>
      </c>
      <c r="BD1364" s="24">
        <v>44263</v>
      </c>
      <c r="BE1364" s="24" t="s">
        <v>546</v>
      </c>
      <c r="BF1364" s="24" t="s">
        <v>546</v>
      </c>
      <c r="BG1364" s="135" t="s">
        <v>52</v>
      </c>
      <c r="BH1364" s="135"/>
      <c r="BI1364" s="314" t="s">
        <v>117</v>
      </c>
      <c r="BJ1364" s="314" t="s">
        <v>143</v>
      </c>
      <c r="BK1364" s="24"/>
      <c r="BL1364" s="24"/>
      <c r="BM1364" s="24"/>
      <c r="BN1364" s="24"/>
      <c r="BO1364" s="24"/>
      <c r="BP1364" s="24"/>
      <c r="BQ1364" s="24"/>
      <c r="BR1364" s="24"/>
      <c r="BS1364" s="24"/>
      <c r="BT1364" s="24"/>
      <c r="BU1364" s="24"/>
      <c r="BV1364" s="132" t="e">
        <f>IF(#REF!="COMPLETO","OK","PENDIENTES")</f>
        <v>#REF!</v>
      </c>
      <c r="BW1364" s="132"/>
      <c r="BX1364" s="132"/>
      <c r="BY1364" s="132"/>
      <c r="BZ1364" s="132"/>
      <c r="CA1364" s="132"/>
      <c r="CB1364" s="132"/>
      <c r="CC1364" s="269"/>
      <c r="CG1364" s="24" t="s">
        <v>105</v>
      </c>
      <c r="CH1364" s="24"/>
      <c r="CI1364" s="24"/>
      <c r="CJ1364" s="24"/>
    </row>
    <row r="1365" spans="1:88" ht="15" customHeight="1">
      <c r="A1365" s="18">
        <v>2021</v>
      </c>
      <c r="B1365" s="18" t="str">
        <f>+INDEX(BDD!F:F,MATCH(P1365,BDD!D:D,0))&amp;"-"&amp;INDEX(BDD!E:E,MATCH(P1365,BDD!D:D,0))</f>
        <v>G-S</v>
      </c>
      <c r="C1365" s="125" t="s">
        <v>484</v>
      </c>
      <c r="D1365" s="150" t="s">
        <v>77</v>
      </c>
      <c r="E1365" s="132"/>
      <c r="F1365" s="24"/>
      <c r="G1365" s="346">
        <v>8000001285</v>
      </c>
      <c r="H1365" s="125" t="s">
        <v>5265</v>
      </c>
      <c r="I1365" s="329"/>
      <c r="J1365" s="346">
        <v>8000001285</v>
      </c>
      <c r="K1365" s="24"/>
      <c r="L1365" s="24"/>
      <c r="M1365" s="24"/>
      <c r="N1365" s="340" t="s">
        <v>486</v>
      </c>
      <c r="O1365" s="334">
        <v>207791</v>
      </c>
      <c r="P1365" s="125" t="s">
        <v>98</v>
      </c>
      <c r="Q1365" s="127" t="s">
        <v>285</v>
      </c>
      <c r="R1365" s="232" t="s">
        <v>5256</v>
      </c>
      <c r="S1365" s="89">
        <v>44231</v>
      </c>
      <c r="T1365" s="36">
        <v>180</v>
      </c>
      <c r="U1365" s="125" t="s">
        <v>118</v>
      </c>
      <c r="V1365" s="147" t="s">
        <v>5266</v>
      </c>
      <c r="W1365" s="129"/>
      <c r="X1365" s="88">
        <f>+BD1365+T1365</f>
        <v>44443</v>
      </c>
      <c r="Y1365" s="130" t="s">
        <v>20</v>
      </c>
      <c r="Z1365" s="133" t="s">
        <v>60</v>
      </c>
      <c r="AA1365" s="133"/>
      <c r="AB1365" s="241">
        <v>275</v>
      </c>
      <c r="AC1365" s="134">
        <v>260</v>
      </c>
      <c r="AD1365" s="134"/>
      <c r="AE1365" s="403">
        <f t="shared" si="76"/>
        <v>71500</v>
      </c>
      <c r="AF1365" s="132"/>
      <c r="AG1365" s="130" t="s">
        <v>46</v>
      </c>
      <c r="AH1365" s="130"/>
      <c r="AI1365" s="130" t="s">
        <v>100</v>
      </c>
      <c r="AJ1365" s="130"/>
      <c r="AK1365" s="130"/>
      <c r="AL1365" s="135" t="s">
        <v>4779</v>
      </c>
      <c r="AM1365" s="314"/>
      <c r="AN1365" s="26"/>
      <c r="AO1365" s="26"/>
      <c r="AP1365" s="26"/>
      <c r="AQ1365" s="26">
        <v>44307</v>
      </c>
      <c r="AR1365" s="24"/>
      <c r="AS1365" s="24"/>
      <c r="AT1365" s="24">
        <v>44307</v>
      </c>
      <c r="AU1365" s="418">
        <f t="shared" si="77"/>
        <v>4</v>
      </c>
      <c r="AV1365" s="418">
        <f t="shared" si="78"/>
        <v>2021</v>
      </c>
      <c r="AW1365" s="24"/>
      <c r="AX1365" s="24"/>
      <c r="AY1365" s="24" t="s">
        <v>281</v>
      </c>
      <c r="AZ1365" s="24" t="s">
        <v>50</v>
      </c>
      <c r="BA1365" s="24"/>
      <c r="BB1365" s="24" t="s">
        <v>2956</v>
      </c>
      <c r="BC1365" s="135" t="s">
        <v>5267</v>
      </c>
      <c r="BD1365" s="24">
        <v>44263</v>
      </c>
      <c r="BE1365" s="24" t="s">
        <v>546</v>
      </c>
      <c r="BF1365" s="24" t="s">
        <v>546</v>
      </c>
      <c r="BG1365" s="135" t="s">
        <v>52</v>
      </c>
      <c r="BH1365" s="135"/>
      <c r="BI1365" s="314" t="s">
        <v>117</v>
      </c>
      <c r="BJ1365" s="314" t="s">
        <v>143</v>
      </c>
      <c r="BK1365" s="24"/>
      <c r="BL1365" s="24"/>
      <c r="BM1365" s="24"/>
      <c r="BN1365" s="24"/>
      <c r="BO1365" s="24"/>
      <c r="BP1365" s="24"/>
      <c r="BQ1365" s="24"/>
      <c r="BR1365" s="24"/>
      <c r="BS1365" s="24"/>
      <c r="BT1365" s="24"/>
      <c r="BU1365" s="24"/>
      <c r="BV1365" s="132" t="e">
        <f>IF(#REF!="COMPLETO","OK","PENDIENTES")</f>
        <v>#REF!</v>
      </c>
      <c r="BW1365" s="132"/>
      <c r="BX1365" s="132"/>
      <c r="BY1365" s="132"/>
      <c r="BZ1365" s="132"/>
      <c r="CA1365" s="132"/>
      <c r="CB1365" s="132"/>
      <c r="CC1365" s="269"/>
      <c r="CG1365" s="24" t="s">
        <v>105</v>
      </c>
      <c r="CH1365" s="24"/>
      <c r="CI1365" s="24"/>
      <c r="CJ1365" s="24"/>
    </row>
    <row r="1366" spans="1:88" ht="15" customHeight="1">
      <c r="A1366" s="18">
        <v>2021</v>
      </c>
      <c r="B1366" s="18" t="str">
        <f>+INDEX(BDD!F:F,MATCH(P1366,BDD!D:D,0))&amp;"-"&amp;INDEX(BDD!E:E,MATCH(P1366,BDD!D:D,0))</f>
        <v>G-S</v>
      </c>
      <c r="C1366" s="125" t="s">
        <v>484</v>
      </c>
      <c r="D1366" s="150" t="s">
        <v>77</v>
      </c>
      <c r="E1366" s="132"/>
      <c r="F1366" s="24"/>
      <c r="G1366" s="346">
        <v>8000001286</v>
      </c>
      <c r="H1366" s="125" t="s">
        <v>5268</v>
      </c>
      <c r="I1366" s="329"/>
      <c r="J1366" s="346">
        <v>8000001286</v>
      </c>
      <c r="K1366" s="24"/>
      <c r="L1366" s="24"/>
      <c r="M1366" s="24"/>
      <c r="N1366" s="340" t="s">
        <v>486</v>
      </c>
      <c r="O1366" s="334">
        <v>207791</v>
      </c>
      <c r="P1366" s="125" t="s">
        <v>98</v>
      </c>
      <c r="Q1366" s="127" t="s">
        <v>285</v>
      </c>
      <c r="R1366" s="232" t="s">
        <v>5256</v>
      </c>
      <c r="S1366" s="89">
        <v>44231</v>
      </c>
      <c r="T1366" s="36">
        <v>180</v>
      </c>
      <c r="U1366" s="125" t="s">
        <v>118</v>
      </c>
      <c r="V1366" s="147" t="s">
        <v>5269</v>
      </c>
      <c r="W1366" s="129"/>
      <c r="X1366" s="88">
        <f>+BD1366+T1366</f>
        <v>44443</v>
      </c>
      <c r="Y1366" s="130" t="s">
        <v>20</v>
      </c>
      <c r="Z1366" s="133" t="s">
        <v>60</v>
      </c>
      <c r="AA1366" s="133"/>
      <c r="AB1366" s="241">
        <v>220</v>
      </c>
      <c r="AC1366" s="134">
        <v>260</v>
      </c>
      <c r="AD1366" s="134"/>
      <c r="AE1366" s="403">
        <f t="shared" si="76"/>
        <v>57200</v>
      </c>
      <c r="AF1366" s="132"/>
      <c r="AG1366" s="130" t="s">
        <v>46</v>
      </c>
      <c r="AH1366" s="130"/>
      <c r="AI1366" s="130" t="s">
        <v>100</v>
      </c>
      <c r="AJ1366" s="130"/>
      <c r="AK1366" s="130"/>
      <c r="AL1366" s="135" t="s">
        <v>4779</v>
      </c>
      <c r="AM1366" s="314"/>
      <c r="AN1366" s="26"/>
      <c r="AO1366" s="26"/>
      <c r="AP1366" s="26"/>
      <c r="AQ1366" s="26">
        <v>44309</v>
      </c>
      <c r="AR1366" s="24"/>
      <c r="AS1366" s="24"/>
      <c r="AT1366" s="24">
        <v>44309</v>
      </c>
      <c r="AU1366" s="418">
        <f t="shared" si="77"/>
        <v>4</v>
      </c>
      <c r="AV1366" s="418">
        <f t="shared" si="78"/>
        <v>2021</v>
      </c>
      <c r="AW1366" s="24"/>
      <c r="AX1366" s="24"/>
      <c r="AY1366" s="24" t="s">
        <v>281</v>
      </c>
      <c r="AZ1366" s="24" t="s">
        <v>62</v>
      </c>
      <c r="BA1366" s="24"/>
      <c r="BB1366" s="24" t="s">
        <v>3264</v>
      </c>
      <c r="BC1366" s="135" t="s">
        <v>5270</v>
      </c>
      <c r="BD1366" s="24">
        <v>44263</v>
      </c>
      <c r="BE1366" s="24" t="s">
        <v>546</v>
      </c>
      <c r="BF1366" s="24" t="s">
        <v>546</v>
      </c>
      <c r="BG1366" s="135" t="s">
        <v>52</v>
      </c>
      <c r="BH1366" s="135"/>
      <c r="BI1366" s="314" t="s">
        <v>117</v>
      </c>
      <c r="BJ1366" s="314" t="s">
        <v>143</v>
      </c>
      <c r="BK1366" s="24"/>
      <c r="BL1366" s="24"/>
      <c r="BM1366" s="24"/>
      <c r="BN1366" s="24"/>
      <c r="BO1366" s="24"/>
      <c r="BP1366" s="24"/>
      <c r="BQ1366" s="24"/>
      <c r="BR1366" s="24"/>
      <c r="BS1366" s="24"/>
      <c r="BT1366" s="24"/>
      <c r="BU1366" s="24"/>
      <c r="BV1366" s="132" t="e">
        <f>IF(#REF!="COMPLETO","OK","PENDIENTES")</f>
        <v>#REF!</v>
      </c>
      <c r="BW1366" s="132"/>
      <c r="BX1366" s="132"/>
      <c r="BY1366" s="132"/>
      <c r="BZ1366" s="132"/>
      <c r="CA1366" s="132"/>
      <c r="CB1366" s="132"/>
      <c r="CC1366" s="269"/>
      <c r="CG1366" s="24" t="s">
        <v>105</v>
      </c>
      <c r="CH1366" s="24"/>
      <c r="CI1366" s="24"/>
      <c r="CJ1366" s="24"/>
    </row>
    <row r="1367" spans="1:88" ht="15" customHeight="1">
      <c r="A1367" s="18">
        <v>2021</v>
      </c>
      <c r="B1367" s="18" t="str">
        <f>+INDEX(BDD!F:F,MATCH(P1367,BDD!D:D,0))&amp;"-"&amp;INDEX(BDD!E:E,MATCH(P1367,BDD!D:D,0))</f>
        <v>S-S</v>
      </c>
      <c r="C1367" s="125" t="s">
        <v>484</v>
      </c>
      <c r="D1367" s="150" t="s">
        <v>77</v>
      </c>
      <c r="E1367" s="132"/>
      <c r="F1367" s="24"/>
      <c r="G1367" s="346">
        <v>8000001384</v>
      </c>
      <c r="H1367" s="125" t="s">
        <v>5271</v>
      </c>
      <c r="I1367" s="329"/>
      <c r="J1367" s="346">
        <v>8000001384</v>
      </c>
      <c r="K1367" s="24"/>
      <c r="L1367" s="24"/>
      <c r="M1367" s="24"/>
      <c r="N1367" s="340" t="s">
        <v>486</v>
      </c>
      <c r="O1367" s="334">
        <v>205257</v>
      </c>
      <c r="P1367" s="125" t="s">
        <v>344</v>
      </c>
      <c r="Q1367" s="127" t="s">
        <v>4498</v>
      </c>
      <c r="R1367" s="232"/>
      <c r="S1367" s="89">
        <v>44224</v>
      </c>
      <c r="T1367" s="36">
        <v>90</v>
      </c>
      <c r="U1367" s="125" t="s">
        <v>118</v>
      </c>
      <c r="V1367" s="147" t="s">
        <v>5272</v>
      </c>
      <c r="W1367" s="129"/>
      <c r="X1367" s="88">
        <f>+T1367+BD1367</f>
        <v>44396</v>
      </c>
      <c r="Y1367" s="130" t="s">
        <v>20</v>
      </c>
      <c r="Z1367" s="133" t="s">
        <v>60</v>
      </c>
      <c r="AA1367" s="133"/>
      <c r="AB1367" s="241">
        <v>57.5</v>
      </c>
      <c r="AC1367" s="134">
        <v>113</v>
      </c>
      <c r="AD1367" s="134"/>
      <c r="AE1367" s="403">
        <f t="shared" si="76"/>
        <v>6497.5</v>
      </c>
      <c r="AF1367" s="132"/>
      <c r="AG1367" s="130" t="s">
        <v>58</v>
      </c>
      <c r="AH1367" s="130"/>
      <c r="AI1367" s="130" t="s">
        <v>34</v>
      </c>
      <c r="AJ1367" s="130"/>
      <c r="AK1367" s="130"/>
      <c r="AL1367" s="135" t="s">
        <v>5076</v>
      </c>
      <c r="AM1367" s="314"/>
      <c r="AN1367" s="26"/>
      <c r="AO1367" s="26">
        <v>44287</v>
      </c>
      <c r="AP1367" s="26"/>
      <c r="AQ1367" s="26">
        <v>44347</v>
      </c>
      <c r="AR1367" s="24"/>
      <c r="AS1367" s="24"/>
      <c r="AT1367" s="24">
        <v>44373</v>
      </c>
      <c r="AU1367" s="418">
        <f t="shared" si="77"/>
        <v>6</v>
      </c>
      <c r="AV1367" s="418">
        <f t="shared" si="78"/>
        <v>2021</v>
      </c>
      <c r="AW1367" s="24"/>
      <c r="AX1367" s="24"/>
      <c r="AY1367" s="24" t="s">
        <v>311</v>
      </c>
      <c r="AZ1367" s="24" t="s">
        <v>37</v>
      </c>
      <c r="BA1367" s="24"/>
      <c r="BB1367" s="24" t="s">
        <v>3291</v>
      </c>
      <c r="BC1367" s="135" t="s">
        <v>5273</v>
      </c>
      <c r="BD1367" s="24">
        <v>44306</v>
      </c>
      <c r="BE1367" s="24" t="s">
        <v>5274</v>
      </c>
      <c r="BF1367" s="24" t="s">
        <v>5274</v>
      </c>
      <c r="BG1367" s="135" t="s">
        <v>52</v>
      </c>
      <c r="BH1367" s="135"/>
      <c r="BI1367" s="314" t="s">
        <v>124</v>
      </c>
      <c r="BJ1367" s="314" t="s">
        <v>143</v>
      </c>
      <c r="BK1367" s="24"/>
      <c r="BL1367" s="24"/>
      <c r="BM1367" s="24"/>
      <c r="BN1367" s="24"/>
      <c r="BO1367" s="24"/>
      <c r="BP1367" s="24"/>
      <c r="BQ1367" s="24"/>
      <c r="BR1367" s="24"/>
      <c r="BS1367" s="24"/>
      <c r="BT1367" s="24"/>
      <c r="BU1367" s="24"/>
      <c r="BV1367" s="132" t="e">
        <f>IF(#REF!="COMPLETO","OK","PENDIENTES")</f>
        <v>#REF!</v>
      </c>
      <c r="BW1367" s="132"/>
      <c r="BX1367" s="132"/>
      <c r="BY1367" s="132"/>
      <c r="BZ1367" s="132"/>
      <c r="CA1367" s="132"/>
      <c r="CB1367" s="132"/>
      <c r="CC1367" s="269" t="s">
        <v>5275</v>
      </c>
      <c r="CG1367" s="24" t="s">
        <v>105</v>
      </c>
      <c r="CH1367" s="24"/>
      <c r="CI1367" s="24"/>
      <c r="CJ1367" s="24"/>
    </row>
    <row r="1368" spans="1:88" ht="15" customHeight="1">
      <c r="A1368" s="18">
        <v>2021</v>
      </c>
      <c r="B1368" s="18" t="str">
        <f>+INDEX(BDD!F:F,MATCH(P1368,BDD!D:D,0))&amp;"-"&amp;INDEX(BDD!E:E,MATCH(P1368,BDD!D:D,0))</f>
        <v>S-P</v>
      </c>
      <c r="C1368" s="125" t="s">
        <v>484</v>
      </c>
      <c r="D1368" s="150" t="s">
        <v>77</v>
      </c>
      <c r="E1368" s="132"/>
      <c r="F1368" s="24"/>
      <c r="G1368" s="346">
        <v>8000001287</v>
      </c>
      <c r="H1368" s="125" t="s">
        <v>5276</v>
      </c>
      <c r="I1368" s="329"/>
      <c r="J1368" s="346">
        <v>8000001287</v>
      </c>
      <c r="K1368" s="24"/>
      <c r="L1368" s="24"/>
      <c r="M1368" s="24"/>
      <c r="N1368" s="340" t="s">
        <v>486</v>
      </c>
      <c r="O1368" s="334">
        <v>206766</v>
      </c>
      <c r="P1368" s="25" t="s">
        <v>2</v>
      </c>
      <c r="Q1368" s="127" t="s">
        <v>237</v>
      </c>
      <c r="R1368" s="232" t="s">
        <v>5277</v>
      </c>
      <c r="S1368" s="89">
        <v>44216</v>
      </c>
      <c r="T1368" s="36">
        <v>90</v>
      </c>
      <c r="U1368" s="125" t="s">
        <v>118</v>
      </c>
      <c r="V1368" s="147" t="s">
        <v>5278</v>
      </c>
      <c r="W1368" s="129"/>
      <c r="X1368" s="88">
        <v>44351</v>
      </c>
      <c r="Y1368" s="130" t="s">
        <v>20</v>
      </c>
      <c r="Z1368" s="133" t="s">
        <v>60</v>
      </c>
      <c r="AA1368" s="133"/>
      <c r="AB1368" s="241">
        <v>168</v>
      </c>
      <c r="AC1368" s="134">
        <v>1002</v>
      </c>
      <c r="AD1368" s="134"/>
      <c r="AE1368" s="403">
        <f t="shared" si="76"/>
        <v>168336</v>
      </c>
      <c r="AF1368" s="132">
        <v>7</v>
      </c>
      <c r="AG1368" s="130" t="s">
        <v>5</v>
      </c>
      <c r="AH1368" s="130"/>
      <c r="AI1368" s="130" t="s">
        <v>47</v>
      </c>
      <c r="AJ1368" s="130"/>
      <c r="AK1368" s="130"/>
      <c r="AL1368" s="135" t="s">
        <v>4779</v>
      </c>
      <c r="AM1368" s="314"/>
      <c r="AN1368" s="26"/>
      <c r="AO1368" s="26"/>
      <c r="AP1368" s="26"/>
      <c r="AQ1368" s="26">
        <v>44302</v>
      </c>
      <c r="AR1368" s="24"/>
      <c r="AS1368" s="24"/>
      <c r="AT1368" s="24">
        <v>44308</v>
      </c>
      <c r="AU1368" s="418">
        <f t="shared" si="77"/>
        <v>4</v>
      </c>
      <c r="AV1368" s="418">
        <f t="shared" si="78"/>
        <v>2021</v>
      </c>
      <c r="AW1368" s="24"/>
      <c r="AX1368" s="24"/>
      <c r="AY1368" s="24" t="s">
        <v>302</v>
      </c>
      <c r="AZ1368" s="24" t="s">
        <v>62</v>
      </c>
      <c r="BA1368" s="24"/>
      <c r="BB1368" s="24" t="s">
        <v>3264</v>
      </c>
      <c r="BC1368" s="135" t="s">
        <v>5279</v>
      </c>
      <c r="BD1368" s="24">
        <v>44260</v>
      </c>
      <c r="BE1368" s="24" t="s">
        <v>5280</v>
      </c>
      <c r="BF1368" s="24" t="s">
        <v>1938</v>
      </c>
      <c r="BG1368" s="135" t="s">
        <v>29</v>
      </c>
      <c r="BH1368" s="135"/>
      <c r="BI1368" s="314" t="s">
        <v>124</v>
      </c>
      <c r="BJ1368" s="314" t="s">
        <v>148</v>
      </c>
      <c r="BK1368" s="24"/>
      <c r="BL1368" s="24"/>
      <c r="BM1368" s="24"/>
      <c r="BN1368" s="24"/>
      <c r="BO1368" s="24">
        <f>+AQ1368+20</f>
        <v>44322</v>
      </c>
      <c r="BP1368" s="24"/>
      <c r="BQ1368" s="24"/>
      <c r="BR1368" s="24"/>
      <c r="BS1368" s="24"/>
      <c r="BT1368" s="24"/>
      <c r="BU1368" s="24"/>
      <c r="BV1368" s="132" t="e">
        <f>IF(#REF!="COMPLETO","OK","PENDIENTES")</f>
        <v>#REF!</v>
      </c>
      <c r="BW1368" s="132"/>
      <c r="BX1368" s="132"/>
      <c r="BY1368" s="132"/>
      <c r="BZ1368" s="132"/>
      <c r="CA1368" s="132"/>
      <c r="CB1368" s="132"/>
      <c r="CC1368" s="269"/>
      <c r="CG1368" s="24" t="s">
        <v>105</v>
      </c>
      <c r="CH1368" s="24"/>
      <c r="CI1368" s="24"/>
      <c r="CJ1368" s="24"/>
    </row>
    <row r="1369" spans="1:88" ht="15" customHeight="1">
      <c r="A1369" s="18">
        <v>2021</v>
      </c>
      <c r="B1369" s="18" t="str">
        <f>+INDEX(BDD!F:F,MATCH(P1369,BDD!D:D,0))&amp;"-"&amp;INDEX(BDD!E:E,MATCH(P1369,BDD!D:D,0))</f>
        <v>S-P</v>
      </c>
      <c r="C1369" s="125" t="s">
        <v>484</v>
      </c>
      <c r="D1369" s="150" t="s">
        <v>77</v>
      </c>
      <c r="E1369" s="132"/>
      <c r="F1369" s="24"/>
      <c r="G1369" s="346">
        <v>8000001366</v>
      </c>
      <c r="H1369" s="125" t="s">
        <v>5281</v>
      </c>
      <c r="I1369" s="329"/>
      <c r="J1369" s="346">
        <v>8000001366</v>
      </c>
      <c r="K1369" s="24"/>
      <c r="L1369" s="24"/>
      <c r="M1369" s="24"/>
      <c r="N1369" s="340" t="s">
        <v>486</v>
      </c>
      <c r="O1369" s="334">
        <v>206766</v>
      </c>
      <c r="P1369" s="25" t="s">
        <v>2</v>
      </c>
      <c r="Q1369" s="127" t="s">
        <v>237</v>
      </c>
      <c r="R1369" s="232" t="s">
        <v>5277</v>
      </c>
      <c r="S1369" s="89">
        <v>44216</v>
      </c>
      <c r="T1369" s="36">
        <v>90</v>
      </c>
      <c r="U1369" s="125" t="s">
        <v>118</v>
      </c>
      <c r="V1369" s="147" t="s">
        <v>5282</v>
      </c>
      <c r="W1369" s="129"/>
      <c r="X1369" s="88">
        <f>+BD1369+T1369</f>
        <v>44406</v>
      </c>
      <c r="Y1369" s="130" t="s">
        <v>20</v>
      </c>
      <c r="Z1369" s="133" t="s">
        <v>60</v>
      </c>
      <c r="AA1369" s="133"/>
      <c r="AB1369" s="241">
        <v>48</v>
      </c>
      <c r="AC1369" s="134">
        <v>1002</v>
      </c>
      <c r="AD1369" s="134"/>
      <c r="AE1369" s="403">
        <f t="shared" si="76"/>
        <v>48096</v>
      </c>
      <c r="AF1369" s="132">
        <v>2</v>
      </c>
      <c r="AG1369" s="130" t="s">
        <v>5</v>
      </c>
      <c r="AH1369" s="130"/>
      <c r="AI1369" s="130" t="s">
        <v>47</v>
      </c>
      <c r="AJ1369" s="130"/>
      <c r="AK1369" s="130"/>
      <c r="AL1369" s="135" t="s">
        <v>5135</v>
      </c>
      <c r="AM1369" s="314"/>
      <c r="AN1369" s="26"/>
      <c r="AO1369" s="26"/>
      <c r="AP1369" s="26"/>
      <c r="AQ1369" s="26">
        <v>44366</v>
      </c>
      <c r="AR1369" s="24"/>
      <c r="AS1369" s="24"/>
      <c r="AT1369" s="24">
        <v>44378</v>
      </c>
      <c r="AU1369" s="418">
        <f t="shared" si="77"/>
        <v>7</v>
      </c>
      <c r="AV1369" s="418">
        <f t="shared" si="78"/>
        <v>2021</v>
      </c>
      <c r="AW1369" s="24"/>
      <c r="AX1369" s="24"/>
      <c r="AY1369" s="24" t="s">
        <v>302</v>
      </c>
      <c r="AZ1369" s="24" t="s">
        <v>62</v>
      </c>
      <c r="BA1369" s="24"/>
      <c r="BB1369" s="24" t="s">
        <v>3264</v>
      </c>
      <c r="BC1369" s="135" t="s">
        <v>5283</v>
      </c>
      <c r="BD1369" s="24">
        <v>44316</v>
      </c>
      <c r="BE1369" s="24" t="s">
        <v>5284</v>
      </c>
      <c r="BF1369" s="24" t="s">
        <v>1938</v>
      </c>
      <c r="BG1369" s="135" t="s">
        <v>29</v>
      </c>
      <c r="BH1369" s="135"/>
      <c r="BI1369" s="314" t="s">
        <v>124</v>
      </c>
      <c r="BJ1369" s="314" t="s">
        <v>148</v>
      </c>
      <c r="BK1369" s="24"/>
      <c r="BL1369" s="24"/>
      <c r="BM1369" s="24"/>
      <c r="BN1369" s="24"/>
      <c r="BO1369" s="24">
        <v>44383</v>
      </c>
      <c r="BP1369" s="24"/>
      <c r="BQ1369" s="24"/>
      <c r="BR1369" s="24"/>
      <c r="BS1369" s="24"/>
      <c r="BT1369" s="24"/>
      <c r="BU1369" s="24"/>
      <c r="BV1369" s="132" t="e">
        <f>IF(#REF!="COMPLETO","OK","PENDIENTES")</f>
        <v>#REF!</v>
      </c>
      <c r="BW1369" s="132"/>
      <c r="BX1369" s="132"/>
      <c r="BY1369" s="132"/>
      <c r="BZ1369" s="132"/>
      <c r="CA1369" s="132"/>
      <c r="CB1369" s="132"/>
      <c r="CC1369" s="269"/>
      <c r="CG1369" s="24" t="s">
        <v>105</v>
      </c>
      <c r="CH1369" s="24"/>
      <c r="CI1369" s="24"/>
      <c r="CJ1369" s="24"/>
    </row>
    <row r="1370" spans="1:88" ht="15" customHeight="1">
      <c r="A1370" s="18">
        <v>2021</v>
      </c>
      <c r="B1370" s="18" t="str">
        <f>+INDEX(BDD!F:F,MATCH(P1370,BDD!D:D,0))&amp;"-"&amp;INDEX(BDD!E:E,MATCH(P1370,BDD!D:D,0))</f>
        <v>G-S</v>
      </c>
      <c r="C1370" s="125" t="s">
        <v>484</v>
      </c>
      <c r="D1370" s="150" t="s">
        <v>77</v>
      </c>
      <c r="E1370" s="132"/>
      <c r="F1370" s="24"/>
      <c r="G1370" s="346">
        <v>8000001324</v>
      </c>
      <c r="H1370" s="125" t="s">
        <v>5285</v>
      </c>
      <c r="I1370" s="329"/>
      <c r="J1370" s="346">
        <v>8000001324</v>
      </c>
      <c r="K1370" s="24"/>
      <c r="L1370" s="24"/>
      <c r="M1370" s="24"/>
      <c r="N1370" s="340" t="s">
        <v>486</v>
      </c>
      <c r="O1370" s="334">
        <v>206597</v>
      </c>
      <c r="P1370" s="25" t="s">
        <v>104</v>
      </c>
      <c r="Q1370" s="127" t="s">
        <v>285</v>
      </c>
      <c r="R1370" s="232" t="s">
        <v>5286</v>
      </c>
      <c r="S1370" s="89">
        <v>44312</v>
      </c>
      <c r="T1370" s="36" t="s">
        <v>19</v>
      </c>
      <c r="U1370" s="125"/>
      <c r="V1370" s="147" t="s">
        <v>5287</v>
      </c>
      <c r="W1370" s="129"/>
      <c r="X1370" s="88">
        <v>44314</v>
      </c>
      <c r="Y1370" s="130" t="s">
        <v>20</v>
      </c>
      <c r="Z1370" s="133" t="s">
        <v>60</v>
      </c>
      <c r="AA1370" s="133"/>
      <c r="AB1370" s="241">
        <v>180</v>
      </c>
      <c r="AC1370" s="134">
        <v>270</v>
      </c>
      <c r="AD1370" s="134">
        <v>69</v>
      </c>
      <c r="AE1370" s="403">
        <f t="shared" si="76"/>
        <v>48600</v>
      </c>
      <c r="AF1370" s="132"/>
      <c r="AG1370" s="130" t="s">
        <v>46</v>
      </c>
      <c r="AH1370" s="130"/>
      <c r="AI1370" s="130" t="s">
        <v>100</v>
      </c>
      <c r="AJ1370" s="130"/>
      <c r="AK1370" s="130"/>
      <c r="AL1370" s="135" t="s">
        <v>5156</v>
      </c>
      <c r="AM1370" s="314"/>
      <c r="AN1370" s="26"/>
      <c r="AO1370" s="26"/>
      <c r="AP1370" s="26"/>
      <c r="AQ1370" s="26">
        <v>44349</v>
      </c>
      <c r="AR1370" s="24"/>
      <c r="AS1370" s="24"/>
      <c r="AT1370" s="24">
        <v>44352</v>
      </c>
      <c r="AU1370" s="418">
        <f t="shared" si="77"/>
        <v>6</v>
      </c>
      <c r="AV1370" s="418">
        <f t="shared" si="78"/>
        <v>2021</v>
      </c>
      <c r="AW1370" s="24"/>
      <c r="AX1370" s="24"/>
      <c r="AY1370" s="24" t="s">
        <v>281</v>
      </c>
      <c r="AZ1370" s="24" t="s">
        <v>9</v>
      </c>
      <c r="BA1370" s="24"/>
      <c r="BB1370" s="24" t="s">
        <v>3264</v>
      </c>
      <c r="BC1370" s="135" t="s">
        <v>5258</v>
      </c>
      <c r="BD1370" s="24">
        <v>44314</v>
      </c>
      <c r="BE1370" s="24" t="s">
        <v>5288</v>
      </c>
      <c r="BF1370" s="24" t="s">
        <v>5288</v>
      </c>
      <c r="BG1370" s="135" t="s">
        <v>52</v>
      </c>
      <c r="BH1370" s="135"/>
      <c r="BI1370" s="314" t="s">
        <v>117</v>
      </c>
      <c r="BJ1370" s="314" t="s">
        <v>143</v>
      </c>
      <c r="BK1370" s="24"/>
      <c r="BL1370" s="24"/>
      <c r="BM1370" s="24"/>
      <c r="BN1370" s="24"/>
      <c r="BO1370" s="24"/>
      <c r="BP1370" s="24"/>
      <c r="BQ1370" s="24"/>
      <c r="BR1370" s="24"/>
      <c r="BS1370" s="24"/>
      <c r="BT1370" s="24"/>
      <c r="BU1370" s="24"/>
      <c r="BV1370" s="132" t="e">
        <f>IF(#REF!="COMPLETO","OK","PENDIENTES")</f>
        <v>#REF!</v>
      </c>
      <c r="BW1370" s="132"/>
      <c r="BX1370" s="132"/>
      <c r="BY1370" s="132"/>
      <c r="BZ1370" s="132"/>
      <c r="CA1370" s="132"/>
      <c r="CB1370" s="132"/>
      <c r="CC1370" s="269"/>
      <c r="CG1370" s="24" t="s">
        <v>105</v>
      </c>
      <c r="CH1370" s="24"/>
      <c r="CI1370" s="24"/>
      <c r="CJ1370" s="24"/>
    </row>
    <row r="1371" spans="1:88" ht="15" customHeight="1">
      <c r="A1371" s="18">
        <v>2021</v>
      </c>
      <c r="B1371" s="18" t="str">
        <f>+INDEX(BDD!F:F,MATCH(P1371,BDD!D:D,0))&amp;"-"&amp;INDEX(BDD!E:E,MATCH(P1371,BDD!D:D,0))</f>
        <v>G-S</v>
      </c>
      <c r="C1371" s="125" t="s">
        <v>484</v>
      </c>
      <c r="D1371" s="150" t="s">
        <v>77</v>
      </c>
      <c r="E1371" s="132"/>
      <c r="F1371" s="24"/>
      <c r="G1371" s="346">
        <v>8000001326</v>
      </c>
      <c r="H1371" s="125" t="s">
        <v>5289</v>
      </c>
      <c r="I1371" s="329"/>
      <c r="J1371" s="346">
        <v>8000001326</v>
      </c>
      <c r="K1371" s="24"/>
      <c r="L1371" s="24"/>
      <c r="M1371" s="24"/>
      <c r="N1371" s="340" t="s">
        <v>486</v>
      </c>
      <c r="O1371" s="334">
        <v>206597</v>
      </c>
      <c r="P1371" s="25" t="s">
        <v>104</v>
      </c>
      <c r="Q1371" s="127" t="s">
        <v>285</v>
      </c>
      <c r="R1371" s="232" t="s">
        <v>5286</v>
      </c>
      <c r="S1371" s="89">
        <v>44312</v>
      </c>
      <c r="T1371" s="36" t="s">
        <v>19</v>
      </c>
      <c r="U1371" s="125"/>
      <c r="V1371" s="147" t="s">
        <v>5290</v>
      </c>
      <c r="W1371" s="129"/>
      <c r="X1371" s="88">
        <v>44314</v>
      </c>
      <c r="Y1371" s="130" t="s">
        <v>20</v>
      </c>
      <c r="Z1371" s="133" t="s">
        <v>60</v>
      </c>
      <c r="AA1371" s="133"/>
      <c r="AB1371" s="241">
        <v>1620</v>
      </c>
      <c r="AC1371" s="134">
        <v>270</v>
      </c>
      <c r="AD1371" s="134">
        <v>69</v>
      </c>
      <c r="AE1371" s="403">
        <f t="shared" si="76"/>
        <v>437400</v>
      </c>
      <c r="AF1371" s="132"/>
      <c r="AG1371" s="130" t="s">
        <v>46</v>
      </c>
      <c r="AH1371" s="130"/>
      <c r="AI1371" s="130" t="s">
        <v>100</v>
      </c>
      <c r="AJ1371" s="130"/>
      <c r="AK1371" s="130"/>
      <c r="AL1371" s="135" t="s">
        <v>5156</v>
      </c>
      <c r="AM1371" s="314"/>
      <c r="AN1371" s="26"/>
      <c r="AO1371" s="26"/>
      <c r="AP1371" s="26"/>
      <c r="AQ1371" s="26">
        <v>44352</v>
      </c>
      <c r="AR1371" s="24"/>
      <c r="AS1371" s="24"/>
      <c r="AT1371" s="24">
        <v>44356</v>
      </c>
      <c r="AU1371" s="418">
        <f t="shared" si="77"/>
        <v>6</v>
      </c>
      <c r="AV1371" s="418">
        <f t="shared" si="78"/>
        <v>2021</v>
      </c>
      <c r="AW1371" s="24"/>
      <c r="AX1371" s="24"/>
      <c r="AY1371" s="24" t="s">
        <v>281</v>
      </c>
      <c r="AZ1371" s="24" t="s">
        <v>25</v>
      </c>
      <c r="BA1371" s="24"/>
      <c r="BB1371" s="24" t="s">
        <v>3264</v>
      </c>
      <c r="BC1371" s="135" t="s">
        <v>5261</v>
      </c>
      <c r="BD1371" s="24">
        <v>44314</v>
      </c>
      <c r="BE1371" s="24" t="s">
        <v>5288</v>
      </c>
      <c r="BF1371" s="24" t="s">
        <v>5288</v>
      </c>
      <c r="BG1371" s="135" t="s">
        <v>52</v>
      </c>
      <c r="BH1371" s="135"/>
      <c r="BI1371" s="314" t="s">
        <v>117</v>
      </c>
      <c r="BJ1371" s="314" t="s">
        <v>143</v>
      </c>
      <c r="BK1371" s="24"/>
      <c r="BL1371" s="24"/>
      <c r="BM1371" s="24"/>
      <c r="BN1371" s="24"/>
      <c r="BO1371" s="24"/>
      <c r="BP1371" s="24"/>
      <c r="BQ1371" s="24"/>
      <c r="BR1371" s="24"/>
      <c r="BS1371" s="24"/>
      <c r="BT1371" s="24"/>
      <c r="BU1371" s="24"/>
      <c r="BV1371" s="132" t="e">
        <f>IF(#REF!="COMPLETO","OK","PENDIENTES")</f>
        <v>#REF!</v>
      </c>
      <c r="BW1371" s="132"/>
      <c r="BX1371" s="132"/>
      <c r="BY1371" s="132"/>
      <c r="BZ1371" s="132"/>
      <c r="CA1371" s="132"/>
      <c r="CB1371" s="132"/>
      <c r="CC1371" s="269"/>
      <c r="CG1371" s="24" t="s">
        <v>105</v>
      </c>
      <c r="CH1371" s="24"/>
      <c r="CI1371" s="24"/>
      <c r="CJ1371" s="24"/>
    </row>
    <row r="1372" spans="1:88" ht="15" customHeight="1">
      <c r="A1372" s="18">
        <v>2021</v>
      </c>
      <c r="B1372" s="18" t="str">
        <f>+INDEX(BDD!F:F,MATCH(P1372,BDD!D:D,0))&amp;"-"&amp;INDEX(BDD!E:E,MATCH(P1372,BDD!D:D,0))</f>
        <v>G-S</v>
      </c>
      <c r="C1372" s="125" t="s">
        <v>484</v>
      </c>
      <c r="D1372" s="150" t="s">
        <v>77</v>
      </c>
      <c r="E1372" s="132"/>
      <c r="F1372" s="24"/>
      <c r="G1372" s="346">
        <v>8000001354</v>
      </c>
      <c r="H1372" s="125" t="s">
        <v>5291</v>
      </c>
      <c r="I1372" s="329"/>
      <c r="J1372" s="346">
        <v>8000001354</v>
      </c>
      <c r="K1372" s="24"/>
      <c r="L1372" s="24"/>
      <c r="M1372" s="24"/>
      <c r="N1372" s="340" t="s">
        <v>486</v>
      </c>
      <c r="O1372" s="334">
        <v>206597</v>
      </c>
      <c r="P1372" s="25" t="s">
        <v>104</v>
      </c>
      <c r="Q1372" s="127" t="s">
        <v>285</v>
      </c>
      <c r="R1372" s="232" t="s">
        <v>5286</v>
      </c>
      <c r="S1372" s="89">
        <v>44312</v>
      </c>
      <c r="T1372" s="36" t="s">
        <v>19</v>
      </c>
      <c r="U1372" s="125"/>
      <c r="V1372" s="147" t="s">
        <v>5292</v>
      </c>
      <c r="W1372" s="129"/>
      <c r="X1372" s="88">
        <v>44314</v>
      </c>
      <c r="Y1372" s="130" t="s">
        <v>20</v>
      </c>
      <c r="Z1372" s="133" t="s">
        <v>60</v>
      </c>
      <c r="AA1372" s="133"/>
      <c r="AB1372" s="241">
        <v>2430</v>
      </c>
      <c r="AC1372" s="134">
        <v>270</v>
      </c>
      <c r="AD1372" s="134">
        <v>69</v>
      </c>
      <c r="AE1372" s="403">
        <f t="shared" si="76"/>
        <v>656100</v>
      </c>
      <c r="AF1372" s="132"/>
      <c r="AG1372" s="130" t="s">
        <v>46</v>
      </c>
      <c r="AH1372" s="130"/>
      <c r="AI1372" s="130" t="s">
        <v>100</v>
      </c>
      <c r="AJ1372" s="130"/>
      <c r="AK1372" s="130"/>
      <c r="AL1372" s="135" t="s">
        <v>5156</v>
      </c>
      <c r="AM1372" s="314"/>
      <c r="AN1372" s="26"/>
      <c r="AO1372" s="26"/>
      <c r="AP1372" s="26"/>
      <c r="AQ1372" s="26">
        <v>44359</v>
      </c>
      <c r="AR1372" s="24"/>
      <c r="AS1372" s="24"/>
      <c r="AT1372" s="24">
        <v>44363</v>
      </c>
      <c r="AU1372" s="418">
        <f t="shared" si="77"/>
        <v>6</v>
      </c>
      <c r="AV1372" s="418">
        <f t="shared" si="78"/>
        <v>2021</v>
      </c>
      <c r="AW1372" s="24"/>
      <c r="AX1372" s="24"/>
      <c r="AY1372" s="24" t="s">
        <v>281</v>
      </c>
      <c r="AZ1372" s="24" t="s">
        <v>50</v>
      </c>
      <c r="BA1372" s="24"/>
      <c r="BB1372" s="24" t="s">
        <v>2956</v>
      </c>
      <c r="BC1372" s="135" t="s">
        <v>5264</v>
      </c>
      <c r="BD1372" s="24">
        <v>44314</v>
      </c>
      <c r="BE1372" s="24" t="s">
        <v>5288</v>
      </c>
      <c r="BF1372" s="24" t="s">
        <v>5288</v>
      </c>
      <c r="BG1372" s="135" t="s">
        <v>52</v>
      </c>
      <c r="BH1372" s="135"/>
      <c r="BI1372" s="314" t="s">
        <v>117</v>
      </c>
      <c r="BJ1372" s="314" t="s">
        <v>143</v>
      </c>
      <c r="BK1372" s="24"/>
      <c r="BL1372" s="24"/>
      <c r="BM1372" s="24"/>
      <c r="BN1372" s="24"/>
      <c r="BO1372" s="24"/>
      <c r="BP1372" s="24"/>
      <c r="BQ1372" s="24"/>
      <c r="BR1372" s="24"/>
      <c r="BS1372" s="24"/>
      <c r="BT1372" s="24"/>
      <c r="BU1372" s="24"/>
      <c r="BV1372" s="132" t="e">
        <f>IF(#REF!="COMPLETO","OK","PENDIENTES")</f>
        <v>#REF!</v>
      </c>
      <c r="BW1372" s="132"/>
      <c r="BX1372" s="132"/>
      <c r="BY1372" s="132"/>
      <c r="BZ1372" s="132"/>
      <c r="CA1372" s="132"/>
      <c r="CB1372" s="132"/>
      <c r="CC1372" s="269" t="s">
        <v>5293</v>
      </c>
      <c r="CG1372" s="24" t="s">
        <v>105</v>
      </c>
      <c r="CH1372" s="24"/>
      <c r="CI1372" s="24"/>
      <c r="CJ1372" s="24"/>
    </row>
    <row r="1373" spans="1:88" ht="15" customHeight="1">
      <c r="A1373" s="18">
        <v>2021</v>
      </c>
      <c r="B1373" s="18" t="str">
        <f>+INDEX(BDD!F:F,MATCH(P1373,BDD!D:D,0))&amp;"-"&amp;INDEX(BDD!E:E,MATCH(P1373,BDD!D:D,0))</f>
        <v>G-S</v>
      </c>
      <c r="C1373" s="125" t="s">
        <v>484</v>
      </c>
      <c r="D1373" s="150" t="s">
        <v>77</v>
      </c>
      <c r="E1373" s="132"/>
      <c r="F1373" s="24"/>
      <c r="G1373" s="346">
        <v>8000001330</v>
      </c>
      <c r="H1373" s="125" t="s">
        <v>5294</v>
      </c>
      <c r="I1373" s="329"/>
      <c r="J1373" s="346">
        <v>8000001330</v>
      </c>
      <c r="K1373" s="24"/>
      <c r="L1373" s="24"/>
      <c r="M1373" s="24"/>
      <c r="N1373" s="340" t="s">
        <v>486</v>
      </c>
      <c r="O1373" s="334">
        <v>206597</v>
      </c>
      <c r="P1373" s="25" t="s">
        <v>104</v>
      </c>
      <c r="Q1373" s="127" t="s">
        <v>285</v>
      </c>
      <c r="R1373" s="232" t="s">
        <v>5286</v>
      </c>
      <c r="S1373" s="89">
        <v>44312</v>
      </c>
      <c r="T1373" s="36" t="s">
        <v>19</v>
      </c>
      <c r="U1373" s="125"/>
      <c r="V1373" s="147" t="s">
        <v>5295</v>
      </c>
      <c r="W1373" s="129"/>
      <c r="X1373" s="88">
        <v>44314</v>
      </c>
      <c r="Y1373" s="130" t="s">
        <v>20</v>
      </c>
      <c r="Z1373" s="133" t="s">
        <v>60</v>
      </c>
      <c r="AA1373" s="133"/>
      <c r="AB1373" s="241">
        <v>90</v>
      </c>
      <c r="AC1373" s="134">
        <v>270</v>
      </c>
      <c r="AD1373" s="134">
        <v>69</v>
      </c>
      <c r="AE1373" s="403">
        <f t="shared" si="76"/>
        <v>24300</v>
      </c>
      <c r="AF1373" s="132"/>
      <c r="AG1373" s="130" t="s">
        <v>46</v>
      </c>
      <c r="AH1373" s="130"/>
      <c r="AI1373" s="130" t="s">
        <v>100</v>
      </c>
      <c r="AJ1373" s="130"/>
      <c r="AK1373" s="130"/>
      <c r="AL1373" s="135" t="s">
        <v>5156</v>
      </c>
      <c r="AM1373" s="314"/>
      <c r="AN1373" s="26"/>
      <c r="AO1373" s="26"/>
      <c r="AP1373" s="26"/>
      <c r="AQ1373" s="26">
        <v>44359</v>
      </c>
      <c r="AR1373" s="24"/>
      <c r="AS1373" s="24"/>
      <c r="AT1373" s="24">
        <v>44363</v>
      </c>
      <c r="AU1373" s="418">
        <f t="shared" si="77"/>
        <v>6</v>
      </c>
      <c r="AV1373" s="418">
        <f t="shared" si="78"/>
        <v>2021</v>
      </c>
      <c r="AW1373" s="24"/>
      <c r="AX1373" s="24"/>
      <c r="AY1373" s="24" t="s">
        <v>281</v>
      </c>
      <c r="AZ1373" s="24" t="s">
        <v>50</v>
      </c>
      <c r="BA1373" s="24"/>
      <c r="BB1373" s="24" t="s">
        <v>2956</v>
      </c>
      <c r="BC1373" s="135" t="s">
        <v>5267</v>
      </c>
      <c r="BD1373" s="24">
        <v>44314</v>
      </c>
      <c r="BE1373" s="24" t="s">
        <v>5288</v>
      </c>
      <c r="BF1373" s="24" t="s">
        <v>5288</v>
      </c>
      <c r="BG1373" s="135" t="s">
        <v>52</v>
      </c>
      <c r="BH1373" s="135"/>
      <c r="BI1373" s="314" t="s">
        <v>117</v>
      </c>
      <c r="BJ1373" s="314" t="s">
        <v>143</v>
      </c>
      <c r="BK1373" s="24"/>
      <c r="BL1373" s="24"/>
      <c r="BM1373" s="24"/>
      <c r="BN1373" s="24"/>
      <c r="BO1373" s="24"/>
      <c r="BP1373" s="24"/>
      <c r="BQ1373" s="24"/>
      <c r="BR1373" s="24"/>
      <c r="BS1373" s="24"/>
      <c r="BT1373" s="24"/>
      <c r="BU1373" s="24"/>
      <c r="BV1373" s="132" t="e">
        <f>IF(#REF!="COMPLETO","OK","PENDIENTES")</f>
        <v>#REF!</v>
      </c>
      <c r="BW1373" s="132"/>
      <c r="BX1373" s="132"/>
      <c r="BY1373" s="132"/>
      <c r="BZ1373" s="132"/>
      <c r="CA1373" s="132"/>
      <c r="CB1373" s="132"/>
      <c r="CC1373" s="269"/>
      <c r="CG1373" s="24" t="s">
        <v>105</v>
      </c>
      <c r="CH1373" s="24"/>
      <c r="CI1373" s="24"/>
      <c r="CJ1373" s="24"/>
    </row>
    <row r="1374" spans="1:88" ht="15" customHeight="1">
      <c r="A1374" s="18">
        <v>2021</v>
      </c>
      <c r="B1374" s="18" t="str">
        <f>+INDEX(BDD!F:F,MATCH(P1374,BDD!D:D,0))&amp;"-"&amp;INDEX(BDD!E:E,MATCH(P1374,BDD!D:D,0))</f>
        <v>G-S</v>
      </c>
      <c r="C1374" s="125" t="s">
        <v>484</v>
      </c>
      <c r="D1374" s="150" t="s">
        <v>77</v>
      </c>
      <c r="E1374" s="132"/>
      <c r="F1374" s="24"/>
      <c r="G1374" s="346">
        <v>8000001332</v>
      </c>
      <c r="H1374" s="125" t="s">
        <v>5296</v>
      </c>
      <c r="I1374" s="329"/>
      <c r="J1374" s="346">
        <v>8000001332</v>
      </c>
      <c r="K1374" s="24"/>
      <c r="L1374" s="24"/>
      <c r="M1374" s="24"/>
      <c r="N1374" s="340" t="s">
        <v>486</v>
      </c>
      <c r="O1374" s="334">
        <v>206597</v>
      </c>
      <c r="P1374" s="25" t="s">
        <v>104</v>
      </c>
      <c r="Q1374" s="127" t="s">
        <v>285</v>
      </c>
      <c r="R1374" s="232" t="s">
        <v>5286</v>
      </c>
      <c r="S1374" s="89">
        <v>44312</v>
      </c>
      <c r="T1374" s="36" t="s">
        <v>19</v>
      </c>
      <c r="U1374" s="125"/>
      <c r="V1374" s="147" t="s">
        <v>5297</v>
      </c>
      <c r="W1374" s="129"/>
      <c r="X1374" s="88">
        <v>44314</v>
      </c>
      <c r="Y1374" s="130" t="s">
        <v>20</v>
      </c>
      <c r="Z1374" s="133" t="s">
        <v>60</v>
      </c>
      <c r="AA1374" s="133"/>
      <c r="AB1374" s="241">
        <v>1530</v>
      </c>
      <c r="AC1374" s="134">
        <v>270</v>
      </c>
      <c r="AD1374" s="134">
        <v>69</v>
      </c>
      <c r="AE1374" s="403">
        <f t="shared" si="76"/>
        <v>413100</v>
      </c>
      <c r="AF1374" s="132"/>
      <c r="AG1374" s="130" t="s">
        <v>46</v>
      </c>
      <c r="AH1374" s="130"/>
      <c r="AI1374" s="130" t="s">
        <v>100</v>
      </c>
      <c r="AJ1374" s="130"/>
      <c r="AK1374" s="130"/>
      <c r="AL1374" s="135" t="s">
        <v>5156</v>
      </c>
      <c r="AM1374" s="314"/>
      <c r="AN1374" s="26"/>
      <c r="AO1374" s="26"/>
      <c r="AP1374" s="26"/>
      <c r="AQ1374" s="26">
        <v>44363</v>
      </c>
      <c r="AR1374" s="24"/>
      <c r="AS1374" s="24"/>
      <c r="AT1374" s="24">
        <v>44368</v>
      </c>
      <c r="AU1374" s="418">
        <f t="shared" si="77"/>
        <v>6</v>
      </c>
      <c r="AV1374" s="418">
        <f t="shared" si="78"/>
        <v>2021</v>
      </c>
      <c r="AW1374" s="24"/>
      <c r="AX1374" s="24"/>
      <c r="AY1374" s="24" t="s">
        <v>281</v>
      </c>
      <c r="AZ1374" s="24" t="s">
        <v>62</v>
      </c>
      <c r="BA1374" s="24"/>
      <c r="BB1374" s="24" t="s">
        <v>3264</v>
      </c>
      <c r="BC1374" s="135" t="s">
        <v>5270</v>
      </c>
      <c r="BD1374" s="24">
        <v>44314</v>
      </c>
      <c r="BE1374" s="24" t="s">
        <v>5288</v>
      </c>
      <c r="BF1374" s="24" t="s">
        <v>5288</v>
      </c>
      <c r="BG1374" s="135" t="s">
        <v>52</v>
      </c>
      <c r="BH1374" s="135"/>
      <c r="BI1374" s="314" t="s">
        <v>117</v>
      </c>
      <c r="BJ1374" s="314" t="s">
        <v>143</v>
      </c>
      <c r="BK1374" s="24"/>
      <c r="BL1374" s="24"/>
      <c r="BM1374" s="24"/>
      <c r="BN1374" s="24"/>
      <c r="BO1374" s="24"/>
      <c r="BP1374" s="24"/>
      <c r="BQ1374" s="24"/>
      <c r="BR1374" s="24"/>
      <c r="BS1374" s="24"/>
      <c r="BT1374" s="24"/>
      <c r="BU1374" s="24"/>
      <c r="BV1374" s="132" t="e">
        <f>IF(#REF!="COMPLETO","OK","PENDIENTES")</f>
        <v>#REF!</v>
      </c>
      <c r="BW1374" s="132"/>
      <c r="BX1374" s="132"/>
      <c r="BY1374" s="132"/>
      <c r="BZ1374" s="132"/>
      <c r="CA1374" s="132"/>
      <c r="CB1374" s="132"/>
      <c r="CC1374" s="269"/>
      <c r="CG1374" s="24" t="s">
        <v>105</v>
      </c>
      <c r="CH1374" s="24"/>
      <c r="CI1374" s="24"/>
      <c r="CJ1374" s="24"/>
    </row>
    <row r="1375" spans="1:88" ht="15" customHeight="1">
      <c r="A1375" s="18">
        <v>2021</v>
      </c>
      <c r="B1375" s="18" t="str">
        <f>+INDEX(BDD!F:F,MATCH(P1375,BDD!D:D,0))&amp;"-"&amp;INDEX(BDD!E:E,MATCH(P1375,BDD!D:D,0))</f>
        <v>G-S</v>
      </c>
      <c r="C1375" s="125" t="s">
        <v>484</v>
      </c>
      <c r="D1375" s="150" t="s">
        <v>77</v>
      </c>
      <c r="E1375" s="132"/>
      <c r="F1375" s="24"/>
      <c r="G1375" s="346">
        <v>8000001321</v>
      </c>
      <c r="H1375" s="125" t="s">
        <v>5298</v>
      </c>
      <c r="I1375" s="329"/>
      <c r="J1375" s="346">
        <v>8000001321</v>
      </c>
      <c r="K1375" s="24"/>
      <c r="L1375" s="24"/>
      <c r="M1375" s="24"/>
      <c r="N1375" s="340" t="s">
        <v>486</v>
      </c>
      <c r="O1375" s="334">
        <v>207485</v>
      </c>
      <c r="P1375" s="25" t="s">
        <v>353</v>
      </c>
      <c r="Q1375" s="127" t="s">
        <v>273</v>
      </c>
      <c r="R1375" s="232" t="s">
        <v>5216</v>
      </c>
      <c r="S1375" s="89">
        <v>44256</v>
      </c>
      <c r="T1375" s="36" t="s">
        <v>19</v>
      </c>
      <c r="U1375" s="125"/>
      <c r="V1375" s="147" t="s">
        <v>5299</v>
      </c>
      <c r="W1375" s="129"/>
      <c r="X1375" s="88">
        <v>44309</v>
      </c>
      <c r="Y1375" s="130" t="s">
        <v>20</v>
      </c>
      <c r="Z1375" s="133" t="s">
        <v>60</v>
      </c>
      <c r="AA1375" s="133"/>
      <c r="AB1375" s="241">
        <v>600</v>
      </c>
      <c r="AC1375" s="134">
        <v>399</v>
      </c>
      <c r="AD1375" s="134"/>
      <c r="AE1375" s="403">
        <f t="shared" si="76"/>
        <v>239400</v>
      </c>
      <c r="AF1375" s="132"/>
      <c r="AG1375" s="130" t="s">
        <v>46</v>
      </c>
      <c r="AH1375" s="130"/>
      <c r="AI1375" s="130" t="s">
        <v>100</v>
      </c>
      <c r="AJ1375" s="130"/>
      <c r="AK1375" s="130"/>
      <c r="AL1375" s="135" t="s">
        <v>5076</v>
      </c>
      <c r="AM1375" s="314"/>
      <c r="AN1375" s="26"/>
      <c r="AO1375" s="26"/>
      <c r="AP1375" s="26"/>
      <c r="AQ1375" s="26">
        <f>+AQ1352</f>
        <v>44343</v>
      </c>
      <c r="AR1375" s="24"/>
      <c r="AS1375" s="24"/>
      <c r="AT1375" s="24">
        <v>44345</v>
      </c>
      <c r="AU1375" s="418">
        <f t="shared" si="77"/>
        <v>5</v>
      </c>
      <c r="AV1375" s="418">
        <f t="shared" si="78"/>
        <v>2021</v>
      </c>
      <c r="AW1375" s="24"/>
      <c r="AX1375" s="24"/>
      <c r="AY1375" s="24" t="s">
        <v>3437</v>
      </c>
      <c r="AZ1375" s="24" t="s">
        <v>25</v>
      </c>
      <c r="BA1375" s="24"/>
      <c r="BB1375" s="24" t="s">
        <v>3264</v>
      </c>
      <c r="BC1375" s="135" t="s">
        <v>5300</v>
      </c>
      <c r="BD1375" s="24">
        <v>44295</v>
      </c>
      <c r="BE1375" s="24" t="s">
        <v>5219</v>
      </c>
      <c r="BF1375" s="24" t="s">
        <v>5219</v>
      </c>
      <c r="BG1375" s="135" t="s">
        <v>52</v>
      </c>
      <c r="BH1375" s="135"/>
      <c r="BI1375" s="314" t="s">
        <v>117</v>
      </c>
      <c r="BJ1375" s="314" t="s">
        <v>143</v>
      </c>
      <c r="BK1375" s="24"/>
      <c r="BL1375" s="24"/>
      <c r="BM1375" s="24"/>
      <c r="BN1375" s="24"/>
      <c r="BO1375" s="24"/>
      <c r="BP1375" s="24"/>
      <c r="BQ1375" s="24"/>
      <c r="BR1375" s="24"/>
      <c r="BS1375" s="24"/>
      <c r="BT1375" s="24"/>
      <c r="BU1375" s="24"/>
      <c r="BV1375" s="132" t="e">
        <f>IF(#REF!="COMPLETO","OK","PENDIENTES")</f>
        <v>#REF!</v>
      </c>
      <c r="BW1375" s="132"/>
      <c r="BX1375" s="132"/>
      <c r="BY1375" s="132"/>
      <c r="BZ1375" s="132"/>
      <c r="CA1375" s="132"/>
      <c r="CB1375" s="132"/>
      <c r="CC1375" s="269"/>
      <c r="CG1375" s="24" t="s">
        <v>105</v>
      </c>
      <c r="CH1375" s="24"/>
      <c r="CI1375" s="24"/>
      <c r="CJ1375" s="24"/>
    </row>
    <row r="1376" spans="1:88" ht="15" customHeight="1">
      <c r="A1376" s="18">
        <v>2021</v>
      </c>
      <c r="B1376" s="18" t="str">
        <f>+INDEX(BDD!F:F,MATCH(P1376,BDD!D:D,0))&amp;"-"&amp;INDEX(BDD!E:E,MATCH(P1376,BDD!D:D,0))</f>
        <v>G-S</v>
      </c>
      <c r="C1376" s="125" t="s">
        <v>484</v>
      </c>
      <c r="D1376" s="150" t="s">
        <v>77</v>
      </c>
      <c r="E1376" s="132"/>
      <c r="F1376" s="24"/>
      <c r="G1376" s="346">
        <v>8000001340</v>
      </c>
      <c r="H1376" s="125" t="s">
        <v>5301</v>
      </c>
      <c r="I1376" s="329"/>
      <c r="J1376" s="346">
        <v>8000001340</v>
      </c>
      <c r="K1376" s="24"/>
      <c r="L1376" s="24"/>
      <c r="M1376" s="24"/>
      <c r="N1376" s="340" t="s">
        <v>486</v>
      </c>
      <c r="O1376" s="334">
        <v>207485</v>
      </c>
      <c r="P1376" s="25" t="s">
        <v>353</v>
      </c>
      <c r="Q1376" s="127" t="s">
        <v>273</v>
      </c>
      <c r="R1376" s="232" t="s">
        <v>5216</v>
      </c>
      <c r="S1376" s="89">
        <v>44256</v>
      </c>
      <c r="T1376" s="36" t="s">
        <v>19</v>
      </c>
      <c r="U1376" s="125"/>
      <c r="V1376" s="147" t="s">
        <v>5302</v>
      </c>
      <c r="W1376" s="129"/>
      <c r="X1376" s="88">
        <v>44309</v>
      </c>
      <c r="Y1376" s="130" t="s">
        <v>20</v>
      </c>
      <c r="Z1376" s="133" t="s">
        <v>60</v>
      </c>
      <c r="AA1376" s="133"/>
      <c r="AB1376" s="241">
        <v>2400</v>
      </c>
      <c r="AC1376" s="134">
        <v>399</v>
      </c>
      <c r="AD1376" s="134"/>
      <c r="AE1376" s="403">
        <f t="shared" si="76"/>
        <v>957600</v>
      </c>
      <c r="AF1376" s="132"/>
      <c r="AG1376" s="130" t="s">
        <v>46</v>
      </c>
      <c r="AH1376" s="130"/>
      <c r="AI1376" s="130" t="s">
        <v>100</v>
      </c>
      <c r="AJ1376" s="130"/>
      <c r="AK1376" s="130"/>
      <c r="AL1376" s="135" t="s">
        <v>5076</v>
      </c>
      <c r="AM1376" s="314"/>
      <c r="AN1376" s="26"/>
      <c r="AO1376" s="26"/>
      <c r="AP1376" s="26"/>
      <c r="AQ1376" s="26">
        <v>44356</v>
      </c>
      <c r="AR1376" s="24"/>
      <c r="AS1376" s="24"/>
      <c r="AT1376" s="24">
        <v>44363</v>
      </c>
      <c r="AU1376" s="418">
        <f t="shared" si="77"/>
        <v>6</v>
      </c>
      <c r="AV1376" s="418">
        <f t="shared" si="78"/>
        <v>2021</v>
      </c>
      <c r="AW1376" s="24"/>
      <c r="AX1376" s="24"/>
      <c r="AY1376" s="24" t="s">
        <v>3437</v>
      </c>
      <c r="AZ1376" s="24" t="s">
        <v>37</v>
      </c>
      <c r="BA1376" s="24"/>
      <c r="BB1376" s="24" t="s">
        <v>3593</v>
      </c>
      <c r="BC1376" s="135" t="s">
        <v>5303</v>
      </c>
      <c r="BD1376" s="24">
        <v>44295</v>
      </c>
      <c r="BE1376" s="24" t="s">
        <v>5219</v>
      </c>
      <c r="BF1376" s="24" t="s">
        <v>5219</v>
      </c>
      <c r="BG1376" s="135" t="s">
        <v>52</v>
      </c>
      <c r="BH1376" s="135"/>
      <c r="BI1376" s="314" t="s">
        <v>117</v>
      </c>
      <c r="BJ1376" s="314" t="s">
        <v>143</v>
      </c>
      <c r="BK1376" s="24"/>
      <c r="BL1376" s="24"/>
      <c r="BM1376" s="24"/>
      <c r="BN1376" s="24"/>
      <c r="BO1376" s="24"/>
      <c r="BP1376" s="24"/>
      <c r="BQ1376" s="24"/>
      <c r="BR1376" s="24"/>
      <c r="BS1376" s="24"/>
      <c r="BT1376" s="24"/>
      <c r="BU1376" s="24"/>
      <c r="BV1376" s="132" t="e">
        <f>IF(#REF!="COMPLETO","OK","PENDIENTES")</f>
        <v>#REF!</v>
      </c>
      <c r="BW1376" s="132"/>
      <c r="BX1376" s="132"/>
      <c r="BY1376" s="132"/>
      <c r="BZ1376" s="132"/>
      <c r="CA1376" s="132"/>
      <c r="CB1376" s="132"/>
      <c r="CC1376" s="269"/>
      <c r="CG1376" s="24" t="s">
        <v>105</v>
      </c>
      <c r="CH1376" s="24"/>
      <c r="CI1376" s="24"/>
      <c r="CJ1376" s="24"/>
    </row>
    <row r="1377" spans="1:88" ht="15" customHeight="1">
      <c r="A1377" s="18">
        <v>2021</v>
      </c>
      <c r="B1377" s="18" t="str">
        <f>+INDEX(BDD!F:F,MATCH(P1377,BDD!D:D,0))&amp;"-"&amp;INDEX(BDD!E:E,MATCH(P1377,BDD!D:D,0))</f>
        <v>G-S</v>
      </c>
      <c r="C1377" s="125" t="s">
        <v>484</v>
      </c>
      <c r="D1377" s="150" t="s">
        <v>77</v>
      </c>
      <c r="E1377" s="132"/>
      <c r="F1377" s="24"/>
      <c r="G1377" s="346">
        <v>8000001338</v>
      </c>
      <c r="H1377" s="125" t="s">
        <v>5304</v>
      </c>
      <c r="I1377" s="329"/>
      <c r="J1377" s="346">
        <v>8000001338</v>
      </c>
      <c r="K1377" s="24"/>
      <c r="L1377" s="24"/>
      <c r="M1377" s="24"/>
      <c r="N1377" s="340" t="s">
        <v>486</v>
      </c>
      <c r="O1377" s="334">
        <v>207485</v>
      </c>
      <c r="P1377" s="25" t="s">
        <v>353</v>
      </c>
      <c r="Q1377" s="127" t="s">
        <v>273</v>
      </c>
      <c r="R1377" s="232" t="s">
        <v>5216</v>
      </c>
      <c r="S1377" s="89">
        <v>44256</v>
      </c>
      <c r="T1377" s="36" t="s">
        <v>19</v>
      </c>
      <c r="U1377" s="125"/>
      <c r="V1377" s="147" t="s">
        <v>5305</v>
      </c>
      <c r="W1377" s="129"/>
      <c r="X1377" s="88">
        <v>44309</v>
      </c>
      <c r="Y1377" s="130" t="s">
        <v>20</v>
      </c>
      <c r="Z1377" s="133" t="s">
        <v>60</v>
      </c>
      <c r="AA1377" s="133"/>
      <c r="AB1377" s="241">
        <v>2400</v>
      </c>
      <c r="AC1377" s="134">
        <v>399</v>
      </c>
      <c r="AD1377" s="134"/>
      <c r="AE1377" s="403">
        <f t="shared" si="76"/>
        <v>957600</v>
      </c>
      <c r="AF1377" s="132"/>
      <c r="AG1377" s="130" t="s">
        <v>46</v>
      </c>
      <c r="AH1377" s="130"/>
      <c r="AI1377" s="130" t="s">
        <v>100</v>
      </c>
      <c r="AJ1377" s="130"/>
      <c r="AK1377" s="130"/>
      <c r="AL1377" s="135" t="s">
        <v>5076</v>
      </c>
      <c r="AM1377" s="314"/>
      <c r="AN1377" s="26"/>
      <c r="AO1377" s="26"/>
      <c r="AP1377" s="26"/>
      <c r="AQ1377" s="26">
        <f>+AQ1355</f>
        <v>44354</v>
      </c>
      <c r="AR1377" s="24"/>
      <c r="AS1377" s="24"/>
      <c r="AT1377" s="24">
        <v>44355</v>
      </c>
      <c r="AU1377" s="418">
        <f t="shared" si="77"/>
        <v>6</v>
      </c>
      <c r="AV1377" s="418">
        <f t="shared" si="78"/>
        <v>2021</v>
      </c>
      <c r="AW1377" s="24"/>
      <c r="AX1377" s="24"/>
      <c r="AY1377" s="24" t="s">
        <v>3437</v>
      </c>
      <c r="AZ1377" s="24" t="s">
        <v>62</v>
      </c>
      <c r="BA1377" s="24"/>
      <c r="BB1377" s="24" t="s">
        <v>3264</v>
      </c>
      <c r="BC1377" s="135" t="s">
        <v>5306</v>
      </c>
      <c r="BD1377" s="24">
        <v>44295</v>
      </c>
      <c r="BE1377" s="24" t="s">
        <v>5219</v>
      </c>
      <c r="BF1377" s="24" t="s">
        <v>5219</v>
      </c>
      <c r="BG1377" s="135" t="s">
        <v>52</v>
      </c>
      <c r="BH1377" s="135"/>
      <c r="BI1377" s="314" t="s">
        <v>117</v>
      </c>
      <c r="BJ1377" s="314" t="s">
        <v>143</v>
      </c>
      <c r="BK1377" s="24"/>
      <c r="BL1377" s="24"/>
      <c r="BM1377" s="24"/>
      <c r="BN1377" s="24"/>
      <c r="BO1377" s="24"/>
      <c r="BP1377" s="24"/>
      <c r="BQ1377" s="24"/>
      <c r="BR1377" s="24"/>
      <c r="BS1377" s="24"/>
      <c r="BT1377" s="24"/>
      <c r="BU1377" s="24"/>
      <c r="BV1377" s="132" t="e">
        <f>IF(#REF!="COMPLETO","OK","PENDIENTES")</f>
        <v>#REF!</v>
      </c>
      <c r="BW1377" s="132"/>
      <c r="BX1377" s="132"/>
      <c r="BY1377" s="132"/>
      <c r="BZ1377" s="132"/>
      <c r="CA1377" s="132"/>
      <c r="CB1377" s="132"/>
      <c r="CC1377" s="269"/>
      <c r="CG1377" s="24" t="s">
        <v>105</v>
      </c>
      <c r="CH1377" s="24"/>
      <c r="CI1377" s="24"/>
      <c r="CJ1377" s="24"/>
    </row>
    <row r="1378" spans="1:88" ht="15" customHeight="1">
      <c r="A1378" s="18">
        <v>2021</v>
      </c>
      <c r="B1378" s="18" t="str">
        <f>+INDEX(BDD!F:F,MATCH(P1378,BDD!D:D,0))&amp;"-"&amp;INDEX(BDD!E:E,MATCH(P1378,BDD!D:D,0))</f>
        <v>G-S</v>
      </c>
      <c r="C1378" s="125" t="s">
        <v>484</v>
      </c>
      <c r="D1378" s="150" t="s">
        <v>77</v>
      </c>
      <c r="E1378" s="132"/>
      <c r="F1378" s="24"/>
      <c r="G1378" s="346">
        <v>8000001315</v>
      </c>
      <c r="H1378" s="125" t="s">
        <v>5307</v>
      </c>
      <c r="I1378" s="329"/>
      <c r="J1378" s="346">
        <v>8000001315</v>
      </c>
      <c r="K1378" s="24"/>
      <c r="L1378" s="24"/>
      <c r="M1378" s="24"/>
      <c r="N1378" s="340" t="s">
        <v>486</v>
      </c>
      <c r="O1378" s="334">
        <v>206599</v>
      </c>
      <c r="P1378" s="25" t="s">
        <v>339</v>
      </c>
      <c r="Q1378" s="127" t="s">
        <v>210</v>
      </c>
      <c r="R1378" s="232" t="s">
        <v>5308</v>
      </c>
      <c r="S1378" s="89">
        <v>44229</v>
      </c>
      <c r="T1378" s="36">
        <v>120</v>
      </c>
      <c r="U1378" s="125" t="s">
        <v>118</v>
      </c>
      <c r="V1378" s="147" t="s">
        <v>5309</v>
      </c>
      <c r="W1378" s="129"/>
      <c r="X1378" s="88">
        <f t="shared" ref="X1378:X1387" si="79">+T1378+BD1378</f>
        <v>44427</v>
      </c>
      <c r="Y1378" s="130" t="s">
        <v>20</v>
      </c>
      <c r="Z1378" s="133" t="s">
        <v>72</v>
      </c>
      <c r="AA1378" s="133"/>
      <c r="AB1378" s="241">
        <v>56.022181818181799</v>
      </c>
      <c r="AC1378" s="134">
        <f>470-7</f>
        <v>463</v>
      </c>
      <c r="AD1378" s="134"/>
      <c r="AE1378" s="403">
        <f t="shared" si="76"/>
        <v>25938.270181818174</v>
      </c>
      <c r="AF1378" s="132">
        <v>2</v>
      </c>
      <c r="AG1378" s="130" t="s">
        <v>5</v>
      </c>
      <c r="AH1378" s="130"/>
      <c r="AI1378" s="130" t="s">
        <v>100</v>
      </c>
      <c r="AJ1378" s="130"/>
      <c r="AK1378" s="130"/>
      <c r="AL1378" s="135" t="s">
        <v>5076</v>
      </c>
      <c r="AM1378" s="314"/>
      <c r="AN1378" s="26"/>
      <c r="AO1378" s="26"/>
      <c r="AP1378" s="26"/>
      <c r="AQ1378" s="26">
        <v>44332</v>
      </c>
      <c r="AR1378" s="24"/>
      <c r="AS1378" s="24"/>
      <c r="AT1378" s="24">
        <v>44336</v>
      </c>
      <c r="AU1378" s="418">
        <f t="shared" si="77"/>
        <v>5</v>
      </c>
      <c r="AV1378" s="418">
        <f t="shared" si="78"/>
        <v>2021</v>
      </c>
      <c r="AW1378" s="24"/>
      <c r="AX1378" s="24"/>
      <c r="AY1378" s="24" t="s">
        <v>162</v>
      </c>
      <c r="AZ1378" s="24" t="s">
        <v>37</v>
      </c>
      <c r="BA1378" s="24"/>
      <c r="BB1378" s="24" t="s">
        <v>3291</v>
      </c>
      <c r="BC1378" s="135" t="s">
        <v>5310</v>
      </c>
      <c r="BD1378" s="24">
        <v>44307</v>
      </c>
      <c r="BE1378" s="24" t="s">
        <v>3098</v>
      </c>
      <c r="BF1378" s="24" t="s">
        <v>3098</v>
      </c>
      <c r="BG1378" s="135" t="s">
        <v>29</v>
      </c>
      <c r="BH1378" s="135"/>
      <c r="BI1378" s="314" t="s">
        <v>124</v>
      </c>
      <c r="BJ1378" s="314" t="s">
        <v>143</v>
      </c>
      <c r="BK1378" s="24"/>
      <c r="BL1378" s="24"/>
      <c r="BM1378" s="24"/>
      <c r="BN1378" s="24"/>
      <c r="BO1378" s="24"/>
      <c r="BP1378" s="24"/>
      <c r="BQ1378" s="24"/>
      <c r="BR1378" s="24"/>
      <c r="BS1378" s="24"/>
      <c r="BT1378" s="24"/>
      <c r="BU1378" s="24"/>
      <c r="BV1378" s="132" t="e">
        <f>IF(#REF!="COMPLETO","OK","PENDIENTES")</f>
        <v>#REF!</v>
      </c>
      <c r="BW1378" s="132"/>
      <c r="BX1378" s="132"/>
      <c r="BY1378" s="132"/>
      <c r="BZ1378" s="132"/>
      <c r="CA1378" s="132"/>
      <c r="CB1378" s="132"/>
      <c r="CC1378" s="269" t="s">
        <v>5311</v>
      </c>
      <c r="CG1378" s="24" t="s">
        <v>105</v>
      </c>
      <c r="CH1378" s="24"/>
      <c r="CI1378" s="24"/>
      <c r="CJ1378" s="24"/>
    </row>
    <row r="1379" spans="1:88" ht="15" customHeight="1">
      <c r="A1379" s="18">
        <v>2021</v>
      </c>
      <c r="B1379" s="18" t="str">
        <f>+INDEX(BDD!F:F,MATCH(P1379,BDD!D:D,0))&amp;"-"&amp;INDEX(BDD!E:E,MATCH(P1379,BDD!D:D,0))</f>
        <v>G-S</v>
      </c>
      <c r="C1379" s="125" t="s">
        <v>484</v>
      </c>
      <c r="D1379" s="150" t="s">
        <v>77</v>
      </c>
      <c r="E1379" s="132"/>
      <c r="F1379" s="24"/>
      <c r="G1379" s="346">
        <v>8000001348</v>
      </c>
      <c r="H1379" s="125" t="s">
        <v>5312</v>
      </c>
      <c r="I1379" s="329"/>
      <c r="J1379" s="346">
        <v>8000001348</v>
      </c>
      <c r="K1379" s="24"/>
      <c r="L1379" s="24"/>
      <c r="M1379" s="24"/>
      <c r="N1379" s="340" t="s">
        <v>486</v>
      </c>
      <c r="O1379" s="334">
        <v>206599</v>
      </c>
      <c r="P1379" s="25" t="s">
        <v>339</v>
      </c>
      <c r="Q1379" s="127" t="s">
        <v>210</v>
      </c>
      <c r="R1379" s="232" t="s">
        <v>5308</v>
      </c>
      <c r="S1379" s="89">
        <v>44229</v>
      </c>
      <c r="T1379" s="36">
        <v>120</v>
      </c>
      <c r="U1379" s="125" t="s">
        <v>118</v>
      </c>
      <c r="V1379" s="147" t="s">
        <v>5309</v>
      </c>
      <c r="W1379" s="129"/>
      <c r="X1379" s="88">
        <f t="shared" si="79"/>
        <v>44427</v>
      </c>
      <c r="Y1379" s="130" t="s">
        <v>20</v>
      </c>
      <c r="Z1379" s="133" t="s">
        <v>72</v>
      </c>
      <c r="AA1379" s="133"/>
      <c r="AB1379" s="270">
        <v>252.09981818181819</v>
      </c>
      <c r="AC1379" s="134">
        <f>470-7</f>
        <v>463</v>
      </c>
      <c r="AD1379" s="134"/>
      <c r="AE1379" s="403">
        <f t="shared" si="76"/>
        <v>116722.21581818182</v>
      </c>
      <c r="AF1379" s="132">
        <v>9</v>
      </c>
      <c r="AG1379" s="130" t="s">
        <v>5</v>
      </c>
      <c r="AH1379" s="130"/>
      <c r="AI1379" s="130" t="s">
        <v>100</v>
      </c>
      <c r="AJ1379" s="130"/>
      <c r="AK1379" s="130"/>
      <c r="AL1379" s="135" t="s">
        <v>5076</v>
      </c>
      <c r="AM1379" s="314"/>
      <c r="AN1379" s="26"/>
      <c r="AO1379" s="26"/>
      <c r="AP1379" s="26"/>
      <c r="AQ1379" s="26">
        <v>44342</v>
      </c>
      <c r="AR1379" s="24"/>
      <c r="AS1379" s="24"/>
      <c r="AT1379" s="24">
        <v>44356</v>
      </c>
      <c r="AU1379" s="418">
        <f t="shared" si="77"/>
        <v>6</v>
      </c>
      <c r="AV1379" s="418">
        <f t="shared" si="78"/>
        <v>2021</v>
      </c>
      <c r="AW1379" s="24"/>
      <c r="AX1379" s="24"/>
      <c r="AY1379" s="24" t="s">
        <v>162</v>
      </c>
      <c r="AZ1379" s="24" t="s">
        <v>37</v>
      </c>
      <c r="BA1379" s="24"/>
      <c r="BB1379" s="24" t="s">
        <v>3593</v>
      </c>
      <c r="BC1379" s="135" t="s">
        <v>5310</v>
      </c>
      <c r="BD1379" s="24">
        <v>44307</v>
      </c>
      <c r="BE1379" s="24" t="s">
        <v>3098</v>
      </c>
      <c r="BF1379" s="24" t="s">
        <v>3098</v>
      </c>
      <c r="BG1379" s="135" t="s">
        <v>29</v>
      </c>
      <c r="BH1379" s="135"/>
      <c r="BI1379" s="314" t="s">
        <v>124</v>
      </c>
      <c r="BJ1379" s="314" t="s">
        <v>143</v>
      </c>
      <c r="BK1379" s="24"/>
      <c r="BL1379" s="24"/>
      <c r="BM1379" s="24"/>
      <c r="BN1379" s="24"/>
      <c r="BO1379" s="24">
        <v>44360</v>
      </c>
      <c r="BP1379" s="24"/>
      <c r="BQ1379" s="24"/>
      <c r="BR1379" s="24"/>
      <c r="BS1379" s="24"/>
      <c r="BT1379" s="24"/>
      <c r="BU1379" s="24"/>
      <c r="BV1379" s="132" t="e">
        <f>IF(#REF!="COMPLETO","OK","PENDIENTES")</f>
        <v>#REF!</v>
      </c>
      <c r="BW1379" s="132"/>
      <c r="BX1379" s="132"/>
      <c r="BY1379" s="132"/>
      <c r="BZ1379" s="132"/>
      <c r="CA1379" s="132"/>
      <c r="CB1379" s="132"/>
      <c r="CC1379" s="269"/>
      <c r="CG1379" s="24" t="s">
        <v>105</v>
      </c>
      <c r="CH1379" s="24"/>
      <c r="CI1379" s="24"/>
      <c r="CJ1379" s="24"/>
    </row>
    <row r="1380" spans="1:88" ht="15" customHeight="1">
      <c r="A1380" s="18">
        <v>2021</v>
      </c>
      <c r="B1380" s="18" t="str">
        <f>+INDEX(BDD!F:F,MATCH(P1380,BDD!D:D,0))&amp;"-"&amp;INDEX(BDD!E:E,MATCH(P1380,BDD!D:D,0))</f>
        <v>G-S</v>
      </c>
      <c r="C1380" s="125" t="s">
        <v>484</v>
      </c>
      <c r="D1380" s="150" t="s">
        <v>77</v>
      </c>
      <c r="E1380" s="132"/>
      <c r="F1380" s="24"/>
      <c r="G1380" s="346">
        <v>8000001214</v>
      </c>
      <c r="H1380" s="125" t="s">
        <v>5313</v>
      </c>
      <c r="I1380" s="329"/>
      <c r="J1380" s="346">
        <v>8000001214</v>
      </c>
      <c r="K1380" s="24"/>
      <c r="L1380" s="24"/>
      <c r="M1380" s="24"/>
      <c r="N1380" s="340" t="s">
        <v>486</v>
      </c>
      <c r="O1380" s="334">
        <v>206599</v>
      </c>
      <c r="P1380" s="25" t="s">
        <v>339</v>
      </c>
      <c r="Q1380" s="127" t="s">
        <v>210</v>
      </c>
      <c r="R1380" s="232" t="s">
        <v>5314</v>
      </c>
      <c r="S1380" s="89">
        <v>44229</v>
      </c>
      <c r="T1380" s="36">
        <v>120</v>
      </c>
      <c r="U1380" s="125" t="s">
        <v>118</v>
      </c>
      <c r="V1380" s="147" t="s">
        <v>5315</v>
      </c>
      <c r="W1380" s="129"/>
      <c r="X1380" s="88">
        <f t="shared" si="79"/>
        <v>44382</v>
      </c>
      <c r="Y1380" s="130" t="s">
        <v>20</v>
      </c>
      <c r="Z1380" s="133" t="s">
        <v>72</v>
      </c>
      <c r="AA1380" s="133"/>
      <c r="AB1380" s="241">
        <v>112.012</v>
      </c>
      <c r="AC1380" s="134">
        <v>488</v>
      </c>
      <c r="AD1380" s="134"/>
      <c r="AE1380" s="403">
        <f t="shared" si="76"/>
        <v>54661.856</v>
      </c>
      <c r="AF1380" s="132">
        <v>4</v>
      </c>
      <c r="AG1380" s="130" t="s">
        <v>5</v>
      </c>
      <c r="AH1380" s="130"/>
      <c r="AI1380" s="130" t="s">
        <v>100</v>
      </c>
      <c r="AJ1380" s="130"/>
      <c r="AK1380" s="130"/>
      <c r="AL1380" s="135" t="s">
        <v>5076</v>
      </c>
      <c r="AM1380" s="314"/>
      <c r="AN1380" s="26"/>
      <c r="AO1380" s="26"/>
      <c r="AP1380" s="26"/>
      <c r="AQ1380" s="26">
        <v>44302</v>
      </c>
      <c r="AR1380" s="24"/>
      <c r="AS1380" s="24"/>
      <c r="AT1380" s="24">
        <v>44308</v>
      </c>
      <c r="AU1380" s="418">
        <f t="shared" si="77"/>
        <v>4</v>
      </c>
      <c r="AV1380" s="418">
        <f t="shared" si="78"/>
        <v>2021</v>
      </c>
      <c r="AW1380" s="24"/>
      <c r="AX1380" s="24"/>
      <c r="AY1380" s="24" t="s">
        <v>162</v>
      </c>
      <c r="AZ1380" s="24" t="s">
        <v>62</v>
      </c>
      <c r="BA1380" s="24"/>
      <c r="BB1380" s="24" t="s">
        <v>3264</v>
      </c>
      <c r="BC1380" s="135" t="s">
        <v>5316</v>
      </c>
      <c r="BD1380" s="24">
        <v>44262</v>
      </c>
      <c r="BE1380" s="24" t="s">
        <v>2329</v>
      </c>
      <c r="BF1380" s="24" t="s">
        <v>1938</v>
      </c>
      <c r="BG1380" s="135" t="s">
        <v>29</v>
      </c>
      <c r="BH1380" s="135"/>
      <c r="BI1380" s="319" t="s">
        <v>124</v>
      </c>
      <c r="BJ1380" s="314" t="s">
        <v>143</v>
      </c>
      <c r="BK1380" s="24"/>
      <c r="BL1380" s="24"/>
      <c r="BM1380" s="24"/>
      <c r="BN1380" s="24"/>
      <c r="BO1380" s="24">
        <f>+AQ1380+20</f>
        <v>44322</v>
      </c>
      <c r="BP1380" s="24"/>
      <c r="BQ1380" s="24"/>
      <c r="BR1380" s="24"/>
      <c r="BS1380" s="24"/>
      <c r="BT1380" s="24"/>
      <c r="BU1380" s="24"/>
      <c r="BV1380" s="132" t="e">
        <f>IF(#REF!="COMPLETO","OK","PENDIENTES")</f>
        <v>#REF!</v>
      </c>
      <c r="BW1380" s="132"/>
      <c r="BX1380" s="132"/>
      <c r="BY1380" s="132"/>
      <c r="BZ1380" s="132"/>
      <c r="CA1380" s="132"/>
      <c r="CB1380" s="132"/>
      <c r="CC1380" s="269"/>
      <c r="CG1380" s="24" t="s">
        <v>105</v>
      </c>
      <c r="CH1380" s="24"/>
      <c r="CI1380" s="24"/>
      <c r="CJ1380" s="24"/>
    </row>
    <row r="1381" spans="1:88" ht="15" customHeight="1">
      <c r="A1381" s="18">
        <v>2021</v>
      </c>
      <c r="B1381" s="18" t="str">
        <f>+INDEX(BDD!F:F,MATCH(P1381,BDD!D:D,0))&amp;"-"&amp;INDEX(BDD!E:E,MATCH(P1381,BDD!D:D,0))</f>
        <v>S-P</v>
      </c>
      <c r="C1381" s="125" t="s">
        <v>484</v>
      </c>
      <c r="D1381" s="150" t="s">
        <v>77</v>
      </c>
      <c r="E1381" s="132"/>
      <c r="F1381" s="24"/>
      <c r="G1381" s="346">
        <v>8000001454</v>
      </c>
      <c r="H1381" s="125" t="s">
        <v>5317</v>
      </c>
      <c r="I1381" s="329"/>
      <c r="J1381" s="346">
        <v>8000001454</v>
      </c>
      <c r="K1381" s="24"/>
      <c r="L1381" s="24">
        <v>44424</v>
      </c>
      <c r="M1381" s="24">
        <v>44425</v>
      </c>
      <c r="N1381" s="340" t="s">
        <v>486</v>
      </c>
      <c r="O1381" s="334">
        <v>207499</v>
      </c>
      <c r="P1381" s="25" t="s">
        <v>343</v>
      </c>
      <c r="Q1381" s="127" t="s">
        <v>297</v>
      </c>
      <c r="R1381" s="232" t="s">
        <v>5318</v>
      </c>
      <c r="S1381" s="89">
        <v>44232</v>
      </c>
      <c r="T1381" s="36">
        <v>90</v>
      </c>
      <c r="U1381" s="125" t="s">
        <v>118</v>
      </c>
      <c r="V1381" s="147" t="s">
        <v>5319</v>
      </c>
      <c r="W1381" s="129"/>
      <c r="X1381" s="88">
        <f t="shared" si="79"/>
        <v>44457</v>
      </c>
      <c r="Y1381" s="130" t="s">
        <v>20</v>
      </c>
      <c r="Z1381" s="133" t="s">
        <v>72</v>
      </c>
      <c r="AA1381" s="133"/>
      <c r="AB1381" s="241">
        <v>135</v>
      </c>
      <c r="AC1381" s="134">
        <v>590</v>
      </c>
      <c r="AD1381" s="134"/>
      <c r="AE1381" s="403">
        <f t="shared" si="76"/>
        <v>79650</v>
      </c>
      <c r="AF1381" s="132">
        <v>5</v>
      </c>
      <c r="AG1381" s="130" t="s">
        <v>5</v>
      </c>
      <c r="AH1381" s="130"/>
      <c r="AI1381" s="130" t="s">
        <v>34</v>
      </c>
      <c r="AJ1381" s="130"/>
      <c r="AK1381" s="130"/>
      <c r="AL1381" s="135" t="s">
        <v>5320</v>
      </c>
      <c r="AM1381" s="314"/>
      <c r="AN1381" s="26"/>
      <c r="AO1381" s="26">
        <v>44367</v>
      </c>
      <c r="AP1381" s="26"/>
      <c r="AQ1381" s="26">
        <v>44418</v>
      </c>
      <c r="AR1381" s="24"/>
      <c r="AS1381" s="24"/>
      <c r="AT1381" s="24">
        <v>44421</v>
      </c>
      <c r="AU1381" s="418">
        <f t="shared" si="77"/>
        <v>8</v>
      </c>
      <c r="AV1381" s="418">
        <f t="shared" si="78"/>
        <v>2021</v>
      </c>
      <c r="AW1381" s="24"/>
      <c r="AX1381" s="24"/>
      <c r="AY1381" s="24" t="s">
        <v>4937</v>
      </c>
      <c r="AZ1381" s="24" t="s">
        <v>37</v>
      </c>
      <c r="BA1381" s="24"/>
      <c r="BB1381" s="24" t="s">
        <v>3593</v>
      </c>
      <c r="BC1381" s="135" t="s">
        <v>5321</v>
      </c>
      <c r="BD1381" s="24">
        <v>44367</v>
      </c>
      <c r="BE1381" s="24" t="s">
        <v>5322</v>
      </c>
      <c r="BF1381" s="24" t="s">
        <v>4776</v>
      </c>
      <c r="BG1381" s="135" t="s">
        <v>65</v>
      </c>
      <c r="BH1381" s="135"/>
      <c r="BI1381" s="314" t="s">
        <v>124</v>
      </c>
      <c r="BJ1381" s="314" t="s">
        <v>143</v>
      </c>
      <c r="BK1381" s="24"/>
      <c r="BL1381" s="24"/>
      <c r="BM1381" s="24"/>
      <c r="BN1381" s="24"/>
      <c r="BO1381" s="24"/>
      <c r="BP1381" s="24"/>
      <c r="BQ1381" s="24"/>
      <c r="BR1381" s="24"/>
      <c r="BS1381" s="24"/>
      <c r="BT1381" s="24"/>
      <c r="BU1381" s="24"/>
      <c r="BV1381" s="132" t="e">
        <f>IF(#REF!="COMPLETO","OK","PENDIENTES")</f>
        <v>#REF!</v>
      </c>
      <c r="BW1381" s="132"/>
      <c r="BX1381" s="132"/>
      <c r="BY1381" s="132"/>
      <c r="BZ1381" s="132"/>
      <c r="CA1381" s="132"/>
      <c r="CB1381" s="132"/>
      <c r="CC1381" s="269"/>
      <c r="CG1381" s="24" t="s">
        <v>105</v>
      </c>
      <c r="CH1381" s="24"/>
      <c r="CI1381" s="24"/>
      <c r="CJ1381" s="24"/>
    </row>
    <row r="1382" spans="1:88" ht="15" customHeight="1">
      <c r="A1382" s="18">
        <v>2021</v>
      </c>
      <c r="B1382" s="18" t="str">
        <f>+INDEX(BDD!F:F,MATCH(P1382,BDD!D:D,0))&amp;"-"&amp;INDEX(BDD!E:E,MATCH(P1382,BDD!D:D,0))</f>
        <v>S-P</v>
      </c>
      <c r="C1382" s="125" t="s">
        <v>484</v>
      </c>
      <c r="D1382" s="150" t="s">
        <v>77</v>
      </c>
      <c r="E1382" s="132"/>
      <c r="F1382" s="24"/>
      <c r="G1382" s="346">
        <v>8000001450</v>
      </c>
      <c r="H1382" s="125" t="s">
        <v>5323</v>
      </c>
      <c r="I1382" s="329"/>
      <c r="J1382" s="346">
        <v>8000001450</v>
      </c>
      <c r="K1382" s="24"/>
      <c r="L1382" s="24">
        <v>44417</v>
      </c>
      <c r="M1382" s="24">
        <v>44420</v>
      </c>
      <c r="N1382" s="340" t="s">
        <v>486</v>
      </c>
      <c r="O1382" s="334">
        <v>207499</v>
      </c>
      <c r="P1382" s="25" t="s">
        <v>343</v>
      </c>
      <c r="Q1382" s="127" t="s">
        <v>297</v>
      </c>
      <c r="R1382" s="232" t="s">
        <v>5318</v>
      </c>
      <c r="S1382" s="89">
        <v>44232</v>
      </c>
      <c r="T1382" s="36">
        <v>90</v>
      </c>
      <c r="U1382" s="125" t="s">
        <v>118</v>
      </c>
      <c r="V1382" s="147" t="s">
        <v>5324</v>
      </c>
      <c r="W1382" s="129"/>
      <c r="X1382" s="88">
        <f t="shared" si="79"/>
        <v>44465</v>
      </c>
      <c r="Y1382" s="130" t="s">
        <v>20</v>
      </c>
      <c r="Z1382" s="133" t="s">
        <v>72</v>
      </c>
      <c r="AA1382" s="133"/>
      <c r="AB1382" s="241">
        <v>162</v>
      </c>
      <c r="AC1382" s="134">
        <v>590</v>
      </c>
      <c r="AD1382" s="134"/>
      <c r="AE1382" s="403">
        <f t="shared" si="76"/>
        <v>95580</v>
      </c>
      <c r="AF1382" s="132">
        <v>6</v>
      </c>
      <c r="AG1382" s="130" t="s">
        <v>5</v>
      </c>
      <c r="AH1382" s="130"/>
      <c r="AI1382" s="130" t="s">
        <v>34</v>
      </c>
      <c r="AJ1382" s="130"/>
      <c r="AK1382" s="130"/>
      <c r="AL1382" s="135" t="s">
        <v>5320</v>
      </c>
      <c r="AM1382" s="314"/>
      <c r="AN1382" s="26"/>
      <c r="AO1382" s="26">
        <v>44375</v>
      </c>
      <c r="AP1382" s="26"/>
      <c r="AQ1382" s="26">
        <v>44412</v>
      </c>
      <c r="AR1382" s="24"/>
      <c r="AS1382" s="24"/>
      <c r="AT1382" s="24">
        <v>44417</v>
      </c>
      <c r="AU1382" s="418">
        <f t="shared" si="77"/>
        <v>8</v>
      </c>
      <c r="AV1382" s="418">
        <f t="shared" si="78"/>
        <v>2021</v>
      </c>
      <c r="AW1382" s="24"/>
      <c r="AX1382" s="24"/>
      <c r="AY1382" s="24" t="s">
        <v>144</v>
      </c>
      <c r="AZ1382" s="24" t="s">
        <v>37</v>
      </c>
      <c r="BA1382" s="24"/>
      <c r="BB1382" s="24" t="s">
        <v>3291</v>
      </c>
      <c r="BC1382" s="135" t="s">
        <v>5325</v>
      </c>
      <c r="BD1382" s="24">
        <v>44375</v>
      </c>
      <c r="BE1382" s="24" t="s">
        <v>2603</v>
      </c>
      <c r="BF1382" s="24" t="s">
        <v>3429</v>
      </c>
      <c r="BG1382" s="135" t="s">
        <v>41</v>
      </c>
      <c r="BH1382" s="135"/>
      <c r="BI1382" s="314" t="s">
        <v>124</v>
      </c>
      <c r="BJ1382" s="314" t="s">
        <v>143</v>
      </c>
      <c r="BK1382" s="24"/>
      <c r="BL1382" s="24"/>
      <c r="BM1382" s="24"/>
      <c r="BN1382" s="24"/>
      <c r="BO1382" s="24"/>
      <c r="BP1382" s="24"/>
      <c r="BQ1382" s="24"/>
      <c r="BR1382" s="24"/>
      <c r="BS1382" s="24"/>
      <c r="BT1382" s="24"/>
      <c r="BU1382" s="24"/>
      <c r="BV1382" s="132" t="e">
        <f>IF(#REF!="COMPLETO","OK","PENDIENTES")</f>
        <v>#REF!</v>
      </c>
      <c r="BW1382" s="132"/>
      <c r="BX1382" s="132"/>
      <c r="BY1382" s="132"/>
      <c r="BZ1382" s="132"/>
      <c r="CA1382" s="132"/>
      <c r="CB1382" s="132"/>
      <c r="CC1382" s="269"/>
      <c r="CG1382" s="24" t="s">
        <v>105</v>
      </c>
      <c r="CH1382" s="24"/>
      <c r="CI1382" s="24"/>
      <c r="CJ1382" s="24"/>
    </row>
    <row r="1383" spans="1:88" ht="15" customHeight="1">
      <c r="A1383" s="18">
        <v>2021</v>
      </c>
      <c r="B1383" s="18" t="str">
        <f>+INDEX(BDD!F:F,MATCH(P1383,BDD!D:D,0))&amp;"-"&amp;INDEX(BDD!E:E,MATCH(P1383,BDD!D:D,0))</f>
        <v>S-P</v>
      </c>
      <c r="C1383" s="125" t="s">
        <v>484</v>
      </c>
      <c r="D1383" s="150" t="s">
        <v>77</v>
      </c>
      <c r="E1383" s="132"/>
      <c r="F1383" s="24"/>
      <c r="G1383" s="346">
        <v>8000001349</v>
      </c>
      <c r="H1383" s="125" t="s">
        <v>5326</v>
      </c>
      <c r="I1383" s="329"/>
      <c r="J1383" s="346">
        <v>8000001349</v>
      </c>
      <c r="K1383" s="24"/>
      <c r="L1383" s="24"/>
      <c r="M1383" s="24"/>
      <c r="N1383" s="340" t="s">
        <v>486</v>
      </c>
      <c r="O1383" s="334">
        <v>207499</v>
      </c>
      <c r="P1383" s="25" t="s">
        <v>343</v>
      </c>
      <c r="Q1383" s="127" t="s">
        <v>297</v>
      </c>
      <c r="R1383" s="232" t="s">
        <v>5327</v>
      </c>
      <c r="S1383" s="89">
        <v>44232</v>
      </c>
      <c r="T1383" s="36">
        <v>90</v>
      </c>
      <c r="U1383" s="125" t="s">
        <v>118</v>
      </c>
      <c r="V1383" s="147" t="s">
        <v>5328</v>
      </c>
      <c r="W1383" s="129"/>
      <c r="X1383" s="88">
        <f t="shared" si="79"/>
        <v>44390</v>
      </c>
      <c r="Y1383" s="130" t="s">
        <v>20</v>
      </c>
      <c r="Z1383" s="133" t="s">
        <v>72</v>
      </c>
      <c r="AA1383" s="133"/>
      <c r="AB1383" s="241">
        <v>243</v>
      </c>
      <c r="AC1383" s="134">
        <v>605</v>
      </c>
      <c r="AD1383" s="134"/>
      <c r="AE1383" s="403">
        <f t="shared" si="76"/>
        <v>147015</v>
      </c>
      <c r="AF1383" s="132">
        <v>9</v>
      </c>
      <c r="AG1383" s="130" t="s">
        <v>5</v>
      </c>
      <c r="AH1383" s="130"/>
      <c r="AI1383" s="130" t="s">
        <v>34</v>
      </c>
      <c r="AJ1383" s="130"/>
      <c r="AK1383" s="130"/>
      <c r="AL1383" s="135" t="s">
        <v>5320</v>
      </c>
      <c r="AM1383" s="314"/>
      <c r="AN1383" s="26"/>
      <c r="AO1383" s="26"/>
      <c r="AP1383" s="26"/>
      <c r="AQ1383" s="26">
        <v>44342</v>
      </c>
      <c r="AR1383" s="24"/>
      <c r="AS1383" s="24"/>
      <c r="AT1383" s="24">
        <v>44351</v>
      </c>
      <c r="AU1383" s="418">
        <f t="shared" si="77"/>
        <v>6</v>
      </c>
      <c r="AV1383" s="418">
        <f t="shared" si="78"/>
        <v>2021</v>
      </c>
      <c r="AW1383" s="24"/>
      <c r="AX1383" s="24"/>
      <c r="AY1383" s="24" t="s">
        <v>144</v>
      </c>
      <c r="AZ1383" s="24" t="s">
        <v>9</v>
      </c>
      <c r="BA1383" s="24"/>
      <c r="BB1383" s="24" t="s">
        <v>3264</v>
      </c>
      <c r="BC1383" s="132" t="s">
        <v>5329</v>
      </c>
      <c r="BD1383" s="24">
        <v>44300</v>
      </c>
      <c r="BE1383" s="24" t="s">
        <v>5330</v>
      </c>
      <c r="BF1383" s="24" t="s">
        <v>5130</v>
      </c>
      <c r="BG1383" s="135" t="s">
        <v>29</v>
      </c>
      <c r="BH1383" s="135"/>
      <c r="BI1383" s="314" t="s">
        <v>124</v>
      </c>
      <c r="BJ1383" s="314" t="s">
        <v>143</v>
      </c>
      <c r="BK1383" s="24"/>
      <c r="BL1383" s="24"/>
      <c r="BM1383" s="24"/>
      <c r="BN1383" s="24"/>
      <c r="BO1383" s="24">
        <v>44355</v>
      </c>
      <c r="BP1383" s="24"/>
      <c r="BQ1383" s="24"/>
      <c r="BR1383" s="24"/>
      <c r="BS1383" s="24"/>
      <c r="BT1383" s="24"/>
      <c r="BU1383" s="24"/>
      <c r="BV1383" s="132" t="e">
        <f>IF(#REF!="COMPLETO","OK","PENDIENTES")</f>
        <v>#REF!</v>
      </c>
      <c r="BW1383" s="132"/>
      <c r="BX1383" s="132"/>
      <c r="BY1383" s="132"/>
      <c r="BZ1383" s="132"/>
      <c r="CA1383" s="132"/>
      <c r="CB1383" s="132"/>
      <c r="CC1383" s="269"/>
      <c r="CG1383" s="24" t="s">
        <v>105</v>
      </c>
      <c r="CH1383" s="24"/>
      <c r="CI1383" s="24"/>
      <c r="CJ1383" s="24"/>
    </row>
    <row r="1384" spans="1:88" ht="15" customHeight="1">
      <c r="A1384" s="18">
        <v>2021</v>
      </c>
      <c r="B1384" s="18" t="str">
        <f>+INDEX(BDD!F:F,MATCH(P1384,BDD!D:D,0))&amp;"-"&amp;INDEX(BDD!E:E,MATCH(P1384,BDD!D:D,0))</f>
        <v>S-P</v>
      </c>
      <c r="C1384" s="125" t="s">
        <v>484</v>
      </c>
      <c r="D1384" s="150" t="s">
        <v>77</v>
      </c>
      <c r="E1384" s="132"/>
      <c r="F1384" s="24"/>
      <c r="G1384" s="346">
        <v>8000001364</v>
      </c>
      <c r="H1384" s="125" t="s">
        <v>5331</v>
      </c>
      <c r="I1384" s="329"/>
      <c r="J1384" s="346">
        <v>8000001364</v>
      </c>
      <c r="K1384" s="24"/>
      <c r="L1384" s="24"/>
      <c r="M1384" s="24"/>
      <c r="N1384" s="340" t="s">
        <v>486</v>
      </c>
      <c r="O1384" s="334">
        <v>207499</v>
      </c>
      <c r="P1384" s="25" t="s">
        <v>343</v>
      </c>
      <c r="Q1384" s="127" t="s">
        <v>297</v>
      </c>
      <c r="R1384" s="232" t="s">
        <v>5327</v>
      </c>
      <c r="S1384" s="89">
        <v>44232</v>
      </c>
      <c r="T1384" s="36">
        <v>90</v>
      </c>
      <c r="U1384" s="125" t="s">
        <v>118</v>
      </c>
      <c r="V1384" s="147" t="s">
        <v>5332</v>
      </c>
      <c r="W1384" s="129"/>
      <c r="X1384" s="88">
        <f t="shared" si="79"/>
        <v>44398</v>
      </c>
      <c r="Y1384" s="130" t="s">
        <v>20</v>
      </c>
      <c r="Z1384" s="133" t="s">
        <v>72</v>
      </c>
      <c r="AA1384" s="133"/>
      <c r="AB1384" s="241">
        <v>108</v>
      </c>
      <c r="AC1384" s="134">
        <v>605</v>
      </c>
      <c r="AD1384" s="134"/>
      <c r="AE1384" s="403">
        <f t="shared" si="76"/>
        <v>65340</v>
      </c>
      <c r="AF1384" s="132">
        <v>4</v>
      </c>
      <c r="AG1384" s="130" t="s">
        <v>5</v>
      </c>
      <c r="AH1384" s="130"/>
      <c r="AI1384" s="130" t="s">
        <v>34</v>
      </c>
      <c r="AJ1384" s="130"/>
      <c r="AK1384" s="130"/>
      <c r="AL1384" s="135" t="s">
        <v>5320</v>
      </c>
      <c r="AM1384" s="314"/>
      <c r="AN1384" s="26"/>
      <c r="AO1384" s="26"/>
      <c r="AP1384" s="26"/>
      <c r="AQ1384" s="26">
        <v>44363</v>
      </c>
      <c r="AR1384" s="24"/>
      <c r="AS1384" s="24"/>
      <c r="AT1384" s="24">
        <v>44365</v>
      </c>
      <c r="AU1384" s="418">
        <f t="shared" si="77"/>
        <v>6</v>
      </c>
      <c r="AV1384" s="418">
        <f t="shared" si="78"/>
        <v>2021</v>
      </c>
      <c r="AW1384" s="24"/>
      <c r="AX1384" s="24"/>
      <c r="AY1384" s="24" t="s">
        <v>144</v>
      </c>
      <c r="AZ1384" s="24" t="s">
        <v>9</v>
      </c>
      <c r="BA1384" s="24"/>
      <c r="BB1384" s="24" t="s">
        <v>3264</v>
      </c>
      <c r="BC1384" s="135" t="s">
        <v>5333</v>
      </c>
      <c r="BD1384" s="24">
        <v>44308</v>
      </c>
      <c r="BE1384" s="24" t="s">
        <v>1344</v>
      </c>
      <c r="BF1384" s="24" t="s">
        <v>5334</v>
      </c>
      <c r="BG1384" s="135" t="s">
        <v>29</v>
      </c>
      <c r="BH1384" s="135"/>
      <c r="BI1384" s="314" t="s">
        <v>124</v>
      </c>
      <c r="BJ1384" s="314" t="s">
        <v>143</v>
      </c>
      <c r="BK1384" s="24"/>
      <c r="BL1384" s="24"/>
      <c r="BM1384" s="24"/>
      <c r="BN1384" s="24"/>
      <c r="BO1384" s="24">
        <f>+AQ1384+13</f>
        <v>44376</v>
      </c>
      <c r="BP1384" s="24"/>
      <c r="BQ1384" s="24"/>
      <c r="BR1384" s="24"/>
      <c r="BS1384" s="24"/>
      <c r="BT1384" s="24"/>
      <c r="BU1384" s="24"/>
      <c r="BV1384" s="132" t="e">
        <f>IF(#REF!="COMPLETO","OK","PENDIENTES")</f>
        <v>#REF!</v>
      </c>
      <c r="BW1384" s="132"/>
      <c r="BX1384" s="132"/>
      <c r="BY1384" s="132"/>
      <c r="BZ1384" s="132"/>
      <c r="CA1384" s="132"/>
      <c r="CB1384" s="132"/>
      <c r="CC1384" s="269"/>
      <c r="CG1384" s="24" t="s">
        <v>105</v>
      </c>
      <c r="CH1384" s="24"/>
      <c r="CI1384" s="24"/>
      <c r="CJ1384" s="24"/>
    </row>
    <row r="1385" spans="1:88" ht="15" customHeight="1">
      <c r="A1385" s="18">
        <v>2021</v>
      </c>
      <c r="B1385" s="18" t="str">
        <f>+INDEX(BDD!F:F,MATCH(P1385,BDD!D:D,0))&amp;"-"&amp;INDEX(BDD!E:E,MATCH(P1385,BDD!D:D,0))</f>
        <v>S-P</v>
      </c>
      <c r="C1385" s="125" t="s">
        <v>484</v>
      </c>
      <c r="D1385" s="150" t="s">
        <v>77</v>
      </c>
      <c r="E1385" s="132"/>
      <c r="F1385" s="24"/>
      <c r="G1385" s="346">
        <v>8000001473</v>
      </c>
      <c r="H1385" s="125" t="s">
        <v>5335</v>
      </c>
      <c r="I1385" s="329"/>
      <c r="J1385" s="346">
        <v>8000001473</v>
      </c>
      <c r="K1385" s="24"/>
      <c r="L1385" s="24">
        <v>44414</v>
      </c>
      <c r="M1385" s="24">
        <v>44420</v>
      </c>
      <c r="N1385" s="340" t="s">
        <v>486</v>
      </c>
      <c r="O1385" s="334">
        <v>207499</v>
      </c>
      <c r="P1385" s="25" t="s">
        <v>343</v>
      </c>
      <c r="Q1385" s="127" t="s">
        <v>297</v>
      </c>
      <c r="R1385" s="232" t="s">
        <v>5327</v>
      </c>
      <c r="S1385" s="89">
        <v>44232</v>
      </c>
      <c r="T1385" s="36">
        <v>90</v>
      </c>
      <c r="U1385" s="125" t="s">
        <v>118</v>
      </c>
      <c r="V1385" s="147" t="s">
        <v>5336</v>
      </c>
      <c r="W1385" s="129"/>
      <c r="X1385" s="88">
        <f t="shared" si="79"/>
        <v>44440</v>
      </c>
      <c r="Y1385" s="130" t="s">
        <v>20</v>
      </c>
      <c r="Z1385" s="133" t="s">
        <v>72</v>
      </c>
      <c r="AA1385" s="133"/>
      <c r="AB1385" s="241">
        <v>135</v>
      </c>
      <c r="AC1385" s="134">
        <v>605</v>
      </c>
      <c r="AD1385" s="134"/>
      <c r="AE1385" s="403">
        <f t="shared" si="76"/>
        <v>81675</v>
      </c>
      <c r="AF1385" s="132">
        <v>5</v>
      </c>
      <c r="AG1385" s="130" t="s">
        <v>5</v>
      </c>
      <c r="AH1385" s="130"/>
      <c r="AI1385" s="130" t="s">
        <v>34</v>
      </c>
      <c r="AJ1385" s="130"/>
      <c r="AK1385" s="130"/>
      <c r="AL1385" s="135" t="s">
        <v>5320</v>
      </c>
      <c r="AM1385" s="314"/>
      <c r="AN1385" s="26"/>
      <c r="AO1385" s="26">
        <v>44349</v>
      </c>
      <c r="AP1385" s="26"/>
      <c r="AQ1385" s="26">
        <v>44407</v>
      </c>
      <c r="AR1385" s="24"/>
      <c r="AS1385" s="24"/>
      <c r="AT1385" s="24">
        <v>44411</v>
      </c>
      <c r="AU1385" s="418">
        <f t="shared" si="77"/>
        <v>8</v>
      </c>
      <c r="AV1385" s="418">
        <f t="shared" si="78"/>
        <v>2021</v>
      </c>
      <c r="AW1385" s="24"/>
      <c r="AX1385" s="24"/>
      <c r="AY1385" s="24" t="s">
        <v>144</v>
      </c>
      <c r="AZ1385" s="24" t="s">
        <v>9</v>
      </c>
      <c r="BA1385" s="24"/>
      <c r="BB1385" s="24" t="s">
        <v>3264</v>
      </c>
      <c r="BC1385" s="135" t="s">
        <v>5337</v>
      </c>
      <c r="BD1385" s="24">
        <v>44350</v>
      </c>
      <c r="BE1385" s="24" t="s">
        <v>5338</v>
      </c>
      <c r="BF1385" s="24" t="s">
        <v>3276</v>
      </c>
      <c r="BG1385" s="135" t="s">
        <v>65</v>
      </c>
      <c r="BH1385" s="135"/>
      <c r="BI1385" s="314" t="s">
        <v>124</v>
      </c>
      <c r="BJ1385" s="314" t="s">
        <v>143</v>
      </c>
      <c r="BK1385" s="24"/>
      <c r="BL1385" s="24"/>
      <c r="BM1385" s="24"/>
      <c r="BN1385" s="24"/>
      <c r="BO1385" s="24">
        <f>+AQ1385+15</f>
        <v>44422</v>
      </c>
      <c r="BP1385" s="24"/>
      <c r="BQ1385" s="24"/>
      <c r="BR1385" s="24"/>
      <c r="BS1385" s="24"/>
      <c r="BT1385" s="24"/>
      <c r="BU1385" s="24"/>
      <c r="BV1385" s="132" t="e">
        <f>IF(#REF!="COMPLETO","OK","PENDIENTES")</f>
        <v>#REF!</v>
      </c>
      <c r="BW1385" s="132"/>
      <c r="BX1385" s="132"/>
      <c r="BY1385" s="132"/>
      <c r="BZ1385" s="132"/>
      <c r="CA1385" s="132"/>
      <c r="CB1385" s="132"/>
      <c r="CC1385" s="269" t="s">
        <v>5339</v>
      </c>
      <c r="CG1385" s="24" t="s">
        <v>105</v>
      </c>
      <c r="CH1385" s="24"/>
      <c r="CI1385" s="24"/>
      <c r="CJ1385" s="24"/>
    </row>
    <row r="1386" spans="1:88" ht="15" customHeight="1">
      <c r="A1386" s="18">
        <v>2021</v>
      </c>
      <c r="B1386" s="18" t="str">
        <f>+INDEX(BDD!F:F,MATCH(P1386,BDD!D:D,0))&amp;"-"&amp;INDEX(BDD!E:E,MATCH(P1386,BDD!D:D,0))</f>
        <v>S-P</v>
      </c>
      <c r="C1386" s="125" t="s">
        <v>484</v>
      </c>
      <c r="D1386" s="150" t="s">
        <v>77</v>
      </c>
      <c r="E1386" s="132"/>
      <c r="F1386" s="24"/>
      <c r="G1386" s="346">
        <v>8000001490</v>
      </c>
      <c r="H1386" s="125" t="s">
        <v>5340</v>
      </c>
      <c r="I1386" s="329"/>
      <c r="J1386" s="346">
        <v>8000001490</v>
      </c>
      <c r="K1386" s="24"/>
      <c r="L1386" s="24">
        <v>44439</v>
      </c>
      <c r="M1386" s="24">
        <v>44439</v>
      </c>
      <c r="N1386" s="340" t="s">
        <v>486</v>
      </c>
      <c r="O1386" s="334">
        <v>207499</v>
      </c>
      <c r="P1386" s="25" t="s">
        <v>343</v>
      </c>
      <c r="Q1386" s="127" t="s">
        <v>297</v>
      </c>
      <c r="R1386" s="232" t="s">
        <v>5341</v>
      </c>
      <c r="S1386" s="89">
        <v>44232</v>
      </c>
      <c r="T1386" s="36">
        <v>90</v>
      </c>
      <c r="U1386" s="125" t="s">
        <v>118</v>
      </c>
      <c r="V1386" s="147" t="s">
        <v>5342</v>
      </c>
      <c r="W1386" s="129"/>
      <c r="X1386" s="88">
        <f t="shared" si="79"/>
        <v>44486</v>
      </c>
      <c r="Y1386" s="130" t="s">
        <v>20</v>
      </c>
      <c r="Z1386" s="133" t="s">
        <v>72</v>
      </c>
      <c r="AA1386" s="133"/>
      <c r="AB1386" s="241">
        <v>81</v>
      </c>
      <c r="AC1386" s="134">
        <v>590</v>
      </c>
      <c r="AD1386" s="134"/>
      <c r="AE1386" s="403">
        <f t="shared" si="76"/>
        <v>47790</v>
      </c>
      <c r="AF1386" s="132">
        <v>3</v>
      </c>
      <c r="AG1386" s="130" t="s">
        <v>5</v>
      </c>
      <c r="AH1386" s="130"/>
      <c r="AI1386" s="130" t="s">
        <v>34</v>
      </c>
      <c r="AJ1386" s="130"/>
      <c r="AK1386" s="130"/>
      <c r="AL1386" s="135" t="s">
        <v>5065</v>
      </c>
      <c r="AM1386" s="314"/>
      <c r="AN1386" s="26"/>
      <c r="AO1386" s="26">
        <v>44396</v>
      </c>
      <c r="AP1386" s="26"/>
      <c r="AQ1386" s="26">
        <v>44434</v>
      </c>
      <c r="AR1386" s="24"/>
      <c r="AS1386" s="24"/>
      <c r="AT1386" s="24">
        <v>44439</v>
      </c>
      <c r="AU1386" s="418">
        <f t="shared" si="77"/>
        <v>8</v>
      </c>
      <c r="AV1386" s="418">
        <f t="shared" si="78"/>
        <v>2021</v>
      </c>
      <c r="AW1386" s="24"/>
      <c r="AX1386" s="24"/>
      <c r="AY1386" s="24" t="s">
        <v>4937</v>
      </c>
      <c r="AZ1386" s="24" t="s">
        <v>37</v>
      </c>
      <c r="BA1386" s="24"/>
      <c r="BB1386" s="24" t="s">
        <v>2956</v>
      </c>
      <c r="BC1386" s="135" t="s">
        <v>5343</v>
      </c>
      <c r="BD1386" s="24">
        <v>44396</v>
      </c>
      <c r="BE1386" s="24" t="s">
        <v>1000</v>
      </c>
      <c r="BF1386" s="24" t="s">
        <v>5344</v>
      </c>
      <c r="BG1386" s="135" t="s">
        <v>41</v>
      </c>
      <c r="BH1386" s="135"/>
      <c r="BI1386" s="314" t="s">
        <v>124</v>
      </c>
      <c r="BJ1386" s="314" t="s">
        <v>143</v>
      </c>
      <c r="BK1386" s="24"/>
      <c r="BL1386" s="24"/>
      <c r="BM1386" s="24"/>
      <c r="BN1386" s="24"/>
      <c r="BO1386" s="24"/>
      <c r="BP1386" s="24"/>
      <c r="BQ1386" s="24"/>
      <c r="BR1386" s="24"/>
      <c r="BS1386" s="24"/>
      <c r="BT1386" s="24"/>
      <c r="BU1386" s="24"/>
      <c r="BV1386" s="132" t="e">
        <f>IF(#REF!="COMPLETO","OK","PENDIENTES")</f>
        <v>#REF!</v>
      </c>
      <c r="BW1386" s="132"/>
      <c r="BX1386" s="132"/>
      <c r="BY1386" s="132"/>
      <c r="BZ1386" s="132"/>
      <c r="CA1386" s="132"/>
      <c r="CB1386" s="132"/>
      <c r="CC1386" s="269"/>
      <c r="CG1386" s="24" t="s">
        <v>105</v>
      </c>
      <c r="CH1386" s="24"/>
      <c r="CI1386" s="24"/>
      <c r="CJ1386" s="24"/>
    </row>
    <row r="1387" spans="1:88" ht="15" customHeight="1">
      <c r="A1387" s="18">
        <v>2021</v>
      </c>
      <c r="B1387" s="18" t="str">
        <f>+INDEX(BDD!F:F,MATCH(P1387,BDD!D:D,0))&amp;"-"&amp;INDEX(BDD!E:E,MATCH(P1387,BDD!D:D,0))</f>
        <v>S-S</v>
      </c>
      <c r="C1387" s="125" t="s">
        <v>484</v>
      </c>
      <c r="D1387" s="150" t="s">
        <v>77</v>
      </c>
      <c r="E1387" s="132" t="s">
        <v>51</v>
      </c>
      <c r="F1387" s="24"/>
      <c r="G1387" s="346">
        <v>8000001387</v>
      </c>
      <c r="H1387" s="125" t="s">
        <v>5345</v>
      </c>
      <c r="I1387" s="329"/>
      <c r="J1387" s="346">
        <v>8000001387</v>
      </c>
      <c r="K1387" s="24"/>
      <c r="L1387" s="24"/>
      <c r="M1387" s="24"/>
      <c r="N1387" s="340" t="s">
        <v>486</v>
      </c>
      <c r="O1387" s="334">
        <v>207579</v>
      </c>
      <c r="P1387" s="25" t="s">
        <v>238</v>
      </c>
      <c r="Q1387" s="127" t="s">
        <v>5058</v>
      </c>
      <c r="R1387" s="232" t="s">
        <v>5346</v>
      </c>
      <c r="S1387" s="89">
        <v>44229</v>
      </c>
      <c r="T1387" s="36">
        <v>90</v>
      </c>
      <c r="U1387" s="125" t="s">
        <v>118</v>
      </c>
      <c r="V1387" s="147" t="s">
        <v>5346</v>
      </c>
      <c r="W1387" s="129"/>
      <c r="X1387" s="88">
        <f t="shared" si="79"/>
        <v>44396</v>
      </c>
      <c r="Y1387" s="130" t="s">
        <v>20</v>
      </c>
      <c r="Z1387" s="133" t="s">
        <v>60</v>
      </c>
      <c r="AA1387" s="133"/>
      <c r="AB1387" s="241">
        <v>249.7</v>
      </c>
      <c r="AC1387" s="134">
        <v>245</v>
      </c>
      <c r="AD1387" s="134"/>
      <c r="AE1387" s="403">
        <f t="shared" si="76"/>
        <v>61176.5</v>
      </c>
      <c r="AF1387" s="132"/>
      <c r="AG1387" s="130" t="s">
        <v>58</v>
      </c>
      <c r="AH1387" s="130"/>
      <c r="AI1387" s="130" t="s">
        <v>34</v>
      </c>
      <c r="AJ1387" s="130"/>
      <c r="AK1387" s="130"/>
      <c r="AL1387" s="135" t="s">
        <v>5076</v>
      </c>
      <c r="AM1387" s="314"/>
      <c r="AN1387" s="26"/>
      <c r="AO1387" s="26"/>
      <c r="AP1387" s="26"/>
      <c r="AQ1387" s="26">
        <v>44347</v>
      </c>
      <c r="AR1387" s="24"/>
      <c r="AS1387" s="24"/>
      <c r="AT1387" s="24">
        <v>44375</v>
      </c>
      <c r="AU1387" s="418">
        <f t="shared" si="77"/>
        <v>6</v>
      </c>
      <c r="AV1387" s="418">
        <f t="shared" si="78"/>
        <v>2021</v>
      </c>
      <c r="AW1387" s="24"/>
      <c r="AX1387" s="24"/>
      <c r="AY1387" s="24" t="s">
        <v>3199</v>
      </c>
      <c r="AZ1387" s="24" t="s">
        <v>37</v>
      </c>
      <c r="BA1387" s="24"/>
      <c r="BB1387" s="24" t="s">
        <v>3593</v>
      </c>
      <c r="BC1387" s="135" t="s">
        <v>5347</v>
      </c>
      <c r="BD1387" s="24">
        <v>44306</v>
      </c>
      <c r="BE1387" s="24" t="s">
        <v>5274</v>
      </c>
      <c r="BF1387" s="24" t="s">
        <v>5274</v>
      </c>
      <c r="BG1387" s="135" t="s">
        <v>52</v>
      </c>
      <c r="BH1387" s="135"/>
      <c r="BI1387" s="314" t="s">
        <v>124</v>
      </c>
      <c r="BJ1387" s="314" t="s">
        <v>143</v>
      </c>
      <c r="BK1387" s="24"/>
      <c r="BL1387" s="24"/>
      <c r="BM1387" s="24"/>
      <c r="BN1387" s="24"/>
      <c r="BO1387" s="24"/>
      <c r="BP1387" s="24"/>
      <c r="BQ1387" s="24"/>
      <c r="BR1387" s="24"/>
      <c r="BS1387" s="24"/>
      <c r="BT1387" s="24"/>
      <c r="BU1387" s="24"/>
      <c r="BV1387" s="132" t="e">
        <f>IF(#REF!="COMPLETO","OK","PENDIENTES")</f>
        <v>#REF!</v>
      </c>
      <c r="BW1387" s="132"/>
      <c r="BX1387" s="132"/>
      <c r="BY1387" s="132"/>
      <c r="BZ1387" s="132"/>
      <c r="CA1387" s="132"/>
      <c r="CB1387" s="132"/>
      <c r="CC1387" s="269" t="s">
        <v>5348</v>
      </c>
      <c r="CG1387" s="24" t="s">
        <v>105</v>
      </c>
      <c r="CH1387" s="24"/>
      <c r="CI1387" s="24"/>
      <c r="CJ1387" s="24"/>
    </row>
    <row r="1388" spans="1:88" ht="15" customHeight="1">
      <c r="A1388" s="18">
        <v>2021</v>
      </c>
      <c r="B1388" s="18" t="str">
        <f>+INDEX(BDD!F:F,MATCH(P1388,BDD!D:D,0))&amp;"-"&amp;INDEX(BDD!E:E,MATCH(P1388,BDD!D:D,0))</f>
        <v>S-S</v>
      </c>
      <c r="C1388" s="125" t="s">
        <v>484</v>
      </c>
      <c r="D1388" s="150" t="s">
        <v>77</v>
      </c>
      <c r="E1388" s="132" t="s">
        <v>51</v>
      </c>
      <c r="F1388" s="24"/>
      <c r="G1388" s="346">
        <v>8000001520</v>
      </c>
      <c r="H1388" s="125" t="s">
        <v>5349</v>
      </c>
      <c r="I1388" s="329"/>
      <c r="J1388" s="346">
        <v>8000001520</v>
      </c>
      <c r="K1388" s="24"/>
      <c r="L1388" s="24">
        <v>44449</v>
      </c>
      <c r="M1388" s="24">
        <v>44452</v>
      </c>
      <c r="N1388" s="340" t="s">
        <v>486</v>
      </c>
      <c r="O1388" s="334">
        <v>207579</v>
      </c>
      <c r="P1388" s="25" t="s">
        <v>238</v>
      </c>
      <c r="Q1388" s="127" t="s">
        <v>5058</v>
      </c>
      <c r="R1388" s="232" t="s">
        <v>5350</v>
      </c>
      <c r="S1388" s="89">
        <v>44229</v>
      </c>
      <c r="T1388" s="36" t="s">
        <v>19</v>
      </c>
      <c r="U1388" s="125"/>
      <c r="V1388" s="147" t="s">
        <v>5350</v>
      </c>
      <c r="W1388" s="129"/>
      <c r="X1388" s="88">
        <v>44417</v>
      </c>
      <c r="Y1388" s="130" t="s">
        <v>20</v>
      </c>
      <c r="Z1388" s="133" t="s">
        <v>60</v>
      </c>
      <c r="AA1388" s="133"/>
      <c r="AB1388" s="241">
        <v>100</v>
      </c>
      <c r="AC1388" s="134">
        <v>255</v>
      </c>
      <c r="AD1388" s="134"/>
      <c r="AE1388" s="403">
        <f t="shared" si="76"/>
        <v>25500</v>
      </c>
      <c r="AF1388" s="132"/>
      <c r="AG1388" s="130" t="s">
        <v>58</v>
      </c>
      <c r="AH1388" s="130"/>
      <c r="AI1388" s="130" t="s">
        <v>34</v>
      </c>
      <c r="AJ1388" s="130"/>
      <c r="AK1388" s="130"/>
      <c r="AL1388" s="135" t="s">
        <v>5065</v>
      </c>
      <c r="AM1388" s="314"/>
      <c r="AN1388" s="26"/>
      <c r="AO1388" s="26">
        <v>44397</v>
      </c>
      <c r="AP1388" s="26"/>
      <c r="AQ1388" s="26">
        <v>44427</v>
      </c>
      <c r="AR1388" s="24"/>
      <c r="AS1388" s="24"/>
      <c r="AT1388" s="24">
        <v>44467</v>
      </c>
      <c r="AU1388" s="418">
        <f t="shared" si="77"/>
        <v>9</v>
      </c>
      <c r="AV1388" s="418">
        <f t="shared" si="78"/>
        <v>2021</v>
      </c>
      <c r="AW1388" s="24"/>
      <c r="AX1388" s="24"/>
      <c r="AY1388" s="24" t="s">
        <v>3199</v>
      </c>
      <c r="AZ1388" s="24" t="s">
        <v>37</v>
      </c>
      <c r="BA1388" s="24"/>
      <c r="BB1388" s="24" t="s">
        <v>3291</v>
      </c>
      <c r="BC1388" s="135" t="s">
        <v>5351</v>
      </c>
      <c r="BD1388" s="24">
        <v>44388</v>
      </c>
      <c r="BE1388" s="24" t="s">
        <v>5067</v>
      </c>
      <c r="BF1388" s="24" t="s">
        <v>5067</v>
      </c>
      <c r="BG1388" s="135" t="s">
        <v>52</v>
      </c>
      <c r="BH1388" s="135"/>
      <c r="BI1388" s="314" t="s">
        <v>124</v>
      </c>
      <c r="BJ1388" s="314" t="s">
        <v>143</v>
      </c>
      <c r="BK1388" s="24"/>
      <c r="BL1388" s="24"/>
      <c r="BM1388" s="24"/>
      <c r="BN1388" s="24"/>
      <c r="BO1388" s="24"/>
      <c r="BP1388" s="24"/>
      <c r="BQ1388" s="24"/>
      <c r="BR1388" s="24"/>
      <c r="BS1388" s="24"/>
      <c r="BT1388" s="24"/>
      <c r="BU1388" s="24"/>
      <c r="BV1388" s="132" t="e">
        <f>IF(#REF!="COMPLETO","OK","PENDIENTES")</f>
        <v>#REF!</v>
      </c>
      <c r="BW1388" s="132"/>
      <c r="BX1388" s="132"/>
      <c r="BY1388" s="132"/>
      <c r="BZ1388" s="132"/>
      <c r="CA1388" s="132"/>
      <c r="CB1388" s="132"/>
      <c r="CC1388" s="269"/>
      <c r="CG1388" s="24" t="s">
        <v>105</v>
      </c>
      <c r="CH1388" s="24"/>
      <c r="CI1388" s="24"/>
      <c r="CJ1388" s="24"/>
    </row>
    <row r="1389" spans="1:88" ht="15" customHeight="1">
      <c r="A1389" s="18">
        <v>2021</v>
      </c>
      <c r="B1389" s="18" t="str">
        <f>+INDEX(BDD!F:F,MATCH(P1389,BDD!D:D,0))&amp;"-"&amp;INDEX(BDD!E:E,MATCH(P1389,BDD!D:D,0))</f>
        <v>S-C</v>
      </c>
      <c r="C1389" s="125" t="s">
        <v>484</v>
      </c>
      <c r="D1389" s="150" t="s">
        <v>77</v>
      </c>
      <c r="E1389" s="132"/>
      <c r="F1389" s="24"/>
      <c r="G1389" s="346">
        <v>8000001300</v>
      </c>
      <c r="H1389" s="125" t="s">
        <v>5352</v>
      </c>
      <c r="I1389" s="329"/>
      <c r="J1389" s="346">
        <v>8000001300</v>
      </c>
      <c r="K1389" s="24"/>
      <c r="L1389" s="24"/>
      <c r="M1389" s="24"/>
      <c r="N1389" s="340" t="s">
        <v>486</v>
      </c>
      <c r="O1389" s="334">
        <v>207580</v>
      </c>
      <c r="P1389" s="25" t="s">
        <v>241</v>
      </c>
      <c r="Q1389" s="127" t="s">
        <v>297</v>
      </c>
      <c r="R1389" s="232" t="s">
        <v>5353</v>
      </c>
      <c r="S1389" s="89">
        <v>44232</v>
      </c>
      <c r="T1389" s="36" t="s">
        <v>19</v>
      </c>
      <c r="U1389" s="125"/>
      <c r="V1389" s="147" t="s">
        <v>5354</v>
      </c>
      <c r="W1389" s="129"/>
      <c r="X1389" s="88">
        <v>44281</v>
      </c>
      <c r="Y1389" s="130" t="s">
        <v>20</v>
      </c>
      <c r="Z1389" s="133" t="s">
        <v>60</v>
      </c>
      <c r="AA1389" s="133"/>
      <c r="AB1389" s="241">
        <v>552</v>
      </c>
      <c r="AC1389" s="134">
        <v>640</v>
      </c>
      <c r="AD1389" s="134"/>
      <c r="AE1389" s="403">
        <f t="shared" si="76"/>
        <v>353280</v>
      </c>
      <c r="AF1389" s="132">
        <v>23</v>
      </c>
      <c r="AG1389" s="130" t="s">
        <v>5</v>
      </c>
      <c r="AH1389" s="130"/>
      <c r="AI1389" s="130" t="s">
        <v>34</v>
      </c>
      <c r="AJ1389" s="130"/>
      <c r="AK1389" s="130"/>
      <c r="AL1389" s="135" t="s">
        <v>4779</v>
      </c>
      <c r="AM1389" s="314"/>
      <c r="AN1389" s="26"/>
      <c r="AO1389" s="26"/>
      <c r="AP1389" s="26"/>
      <c r="AQ1389" s="26">
        <v>44330</v>
      </c>
      <c r="AR1389" s="24"/>
      <c r="AS1389" s="24"/>
      <c r="AT1389" s="24">
        <v>44333</v>
      </c>
      <c r="AU1389" s="418">
        <f t="shared" si="77"/>
        <v>5</v>
      </c>
      <c r="AV1389" s="418">
        <f t="shared" si="78"/>
        <v>2021</v>
      </c>
      <c r="AW1389" s="24"/>
      <c r="AX1389" s="24"/>
      <c r="AY1389" s="24" t="s">
        <v>4881</v>
      </c>
      <c r="AZ1389" s="24" t="s">
        <v>9</v>
      </c>
      <c r="BA1389" s="24"/>
      <c r="BB1389" s="24" t="s">
        <v>3264</v>
      </c>
      <c r="BC1389" s="135" t="s">
        <v>5355</v>
      </c>
      <c r="BD1389" s="24">
        <v>44269</v>
      </c>
      <c r="BE1389" s="24" t="s">
        <v>5356</v>
      </c>
      <c r="BF1389" s="24" t="s">
        <v>994</v>
      </c>
      <c r="BG1389" s="135" t="s">
        <v>65</v>
      </c>
      <c r="BH1389" s="135"/>
      <c r="BI1389" s="314" t="s">
        <v>124</v>
      </c>
      <c r="BJ1389" s="314" t="s">
        <v>143</v>
      </c>
      <c r="BK1389" s="24"/>
      <c r="BL1389" s="24"/>
      <c r="BM1389" s="24"/>
      <c r="BN1389" s="24"/>
      <c r="BO1389" s="24"/>
      <c r="BP1389" s="24"/>
      <c r="BQ1389" s="24"/>
      <c r="BR1389" s="24"/>
      <c r="BS1389" s="24"/>
      <c r="BT1389" s="24"/>
      <c r="BU1389" s="24"/>
      <c r="BV1389" s="132" t="e">
        <f>IF(#REF!="COMPLETO","OK","PENDIENTES")</f>
        <v>#REF!</v>
      </c>
      <c r="BW1389" s="132"/>
      <c r="BX1389" s="132"/>
      <c r="BY1389" s="132"/>
      <c r="BZ1389" s="132"/>
      <c r="CA1389" s="132"/>
      <c r="CB1389" s="132"/>
      <c r="CC1389" s="269"/>
      <c r="CG1389" s="24" t="s">
        <v>105</v>
      </c>
      <c r="CH1389" s="24"/>
      <c r="CI1389" s="24"/>
      <c r="CJ1389" s="24"/>
    </row>
    <row r="1390" spans="1:88" ht="15" customHeight="1">
      <c r="A1390" s="18">
        <v>2021</v>
      </c>
      <c r="B1390" s="18" t="str">
        <f>+INDEX(BDD!F:F,MATCH(P1390,BDD!D:D,0))&amp;"-"&amp;INDEX(BDD!E:E,MATCH(P1390,BDD!D:D,0))</f>
        <v>S-C</v>
      </c>
      <c r="C1390" s="125" t="s">
        <v>484</v>
      </c>
      <c r="D1390" s="150" t="s">
        <v>77</v>
      </c>
      <c r="E1390" s="132"/>
      <c r="F1390" s="24"/>
      <c r="G1390" s="346">
        <v>8000001291</v>
      </c>
      <c r="H1390" s="125" t="s">
        <v>5357</v>
      </c>
      <c r="I1390" s="329"/>
      <c r="J1390" s="346">
        <v>8000001291</v>
      </c>
      <c r="K1390" s="24"/>
      <c r="L1390" s="24"/>
      <c r="M1390" s="24"/>
      <c r="N1390" s="340" t="s">
        <v>486</v>
      </c>
      <c r="O1390" s="334">
        <v>207580</v>
      </c>
      <c r="P1390" s="25" t="s">
        <v>241</v>
      </c>
      <c r="Q1390" s="127" t="s">
        <v>297</v>
      </c>
      <c r="R1390" s="232" t="s">
        <v>5358</v>
      </c>
      <c r="S1390" s="89">
        <v>44232</v>
      </c>
      <c r="T1390" s="36" t="s">
        <v>19</v>
      </c>
      <c r="U1390" s="125"/>
      <c r="V1390" s="147" t="s">
        <v>5359</v>
      </c>
      <c r="W1390" s="129"/>
      <c r="X1390" s="88">
        <v>44281</v>
      </c>
      <c r="Y1390" s="130" t="s">
        <v>20</v>
      </c>
      <c r="Z1390" s="133" t="s">
        <v>60</v>
      </c>
      <c r="AA1390" s="133"/>
      <c r="AB1390" s="241">
        <f>456-24</f>
        <v>432</v>
      </c>
      <c r="AC1390" s="134">
        <v>635</v>
      </c>
      <c r="AD1390" s="134"/>
      <c r="AE1390" s="403">
        <f t="shared" si="76"/>
        <v>274320</v>
      </c>
      <c r="AF1390" s="132">
        <v>18</v>
      </c>
      <c r="AG1390" s="130" t="s">
        <v>5</v>
      </c>
      <c r="AH1390" s="130"/>
      <c r="AI1390" s="130" t="s">
        <v>34</v>
      </c>
      <c r="AJ1390" s="130"/>
      <c r="AK1390" s="130"/>
      <c r="AL1390" s="135" t="s">
        <v>4779</v>
      </c>
      <c r="AM1390" s="314"/>
      <c r="AN1390" s="26"/>
      <c r="AO1390" s="26"/>
      <c r="AP1390" s="26"/>
      <c r="AQ1390" s="26">
        <v>44318</v>
      </c>
      <c r="AR1390" s="24"/>
      <c r="AS1390" s="24"/>
      <c r="AT1390" s="24">
        <v>44323</v>
      </c>
      <c r="AU1390" s="418">
        <f t="shared" si="77"/>
        <v>5</v>
      </c>
      <c r="AV1390" s="418">
        <f t="shared" si="78"/>
        <v>2021</v>
      </c>
      <c r="AW1390" s="24"/>
      <c r="AX1390" s="24"/>
      <c r="AY1390" s="24" t="s">
        <v>4881</v>
      </c>
      <c r="AZ1390" s="24" t="s">
        <v>37</v>
      </c>
      <c r="BA1390" s="24"/>
      <c r="BB1390" s="24" t="s">
        <v>2956</v>
      </c>
      <c r="BC1390" s="135" t="s">
        <v>5360</v>
      </c>
      <c r="BD1390" s="24">
        <v>44269</v>
      </c>
      <c r="BE1390" s="24" t="s">
        <v>5356</v>
      </c>
      <c r="BF1390" s="24" t="s">
        <v>5361</v>
      </c>
      <c r="BG1390" s="135" t="s">
        <v>65</v>
      </c>
      <c r="BH1390" s="135"/>
      <c r="BI1390" s="314" t="s">
        <v>124</v>
      </c>
      <c r="BJ1390" s="314" t="s">
        <v>138</v>
      </c>
      <c r="BK1390" s="24"/>
      <c r="BL1390" s="24"/>
      <c r="BM1390" s="24"/>
      <c r="BN1390" s="24"/>
      <c r="BO1390" s="24">
        <v>44324</v>
      </c>
      <c r="BP1390" s="24"/>
      <c r="BQ1390" s="24"/>
      <c r="BR1390" s="24"/>
      <c r="BS1390" s="24"/>
      <c r="BT1390" s="24"/>
      <c r="BU1390" s="24"/>
      <c r="BV1390" s="132" t="e">
        <f>IF(#REF!="COMPLETO","OK","PENDIENTES")</f>
        <v>#REF!</v>
      </c>
      <c r="BW1390" s="132"/>
      <c r="BX1390" s="132"/>
      <c r="BY1390" s="132"/>
      <c r="BZ1390" s="132"/>
      <c r="CA1390" s="132"/>
      <c r="CB1390" s="132"/>
      <c r="CC1390" s="269"/>
      <c r="CG1390" s="24" t="s">
        <v>105</v>
      </c>
      <c r="CH1390" s="24"/>
      <c r="CI1390" s="24"/>
      <c r="CJ1390" s="24"/>
    </row>
    <row r="1391" spans="1:88" ht="15" customHeight="1">
      <c r="A1391" s="18">
        <v>2021</v>
      </c>
      <c r="B1391" s="18" t="str">
        <f>+INDEX(BDD!F:F,MATCH(P1391,BDD!D:D,0))&amp;"-"&amp;INDEX(BDD!E:E,MATCH(P1391,BDD!D:D,0))</f>
        <v>S-C</v>
      </c>
      <c r="C1391" s="125" t="s">
        <v>484</v>
      </c>
      <c r="D1391" s="150" t="s">
        <v>77</v>
      </c>
      <c r="E1391" s="132"/>
      <c r="F1391" s="24"/>
      <c r="G1391" s="346">
        <v>8000001316</v>
      </c>
      <c r="H1391" s="125" t="s">
        <v>5362</v>
      </c>
      <c r="I1391" s="329"/>
      <c r="J1391" s="346">
        <v>8000001316</v>
      </c>
      <c r="K1391" s="24"/>
      <c r="L1391" s="24"/>
      <c r="M1391" s="24"/>
      <c r="N1391" s="340" t="s">
        <v>486</v>
      </c>
      <c r="O1391" s="334">
        <v>207580</v>
      </c>
      <c r="P1391" s="25" t="s">
        <v>241</v>
      </c>
      <c r="Q1391" s="127" t="s">
        <v>297</v>
      </c>
      <c r="R1391" s="232" t="s">
        <v>5358</v>
      </c>
      <c r="S1391" s="89">
        <v>44232</v>
      </c>
      <c r="T1391" s="36" t="s">
        <v>19</v>
      </c>
      <c r="U1391" s="125"/>
      <c r="V1391" s="147" t="s">
        <v>5359</v>
      </c>
      <c r="W1391" s="129"/>
      <c r="X1391" s="88">
        <v>44281</v>
      </c>
      <c r="Y1391" s="130" t="s">
        <v>20</v>
      </c>
      <c r="Z1391" s="133" t="s">
        <v>60</v>
      </c>
      <c r="AA1391" s="133"/>
      <c r="AB1391" s="241">
        <v>24</v>
      </c>
      <c r="AC1391" s="134">
        <v>635</v>
      </c>
      <c r="AD1391" s="134"/>
      <c r="AE1391" s="403">
        <f t="shared" si="76"/>
        <v>15240</v>
      </c>
      <c r="AF1391" s="132">
        <v>1</v>
      </c>
      <c r="AG1391" s="130" t="s">
        <v>5</v>
      </c>
      <c r="AH1391" s="130"/>
      <c r="AI1391" s="130" t="s">
        <v>34</v>
      </c>
      <c r="AJ1391" s="130"/>
      <c r="AK1391" s="130"/>
      <c r="AL1391" s="135" t="s">
        <v>4779</v>
      </c>
      <c r="AM1391" s="314"/>
      <c r="AN1391" s="26"/>
      <c r="AO1391" s="26"/>
      <c r="AP1391" s="26"/>
      <c r="AQ1391" s="26">
        <v>44334</v>
      </c>
      <c r="AR1391" s="24"/>
      <c r="AS1391" s="24"/>
      <c r="AT1391" s="24">
        <v>44338</v>
      </c>
      <c r="AU1391" s="418">
        <f t="shared" si="77"/>
        <v>5</v>
      </c>
      <c r="AV1391" s="418">
        <f t="shared" si="78"/>
        <v>2021</v>
      </c>
      <c r="AW1391" s="24"/>
      <c r="AX1391" s="24"/>
      <c r="AY1391" s="24" t="s">
        <v>4881</v>
      </c>
      <c r="AZ1391" s="24" t="s">
        <v>37</v>
      </c>
      <c r="BA1391" s="24"/>
      <c r="BB1391" s="24" t="s">
        <v>2956</v>
      </c>
      <c r="BC1391" s="135" t="s">
        <v>5363</v>
      </c>
      <c r="BD1391" s="24">
        <v>44284</v>
      </c>
      <c r="BE1391" s="24" t="s">
        <v>5356</v>
      </c>
      <c r="BF1391" s="24" t="s">
        <v>636</v>
      </c>
      <c r="BG1391" s="135" t="s">
        <v>65</v>
      </c>
      <c r="BH1391" s="135"/>
      <c r="BI1391" s="314" t="s">
        <v>124</v>
      </c>
      <c r="BJ1391" s="314" t="s">
        <v>138</v>
      </c>
      <c r="BK1391" s="24"/>
      <c r="BL1391" s="24"/>
      <c r="BM1391" s="24"/>
      <c r="BN1391" s="24"/>
      <c r="BO1391" s="24">
        <v>44340</v>
      </c>
      <c r="BP1391" s="24"/>
      <c r="BQ1391" s="24"/>
      <c r="BR1391" s="24"/>
      <c r="BS1391" s="24"/>
      <c r="BT1391" s="24"/>
      <c r="BU1391" s="24"/>
      <c r="BV1391" s="132" t="e">
        <f>IF(#REF!="COMPLETO","OK","PENDIENTES")</f>
        <v>#REF!</v>
      </c>
      <c r="BW1391" s="132"/>
      <c r="BX1391" s="132"/>
      <c r="BY1391" s="132"/>
      <c r="BZ1391" s="132"/>
      <c r="CA1391" s="132"/>
      <c r="CB1391" s="132"/>
      <c r="CC1391" s="269"/>
      <c r="CG1391" s="24" t="s">
        <v>105</v>
      </c>
      <c r="CH1391" s="24"/>
      <c r="CI1391" s="24"/>
      <c r="CJ1391" s="24"/>
    </row>
    <row r="1392" spans="1:88" ht="15" customHeight="1">
      <c r="A1392" s="18">
        <v>2021</v>
      </c>
      <c r="B1392" s="18" t="str">
        <f>+INDEX(BDD!F:F,MATCH(P1392,BDD!D:D,0))&amp;"-"&amp;INDEX(BDD!E:E,MATCH(P1392,BDD!D:D,0))</f>
        <v>S-C</v>
      </c>
      <c r="C1392" s="125" t="s">
        <v>484</v>
      </c>
      <c r="D1392" s="150" t="s">
        <v>77</v>
      </c>
      <c r="E1392" s="132"/>
      <c r="F1392" s="24"/>
      <c r="G1392" s="346">
        <v>8000001350</v>
      </c>
      <c r="H1392" s="125" t="s">
        <v>5364</v>
      </c>
      <c r="I1392" s="329"/>
      <c r="J1392" s="346">
        <v>8000001350</v>
      </c>
      <c r="K1392" s="24"/>
      <c r="L1392" s="24"/>
      <c r="M1392" s="24"/>
      <c r="N1392" s="340" t="s">
        <v>486</v>
      </c>
      <c r="O1392" s="334">
        <v>207580</v>
      </c>
      <c r="P1392" s="25" t="s">
        <v>241</v>
      </c>
      <c r="Q1392" s="127" t="s">
        <v>297</v>
      </c>
      <c r="R1392" s="232" t="s">
        <v>5353</v>
      </c>
      <c r="S1392" s="89">
        <v>44232</v>
      </c>
      <c r="T1392" s="36" t="s">
        <v>19</v>
      </c>
      <c r="U1392" s="125"/>
      <c r="V1392" s="147" t="s">
        <v>5365</v>
      </c>
      <c r="W1392" s="129"/>
      <c r="X1392" s="88">
        <v>44298</v>
      </c>
      <c r="Y1392" s="130" t="s">
        <v>20</v>
      </c>
      <c r="Z1392" s="133" t="s">
        <v>60</v>
      </c>
      <c r="AA1392" s="133"/>
      <c r="AB1392" s="241">
        <v>576</v>
      </c>
      <c r="AC1392" s="134">
        <v>640</v>
      </c>
      <c r="AD1392" s="134"/>
      <c r="AE1392" s="403">
        <f t="shared" si="76"/>
        <v>368640</v>
      </c>
      <c r="AF1392" s="132">
        <v>24</v>
      </c>
      <c r="AG1392" s="130" t="s">
        <v>5</v>
      </c>
      <c r="AH1392" s="130"/>
      <c r="AI1392" s="130" t="s">
        <v>34</v>
      </c>
      <c r="AJ1392" s="130"/>
      <c r="AK1392" s="130"/>
      <c r="AL1392" s="135" t="s">
        <v>5076</v>
      </c>
      <c r="AM1392" s="314"/>
      <c r="AN1392" s="26"/>
      <c r="AO1392" s="26"/>
      <c r="AP1392" s="26"/>
      <c r="AQ1392" s="26">
        <v>44344</v>
      </c>
      <c r="AR1392" s="24"/>
      <c r="AS1392" s="24"/>
      <c r="AT1392" s="24">
        <v>44350</v>
      </c>
      <c r="AU1392" s="418">
        <f t="shared" si="77"/>
        <v>6</v>
      </c>
      <c r="AV1392" s="418">
        <f t="shared" si="78"/>
        <v>2021</v>
      </c>
      <c r="AW1392" s="24"/>
      <c r="AX1392" s="24"/>
      <c r="AY1392" s="24" t="s">
        <v>4881</v>
      </c>
      <c r="AZ1392" s="24" t="s">
        <v>9</v>
      </c>
      <c r="BA1392" s="24"/>
      <c r="BB1392" s="24" t="s">
        <v>3264</v>
      </c>
      <c r="BC1392" s="135" t="s">
        <v>5366</v>
      </c>
      <c r="BD1392" s="24">
        <v>44285</v>
      </c>
      <c r="BE1392" s="24" t="s">
        <v>3640</v>
      </c>
      <c r="BF1392" s="24" t="s">
        <v>994</v>
      </c>
      <c r="BG1392" s="135" t="s">
        <v>14</v>
      </c>
      <c r="BH1392" s="135" t="s">
        <v>5367</v>
      </c>
      <c r="BI1392" s="314" t="s">
        <v>124</v>
      </c>
      <c r="BJ1392" s="314" t="s">
        <v>138</v>
      </c>
      <c r="BK1392" s="24"/>
      <c r="BL1392" s="24"/>
      <c r="BM1392" s="24"/>
      <c r="BN1392" s="24"/>
      <c r="BO1392" s="24">
        <v>44350</v>
      </c>
      <c r="BP1392" s="24"/>
      <c r="BQ1392" s="24"/>
      <c r="BR1392" s="24"/>
      <c r="BS1392" s="24"/>
      <c r="BT1392" s="24"/>
      <c r="BU1392" s="24"/>
      <c r="BV1392" s="132" t="e">
        <f>IF(#REF!="COMPLETO","OK","PENDIENTES")</f>
        <v>#REF!</v>
      </c>
      <c r="BW1392" s="132"/>
      <c r="BX1392" s="132"/>
      <c r="BY1392" s="132"/>
      <c r="BZ1392" s="132"/>
      <c r="CA1392" s="132"/>
      <c r="CB1392" s="132"/>
      <c r="CC1392" s="269"/>
      <c r="CG1392" s="24" t="s">
        <v>105</v>
      </c>
      <c r="CH1392" s="24"/>
      <c r="CI1392" s="24"/>
      <c r="CJ1392" s="24"/>
    </row>
    <row r="1393" spans="1:88" ht="15" customHeight="1">
      <c r="A1393" s="18">
        <v>2021</v>
      </c>
      <c r="B1393" s="18" t="str">
        <f>+INDEX(BDD!F:F,MATCH(P1393,BDD!D:D,0))&amp;"-"&amp;INDEX(BDD!E:E,MATCH(P1393,BDD!D:D,0))</f>
        <v>S-C</v>
      </c>
      <c r="C1393" s="125" t="s">
        <v>484</v>
      </c>
      <c r="D1393" s="150" t="s">
        <v>77</v>
      </c>
      <c r="E1393" s="132"/>
      <c r="F1393" s="24"/>
      <c r="G1393" s="346">
        <v>8000001294</v>
      </c>
      <c r="H1393" s="125" t="s">
        <v>5368</v>
      </c>
      <c r="I1393" s="329"/>
      <c r="J1393" s="346">
        <v>8000001294</v>
      </c>
      <c r="K1393" s="24"/>
      <c r="L1393" s="24"/>
      <c r="M1393" s="24"/>
      <c r="N1393" s="340" t="s">
        <v>486</v>
      </c>
      <c r="O1393" s="334">
        <v>207580</v>
      </c>
      <c r="P1393" s="25" t="s">
        <v>241</v>
      </c>
      <c r="Q1393" s="127" t="s">
        <v>297</v>
      </c>
      <c r="R1393" s="232" t="s">
        <v>5358</v>
      </c>
      <c r="S1393" s="89">
        <v>44232</v>
      </c>
      <c r="T1393" s="36" t="s">
        <v>19</v>
      </c>
      <c r="U1393" s="125"/>
      <c r="V1393" s="147" t="s">
        <v>5369</v>
      </c>
      <c r="W1393" s="129"/>
      <c r="X1393" s="88">
        <v>44298</v>
      </c>
      <c r="Y1393" s="130" t="s">
        <v>20</v>
      </c>
      <c r="Z1393" s="133" t="s">
        <v>60</v>
      </c>
      <c r="AA1393" s="133"/>
      <c r="AB1393" s="241">
        <v>456</v>
      </c>
      <c r="AC1393" s="134">
        <v>635</v>
      </c>
      <c r="AD1393" s="134"/>
      <c r="AE1393" s="403">
        <f t="shared" si="76"/>
        <v>289560</v>
      </c>
      <c r="AF1393" s="132">
        <v>19</v>
      </c>
      <c r="AG1393" s="130" t="s">
        <v>5</v>
      </c>
      <c r="AH1393" s="130"/>
      <c r="AI1393" s="130" t="s">
        <v>34</v>
      </c>
      <c r="AJ1393" s="130"/>
      <c r="AK1393" s="130"/>
      <c r="AL1393" s="135" t="s">
        <v>5076</v>
      </c>
      <c r="AM1393" s="314"/>
      <c r="AN1393" s="26"/>
      <c r="AO1393" s="26"/>
      <c r="AP1393" s="26"/>
      <c r="AQ1393" s="26">
        <v>44322</v>
      </c>
      <c r="AR1393" s="24"/>
      <c r="AS1393" s="24"/>
      <c r="AT1393" s="24">
        <v>44328</v>
      </c>
      <c r="AU1393" s="418">
        <f t="shared" si="77"/>
        <v>5</v>
      </c>
      <c r="AV1393" s="418">
        <f t="shared" si="78"/>
        <v>2021</v>
      </c>
      <c r="AW1393" s="24"/>
      <c r="AX1393" s="24"/>
      <c r="AY1393" s="24" t="s">
        <v>4881</v>
      </c>
      <c r="AZ1393" s="24" t="s">
        <v>37</v>
      </c>
      <c r="BA1393" s="24"/>
      <c r="BB1393" s="24" t="s">
        <v>3291</v>
      </c>
      <c r="BC1393" s="135" t="s">
        <v>5370</v>
      </c>
      <c r="BD1393" s="24">
        <v>44285</v>
      </c>
      <c r="BE1393" s="24" t="s">
        <v>3640</v>
      </c>
      <c r="BF1393" s="24" t="s">
        <v>5371</v>
      </c>
      <c r="BG1393" s="135" t="s">
        <v>14</v>
      </c>
      <c r="BH1393" s="135" t="s">
        <v>5367</v>
      </c>
      <c r="BI1393" s="314" t="s">
        <v>124</v>
      </c>
      <c r="BJ1393" s="314" t="s">
        <v>138</v>
      </c>
      <c r="BK1393" s="24"/>
      <c r="BL1393" s="24"/>
      <c r="BM1393" s="24"/>
      <c r="BN1393" s="24"/>
      <c r="BO1393" s="24">
        <f>+AQ1393+7</f>
        <v>44329</v>
      </c>
      <c r="BP1393" s="24"/>
      <c r="BQ1393" s="24"/>
      <c r="BR1393" s="24"/>
      <c r="BS1393" s="24"/>
      <c r="BT1393" s="24"/>
      <c r="BU1393" s="24"/>
      <c r="BV1393" s="132" t="e">
        <f>IF(#REF!="COMPLETO","OK","PENDIENTES")</f>
        <v>#REF!</v>
      </c>
      <c r="BW1393" s="132"/>
      <c r="BX1393" s="132"/>
      <c r="BY1393" s="132"/>
      <c r="BZ1393" s="132"/>
      <c r="CA1393" s="132"/>
      <c r="CB1393" s="132"/>
      <c r="CC1393" s="269"/>
      <c r="CG1393" s="24" t="s">
        <v>105</v>
      </c>
      <c r="CH1393" s="24"/>
      <c r="CI1393" s="24"/>
      <c r="CJ1393" s="24"/>
    </row>
    <row r="1394" spans="1:88" ht="15" customHeight="1">
      <c r="A1394" s="18">
        <v>2021</v>
      </c>
      <c r="B1394" s="18" t="str">
        <f>+INDEX(BDD!F:F,MATCH(P1394,BDD!D:D,0))&amp;"-"&amp;INDEX(BDD!E:E,MATCH(P1394,BDD!D:D,0))</f>
        <v>S-C</v>
      </c>
      <c r="C1394" s="125" t="s">
        <v>484</v>
      </c>
      <c r="D1394" s="150" t="s">
        <v>92</v>
      </c>
      <c r="E1394" s="132"/>
      <c r="F1394" s="24"/>
      <c r="G1394" s="346"/>
      <c r="H1394" s="125" t="s">
        <v>5372</v>
      </c>
      <c r="I1394" s="330"/>
      <c r="J1394" s="346"/>
      <c r="K1394" s="24"/>
      <c r="L1394" s="24"/>
      <c r="M1394" s="24"/>
      <c r="N1394" s="340"/>
      <c r="O1394" s="334"/>
      <c r="P1394" s="25" t="s">
        <v>241</v>
      </c>
      <c r="Q1394" s="127" t="s">
        <v>297</v>
      </c>
      <c r="R1394" s="232"/>
      <c r="S1394" s="89"/>
      <c r="T1394" s="36"/>
      <c r="U1394" s="125"/>
      <c r="V1394" s="147"/>
      <c r="W1394" s="129"/>
      <c r="X1394" s="88"/>
      <c r="Y1394" s="130"/>
      <c r="Z1394" s="133"/>
      <c r="AA1394" s="133"/>
      <c r="AB1394" s="241"/>
      <c r="AC1394" s="134"/>
      <c r="AD1394" s="134"/>
      <c r="AE1394" s="403">
        <f t="shared" si="76"/>
        <v>0</v>
      </c>
      <c r="AF1394" s="132"/>
      <c r="AG1394" s="130"/>
      <c r="AH1394" s="130"/>
      <c r="AI1394" s="130"/>
      <c r="AJ1394" s="130"/>
      <c r="AK1394" s="130"/>
      <c r="AL1394" s="135"/>
      <c r="AM1394" s="314"/>
      <c r="AN1394" s="26"/>
      <c r="AO1394" s="26"/>
      <c r="AP1394" s="26"/>
      <c r="AQ1394" s="26"/>
      <c r="AR1394" s="24"/>
      <c r="AS1394" s="24"/>
      <c r="AT1394" s="24"/>
      <c r="AU1394" s="418">
        <f t="shared" si="77"/>
        <v>1</v>
      </c>
      <c r="AV1394" s="418">
        <f t="shared" si="78"/>
        <v>1900</v>
      </c>
      <c r="AW1394" s="24"/>
      <c r="AX1394" s="24"/>
      <c r="AY1394" s="24"/>
      <c r="AZ1394" s="24"/>
      <c r="BA1394" s="24"/>
      <c r="BB1394" s="24"/>
      <c r="BC1394" s="135"/>
      <c r="BD1394" s="24"/>
      <c r="BE1394" s="24"/>
      <c r="BF1394" s="24"/>
      <c r="BG1394" s="135"/>
      <c r="BH1394" s="135"/>
      <c r="BI1394" s="314"/>
      <c r="BJ1394" s="314"/>
      <c r="BK1394" s="24"/>
      <c r="BL1394" s="24"/>
      <c r="BM1394" s="24"/>
      <c r="BN1394" s="24"/>
      <c r="BO1394" s="24"/>
      <c r="BP1394" s="24"/>
      <c r="BQ1394" s="24"/>
      <c r="BR1394" s="24"/>
      <c r="BS1394" s="24"/>
      <c r="BT1394" s="24"/>
      <c r="BU1394" s="24"/>
      <c r="BV1394" s="132"/>
      <c r="BW1394" s="132"/>
      <c r="BX1394" s="132"/>
      <c r="BY1394" s="132"/>
      <c r="BZ1394" s="132"/>
      <c r="CA1394" s="132"/>
      <c r="CB1394" s="132"/>
      <c r="CC1394" s="269"/>
      <c r="CD1394" s="22"/>
      <c r="CE1394" s="22"/>
      <c r="CF1394" s="22"/>
      <c r="CG1394" s="24"/>
      <c r="CH1394" s="24"/>
      <c r="CI1394" s="24"/>
      <c r="CJ1394" s="24"/>
    </row>
    <row r="1395" spans="1:88" ht="15" customHeight="1">
      <c r="A1395" s="18">
        <v>2021</v>
      </c>
      <c r="B1395" s="18" t="str">
        <f>+INDEX(BDD!F:F,MATCH(P1395,BDD!D:D,0))&amp;"-"&amp;INDEX(BDD!E:E,MATCH(P1395,BDD!D:D,0))</f>
        <v>S-C</v>
      </c>
      <c r="C1395" s="125" t="s">
        <v>484</v>
      </c>
      <c r="D1395" s="150" t="s">
        <v>92</v>
      </c>
      <c r="E1395" s="132"/>
      <c r="F1395" s="24"/>
      <c r="G1395" s="346"/>
      <c r="H1395" s="125" t="s">
        <v>5373</v>
      </c>
      <c r="I1395" s="330"/>
      <c r="J1395" s="346"/>
      <c r="K1395" s="24"/>
      <c r="L1395" s="24"/>
      <c r="M1395" s="24"/>
      <c r="N1395" s="340"/>
      <c r="O1395" s="334"/>
      <c r="P1395" s="25" t="s">
        <v>241</v>
      </c>
      <c r="Q1395" s="127" t="s">
        <v>297</v>
      </c>
      <c r="R1395" s="232"/>
      <c r="S1395" s="89"/>
      <c r="T1395" s="36"/>
      <c r="U1395" s="125"/>
      <c r="V1395" s="147"/>
      <c r="W1395" s="129"/>
      <c r="X1395" s="88"/>
      <c r="Y1395" s="130"/>
      <c r="Z1395" s="133"/>
      <c r="AA1395" s="133"/>
      <c r="AB1395" s="241"/>
      <c r="AC1395" s="134"/>
      <c r="AD1395" s="134"/>
      <c r="AE1395" s="403">
        <f t="shared" si="76"/>
        <v>0</v>
      </c>
      <c r="AF1395" s="132"/>
      <c r="AG1395" s="130"/>
      <c r="AH1395" s="130"/>
      <c r="AI1395" s="130"/>
      <c r="AJ1395" s="130"/>
      <c r="AK1395" s="130"/>
      <c r="AL1395" s="135"/>
      <c r="AM1395" s="314"/>
      <c r="AN1395" s="26"/>
      <c r="AO1395" s="26"/>
      <c r="AP1395" s="26"/>
      <c r="AQ1395" s="26"/>
      <c r="AR1395" s="24"/>
      <c r="AS1395" s="24"/>
      <c r="AT1395" s="24"/>
      <c r="AU1395" s="418">
        <f t="shared" si="77"/>
        <v>1</v>
      </c>
      <c r="AV1395" s="418">
        <f t="shared" si="78"/>
        <v>1900</v>
      </c>
      <c r="AW1395" s="24"/>
      <c r="AX1395" s="24"/>
      <c r="AY1395" s="24"/>
      <c r="AZ1395" s="24"/>
      <c r="BA1395" s="24"/>
      <c r="BB1395" s="24"/>
      <c r="BC1395" s="135"/>
      <c r="BD1395" s="24"/>
      <c r="BE1395" s="24"/>
      <c r="BF1395" s="24"/>
      <c r="BG1395" s="135"/>
      <c r="BH1395" s="135"/>
      <c r="BI1395" s="314"/>
      <c r="BJ1395" s="314"/>
      <c r="BK1395" s="24"/>
      <c r="BL1395" s="24"/>
      <c r="BM1395" s="24"/>
      <c r="BN1395" s="24"/>
      <c r="BO1395" s="24"/>
      <c r="BP1395" s="24"/>
      <c r="BQ1395" s="24"/>
      <c r="BR1395" s="24"/>
      <c r="BS1395" s="24"/>
      <c r="BT1395" s="24"/>
      <c r="BU1395" s="24"/>
      <c r="BV1395" s="132"/>
      <c r="BW1395" s="132"/>
      <c r="BX1395" s="132"/>
      <c r="BY1395" s="132"/>
      <c r="BZ1395" s="132"/>
      <c r="CA1395" s="132"/>
      <c r="CB1395" s="132"/>
      <c r="CC1395" s="269"/>
      <c r="CD1395" s="22"/>
      <c r="CE1395" s="22"/>
      <c r="CF1395" s="22"/>
      <c r="CG1395" s="24"/>
      <c r="CH1395" s="24"/>
      <c r="CI1395" s="24"/>
      <c r="CJ1395" s="24"/>
    </row>
    <row r="1396" spans="1:88" ht="15" customHeight="1">
      <c r="A1396" s="18">
        <v>2021</v>
      </c>
      <c r="B1396" s="18" t="str">
        <f>+INDEX(BDD!F:F,MATCH(P1396,BDD!D:D,0))&amp;"-"&amp;INDEX(BDD!E:E,MATCH(P1396,BDD!D:D,0))</f>
        <v>G-S</v>
      </c>
      <c r="C1396" s="125" t="s">
        <v>484</v>
      </c>
      <c r="D1396" s="150" t="s">
        <v>77</v>
      </c>
      <c r="E1396" s="132"/>
      <c r="F1396" s="24"/>
      <c r="G1396" s="346">
        <v>8000001258</v>
      </c>
      <c r="H1396" s="125" t="s">
        <v>5374</v>
      </c>
      <c r="I1396" s="329"/>
      <c r="J1396" s="346">
        <v>8000001258</v>
      </c>
      <c r="K1396" s="24"/>
      <c r="L1396" s="24"/>
      <c r="M1396" s="24"/>
      <c r="N1396" s="340" t="s">
        <v>486</v>
      </c>
      <c r="O1396" s="334">
        <v>207951</v>
      </c>
      <c r="P1396" s="25" t="s">
        <v>354</v>
      </c>
      <c r="Q1396" s="127" t="s">
        <v>237</v>
      </c>
      <c r="R1396" s="232" t="s">
        <v>5375</v>
      </c>
      <c r="S1396" s="89">
        <v>44232</v>
      </c>
      <c r="T1396" s="36">
        <v>120</v>
      </c>
      <c r="U1396" s="125" t="s">
        <v>118</v>
      </c>
      <c r="V1396" s="147" t="s">
        <v>5376</v>
      </c>
      <c r="W1396" s="129"/>
      <c r="X1396" s="88">
        <f t="shared" ref="X1396:X1401" si="80">+BD1396+T1396</f>
        <v>44358</v>
      </c>
      <c r="Y1396" s="130" t="s">
        <v>20</v>
      </c>
      <c r="Z1396" s="133" t="s">
        <v>60</v>
      </c>
      <c r="AA1396" s="133"/>
      <c r="AB1396" s="241">
        <v>200</v>
      </c>
      <c r="AC1396" s="134">
        <v>398.35750000000002</v>
      </c>
      <c r="AD1396" s="134"/>
      <c r="AE1396" s="403">
        <f t="shared" si="76"/>
        <v>79671.5</v>
      </c>
      <c r="AF1396" s="132"/>
      <c r="AG1396" s="130" t="s">
        <v>46</v>
      </c>
      <c r="AH1396" s="130"/>
      <c r="AI1396" s="130" t="s">
        <v>100</v>
      </c>
      <c r="AJ1396" s="130"/>
      <c r="AK1396" s="130"/>
      <c r="AL1396" s="135" t="s">
        <v>4779</v>
      </c>
      <c r="AM1396" s="314"/>
      <c r="AN1396" s="26"/>
      <c r="AO1396" s="26"/>
      <c r="AP1396" s="26"/>
      <c r="AQ1396" s="26">
        <v>44274</v>
      </c>
      <c r="AR1396" s="41"/>
      <c r="AS1396" s="41"/>
      <c r="AT1396" s="24">
        <v>44278</v>
      </c>
      <c r="AU1396" s="418">
        <f t="shared" si="77"/>
        <v>3</v>
      </c>
      <c r="AV1396" s="418">
        <f t="shared" si="78"/>
        <v>2021</v>
      </c>
      <c r="AW1396" s="24"/>
      <c r="AX1396" s="24"/>
      <c r="AY1396" s="24" t="s">
        <v>205</v>
      </c>
      <c r="AZ1396" s="24" t="s">
        <v>9</v>
      </c>
      <c r="BA1396" s="24"/>
      <c r="BB1396" s="24" t="s">
        <v>3264</v>
      </c>
      <c r="BC1396" s="135">
        <v>3</v>
      </c>
      <c r="BD1396" s="24">
        <v>44238</v>
      </c>
      <c r="BE1396" s="24" t="s">
        <v>5204</v>
      </c>
      <c r="BF1396" s="24" t="s">
        <v>5204</v>
      </c>
      <c r="BG1396" s="135" t="s">
        <v>52</v>
      </c>
      <c r="BH1396" s="135"/>
      <c r="BI1396" s="314" t="s">
        <v>117</v>
      </c>
      <c r="BJ1396" s="314" t="s">
        <v>143</v>
      </c>
      <c r="BK1396" s="24"/>
      <c r="BL1396" s="24"/>
      <c r="BM1396" s="24"/>
      <c r="BN1396" s="24"/>
      <c r="BO1396" s="41"/>
      <c r="BP1396" s="41"/>
      <c r="BQ1396" s="41"/>
      <c r="BR1396" s="24"/>
      <c r="BS1396" s="41"/>
      <c r="BT1396" s="41"/>
      <c r="BU1396" s="41"/>
      <c r="BV1396" s="132" t="e">
        <f>IF(#REF!="COMPLETO","OK","PENDIENTES")</f>
        <v>#REF!</v>
      </c>
      <c r="BW1396" s="132"/>
      <c r="BX1396" s="132"/>
      <c r="BY1396" s="132"/>
      <c r="BZ1396" s="132"/>
      <c r="CA1396" s="132"/>
      <c r="CB1396" s="132"/>
      <c r="CC1396" s="269"/>
      <c r="CG1396" s="24" t="s">
        <v>105</v>
      </c>
      <c r="CH1396" s="24"/>
      <c r="CI1396" s="24"/>
      <c r="CJ1396" s="24"/>
    </row>
    <row r="1397" spans="1:88" ht="15" customHeight="1">
      <c r="A1397" s="18">
        <v>2021</v>
      </c>
      <c r="B1397" s="18" t="str">
        <f>+INDEX(BDD!F:F,MATCH(P1397,BDD!D:D,0))&amp;"-"&amp;INDEX(BDD!E:E,MATCH(P1397,BDD!D:D,0))</f>
        <v>G-S</v>
      </c>
      <c r="C1397" s="125" t="s">
        <v>484</v>
      </c>
      <c r="D1397" s="150" t="s">
        <v>77</v>
      </c>
      <c r="E1397" s="132"/>
      <c r="F1397" s="24"/>
      <c r="G1397" s="346">
        <v>8000001255</v>
      </c>
      <c r="H1397" s="125" t="s">
        <v>5377</v>
      </c>
      <c r="I1397" s="329"/>
      <c r="J1397" s="346">
        <v>8000001255</v>
      </c>
      <c r="K1397" s="24"/>
      <c r="L1397" s="24"/>
      <c r="M1397" s="24"/>
      <c r="N1397" s="340" t="s">
        <v>486</v>
      </c>
      <c r="O1397" s="334">
        <v>207951</v>
      </c>
      <c r="P1397" s="25" t="s">
        <v>354</v>
      </c>
      <c r="Q1397" s="127" t="s">
        <v>237</v>
      </c>
      <c r="R1397" s="232" t="s">
        <v>5375</v>
      </c>
      <c r="S1397" s="89">
        <v>44232</v>
      </c>
      <c r="T1397" s="36">
        <v>120</v>
      </c>
      <c r="U1397" s="125" t="s">
        <v>118</v>
      </c>
      <c r="V1397" s="147" t="s">
        <v>5378</v>
      </c>
      <c r="W1397" s="129"/>
      <c r="X1397" s="88">
        <f t="shared" si="80"/>
        <v>44358</v>
      </c>
      <c r="Y1397" s="130" t="s">
        <v>20</v>
      </c>
      <c r="Z1397" s="133" t="s">
        <v>60</v>
      </c>
      <c r="AA1397" s="133"/>
      <c r="AB1397" s="241">
        <v>600</v>
      </c>
      <c r="AC1397" s="134">
        <v>398.35750000000002</v>
      </c>
      <c r="AD1397" s="134"/>
      <c r="AE1397" s="403">
        <f t="shared" si="76"/>
        <v>239014.5</v>
      </c>
      <c r="AF1397" s="132"/>
      <c r="AG1397" s="130" t="s">
        <v>46</v>
      </c>
      <c r="AH1397" s="130"/>
      <c r="AI1397" s="130" t="s">
        <v>100</v>
      </c>
      <c r="AJ1397" s="130"/>
      <c r="AK1397" s="130"/>
      <c r="AL1397" s="135" t="s">
        <v>4779</v>
      </c>
      <c r="AM1397" s="314"/>
      <c r="AN1397" s="26"/>
      <c r="AO1397" s="26"/>
      <c r="AP1397" s="26"/>
      <c r="AQ1397" s="26">
        <f>+AQ1396+2</f>
        <v>44276</v>
      </c>
      <c r="AR1397" s="41"/>
      <c r="AS1397" s="41"/>
      <c r="AT1397" s="24">
        <v>44278</v>
      </c>
      <c r="AU1397" s="418">
        <f t="shared" si="77"/>
        <v>3</v>
      </c>
      <c r="AV1397" s="418">
        <f t="shared" si="78"/>
        <v>2021</v>
      </c>
      <c r="AW1397" s="24"/>
      <c r="AX1397" s="24"/>
      <c r="AY1397" s="24" t="s">
        <v>205</v>
      </c>
      <c r="AZ1397" s="24" t="s">
        <v>25</v>
      </c>
      <c r="BA1397" s="24"/>
      <c r="BB1397" s="24" t="s">
        <v>3264</v>
      </c>
      <c r="BC1397" s="135" t="s">
        <v>5379</v>
      </c>
      <c r="BD1397" s="24">
        <v>44238</v>
      </c>
      <c r="BE1397" s="24" t="s">
        <v>5204</v>
      </c>
      <c r="BF1397" s="24" t="s">
        <v>5204</v>
      </c>
      <c r="BG1397" s="135" t="s">
        <v>52</v>
      </c>
      <c r="BH1397" s="135"/>
      <c r="BI1397" s="314" t="s">
        <v>117</v>
      </c>
      <c r="BJ1397" s="314" t="s">
        <v>143</v>
      </c>
      <c r="BK1397" s="24"/>
      <c r="BL1397" s="24"/>
      <c r="BM1397" s="24"/>
      <c r="BN1397" s="24"/>
      <c r="BO1397" s="41"/>
      <c r="BP1397" s="41"/>
      <c r="BQ1397" s="41"/>
      <c r="BR1397" s="24"/>
      <c r="BS1397" s="41"/>
      <c r="BT1397" s="41"/>
      <c r="BU1397" s="41"/>
      <c r="BV1397" s="132" t="e">
        <f>IF(#REF!="COMPLETO","OK","PENDIENTES")</f>
        <v>#REF!</v>
      </c>
      <c r="BW1397" s="132"/>
      <c r="BX1397" s="132"/>
      <c r="BY1397" s="132"/>
      <c r="BZ1397" s="132"/>
      <c r="CA1397" s="132"/>
      <c r="CB1397" s="132"/>
      <c r="CC1397" s="269"/>
      <c r="CG1397" s="24" t="s">
        <v>105</v>
      </c>
      <c r="CH1397" s="24"/>
      <c r="CI1397" s="24"/>
      <c r="CJ1397" s="24"/>
    </row>
    <row r="1398" spans="1:88" ht="15" customHeight="1">
      <c r="A1398" s="18">
        <v>2021</v>
      </c>
      <c r="B1398" s="18" t="str">
        <f>+INDEX(BDD!F:F,MATCH(P1398,BDD!D:D,0))&amp;"-"&amp;INDEX(BDD!E:E,MATCH(P1398,BDD!D:D,0))</f>
        <v>G-S</v>
      </c>
      <c r="C1398" s="125" t="s">
        <v>484</v>
      </c>
      <c r="D1398" s="150" t="s">
        <v>77</v>
      </c>
      <c r="E1398" s="132"/>
      <c r="F1398" s="24"/>
      <c r="G1398" s="346">
        <v>8000001252</v>
      </c>
      <c r="H1398" s="125" t="s">
        <v>5380</v>
      </c>
      <c r="I1398" s="329"/>
      <c r="J1398" s="346">
        <v>8000001252</v>
      </c>
      <c r="K1398" s="24"/>
      <c r="L1398" s="24"/>
      <c r="M1398" s="24"/>
      <c r="N1398" s="340" t="s">
        <v>486</v>
      </c>
      <c r="O1398" s="334">
        <v>207951</v>
      </c>
      <c r="P1398" s="25" t="s">
        <v>354</v>
      </c>
      <c r="Q1398" s="127" t="s">
        <v>237</v>
      </c>
      <c r="R1398" s="232" t="s">
        <v>5375</v>
      </c>
      <c r="S1398" s="89">
        <v>44232</v>
      </c>
      <c r="T1398" s="36">
        <v>120</v>
      </c>
      <c r="U1398" s="125" t="s">
        <v>118</v>
      </c>
      <c r="V1398" s="147" t="s">
        <v>5381</v>
      </c>
      <c r="W1398" s="129"/>
      <c r="X1398" s="88">
        <f t="shared" si="80"/>
        <v>44358</v>
      </c>
      <c r="Y1398" s="130" t="s">
        <v>20</v>
      </c>
      <c r="Z1398" s="133" t="s">
        <v>60</v>
      </c>
      <c r="AA1398" s="133"/>
      <c r="AB1398" s="241">
        <v>500</v>
      </c>
      <c r="AC1398" s="134">
        <v>398.35750000000002</v>
      </c>
      <c r="AD1398" s="134"/>
      <c r="AE1398" s="403">
        <f t="shared" si="76"/>
        <v>199178.75</v>
      </c>
      <c r="AF1398" s="132"/>
      <c r="AG1398" s="130" t="s">
        <v>46</v>
      </c>
      <c r="AH1398" s="130"/>
      <c r="AI1398" s="130" t="s">
        <v>100</v>
      </c>
      <c r="AJ1398" s="130"/>
      <c r="AK1398" s="130"/>
      <c r="AL1398" s="135" t="s">
        <v>4779</v>
      </c>
      <c r="AM1398" s="314"/>
      <c r="AN1398" s="26"/>
      <c r="AO1398" s="26"/>
      <c r="AP1398" s="26"/>
      <c r="AQ1398" s="26">
        <v>44279</v>
      </c>
      <c r="AR1398" s="41"/>
      <c r="AS1398" s="41"/>
      <c r="AT1398" s="24">
        <v>44280</v>
      </c>
      <c r="AU1398" s="418">
        <f t="shared" si="77"/>
        <v>3</v>
      </c>
      <c r="AV1398" s="418">
        <f t="shared" si="78"/>
        <v>2021</v>
      </c>
      <c r="AW1398" s="24"/>
      <c r="AX1398" s="24"/>
      <c r="AY1398" s="24" t="s">
        <v>205</v>
      </c>
      <c r="AZ1398" s="24" t="s">
        <v>37</v>
      </c>
      <c r="BA1398" s="24"/>
      <c r="BB1398" s="24" t="s">
        <v>5383</v>
      </c>
      <c r="BC1398" s="135" t="s">
        <v>5382</v>
      </c>
      <c r="BD1398" s="24">
        <v>44238</v>
      </c>
      <c r="BE1398" s="24" t="s">
        <v>5204</v>
      </c>
      <c r="BF1398" s="24" t="s">
        <v>5204</v>
      </c>
      <c r="BG1398" s="135" t="s">
        <v>52</v>
      </c>
      <c r="BH1398" s="135"/>
      <c r="BI1398" s="314" t="s">
        <v>117</v>
      </c>
      <c r="BJ1398" s="314" t="s">
        <v>143</v>
      </c>
      <c r="BK1398" s="24"/>
      <c r="BL1398" s="24"/>
      <c r="BM1398" s="24"/>
      <c r="BN1398" s="24"/>
      <c r="BO1398" s="41"/>
      <c r="BP1398" s="41"/>
      <c r="BQ1398" s="41"/>
      <c r="BR1398" s="24"/>
      <c r="BS1398" s="41"/>
      <c r="BT1398" s="41"/>
      <c r="BU1398" s="41"/>
      <c r="BV1398" s="132" t="e">
        <f>IF(#REF!="COMPLETO","OK","PENDIENTES")</f>
        <v>#REF!</v>
      </c>
      <c r="BW1398" s="132"/>
      <c r="BX1398" s="132"/>
      <c r="BY1398" s="132"/>
      <c r="BZ1398" s="132"/>
      <c r="CA1398" s="132"/>
      <c r="CB1398" s="132"/>
      <c r="CC1398" s="269"/>
      <c r="CG1398" s="24" t="s">
        <v>105</v>
      </c>
      <c r="CH1398" s="24"/>
      <c r="CI1398" s="24"/>
      <c r="CJ1398" s="24"/>
    </row>
    <row r="1399" spans="1:88" ht="15" customHeight="1">
      <c r="A1399" s="18">
        <v>2021</v>
      </c>
      <c r="B1399" s="18" t="str">
        <f>+INDEX(BDD!F:F,MATCH(P1399,BDD!D:D,0))&amp;"-"&amp;INDEX(BDD!E:E,MATCH(P1399,BDD!D:D,0))</f>
        <v>G-S</v>
      </c>
      <c r="C1399" s="125" t="s">
        <v>484</v>
      </c>
      <c r="D1399" s="150" t="s">
        <v>77</v>
      </c>
      <c r="E1399" s="132"/>
      <c r="F1399" s="24"/>
      <c r="G1399" s="346">
        <v>8000001269</v>
      </c>
      <c r="H1399" s="125" t="s">
        <v>5384</v>
      </c>
      <c r="I1399" s="329"/>
      <c r="J1399" s="346">
        <v>8000001269</v>
      </c>
      <c r="K1399" s="24"/>
      <c r="L1399" s="24"/>
      <c r="M1399" s="24"/>
      <c r="N1399" s="340" t="s">
        <v>486</v>
      </c>
      <c r="O1399" s="334">
        <v>207951</v>
      </c>
      <c r="P1399" s="25" t="s">
        <v>354</v>
      </c>
      <c r="Q1399" s="127" t="s">
        <v>237</v>
      </c>
      <c r="R1399" s="232" t="s">
        <v>5375</v>
      </c>
      <c r="S1399" s="89">
        <v>44232</v>
      </c>
      <c r="T1399" s="36">
        <v>120</v>
      </c>
      <c r="U1399" s="125" t="s">
        <v>118</v>
      </c>
      <c r="V1399" s="147" t="s">
        <v>5385</v>
      </c>
      <c r="W1399" s="129"/>
      <c r="X1399" s="88">
        <f t="shared" si="80"/>
        <v>44358</v>
      </c>
      <c r="Y1399" s="130" t="s">
        <v>20</v>
      </c>
      <c r="Z1399" s="133" t="s">
        <v>60</v>
      </c>
      <c r="AA1399" s="133"/>
      <c r="AB1399" s="241">
        <v>700</v>
      </c>
      <c r="AC1399" s="134">
        <v>398.35750000000002</v>
      </c>
      <c r="AD1399" s="134"/>
      <c r="AE1399" s="403">
        <f t="shared" si="76"/>
        <v>278850.25</v>
      </c>
      <c r="AF1399" s="132"/>
      <c r="AG1399" s="130" t="s">
        <v>46</v>
      </c>
      <c r="AH1399" s="130"/>
      <c r="AI1399" s="130" t="s">
        <v>100</v>
      </c>
      <c r="AJ1399" s="130"/>
      <c r="AK1399" s="130"/>
      <c r="AL1399" s="135" t="s">
        <v>4779</v>
      </c>
      <c r="AM1399" s="314"/>
      <c r="AN1399" s="26"/>
      <c r="AO1399" s="26"/>
      <c r="AP1399" s="26"/>
      <c r="AQ1399" s="26">
        <v>44282</v>
      </c>
      <c r="AR1399" s="41"/>
      <c r="AS1399" s="41"/>
      <c r="AT1399" s="24">
        <v>44283</v>
      </c>
      <c r="AU1399" s="418">
        <f t="shared" si="77"/>
        <v>3</v>
      </c>
      <c r="AV1399" s="418">
        <f t="shared" si="78"/>
        <v>2021</v>
      </c>
      <c r="AW1399" s="24"/>
      <c r="AX1399" s="24"/>
      <c r="AY1399" s="24" t="s">
        <v>205</v>
      </c>
      <c r="AZ1399" s="24" t="s">
        <v>62</v>
      </c>
      <c r="BA1399" s="24"/>
      <c r="BB1399" s="24" t="s">
        <v>3264</v>
      </c>
      <c r="BC1399" s="135" t="s">
        <v>5386</v>
      </c>
      <c r="BD1399" s="24">
        <v>44238</v>
      </c>
      <c r="BE1399" s="24" t="s">
        <v>5204</v>
      </c>
      <c r="BF1399" s="24" t="s">
        <v>5204</v>
      </c>
      <c r="BG1399" s="135" t="s">
        <v>52</v>
      </c>
      <c r="BH1399" s="135"/>
      <c r="BI1399" s="314" t="s">
        <v>117</v>
      </c>
      <c r="BJ1399" s="314" t="s">
        <v>143</v>
      </c>
      <c r="BK1399" s="24"/>
      <c r="BL1399" s="24"/>
      <c r="BM1399" s="24"/>
      <c r="BN1399" s="24"/>
      <c r="BO1399" s="41"/>
      <c r="BP1399" s="41"/>
      <c r="BQ1399" s="41"/>
      <c r="BR1399" s="24"/>
      <c r="BS1399" s="41"/>
      <c r="BT1399" s="41"/>
      <c r="BU1399" s="41"/>
      <c r="BV1399" s="132" t="e">
        <f>IF(#REF!="COMPLETO","OK","PENDIENTES")</f>
        <v>#REF!</v>
      </c>
      <c r="BW1399" s="132"/>
      <c r="BX1399" s="132"/>
      <c r="BY1399" s="132"/>
      <c r="BZ1399" s="132"/>
      <c r="CA1399" s="132"/>
      <c r="CB1399" s="132"/>
      <c r="CC1399" s="269"/>
      <c r="CG1399" s="24" t="s">
        <v>105</v>
      </c>
      <c r="CH1399" s="24"/>
      <c r="CI1399" s="24"/>
      <c r="CJ1399" s="24"/>
    </row>
    <row r="1400" spans="1:88" ht="15" customHeight="1">
      <c r="A1400" s="18">
        <v>2021</v>
      </c>
      <c r="B1400" s="18" t="str">
        <f>+INDEX(BDD!F:F,MATCH(P1400,BDD!D:D,0))&amp;"-"&amp;INDEX(BDD!E:E,MATCH(P1400,BDD!D:D,0))</f>
        <v>G-S</v>
      </c>
      <c r="C1400" s="125" t="s">
        <v>484</v>
      </c>
      <c r="D1400" s="150" t="s">
        <v>77</v>
      </c>
      <c r="E1400" s="132"/>
      <c r="F1400" s="24"/>
      <c r="G1400" s="346">
        <v>8000001259</v>
      </c>
      <c r="H1400" s="125" t="s">
        <v>5387</v>
      </c>
      <c r="I1400" s="329"/>
      <c r="J1400" s="346">
        <v>8000001259</v>
      </c>
      <c r="K1400" s="24"/>
      <c r="L1400" s="24"/>
      <c r="M1400" s="24"/>
      <c r="N1400" s="340" t="s">
        <v>486</v>
      </c>
      <c r="O1400" s="334">
        <v>207485</v>
      </c>
      <c r="P1400" s="25" t="s">
        <v>353</v>
      </c>
      <c r="Q1400" s="127" t="s">
        <v>237</v>
      </c>
      <c r="R1400" s="232" t="s">
        <v>5388</v>
      </c>
      <c r="S1400" s="89">
        <v>44232</v>
      </c>
      <c r="T1400" s="36">
        <v>120</v>
      </c>
      <c r="U1400" s="125" t="s">
        <v>118</v>
      </c>
      <c r="V1400" s="147" t="s">
        <v>5389</v>
      </c>
      <c r="W1400" s="129"/>
      <c r="X1400" s="88">
        <f t="shared" si="80"/>
        <v>44344</v>
      </c>
      <c r="Y1400" s="130" t="s">
        <v>20</v>
      </c>
      <c r="Z1400" s="133" t="s">
        <v>60</v>
      </c>
      <c r="AA1400" s="133"/>
      <c r="AB1400" s="241">
        <v>880</v>
      </c>
      <c r="AC1400" s="134">
        <v>403.4</v>
      </c>
      <c r="AD1400" s="134"/>
      <c r="AE1400" s="403">
        <f t="shared" si="76"/>
        <v>354992</v>
      </c>
      <c r="AF1400" s="132"/>
      <c r="AG1400" s="130" t="s">
        <v>46</v>
      </c>
      <c r="AH1400" s="130"/>
      <c r="AI1400" s="130" t="s">
        <v>100</v>
      </c>
      <c r="AJ1400" s="130"/>
      <c r="AK1400" s="130"/>
      <c r="AL1400" s="135" t="s">
        <v>4779</v>
      </c>
      <c r="AM1400" s="314"/>
      <c r="AN1400" s="26"/>
      <c r="AO1400" s="26"/>
      <c r="AP1400" s="26"/>
      <c r="AQ1400" s="26">
        <v>44276</v>
      </c>
      <c r="AR1400" s="24"/>
      <c r="AS1400" s="24"/>
      <c r="AT1400" s="24">
        <v>44278</v>
      </c>
      <c r="AU1400" s="418">
        <f t="shared" si="77"/>
        <v>3</v>
      </c>
      <c r="AV1400" s="418">
        <f t="shared" si="78"/>
        <v>2021</v>
      </c>
      <c r="AW1400" s="24"/>
      <c r="AX1400" s="24"/>
      <c r="AY1400" s="24" t="s">
        <v>5391</v>
      </c>
      <c r="AZ1400" s="24" t="s">
        <v>9</v>
      </c>
      <c r="BA1400" s="24"/>
      <c r="BB1400" s="24" t="s">
        <v>2956</v>
      </c>
      <c r="BC1400" s="135" t="s">
        <v>5390</v>
      </c>
      <c r="BD1400" s="24">
        <v>44224</v>
      </c>
      <c r="BE1400" s="24" t="s">
        <v>5392</v>
      </c>
      <c r="BF1400" s="24" t="s">
        <v>5392</v>
      </c>
      <c r="BG1400" s="135" t="s">
        <v>52</v>
      </c>
      <c r="BH1400" s="135"/>
      <c r="BI1400" s="314" t="s">
        <v>117</v>
      </c>
      <c r="BJ1400" s="314" t="s">
        <v>143</v>
      </c>
      <c r="BK1400" s="24"/>
      <c r="BL1400" s="24"/>
      <c r="BM1400" s="24"/>
      <c r="BN1400" s="24"/>
      <c r="BO1400" s="24"/>
      <c r="BP1400" s="24"/>
      <c r="BQ1400" s="24"/>
      <c r="BR1400" s="24"/>
      <c r="BS1400" s="24"/>
      <c r="BT1400" s="24"/>
      <c r="BU1400" s="24"/>
      <c r="BV1400" s="132" t="e">
        <f>IF(#REF!="COMPLETO","OK","PENDIENTES")</f>
        <v>#REF!</v>
      </c>
      <c r="BW1400" s="132"/>
      <c r="BX1400" s="132"/>
      <c r="BY1400" s="132"/>
      <c r="BZ1400" s="132"/>
      <c r="CA1400" s="132"/>
      <c r="CB1400" s="132"/>
      <c r="CC1400" s="269"/>
      <c r="CG1400" s="24" t="s">
        <v>105</v>
      </c>
      <c r="CH1400" s="24"/>
      <c r="CI1400" s="24"/>
      <c r="CJ1400" s="24"/>
    </row>
    <row r="1401" spans="1:88" ht="15" customHeight="1">
      <c r="A1401" s="18">
        <v>2021</v>
      </c>
      <c r="B1401" s="18" t="str">
        <f>+INDEX(BDD!F:F,MATCH(P1401,BDD!D:D,0))&amp;"-"&amp;INDEX(BDD!E:E,MATCH(P1401,BDD!D:D,0))</f>
        <v>S-S</v>
      </c>
      <c r="C1401" s="125" t="s">
        <v>484</v>
      </c>
      <c r="D1401" s="150" t="s">
        <v>77</v>
      </c>
      <c r="E1401" s="132"/>
      <c r="F1401" s="24"/>
      <c r="G1401" s="346">
        <v>8000001368</v>
      </c>
      <c r="H1401" s="125" t="s">
        <v>5393</v>
      </c>
      <c r="I1401" s="329"/>
      <c r="J1401" s="346">
        <v>8000001368</v>
      </c>
      <c r="K1401" s="24"/>
      <c r="L1401" s="24"/>
      <c r="M1401" s="24"/>
      <c r="N1401" s="340" t="s">
        <v>486</v>
      </c>
      <c r="O1401" s="334">
        <v>206914</v>
      </c>
      <c r="P1401" s="25" t="s">
        <v>335</v>
      </c>
      <c r="Q1401" s="127" t="s">
        <v>264</v>
      </c>
      <c r="R1401" s="232" t="s">
        <v>5394</v>
      </c>
      <c r="S1401" s="89">
        <v>44231</v>
      </c>
      <c r="T1401" s="36">
        <v>90</v>
      </c>
      <c r="U1401" s="125" t="s">
        <v>118</v>
      </c>
      <c r="V1401" s="147" t="s">
        <v>5395</v>
      </c>
      <c r="W1401" s="129"/>
      <c r="X1401" s="88">
        <f t="shared" si="80"/>
        <v>44380</v>
      </c>
      <c r="Y1401" s="130" t="s">
        <v>20</v>
      </c>
      <c r="Z1401" s="133" t="s">
        <v>60</v>
      </c>
      <c r="AA1401" s="133"/>
      <c r="AB1401" s="241">
        <v>1300</v>
      </c>
      <c r="AC1401" s="134">
        <v>101</v>
      </c>
      <c r="AD1401" s="134"/>
      <c r="AE1401" s="403">
        <f t="shared" si="76"/>
        <v>131300</v>
      </c>
      <c r="AF1401" s="132"/>
      <c r="AG1401" s="130" t="s">
        <v>58</v>
      </c>
      <c r="AH1401" s="130"/>
      <c r="AI1401" s="130" t="s">
        <v>34</v>
      </c>
      <c r="AJ1401" s="130"/>
      <c r="AK1401" s="130"/>
      <c r="AL1401" s="135" t="s">
        <v>4779</v>
      </c>
      <c r="AM1401" s="314"/>
      <c r="AN1401" s="26"/>
      <c r="AO1401" s="26"/>
      <c r="AP1401" s="26"/>
      <c r="AQ1401" s="26">
        <v>44367</v>
      </c>
      <c r="AR1401" s="41"/>
      <c r="AS1401" s="41"/>
      <c r="AT1401" s="24">
        <v>44393</v>
      </c>
      <c r="AU1401" s="418">
        <f t="shared" si="77"/>
        <v>7</v>
      </c>
      <c r="AV1401" s="418">
        <f t="shared" si="78"/>
        <v>2021</v>
      </c>
      <c r="AW1401" s="24"/>
      <c r="AX1401" s="24"/>
      <c r="AY1401" s="28" t="s">
        <v>95</v>
      </c>
      <c r="AZ1401" s="24" t="s">
        <v>37</v>
      </c>
      <c r="BA1401" s="24"/>
      <c r="BB1401" s="24" t="s">
        <v>3593</v>
      </c>
      <c r="BC1401" s="135" t="s">
        <v>5396</v>
      </c>
      <c r="BD1401" s="24">
        <v>44290</v>
      </c>
      <c r="BE1401" s="24" t="s">
        <v>5397</v>
      </c>
      <c r="BF1401" s="24" t="s">
        <v>5397</v>
      </c>
      <c r="BG1401" s="135" t="s">
        <v>52</v>
      </c>
      <c r="BH1401" s="135"/>
      <c r="BI1401" s="314" t="s">
        <v>124</v>
      </c>
      <c r="BJ1401" s="314" t="s">
        <v>143</v>
      </c>
      <c r="BK1401" s="24"/>
      <c r="BL1401" s="24"/>
      <c r="BM1401" s="24"/>
      <c r="BN1401" s="24"/>
      <c r="BO1401" s="41"/>
      <c r="BP1401" s="41"/>
      <c r="BQ1401" s="41"/>
      <c r="BR1401" s="24"/>
      <c r="BS1401" s="41"/>
      <c r="BT1401" s="41"/>
      <c r="BU1401" s="41"/>
      <c r="BV1401" s="132" t="e">
        <f>IF(#REF!="COMPLETO","OK","PENDIENTES")</f>
        <v>#REF!</v>
      </c>
      <c r="BW1401" s="132"/>
      <c r="BX1401" s="132"/>
      <c r="BY1401" s="132"/>
      <c r="BZ1401" s="132"/>
      <c r="CA1401" s="132"/>
      <c r="CB1401" s="132"/>
      <c r="CC1401" s="269"/>
      <c r="CG1401" s="24" t="s">
        <v>105</v>
      </c>
      <c r="CH1401" s="24"/>
      <c r="CI1401" s="24"/>
      <c r="CJ1401" s="24"/>
    </row>
    <row r="1402" spans="1:88" ht="15" customHeight="1">
      <c r="A1402" s="18">
        <v>2021</v>
      </c>
      <c r="B1402" s="18" t="str">
        <f>+INDEX(BDD!F:F,MATCH(P1402,BDD!D:D,0))&amp;"-"&amp;INDEX(BDD!E:E,MATCH(P1402,BDD!D:D,0))</f>
        <v>S-S</v>
      </c>
      <c r="C1402" s="125" t="s">
        <v>5398</v>
      </c>
      <c r="D1402" s="150" t="s">
        <v>3</v>
      </c>
      <c r="E1402" s="132" t="s">
        <v>51</v>
      </c>
      <c r="F1402" s="24"/>
      <c r="G1402" s="346">
        <v>8000001634</v>
      </c>
      <c r="H1402" s="125" t="s">
        <v>5399</v>
      </c>
      <c r="I1402" s="329"/>
      <c r="J1402" s="346">
        <v>8000001634</v>
      </c>
      <c r="K1402" s="24">
        <v>44482</v>
      </c>
      <c r="L1402" s="24"/>
      <c r="M1402" s="24"/>
      <c r="N1402" s="340" t="s">
        <v>3</v>
      </c>
      <c r="O1402" s="334">
        <v>206914</v>
      </c>
      <c r="P1402" s="25" t="s">
        <v>335</v>
      </c>
      <c r="Q1402" s="127" t="s">
        <v>264</v>
      </c>
      <c r="R1402" s="401" t="s">
        <v>5394</v>
      </c>
      <c r="S1402" s="89">
        <v>44231</v>
      </c>
      <c r="T1402" s="36">
        <v>90</v>
      </c>
      <c r="U1402" s="125" t="s">
        <v>118</v>
      </c>
      <c r="V1402" s="232"/>
      <c r="W1402" s="151"/>
      <c r="X1402" s="88"/>
      <c r="Y1402" s="130" t="s">
        <v>3</v>
      </c>
      <c r="Z1402" s="133" t="s">
        <v>60</v>
      </c>
      <c r="AA1402" s="133" t="s">
        <v>6619</v>
      </c>
      <c r="AB1402" s="241">
        <v>500</v>
      </c>
      <c r="AC1402" s="134">
        <v>101</v>
      </c>
      <c r="AD1402" s="134"/>
      <c r="AE1402" s="403">
        <f t="shared" si="76"/>
        <v>50500</v>
      </c>
      <c r="AF1402" s="132"/>
      <c r="AG1402" s="130" t="s">
        <v>58</v>
      </c>
      <c r="AH1402" s="130"/>
      <c r="AI1402" s="130" t="s">
        <v>34</v>
      </c>
      <c r="AJ1402" s="274">
        <v>1.25</v>
      </c>
      <c r="AK1402" s="130" t="s">
        <v>5400</v>
      </c>
      <c r="AL1402" s="135" t="s">
        <v>5076</v>
      </c>
      <c r="AM1402" s="314">
        <v>2022</v>
      </c>
      <c r="AN1402" s="26">
        <v>44712</v>
      </c>
      <c r="AO1402" s="385">
        <v>44732</v>
      </c>
      <c r="AP1402" s="26">
        <f>AQ1402</f>
        <v>44778</v>
      </c>
      <c r="AQ1402" s="385">
        <f>AO1402+46</f>
        <v>44778</v>
      </c>
      <c r="AR1402" s="24">
        <f>AQ1402+10</f>
        <v>44788</v>
      </c>
      <c r="AS1402" s="24"/>
      <c r="AT1402" s="24">
        <v>44782</v>
      </c>
      <c r="AU1402" s="418">
        <f t="shared" si="77"/>
        <v>8</v>
      </c>
      <c r="AV1402" s="418">
        <f t="shared" si="78"/>
        <v>2022</v>
      </c>
      <c r="AW1402" s="24" t="s">
        <v>7875</v>
      </c>
      <c r="AX1402" s="24" t="s">
        <v>5402</v>
      </c>
      <c r="AY1402" s="28" t="s">
        <v>5401</v>
      </c>
      <c r="AZ1402" s="24" t="s">
        <v>37</v>
      </c>
      <c r="BA1402" s="24"/>
      <c r="BB1402" s="24" t="s">
        <v>3291</v>
      </c>
      <c r="BC1402" s="135"/>
      <c r="BD1402" s="24"/>
      <c r="BE1402" s="24"/>
      <c r="BF1402" s="24"/>
      <c r="BG1402" s="135" t="s">
        <v>52</v>
      </c>
      <c r="BH1402" s="135"/>
      <c r="BI1402" s="314" t="s">
        <v>3</v>
      </c>
      <c r="BJ1402" s="314"/>
      <c r="BK1402" s="24"/>
      <c r="BL1402" s="24"/>
      <c r="BM1402" s="24"/>
      <c r="BN1402" s="24"/>
      <c r="BO1402" s="41"/>
      <c r="BP1402" s="41"/>
      <c r="BQ1402" s="41"/>
      <c r="BR1402" s="24"/>
      <c r="BS1402" s="41"/>
      <c r="BT1402" s="41"/>
      <c r="BU1402" s="41"/>
      <c r="BV1402" s="132" t="e">
        <f>IF(#REF!="COMPLETO","OK","PENDIENTE")</f>
        <v>#REF!</v>
      </c>
      <c r="BW1402" s="132"/>
      <c r="BX1402" s="132"/>
      <c r="BY1402" s="132"/>
      <c r="BZ1402" s="132"/>
      <c r="CA1402" s="132"/>
      <c r="CB1402" s="132"/>
      <c r="CC1402" s="269"/>
      <c r="CD1402" s="67" t="s">
        <v>7871</v>
      </c>
      <c r="CE1402" s="67"/>
      <c r="CG1402" s="24"/>
      <c r="CH1402" s="24"/>
      <c r="CI1402" s="24"/>
      <c r="CJ1402" s="24"/>
    </row>
    <row r="1403" spans="1:88" ht="15" customHeight="1">
      <c r="A1403" s="18">
        <v>2021</v>
      </c>
      <c r="B1403" s="18" t="str">
        <f>+INDEX(BDD!F:F,MATCH(P1403,BDD!D:D,0))&amp;"-"&amp;INDEX(BDD!E:E,MATCH(P1403,BDD!D:D,0))</f>
        <v>S-S</v>
      </c>
      <c r="C1403" s="125" t="s">
        <v>484</v>
      </c>
      <c r="D1403" s="150" t="s">
        <v>77</v>
      </c>
      <c r="E1403" s="132"/>
      <c r="F1403" s="24"/>
      <c r="G1403" s="346">
        <v>8000001558</v>
      </c>
      <c r="H1403" s="125" t="s">
        <v>5403</v>
      </c>
      <c r="I1403" s="329"/>
      <c r="J1403" s="346">
        <v>8000001558</v>
      </c>
      <c r="K1403" s="24"/>
      <c r="L1403" s="24">
        <v>44479</v>
      </c>
      <c r="M1403" s="24">
        <v>44480</v>
      </c>
      <c r="N1403" s="340" t="s">
        <v>486</v>
      </c>
      <c r="O1403" s="334">
        <v>206914</v>
      </c>
      <c r="P1403" s="25" t="s">
        <v>335</v>
      </c>
      <c r="Q1403" s="127" t="s">
        <v>264</v>
      </c>
      <c r="R1403" s="232" t="s">
        <v>5404</v>
      </c>
      <c r="S1403" s="89">
        <v>44231</v>
      </c>
      <c r="T1403" s="36" t="s">
        <v>19</v>
      </c>
      <c r="U1403" s="125"/>
      <c r="V1403" s="147" t="s">
        <v>5404</v>
      </c>
      <c r="W1403" s="129"/>
      <c r="X1403" s="88" t="s">
        <v>944</v>
      </c>
      <c r="Y1403" s="130" t="s">
        <v>20</v>
      </c>
      <c r="Z1403" s="133" t="s">
        <v>60</v>
      </c>
      <c r="AA1403" s="133"/>
      <c r="AB1403" s="241">
        <f>1600+1200</f>
        <v>2800</v>
      </c>
      <c r="AC1403" s="134">
        <v>119</v>
      </c>
      <c r="AD1403" s="134"/>
      <c r="AE1403" s="403">
        <f t="shared" si="76"/>
        <v>333200</v>
      </c>
      <c r="AF1403" s="132"/>
      <c r="AG1403" s="130" t="s">
        <v>58</v>
      </c>
      <c r="AH1403" s="130"/>
      <c r="AI1403" s="130" t="s">
        <v>34</v>
      </c>
      <c r="AJ1403" s="130"/>
      <c r="AK1403" s="130"/>
      <c r="AL1403" s="135" t="s">
        <v>4779</v>
      </c>
      <c r="AM1403" s="314"/>
      <c r="AN1403" s="26">
        <f>BL1403</f>
        <v>0</v>
      </c>
      <c r="AO1403" s="26">
        <v>44438</v>
      </c>
      <c r="AP1403" s="26">
        <f>AQ1403</f>
        <v>44468</v>
      </c>
      <c r="AQ1403" s="26">
        <v>44468</v>
      </c>
      <c r="AR1403" s="24">
        <f>AP1403+7</f>
        <v>44475</v>
      </c>
      <c r="AS1403" s="24"/>
      <c r="AT1403" s="24">
        <v>44473</v>
      </c>
      <c r="AU1403" s="418">
        <f t="shared" si="77"/>
        <v>10</v>
      </c>
      <c r="AV1403" s="418">
        <f t="shared" si="78"/>
        <v>2021</v>
      </c>
      <c r="AW1403" s="24"/>
      <c r="AX1403" s="24"/>
      <c r="AY1403" s="28" t="s">
        <v>95</v>
      </c>
      <c r="AZ1403" s="24" t="s">
        <v>9</v>
      </c>
      <c r="BA1403" s="24"/>
      <c r="BB1403" s="24" t="s">
        <v>3519</v>
      </c>
      <c r="BC1403" s="135" t="s">
        <v>5405</v>
      </c>
      <c r="BD1403" s="24">
        <v>44437</v>
      </c>
      <c r="BE1403" s="24" t="s">
        <v>5406</v>
      </c>
      <c r="BF1403" s="24" t="s">
        <v>5406</v>
      </c>
      <c r="BG1403" s="135" t="s">
        <v>52</v>
      </c>
      <c r="BH1403" s="135"/>
      <c r="BI1403" s="314" t="s">
        <v>124</v>
      </c>
      <c r="BJ1403" s="314" t="s">
        <v>148</v>
      </c>
      <c r="BK1403" s="24"/>
      <c r="BL1403" s="24"/>
      <c r="BM1403" s="24"/>
      <c r="BN1403" s="24"/>
      <c r="BO1403" s="24"/>
      <c r="BP1403" s="24"/>
      <c r="BQ1403" s="24"/>
      <c r="BR1403" s="24"/>
      <c r="BS1403" s="24"/>
      <c r="BT1403" s="24"/>
      <c r="BU1403" s="24"/>
      <c r="BV1403" s="132" t="e">
        <f>IF(#REF!="COMPLETO","OK","PENDIENTES")</f>
        <v>#REF!</v>
      </c>
      <c r="BW1403" s="132"/>
      <c r="BX1403" s="132"/>
      <c r="BY1403" s="132"/>
      <c r="BZ1403" s="132"/>
      <c r="CA1403" s="132"/>
      <c r="CB1403" s="132"/>
      <c r="CC1403" s="269"/>
      <c r="CG1403" s="24" t="s">
        <v>105</v>
      </c>
      <c r="CH1403" s="24"/>
      <c r="CI1403" s="24"/>
      <c r="CJ1403" s="24"/>
    </row>
    <row r="1404" spans="1:88" ht="15" customHeight="1">
      <c r="A1404" s="18">
        <v>2021</v>
      </c>
      <c r="B1404" s="18" t="str">
        <f>+INDEX(BDD!F:F,MATCH(P1404,BDD!D:D,0))&amp;"-"&amp;INDEX(BDD!E:E,MATCH(P1404,BDD!D:D,0))</f>
        <v>S-S</v>
      </c>
      <c r="C1404" s="125" t="s">
        <v>484</v>
      </c>
      <c r="D1404" s="152" t="s">
        <v>92</v>
      </c>
      <c r="E1404" s="132"/>
      <c r="F1404" s="24"/>
      <c r="G1404" s="346"/>
      <c r="H1404" s="125" t="s">
        <v>5407</v>
      </c>
      <c r="I1404" s="330"/>
      <c r="J1404" s="346"/>
      <c r="K1404" s="24"/>
      <c r="L1404" s="24"/>
      <c r="M1404" s="24"/>
      <c r="N1404" s="340"/>
      <c r="O1404" s="334"/>
      <c r="P1404" s="25" t="s">
        <v>335</v>
      </c>
      <c r="Q1404" s="127" t="s">
        <v>264</v>
      </c>
      <c r="R1404" s="232"/>
      <c r="S1404" s="89"/>
      <c r="T1404" s="36"/>
      <c r="U1404" s="125"/>
      <c r="V1404" s="147"/>
      <c r="W1404" s="129"/>
      <c r="X1404" s="88"/>
      <c r="Y1404" s="130"/>
      <c r="Z1404" s="133"/>
      <c r="AA1404" s="133"/>
      <c r="AB1404" s="241"/>
      <c r="AC1404" s="134"/>
      <c r="AD1404" s="134"/>
      <c r="AE1404" s="403">
        <f t="shared" si="76"/>
        <v>0</v>
      </c>
      <c r="AF1404" s="132"/>
      <c r="AG1404" s="130"/>
      <c r="AH1404" s="130"/>
      <c r="AI1404" s="130"/>
      <c r="AJ1404" s="130"/>
      <c r="AK1404" s="130"/>
      <c r="AL1404" s="135"/>
      <c r="AM1404" s="314"/>
      <c r="AN1404" s="26"/>
      <c r="AO1404" s="26"/>
      <c r="AP1404" s="26"/>
      <c r="AQ1404" s="26"/>
      <c r="AR1404" s="24"/>
      <c r="AS1404" s="24"/>
      <c r="AT1404" s="24"/>
      <c r="AU1404" s="418">
        <f t="shared" si="77"/>
        <v>1</v>
      </c>
      <c r="AV1404" s="418">
        <f t="shared" si="78"/>
        <v>1900</v>
      </c>
      <c r="AW1404" s="24"/>
      <c r="AX1404" s="24"/>
      <c r="AY1404" s="24"/>
      <c r="AZ1404" s="24"/>
      <c r="BA1404" s="24"/>
      <c r="BB1404" s="24"/>
      <c r="BC1404" s="135"/>
      <c r="BD1404" s="24"/>
      <c r="BE1404" s="24"/>
      <c r="BF1404" s="24"/>
      <c r="BG1404" s="135"/>
      <c r="BH1404" s="135"/>
      <c r="BI1404" s="314"/>
      <c r="BJ1404" s="314"/>
      <c r="BK1404" s="24"/>
      <c r="BL1404" s="24"/>
      <c r="BM1404" s="24"/>
      <c r="BN1404" s="24"/>
      <c r="BO1404" s="24"/>
      <c r="BP1404" s="24"/>
      <c r="BQ1404" s="24"/>
      <c r="BR1404" s="24"/>
      <c r="BS1404" s="24"/>
      <c r="BT1404" s="24"/>
      <c r="BU1404" s="24"/>
      <c r="BV1404" s="132"/>
      <c r="BW1404" s="132"/>
      <c r="BX1404" s="132"/>
      <c r="BY1404" s="132"/>
      <c r="BZ1404" s="132"/>
      <c r="CA1404" s="132"/>
      <c r="CB1404" s="132"/>
      <c r="CC1404" s="362"/>
      <c r="CD1404" s="22"/>
      <c r="CE1404" s="22"/>
      <c r="CF1404" s="22"/>
      <c r="CG1404" s="24"/>
      <c r="CH1404" s="24"/>
      <c r="CI1404" s="24"/>
      <c r="CJ1404" s="24"/>
    </row>
    <row r="1405" spans="1:88" ht="15" customHeight="1">
      <c r="A1405" s="18">
        <v>2021</v>
      </c>
      <c r="B1405" s="18" t="str">
        <f>+INDEX(BDD!F:F,MATCH(P1405,BDD!D:D,0))&amp;"-"&amp;INDEX(BDD!E:E,MATCH(P1405,BDD!D:D,0))</f>
        <v>S-S</v>
      </c>
      <c r="C1405" s="125" t="s">
        <v>484</v>
      </c>
      <c r="D1405" s="150" t="s">
        <v>77</v>
      </c>
      <c r="E1405" s="132"/>
      <c r="F1405" s="24"/>
      <c r="G1405" s="346">
        <v>8000001405</v>
      </c>
      <c r="H1405" s="125" t="s">
        <v>5408</v>
      </c>
      <c r="I1405" s="329"/>
      <c r="J1405" s="346">
        <v>8000001405</v>
      </c>
      <c r="K1405" s="24"/>
      <c r="L1405" s="24"/>
      <c r="M1405" s="24"/>
      <c r="N1405" s="340" t="s">
        <v>486</v>
      </c>
      <c r="O1405" s="334">
        <v>206914</v>
      </c>
      <c r="P1405" s="25" t="s">
        <v>335</v>
      </c>
      <c r="Q1405" s="127" t="s">
        <v>264</v>
      </c>
      <c r="R1405" s="232" t="s">
        <v>5409</v>
      </c>
      <c r="S1405" s="89">
        <v>44231</v>
      </c>
      <c r="T1405" s="36">
        <v>90</v>
      </c>
      <c r="U1405" s="125" t="s">
        <v>118</v>
      </c>
      <c r="V1405" s="232" t="s">
        <v>5409</v>
      </c>
      <c r="W1405" s="151"/>
      <c r="X1405" s="88">
        <f>+BD1405+T1405</f>
        <v>44400</v>
      </c>
      <c r="Y1405" s="130" t="s">
        <v>20</v>
      </c>
      <c r="Z1405" s="133" t="s">
        <v>60</v>
      </c>
      <c r="AA1405" s="133"/>
      <c r="AB1405" s="241">
        <v>400</v>
      </c>
      <c r="AC1405" s="134">
        <v>112</v>
      </c>
      <c r="AD1405" s="134"/>
      <c r="AE1405" s="403">
        <f t="shared" si="76"/>
        <v>44800</v>
      </c>
      <c r="AF1405" s="132"/>
      <c r="AG1405" s="130" t="s">
        <v>58</v>
      </c>
      <c r="AH1405" s="130"/>
      <c r="AI1405" s="130" t="s">
        <v>34</v>
      </c>
      <c r="AJ1405" s="130"/>
      <c r="AK1405" s="130"/>
      <c r="AL1405" s="135" t="s">
        <v>5199</v>
      </c>
      <c r="AM1405" s="314"/>
      <c r="AN1405" s="26"/>
      <c r="AO1405" s="26"/>
      <c r="AP1405" s="26"/>
      <c r="AQ1405" s="26">
        <v>44374</v>
      </c>
      <c r="AR1405" s="24"/>
      <c r="AS1405" s="24"/>
      <c r="AT1405" s="24">
        <v>44378</v>
      </c>
      <c r="AU1405" s="418">
        <f t="shared" si="77"/>
        <v>7</v>
      </c>
      <c r="AV1405" s="418">
        <f t="shared" si="78"/>
        <v>2021</v>
      </c>
      <c r="AW1405" s="24"/>
      <c r="AX1405" s="24"/>
      <c r="AY1405" s="24" t="s">
        <v>3199</v>
      </c>
      <c r="AZ1405" s="24" t="s">
        <v>62</v>
      </c>
      <c r="BA1405" s="24"/>
      <c r="BB1405" s="24" t="s">
        <v>3334</v>
      </c>
      <c r="BC1405" s="135" t="s">
        <v>5410</v>
      </c>
      <c r="BD1405" s="24">
        <v>44310</v>
      </c>
      <c r="BE1405" s="24" t="s">
        <v>1127</v>
      </c>
      <c r="BF1405" s="24" t="s">
        <v>1127</v>
      </c>
      <c r="BG1405" s="135" t="s">
        <v>52</v>
      </c>
      <c r="BH1405" s="135"/>
      <c r="BI1405" s="314" t="s">
        <v>117</v>
      </c>
      <c r="BJ1405" s="314" t="s">
        <v>143</v>
      </c>
      <c r="BK1405" s="24"/>
      <c r="BL1405" s="24"/>
      <c r="BM1405" s="24"/>
      <c r="BN1405" s="24"/>
      <c r="BO1405" s="24"/>
      <c r="BP1405" s="24"/>
      <c r="BQ1405" s="24"/>
      <c r="BR1405" s="24"/>
      <c r="BS1405" s="24"/>
      <c r="BT1405" s="24"/>
      <c r="BU1405" s="24"/>
      <c r="BV1405" s="132" t="e">
        <f>IF(#REF!="COMPLETO","OK","PENDIENTES")</f>
        <v>#REF!</v>
      </c>
      <c r="BW1405" s="132"/>
      <c r="BX1405" s="132"/>
      <c r="BY1405" s="132"/>
      <c r="BZ1405" s="132"/>
      <c r="CA1405" s="132"/>
      <c r="CB1405" s="132"/>
      <c r="CC1405" s="269"/>
      <c r="CG1405" s="24" t="s">
        <v>105</v>
      </c>
      <c r="CH1405" s="24"/>
      <c r="CI1405" s="24"/>
      <c r="CJ1405" s="24"/>
    </row>
    <row r="1406" spans="1:88" ht="15" customHeight="1">
      <c r="A1406" s="18">
        <v>2021</v>
      </c>
      <c r="B1406" s="18" t="str">
        <f>+INDEX(BDD!F:F,MATCH(P1406,BDD!D:D,0))&amp;"-"&amp;INDEX(BDD!E:E,MATCH(P1406,BDD!D:D,0))</f>
        <v>E-S</v>
      </c>
      <c r="C1406" s="125" t="s">
        <v>484</v>
      </c>
      <c r="D1406" s="150" t="s">
        <v>77</v>
      </c>
      <c r="E1406" s="132"/>
      <c r="F1406" s="24"/>
      <c r="G1406" s="346">
        <v>8000001222</v>
      </c>
      <c r="H1406" s="125" t="s">
        <v>5411</v>
      </c>
      <c r="I1406" s="329"/>
      <c r="J1406" s="346">
        <v>8000001222</v>
      </c>
      <c r="K1406" s="24"/>
      <c r="L1406" s="24"/>
      <c r="M1406" s="24"/>
      <c r="N1406" s="340" t="s">
        <v>486</v>
      </c>
      <c r="O1406" s="334">
        <v>208078</v>
      </c>
      <c r="P1406" s="25" t="s">
        <v>342</v>
      </c>
      <c r="Q1406" s="127" t="s">
        <v>210</v>
      </c>
      <c r="R1406" s="232" t="s">
        <v>5412</v>
      </c>
      <c r="S1406" s="89" t="s">
        <v>4779</v>
      </c>
      <c r="T1406" s="36">
        <v>120</v>
      </c>
      <c r="U1406" s="125" t="s">
        <v>118</v>
      </c>
      <c r="V1406" s="147" t="s">
        <v>5413</v>
      </c>
      <c r="W1406" s="129"/>
      <c r="X1406" s="88">
        <f>+T1406+BD1406</f>
        <v>44412</v>
      </c>
      <c r="Y1406" s="130" t="s">
        <v>20</v>
      </c>
      <c r="Z1406" s="133" t="s">
        <v>72</v>
      </c>
      <c r="AA1406" s="133"/>
      <c r="AB1406" s="241">
        <f>23.1</f>
        <v>23.1</v>
      </c>
      <c r="AC1406" s="134">
        <v>715</v>
      </c>
      <c r="AD1406" s="134"/>
      <c r="AE1406" s="403">
        <f t="shared" si="76"/>
        <v>16516.5</v>
      </c>
      <c r="AF1406" s="132">
        <v>1</v>
      </c>
      <c r="AG1406" s="130" t="s">
        <v>5</v>
      </c>
      <c r="AH1406" s="130"/>
      <c r="AI1406" s="130" t="s">
        <v>34</v>
      </c>
      <c r="AJ1406" s="130"/>
      <c r="AK1406" s="130"/>
      <c r="AL1406" s="135" t="s">
        <v>5076</v>
      </c>
      <c r="AM1406" s="314"/>
      <c r="AN1406" s="26"/>
      <c r="AO1406" s="26"/>
      <c r="AP1406" s="26"/>
      <c r="AQ1406" s="26">
        <v>44314</v>
      </c>
      <c r="AR1406" s="24"/>
      <c r="AS1406" s="24"/>
      <c r="AT1406" s="24">
        <v>44316</v>
      </c>
      <c r="AU1406" s="418">
        <f t="shared" si="77"/>
        <v>4</v>
      </c>
      <c r="AV1406" s="418">
        <f t="shared" si="78"/>
        <v>2021</v>
      </c>
      <c r="AW1406" s="24"/>
      <c r="AX1406" s="24"/>
      <c r="AY1406" s="24" t="s">
        <v>162</v>
      </c>
      <c r="AZ1406" s="24" t="s">
        <v>9</v>
      </c>
      <c r="BA1406" s="24"/>
      <c r="BB1406" s="24" t="s">
        <v>3264</v>
      </c>
      <c r="BC1406" s="135" t="s">
        <v>5414</v>
      </c>
      <c r="BD1406" s="24">
        <v>44292</v>
      </c>
      <c r="BE1406" s="24" t="s">
        <v>870</v>
      </c>
      <c r="BF1406" s="24" t="s">
        <v>5130</v>
      </c>
      <c r="BG1406" s="135" t="s">
        <v>64</v>
      </c>
      <c r="BH1406" s="135"/>
      <c r="BI1406" s="320" t="s">
        <v>124</v>
      </c>
      <c r="BJ1406" s="314" t="s">
        <v>138</v>
      </c>
      <c r="BK1406" s="24"/>
      <c r="BL1406" s="24"/>
      <c r="BM1406" s="24"/>
      <c r="BN1406" s="24"/>
      <c r="BO1406" s="24">
        <v>44319</v>
      </c>
      <c r="BP1406" s="24"/>
      <c r="BQ1406" s="24"/>
      <c r="BR1406" s="24"/>
      <c r="BS1406" s="24"/>
      <c r="BT1406" s="24"/>
      <c r="BU1406" s="24"/>
      <c r="BV1406" s="132" t="e">
        <f>IF(#REF!="COMPLETO","OK","PENDIENTES")</f>
        <v>#REF!</v>
      </c>
      <c r="BW1406" s="132"/>
      <c r="BX1406" s="132"/>
      <c r="BY1406" s="132"/>
      <c r="BZ1406" s="132"/>
      <c r="CA1406" s="132"/>
      <c r="CB1406" s="132"/>
      <c r="CC1406" s="269"/>
      <c r="CG1406" s="24" t="s">
        <v>105</v>
      </c>
      <c r="CH1406" s="24"/>
      <c r="CI1406" s="24"/>
      <c r="CJ1406" s="24"/>
    </row>
    <row r="1407" spans="1:88" ht="15" customHeight="1">
      <c r="A1407" s="18">
        <v>2021</v>
      </c>
      <c r="B1407" s="18" t="str">
        <f>+INDEX(BDD!F:F,MATCH(P1407,BDD!D:D,0))&amp;"-"&amp;INDEX(BDD!E:E,MATCH(P1407,BDD!D:D,0))</f>
        <v>G-S</v>
      </c>
      <c r="C1407" s="125" t="s">
        <v>484</v>
      </c>
      <c r="D1407" s="150" t="s">
        <v>92</v>
      </c>
      <c r="E1407" s="132"/>
      <c r="F1407" s="24"/>
      <c r="G1407" s="346"/>
      <c r="H1407" s="125" t="s">
        <v>5415</v>
      </c>
      <c r="I1407" s="330"/>
      <c r="J1407" s="346"/>
      <c r="K1407" s="24"/>
      <c r="L1407" s="24"/>
      <c r="M1407" s="24"/>
      <c r="N1407" s="340"/>
      <c r="O1407" s="334"/>
      <c r="P1407" s="25" t="s">
        <v>353</v>
      </c>
      <c r="Q1407" s="127" t="s">
        <v>273</v>
      </c>
      <c r="R1407" s="232"/>
      <c r="S1407" s="89"/>
      <c r="T1407" s="36"/>
      <c r="U1407" s="125"/>
      <c r="V1407" s="147"/>
      <c r="W1407" s="129"/>
      <c r="X1407" s="88"/>
      <c r="Y1407" s="130"/>
      <c r="Z1407" s="133"/>
      <c r="AA1407" s="133"/>
      <c r="AB1407" s="241"/>
      <c r="AC1407" s="134"/>
      <c r="AD1407" s="134"/>
      <c r="AE1407" s="403">
        <f t="shared" si="76"/>
        <v>0</v>
      </c>
      <c r="AF1407" s="132"/>
      <c r="AG1407" s="130"/>
      <c r="AH1407" s="130"/>
      <c r="AI1407" s="130"/>
      <c r="AJ1407" s="130"/>
      <c r="AK1407" s="130"/>
      <c r="AL1407" s="135"/>
      <c r="AM1407" s="314"/>
      <c r="AN1407" s="26"/>
      <c r="AO1407" s="26"/>
      <c r="AP1407" s="26"/>
      <c r="AQ1407" s="26"/>
      <c r="AR1407" s="24"/>
      <c r="AS1407" s="24"/>
      <c r="AT1407" s="24"/>
      <c r="AU1407" s="418">
        <f t="shared" si="77"/>
        <v>1</v>
      </c>
      <c r="AV1407" s="418">
        <f t="shared" si="78"/>
        <v>1900</v>
      </c>
      <c r="AW1407" s="24"/>
      <c r="AX1407" s="24"/>
      <c r="AY1407" s="24"/>
      <c r="AZ1407" s="24"/>
      <c r="BA1407" s="24"/>
      <c r="BB1407" s="24"/>
      <c r="BC1407" s="135"/>
      <c r="BD1407" s="24"/>
      <c r="BE1407" s="24"/>
      <c r="BF1407" s="24"/>
      <c r="BG1407" s="135"/>
      <c r="BH1407" s="135"/>
      <c r="BI1407" s="314"/>
      <c r="BJ1407" s="314"/>
      <c r="BK1407" s="24"/>
      <c r="BL1407" s="24"/>
      <c r="BM1407" s="24"/>
      <c r="BN1407" s="24"/>
      <c r="BO1407" s="24"/>
      <c r="BP1407" s="24"/>
      <c r="BQ1407" s="24"/>
      <c r="BR1407" s="24"/>
      <c r="BS1407" s="24"/>
      <c r="BT1407" s="24"/>
      <c r="BU1407" s="24"/>
      <c r="BV1407" s="132"/>
      <c r="BW1407" s="132"/>
      <c r="BX1407" s="132"/>
      <c r="BY1407" s="132"/>
      <c r="BZ1407" s="132"/>
      <c r="CA1407" s="132"/>
      <c r="CB1407" s="132"/>
      <c r="CC1407" s="362"/>
      <c r="CD1407" s="22"/>
      <c r="CE1407" s="22"/>
      <c r="CF1407" s="22"/>
      <c r="CG1407" s="24"/>
      <c r="CH1407" s="24"/>
      <c r="CI1407" s="24"/>
      <c r="CJ1407" s="24"/>
    </row>
    <row r="1408" spans="1:88" ht="15" customHeight="1">
      <c r="A1408" s="18">
        <v>2021</v>
      </c>
      <c r="B1408" s="18" t="str">
        <f>+INDEX(BDD!F:F,MATCH(P1408,BDD!D:D,0))&amp;"-"&amp;INDEX(BDD!E:E,MATCH(P1408,BDD!D:D,0))</f>
        <v>G-S</v>
      </c>
      <c r="C1408" s="125" t="s">
        <v>484</v>
      </c>
      <c r="D1408" s="150" t="s">
        <v>92</v>
      </c>
      <c r="E1408" s="132"/>
      <c r="F1408" s="24"/>
      <c r="G1408" s="346"/>
      <c r="H1408" s="125" t="s">
        <v>5416</v>
      </c>
      <c r="I1408" s="330"/>
      <c r="J1408" s="346"/>
      <c r="K1408" s="24"/>
      <c r="L1408" s="24"/>
      <c r="M1408" s="24"/>
      <c r="N1408" s="340"/>
      <c r="O1408" s="334"/>
      <c r="P1408" s="25" t="s">
        <v>353</v>
      </c>
      <c r="Q1408" s="127" t="s">
        <v>273</v>
      </c>
      <c r="R1408" s="232"/>
      <c r="S1408" s="89"/>
      <c r="T1408" s="36"/>
      <c r="U1408" s="125"/>
      <c r="V1408" s="147"/>
      <c r="W1408" s="129"/>
      <c r="X1408" s="88"/>
      <c r="Y1408" s="130"/>
      <c r="Z1408" s="133"/>
      <c r="AA1408" s="133"/>
      <c r="AB1408" s="241"/>
      <c r="AC1408" s="134"/>
      <c r="AD1408" s="134"/>
      <c r="AE1408" s="403">
        <f t="shared" si="76"/>
        <v>0</v>
      </c>
      <c r="AF1408" s="132"/>
      <c r="AG1408" s="130"/>
      <c r="AH1408" s="130"/>
      <c r="AI1408" s="130"/>
      <c r="AJ1408" s="130"/>
      <c r="AK1408" s="130"/>
      <c r="AL1408" s="135"/>
      <c r="AM1408" s="314"/>
      <c r="AN1408" s="26"/>
      <c r="AO1408" s="26"/>
      <c r="AP1408" s="26"/>
      <c r="AQ1408" s="26"/>
      <c r="AR1408" s="24"/>
      <c r="AS1408" s="24"/>
      <c r="AT1408" s="24"/>
      <c r="AU1408" s="418">
        <f t="shared" si="77"/>
        <v>1</v>
      </c>
      <c r="AV1408" s="418">
        <f t="shared" si="78"/>
        <v>1900</v>
      </c>
      <c r="AW1408" s="24"/>
      <c r="AX1408" s="24"/>
      <c r="AY1408" s="24"/>
      <c r="AZ1408" s="24"/>
      <c r="BA1408" s="24"/>
      <c r="BB1408" s="24"/>
      <c r="BC1408" s="135"/>
      <c r="BD1408" s="24"/>
      <c r="BE1408" s="24"/>
      <c r="BF1408" s="24"/>
      <c r="BG1408" s="135"/>
      <c r="BH1408" s="135"/>
      <c r="BI1408" s="314"/>
      <c r="BJ1408" s="314"/>
      <c r="BK1408" s="24"/>
      <c r="BL1408" s="24"/>
      <c r="BM1408" s="24"/>
      <c r="BN1408" s="24"/>
      <c r="BO1408" s="24"/>
      <c r="BP1408" s="24"/>
      <c r="BQ1408" s="24"/>
      <c r="BR1408" s="24"/>
      <c r="BS1408" s="24"/>
      <c r="BT1408" s="24"/>
      <c r="BU1408" s="24"/>
      <c r="BV1408" s="132"/>
      <c r="BW1408" s="132"/>
      <c r="BX1408" s="132"/>
      <c r="BY1408" s="132"/>
      <c r="BZ1408" s="132"/>
      <c r="CA1408" s="132"/>
      <c r="CB1408" s="132"/>
      <c r="CC1408" s="362"/>
      <c r="CD1408" s="22"/>
      <c r="CE1408" s="22"/>
      <c r="CF1408" s="22"/>
      <c r="CG1408" s="24"/>
      <c r="CH1408" s="24"/>
      <c r="CI1408" s="24"/>
      <c r="CJ1408" s="24"/>
    </row>
    <row r="1409" spans="1:88" ht="15" customHeight="1">
      <c r="A1409" s="18">
        <v>2021</v>
      </c>
      <c r="B1409" s="18" t="str">
        <f>+INDEX(BDD!F:F,MATCH(P1409,BDD!D:D,0))&amp;"-"&amp;INDEX(BDD!E:E,MATCH(P1409,BDD!D:D,0))</f>
        <v>G-S</v>
      </c>
      <c r="C1409" s="125" t="s">
        <v>484</v>
      </c>
      <c r="D1409" s="150" t="s">
        <v>92</v>
      </c>
      <c r="E1409" s="132"/>
      <c r="F1409" s="24"/>
      <c r="G1409" s="346"/>
      <c r="H1409" s="125" t="s">
        <v>5417</v>
      </c>
      <c r="I1409" s="330"/>
      <c r="J1409" s="346"/>
      <c r="K1409" s="24"/>
      <c r="L1409" s="24"/>
      <c r="M1409" s="24"/>
      <c r="N1409" s="340"/>
      <c r="O1409" s="334"/>
      <c r="P1409" s="25" t="s">
        <v>353</v>
      </c>
      <c r="Q1409" s="127" t="s">
        <v>273</v>
      </c>
      <c r="R1409" s="232"/>
      <c r="S1409" s="89"/>
      <c r="T1409" s="36"/>
      <c r="U1409" s="125"/>
      <c r="V1409" s="147"/>
      <c r="W1409" s="129"/>
      <c r="X1409" s="88"/>
      <c r="Y1409" s="130"/>
      <c r="Z1409" s="133"/>
      <c r="AA1409" s="133"/>
      <c r="AB1409" s="241"/>
      <c r="AC1409" s="134"/>
      <c r="AD1409" s="134"/>
      <c r="AE1409" s="403">
        <f t="shared" si="76"/>
        <v>0</v>
      </c>
      <c r="AF1409" s="132"/>
      <c r="AG1409" s="130"/>
      <c r="AH1409" s="130"/>
      <c r="AI1409" s="130"/>
      <c r="AJ1409" s="130"/>
      <c r="AK1409" s="130"/>
      <c r="AL1409" s="135"/>
      <c r="AM1409" s="314"/>
      <c r="AN1409" s="26"/>
      <c r="AO1409" s="26"/>
      <c r="AP1409" s="26"/>
      <c r="AQ1409" s="26"/>
      <c r="AR1409" s="24"/>
      <c r="AS1409" s="24"/>
      <c r="AT1409" s="24"/>
      <c r="AU1409" s="418">
        <f t="shared" si="77"/>
        <v>1</v>
      </c>
      <c r="AV1409" s="418">
        <f t="shared" si="78"/>
        <v>1900</v>
      </c>
      <c r="AW1409" s="24"/>
      <c r="AX1409" s="24"/>
      <c r="AY1409" s="24"/>
      <c r="AZ1409" s="24"/>
      <c r="BA1409" s="24"/>
      <c r="BB1409" s="24"/>
      <c r="BC1409" s="135"/>
      <c r="BD1409" s="24"/>
      <c r="BE1409" s="24"/>
      <c r="BF1409" s="24"/>
      <c r="BG1409" s="135"/>
      <c r="BH1409" s="135"/>
      <c r="BI1409" s="314"/>
      <c r="BJ1409" s="314"/>
      <c r="BK1409" s="24"/>
      <c r="BL1409" s="24"/>
      <c r="BM1409" s="24"/>
      <c r="BN1409" s="24"/>
      <c r="BO1409" s="24"/>
      <c r="BP1409" s="24"/>
      <c r="BQ1409" s="24"/>
      <c r="BR1409" s="24"/>
      <c r="BS1409" s="24"/>
      <c r="BT1409" s="24"/>
      <c r="BU1409" s="24"/>
      <c r="BV1409" s="132"/>
      <c r="BW1409" s="132"/>
      <c r="BX1409" s="132"/>
      <c r="BY1409" s="132"/>
      <c r="BZ1409" s="132"/>
      <c r="CA1409" s="132"/>
      <c r="CB1409" s="132"/>
      <c r="CC1409" s="362"/>
      <c r="CD1409" s="22"/>
      <c r="CE1409" s="22"/>
      <c r="CF1409" s="22"/>
      <c r="CG1409" s="24"/>
      <c r="CH1409" s="24"/>
      <c r="CI1409" s="24"/>
      <c r="CJ1409" s="24"/>
    </row>
    <row r="1410" spans="1:88" ht="15" customHeight="1">
      <c r="A1410" s="18">
        <v>2021</v>
      </c>
      <c r="B1410" s="18" t="str">
        <f>+INDEX(BDD!F:F,MATCH(P1410,BDD!D:D,0))&amp;"-"&amp;INDEX(BDD!E:E,MATCH(P1410,BDD!D:D,0))</f>
        <v>G-S</v>
      </c>
      <c r="C1410" s="125" t="s">
        <v>484</v>
      </c>
      <c r="D1410" s="150" t="s">
        <v>77</v>
      </c>
      <c r="E1410" s="132"/>
      <c r="F1410" s="24"/>
      <c r="G1410" s="346">
        <v>8000001313</v>
      </c>
      <c r="H1410" s="125" t="s">
        <v>5418</v>
      </c>
      <c r="I1410" s="329"/>
      <c r="J1410" s="346">
        <v>8000001313</v>
      </c>
      <c r="K1410" s="24"/>
      <c r="L1410" s="24"/>
      <c r="M1410" s="24"/>
      <c r="N1410" s="340" t="s">
        <v>486</v>
      </c>
      <c r="O1410" s="334">
        <v>203616</v>
      </c>
      <c r="P1410" s="25" t="s">
        <v>357</v>
      </c>
      <c r="Q1410" s="127" t="s">
        <v>273</v>
      </c>
      <c r="R1410" s="232" t="s">
        <v>5216</v>
      </c>
      <c r="S1410" s="89">
        <v>44256</v>
      </c>
      <c r="T1410" s="36" t="s">
        <v>19</v>
      </c>
      <c r="U1410" s="125"/>
      <c r="V1410" s="147" t="s">
        <v>5419</v>
      </c>
      <c r="W1410" s="129"/>
      <c r="X1410" s="88">
        <v>44309</v>
      </c>
      <c r="Y1410" s="130" t="s">
        <v>20</v>
      </c>
      <c r="Z1410" s="133" t="s">
        <v>60</v>
      </c>
      <c r="AA1410" s="133"/>
      <c r="AB1410" s="241">
        <v>1300</v>
      </c>
      <c r="AC1410" s="134">
        <v>174</v>
      </c>
      <c r="AD1410" s="134"/>
      <c r="AE1410" s="403">
        <f t="shared" ref="AE1410:AE1473" si="81">AB1410*AC1410</f>
        <v>226200</v>
      </c>
      <c r="AF1410" s="132"/>
      <c r="AG1410" s="130" t="s">
        <v>46</v>
      </c>
      <c r="AH1410" s="130"/>
      <c r="AI1410" s="130" t="s">
        <v>100</v>
      </c>
      <c r="AJ1410" s="130"/>
      <c r="AK1410" s="130"/>
      <c r="AL1410" s="135" t="s">
        <v>5076</v>
      </c>
      <c r="AM1410" s="314"/>
      <c r="AN1410" s="26"/>
      <c r="AO1410" s="26"/>
      <c r="AP1410" s="26"/>
      <c r="AQ1410" s="26">
        <v>44331</v>
      </c>
      <c r="AR1410" s="24"/>
      <c r="AS1410" s="24"/>
      <c r="AT1410" s="24">
        <v>44342</v>
      </c>
      <c r="AU1410" s="418">
        <f t="shared" si="77"/>
        <v>5</v>
      </c>
      <c r="AV1410" s="418">
        <f t="shared" si="78"/>
        <v>2021</v>
      </c>
      <c r="AW1410" s="24"/>
      <c r="AX1410" s="24"/>
      <c r="AY1410" s="24" t="s">
        <v>3437</v>
      </c>
      <c r="AZ1410" s="24" t="s">
        <v>9</v>
      </c>
      <c r="BA1410" s="24"/>
      <c r="BB1410" s="24" t="s">
        <v>2956</v>
      </c>
      <c r="BC1410" s="135" t="s">
        <v>5420</v>
      </c>
      <c r="BD1410" s="24">
        <v>44293</v>
      </c>
      <c r="BE1410" s="24" t="s">
        <v>5219</v>
      </c>
      <c r="BF1410" s="24" t="s">
        <v>5219</v>
      </c>
      <c r="BG1410" s="135" t="s">
        <v>52</v>
      </c>
      <c r="BH1410" s="135"/>
      <c r="BI1410" s="314" t="s">
        <v>117</v>
      </c>
      <c r="BJ1410" s="314" t="s">
        <v>143</v>
      </c>
      <c r="BK1410" s="24"/>
      <c r="BL1410" s="24"/>
      <c r="BM1410" s="24"/>
      <c r="BN1410" s="24"/>
      <c r="BO1410" s="24"/>
      <c r="BP1410" s="24"/>
      <c r="BQ1410" s="24"/>
      <c r="BR1410" s="24"/>
      <c r="BS1410" s="24"/>
      <c r="BT1410" s="24"/>
      <c r="BU1410" s="24"/>
      <c r="BV1410" s="132" t="e">
        <f>IF(#REF!="COMPLETO","OK","PENDIENTES")</f>
        <v>#REF!</v>
      </c>
      <c r="BW1410" s="132"/>
      <c r="BX1410" s="132"/>
      <c r="BY1410" s="132"/>
      <c r="BZ1410" s="132"/>
      <c r="CA1410" s="132"/>
      <c r="CB1410" s="132"/>
      <c r="CC1410" s="269"/>
      <c r="CG1410" s="24" t="s">
        <v>105</v>
      </c>
      <c r="CH1410" s="24"/>
      <c r="CI1410" s="24"/>
      <c r="CJ1410" s="24"/>
    </row>
    <row r="1411" spans="1:88" ht="15" customHeight="1">
      <c r="A1411" s="18">
        <v>2021</v>
      </c>
      <c r="B1411" s="18" t="str">
        <f>+INDEX(BDD!F:F,MATCH(P1411,BDD!D:D,0))&amp;"-"&amp;INDEX(BDD!E:E,MATCH(P1411,BDD!D:D,0))</f>
        <v>G-S</v>
      </c>
      <c r="C1411" s="125" t="s">
        <v>484</v>
      </c>
      <c r="D1411" s="150" t="s">
        <v>77</v>
      </c>
      <c r="E1411" s="132"/>
      <c r="F1411" s="24"/>
      <c r="G1411" s="346">
        <v>8000001322</v>
      </c>
      <c r="H1411" s="125" t="s">
        <v>5421</v>
      </c>
      <c r="I1411" s="329"/>
      <c r="J1411" s="346">
        <v>8000001322</v>
      </c>
      <c r="K1411" s="24"/>
      <c r="L1411" s="24"/>
      <c r="M1411" s="24"/>
      <c r="N1411" s="340" t="s">
        <v>486</v>
      </c>
      <c r="O1411" s="334">
        <v>203616</v>
      </c>
      <c r="P1411" s="25" t="s">
        <v>357</v>
      </c>
      <c r="Q1411" s="127" t="s">
        <v>273</v>
      </c>
      <c r="R1411" s="232" t="s">
        <v>5216</v>
      </c>
      <c r="S1411" s="89">
        <v>44256</v>
      </c>
      <c r="T1411" s="36" t="s">
        <v>19</v>
      </c>
      <c r="U1411" s="125"/>
      <c r="V1411" s="147" t="s">
        <v>5422</v>
      </c>
      <c r="W1411" s="129"/>
      <c r="X1411" s="88">
        <v>44309</v>
      </c>
      <c r="Y1411" s="130" t="s">
        <v>20</v>
      </c>
      <c r="Z1411" s="133" t="s">
        <v>60</v>
      </c>
      <c r="AA1411" s="133"/>
      <c r="AB1411" s="241">
        <v>600</v>
      </c>
      <c r="AC1411" s="134">
        <v>174</v>
      </c>
      <c r="AD1411" s="134"/>
      <c r="AE1411" s="403">
        <f t="shared" si="81"/>
        <v>104400</v>
      </c>
      <c r="AF1411" s="132"/>
      <c r="AG1411" s="130" t="s">
        <v>46</v>
      </c>
      <c r="AH1411" s="130"/>
      <c r="AI1411" s="130" t="s">
        <v>100</v>
      </c>
      <c r="AJ1411" s="130"/>
      <c r="AK1411" s="130"/>
      <c r="AL1411" s="135" t="s">
        <v>5076</v>
      </c>
      <c r="AM1411" s="314"/>
      <c r="AN1411" s="26"/>
      <c r="AO1411" s="26"/>
      <c r="AP1411" s="26"/>
      <c r="AQ1411" s="26">
        <f>+AQ1352</f>
        <v>44343</v>
      </c>
      <c r="AR1411" s="24"/>
      <c r="AS1411" s="24"/>
      <c r="AT1411" s="24">
        <v>44345</v>
      </c>
      <c r="AU1411" s="418">
        <f t="shared" ref="AU1411:AU1474" si="82">MONTH(AT1411)</f>
        <v>5</v>
      </c>
      <c r="AV1411" s="418">
        <f t="shared" ref="AV1411:AV1474" si="83">YEAR(AT1411)</f>
        <v>2021</v>
      </c>
      <c r="AW1411" s="24"/>
      <c r="AX1411" s="24"/>
      <c r="AY1411" s="24" t="s">
        <v>230</v>
      </c>
      <c r="AZ1411" s="24" t="s">
        <v>25</v>
      </c>
      <c r="BA1411" s="24"/>
      <c r="BB1411" s="24" t="s">
        <v>3264</v>
      </c>
      <c r="BC1411" s="135" t="s">
        <v>5423</v>
      </c>
      <c r="BD1411" s="24">
        <v>44301</v>
      </c>
      <c r="BE1411" s="24" t="s">
        <v>5219</v>
      </c>
      <c r="BF1411" s="24" t="s">
        <v>5219</v>
      </c>
      <c r="BG1411" s="135" t="s">
        <v>52</v>
      </c>
      <c r="BH1411" s="135"/>
      <c r="BI1411" s="314" t="s">
        <v>117</v>
      </c>
      <c r="BJ1411" s="314" t="s">
        <v>143</v>
      </c>
      <c r="BK1411" s="24"/>
      <c r="BL1411" s="24"/>
      <c r="BM1411" s="24"/>
      <c r="BN1411" s="24"/>
      <c r="BO1411" s="24"/>
      <c r="BP1411" s="24"/>
      <c r="BQ1411" s="24"/>
      <c r="BR1411" s="24"/>
      <c r="BS1411" s="24"/>
      <c r="BT1411" s="24"/>
      <c r="BU1411" s="24"/>
      <c r="BV1411" s="132" t="e">
        <f>IF(#REF!="COMPLETO","OK","PENDIENTES")</f>
        <v>#REF!</v>
      </c>
      <c r="BW1411" s="132"/>
      <c r="BX1411" s="132"/>
      <c r="BY1411" s="132"/>
      <c r="BZ1411" s="132"/>
      <c r="CA1411" s="132"/>
      <c r="CB1411" s="132"/>
      <c r="CC1411" s="269"/>
      <c r="CG1411" s="24" t="s">
        <v>105</v>
      </c>
      <c r="CH1411" s="24"/>
      <c r="CI1411" s="24"/>
      <c r="CJ1411" s="24"/>
    </row>
    <row r="1412" spans="1:88" ht="15" customHeight="1">
      <c r="A1412" s="18">
        <v>2021</v>
      </c>
      <c r="B1412" s="18" t="str">
        <f>+INDEX(BDD!F:F,MATCH(P1412,BDD!D:D,0))&amp;"-"&amp;INDEX(BDD!E:E,MATCH(P1412,BDD!D:D,0))</f>
        <v>G-S</v>
      </c>
      <c r="C1412" s="125" t="s">
        <v>484</v>
      </c>
      <c r="D1412" s="150" t="s">
        <v>77</v>
      </c>
      <c r="E1412" s="132"/>
      <c r="F1412" s="24"/>
      <c r="G1412" s="346">
        <v>8000001341</v>
      </c>
      <c r="H1412" s="125" t="s">
        <v>5424</v>
      </c>
      <c r="I1412" s="329"/>
      <c r="J1412" s="346">
        <v>8000001341</v>
      </c>
      <c r="K1412" s="24"/>
      <c r="L1412" s="24"/>
      <c r="M1412" s="24"/>
      <c r="N1412" s="340" t="s">
        <v>486</v>
      </c>
      <c r="O1412" s="334">
        <v>203616</v>
      </c>
      <c r="P1412" s="25" t="s">
        <v>357</v>
      </c>
      <c r="Q1412" s="127" t="s">
        <v>273</v>
      </c>
      <c r="R1412" s="232" t="s">
        <v>5216</v>
      </c>
      <c r="S1412" s="89">
        <v>44256</v>
      </c>
      <c r="T1412" s="36" t="s">
        <v>19</v>
      </c>
      <c r="U1412" s="125"/>
      <c r="V1412" s="147" t="s">
        <v>5425</v>
      </c>
      <c r="W1412" s="129"/>
      <c r="X1412" s="88">
        <v>44309</v>
      </c>
      <c r="Y1412" s="130" t="s">
        <v>20</v>
      </c>
      <c r="Z1412" s="133" t="s">
        <v>60</v>
      </c>
      <c r="AA1412" s="133"/>
      <c r="AB1412" s="241">
        <v>300</v>
      </c>
      <c r="AC1412" s="134">
        <v>174</v>
      </c>
      <c r="AD1412" s="134"/>
      <c r="AE1412" s="403">
        <f t="shared" si="81"/>
        <v>52200</v>
      </c>
      <c r="AF1412" s="132"/>
      <c r="AG1412" s="130" t="s">
        <v>46</v>
      </c>
      <c r="AH1412" s="130"/>
      <c r="AI1412" s="130" t="s">
        <v>100</v>
      </c>
      <c r="AJ1412" s="130"/>
      <c r="AK1412" s="130"/>
      <c r="AL1412" s="135" t="s">
        <v>5076</v>
      </c>
      <c r="AM1412" s="314"/>
      <c r="AN1412" s="26"/>
      <c r="AO1412" s="26"/>
      <c r="AP1412" s="26"/>
      <c r="AQ1412" s="26">
        <v>44356</v>
      </c>
      <c r="AR1412" s="24"/>
      <c r="AS1412" s="24"/>
      <c r="AT1412" s="24">
        <v>44363</v>
      </c>
      <c r="AU1412" s="418">
        <f t="shared" si="82"/>
        <v>6</v>
      </c>
      <c r="AV1412" s="418">
        <f t="shared" si="83"/>
        <v>2021</v>
      </c>
      <c r="AW1412" s="24"/>
      <c r="AX1412" s="24"/>
      <c r="AY1412" s="24" t="s">
        <v>3437</v>
      </c>
      <c r="AZ1412" s="24" t="s">
        <v>37</v>
      </c>
      <c r="BA1412" s="24"/>
      <c r="BB1412" s="24" t="s">
        <v>3291</v>
      </c>
      <c r="BC1412" s="135" t="s">
        <v>5426</v>
      </c>
      <c r="BD1412" s="24">
        <v>44293</v>
      </c>
      <c r="BE1412" s="24" t="s">
        <v>5219</v>
      </c>
      <c r="BF1412" s="24" t="s">
        <v>5219</v>
      </c>
      <c r="BG1412" s="135" t="s">
        <v>52</v>
      </c>
      <c r="BH1412" s="135"/>
      <c r="BI1412" s="314" t="s">
        <v>117</v>
      </c>
      <c r="BJ1412" s="314" t="s">
        <v>143</v>
      </c>
      <c r="BK1412" s="24"/>
      <c r="BL1412" s="24"/>
      <c r="BM1412" s="24"/>
      <c r="BN1412" s="24"/>
      <c r="BO1412" s="24"/>
      <c r="BP1412" s="24"/>
      <c r="BQ1412" s="24"/>
      <c r="BR1412" s="24"/>
      <c r="BS1412" s="24"/>
      <c r="BT1412" s="24"/>
      <c r="BU1412" s="24"/>
      <c r="BV1412" s="132" t="e">
        <f>IF(#REF!="COMPLETO","OK","PENDIENTES")</f>
        <v>#REF!</v>
      </c>
      <c r="BW1412" s="132"/>
      <c r="BX1412" s="132"/>
      <c r="BY1412" s="132"/>
      <c r="BZ1412" s="132"/>
      <c r="CA1412" s="132"/>
      <c r="CB1412" s="132"/>
      <c r="CC1412" s="269"/>
      <c r="CG1412" s="24" t="s">
        <v>105</v>
      </c>
      <c r="CH1412" s="24"/>
      <c r="CI1412" s="24"/>
      <c r="CJ1412" s="24"/>
    </row>
    <row r="1413" spans="1:88" ht="15" customHeight="1">
      <c r="A1413" s="18">
        <v>2021</v>
      </c>
      <c r="B1413" s="18" t="str">
        <f>+INDEX(BDD!F:F,MATCH(P1413,BDD!D:D,0))&amp;"-"&amp;INDEX(BDD!E:E,MATCH(P1413,BDD!D:D,0))</f>
        <v>G-S</v>
      </c>
      <c r="C1413" s="125" t="s">
        <v>484</v>
      </c>
      <c r="D1413" s="150" t="s">
        <v>77</v>
      </c>
      <c r="E1413" s="132"/>
      <c r="F1413" s="24"/>
      <c r="G1413" s="346">
        <v>8000001344</v>
      </c>
      <c r="H1413" s="125" t="s">
        <v>5427</v>
      </c>
      <c r="I1413" s="329"/>
      <c r="J1413" s="346">
        <v>8000001344</v>
      </c>
      <c r="K1413" s="24"/>
      <c r="L1413" s="24"/>
      <c r="M1413" s="24"/>
      <c r="N1413" s="340" t="s">
        <v>486</v>
      </c>
      <c r="O1413" s="334">
        <v>203616</v>
      </c>
      <c r="P1413" s="25" t="s">
        <v>357</v>
      </c>
      <c r="Q1413" s="127" t="s">
        <v>273</v>
      </c>
      <c r="R1413" s="232" t="s">
        <v>5216</v>
      </c>
      <c r="S1413" s="89">
        <v>44256</v>
      </c>
      <c r="T1413" s="36" t="s">
        <v>19</v>
      </c>
      <c r="U1413" s="125"/>
      <c r="V1413" s="147" t="s">
        <v>5428</v>
      </c>
      <c r="W1413" s="129"/>
      <c r="X1413" s="88">
        <v>44309</v>
      </c>
      <c r="Y1413" s="130" t="s">
        <v>20</v>
      </c>
      <c r="Z1413" s="133" t="s">
        <v>60</v>
      </c>
      <c r="AA1413" s="133"/>
      <c r="AB1413" s="241">
        <v>180</v>
      </c>
      <c r="AC1413" s="134">
        <v>174</v>
      </c>
      <c r="AD1413" s="134"/>
      <c r="AE1413" s="403">
        <f t="shared" si="81"/>
        <v>31320</v>
      </c>
      <c r="AF1413" s="132"/>
      <c r="AG1413" s="130" t="s">
        <v>46</v>
      </c>
      <c r="AH1413" s="130"/>
      <c r="AI1413" s="130" t="s">
        <v>100</v>
      </c>
      <c r="AJ1413" s="130"/>
      <c r="AK1413" s="130"/>
      <c r="AL1413" s="135" t="s">
        <v>5076</v>
      </c>
      <c r="AM1413" s="314"/>
      <c r="AN1413" s="26"/>
      <c r="AO1413" s="26"/>
      <c r="AP1413" s="26"/>
      <c r="AQ1413" s="26">
        <f>+AQ1354</f>
        <v>44352</v>
      </c>
      <c r="AR1413" s="24"/>
      <c r="AS1413" s="24"/>
      <c r="AT1413" s="24">
        <v>44352</v>
      </c>
      <c r="AU1413" s="418">
        <f t="shared" si="82"/>
        <v>6</v>
      </c>
      <c r="AV1413" s="418">
        <f t="shared" si="83"/>
        <v>2021</v>
      </c>
      <c r="AW1413" s="24"/>
      <c r="AX1413" s="24"/>
      <c r="AY1413" s="24" t="s">
        <v>3437</v>
      </c>
      <c r="AZ1413" s="24" t="s">
        <v>50</v>
      </c>
      <c r="BA1413" s="24"/>
      <c r="BB1413" s="24" t="s">
        <v>2956</v>
      </c>
      <c r="BC1413" s="135" t="s">
        <v>5429</v>
      </c>
      <c r="BD1413" s="24">
        <v>44293</v>
      </c>
      <c r="BE1413" s="24" t="s">
        <v>5219</v>
      </c>
      <c r="BF1413" s="24" t="s">
        <v>5219</v>
      </c>
      <c r="BG1413" s="135" t="s">
        <v>52</v>
      </c>
      <c r="BH1413" s="135"/>
      <c r="BI1413" s="314" t="s">
        <v>117</v>
      </c>
      <c r="BJ1413" s="314" t="s">
        <v>143</v>
      </c>
      <c r="BK1413" s="24"/>
      <c r="BL1413" s="24"/>
      <c r="BM1413" s="24"/>
      <c r="BN1413" s="24"/>
      <c r="BO1413" s="24"/>
      <c r="BP1413" s="24"/>
      <c r="BQ1413" s="24"/>
      <c r="BR1413" s="24"/>
      <c r="BS1413" s="24"/>
      <c r="BT1413" s="24"/>
      <c r="BU1413" s="24"/>
      <c r="BV1413" s="132" t="e">
        <f>IF(#REF!="COMPLETO","OK","PENDIENTES")</f>
        <v>#REF!</v>
      </c>
      <c r="BW1413" s="132"/>
      <c r="BX1413" s="132"/>
      <c r="BY1413" s="132"/>
      <c r="BZ1413" s="132"/>
      <c r="CA1413" s="132"/>
      <c r="CB1413" s="132"/>
      <c r="CC1413" s="269"/>
      <c r="CG1413" s="24" t="s">
        <v>105</v>
      </c>
      <c r="CH1413" s="24"/>
      <c r="CI1413" s="24"/>
      <c r="CJ1413" s="24"/>
    </row>
    <row r="1414" spans="1:88" ht="15" customHeight="1">
      <c r="A1414" s="18">
        <v>2021</v>
      </c>
      <c r="B1414" s="18" t="str">
        <f>+INDEX(BDD!F:F,MATCH(P1414,BDD!D:D,0))&amp;"-"&amp;INDEX(BDD!E:E,MATCH(P1414,BDD!D:D,0))</f>
        <v>G-S</v>
      </c>
      <c r="C1414" s="125" t="s">
        <v>484</v>
      </c>
      <c r="D1414" s="150" t="s">
        <v>77</v>
      </c>
      <c r="E1414" s="132"/>
      <c r="F1414" s="24"/>
      <c r="G1414" s="346">
        <v>8000001335</v>
      </c>
      <c r="H1414" s="125" t="s">
        <v>5430</v>
      </c>
      <c r="I1414" s="329"/>
      <c r="J1414" s="346">
        <v>8000001335</v>
      </c>
      <c r="K1414" s="24"/>
      <c r="L1414" s="24"/>
      <c r="M1414" s="24"/>
      <c r="N1414" s="340" t="s">
        <v>486</v>
      </c>
      <c r="O1414" s="334">
        <v>203616</v>
      </c>
      <c r="P1414" s="25" t="s">
        <v>357</v>
      </c>
      <c r="Q1414" s="127" t="s">
        <v>273</v>
      </c>
      <c r="R1414" s="232" t="s">
        <v>5216</v>
      </c>
      <c r="S1414" s="89">
        <v>44256</v>
      </c>
      <c r="T1414" s="36" t="s">
        <v>19</v>
      </c>
      <c r="U1414" s="125"/>
      <c r="V1414" s="147" t="s">
        <v>5431</v>
      </c>
      <c r="W1414" s="129"/>
      <c r="X1414" s="88">
        <v>44309</v>
      </c>
      <c r="Y1414" s="130" t="s">
        <v>20</v>
      </c>
      <c r="Z1414" s="133" t="s">
        <v>60</v>
      </c>
      <c r="AA1414" s="133"/>
      <c r="AB1414" s="241">
        <v>320</v>
      </c>
      <c r="AC1414" s="134">
        <v>174</v>
      </c>
      <c r="AD1414" s="134"/>
      <c r="AE1414" s="403">
        <f t="shared" si="81"/>
        <v>55680</v>
      </c>
      <c r="AF1414" s="132"/>
      <c r="AG1414" s="130" t="s">
        <v>46</v>
      </c>
      <c r="AH1414" s="130"/>
      <c r="AI1414" s="130" t="s">
        <v>100</v>
      </c>
      <c r="AJ1414" s="130"/>
      <c r="AK1414" s="130"/>
      <c r="AL1414" s="135" t="s">
        <v>5076</v>
      </c>
      <c r="AM1414" s="314"/>
      <c r="AN1414" s="26"/>
      <c r="AO1414" s="26"/>
      <c r="AP1414" s="26"/>
      <c r="AQ1414" s="26">
        <f>+AQ1355</f>
        <v>44354</v>
      </c>
      <c r="AR1414" s="24"/>
      <c r="AS1414" s="24"/>
      <c r="AT1414" s="24">
        <v>44355</v>
      </c>
      <c r="AU1414" s="418">
        <f t="shared" si="82"/>
        <v>6</v>
      </c>
      <c r="AV1414" s="418">
        <f t="shared" si="83"/>
        <v>2021</v>
      </c>
      <c r="AW1414" s="24"/>
      <c r="AX1414" s="24"/>
      <c r="AY1414" s="24" t="s">
        <v>3437</v>
      </c>
      <c r="AZ1414" s="24" t="s">
        <v>62</v>
      </c>
      <c r="BA1414" s="24"/>
      <c r="BB1414" s="24" t="s">
        <v>3264</v>
      </c>
      <c r="BC1414" s="135" t="s">
        <v>5432</v>
      </c>
      <c r="BD1414" s="24">
        <v>44293</v>
      </c>
      <c r="BE1414" s="24" t="s">
        <v>5219</v>
      </c>
      <c r="BF1414" s="24" t="s">
        <v>5219</v>
      </c>
      <c r="BG1414" s="135" t="s">
        <v>52</v>
      </c>
      <c r="BH1414" s="135"/>
      <c r="BI1414" s="314" t="s">
        <v>117</v>
      </c>
      <c r="BJ1414" s="314" t="s">
        <v>143</v>
      </c>
      <c r="BK1414" s="24"/>
      <c r="BL1414" s="24"/>
      <c r="BM1414" s="24"/>
      <c r="BN1414" s="24"/>
      <c r="BO1414" s="24"/>
      <c r="BP1414" s="24"/>
      <c r="BQ1414" s="24"/>
      <c r="BR1414" s="24"/>
      <c r="BS1414" s="24"/>
      <c r="BT1414" s="24"/>
      <c r="BU1414" s="24"/>
      <c r="BV1414" s="132" t="e">
        <f>IF(#REF!="COMPLETO","OK","PENDIENTES")</f>
        <v>#REF!</v>
      </c>
      <c r="BW1414" s="132"/>
      <c r="BX1414" s="132"/>
      <c r="BY1414" s="132"/>
      <c r="BZ1414" s="132"/>
      <c r="CA1414" s="132"/>
      <c r="CB1414" s="132"/>
      <c r="CC1414" s="269"/>
      <c r="CG1414" s="24" t="s">
        <v>105</v>
      </c>
      <c r="CH1414" s="24"/>
      <c r="CI1414" s="24"/>
      <c r="CJ1414" s="24"/>
    </row>
    <row r="1415" spans="1:88" ht="15" customHeight="1">
      <c r="A1415" s="18">
        <v>2021</v>
      </c>
      <c r="B1415" s="18" t="str">
        <f>+INDEX(BDD!F:F,MATCH(P1415,BDD!D:D,0))&amp;"-"&amp;INDEX(BDD!E:E,MATCH(P1415,BDD!D:D,0))</f>
        <v>O-S</v>
      </c>
      <c r="C1415" s="125" t="s">
        <v>484</v>
      </c>
      <c r="D1415" s="150" t="s">
        <v>20</v>
      </c>
      <c r="E1415" s="132"/>
      <c r="F1415" s="24"/>
      <c r="G1415" s="346"/>
      <c r="H1415" s="125" t="s">
        <v>5433</v>
      </c>
      <c r="I1415" s="329"/>
      <c r="J1415" s="346"/>
      <c r="K1415" s="24"/>
      <c r="L1415" s="24"/>
      <c r="M1415" s="24"/>
      <c r="N1415" s="340"/>
      <c r="O1415" s="334"/>
      <c r="P1415" s="25" t="s">
        <v>389</v>
      </c>
      <c r="Q1415" s="127" t="s">
        <v>303</v>
      </c>
      <c r="R1415" s="232"/>
      <c r="S1415" s="89"/>
      <c r="T1415" s="36"/>
      <c r="U1415" s="125"/>
      <c r="V1415" s="147"/>
      <c r="W1415" s="129"/>
      <c r="X1415" s="88"/>
      <c r="Y1415" s="130"/>
      <c r="Z1415" s="133"/>
      <c r="AA1415" s="133"/>
      <c r="AB1415" s="241"/>
      <c r="AC1415" s="134"/>
      <c r="AD1415" s="134"/>
      <c r="AE1415" s="403">
        <f t="shared" si="81"/>
        <v>0</v>
      </c>
      <c r="AF1415" s="132"/>
      <c r="AG1415" s="130"/>
      <c r="AH1415" s="130"/>
      <c r="AI1415" s="130"/>
      <c r="AJ1415" s="130"/>
      <c r="AK1415" s="130"/>
      <c r="AL1415" s="135"/>
      <c r="AM1415" s="314"/>
      <c r="AN1415" s="26"/>
      <c r="AO1415" s="26"/>
      <c r="AP1415" s="26"/>
      <c r="AQ1415" s="26"/>
      <c r="AR1415" s="24"/>
      <c r="AS1415" s="24"/>
      <c r="AT1415" s="24"/>
      <c r="AU1415" s="418">
        <f t="shared" si="82"/>
        <v>1</v>
      </c>
      <c r="AV1415" s="418">
        <f t="shared" si="83"/>
        <v>1900</v>
      </c>
      <c r="AW1415" s="24"/>
      <c r="AX1415" s="24"/>
      <c r="AY1415" s="24"/>
      <c r="AZ1415" s="24"/>
      <c r="BA1415" s="24"/>
      <c r="BB1415" s="24"/>
      <c r="BC1415" s="135"/>
      <c r="BD1415" s="24"/>
      <c r="BE1415" s="24"/>
      <c r="BF1415" s="24"/>
      <c r="BG1415" s="135"/>
      <c r="BH1415" s="135"/>
      <c r="BI1415" s="314"/>
      <c r="BJ1415" s="314"/>
      <c r="BK1415" s="24"/>
      <c r="BL1415" s="24"/>
      <c r="BM1415" s="24"/>
      <c r="BN1415" s="24"/>
      <c r="BO1415" s="24"/>
      <c r="BP1415" s="24"/>
      <c r="BQ1415" s="24"/>
      <c r="BR1415" s="24"/>
      <c r="BS1415" s="24"/>
      <c r="BT1415" s="24"/>
      <c r="BU1415" s="24"/>
      <c r="BV1415" s="132"/>
      <c r="BW1415" s="132"/>
      <c r="BX1415" s="132"/>
      <c r="BY1415" s="132"/>
      <c r="BZ1415" s="132"/>
      <c r="CA1415" s="132"/>
      <c r="CB1415" s="132"/>
      <c r="CC1415" s="362"/>
      <c r="CD1415" s="22"/>
      <c r="CE1415" s="22"/>
      <c r="CF1415" s="22"/>
      <c r="CG1415" s="24"/>
      <c r="CH1415" s="24"/>
      <c r="CI1415" s="24"/>
      <c r="CJ1415" s="24"/>
    </row>
    <row r="1416" spans="1:88" ht="15" customHeight="1">
      <c r="A1416" s="18">
        <v>2021</v>
      </c>
      <c r="B1416" s="18" t="str">
        <f>+INDEX(BDD!F:F,MATCH(P1416,BDD!D:D,0))&amp;"-"&amp;INDEX(BDD!E:E,MATCH(P1416,BDD!D:D,0))</f>
        <v>T-S</v>
      </c>
      <c r="C1416" s="125" t="s">
        <v>484</v>
      </c>
      <c r="D1416" s="150" t="s">
        <v>77</v>
      </c>
      <c r="E1416" s="132"/>
      <c r="F1416" s="24"/>
      <c r="G1416" s="346">
        <v>8000001223</v>
      </c>
      <c r="H1416" s="125" t="s">
        <v>5434</v>
      </c>
      <c r="I1416" s="329"/>
      <c r="J1416" s="346">
        <v>8000001223</v>
      </c>
      <c r="K1416" s="24"/>
      <c r="L1416" s="24"/>
      <c r="M1416" s="24"/>
      <c r="N1416" s="340" t="s">
        <v>486</v>
      </c>
      <c r="O1416" s="334">
        <v>208067</v>
      </c>
      <c r="P1416" s="25" t="s">
        <v>383</v>
      </c>
      <c r="Q1416" s="127" t="s">
        <v>303</v>
      </c>
      <c r="R1416" s="232" t="s">
        <v>5435</v>
      </c>
      <c r="S1416" s="89" t="s">
        <v>4779</v>
      </c>
      <c r="T1416" s="36">
        <v>30</v>
      </c>
      <c r="U1416" s="125" t="s">
        <v>131</v>
      </c>
      <c r="V1416" s="147" t="s">
        <v>5436</v>
      </c>
      <c r="W1416" s="129"/>
      <c r="X1416" s="88">
        <v>44273</v>
      </c>
      <c r="Y1416" s="130" t="s">
        <v>20</v>
      </c>
      <c r="Z1416" s="133" t="s">
        <v>60</v>
      </c>
      <c r="AA1416" s="133"/>
      <c r="AB1416" s="241">
        <v>513</v>
      </c>
      <c r="AC1416" s="134">
        <v>230</v>
      </c>
      <c r="AD1416" s="134"/>
      <c r="AE1416" s="403">
        <f t="shared" si="81"/>
        <v>117990</v>
      </c>
      <c r="AF1416" s="132">
        <v>19</v>
      </c>
      <c r="AG1416" s="130" t="s">
        <v>5</v>
      </c>
      <c r="AH1416" s="130"/>
      <c r="AI1416" s="130" t="s">
        <v>34</v>
      </c>
      <c r="AJ1416" s="130"/>
      <c r="AK1416" s="130"/>
      <c r="AL1416" s="135" t="s">
        <v>4779</v>
      </c>
      <c r="AM1416" s="314"/>
      <c r="AN1416" s="26"/>
      <c r="AO1416" s="26"/>
      <c r="AP1416" s="26"/>
      <c r="AQ1416" s="26">
        <v>44247</v>
      </c>
      <c r="AR1416" s="24"/>
      <c r="AS1416" s="24"/>
      <c r="AT1416" s="24">
        <v>44252</v>
      </c>
      <c r="AU1416" s="418">
        <f t="shared" si="82"/>
        <v>2</v>
      </c>
      <c r="AV1416" s="418">
        <f t="shared" si="83"/>
        <v>2021</v>
      </c>
      <c r="AW1416" s="24"/>
      <c r="AX1416" s="24"/>
      <c r="AY1416" s="24" t="s">
        <v>3415</v>
      </c>
      <c r="AZ1416" s="24" t="s">
        <v>37</v>
      </c>
      <c r="BA1416" s="24"/>
      <c r="BB1416" s="24" t="s">
        <v>3593</v>
      </c>
      <c r="BC1416" s="135" t="s">
        <v>5437</v>
      </c>
      <c r="BD1416" s="24">
        <v>44238</v>
      </c>
      <c r="BE1416" s="24" t="s">
        <v>5438</v>
      </c>
      <c r="BF1416" s="24" t="s">
        <v>5438</v>
      </c>
      <c r="BG1416" s="135" t="s">
        <v>29</v>
      </c>
      <c r="BH1416" s="135"/>
      <c r="BI1416" s="314" t="s">
        <v>124</v>
      </c>
      <c r="BJ1416" s="314" t="s">
        <v>138</v>
      </c>
      <c r="BK1416" s="24"/>
      <c r="BL1416" s="24"/>
      <c r="BM1416" s="24"/>
      <c r="BN1416" s="24"/>
      <c r="BO1416" s="24"/>
      <c r="BP1416" s="24"/>
      <c r="BQ1416" s="24"/>
      <c r="BR1416" s="24"/>
      <c r="BS1416" s="24"/>
      <c r="BT1416" s="24"/>
      <c r="BU1416" s="24"/>
      <c r="BV1416" s="132" t="e">
        <f>IF(#REF!="COMPLETO","OK","PENDIENTES")</f>
        <v>#REF!</v>
      </c>
      <c r="BW1416" s="132"/>
      <c r="BX1416" s="132"/>
      <c r="BY1416" s="132"/>
      <c r="BZ1416" s="132"/>
      <c r="CA1416" s="132"/>
      <c r="CB1416" s="132"/>
      <c r="CC1416" s="269"/>
      <c r="CG1416" s="24" t="s">
        <v>105</v>
      </c>
      <c r="CH1416" s="24"/>
      <c r="CI1416" s="24"/>
      <c r="CJ1416" s="24"/>
    </row>
    <row r="1417" spans="1:88" ht="15" customHeight="1">
      <c r="A1417" s="18">
        <v>2021</v>
      </c>
      <c r="B1417" s="18" t="str">
        <f>+INDEX(BDD!F:F,MATCH(P1417,BDD!D:D,0))&amp;"-"&amp;INDEX(BDD!E:E,MATCH(P1417,BDD!D:D,0))</f>
        <v>T-S</v>
      </c>
      <c r="C1417" s="125" t="s">
        <v>484</v>
      </c>
      <c r="D1417" s="150" t="s">
        <v>77</v>
      </c>
      <c r="E1417" s="132"/>
      <c r="F1417" s="24"/>
      <c r="G1417" s="346">
        <v>8000001224</v>
      </c>
      <c r="H1417" s="125" t="s">
        <v>5439</v>
      </c>
      <c r="I1417" s="329"/>
      <c r="J1417" s="346">
        <v>8000001224</v>
      </c>
      <c r="K1417" s="24"/>
      <c r="L1417" s="24"/>
      <c r="M1417" s="24"/>
      <c r="N1417" s="340" t="s">
        <v>486</v>
      </c>
      <c r="O1417" s="334">
        <v>208067</v>
      </c>
      <c r="P1417" s="25" t="s">
        <v>383</v>
      </c>
      <c r="Q1417" s="127" t="s">
        <v>303</v>
      </c>
      <c r="R1417" s="232" t="s">
        <v>5440</v>
      </c>
      <c r="S1417" s="89" t="s">
        <v>4779</v>
      </c>
      <c r="T1417" s="36">
        <v>30</v>
      </c>
      <c r="U1417" s="125" t="s">
        <v>131</v>
      </c>
      <c r="V1417" s="147" t="s">
        <v>5441</v>
      </c>
      <c r="W1417" s="129"/>
      <c r="X1417" s="88">
        <v>44273</v>
      </c>
      <c r="Y1417" s="130" t="s">
        <v>20</v>
      </c>
      <c r="Z1417" s="133" t="s">
        <v>60</v>
      </c>
      <c r="AA1417" s="133"/>
      <c r="AB1417" s="241">
        <v>648</v>
      </c>
      <c r="AC1417" s="134">
        <v>230</v>
      </c>
      <c r="AD1417" s="134"/>
      <c r="AE1417" s="403">
        <f t="shared" si="81"/>
        <v>149040</v>
      </c>
      <c r="AF1417" s="132">
        <v>24</v>
      </c>
      <c r="AG1417" s="130" t="s">
        <v>5</v>
      </c>
      <c r="AH1417" s="130"/>
      <c r="AI1417" s="130" t="s">
        <v>34</v>
      </c>
      <c r="AJ1417" s="130"/>
      <c r="AK1417" s="130"/>
      <c r="AL1417" s="135" t="s">
        <v>4779</v>
      </c>
      <c r="AM1417" s="314"/>
      <c r="AN1417" s="26"/>
      <c r="AO1417" s="26"/>
      <c r="AP1417" s="26"/>
      <c r="AQ1417" s="26">
        <v>44244</v>
      </c>
      <c r="AR1417" s="24"/>
      <c r="AS1417" s="24"/>
      <c r="AT1417" s="24">
        <v>44253</v>
      </c>
      <c r="AU1417" s="418">
        <f t="shared" si="82"/>
        <v>2</v>
      </c>
      <c r="AV1417" s="418">
        <f t="shared" si="83"/>
        <v>2021</v>
      </c>
      <c r="AW1417" s="24"/>
      <c r="AX1417" s="24"/>
      <c r="AY1417" s="24" t="s">
        <v>3415</v>
      </c>
      <c r="AZ1417" s="24" t="s">
        <v>9</v>
      </c>
      <c r="BA1417" s="24"/>
      <c r="BB1417" s="24" t="s">
        <v>3264</v>
      </c>
      <c r="BC1417" s="135" t="s">
        <v>5442</v>
      </c>
      <c r="BD1417" s="24">
        <v>44239</v>
      </c>
      <c r="BE1417" s="24" t="s">
        <v>5130</v>
      </c>
      <c r="BF1417" s="24" t="s">
        <v>5130</v>
      </c>
      <c r="BG1417" s="135" t="s">
        <v>29</v>
      </c>
      <c r="BH1417" s="135"/>
      <c r="BI1417" s="314" t="s">
        <v>124</v>
      </c>
      <c r="BJ1417" s="314" t="s">
        <v>138</v>
      </c>
      <c r="BK1417" s="24"/>
      <c r="BL1417" s="24"/>
      <c r="BM1417" s="24"/>
      <c r="BN1417" s="24"/>
      <c r="BO1417" s="24">
        <v>44264</v>
      </c>
      <c r="BP1417" s="24"/>
      <c r="BQ1417" s="24"/>
      <c r="BR1417" s="24"/>
      <c r="BS1417" s="24"/>
      <c r="BT1417" s="24"/>
      <c r="BU1417" s="24"/>
      <c r="BV1417" s="132" t="e">
        <f>IF(#REF!="COMPLETO","OK","PENDIENTES")</f>
        <v>#REF!</v>
      </c>
      <c r="BW1417" s="132"/>
      <c r="BX1417" s="132"/>
      <c r="BY1417" s="132"/>
      <c r="BZ1417" s="132"/>
      <c r="CA1417" s="132"/>
      <c r="CB1417" s="132"/>
      <c r="CC1417" s="269"/>
      <c r="CG1417" s="24" t="s">
        <v>105</v>
      </c>
      <c r="CH1417" s="24"/>
      <c r="CI1417" s="24"/>
      <c r="CJ1417" s="24"/>
    </row>
    <row r="1418" spans="1:88" ht="15" customHeight="1">
      <c r="A1418" s="18">
        <v>2021</v>
      </c>
      <c r="B1418" s="18" t="str">
        <f>+INDEX(BDD!F:F,MATCH(P1418,BDD!D:D,0))&amp;"-"&amp;INDEX(BDD!E:E,MATCH(P1418,BDD!D:D,0))</f>
        <v>G-S</v>
      </c>
      <c r="C1418" s="125" t="s">
        <v>484</v>
      </c>
      <c r="D1418" s="150" t="s">
        <v>77</v>
      </c>
      <c r="E1418" s="132"/>
      <c r="F1418" s="24"/>
      <c r="G1418" s="346">
        <v>8000001694</v>
      </c>
      <c r="H1418" s="125" t="s">
        <v>5443</v>
      </c>
      <c r="I1418" s="329"/>
      <c r="J1418" s="346">
        <v>8000001694</v>
      </c>
      <c r="K1418" s="24"/>
      <c r="L1418" s="24">
        <v>44487</v>
      </c>
      <c r="M1418" s="24">
        <v>44491</v>
      </c>
      <c r="N1418" s="340" t="s">
        <v>486</v>
      </c>
      <c r="O1418" s="334">
        <v>209979</v>
      </c>
      <c r="P1418" s="25" t="s">
        <v>339</v>
      </c>
      <c r="Q1418" s="127" t="s">
        <v>210</v>
      </c>
      <c r="R1418" s="232" t="s">
        <v>5444</v>
      </c>
      <c r="S1418" s="89">
        <v>44243</v>
      </c>
      <c r="T1418" s="36">
        <v>120</v>
      </c>
      <c r="U1418" s="125" t="s">
        <v>118</v>
      </c>
      <c r="V1418" s="147" t="s">
        <v>5445</v>
      </c>
      <c r="W1418" s="129"/>
      <c r="X1418" s="88">
        <f>+T1418+BD1418</f>
        <v>44575</v>
      </c>
      <c r="Y1418" s="130" t="s">
        <v>20</v>
      </c>
      <c r="Z1418" s="133" t="s">
        <v>72</v>
      </c>
      <c r="AA1418" s="133"/>
      <c r="AB1418" s="241">
        <v>224.08199999999999</v>
      </c>
      <c r="AC1418" s="134">
        <v>495</v>
      </c>
      <c r="AD1418" s="134"/>
      <c r="AE1418" s="403">
        <f t="shared" si="81"/>
        <v>110920.59</v>
      </c>
      <c r="AF1418" s="132">
        <v>8</v>
      </c>
      <c r="AG1418" s="130" t="s">
        <v>5</v>
      </c>
      <c r="AH1418" s="130"/>
      <c r="AI1418" s="130" t="s">
        <v>100</v>
      </c>
      <c r="AJ1418" s="130"/>
      <c r="AK1418" s="130"/>
      <c r="AL1418" s="135" t="s">
        <v>5156</v>
      </c>
      <c r="AM1418" s="314"/>
      <c r="AN1418" s="26">
        <v>44454</v>
      </c>
      <c r="AO1418" s="26">
        <v>44454</v>
      </c>
      <c r="AP1418" s="26">
        <v>44475</v>
      </c>
      <c r="AQ1418" s="26">
        <v>44482</v>
      </c>
      <c r="AR1418" s="24">
        <f>AP1418+4</f>
        <v>44479</v>
      </c>
      <c r="AS1418" s="41"/>
      <c r="AT1418" s="24">
        <v>44488</v>
      </c>
      <c r="AU1418" s="418">
        <f t="shared" si="82"/>
        <v>10</v>
      </c>
      <c r="AV1418" s="418">
        <f t="shared" si="83"/>
        <v>2021</v>
      </c>
      <c r="AW1418" s="24"/>
      <c r="AX1418" s="24"/>
      <c r="AY1418" s="24" t="s">
        <v>162</v>
      </c>
      <c r="AZ1418" s="24" t="s">
        <v>9</v>
      </c>
      <c r="BA1418" s="24"/>
      <c r="BB1418" s="24" t="s">
        <v>3264</v>
      </c>
      <c r="BC1418" s="135" t="s">
        <v>5446</v>
      </c>
      <c r="BD1418" s="24">
        <v>44455</v>
      </c>
      <c r="BE1418" s="24" t="s">
        <v>814</v>
      </c>
      <c r="BF1418" s="24" t="s">
        <v>947</v>
      </c>
      <c r="BG1418" s="135" t="s">
        <v>64</v>
      </c>
      <c r="BH1418" s="135"/>
      <c r="BI1418" s="314" t="s">
        <v>124</v>
      </c>
      <c r="BJ1418" s="314" t="s">
        <v>138</v>
      </c>
      <c r="BK1418" s="24"/>
      <c r="BL1418" s="24"/>
      <c r="BM1418" s="24"/>
      <c r="BN1418" s="24"/>
      <c r="BO1418" s="24"/>
      <c r="BP1418" s="24"/>
      <c r="BQ1418" s="24"/>
      <c r="BR1418" s="24"/>
      <c r="BS1418" s="24"/>
      <c r="BT1418" s="24"/>
      <c r="BU1418" s="24"/>
      <c r="BV1418" s="132" t="e">
        <f>IF(#REF!="COMPLETO","OK","PENDIENTES")</f>
        <v>#REF!</v>
      </c>
      <c r="BW1418" s="132"/>
      <c r="BX1418" s="132"/>
      <c r="BY1418" s="132"/>
      <c r="BZ1418" s="132"/>
      <c r="CA1418" s="132"/>
      <c r="CB1418" s="132"/>
      <c r="CC1418" s="269" t="s">
        <v>5447</v>
      </c>
      <c r="CG1418" s="24" t="s">
        <v>105</v>
      </c>
      <c r="CH1418" s="24"/>
      <c r="CI1418" s="24"/>
      <c r="CJ1418" s="24"/>
    </row>
    <row r="1419" spans="1:88" ht="15" customHeight="1">
      <c r="A1419" s="18">
        <v>2021</v>
      </c>
      <c r="B1419" s="18" t="str">
        <f>+INDEX(BDD!F:F,MATCH(P1419,BDD!D:D,0))&amp;"-"&amp;INDEX(BDD!E:E,MATCH(P1419,BDD!D:D,0))</f>
        <v>G-S</v>
      </c>
      <c r="C1419" s="125" t="s">
        <v>484</v>
      </c>
      <c r="D1419" s="150" t="s">
        <v>77</v>
      </c>
      <c r="E1419" s="132"/>
      <c r="F1419" s="24"/>
      <c r="G1419" s="346">
        <v>8000001695</v>
      </c>
      <c r="H1419" s="125" t="s">
        <v>5448</v>
      </c>
      <c r="I1419" s="329"/>
      <c r="J1419" s="346">
        <v>8000001695</v>
      </c>
      <c r="K1419" s="24"/>
      <c r="L1419" s="24">
        <v>44495</v>
      </c>
      <c r="M1419" s="24">
        <v>44494</v>
      </c>
      <c r="N1419" s="340" t="s">
        <v>486</v>
      </c>
      <c r="O1419" s="334">
        <v>209979</v>
      </c>
      <c r="P1419" s="25" t="s">
        <v>339</v>
      </c>
      <c r="Q1419" s="127" t="s">
        <v>210</v>
      </c>
      <c r="R1419" s="232" t="s">
        <v>5449</v>
      </c>
      <c r="S1419" s="89">
        <v>44243</v>
      </c>
      <c r="T1419" s="36">
        <v>120</v>
      </c>
      <c r="U1419" s="125" t="s">
        <v>118</v>
      </c>
      <c r="V1419" s="147" t="s">
        <v>5450</v>
      </c>
      <c r="W1419" s="129"/>
      <c r="X1419" s="88">
        <f>+T1419+BD1419</f>
        <v>44579</v>
      </c>
      <c r="Y1419" s="130" t="s">
        <v>20</v>
      </c>
      <c r="Z1419" s="133" t="s">
        <v>72</v>
      </c>
      <c r="AA1419" s="133"/>
      <c r="AB1419" s="241">
        <v>223.93600000000001</v>
      </c>
      <c r="AC1419" s="134">
        <v>485</v>
      </c>
      <c r="AD1419" s="134"/>
      <c r="AE1419" s="403">
        <f t="shared" si="81"/>
        <v>108608.96000000001</v>
      </c>
      <c r="AF1419" s="132">
        <v>8</v>
      </c>
      <c r="AG1419" s="130" t="s">
        <v>5</v>
      </c>
      <c r="AH1419" s="130"/>
      <c r="AI1419" s="130" t="s">
        <v>100</v>
      </c>
      <c r="AJ1419" s="130"/>
      <c r="AK1419" s="130"/>
      <c r="AL1419" s="135" t="s">
        <v>5156</v>
      </c>
      <c r="AM1419" s="314"/>
      <c r="AN1419" s="26">
        <f>BL1419</f>
        <v>0</v>
      </c>
      <c r="AO1419" s="26">
        <v>44458</v>
      </c>
      <c r="AP1419" s="26">
        <f>AQ1419</f>
        <v>44483</v>
      </c>
      <c r="AQ1419" s="26">
        <v>44483</v>
      </c>
      <c r="AR1419" s="24">
        <f>AP1419+4</f>
        <v>44487</v>
      </c>
      <c r="AS1419" s="41"/>
      <c r="AT1419" s="24">
        <v>44495</v>
      </c>
      <c r="AU1419" s="418">
        <f t="shared" si="82"/>
        <v>10</v>
      </c>
      <c r="AV1419" s="418">
        <f t="shared" si="83"/>
        <v>2021</v>
      </c>
      <c r="AW1419" s="24"/>
      <c r="AX1419" s="24"/>
      <c r="AY1419" s="24" t="s">
        <v>162</v>
      </c>
      <c r="AZ1419" s="24" t="s">
        <v>37</v>
      </c>
      <c r="BA1419" s="24"/>
      <c r="BB1419" s="24" t="s">
        <v>3291</v>
      </c>
      <c r="BC1419" s="135" t="s">
        <v>5451</v>
      </c>
      <c r="BD1419" s="24">
        <v>44459</v>
      </c>
      <c r="BE1419" s="24" t="s">
        <v>579</v>
      </c>
      <c r="BF1419" s="24" t="s">
        <v>579</v>
      </c>
      <c r="BG1419" s="135" t="s">
        <v>29</v>
      </c>
      <c r="BH1419" s="135"/>
      <c r="BI1419" s="314" t="s">
        <v>124</v>
      </c>
      <c r="BJ1419" s="314" t="s">
        <v>143</v>
      </c>
      <c r="BK1419" s="24"/>
      <c r="BL1419" s="24"/>
      <c r="BM1419" s="24"/>
      <c r="BN1419" s="24"/>
      <c r="BO1419" s="24">
        <f>+AQ1419+20</f>
        <v>44503</v>
      </c>
      <c r="BP1419" s="24"/>
      <c r="BQ1419" s="24"/>
      <c r="BR1419" s="24"/>
      <c r="BS1419" s="24"/>
      <c r="BT1419" s="24"/>
      <c r="BU1419" s="24"/>
      <c r="BV1419" s="132" t="e">
        <f>IF(#REF!="COMPLETO","OK","PENDIENTES")</f>
        <v>#REF!</v>
      </c>
      <c r="BW1419" s="132"/>
      <c r="BX1419" s="132"/>
      <c r="BY1419" s="132"/>
      <c r="BZ1419" s="132"/>
      <c r="CA1419" s="132"/>
      <c r="CB1419" s="132"/>
      <c r="CC1419" s="269" t="s">
        <v>5452</v>
      </c>
      <c r="CG1419" s="24" t="s">
        <v>105</v>
      </c>
      <c r="CH1419" s="24"/>
      <c r="CI1419" s="24"/>
      <c r="CJ1419" s="24"/>
    </row>
    <row r="1420" spans="1:88" ht="15" customHeight="1">
      <c r="A1420" s="18">
        <v>2021</v>
      </c>
      <c r="B1420" s="18" t="str">
        <f>+INDEX(BDD!F:F,MATCH(P1420,BDD!D:D,0))&amp;"-"&amp;INDEX(BDD!E:E,MATCH(P1420,BDD!D:D,0))</f>
        <v>O-S</v>
      </c>
      <c r="C1420" s="125" t="s">
        <v>484</v>
      </c>
      <c r="D1420" s="150" t="s">
        <v>77</v>
      </c>
      <c r="E1420" s="132"/>
      <c r="F1420" s="24"/>
      <c r="G1420" s="346">
        <v>8000001244</v>
      </c>
      <c r="H1420" s="125" t="s">
        <v>5453</v>
      </c>
      <c r="I1420" s="329"/>
      <c r="J1420" s="346">
        <v>8000001244</v>
      </c>
      <c r="K1420" s="24"/>
      <c r="L1420" s="24"/>
      <c r="M1420" s="24"/>
      <c r="N1420" s="340" t="s">
        <v>486</v>
      </c>
      <c r="O1420" s="334">
        <v>208063</v>
      </c>
      <c r="P1420" s="25" t="s">
        <v>381</v>
      </c>
      <c r="Q1420" s="127" t="s">
        <v>303</v>
      </c>
      <c r="R1420" s="232" t="s">
        <v>5454</v>
      </c>
      <c r="S1420" s="89" t="s">
        <v>4779</v>
      </c>
      <c r="T1420" s="36" t="s">
        <v>19</v>
      </c>
      <c r="U1420" s="125"/>
      <c r="V1420" s="147" t="s">
        <v>5455</v>
      </c>
      <c r="W1420" s="129"/>
      <c r="X1420" s="88">
        <v>44267</v>
      </c>
      <c r="Y1420" s="130" t="s">
        <v>20</v>
      </c>
      <c r="Z1420" s="133" t="s">
        <v>60</v>
      </c>
      <c r="AA1420" s="133"/>
      <c r="AB1420" s="241">
        <v>241.29</v>
      </c>
      <c r="AC1420" s="134">
        <v>561.41999999999996</v>
      </c>
      <c r="AD1420" s="134"/>
      <c r="AE1420" s="403">
        <f t="shared" si="81"/>
        <v>135465.0318</v>
      </c>
      <c r="AF1420" s="132">
        <v>9</v>
      </c>
      <c r="AG1420" s="130" t="s">
        <v>5</v>
      </c>
      <c r="AH1420" s="130"/>
      <c r="AI1420" s="130" t="s">
        <v>100</v>
      </c>
      <c r="AJ1420" s="130"/>
      <c r="AK1420" s="130"/>
      <c r="AL1420" s="135" t="s">
        <v>4779</v>
      </c>
      <c r="AM1420" s="314"/>
      <c r="AN1420" s="26"/>
      <c r="AO1420" s="26"/>
      <c r="AP1420" s="26"/>
      <c r="AQ1420" s="26">
        <v>44280</v>
      </c>
      <c r="AR1420" s="24"/>
      <c r="AS1420" s="24"/>
      <c r="AT1420" s="24">
        <v>44295</v>
      </c>
      <c r="AU1420" s="418">
        <f t="shared" si="82"/>
        <v>4</v>
      </c>
      <c r="AV1420" s="418">
        <f t="shared" si="83"/>
        <v>2021</v>
      </c>
      <c r="AW1420" s="24"/>
      <c r="AX1420" s="24"/>
      <c r="AY1420" s="24" t="s">
        <v>4072</v>
      </c>
      <c r="AZ1420" s="24" t="s">
        <v>37</v>
      </c>
      <c r="BA1420" s="24"/>
      <c r="BB1420" s="24" t="s">
        <v>3291</v>
      </c>
      <c r="BC1420" s="135" t="s">
        <v>5456</v>
      </c>
      <c r="BD1420" s="24">
        <v>44247</v>
      </c>
      <c r="BE1420" s="24" t="s">
        <v>4079</v>
      </c>
      <c r="BF1420" s="24" t="s">
        <v>756</v>
      </c>
      <c r="BG1420" s="135" t="s">
        <v>64</v>
      </c>
      <c r="BH1420" s="135"/>
      <c r="BI1420" s="314" t="s">
        <v>124</v>
      </c>
      <c r="BJ1420" s="314" t="s">
        <v>138</v>
      </c>
      <c r="BK1420" s="24"/>
      <c r="BL1420" s="24"/>
      <c r="BM1420" s="24"/>
      <c r="BN1420" s="24"/>
      <c r="BO1420" s="24">
        <f>+AQ1420+15</f>
        <v>44295</v>
      </c>
      <c r="BP1420" s="24"/>
      <c r="BQ1420" s="24"/>
      <c r="BR1420" s="24"/>
      <c r="BS1420" s="24"/>
      <c r="BT1420" s="24"/>
      <c r="BU1420" s="24"/>
      <c r="BV1420" s="132" t="e">
        <f>IF(#REF!="COMPLETO","OK","PENDIENTES")</f>
        <v>#REF!</v>
      </c>
      <c r="BW1420" s="132"/>
      <c r="BX1420" s="132"/>
      <c r="BY1420" s="132"/>
      <c r="BZ1420" s="132"/>
      <c r="CA1420" s="132"/>
      <c r="CB1420" s="132"/>
      <c r="CC1420" s="269"/>
      <c r="CG1420" s="24" t="s">
        <v>105</v>
      </c>
      <c r="CH1420" s="24"/>
      <c r="CI1420" s="24"/>
      <c r="CJ1420" s="24"/>
    </row>
    <row r="1421" spans="1:88" ht="15" customHeight="1">
      <c r="A1421" s="18">
        <v>2021</v>
      </c>
      <c r="B1421" s="18" t="str">
        <f>+INDEX(BDD!F:F,MATCH(P1421,BDD!D:D,0))&amp;"-"&amp;INDEX(BDD!E:E,MATCH(P1421,BDD!D:D,0))</f>
        <v>O-S</v>
      </c>
      <c r="C1421" s="125" t="s">
        <v>484</v>
      </c>
      <c r="D1421" s="150" t="s">
        <v>77</v>
      </c>
      <c r="E1421" s="132"/>
      <c r="F1421" s="24"/>
      <c r="G1421" s="346">
        <v>8000001245</v>
      </c>
      <c r="H1421" s="125" t="s">
        <v>5457</v>
      </c>
      <c r="I1421" s="329"/>
      <c r="J1421" s="346">
        <v>8000001245</v>
      </c>
      <c r="K1421" s="24"/>
      <c r="L1421" s="24"/>
      <c r="M1421" s="24"/>
      <c r="N1421" s="340" t="s">
        <v>486</v>
      </c>
      <c r="O1421" s="334">
        <v>203553</v>
      </c>
      <c r="P1421" s="25" t="s">
        <v>386</v>
      </c>
      <c r="Q1421" s="127" t="s">
        <v>303</v>
      </c>
      <c r="R1421" s="232" t="s">
        <v>5458</v>
      </c>
      <c r="S1421" s="89" t="s">
        <v>4779</v>
      </c>
      <c r="T1421" s="36" t="s">
        <v>19</v>
      </c>
      <c r="U1421" s="125"/>
      <c r="V1421" s="147" t="s">
        <v>5459</v>
      </c>
      <c r="W1421" s="129"/>
      <c r="X1421" s="88">
        <v>44279</v>
      </c>
      <c r="Y1421" s="130" t="s">
        <v>20</v>
      </c>
      <c r="Z1421" s="133" t="s">
        <v>60</v>
      </c>
      <c r="AA1421" s="133"/>
      <c r="AB1421" s="241">
        <v>53.5</v>
      </c>
      <c r="AC1421" s="134">
        <v>278.05</v>
      </c>
      <c r="AD1421" s="134"/>
      <c r="AE1421" s="403">
        <f t="shared" si="81"/>
        <v>14875.675000000001</v>
      </c>
      <c r="AF1421" s="132">
        <v>2</v>
      </c>
      <c r="AG1421" s="130" t="s">
        <v>5</v>
      </c>
      <c r="AH1421" s="130"/>
      <c r="AI1421" s="130" t="s">
        <v>100</v>
      </c>
      <c r="AJ1421" s="130"/>
      <c r="AK1421" s="130"/>
      <c r="AL1421" s="135" t="s">
        <v>4779</v>
      </c>
      <c r="AM1421" s="314"/>
      <c r="AN1421" s="26"/>
      <c r="AO1421" s="26"/>
      <c r="AP1421" s="26"/>
      <c r="AQ1421" s="26">
        <v>44300</v>
      </c>
      <c r="AR1421" s="24"/>
      <c r="AS1421" s="24"/>
      <c r="AT1421" s="24">
        <v>44302</v>
      </c>
      <c r="AU1421" s="418">
        <f t="shared" si="82"/>
        <v>4</v>
      </c>
      <c r="AV1421" s="418">
        <f t="shared" si="83"/>
        <v>2021</v>
      </c>
      <c r="AW1421" s="24"/>
      <c r="AX1421" s="28"/>
      <c r="AY1421" s="28" t="s">
        <v>3981</v>
      </c>
      <c r="AZ1421" s="24" t="s">
        <v>9</v>
      </c>
      <c r="BA1421" s="24"/>
      <c r="BB1421" s="24" t="s">
        <v>3264</v>
      </c>
      <c r="BC1421" s="135" t="s">
        <v>5460</v>
      </c>
      <c r="BD1421" s="24">
        <v>44253</v>
      </c>
      <c r="BE1421" s="24" t="s">
        <v>4079</v>
      </c>
      <c r="BF1421" s="24" t="s">
        <v>2668</v>
      </c>
      <c r="BG1421" s="135" t="s">
        <v>64</v>
      </c>
      <c r="BH1421" s="135"/>
      <c r="BI1421" s="314" t="s">
        <v>124</v>
      </c>
      <c r="BJ1421" s="314" t="s">
        <v>138</v>
      </c>
      <c r="BK1421" s="24"/>
      <c r="BL1421" s="24"/>
      <c r="BM1421" s="24"/>
      <c r="BN1421" s="24"/>
      <c r="BO1421" s="24">
        <v>44313</v>
      </c>
      <c r="BP1421" s="24"/>
      <c r="BQ1421" s="24"/>
      <c r="BR1421" s="24"/>
      <c r="BS1421" s="24"/>
      <c r="BT1421" s="24"/>
      <c r="BU1421" s="24"/>
      <c r="BV1421" s="132" t="e">
        <f>IF(#REF!="COMPLETO","OK","PENDIENTES")</f>
        <v>#REF!</v>
      </c>
      <c r="BW1421" s="132"/>
      <c r="BX1421" s="132"/>
      <c r="BY1421" s="132"/>
      <c r="BZ1421" s="132"/>
      <c r="CA1421" s="132"/>
      <c r="CB1421" s="132"/>
      <c r="CC1421" s="269"/>
      <c r="CG1421" s="24" t="s">
        <v>105</v>
      </c>
      <c r="CH1421" s="24"/>
      <c r="CI1421" s="24"/>
      <c r="CJ1421" s="24"/>
    </row>
    <row r="1422" spans="1:88" ht="15" customHeight="1">
      <c r="A1422" s="18">
        <v>2021</v>
      </c>
      <c r="B1422" s="18" t="str">
        <f>+INDEX(BDD!F:F,MATCH(P1422,BDD!D:D,0))&amp;"-"&amp;INDEX(BDD!E:E,MATCH(P1422,BDD!D:D,0))</f>
        <v>O-S</v>
      </c>
      <c r="C1422" s="125" t="s">
        <v>484</v>
      </c>
      <c r="D1422" s="150" t="s">
        <v>77</v>
      </c>
      <c r="E1422" s="132"/>
      <c r="F1422" s="24"/>
      <c r="G1422" s="346">
        <v>8000001246</v>
      </c>
      <c r="H1422" s="125" t="s">
        <v>5461</v>
      </c>
      <c r="I1422" s="329"/>
      <c r="J1422" s="346">
        <v>8000001246</v>
      </c>
      <c r="K1422" s="24"/>
      <c r="L1422" s="24"/>
      <c r="M1422" s="24"/>
      <c r="N1422" s="340" t="s">
        <v>486</v>
      </c>
      <c r="O1422" s="334">
        <v>203553</v>
      </c>
      <c r="P1422" s="25" t="s">
        <v>386</v>
      </c>
      <c r="Q1422" s="127" t="s">
        <v>303</v>
      </c>
      <c r="R1422" s="232" t="s">
        <v>5462</v>
      </c>
      <c r="S1422" s="89" t="s">
        <v>4779</v>
      </c>
      <c r="T1422" s="36" t="s">
        <v>19</v>
      </c>
      <c r="U1422" s="125"/>
      <c r="V1422" s="147" t="s">
        <v>5463</v>
      </c>
      <c r="W1422" s="129"/>
      <c r="X1422" s="88">
        <v>44279</v>
      </c>
      <c r="Y1422" s="130" t="s">
        <v>20</v>
      </c>
      <c r="Z1422" s="133" t="s">
        <v>60</v>
      </c>
      <c r="AA1422" s="133"/>
      <c r="AB1422" s="241">
        <v>53.7</v>
      </c>
      <c r="AC1422" s="134">
        <v>280.64999999999998</v>
      </c>
      <c r="AD1422" s="134"/>
      <c r="AE1422" s="403">
        <f t="shared" si="81"/>
        <v>15070.904999999999</v>
      </c>
      <c r="AF1422" s="132">
        <v>2</v>
      </c>
      <c r="AG1422" s="130" t="s">
        <v>5</v>
      </c>
      <c r="AH1422" s="130"/>
      <c r="AI1422" s="130" t="s">
        <v>100</v>
      </c>
      <c r="AJ1422" s="130"/>
      <c r="AK1422" s="130"/>
      <c r="AL1422" s="135" t="s">
        <v>4779</v>
      </c>
      <c r="AM1422" s="314"/>
      <c r="AN1422" s="26"/>
      <c r="AO1422" s="26"/>
      <c r="AP1422" s="26"/>
      <c r="AQ1422" s="26">
        <v>44301</v>
      </c>
      <c r="AR1422" s="24"/>
      <c r="AS1422" s="24"/>
      <c r="AT1422" s="24">
        <v>44309</v>
      </c>
      <c r="AU1422" s="418">
        <f t="shared" si="82"/>
        <v>4</v>
      </c>
      <c r="AV1422" s="418">
        <f t="shared" si="83"/>
        <v>2021</v>
      </c>
      <c r="AW1422" s="24"/>
      <c r="AX1422" s="28"/>
      <c r="AY1422" s="28" t="s">
        <v>3981</v>
      </c>
      <c r="AZ1422" s="24" t="s">
        <v>37</v>
      </c>
      <c r="BA1422" s="24"/>
      <c r="BB1422" s="24" t="s">
        <v>3291</v>
      </c>
      <c r="BC1422" s="135" t="s">
        <v>5464</v>
      </c>
      <c r="BD1422" s="24">
        <v>44253</v>
      </c>
      <c r="BE1422" s="24" t="s">
        <v>4079</v>
      </c>
      <c r="BF1422" s="24" t="s">
        <v>2668</v>
      </c>
      <c r="BG1422" s="135" t="s">
        <v>64</v>
      </c>
      <c r="BH1422" s="135"/>
      <c r="BI1422" s="314" t="s">
        <v>124</v>
      </c>
      <c r="BJ1422" s="314" t="s">
        <v>138</v>
      </c>
      <c r="BK1422" s="24"/>
      <c r="BL1422" s="24"/>
      <c r="BM1422" s="24"/>
      <c r="BN1422" s="24"/>
      <c r="BO1422" s="24">
        <v>44316</v>
      </c>
      <c r="BP1422" s="24"/>
      <c r="BQ1422" s="24"/>
      <c r="BR1422" s="24"/>
      <c r="BS1422" s="24"/>
      <c r="BT1422" s="24"/>
      <c r="BU1422" s="24"/>
      <c r="BV1422" s="132" t="e">
        <f>IF(#REF!="COMPLETO","OK","PENDIENTES")</f>
        <v>#REF!</v>
      </c>
      <c r="BW1422" s="132"/>
      <c r="BX1422" s="132"/>
      <c r="BY1422" s="132"/>
      <c r="BZ1422" s="132"/>
      <c r="CA1422" s="132"/>
      <c r="CB1422" s="132"/>
      <c r="CC1422" s="269"/>
      <c r="CG1422" s="24" t="s">
        <v>105</v>
      </c>
      <c r="CH1422" s="24"/>
      <c r="CI1422" s="24"/>
      <c r="CJ1422" s="24"/>
    </row>
    <row r="1423" spans="1:88" ht="15" customHeight="1">
      <c r="A1423" s="18">
        <v>2021</v>
      </c>
      <c r="B1423" s="18" t="str">
        <f>+INDEX(BDD!F:F,MATCH(P1423,BDD!D:D,0))&amp;"-"&amp;INDEX(BDD!E:E,MATCH(P1423,BDD!D:D,0))</f>
        <v>S-S</v>
      </c>
      <c r="C1423" s="125" t="s">
        <v>484</v>
      </c>
      <c r="D1423" s="150" t="s">
        <v>77</v>
      </c>
      <c r="E1423" s="132"/>
      <c r="F1423" s="24"/>
      <c r="G1423" s="346">
        <v>8000001552</v>
      </c>
      <c r="H1423" s="125" t="s">
        <v>5465</v>
      </c>
      <c r="I1423" s="329"/>
      <c r="J1423" s="346">
        <v>8000001552</v>
      </c>
      <c r="K1423" s="24"/>
      <c r="L1423" s="24">
        <v>44468</v>
      </c>
      <c r="M1423" s="24">
        <v>44473</v>
      </c>
      <c r="N1423" s="340" t="s">
        <v>486</v>
      </c>
      <c r="O1423" s="334">
        <v>206971</v>
      </c>
      <c r="P1423" s="25" t="s">
        <v>340</v>
      </c>
      <c r="Q1423" s="127" t="s">
        <v>297</v>
      </c>
      <c r="R1423" s="232" t="s">
        <v>5466</v>
      </c>
      <c r="S1423" s="89">
        <v>44242</v>
      </c>
      <c r="T1423" s="36">
        <v>90</v>
      </c>
      <c r="U1423" s="125" t="s">
        <v>118</v>
      </c>
      <c r="V1423" s="147" t="s">
        <v>5467</v>
      </c>
      <c r="W1423" s="129"/>
      <c r="X1423" s="88">
        <v>44440</v>
      </c>
      <c r="Y1423" s="130" t="s">
        <v>20</v>
      </c>
      <c r="Z1423" s="133" t="s">
        <v>60</v>
      </c>
      <c r="AA1423" s="133"/>
      <c r="AB1423" s="241">
        <v>2500</v>
      </c>
      <c r="AC1423" s="134">
        <v>477</v>
      </c>
      <c r="AD1423" s="134"/>
      <c r="AE1423" s="403">
        <f t="shared" si="81"/>
        <v>1192500</v>
      </c>
      <c r="AF1423" s="132"/>
      <c r="AG1423" s="130" t="s">
        <v>58</v>
      </c>
      <c r="AH1423" s="130"/>
      <c r="AI1423" s="130" t="s">
        <v>34</v>
      </c>
      <c r="AJ1423" s="130"/>
      <c r="AK1423" s="130"/>
      <c r="AL1423" s="135" t="s">
        <v>5156</v>
      </c>
      <c r="AM1423" s="314"/>
      <c r="AN1423" s="26">
        <f>BL1423</f>
        <v>0</v>
      </c>
      <c r="AO1423" s="26">
        <v>44409</v>
      </c>
      <c r="AP1423" s="26">
        <f>AQ1423</f>
        <v>44465</v>
      </c>
      <c r="AQ1423" s="26">
        <v>44465</v>
      </c>
      <c r="AR1423" s="24">
        <f>AP1423+10</f>
        <v>44475</v>
      </c>
      <c r="AS1423" s="24"/>
      <c r="AT1423" s="24">
        <v>44483</v>
      </c>
      <c r="AU1423" s="418">
        <f t="shared" si="82"/>
        <v>10</v>
      </c>
      <c r="AV1423" s="418">
        <f t="shared" si="83"/>
        <v>2021</v>
      </c>
      <c r="AW1423" s="24"/>
      <c r="AX1423" s="24"/>
      <c r="AY1423" s="24" t="s">
        <v>193</v>
      </c>
      <c r="AZ1423" s="24" t="s">
        <v>37</v>
      </c>
      <c r="BA1423" s="24"/>
      <c r="BB1423" s="24" t="s">
        <v>3593</v>
      </c>
      <c r="BC1423" s="135" t="s">
        <v>5468</v>
      </c>
      <c r="BD1423" s="24">
        <v>44346</v>
      </c>
      <c r="BE1423" s="24" t="s">
        <v>5469</v>
      </c>
      <c r="BF1423" s="24" t="s">
        <v>5469</v>
      </c>
      <c r="BG1423" s="135" t="s">
        <v>52</v>
      </c>
      <c r="BH1423" s="135"/>
      <c r="BI1423" s="314" t="s">
        <v>124</v>
      </c>
      <c r="BJ1423" s="314" t="s">
        <v>148</v>
      </c>
      <c r="BK1423" s="24"/>
      <c r="BL1423" s="24"/>
      <c r="BM1423" s="24"/>
      <c r="BN1423" s="24"/>
      <c r="BO1423" s="24"/>
      <c r="BP1423" s="24"/>
      <c r="BQ1423" s="24"/>
      <c r="BR1423" s="24"/>
      <c r="BS1423" s="24"/>
      <c r="BT1423" s="24"/>
      <c r="BU1423" s="24"/>
      <c r="BV1423" s="132" t="e">
        <f>IF(#REF!="COMPLETO","OK","PENDIENTES")</f>
        <v>#REF!</v>
      </c>
      <c r="BW1423" s="132"/>
      <c r="BX1423" s="132"/>
      <c r="BY1423" s="132"/>
      <c r="BZ1423" s="132"/>
      <c r="CA1423" s="132"/>
      <c r="CB1423" s="132"/>
      <c r="CC1423" s="269"/>
      <c r="CG1423" s="24" t="s">
        <v>105</v>
      </c>
      <c r="CH1423" s="24"/>
      <c r="CI1423" s="24"/>
      <c r="CJ1423" s="24"/>
    </row>
    <row r="1424" spans="1:88" ht="15" customHeight="1">
      <c r="A1424" s="18">
        <v>2021</v>
      </c>
      <c r="B1424" s="18" t="str">
        <f>+INDEX(BDD!F:F,MATCH(P1424,BDD!D:D,0))&amp;"-"&amp;INDEX(BDD!E:E,MATCH(P1424,BDD!D:D,0))</f>
        <v>S-S</v>
      </c>
      <c r="C1424" s="125" t="s">
        <v>484</v>
      </c>
      <c r="D1424" s="150" t="s">
        <v>77</v>
      </c>
      <c r="E1424" s="132"/>
      <c r="F1424" s="24"/>
      <c r="G1424" s="346">
        <v>8000001543</v>
      </c>
      <c r="H1424" s="125" t="s">
        <v>5470</v>
      </c>
      <c r="I1424" s="329"/>
      <c r="J1424" s="346">
        <v>8000001543</v>
      </c>
      <c r="K1424" s="24"/>
      <c r="L1424" s="24">
        <v>44446</v>
      </c>
      <c r="M1424" s="24">
        <v>44461</v>
      </c>
      <c r="N1424" s="340" t="s">
        <v>486</v>
      </c>
      <c r="O1424" s="334">
        <v>206971</v>
      </c>
      <c r="P1424" s="25" t="s">
        <v>340</v>
      </c>
      <c r="Q1424" s="127" t="s">
        <v>297</v>
      </c>
      <c r="R1424" s="232" t="s">
        <v>5466</v>
      </c>
      <c r="S1424" s="89">
        <v>44242</v>
      </c>
      <c r="T1424" s="36">
        <v>90</v>
      </c>
      <c r="U1424" s="125" t="s">
        <v>118</v>
      </c>
      <c r="V1424" s="147" t="s">
        <v>5471</v>
      </c>
      <c r="W1424" s="129"/>
      <c r="X1424" s="88">
        <f>+T1424+BD1424</f>
        <v>44436</v>
      </c>
      <c r="Y1424" s="130" t="s">
        <v>20</v>
      </c>
      <c r="Z1424" s="133" t="s">
        <v>60</v>
      </c>
      <c r="AA1424" s="133"/>
      <c r="AB1424" s="241">
        <v>3500</v>
      </c>
      <c r="AC1424" s="134">
        <v>477</v>
      </c>
      <c r="AD1424" s="134"/>
      <c r="AE1424" s="403">
        <f t="shared" si="81"/>
        <v>1669500</v>
      </c>
      <c r="AF1424" s="132"/>
      <c r="AG1424" s="130" t="s">
        <v>58</v>
      </c>
      <c r="AH1424" s="130"/>
      <c r="AI1424" s="130" t="s">
        <v>34</v>
      </c>
      <c r="AJ1424" s="130"/>
      <c r="AK1424" s="130"/>
      <c r="AL1424" s="135" t="s">
        <v>5156</v>
      </c>
      <c r="AM1424" s="314"/>
      <c r="AN1424" s="26"/>
      <c r="AO1424" s="26">
        <v>44409</v>
      </c>
      <c r="AP1424" s="26"/>
      <c r="AQ1424" s="26">
        <v>44453</v>
      </c>
      <c r="AR1424" s="24"/>
      <c r="AS1424" s="24"/>
      <c r="AT1424" s="24">
        <v>44464</v>
      </c>
      <c r="AU1424" s="418">
        <f t="shared" si="82"/>
        <v>9</v>
      </c>
      <c r="AV1424" s="418">
        <f t="shared" si="83"/>
        <v>2021</v>
      </c>
      <c r="AW1424" s="24"/>
      <c r="AX1424" s="24"/>
      <c r="AY1424" s="24" t="s">
        <v>193</v>
      </c>
      <c r="AZ1424" s="24" t="s">
        <v>9</v>
      </c>
      <c r="BA1424" s="24"/>
      <c r="BB1424" s="24" t="s">
        <v>3519</v>
      </c>
      <c r="BC1424" s="135" t="s">
        <v>5472</v>
      </c>
      <c r="BD1424" s="24">
        <v>44346</v>
      </c>
      <c r="BE1424" s="24" t="s">
        <v>5469</v>
      </c>
      <c r="BF1424" s="24" t="s">
        <v>5469</v>
      </c>
      <c r="BG1424" s="135" t="s">
        <v>52</v>
      </c>
      <c r="BH1424" s="135"/>
      <c r="BI1424" s="314" t="s">
        <v>124</v>
      </c>
      <c r="BJ1424" s="314" t="s">
        <v>148</v>
      </c>
      <c r="BK1424" s="24"/>
      <c r="BL1424" s="24"/>
      <c r="BM1424" s="24"/>
      <c r="BN1424" s="24"/>
      <c r="BO1424" s="24"/>
      <c r="BP1424" s="24"/>
      <c r="BQ1424" s="24"/>
      <c r="BR1424" s="24"/>
      <c r="BS1424" s="24"/>
      <c r="BT1424" s="24"/>
      <c r="BU1424" s="24"/>
      <c r="BV1424" s="132" t="e">
        <f>IF(#REF!="COMPLETO","OK","PENDIENTES")</f>
        <v>#REF!</v>
      </c>
      <c r="BW1424" s="132"/>
      <c r="BX1424" s="132"/>
      <c r="BY1424" s="132"/>
      <c r="BZ1424" s="132"/>
      <c r="CA1424" s="132"/>
      <c r="CB1424" s="132"/>
      <c r="CC1424" s="269" t="s">
        <v>5473</v>
      </c>
      <c r="CG1424" s="24" t="s">
        <v>105</v>
      </c>
      <c r="CH1424" s="24"/>
      <c r="CI1424" s="24"/>
      <c r="CJ1424" s="24"/>
    </row>
    <row r="1425" spans="1:88" ht="15" customHeight="1">
      <c r="A1425" s="18">
        <v>2021</v>
      </c>
      <c r="B1425" s="18" t="str">
        <f>+INDEX(BDD!F:F,MATCH(P1425,BDD!D:D,0))&amp;"-"&amp;INDEX(BDD!E:E,MATCH(P1425,BDD!D:D,0))</f>
        <v>-</v>
      </c>
      <c r="C1425" s="125" t="s">
        <v>484</v>
      </c>
      <c r="D1425" s="150" t="s">
        <v>77</v>
      </c>
      <c r="E1425" s="132"/>
      <c r="F1425" s="24"/>
      <c r="G1425" s="346">
        <v>8000001239</v>
      </c>
      <c r="H1425" s="125" t="s">
        <v>5474</v>
      </c>
      <c r="I1425" s="329"/>
      <c r="J1425" s="346">
        <v>8000001239</v>
      </c>
      <c r="K1425" s="24"/>
      <c r="L1425" s="24"/>
      <c r="M1425" s="24"/>
      <c r="N1425" s="340" t="s">
        <v>486</v>
      </c>
      <c r="O1425" s="334">
        <v>7000135</v>
      </c>
      <c r="P1425" s="25" t="s">
        <v>394</v>
      </c>
      <c r="Q1425" s="127" t="s">
        <v>303</v>
      </c>
      <c r="R1425" s="232" t="s">
        <v>5475</v>
      </c>
      <c r="S1425" s="89">
        <v>44250</v>
      </c>
      <c r="T1425" s="36" t="s">
        <v>19</v>
      </c>
      <c r="U1425" s="125"/>
      <c r="V1425" s="147" t="s">
        <v>5476</v>
      </c>
      <c r="W1425" s="129"/>
      <c r="X1425" s="88">
        <v>44355</v>
      </c>
      <c r="Y1425" s="130" t="s">
        <v>20</v>
      </c>
      <c r="Z1425" s="133" t="s">
        <v>60</v>
      </c>
      <c r="AA1425" s="133"/>
      <c r="AB1425" s="241">
        <v>16115</v>
      </c>
      <c r="AC1425" s="134">
        <v>0.31</v>
      </c>
      <c r="AD1425" s="134"/>
      <c r="AE1425" s="403">
        <f t="shared" si="81"/>
        <v>4995.6499999999996</v>
      </c>
      <c r="AF1425" s="132"/>
      <c r="AG1425" s="130" t="s">
        <v>5</v>
      </c>
      <c r="AH1425" s="130"/>
      <c r="AI1425" s="130" t="s">
        <v>2137</v>
      </c>
      <c r="AJ1425" s="130"/>
      <c r="AK1425" s="130"/>
      <c r="AL1425" s="135" t="s">
        <v>5156</v>
      </c>
      <c r="AM1425" s="314"/>
      <c r="AN1425" s="26"/>
      <c r="AO1425" s="26"/>
      <c r="AP1425" s="26"/>
      <c r="AQ1425" s="26">
        <v>44351</v>
      </c>
      <c r="AR1425" s="24"/>
      <c r="AS1425" s="24"/>
      <c r="AT1425" s="24">
        <v>44358</v>
      </c>
      <c r="AU1425" s="418">
        <f t="shared" si="82"/>
        <v>6</v>
      </c>
      <c r="AV1425" s="418">
        <f t="shared" si="83"/>
        <v>2021</v>
      </c>
      <c r="AW1425" s="24"/>
      <c r="AX1425" s="24"/>
      <c r="AY1425" s="24" t="s">
        <v>3415</v>
      </c>
      <c r="AZ1425" s="24" t="s">
        <v>37</v>
      </c>
      <c r="BA1425" s="24"/>
      <c r="BB1425" s="24" t="s">
        <v>3291</v>
      </c>
      <c r="BC1425" s="135" t="s">
        <v>5477</v>
      </c>
      <c r="BD1425" s="24">
        <v>44342</v>
      </c>
      <c r="BE1425" s="24" t="s">
        <v>2329</v>
      </c>
      <c r="BF1425" s="24" t="s">
        <v>2329</v>
      </c>
      <c r="BG1425" s="135" t="s">
        <v>64</v>
      </c>
      <c r="BH1425" s="135"/>
      <c r="BI1425" s="314" t="s">
        <v>124</v>
      </c>
      <c r="BJ1425" s="314" t="s">
        <v>138</v>
      </c>
      <c r="BK1425" s="24"/>
      <c r="BL1425" s="24"/>
      <c r="BM1425" s="24"/>
      <c r="BN1425" s="24"/>
      <c r="BO1425" s="24"/>
      <c r="BP1425" s="24"/>
      <c r="BQ1425" s="24"/>
      <c r="BR1425" s="24"/>
      <c r="BS1425" s="24"/>
      <c r="BT1425" s="24"/>
      <c r="BU1425" s="24"/>
      <c r="BV1425" s="132" t="e">
        <f>IF(#REF!="COMPLETO","OK","PENDIENTES")</f>
        <v>#REF!</v>
      </c>
      <c r="BW1425" s="132"/>
      <c r="BX1425" s="132"/>
      <c r="BY1425" s="132"/>
      <c r="BZ1425" s="132"/>
      <c r="CA1425" s="132"/>
      <c r="CB1425" s="132"/>
      <c r="CC1425" s="269"/>
      <c r="CG1425" s="24" t="s">
        <v>105</v>
      </c>
      <c r="CH1425" s="24"/>
      <c r="CI1425" s="24"/>
      <c r="CJ1425" s="24"/>
    </row>
    <row r="1426" spans="1:88" ht="15" customHeight="1">
      <c r="A1426" s="18">
        <v>2021</v>
      </c>
      <c r="B1426" s="18" t="str">
        <f>+INDEX(BDD!F:F,MATCH(P1426,BDD!D:D,0))&amp;"-"&amp;INDEX(BDD!E:E,MATCH(P1426,BDD!D:D,0))</f>
        <v>-</v>
      </c>
      <c r="C1426" s="125" t="s">
        <v>484</v>
      </c>
      <c r="D1426" s="150" t="s">
        <v>77</v>
      </c>
      <c r="E1426" s="132"/>
      <c r="F1426" s="24"/>
      <c r="G1426" s="346">
        <v>8000001238</v>
      </c>
      <c r="H1426" s="125" t="s">
        <v>5478</v>
      </c>
      <c r="I1426" s="329"/>
      <c r="J1426" s="346">
        <v>8000001238</v>
      </c>
      <c r="K1426" s="24"/>
      <c r="L1426" s="24"/>
      <c r="M1426" s="24"/>
      <c r="N1426" s="340" t="s">
        <v>486</v>
      </c>
      <c r="O1426" s="334">
        <v>7000135</v>
      </c>
      <c r="P1426" s="25" t="s">
        <v>394</v>
      </c>
      <c r="Q1426" s="127" t="s">
        <v>303</v>
      </c>
      <c r="R1426" s="232" t="s">
        <v>944</v>
      </c>
      <c r="S1426" s="89">
        <v>44250</v>
      </c>
      <c r="T1426" s="36" t="s">
        <v>19</v>
      </c>
      <c r="U1426" s="125"/>
      <c r="V1426" s="147" t="s">
        <v>5479</v>
      </c>
      <c r="W1426" s="129"/>
      <c r="X1426" s="88">
        <v>44355</v>
      </c>
      <c r="Y1426" s="130" t="s">
        <v>20</v>
      </c>
      <c r="Z1426" s="133" t="s">
        <v>60</v>
      </c>
      <c r="AA1426" s="133"/>
      <c r="AB1426" s="241">
        <v>8500</v>
      </c>
      <c r="AC1426" s="134">
        <v>0.31</v>
      </c>
      <c r="AD1426" s="134"/>
      <c r="AE1426" s="403">
        <f t="shared" si="81"/>
        <v>2635</v>
      </c>
      <c r="AF1426" s="132"/>
      <c r="AG1426" s="130" t="s">
        <v>5</v>
      </c>
      <c r="AH1426" s="130"/>
      <c r="AI1426" s="130" t="s">
        <v>2137</v>
      </c>
      <c r="AJ1426" s="130"/>
      <c r="AK1426" s="130"/>
      <c r="AL1426" s="135" t="s">
        <v>5156</v>
      </c>
      <c r="AM1426" s="314"/>
      <c r="AN1426" s="26"/>
      <c r="AO1426" s="26"/>
      <c r="AP1426" s="26"/>
      <c r="AQ1426" s="26">
        <v>44342</v>
      </c>
      <c r="AR1426" s="24"/>
      <c r="AS1426" s="24"/>
      <c r="AT1426" s="24">
        <v>44356</v>
      </c>
      <c r="AU1426" s="418">
        <f t="shared" si="82"/>
        <v>6</v>
      </c>
      <c r="AV1426" s="418">
        <f t="shared" si="83"/>
        <v>2021</v>
      </c>
      <c r="AW1426" s="24"/>
      <c r="AX1426" s="24"/>
      <c r="AY1426" s="24" t="s">
        <v>3415</v>
      </c>
      <c r="AZ1426" s="24" t="s">
        <v>9</v>
      </c>
      <c r="BA1426" s="24"/>
      <c r="BB1426" s="24" t="s">
        <v>3264</v>
      </c>
      <c r="BC1426" s="135" t="s">
        <v>5480</v>
      </c>
      <c r="BD1426" s="24">
        <v>44337</v>
      </c>
      <c r="BE1426" s="24" t="s">
        <v>5130</v>
      </c>
      <c r="BF1426" s="24" t="s">
        <v>5130</v>
      </c>
      <c r="BG1426" s="135" t="s">
        <v>29</v>
      </c>
      <c r="BH1426" s="135"/>
      <c r="BI1426" s="314" t="s">
        <v>124</v>
      </c>
      <c r="BJ1426" s="314" t="s">
        <v>148</v>
      </c>
      <c r="BK1426" s="24"/>
      <c r="BL1426" s="24"/>
      <c r="BM1426" s="24"/>
      <c r="BN1426" s="24"/>
      <c r="BO1426" s="24">
        <v>44362</v>
      </c>
      <c r="BP1426" s="24"/>
      <c r="BQ1426" s="24"/>
      <c r="BR1426" s="24"/>
      <c r="BS1426" s="24"/>
      <c r="BT1426" s="24"/>
      <c r="BU1426" s="24"/>
      <c r="BV1426" s="132" t="e">
        <f>IF(#REF!="COMPLETO","OK","PENDIENTES")</f>
        <v>#REF!</v>
      </c>
      <c r="BW1426" s="132"/>
      <c r="BX1426" s="132"/>
      <c r="BY1426" s="132"/>
      <c r="BZ1426" s="132"/>
      <c r="CA1426" s="132"/>
      <c r="CB1426" s="132"/>
      <c r="CC1426" s="269"/>
      <c r="CG1426" s="24" t="s">
        <v>105</v>
      </c>
      <c r="CH1426" s="24"/>
      <c r="CI1426" s="24"/>
      <c r="CJ1426" s="24"/>
    </row>
    <row r="1427" spans="1:88" ht="15" customHeight="1">
      <c r="A1427" s="18">
        <v>2021</v>
      </c>
      <c r="B1427" s="18" t="str">
        <f>+INDEX(BDD!F:F,MATCH(P1427,BDD!D:D,0))&amp;"-"&amp;INDEX(BDD!E:E,MATCH(P1427,BDD!D:D,0))</f>
        <v>S-P</v>
      </c>
      <c r="C1427" s="125" t="s">
        <v>484</v>
      </c>
      <c r="D1427" s="150" t="s">
        <v>77</v>
      </c>
      <c r="E1427" s="132"/>
      <c r="F1427" s="24"/>
      <c r="G1427" s="346">
        <v>8000001461</v>
      </c>
      <c r="H1427" s="125" t="s">
        <v>5481</v>
      </c>
      <c r="I1427" s="329"/>
      <c r="J1427" s="346">
        <v>8000001461</v>
      </c>
      <c r="K1427" s="24"/>
      <c r="L1427" s="24">
        <v>44425</v>
      </c>
      <c r="M1427" s="24">
        <v>44426</v>
      </c>
      <c r="N1427" s="340" t="s">
        <v>486</v>
      </c>
      <c r="O1427" s="334">
        <v>203646</v>
      </c>
      <c r="P1427" s="25" t="s">
        <v>2</v>
      </c>
      <c r="Q1427" s="127" t="s">
        <v>237</v>
      </c>
      <c r="R1427" s="232" t="s">
        <v>5482</v>
      </c>
      <c r="S1427" s="89">
        <v>44265</v>
      </c>
      <c r="T1427" s="36">
        <v>90</v>
      </c>
      <c r="U1427" s="125" t="s">
        <v>118</v>
      </c>
      <c r="V1427" s="147" t="s">
        <v>5483</v>
      </c>
      <c r="W1427" s="129"/>
      <c r="X1427" s="88">
        <f>+BD1427+T1427</f>
        <v>44488</v>
      </c>
      <c r="Y1427" s="130" t="s">
        <v>20</v>
      </c>
      <c r="Z1427" s="133" t="s">
        <v>60</v>
      </c>
      <c r="AA1427" s="133"/>
      <c r="AB1427" s="241">
        <v>108.8</v>
      </c>
      <c r="AC1427" s="275">
        <v>1096.8699999999999</v>
      </c>
      <c r="AD1427" s="275"/>
      <c r="AE1427" s="403">
        <f t="shared" si="81"/>
        <v>119339.45599999999</v>
      </c>
      <c r="AF1427" s="132">
        <v>4</v>
      </c>
      <c r="AG1427" s="130" t="s">
        <v>5</v>
      </c>
      <c r="AH1427" s="130"/>
      <c r="AI1427" s="130" t="s">
        <v>106</v>
      </c>
      <c r="AJ1427" s="130"/>
      <c r="AK1427" s="130"/>
      <c r="AL1427" s="135" t="s">
        <v>5484</v>
      </c>
      <c r="AM1427" s="314"/>
      <c r="AN1427" s="26"/>
      <c r="AO1427" s="26">
        <v>44398</v>
      </c>
      <c r="AP1427" s="26"/>
      <c r="AQ1427" s="26">
        <v>44423</v>
      </c>
      <c r="AR1427" s="24"/>
      <c r="AS1427" s="24"/>
      <c r="AT1427" s="24">
        <v>44425</v>
      </c>
      <c r="AU1427" s="418">
        <f t="shared" si="82"/>
        <v>8</v>
      </c>
      <c r="AV1427" s="418">
        <f t="shared" si="83"/>
        <v>2021</v>
      </c>
      <c r="AW1427" s="24"/>
      <c r="AX1427" s="24"/>
      <c r="AY1427" s="24" t="s">
        <v>302</v>
      </c>
      <c r="AZ1427" s="24" t="s">
        <v>9</v>
      </c>
      <c r="BA1427" s="24"/>
      <c r="BB1427" s="24" t="s">
        <v>3264</v>
      </c>
      <c r="BC1427" s="135" t="s">
        <v>5485</v>
      </c>
      <c r="BD1427" s="24">
        <v>44398</v>
      </c>
      <c r="BE1427" s="24" t="s">
        <v>3298</v>
      </c>
      <c r="BF1427" s="24" t="s">
        <v>5344</v>
      </c>
      <c r="BG1427" s="135" t="s">
        <v>41</v>
      </c>
      <c r="BH1427" s="135"/>
      <c r="BI1427" s="314" t="s">
        <v>124</v>
      </c>
      <c r="BJ1427" s="314" t="s">
        <v>148</v>
      </c>
      <c r="BK1427" s="24"/>
      <c r="BL1427" s="24"/>
      <c r="BM1427" s="24"/>
      <c r="BN1427" s="24"/>
      <c r="BO1427" s="24"/>
      <c r="BP1427" s="24"/>
      <c r="BQ1427" s="24"/>
      <c r="BR1427" s="24"/>
      <c r="BS1427" s="24"/>
      <c r="BT1427" s="24"/>
      <c r="BU1427" s="24"/>
      <c r="BV1427" s="132" t="e">
        <f>IF(#REF!="COMPLETO","OK","PENDIENTES")</f>
        <v>#REF!</v>
      </c>
      <c r="BW1427" s="132"/>
      <c r="BX1427" s="132"/>
      <c r="BY1427" s="132"/>
      <c r="BZ1427" s="132"/>
      <c r="CA1427" s="132"/>
      <c r="CB1427" s="132"/>
      <c r="CC1427" s="269" t="s">
        <v>5486</v>
      </c>
      <c r="CG1427" s="24" t="s">
        <v>105</v>
      </c>
      <c r="CH1427" s="24"/>
      <c r="CI1427" s="24"/>
      <c r="CJ1427" s="24"/>
    </row>
    <row r="1428" spans="1:88" ht="15" customHeight="1">
      <c r="A1428" s="18">
        <v>2021</v>
      </c>
      <c r="B1428" s="18" t="str">
        <f>+INDEX(BDD!F:F,MATCH(P1428,BDD!D:D,0))&amp;"-"&amp;INDEX(BDD!E:E,MATCH(P1428,BDD!D:D,0))</f>
        <v>S-P</v>
      </c>
      <c r="C1428" s="125" t="s">
        <v>484</v>
      </c>
      <c r="D1428" s="150" t="s">
        <v>77</v>
      </c>
      <c r="E1428" s="132"/>
      <c r="F1428" s="24"/>
      <c r="G1428" s="346">
        <v>8000001528</v>
      </c>
      <c r="H1428" s="125" t="s">
        <v>5487</v>
      </c>
      <c r="I1428" s="329"/>
      <c r="J1428" s="346">
        <v>8000001528</v>
      </c>
      <c r="K1428" s="24"/>
      <c r="L1428" s="24">
        <v>44450</v>
      </c>
      <c r="M1428" s="24">
        <v>44452</v>
      </c>
      <c r="N1428" s="340" t="s">
        <v>486</v>
      </c>
      <c r="O1428" s="334">
        <v>206766</v>
      </c>
      <c r="P1428" s="25" t="s">
        <v>2</v>
      </c>
      <c r="Q1428" s="127" t="s">
        <v>237</v>
      </c>
      <c r="R1428" s="232" t="s">
        <v>5488</v>
      </c>
      <c r="S1428" s="89">
        <v>44265</v>
      </c>
      <c r="T1428" s="36">
        <v>90</v>
      </c>
      <c r="U1428" s="125" t="s">
        <v>118</v>
      </c>
      <c r="V1428" s="147" t="s">
        <v>5489</v>
      </c>
      <c r="W1428" s="129"/>
      <c r="X1428" s="88">
        <f>+BD1428+T1428</f>
        <v>44509</v>
      </c>
      <c r="Y1428" s="130" t="s">
        <v>20</v>
      </c>
      <c r="Z1428" s="133" t="s">
        <v>60</v>
      </c>
      <c r="AA1428" s="133"/>
      <c r="AB1428" s="241">
        <v>312</v>
      </c>
      <c r="AC1428" s="134">
        <v>1076.52</v>
      </c>
      <c r="AD1428" s="134"/>
      <c r="AE1428" s="403">
        <f t="shared" si="81"/>
        <v>335874.24</v>
      </c>
      <c r="AF1428" s="132">
        <v>13</v>
      </c>
      <c r="AG1428" s="130" t="s">
        <v>5</v>
      </c>
      <c r="AH1428" s="130"/>
      <c r="AI1428" s="130" t="s">
        <v>47</v>
      </c>
      <c r="AJ1428" s="130"/>
      <c r="AK1428" s="130"/>
      <c r="AL1428" s="135" t="s">
        <v>5484</v>
      </c>
      <c r="AM1428" s="314"/>
      <c r="AN1428" s="26"/>
      <c r="AO1428" s="26">
        <v>44419</v>
      </c>
      <c r="AP1428" s="26"/>
      <c r="AQ1428" s="26">
        <v>44442</v>
      </c>
      <c r="AR1428" s="24"/>
      <c r="AS1428" s="24"/>
      <c r="AT1428" s="24">
        <v>44448</v>
      </c>
      <c r="AU1428" s="418">
        <f t="shared" si="82"/>
        <v>9</v>
      </c>
      <c r="AV1428" s="418">
        <f t="shared" si="83"/>
        <v>2021</v>
      </c>
      <c r="AW1428" s="24"/>
      <c r="AX1428" s="24"/>
      <c r="AY1428" s="24" t="s">
        <v>302</v>
      </c>
      <c r="AZ1428" s="24" t="s">
        <v>9</v>
      </c>
      <c r="BA1428" s="24"/>
      <c r="BB1428" s="24" t="s">
        <v>2956</v>
      </c>
      <c r="BC1428" s="135" t="s">
        <v>5490</v>
      </c>
      <c r="BD1428" s="24">
        <v>44419</v>
      </c>
      <c r="BE1428" s="24" t="s">
        <v>5491</v>
      </c>
      <c r="BF1428" s="24" t="s">
        <v>994</v>
      </c>
      <c r="BG1428" s="135" t="s">
        <v>41</v>
      </c>
      <c r="BH1428" s="135"/>
      <c r="BI1428" s="314" t="s">
        <v>124</v>
      </c>
      <c r="BJ1428" s="314" t="s">
        <v>148</v>
      </c>
      <c r="BK1428" s="24"/>
      <c r="BL1428" s="24"/>
      <c r="BM1428" s="24"/>
      <c r="BN1428" s="24"/>
      <c r="BO1428" s="24"/>
      <c r="BP1428" s="24"/>
      <c r="BQ1428" s="24"/>
      <c r="BR1428" s="24"/>
      <c r="BS1428" s="24"/>
      <c r="BT1428" s="24"/>
      <c r="BU1428" s="24"/>
      <c r="BV1428" s="132" t="e">
        <f>IF(#REF!="COMPLETO","OK","PENDIENTES")</f>
        <v>#REF!</v>
      </c>
      <c r="BW1428" s="132"/>
      <c r="BX1428" s="132"/>
      <c r="BY1428" s="132"/>
      <c r="BZ1428" s="132"/>
      <c r="CA1428" s="132"/>
      <c r="CB1428" s="132"/>
      <c r="CC1428" s="269" t="s">
        <v>5492</v>
      </c>
      <c r="CG1428" s="24" t="s">
        <v>105</v>
      </c>
      <c r="CH1428" s="24"/>
      <c r="CI1428" s="24"/>
      <c r="CJ1428" s="24"/>
    </row>
    <row r="1429" spans="1:88" ht="15" customHeight="1">
      <c r="A1429" s="18">
        <v>2021</v>
      </c>
      <c r="B1429" s="18" t="str">
        <f>+INDEX(BDD!F:F,MATCH(P1429,BDD!D:D,0))&amp;"-"&amp;INDEX(BDD!E:E,MATCH(P1429,BDD!D:D,0))</f>
        <v>S-P</v>
      </c>
      <c r="C1429" s="125" t="s">
        <v>484</v>
      </c>
      <c r="D1429" s="150" t="s">
        <v>77</v>
      </c>
      <c r="E1429" s="132"/>
      <c r="F1429" s="24"/>
      <c r="G1429" s="346">
        <v>8000001526</v>
      </c>
      <c r="H1429" s="125" t="s">
        <v>5493</v>
      </c>
      <c r="I1429" s="329"/>
      <c r="J1429" s="346">
        <v>8000001526</v>
      </c>
      <c r="K1429" s="24"/>
      <c r="L1429" s="24">
        <v>44450</v>
      </c>
      <c r="M1429" s="24">
        <v>44453</v>
      </c>
      <c r="N1429" s="340" t="s">
        <v>486</v>
      </c>
      <c r="O1429" s="334">
        <v>206766</v>
      </c>
      <c r="P1429" s="25" t="s">
        <v>2</v>
      </c>
      <c r="Q1429" s="127" t="s">
        <v>237</v>
      </c>
      <c r="R1429" s="232" t="s">
        <v>5494</v>
      </c>
      <c r="S1429" s="89">
        <v>44265</v>
      </c>
      <c r="T1429" s="36">
        <v>90</v>
      </c>
      <c r="U1429" s="125" t="s">
        <v>118</v>
      </c>
      <c r="V1429" s="147" t="s">
        <v>5495</v>
      </c>
      <c r="W1429" s="129"/>
      <c r="X1429" s="88">
        <f>+BD1429+T1429</f>
        <v>44515</v>
      </c>
      <c r="Y1429" s="130" t="s">
        <v>20</v>
      </c>
      <c r="Z1429" s="133" t="s">
        <v>60</v>
      </c>
      <c r="AA1429" s="133"/>
      <c r="AB1429" s="241">
        <v>312</v>
      </c>
      <c r="AC1429" s="134">
        <v>1053.1099999999999</v>
      </c>
      <c r="AD1429" s="134"/>
      <c r="AE1429" s="403">
        <f t="shared" si="81"/>
        <v>328570.31999999995</v>
      </c>
      <c r="AF1429" s="132">
        <v>13</v>
      </c>
      <c r="AG1429" s="130" t="s">
        <v>5</v>
      </c>
      <c r="AH1429" s="130"/>
      <c r="AI1429" s="130" t="s">
        <v>47</v>
      </c>
      <c r="AJ1429" s="130"/>
      <c r="AK1429" s="130"/>
      <c r="AL1429" s="135" t="s">
        <v>5484</v>
      </c>
      <c r="AM1429" s="314"/>
      <c r="AN1429" s="26"/>
      <c r="AO1429" s="26">
        <v>44425</v>
      </c>
      <c r="AP1429" s="26"/>
      <c r="AQ1429" s="26">
        <v>44449</v>
      </c>
      <c r="AR1429" s="24"/>
      <c r="AS1429" s="24"/>
      <c r="AT1429" s="24">
        <v>44453</v>
      </c>
      <c r="AU1429" s="418">
        <f t="shared" si="82"/>
        <v>9</v>
      </c>
      <c r="AV1429" s="418">
        <f t="shared" si="83"/>
        <v>2021</v>
      </c>
      <c r="AW1429" s="24"/>
      <c r="AX1429" s="24"/>
      <c r="AY1429" s="24" t="s">
        <v>302</v>
      </c>
      <c r="AZ1429" s="24" t="s">
        <v>37</v>
      </c>
      <c r="BA1429" s="24"/>
      <c r="BB1429" s="24" t="s">
        <v>3291</v>
      </c>
      <c r="BC1429" s="135" t="s">
        <v>5496</v>
      </c>
      <c r="BD1429" s="24">
        <v>44425</v>
      </c>
      <c r="BE1429" s="24" t="s">
        <v>5497</v>
      </c>
      <c r="BF1429" s="24" t="s">
        <v>5498</v>
      </c>
      <c r="BG1429" s="135" t="s">
        <v>41</v>
      </c>
      <c r="BH1429" s="135"/>
      <c r="BI1429" s="314" t="s">
        <v>124</v>
      </c>
      <c r="BJ1429" s="314" t="s">
        <v>148</v>
      </c>
      <c r="BK1429" s="24"/>
      <c r="BL1429" s="24"/>
      <c r="BM1429" s="24"/>
      <c r="BN1429" s="24"/>
      <c r="BO1429" s="24"/>
      <c r="BP1429" s="24"/>
      <c r="BQ1429" s="24"/>
      <c r="BR1429" s="24"/>
      <c r="BS1429" s="24"/>
      <c r="BT1429" s="24"/>
      <c r="BU1429" s="24"/>
      <c r="BV1429" s="132" t="e">
        <f>IF(#REF!="COMPLETO","OK","PENDIENTES")</f>
        <v>#REF!</v>
      </c>
      <c r="BW1429" s="132"/>
      <c r="BX1429" s="132"/>
      <c r="BY1429" s="132"/>
      <c r="BZ1429" s="132"/>
      <c r="CA1429" s="132"/>
      <c r="CB1429" s="132"/>
      <c r="CC1429" s="269"/>
      <c r="CG1429" s="24" t="s">
        <v>105</v>
      </c>
      <c r="CH1429" s="24"/>
      <c r="CI1429" s="24"/>
      <c r="CJ1429" s="24"/>
    </row>
    <row r="1430" spans="1:88" ht="15" customHeight="1">
      <c r="A1430" s="18">
        <v>2021</v>
      </c>
      <c r="B1430" s="18" t="str">
        <f>+INDEX(BDD!F:F,MATCH(P1430,BDD!D:D,0))&amp;"-"&amp;INDEX(BDD!E:E,MATCH(P1430,BDD!D:D,0))</f>
        <v>S-S</v>
      </c>
      <c r="C1430" s="125" t="s">
        <v>484</v>
      </c>
      <c r="D1430" s="150" t="s">
        <v>77</v>
      </c>
      <c r="E1430" s="132" t="s">
        <v>51</v>
      </c>
      <c r="F1430" s="24"/>
      <c r="G1430" s="346">
        <v>8000001369</v>
      </c>
      <c r="H1430" s="125" t="s">
        <v>5499</v>
      </c>
      <c r="I1430" s="329"/>
      <c r="J1430" s="346">
        <v>8000001369</v>
      </c>
      <c r="K1430" s="24"/>
      <c r="L1430" s="24"/>
      <c r="M1430" s="24"/>
      <c r="N1430" s="340" t="s">
        <v>486</v>
      </c>
      <c r="O1430" s="334">
        <v>207579</v>
      </c>
      <c r="P1430" s="25" t="s">
        <v>238</v>
      </c>
      <c r="Q1430" s="127" t="s">
        <v>231</v>
      </c>
      <c r="R1430" s="147" t="s">
        <v>5500</v>
      </c>
      <c r="S1430" s="89">
        <v>44266</v>
      </c>
      <c r="T1430" s="36">
        <v>150</v>
      </c>
      <c r="U1430" s="125" t="s">
        <v>118</v>
      </c>
      <c r="V1430" s="147" t="s">
        <v>5500</v>
      </c>
      <c r="W1430" s="129"/>
      <c r="X1430" s="88">
        <f>+BD1430+T1430</f>
        <v>44456</v>
      </c>
      <c r="Y1430" s="130" t="s">
        <v>20</v>
      </c>
      <c r="Z1430" s="133" t="s">
        <v>60</v>
      </c>
      <c r="AA1430" s="133"/>
      <c r="AB1430" s="241">
        <v>500</v>
      </c>
      <c r="AC1430" s="134">
        <v>305</v>
      </c>
      <c r="AD1430" s="134"/>
      <c r="AE1430" s="403">
        <f t="shared" si="81"/>
        <v>152500</v>
      </c>
      <c r="AF1430" s="132"/>
      <c r="AG1430" s="130" t="s">
        <v>58</v>
      </c>
      <c r="AH1430" s="130"/>
      <c r="AI1430" s="130" t="s">
        <v>34</v>
      </c>
      <c r="AJ1430" s="130"/>
      <c r="AK1430" s="130"/>
      <c r="AL1430" s="135" t="s">
        <v>5501</v>
      </c>
      <c r="AM1430" s="314"/>
      <c r="AN1430" s="26"/>
      <c r="AO1430" s="26"/>
      <c r="AP1430" s="26"/>
      <c r="AQ1430" s="26">
        <v>44347</v>
      </c>
      <c r="AR1430" s="24"/>
      <c r="AS1430" s="24"/>
      <c r="AT1430" s="24">
        <v>44378</v>
      </c>
      <c r="AU1430" s="418">
        <f t="shared" si="82"/>
        <v>7</v>
      </c>
      <c r="AV1430" s="418">
        <f t="shared" si="83"/>
        <v>2021</v>
      </c>
      <c r="AW1430" s="24"/>
      <c r="AX1430" s="24"/>
      <c r="AY1430" s="24" t="s">
        <v>3199</v>
      </c>
      <c r="AZ1430" s="24" t="s">
        <v>37</v>
      </c>
      <c r="BA1430" s="24"/>
      <c r="BB1430" s="24" t="s">
        <v>3593</v>
      </c>
      <c r="BC1430" s="135" t="s">
        <v>5502</v>
      </c>
      <c r="BD1430" s="24">
        <v>44306</v>
      </c>
      <c r="BE1430" s="24" t="s">
        <v>5274</v>
      </c>
      <c r="BF1430" s="24" t="s">
        <v>5274</v>
      </c>
      <c r="BG1430" s="135" t="s">
        <v>52</v>
      </c>
      <c r="BH1430" s="135"/>
      <c r="BI1430" s="314" t="s">
        <v>124</v>
      </c>
      <c r="BJ1430" s="314" t="s">
        <v>143</v>
      </c>
      <c r="BK1430" s="24"/>
      <c r="BL1430" s="24"/>
      <c r="BM1430" s="24"/>
      <c r="BN1430" s="24"/>
      <c r="BO1430" s="24"/>
      <c r="BP1430" s="24"/>
      <c r="BQ1430" s="24"/>
      <c r="BR1430" s="24"/>
      <c r="BS1430" s="24"/>
      <c r="BT1430" s="24"/>
      <c r="BU1430" s="24"/>
      <c r="BV1430" s="132" t="e">
        <f>IF(#REF!="COMPLETO","OK","PENDIENTES")</f>
        <v>#REF!</v>
      </c>
      <c r="BW1430" s="132"/>
      <c r="BX1430" s="132"/>
      <c r="BY1430" s="132"/>
      <c r="BZ1430" s="132"/>
      <c r="CA1430" s="132"/>
      <c r="CB1430" s="132"/>
      <c r="CC1430" s="269"/>
      <c r="CG1430" s="24" t="s">
        <v>105</v>
      </c>
      <c r="CH1430" s="24"/>
      <c r="CI1430" s="24"/>
      <c r="CJ1430" s="24"/>
    </row>
    <row r="1431" spans="1:88" ht="15" customHeight="1">
      <c r="A1431" s="18">
        <v>2021</v>
      </c>
      <c r="B1431" s="18" t="str">
        <f>+INDEX(BDD!F:F,MATCH(P1431,BDD!D:D,0))&amp;"-"&amp;INDEX(BDD!E:E,MATCH(P1431,BDD!D:D,0))</f>
        <v>S-S</v>
      </c>
      <c r="C1431" s="125" t="s">
        <v>484</v>
      </c>
      <c r="D1431" s="150" t="s">
        <v>92</v>
      </c>
      <c r="E1431" s="132" t="s">
        <v>1622</v>
      </c>
      <c r="F1431" s="24"/>
      <c r="G1431" s="346"/>
      <c r="H1431" s="125" t="s">
        <v>5503</v>
      </c>
      <c r="I1431" s="330"/>
      <c r="J1431" s="346"/>
      <c r="K1431" s="24"/>
      <c r="L1431" s="24"/>
      <c r="M1431" s="24"/>
      <c r="N1431" s="340"/>
      <c r="O1431" s="334"/>
      <c r="P1431" s="25" t="s">
        <v>238</v>
      </c>
      <c r="Q1431" s="127" t="s">
        <v>231</v>
      </c>
      <c r="R1431" s="147"/>
      <c r="S1431" s="89"/>
      <c r="T1431" s="36"/>
      <c r="U1431" s="125"/>
      <c r="V1431" s="147"/>
      <c r="W1431" s="129"/>
      <c r="X1431" s="88"/>
      <c r="Y1431" s="130"/>
      <c r="Z1431" s="133"/>
      <c r="AA1431" s="133"/>
      <c r="AB1431" s="241"/>
      <c r="AC1431" s="134"/>
      <c r="AD1431" s="134"/>
      <c r="AE1431" s="403">
        <f t="shared" si="81"/>
        <v>0</v>
      </c>
      <c r="AF1431" s="132"/>
      <c r="AG1431" s="130"/>
      <c r="AH1431" s="130"/>
      <c r="AI1431" s="130"/>
      <c r="AJ1431" s="130"/>
      <c r="AK1431" s="130"/>
      <c r="AL1431" s="135"/>
      <c r="AM1431" s="314"/>
      <c r="AN1431" s="26"/>
      <c r="AO1431" s="26"/>
      <c r="AP1431" s="26"/>
      <c r="AQ1431" s="26"/>
      <c r="AR1431" s="24"/>
      <c r="AS1431" s="24"/>
      <c r="AT1431" s="24"/>
      <c r="AU1431" s="418">
        <f t="shared" si="82"/>
        <v>1</v>
      </c>
      <c r="AV1431" s="418">
        <f t="shared" si="83"/>
        <v>1900</v>
      </c>
      <c r="AW1431" s="24"/>
      <c r="AX1431" s="24"/>
      <c r="AY1431" s="24"/>
      <c r="AZ1431" s="24"/>
      <c r="BA1431" s="24"/>
      <c r="BB1431" s="24"/>
      <c r="BC1431" s="135"/>
      <c r="BD1431" s="24"/>
      <c r="BE1431" s="24"/>
      <c r="BF1431" s="24"/>
      <c r="BG1431" s="135"/>
      <c r="BH1431" s="135"/>
      <c r="BI1431" s="314"/>
      <c r="BJ1431" s="314"/>
      <c r="BK1431" s="24"/>
      <c r="BL1431" s="24"/>
      <c r="BM1431" s="24"/>
      <c r="BN1431" s="24"/>
      <c r="BO1431" s="24"/>
      <c r="BP1431" s="24"/>
      <c r="BQ1431" s="24"/>
      <c r="BR1431" s="24"/>
      <c r="BS1431" s="24"/>
      <c r="BT1431" s="24"/>
      <c r="BU1431" s="24"/>
      <c r="BV1431" s="132"/>
      <c r="BW1431" s="132"/>
      <c r="BX1431" s="132"/>
      <c r="BY1431" s="132"/>
      <c r="BZ1431" s="132"/>
      <c r="CA1431" s="132"/>
      <c r="CB1431" s="132"/>
      <c r="CC1431" s="362"/>
      <c r="CD1431" s="22"/>
      <c r="CE1431" s="22"/>
      <c r="CF1431" s="22"/>
      <c r="CG1431" s="24"/>
      <c r="CH1431" s="24"/>
      <c r="CI1431" s="24"/>
      <c r="CJ1431" s="24"/>
    </row>
    <row r="1432" spans="1:88" ht="15" customHeight="1">
      <c r="A1432" s="18">
        <v>2021</v>
      </c>
      <c r="B1432" s="18" t="str">
        <f>+INDEX(BDD!F:F,MATCH(P1432,BDD!D:D,0))&amp;"-"&amp;INDEX(BDD!E:E,MATCH(P1432,BDD!D:D,0))</f>
        <v>S-S</v>
      </c>
      <c r="C1432" s="125" t="s">
        <v>484</v>
      </c>
      <c r="D1432" s="150" t="s">
        <v>77</v>
      </c>
      <c r="E1432" s="132" t="s">
        <v>51</v>
      </c>
      <c r="F1432" s="24"/>
      <c r="G1432" s="346">
        <v>8000001544</v>
      </c>
      <c r="H1432" s="125" t="s">
        <v>5504</v>
      </c>
      <c r="I1432" s="329"/>
      <c r="J1432" s="346">
        <v>8000001544</v>
      </c>
      <c r="K1432" s="24"/>
      <c r="L1432" s="24">
        <v>44460</v>
      </c>
      <c r="M1432" s="24">
        <v>44461</v>
      </c>
      <c r="N1432" s="340" t="s">
        <v>486</v>
      </c>
      <c r="O1432" s="334">
        <v>207579</v>
      </c>
      <c r="P1432" s="25" t="s">
        <v>238</v>
      </c>
      <c r="Q1432" s="127" t="s">
        <v>297</v>
      </c>
      <c r="R1432" s="232" t="s">
        <v>5505</v>
      </c>
      <c r="S1432" s="89">
        <v>44266</v>
      </c>
      <c r="T1432" s="36">
        <v>90</v>
      </c>
      <c r="U1432" s="125" t="s">
        <v>118</v>
      </c>
      <c r="V1432" s="147" t="s">
        <v>5506</v>
      </c>
      <c r="W1432" s="129"/>
      <c r="X1432" s="88">
        <f>+T1432+BD1432</f>
        <v>44490</v>
      </c>
      <c r="Y1432" s="130" t="s">
        <v>20</v>
      </c>
      <c r="Z1432" s="133" t="s">
        <v>60</v>
      </c>
      <c r="AA1432" s="133"/>
      <c r="AB1432" s="241">
        <v>350</v>
      </c>
      <c r="AC1432" s="134">
        <v>336</v>
      </c>
      <c r="AD1432" s="134"/>
      <c r="AE1432" s="403">
        <f t="shared" si="81"/>
        <v>117600</v>
      </c>
      <c r="AF1432" s="132"/>
      <c r="AG1432" s="130" t="s">
        <v>58</v>
      </c>
      <c r="AH1432" s="130"/>
      <c r="AI1432" s="130" t="s">
        <v>34</v>
      </c>
      <c r="AJ1432" s="130"/>
      <c r="AK1432" s="130"/>
      <c r="AL1432" s="135" t="s">
        <v>5507</v>
      </c>
      <c r="AM1432" s="314"/>
      <c r="AN1432" s="26"/>
      <c r="AO1432" s="26">
        <v>44409</v>
      </c>
      <c r="AP1432" s="26"/>
      <c r="AQ1432" s="26">
        <v>44453</v>
      </c>
      <c r="AR1432" s="24"/>
      <c r="AS1432" s="24"/>
      <c r="AT1432" s="24">
        <v>44460</v>
      </c>
      <c r="AU1432" s="418">
        <f t="shared" si="82"/>
        <v>9</v>
      </c>
      <c r="AV1432" s="418">
        <f t="shared" si="83"/>
        <v>2021</v>
      </c>
      <c r="AW1432" s="24"/>
      <c r="AX1432" s="24"/>
      <c r="AY1432" s="24" t="s">
        <v>193</v>
      </c>
      <c r="AZ1432" s="24" t="s">
        <v>9</v>
      </c>
      <c r="BA1432" s="24"/>
      <c r="BB1432" s="24" t="s">
        <v>3264</v>
      </c>
      <c r="BC1432" s="135" t="s">
        <v>5508</v>
      </c>
      <c r="BD1432" s="24">
        <v>44400</v>
      </c>
      <c r="BE1432" s="24" t="s">
        <v>5469</v>
      </c>
      <c r="BF1432" s="24" t="s">
        <v>5469</v>
      </c>
      <c r="BG1432" s="135" t="s">
        <v>52</v>
      </c>
      <c r="BH1432" s="135"/>
      <c r="BI1432" s="314" t="s">
        <v>124</v>
      </c>
      <c r="BJ1432" s="314" t="s">
        <v>148</v>
      </c>
      <c r="BK1432" s="24"/>
      <c r="BL1432" s="24"/>
      <c r="BM1432" s="24"/>
      <c r="BN1432" s="24"/>
      <c r="BO1432" s="24"/>
      <c r="BP1432" s="24"/>
      <c r="BQ1432" s="24"/>
      <c r="BR1432" s="24"/>
      <c r="BS1432" s="24"/>
      <c r="BT1432" s="24"/>
      <c r="BU1432" s="24"/>
      <c r="BV1432" s="132" t="e">
        <f>IF(#REF!="COMPLETO","OK","PENDIENTES")</f>
        <v>#REF!</v>
      </c>
      <c r="BW1432" s="132"/>
      <c r="BX1432" s="132"/>
      <c r="BY1432" s="132"/>
      <c r="BZ1432" s="132"/>
      <c r="CA1432" s="132"/>
      <c r="CB1432" s="132"/>
      <c r="CC1432" s="269"/>
      <c r="CG1432" s="24" t="s">
        <v>105</v>
      </c>
      <c r="CH1432" s="24"/>
      <c r="CI1432" s="24"/>
      <c r="CJ1432" s="24"/>
    </row>
    <row r="1433" spans="1:88" ht="15" customHeight="1">
      <c r="A1433" s="18">
        <v>2021</v>
      </c>
      <c r="B1433" s="18" t="str">
        <f>+INDEX(BDD!F:F,MATCH(P1433,BDD!D:D,0))&amp;"-"&amp;INDEX(BDD!E:E,MATCH(P1433,BDD!D:D,0))</f>
        <v>E-S</v>
      </c>
      <c r="C1433" s="125" t="s">
        <v>484</v>
      </c>
      <c r="D1433" s="150" t="s">
        <v>77</v>
      </c>
      <c r="E1433" s="132"/>
      <c r="F1433" s="24"/>
      <c r="G1433" s="346">
        <v>8000001296</v>
      </c>
      <c r="H1433" s="125" t="s">
        <v>5509</v>
      </c>
      <c r="I1433" s="329"/>
      <c r="J1433" s="346">
        <v>8000001296</v>
      </c>
      <c r="K1433" s="24"/>
      <c r="L1433" s="24"/>
      <c r="M1433" s="24"/>
      <c r="N1433" s="340" t="s">
        <v>486</v>
      </c>
      <c r="O1433" s="334">
        <v>209865</v>
      </c>
      <c r="P1433" s="25" t="s">
        <v>277</v>
      </c>
      <c r="Q1433" s="127" t="s">
        <v>297</v>
      </c>
      <c r="R1433" s="232" t="s">
        <v>5510</v>
      </c>
      <c r="S1433" s="89">
        <v>44278</v>
      </c>
      <c r="T1433" s="36">
        <v>90</v>
      </c>
      <c r="U1433" s="125" t="s">
        <v>118</v>
      </c>
      <c r="V1433" s="147" t="s">
        <v>5511</v>
      </c>
      <c r="W1433" s="129"/>
      <c r="X1433" s="88">
        <f>+BD1433+T1433</f>
        <v>44388</v>
      </c>
      <c r="Y1433" s="130" t="s">
        <v>20</v>
      </c>
      <c r="Z1433" s="133" t="s">
        <v>72</v>
      </c>
      <c r="AA1433" s="133"/>
      <c r="AB1433" s="254">
        <v>10.7</v>
      </c>
      <c r="AC1433" s="240" t="e">
        <f>106000/#REF!</f>
        <v>#REF!</v>
      </c>
      <c r="AD1433" s="240"/>
      <c r="AE1433" s="403" t="e">
        <f t="shared" si="81"/>
        <v>#REF!</v>
      </c>
      <c r="AF1433" s="132">
        <v>1</v>
      </c>
      <c r="AG1433" s="130" t="s">
        <v>5</v>
      </c>
      <c r="AH1433" s="130"/>
      <c r="AI1433" s="130" t="s">
        <v>93</v>
      </c>
      <c r="AJ1433" s="130"/>
      <c r="AK1433" s="130"/>
      <c r="AL1433" s="135" t="s">
        <v>5507</v>
      </c>
      <c r="AM1433" s="314"/>
      <c r="AN1433" s="26"/>
      <c r="AO1433" s="26"/>
      <c r="AP1433" s="26"/>
      <c r="AQ1433" s="26">
        <v>44323</v>
      </c>
      <c r="AR1433" s="24"/>
      <c r="AS1433" s="24"/>
      <c r="AT1433" s="24">
        <v>44329</v>
      </c>
      <c r="AU1433" s="418">
        <f t="shared" si="82"/>
        <v>5</v>
      </c>
      <c r="AV1433" s="418">
        <f t="shared" si="83"/>
        <v>2021</v>
      </c>
      <c r="AW1433" s="24"/>
      <c r="AX1433" s="24"/>
      <c r="AY1433" s="24" t="s">
        <v>299</v>
      </c>
      <c r="AZ1433" s="24" t="s">
        <v>37</v>
      </c>
      <c r="BA1433" s="24"/>
      <c r="BB1433" s="24" t="s">
        <v>2956</v>
      </c>
      <c r="BC1433" s="135" t="s">
        <v>5512</v>
      </c>
      <c r="BD1433" s="24">
        <v>44298</v>
      </c>
      <c r="BE1433" s="24" t="s">
        <v>4037</v>
      </c>
      <c r="BF1433" s="24" t="s">
        <v>4037</v>
      </c>
      <c r="BG1433" s="135" t="s">
        <v>3430</v>
      </c>
      <c r="BH1433" s="135"/>
      <c r="BI1433" s="314" t="s">
        <v>117</v>
      </c>
      <c r="BJ1433" s="314" t="s">
        <v>143</v>
      </c>
      <c r="BK1433" s="24"/>
      <c r="BL1433" s="24"/>
      <c r="BM1433" s="24"/>
      <c r="BN1433" s="24"/>
      <c r="BO1433" s="24"/>
      <c r="BP1433" s="24"/>
      <c r="BQ1433" s="24"/>
      <c r="BR1433" s="24"/>
      <c r="BS1433" s="24"/>
      <c r="BT1433" s="24"/>
      <c r="BU1433" s="24"/>
      <c r="BV1433" s="132" t="e">
        <f>IF(#REF!="COMPLETO","OK","PENDIENTES")</f>
        <v>#REF!</v>
      </c>
      <c r="BW1433" s="132"/>
      <c r="BX1433" s="132"/>
      <c r="BY1433" s="132"/>
      <c r="BZ1433" s="132"/>
      <c r="CA1433" s="132"/>
      <c r="CB1433" s="132"/>
      <c r="CC1433" s="269" t="s">
        <v>5513</v>
      </c>
      <c r="CG1433" s="24" t="s">
        <v>105</v>
      </c>
      <c r="CH1433" s="24"/>
      <c r="CI1433" s="24"/>
      <c r="CJ1433" s="24"/>
    </row>
    <row r="1434" spans="1:88" ht="15" customHeight="1">
      <c r="A1434" s="18">
        <v>2021</v>
      </c>
      <c r="B1434" s="18" t="str">
        <f>+INDEX(BDD!F:F,MATCH(P1434,BDD!D:D,0))&amp;"-"&amp;INDEX(BDD!E:E,MATCH(P1434,BDD!D:D,0))</f>
        <v>E-S</v>
      </c>
      <c r="C1434" s="125" t="s">
        <v>484</v>
      </c>
      <c r="D1434" s="150" t="s">
        <v>77</v>
      </c>
      <c r="E1434" s="132"/>
      <c r="F1434" s="24"/>
      <c r="G1434" s="346">
        <v>8000001292</v>
      </c>
      <c r="H1434" s="125" t="s">
        <v>5514</v>
      </c>
      <c r="I1434" s="329"/>
      <c r="J1434" s="346">
        <v>8000001292</v>
      </c>
      <c r="K1434" s="24"/>
      <c r="L1434" s="24"/>
      <c r="M1434" s="24"/>
      <c r="N1434" s="340" t="s">
        <v>486</v>
      </c>
      <c r="O1434" s="334">
        <v>203618</v>
      </c>
      <c r="P1434" s="25" t="s">
        <v>350</v>
      </c>
      <c r="Q1434" s="127" t="s">
        <v>297</v>
      </c>
      <c r="R1434" s="232" t="s">
        <v>5515</v>
      </c>
      <c r="S1434" s="89">
        <v>44278</v>
      </c>
      <c r="T1434" s="36">
        <v>90</v>
      </c>
      <c r="U1434" s="125" t="s">
        <v>118</v>
      </c>
      <c r="V1434" s="147" t="s">
        <v>5516</v>
      </c>
      <c r="W1434" s="129"/>
      <c r="X1434" s="88">
        <f>+T1434+BD1434</f>
        <v>44376</v>
      </c>
      <c r="Y1434" s="130" t="s">
        <v>20</v>
      </c>
      <c r="Z1434" s="133" t="s">
        <v>72</v>
      </c>
      <c r="AA1434" s="133"/>
      <c r="AB1434" s="241">
        <v>24.8</v>
      </c>
      <c r="AC1434" s="134">
        <v>960</v>
      </c>
      <c r="AD1434" s="134"/>
      <c r="AE1434" s="403">
        <f t="shared" si="81"/>
        <v>23808</v>
      </c>
      <c r="AF1434" s="132">
        <v>1</v>
      </c>
      <c r="AG1434" s="130" t="s">
        <v>5</v>
      </c>
      <c r="AH1434" s="130"/>
      <c r="AI1434" s="130" t="s">
        <v>106</v>
      </c>
      <c r="AJ1434" s="130"/>
      <c r="AK1434" s="130"/>
      <c r="AL1434" s="135" t="s">
        <v>5517</v>
      </c>
      <c r="AM1434" s="314"/>
      <c r="AN1434" s="26"/>
      <c r="AO1434" s="26"/>
      <c r="AP1434" s="26"/>
      <c r="AQ1434" s="26">
        <v>44314</v>
      </c>
      <c r="AR1434" s="24"/>
      <c r="AS1434" s="24"/>
      <c r="AT1434" s="24">
        <v>44322</v>
      </c>
      <c r="AU1434" s="418">
        <f t="shared" si="82"/>
        <v>5</v>
      </c>
      <c r="AV1434" s="418">
        <f t="shared" si="83"/>
        <v>2021</v>
      </c>
      <c r="AW1434" s="24"/>
      <c r="AX1434" s="28"/>
      <c r="AY1434" s="28" t="s">
        <v>272</v>
      </c>
      <c r="AZ1434" s="24" t="s">
        <v>37</v>
      </c>
      <c r="BA1434" s="24"/>
      <c r="BB1434" s="24" t="s">
        <v>3291</v>
      </c>
      <c r="BC1434" s="135" t="s">
        <v>5518</v>
      </c>
      <c r="BD1434" s="24">
        <v>44286</v>
      </c>
      <c r="BE1434" s="24" t="s">
        <v>5519</v>
      </c>
      <c r="BF1434" s="24" t="s">
        <v>5519</v>
      </c>
      <c r="BG1434" s="135" t="s">
        <v>5520</v>
      </c>
      <c r="BH1434" s="135"/>
      <c r="BI1434" s="314" t="s">
        <v>124</v>
      </c>
      <c r="BJ1434" s="314" t="s">
        <v>143</v>
      </c>
      <c r="BK1434" s="24"/>
      <c r="BL1434" s="24"/>
      <c r="BM1434" s="24"/>
      <c r="BN1434" s="24"/>
      <c r="BO1434" s="24">
        <v>44339</v>
      </c>
      <c r="BP1434" s="24"/>
      <c r="BQ1434" s="24"/>
      <c r="BR1434" s="24"/>
      <c r="BS1434" s="24"/>
      <c r="BT1434" s="24"/>
      <c r="BU1434" s="24"/>
      <c r="BV1434" s="132" t="e">
        <f>IF(#REF!="COMPLETO","OK","PENDIENTES")</f>
        <v>#REF!</v>
      </c>
      <c r="BW1434" s="132"/>
      <c r="BX1434" s="132"/>
      <c r="BY1434" s="132"/>
      <c r="BZ1434" s="132"/>
      <c r="CA1434" s="132"/>
      <c r="CB1434" s="132"/>
      <c r="CC1434" s="269"/>
      <c r="CG1434" s="24" t="s">
        <v>105</v>
      </c>
      <c r="CH1434" s="24"/>
      <c r="CI1434" s="24"/>
      <c r="CJ1434" s="24"/>
    </row>
    <row r="1435" spans="1:88" ht="15" customHeight="1">
      <c r="A1435" s="18">
        <v>2021</v>
      </c>
      <c r="B1435" s="18" t="str">
        <f>+INDEX(BDD!F:F,MATCH(P1435,BDD!D:D,0))&amp;"-"&amp;INDEX(BDD!E:E,MATCH(P1435,BDD!D:D,0))</f>
        <v>A-S</v>
      </c>
      <c r="C1435" s="125" t="s">
        <v>484</v>
      </c>
      <c r="D1435" s="150" t="s">
        <v>77</v>
      </c>
      <c r="E1435" s="132"/>
      <c r="F1435" s="24"/>
      <c r="G1435" s="346">
        <v>8000001265</v>
      </c>
      <c r="H1435" s="125" t="s">
        <v>5521</v>
      </c>
      <c r="I1435" s="329"/>
      <c r="J1435" s="346">
        <v>8000001265</v>
      </c>
      <c r="K1435" s="24"/>
      <c r="L1435" s="24"/>
      <c r="M1435" s="24"/>
      <c r="N1435" s="340" t="s">
        <v>486</v>
      </c>
      <c r="O1435" s="334">
        <v>209882</v>
      </c>
      <c r="P1435" s="25" t="s">
        <v>123</v>
      </c>
      <c r="Q1435" s="127" t="s">
        <v>0</v>
      </c>
      <c r="R1435" s="232" t="s">
        <v>544</v>
      </c>
      <c r="S1435" s="89" t="s">
        <v>5076</v>
      </c>
      <c r="T1435" s="36">
        <v>60</v>
      </c>
      <c r="U1435" s="125" t="s">
        <v>118</v>
      </c>
      <c r="V1435" s="147" t="s">
        <v>5522</v>
      </c>
      <c r="W1435" s="129"/>
      <c r="X1435" s="88">
        <f>+T1435+BD1435</f>
        <v>44441</v>
      </c>
      <c r="Y1435" s="130" t="s">
        <v>20</v>
      </c>
      <c r="Z1435" s="133" t="s">
        <v>60</v>
      </c>
      <c r="AA1435" s="133"/>
      <c r="AB1435" s="241">
        <v>17.962</v>
      </c>
      <c r="AC1435" s="134">
        <v>1827.8588130497701</v>
      </c>
      <c r="AD1435" s="134"/>
      <c r="AE1435" s="403">
        <f t="shared" si="81"/>
        <v>32831.999999999971</v>
      </c>
      <c r="AF1435" s="132">
        <v>1</v>
      </c>
      <c r="AG1435" s="130" t="s">
        <v>21</v>
      </c>
      <c r="AH1435" s="130"/>
      <c r="AI1435" s="130" t="s">
        <v>3427</v>
      </c>
      <c r="AJ1435" s="130"/>
      <c r="AK1435" s="130"/>
      <c r="AL1435" s="135" t="s">
        <v>5076</v>
      </c>
      <c r="AM1435" s="314"/>
      <c r="AN1435" s="26"/>
      <c r="AO1435" s="26"/>
      <c r="AP1435" s="26"/>
      <c r="AQ1435" s="26">
        <v>44398</v>
      </c>
      <c r="AR1435" s="24"/>
      <c r="AS1435" s="24"/>
      <c r="AT1435" s="24">
        <v>44400</v>
      </c>
      <c r="AU1435" s="418">
        <f t="shared" si="82"/>
        <v>7</v>
      </c>
      <c r="AV1435" s="418">
        <f t="shared" si="83"/>
        <v>2021</v>
      </c>
      <c r="AW1435" s="24"/>
      <c r="AX1435" s="28"/>
      <c r="AY1435" s="28" t="s">
        <v>113</v>
      </c>
      <c r="AZ1435" s="24" t="s">
        <v>37</v>
      </c>
      <c r="BA1435" s="24"/>
      <c r="BB1435" s="24" t="s">
        <v>3291</v>
      </c>
      <c r="BC1435" s="135" t="s">
        <v>5523</v>
      </c>
      <c r="BD1435" s="24">
        <v>44381</v>
      </c>
      <c r="BE1435" s="24" t="s">
        <v>5524</v>
      </c>
      <c r="BF1435" s="24" t="s">
        <v>5525</v>
      </c>
      <c r="BG1435" s="135" t="s">
        <v>5526</v>
      </c>
      <c r="BH1435" s="135"/>
      <c r="BI1435" s="314" t="s">
        <v>124</v>
      </c>
      <c r="BJ1435" s="314" t="s">
        <v>148</v>
      </c>
      <c r="BK1435" s="24"/>
      <c r="BL1435" s="24"/>
      <c r="BM1435" s="24"/>
      <c r="BN1435" s="24"/>
      <c r="BO1435" s="24">
        <f>AQ1435+6</f>
        <v>44404</v>
      </c>
      <c r="BP1435" s="24"/>
      <c r="BQ1435" s="24"/>
      <c r="BR1435" s="24"/>
      <c r="BS1435" s="24"/>
      <c r="BT1435" s="24"/>
      <c r="BU1435" s="24"/>
      <c r="BV1435" s="132" t="e">
        <f>IF(#REF!="COMPLETO","OK","PENDIENTES")</f>
        <v>#REF!</v>
      </c>
      <c r="BW1435" s="132"/>
      <c r="BX1435" s="132"/>
      <c r="BY1435" s="132"/>
      <c r="BZ1435" s="132"/>
      <c r="CA1435" s="132"/>
      <c r="CB1435" s="132"/>
      <c r="CC1435" s="269"/>
      <c r="CG1435" s="24" t="s">
        <v>105</v>
      </c>
      <c r="CH1435" s="24"/>
      <c r="CI1435" s="24"/>
      <c r="CJ1435" s="24"/>
    </row>
    <row r="1436" spans="1:88" ht="15" customHeight="1">
      <c r="A1436" s="18">
        <v>2021</v>
      </c>
      <c r="B1436" s="18" t="str">
        <f>+INDEX(BDD!F:F,MATCH(P1436,BDD!D:D,0))&amp;"-"&amp;INDEX(BDD!E:E,MATCH(P1436,BDD!D:D,0))</f>
        <v>A-S</v>
      </c>
      <c r="C1436" s="125" t="s">
        <v>484</v>
      </c>
      <c r="D1436" s="150" t="s">
        <v>77</v>
      </c>
      <c r="E1436" s="132"/>
      <c r="F1436" s="24"/>
      <c r="G1436" s="346">
        <v>8000001423</v>
      </c>
      <c r="H1436" s="125" t="s">
        <v>5527</v>
      </c>
      <c r="I1436" s="329"/>
      <c r="J1436" s="346">
        <v>8000001423</v>
      </c>
      <c r="K1436" s="24"/>
      <c r="L1436" s="24"/>
      <c r="M1436" s="24"/>
      <c r="N1436" s="340" t="s">
        <v>486</v>
      </c>
      <c r="O1436" s="334">
        <v>209882</v>
      </c>
      <c r="P1436" s="25" t="s">
        <v>123</v>
      </c>
      <c r="Q1436" s="127" t="s">
        <v>0</v>
      </c>
      <c r="R1436" s="232" t="s">
        <v>544</v>
      </c>
      <c r="S1436" s="89" t="s">
        <v>5076</v>
      </c>
      <c r="T1436" s="36">
        <v>60</v>
      </c>
      <c r="U1436" s="125" t="s">
        <v>118</v>
      </c>
      <c r="V1436" s="147" t="s">
        <v>5528</v>
      </c>
      <c r="W1436" s="129"/>
      <c r="X1436" s="88">
        <f>+T1436+BD1436</f>
        <v>44445</v>
      </c>
      <c r="Y1436" s="130" t="s">
        <v>20</v>
      </c>
      <c r="Z1436" s="133" t="s">
        <v>60</v>
      </c>
      <c r="AA1436" s="133"/>
      <c r="AB1436" s="241">
        <v>16.416</v>
      </c>
      <c r="AC1436" s="134">
        <v>1990.1559454190999</v>
      </c>
      <c r="AD1436" s="134"/>
      <c r="AE1436" s="403">
        <f t="shared" si="81"/>
        <v>32670.399999999943</v>
      </c>
      <c r="AF1436" s="132">
        <v>1</v>
      </c>
      <c r="AG1436" s="130" t="s">
        <v>21</v>
      </c>
      <c r="AH1436" s="130"/>
      <c r="AI1436" s="130" t="s">
        <v>3427</v>
      </c>
      <c r="AJ1436" s="130"/>
      <c r="AK1436" s="130"/>
      <c r="AL1436" s="135" t="s">
        <v>5076</v>
      </c>
      <c r="AM1436" s="314"/>
      <c r="AN1436" s="26"/>
      <c r="AO1436" s="26"/>
      <c r="AP1436" s="26"/>
      <c r="AQ1436" s="26">
        <v>44398</v>
      </c>
      <c r="AR1436" s="24"/>
      <c r="AS1436" s="24"/>
      <c r="AT1436" s="24">
        <v>44400</v>
      </c>
      <c r="AU1436" s="418">
        <f t="shared" si="82"/>
        <v>7</v>
      </c>
      <c r="AV1436" s="418">
        <f t="shared" si="83"/>
        <v>2021</v>
      </c>
      <c r="AW1436" s="24"/>
      <c r="AX1436" s="28"/>
      <c r="AY1436" s="28" t="s">
        <v>113</v>
      </c>
      <c r="AZ1436" s="24" t="s">
        <v>37</v>
      </c>
      <c r="BA1436" s="24"/>
      <c r="BB1436" s="24" t="s">
        <v>3291</v>
      </c>
      <c r="BC1436" s="135" t="s">
        <v>5529</v>
      </c>
      <c r="BD1436" s="24">
        <v>44385</v>
      </c>
      <c r="BE1436" s="24" t="s">
        <v>5530</v>
      </c>
      <c r="BF1436" s="24" t="s">
        <v>5525</v>
      </c>
      <c r="BG1436" s="135" t="s">
        <v>5526</v>
      </c>
      <c r="BH1436" s="135"/>
      <c r="BI1436" s="314" t="s">
        <v>124</v>
      </c>
      <c r="BJ1436" s="314" t="s">
        <v>148</v>
      </c>
      <c r="BK1436" s="24"/>
      <c r="BL1436" s="24"/>
      <c r="BM1436" s="24"/>
      <c r="BN1436" s="24"/>
      <c r="BO1436" s="24">
        <f>AQ1436+6</f>
        <v>44404</v>
      </c>
      <c r="BP1436" s="24"/>
      <c r="BQ1436" s="24"/>
      <c r="BR1436" s="24"/>
      <c r="BS1436" s="24"/>
      <c r="BT1436" s="24"/>
      <c r="BU1436" s="24"/>
      <c r="BV1436" s="132" t="e">
        <f>IF(#REF!="COMPLETO","OK","PENDIENTES")</f>
        <v>#REF!</v>
      </c>
      <c r="BW1436" s="132"/>
      <c r="BX1436" s="132"/>
      <c r="BY1436" s="132"/>
      <c r="BZ1436" s="132"/>
      <c r="CA1436" s="132"/>
      <c r="CB1436" s="132"/>
      <c r="CC1436" s="269" t="s">
        <v>5531</v>
      </c>
      <c r="CG1436" s="24" t="s">
        <v>105</v>
      </c>
      <c r="CH1436" s="24"/>
      <c r="CI1436" s="24"/>
      <c r="CJ1436" s="24"/>
    </row>
    <row r="1437" spans="1:88" ht="15" customHeight="1">
      <c r="A1437" s="18">
        <v>2021</v>
      </c>
      <c r="B1437" s="18" t="str">
        <f>+INDEX(BDD!F:F,MATCH(P1437,BDD!D:D,0))&amp;"-"&amp;INDEX(BDD!E:E,MATCH(P1437,BDD!D:D,0))</f>
        <v>G-S</v>
      </c>
      <c r="C1437" s="125" t="s">
        <v>484</v>
      </c>
      <c r="D1437" s="150" t="s">
        <v>77</v>
      </c>
      <c r="E1437" s="132"/>
      <c r="F1437" s="24"/>
      <c r="G1437" s="346">
        <v>8000001314</v>
      </c>
      <c r="H1437" s="125" t="s">
        <v>5532</v>
      </c>
      <c r="I1437" s="329"/>
      <c r="J1437" s="346">
        <v>8000001314</v>
      </c>
      <c r="K1437" s="24"/>
      <c r="L1437" s="24"/>
      <c r="M1437" s="24"/>
      <c r="N1437" s="340" t="s">
        <v>486</v>
      </c>
      <c r="O1437" s="334">
        <v>208300</v>
      </c>
      <c r="P1437" s="25" t="s">
        <v>332</v>
      </c>
      <c r="Q1437" s="127" t="s">
        <v>273</v>
      </c>
      <c r="R1437" s="232" t="s">
        <v>5533</v>
      </c>
      <c r="S1437" s="89">
        <v>44285</v>
      </c>
      <c r="T1437" s="36" t="s">
        <v>19</v>
      </c>
      <c r="U1437" s="125"/>
      <c r="V1437" s="147" t="s">
        <v>5534</v>
      </c>
      <c r="W1437" s="129"/>
      <c r="X1437" s="88">
        <v>44309</v>
      </c>
      <c r="Y1437" s="130" t="s">
        <v>20</v>
      </c>
      <c r="Z1437" s="133" t="s">
        <v>60</v>
      </c>
      <c r="AA1437" s="133"/>
      <c r="AB1437" s="241">
        <v>470</v>
      </c>
      <c r="AC1437" s="134">
        <v>219</v>
      </c>
      <c r="AD1437" s="134"/>
      <c r="AE1437" s="403">
        <f t="shared" si="81"/>
        <v>102930</v>
      </c>
      <c r="AF1437" s="132"/>
      <c r="AG1437" s="130" t="s">
        <v>46</v>
      </c>
      <c r="AH1437" s="130"/>
      <c r="AI1437" s="130" t="s">
        <v>100</v>
      </c>
      <c r="AJ1437" s="130"/>
      <c r="AK1437" s="130"/>
      <c r="AL1437" s="135" t="s">
        <v>5535</v>
      </c>
      <c r="AM1437" s="314"/>
      <c r="AN1437" s="26"/>
      <c r="AO1437" s="26"/>
      <c r="AP1437" s="26"/>
      <c r="AQ1437" s="26">
        <v>44331</v>
      </c>
      <c r="AR1437" s="24"/>
      <c r="AS1437" s="24"/>
      <c r="AT1437" s="24">
        <v>44340</v>
      </c>
      <c r="AU1437" s="418">
        <f t="shared" si="82"/>
        <v>5</v>
      </c>
      <c r="AV1437" s="418">
        <f t="shared" si="83"/>
        <v>2021</v>
      </c>
      <c r="AW1437" s="24"/>
      <c r="AX1437" s="24"/>
      <c r="AY1437" s="24" t="s">
        <v>3437</v>
      </c>
      <c r="AZ1437" s="24" t="s">
        <v>9</v>
      </c>
      <c r="BA1437" s="24"/>
      <c r="BB1437" s="24" t="s">
        <v>3264</v>
      </c>
      <c r="BC1437" s="135" t="s">
        <v>5536</v>
      </c>
      <c r="BD1437" s="24">
        <v>44292</v>
      </c>
      <c r="BE1437" s="24" t="s">
        <v>5219</v>
      </c>
      <c r="BF1437" s="24" t="s">
        <v>5219</v>
      </c>
      <c r="BG1437" s="135" t="s">
        <v>52</v>
      </c>
      <c r="BH1437" s="135"/>
      <c r="BI1437" s="314" t="s">
        <v>117</v>
      </c>
      <c r="BJ1437" s="314" t="s">
        <v>143</v>
      </c>
      <c r="BK1437" s="24"/>
      <c r="BL1437" s="24"/>
      <c r="BM1437" s="24"/>
      <c r="BN1437" s="24"/>
      <c r="BO1437" s="24"/>
      <c r="BP1437" s="24"/>
      <c r="BQ1437" s="24"/>
      <c r="BR1437" s="24"/>
      <c r="BS1437" s="24"/>
      <c r="BT1437" s="24"/>
      <c r="BU1437" s="24"/>
      <c r="BV1437" s="132" t="e">
        <f>IF(#REF!="COMPLETO","OK","PENDIENTES")</f>
        <v>#REF!</v>
      </c>
      <c r="BW1437" s="132"/>
      <c r="BX1437" s="132"/>
      <c r="BY1437" s="132"/>
      <c r="BZ1437" s="132"/>
      <c r="CA1437" s="132"/>
      <c r="CB1437" s="132"/>
      <c r="CC1437" s="269"/>
      <c r="CG1437" s="24" t="s">
        <v>105</v>
      </c>
      <c r="CH1437" s="24"/>
      <c r="CI1437" s="24"/>
      <c r="CJ1437" s="24"/>
    </row>
    <row r="1438" spans="1:88" ht="15" customHeight="1">
      <c r="A1438" s="18">
        <v>2021</v>
      </c>
      <c r="B1438" s="18" t="str">
        <f>+INDEX(BDD!F:F,MATCH(P1438,BDD!D:D,0))&amp;"-"&amp;INDEX(BDD!E:E,MATCH(P1438,BDD!D:D,0))</f>
        <v>G-S</v>
      </c>
      <c r="C1438" s="125" t="s">
        <v>484</v>
      </c>
      <c r="D1438" s="150" t="s">
        <v>77</v>
      </c>
      <c r="E1438" s="132"/>
      <c r="F1438" s="24"/>
      <c r="G1438" s="346">
        <v>8000001323</v>
      </c>
      <c r="H1438" s="125" t="s">
        <v>5537</v>
      </c>
      <c r="I1438" s="329"/>
      <c r="J1438" s="346">
        <v>8000001323</v>
      </c>
      <c r="K1438" s="24"/>
      <c r="L1438" s="24"/>
      <c r="M1438" s="24"/>
      <c r="N1438" s="340" t="s">
        <v>486</v>
      </c>
      <c r="O1438" s="334">
        <v>208300</v>
      </c>
      <c r="P1438" s="25" t="s">
        <v>332</v>
      </c>
      <c r="Q1438" s="127" t="s">
        <v>273</v>
      </c>
      <c r="R1438" s="232" t="s">
        <v>5533</v>
      </c>
      <c r="S1438" s="89">
        <v>44285</v>
      </c>
      <c r="T1438" s="36" t="s">
        <v>19</v>
      </c>
      <c r="U1438" s="125"/>
      <c r="V1438" s="147" t="s">
        <v>5538</v>
      </c>
      <c r="W1438" s="129"/>
      <c r="X1438" s="88">
        <v>44309</v>
      </c>
      <c r="Y1438" s="130" t="s">
        <v>20</v>
      </c>
      <c r="Z1438" s="133" t="s">
        <v>60</v>
      </c>
      <c r="AA1438" s="133"/>
      <c r="AB1438" s="241">
        <v>350</v>
      </c>
      <c r="AC1438" s="134">
        <v>219</v>
      </c>
      <c r="AD1438" s="134"/>
      <c r="AE1438" s="403">
        <f t="shared" si="81"/>
        <v>76650</v>
      </c>
      <c r="AF1438" s="132"/>
      <c r="AG1438" s="130" t="s">
        <v>46</v>
      </c>
      <c r="AH1438" s="130"/>
      <c r="AI1438" s="130" t="s">
        <v>100</v>
      </c>
      <c r="AJ1438" s="130"/>
      <c r="AK1438" s="130"/>
      <c r="AL1438" s="135" t="s">
        <v>5535</v>
      </c>
      <c r="AM1438" s="314"/>
      <c r="AN1438" s="26"/>
      <c r="AO1438" s="26"/>
      <c r="AP1438" s="26"/>
      <c r="AQ1438" s="26">
        <f>+AQ1352</f>
        <v>44343</v>
      </c>
      <c r="AR1438" s="24"/>
      <c r="AS1438" s="24"/>
      <c r="AT1438" s="24">
        <v>44345</v>
      </c>
      <c r="AU1438" s="418">
        <f t="shared" si="82"/>
        <v>5</v>
      </c>
      <c r="AV1438" s="418">
        <f t="shared" si="83"/>
        <v>2021</v>
      </c>
      <c r="AW1438" s="24"/>
      <c r="AX1438" s="24"/>
      <c r="AY1438" s="24" t="s">
        <v>3437</v>
      </c>
      <c r="AZ1438" s="24" t="s">
        <v>25</v>
      </c>
      <c r="BA1438" s="24"/>
      <c r="BB1438" s="24" t="s">
        <v>3264</v>
      </c>
      <c r="BC1438" s="135" t="s">
        <v>5539</v>
      </c>
      <c r="BD1438" s="24">
        <v>44292</v>
      </c>
      <c r="BE1438" s="24" t="s">
        <v>5219</v>
      </c>
      <c r="BF1438" s="24" t="s">
        <v>5219</v>
      </c>
      <c r="BG1438" s="135" t="s">
        <v>52</v>
      </c>
      <c r="BH1438" s="135"/>
      <c r="BI1438" s="314" t="s">
        <v>117</v>
      </c>
      <c r="BJ1438" s="314" t="s">
        <v>143</v>
      </c>
      <c r="BK1438" s="24"/>
      <c r="BL1438" s="24"/>
      <c r="BM1438" s="24"/>
      <c r="BN1438" s="24"/>
      <c r="BO1438" s="24"/>
      <c r="BP1438" s="24"/>
      <c r="BQ1438" s="24"/>
      <c r="BR1438" s="24"/>
      <c r="BS1438" s="24"/>
      <c r="BT1438" s="24"/>
      <c r="BU1438" s="24"/>
      <c r="BV1438" s="132" t="e">
        <f>IF(#REF!="COMPLETO","OK","PENDIENTES")</f>
        <v>#REF!</v>
      </c>
      <c r="BW1438" s="132"/>
      <c r="BX1438" s="132"/>
      <c r="BY1438" s="132"/>
      <c r="BZ1438" s="132"/>
      <c r="CA1438" s="132"/>
      <c r="CB1438" s="132"/>
      <c r="CC1438" s="269"/>
      <c r="CG1438" s="24" t="s">
        <v>105</v>
      </c>
      <c r="CH1438" s="24"/>
      <c r="CI1438" s="24"/>
      <c r="CJ1438" s="24"/>
    </row>
    <row r="1439" spans="1:88" ht="15" customHeight="1">
      <c r="A1439" s="18">
        <v>2021</v>
      </c>
      <c r="B1439" s="18" t="str">
        <f>+INDEX(BDD!F:F,MATCH(P1439,BDD!D:D,0))&amp;"-"&amp;INDEX(BDD!E:E,MATCH(P1439,BDD!D:D,0))</f>
        <v>G-S</v>
      </c>
      <c r="C1439" s="125" t="s">
        <v>484</v>
      </c>
      <c r="D1439" s="150" t="s">
        <v>77</v>
      </c>
      <c r="E1439" s="132"/>
      <c r="F1439" s="24"/>
      <c r="G1439" s="346">
        <v>8000001342</v>
      </c>
      <c r="H1439" s="125" t="s">
        <v>5540</v>
      </c>
      <c r="I1439" s="329"/>
      <c r="J1439" s="346">
        <v>8000001342</v>
      </c>
      <c r="K1439" s="24"/>
      <c r="L1439" s="24"/>
      <c r="M1439" s="24"/>
      <c r="N1439" s="340" t="s">
        <v>486</v>
      </c>
      <c r="O1439" s="334">
        <v>208300</v>
      </c>
      <c r="P1439" s="25" t="s">
        <v>332</v>
      </c>
      <c r="Q1439" s="127" t="s">
        <v>273</v>
      </c>
      <c r="R1439" s="232" t="s">
        <v>5533</v>
      </c>
      <c r="S1439" s="89">
        <v>44285</v>
      </c>
      <c r="T1439" s="36" t="s">
        <v>19</v>
      </c>
      <c r="U1439" s="125"/>
      <c r="V1439" s="147" t="s">
        <v>5541</v>
      </c>
      <c r="W1439" s="129"/>
      <c r="X1439" s="88">
        <v>44309</v>
      </c>
      <c r="Y1439" s="130" t="s">
        <v>20</v>
      </c>
      <c r="Z1439" s="133" t="s">
        <v>60</v>
      </c>
      <c r="AA1439" s="133"/>
      <c r="AB1439" s="241">
        <v>350</v>
      </c>
      <c r="AC1439" s="134">
        <v>219</v>
      </c>
      <c r="AD1439" s="134"/>
      <c r="AE1439" s="403">
        <f t="shared" si="81"/>
        <v>76650</v>
      </c>
      <c r="AF1439" s="132"/>
      <c r="AG1439" s="130" t="s">
        <v>46</v>
      </c>
      <c r="AH1439" s="130"/>
      <c r="AI1439" s="130" t="s">
        <v>100</v>
      </c>
      <c r="AJ1439" s="130"/>
      <c r="AK1439" s="130"/>
      <c r="AL1439" s="135" t="s">
        <v>5535</v>
      </c>
      <c r="AM1439" s="314"/>
      <c r="AN1439" s="26"/>
      <c r="AO1439" s="26"/>
      <c r="AP1439" s="26"/>
      <c r="AQ1439" s="26">
        <v>44356</v>
      </c>
      <c r="AR1439" s="24"/>
      <c r="AS1439" s="24"/>
      <c r="AT1439" s="24">
        <v>44363</v>
      </c>
      <c r="AU1439" s="418">
        <f t="shared" si="82"/>
        <v>6</v>
      </c>
      <c r="AV1439" s="418">
        <f t="shared" si="83"/>
        <v>2021</v>
      </c>
      <c r="AW1439" s="24"/>
      <c r="AX1439" s="24"/>
      <c r="AY1439" s="24" t="s">
        <v>3437</v>
      </c>
      <c r="AZ1439" s="24" t="s">
        <v>37</v>
      </c>
      <c r="BA1439" s="24"/>
      <c r="BB1439" s="24" t="s">
        <v>3291</v>
      </c>
      <c r="BC1439" s="135" t="s">
        <v>5542</v>
      </c>
      <c r="BD1439" s="24">
        <v>44292</v>
      </c>
      <c r="BE1439" s="24" t="s">
        <v>5219</v>
      </c>
      <c r="BF1439" s="24" t="s">
        <v>5219</v>
      </c>
      <c r="BG1439" s="135" t="s">
        <v>52</v>
      </c>
      <c r="BH1439" s="135"/>
      <c r="BI1439" s="314" t="s">
        <v>117</v>
      </c>
      <c r="BJ1439" s="314" t="s">
        <v>143</v>
      </c>
      <c r="BK1439" s="24"/>
      <c r="BL1439" s="24"/>
      <c r="BM1439" s="24"/>
      <c r="BN1439" s="24"/>
      <c r="BO1439" s="24"/>
      <c r="BP1439" s="24"/>
      <c r="BQ1439" s="24"/>
      <c r="BR1439" s="24"/>
      <c r="BS1439" s="24"/>
      <c r="BT1439" s="24"/>
      <c r="BU1439" s="24"/>
      <c r="BV1439" s="132" t="e">
        <f>IF(#REF!="COMPLETO","OK","PENDIENTES")</f>
        <v>#REF!</v>
      </c>
      <c r="BW1439" s="132"/>
      <c r="BX1439" s="132"/>
      <c r="BY1439" s="132"/>
      <c r="BZ1439" s="132"/>
      <c r="CA1439" s="132"/>
      <c r="CB1439" s="132"/>
      <c r="CC1439" s="269"/>
      <c r="CG1439" s="24" t="s">
        <v>105</v>
      </c>
      <c r="CH1439" s="24"/>
      <c r="CI1439" s="24"/>
      <c r="CJ1439" s="24"/>
    </row>
    <row r="1440" spans="1:88" ht="15" customHeight="1">
      <c r="A1440" s="18">
        <v>2021</v>
      </c>
      <c r="B1440" s="18" t="str">
        <f>+INDEX(BDD!F:F,MATCH(P1440,BDD!D:D,0))&amp;"-"&amp;INDEX(BDD!E:E,MATCH(P1440,BDD!D:D,0))</f>
        <v>G-S</v>
      </c>
      <c r="C1440" s="125" t="s">
        <v>484</v>
      </c>
      <c r="D1440" s="150" t="s">
        <v>77</v>
      </c>
      <c r="E1440" s="132"/>
      <c r="F1440" s="24"/>
      <c r="G1440" s="346">
        <v>8000001336</v>
      </c>
      <c r="H1440" s="125" t="s">
        <v>5543</v>
      </c>
      <c r="I1440" s="329"/>
      <c r="J1440" s="346">
        <v>8000001336</v>
      </c>
      <c r="K1440" s="24"/>
      <c r="L1440" s="24"/>
      <c r="M1440" s="24"/>
      <c r="N1440" s="340" t="s">
        <v>486</v>
      </c>
      <c r="O1440" s="334">
        <v>208300</v>
      </c>
      <c r="P1440" s="25" t="s">
        <v>332</v>
      </c>
      <c r="Q1440" s="127" t="s">
        <v>273</v>
      </c>
      <c r="R1440" s="232" t="s">
        <v>5533</v>
      </c>
      <c r="S1440" s="89">
        <v>44285</v>
      </c>
      <c r="T1440" s="36" t="s">
        <v>19</v>
      </c>
      <c r="U1440" s="125"/>
      <c r="V1440" s="147" t="s">
        <v>5544</v>
      </c>
      <c r="W1440" s="129"/>
      <c r="X1440" s="88">
        <v>44309</v>
      </c>
      <c r="Y1440" s="130" t="s">
        <v>20</v>
      </c>
      <c r="Z1440" s="133" t="s">
        <v>60</v>
      </c>
      <c r="AA1440" s="133"/>
      <c r="AB1440" s="241">
        <v>480</v>
      </c>
      <c r="AC1440" s="134">
        <v>219</v>
      </c>
      <c r="AD1440" s="134"/>
      <c r="AE1440" s="403">
        <f t="shared" si="81"/>
        <v>105120</v>
      </c>
      <c r="AF1440" s="132"/>
      <c r="AG1440" s="130" t="s">
        <v>46</v>
      </c>
      <c r="AH1440" s="130"/>
      <c r="AI1440" s="130" t="s">
        <v>100</v>
      </c>
      <c r="AJ1440" s="130"/>
      <c r="AK1440" s="130"/>
      <c r="AL1440" s="135" t="s">
        <v>5535</v>
      </c>
      <c r="AM1440" s="314"/>
      <c r="AN1440" s="26"/>
      <c r="AO1440" s="26"/>
      <c r="AP1440" s="26"/>
      <c r="AQ1440" s="26">
        <f>+AQ1355</f>
        <v>44354</v>
      </c>
      <c r="AR1440" s="24"/>
      <c r="AS1440" s="24"/>
      <c r="AT1440" s="24">
        <v>44355</v>
      </c>
      <c r="AU1440" s="418">
        <f t="shared" si="82"/>
        <v>6</v>
      </c>
      <c r="AV1440" s="418">
        <f t="shared" si="83"/>
        <v>2021</v>
      </c>
      <c r="AW1440" s="24"/>
      <c r="AX1440" s="24"/>
      <c r="AY1440" s="24" t="s">
        <v>3437</v>
      </c>
      <c r="AZ1440" s="24" t="s">
        <v>62</v>
      </c>
      <c r="BA1440" s="24"/>
      <c r="BB1440" s="24" t="s">
        <v>3264</v>
      </c>
      <c r="BC1440" s="135" t="s">
        <v>5545</v>
      </c>
      <c r="BD1440" s="24">
        <v>44292</v>
      </c>
      <c r="BE1440" s="24" t="s">
        <v>5219</v>
      </c>
      <c r="BF1440" s="24" t="s">
        <v>5219</v>
      </c>
      <c r="BG1440" s="135" t="s">
        <v>52</v>
      </c>
      <c r="BH1440" s="135"/>
      <c r="BI1440" s="314" t="s">
        <v>117</v>
      </c>
      <c r="BJ1440" s="314" t="s">
        <v>143</v>
      </c>
      <c r="BK1440" s="24"/>
      <c r="BL1440" s="24"/>
      <c r="BM1440" s="24"/>
      <c r="BN1440" s="24"/>
      <c r="BO1440" s="24"/>
      <c r="BP1440" s="24"/>
      <c r="BQ1440" s="24"/>
      <c r="BR1440" s="24"/>
      <c r="BS1440" s="24"/>
      <c r="BT1440" s="24"/>
      <c r="BU1440" s="24"/>
      <c r="BV1440" s="132" t="e">
        <f>IF(#REF!="COMPLETO","OK","PENDIENTES")</f>
        <v>#REF!</v>
      </c>
      <c r="BW1440" s="132"/>
      <c r="BX1440" s="132"/>
      <c r="BY1440" s="132"/>
      <c r="BZ1440" s="132"/>
      <c r="CA1440" s="132"/>
      <c r="CB1440" s="132"/>
      <c r="CC1440" s="269"/>
      <c r="CG1440" s="24" t="s">
        <v>105</v>
      </c>
      <c r="CH1440" s="24"/>
      <c r="CI1440" s="24"/>
      <c r="CJ1440" s="24"/>
    </row>
    <row r="1441" spans="1:88" ht="15" customHeight="1">
      <c r="A1441" s="18">
        <v>2021</v>
      </c>
      <c r="B1441" s="18" t="str">
        <f>+INDEX(BDD!F:F,MATCH(P1441,BDD!D:D,0))&amp;"-"&amp;INDEX(BDD!E:E,MATCH(P1441,BDD!D:D,0))</f>
        <v>E-S</v>
      </c>
      <c r="C1441" s="125" t="s">
        <v>484</v>
      </c>
      <c r="D1441" s="150" t="s">
        <v>77</v>
      </c>
      <c r="E1441" s="132"/>
      <c r="F1441" s="24"/>
      <c r="G1441" s="346">
        <v>8000001410</v>
      </c>
      <c r="H1441" s="125" t="s">
        <v>5546</v>
      </c>
      <c r="I1441" s="329"/>
      <c r="J1441" s="346">
        <v>8000001410</v>
      </c>
      <c r="K1441" s="24"/>
      <c r="L1441" s="24"/>
      <c r="M1441" s="24"/>
      <c r="N1441" s="340" t="s">
        <v>486</v>
      </c>
      <c r="O1441" s="334">
        <v>206613</v>
      </c>
      <c r="P1441" s="25" t="s">
        <v>304</v>
      </c>
      <c r="Q1441" s="127" t="s">
        <v>183</v>
      </c>
      <c r="R1441" s="232" t="s">
        <v>5547</v>
      </c>
      <c r="S1441" s="89">
        <v>44286</v>
      </c>
      <c r="T1441" s="36" t="s">
        <v>19</v>
      </c>
      <c r="U1441" s="125"/>
      <c r="V1441" s="147" t="s">
        <v>5548</v>
      </c>
      <c r="W1441" s="129"/>
      <c r="X1441" s="88">
        <v>44355</v>
      </c>
      <c r="Y1441" s="130" t="s">
        <v>20</v>
      </c>
      <c r="Z1441" s="133" t="s">
        <v>60</v>
      </c>
      <c r="AA1441" s="133"/>
      <c r="AB1441" s="241">
        <v>95.76</v>
      </c>
      <c r="AC1441" s="134">
        <v>280</v>
      </c>
      <c r="AD1441" s="134"/>
      <c r="AE1441" s="403">
        <f t="shared" si="81"/>
        <v>26812.800000000003</v>
      </c>
      <c r="AF1441" s="132">
        <v>4</v>
      </c>
      <c r="AG1441" s="130" t="s">
        <v>5</v>
      </c>
      <c r="AH1441" s="130"/>
      <c r="AI1441" s="130" t="s">
        <v>100</v>
      </c>
      <c r="AJ1441" s="130"/>
      <c r="AK1441" s="130"/>
      <c r="AL1441" s="135" t="s">
        <v>5156</v>
      </c>
      <c r="AM1441" s="314"/>
      <c r="AN1441" s="26"/>
      <c r="AO1441" s="26"/>
      <c r="AP1441" s="26"/>
      <c r="AQ1441" s="26">
        <v>44389</v>
      </c>
      <c r="AR1441" s="24"/>
      <c r="AS1441" s="24"/>
      <c r="AT1441" s="24">
        <v>44392</v>
      </c>
      <c r="AU1441" s="418">
        <f t="shared" si="82"/>
        <v>7</v>
      </c>
      <c r="AV1441" s="418">
        <f t="shared" si="83"/>
        <v>2021</v>
      </c>
      <c r="AW1441" s="24"/>
      <c r="AX1441" s="24"/>
      <c r="AY1441" s="24" t="s">
        <v>4781</v>
      </c>
      <c r="AZ1441" s="24" t="s">
        <v>37</v>
      </c>
      <c r="BA1441" s="24"/>
      <c r="BB1441" s="24" t="s">
        <v>3593</v>
      </c>
      <c r="BC1441" s="135" t="s">
        <v>5549</v>
      </c>
      <c r="BD1441" s="24">
        <v>44354</v>
      </c>
      <c r="BE1441" s="24" t="s">
        <v>5550</v>
      </c>
      <c r="BF1441" s="24" t="s">
        <v>2521</v>
      </c>
      <c r="BG1441" s="135" t="s">
        <v>65</v>
      </c>
      <c r="BH1441" s="135"/>
      <c r="BI1441" s="314" t="s">
        <v>124</v>
      </c>
      <c r="BJ1441" s="314" t="s">
        <v>143</v>
      </c>
      <c r="BK1441" s="24"/>
      <c r="BL1441" s="24"/>
      <c r="BM1441" s="24"/>
      <c r="BN1441" s="24"/>
      <c r="BO1441" s="24">
        <v>44402</v>
      </c>
      <c r="BP1441" s="24"/>
      <c r="BQ1441" s="24"/>
      <c r="BR1441" s="24"/>
      <c r="BS1441" s="24"/>
      <c r="BT1441" s="24"/>
      <c r="BU1441" s="24"/>
      <c r="BV1441" s="132" t="e">
        <f>IF(#REF!="COMPLETO","OK","PENDIENTES")</f>
        <v>#REF!</v>
      </c>
      <c r="BW1441" s="132"/>
      <c r="BX1441" s="132"/>
      <c r="BY1441" s="132"/>
      <c r="BZ1441" s="132"/>
      <c r="CA1441" s="132"/>
      <c r="CB1441" s="132"/>
      <c r="CC1441" s="269"/>
      <c r="CG1441" s="24" t="s">
        <v>105</v>
      </c>
      <c r="CH1441" s="24"/>
      <c r="CI1441" s="24"/>
      <c r="CJ1441" s="24"/>
    </row>
    <row r="1442" spans="1:88" ht="15" customHeight="1">
      <c r="A1442" s="18">
        <v>2021</v>
      </c>
      <c r="B1442" s="18" t="str">
        <f>+INDEX(BDD!F:F,MATCH(P1442,BDD!D:D,0))&amp;"-"&amp;INDEX(BDD!E:E,MATCH(P1442,BDD!D:D,0))</f>
        <v>E-S</v>
      </c>
      <c r="C1442" s="125" t="s">
        <v>484</v>
      </c>
      <c r="D1442" s="150" t="s">
        <v>77</v>
      </c>
      <c r="E1442" s="132"/>
      <c r="F1442" s="24"/>
      <c r="G1442" s="346">
        <v>8000001424</v>
      </c>
      <c r="H1442" s="125" t="s">
        <v>5551</v>
      </c>
      <c r="I1442" s="329"/>
      <c r="J1442" s="346">
        <v>8000001424</v>
      </c>
      <c r="K1442" s="24"/>
      <c r="L1442" s="24"/>
      <c r="M1442" s="24"/>
      <c r="N1442" s="340" t="s">
        <v>486</v>
      </c>
      <c r="O1442" s="334">
        <v>206613</v>
      </c>
      <c r="P1442" s="25" t="s">
        <v>304</v>
      </c>
      <c r="Q1442" s="127" t="s">
        <v>183</v>
      </c>
      <c r="R1442" s="232" t="s">
        <v>5552</v>
      </c>
      <c r="S1442" s="89">
        <v>44286</v>
      </c>
      <c r="T1442" s="36" t="s">
        <v>19</v>
      </c>
      <c r="U1442" s="125"/>
      <c r="V1442" s="147" t="s">
        <v>5553</v>
      </c>
      <c r="W1442" s="129"/>
      <c r="X1442" s="88">
        <v>44355</v>
      </c>
      <c r="Y1442" s="130" t="s">
        <v>20</v>
      </c>
      <c r="Z1442" s="133" t="s">
        <v>60</v>
      </c>
      <c r="AA1442" s="133"/>
      <c r="AB1442" s="241">
        <v>374.28</v>
      </c>
      <c r="AC1442" s="134">
        <v>280</v>
      </c>
      <c r="AD1442" s="134"/>
      <c r="AE1442" s="403">
        <f t="shared" si="81"/>
        <v>104798.39999999999</v>
      </c>
      <c r="AF1442" s="132">
        <v>15</v>
      </c>
      <c r="AG1442" s="130" t="s">
        <v>5</v>
      </c>
      <c r="AH1442" s="130"/>
      <c r="AI1442" s="130" t="s">
        <v>100</v>
      </c>
      <c r="AJ1442" s="130"/>
      <c r="AK1442" s="130"/>
      <c r="AL1442" s="135" t="s">
        <v>5156</v>
      </c>
      <c r="AM1442" s="314"/>
      <c r="AN1442" s="26"/>
      <c r="AO1442" s="26"/>
      <c r="AP1442" s="26"/>
      <c r="AQ1442" s="26">
        <v>44393</v>
      </c>
      <c r="AR1442" s="24"/>
      <c r="AS1442" s="24"/>
      <c r="AT1442" s="24">
        <v>44400</v>
      </c>
      <c r="AU1442" s="418">
        <f t="shared" si="82"/>
        <v>7</v>
      </c>
      <c r="AV1442" s="418">
        <f t="shared" si="83"/>
        <v>2021</v>
      </c>
      <c r="AW1442" s="24"/>
      <c r="AX1442" s="24"/>
      <c r="AY1442" s="24" t="s">
        <v>4781</v>
      </c>
      <c r="AZ1442" s="24" t="s">
        <v>9</v>
      </c>
      <c r="BA1442" s="24"/>
      <c r="BB1442" s="24" t="s">
        <v>3519</v>
      </c>
      <c r="BC1442" s="135" t="s">
        <v>5554</v>
      </c>
      <c r="BD1442" s="24">
        <v>44348</v>
      </c>
      <c r="BE1442" s="24" t="s">
        <v>5550</v>
      </c>
      <c r="BF1442" s="24" t="s">
        <v>3276</v>
      </c>
      <c r="BG1442" s="135" t="s">
        <v>65</v>
      </c>
      <c r="BH1442" s="135"/>
      <c r="BI1442" s="314" t="s">
        <v>124</v>
      </c>
      <c r="BJ1442" s="314" t="s">
        <v>143</v>
      </c>
      <c r="BK1442" s="24"/>
      <c r="BL1442" s="24"/>
      <c r="BM1442" s="24"/>
      <c r="BN1442" s="24"/>
      <c r="BO1442" s="24">
        <v>44406</v>
      </c>
      <c r="BP1442" s="24"/>
      <c r="BQ1442" s="24"/>
      <c r="BR1442" s="24"/>
      <c r="BS1442" s="24"/>
      <c r="BT1442" s="24"/>
      <c r="BU1442" s="24"/>
      <c r="BV1442" s="132" t="e">
        <f>IF(#REF!="COMPLETO","OK","PENDIENTES")</f>
        <v>#REF!</v>
      </c>
      <c r="BW1442" s="132"/>
      <c r="BX1442" s="132"/>
      <c r="BY1442" s="132"/>
      <c r="BZ1442" s="132"/>
      <c r="CA1442" s="132"/>
      <c r="CB1442" s="132"/>
      <c r="CC1442" s="269"/>
      <c r="CG1442" s="24" t="s">
        <v>105</v>
      </c>
      <c r="CH1442" s="24"/>
      <c r="CI1442" s="24"/>
      <c r="CJ1442" s="24"/>
    </row>
    <row r="1443" spans="1:88" ht="15" customHeight="1">
      <c r="A1443" s="18">
        <v>2021</v>
      </c>
      <c r="B1443" s="18" t="str">
        <f>+INDEX(BDD!F:F,MATCH(P1443,BDD!D:D,0))&amp;"-"&amp;INDEX(BDD!E:E,MATCH(P1443,BDD!D:D,0))</f>
        <v>E-S</v>
      </c>
      <c r="C1443" s="125" t="s">
        <v>484</v>
      </c>
      <c r="D1443" s="150" t="s">
        <v>77</v>
      </c>
      <c r="E1443" s="132"/>
      <c r="F1443" s="24"/>
      <c r="G1443" s="346">
        <v>8000001462</v>
      </c>
      <c r="H1443" s="125" t="s">
        <v>5555</v>
      </c>
      <c r="I1443" s="329"/>
      <c r="J1443" s="346">
        <v>8000001462</v>
      </c>
      <c r="K1443" s="24"/>
      <c r="L1443" s="24">
        <v>44427</v>
      </c>
      <c r="M1443" s="24">
        <v>44427</v>
      </c>
      <c r="N1443" s="340" t="s">
        <v>486</v>
      </c>
      <c r="O1443" s="334">
        <v>206613</v>
      </c>
      <c r="P1443" s="25" t="s">
        <v>304</v>
      </c>
      <c r="Q1443" s="127" t="s">
        <v>183</v>
      </c>
      <c r="R1443" s="232" t="s">
        <v>5552</v>
      </c>
      <c r="S1443" s="89">
        <v>44286</v>
      </c>
      <c r="T1443" s="36" t="s">
        <v>19</v>
      </c>
      <c r="U1443" s="125"/>
      <c r="V1443" s="147" t="s">
        <v>5556</v>
      </c>
      <c r="W1443" s="129"/>
      <c r="X1443" s="88">
        <f>+BD1443+7</f>
        <v>44383</v>
      </c>
      <c r="Y1443" s="130" t="s">
        <v>20</v>
      </c>
      <c r="Z1443" s="133" t="s">
        <v>60</v>
      </c>
      <c r="AA1443" s="133"/>
      <c r="AB1443" s="241">
        <v>24.34</v>
      </c>
      <c r="AC1443" s="134">
        <v>280</v>
      </c>
      <c r="AD1443" s="134"/>
      <c r="AE1443" s="403">
        <f t="shared" si="81"/>
        <v>6815.2</v>
      </c>
      <c r="AF1443" s="132">
        <v>1</v>
      </c>
      <c r="AG1443" s="130" t="s">
        <v>5</v>
      </c>
      <c r="AH1443" s="130"/>
      <c r="AI1443" s="130" t="s">
        <v>100</v>
      </c>
      <c r="AJ1443" s="130"/>
      <c r="AK1443" s="130"/>
      <c r="AL1443" s="135" t="s">
        <v>5156</v>
      </c>
      <c r="AM1443" s="314"/>
      <c r="AN1443" s="26"/>
      <c r="AO1443" s="26">
        <v>44376</v>
      </c>
      <c r="AP1443" s="26"/>
      <c r="AQ1443" s="26">
        <v>44422</v>
      </c>
      <c r="AR1443" s="41"/>
      <c r="AS1443" s="24"/>
      <c r="AT1443" s="24">
        <v>44426</v>
      </c>
      <c r="AU1443" s="418">
        <f t="shared" si="82"/>
        <v>8</v>
      </c>
      <c r="AV1443" s="418">
        <f t="shared" si="83"/>
        <v>2021</v>
      </c>
      <c r="AW1443" s="24"/>
      <c r="AX1443" s="24"/>
      <c r="AY1443" s="24" t="s">
        <v>4781</v>
      </c>
      <c r="AZ1443" s="24" t="s">
        <v>9</v>
      </c>
      <c r="BA1443" s="24"/>
      <c r="BB1443" s="24" t="s">
        <v>3264</v>
      </c>
      <c r="BC1443" s="135" t="s">
        <v>5557</v>
      </c>
      <c r="BD1443" s="24">
        <v>44376</v>
      </c>
      <c r="BE1443" s="24" t="s">
        <v>4782</v>
      </c>
      <c r="BF1443" s="24" t="s">
        <v>5558</v>
      </c>
      <c r="BG1443" s="135" t="s">
        <v>65</v>
      </c>
      <c r="BH1443" s="135"/>
      <c r="BI1443" s="314" t="s">
        <v>124</v>
      </c>
      <c r="BJ1443" s="314" t="s">
        <v>148</v>
      </c>
      <c r="BK1443" s="24"/>
      <c r="BL1443" s="24"/>
      <c r="BM1443" s="24"/>
      <c r="BN1443" s="24"/>
      <c r="BO1443" s="24"/>
      <c r="BP1443" s="24"/>
      <c r="BQ1443" s="24"/>
      <c r="BR1443" s="24"/>
      <c r="BS1443" s="24"/>
      <c r="BT1443" s="24"/>
      <c r="BU1443" s="24"/>
      <c r="BV1443" s="132" t="e">
        <f>IF(#REF!="COMPLETO","OK","PENDIENTES")</f>
        <v>#REF!</v>
      </c>
      <c r="BW1443" s="132"/>
      <c r="BX1443" s="132"/>
      <c r="BY1443" s="132"/>
      <c r="BZ1443" s="132"/>
      <c r="CA1443" s="132"/>
      <c r="CB1443" s="132"/>
      <c r="CC1443" s="269"/>
      <c r="CG1443" s="24" t="s">
        <v>105</v>
      </c>
      <c r="CH1443" s="24"/>
      <c r="CI1443" s="24"/>
      <c r="CJ1443" s="24"/>
    </row>
    <row r="1444" spans="1:88" ht="15" customHeight="1">
      <c r="A1444" s="18">
        <v>2021</v>
      </c>
      <c r="B1444" s="18" t="str">
        <f>+INDEX(BDD!F:F,MATCH(P1444,BDD!D:D,0))&amp;"-"&amp;INDEX(BDD!E:E,MATCH(P1444,BDD!D:D,0))</f>
        <v>E-S</v>
      </c>
      <c r="C1444" s="125" t="s">
        <v>484</v>
      </c>
      <c r="D1444" s="150" t="s">
        <v>77</v>
      </c>
      <c r="E1444" s="132"/>
      <c r="F1444" s="24"/>
      <c r="G1444" s="346">
        <v>8000001317</v>
      </c>
      <c r="H1444" s="125" t="s">
        <v>5559</v>
      </c>
      <c r="I1444" s="329"/>
      <c r="J1444" s="346">
        <v>8000001317</v>
      </c>
      <c r="K1444" s="24"/>
      <c r="L1444" s="24"/>
      <c r="M1444" s="24"/>
      <c r="N1444" s="340" t="s">
        <v>486</v>
      </c>
      <c r="O1444" s="334">
        <v>207522</v>
      </c>
      <c r="P1444" s="25" t="s">
        <v>298</v>
      </c>
      <c r="Q1444" s="127" t="s">
        <v>183</v>
      </c>
      <c r="R1444" s="232" t="s">
        <v>5560</v>
      </c>
      <c r="S1444" s="89">
        <v>44285</v>
      </c>
      <c r="T1444" s="36" t="s">
        <v>19</v>
      </c>
      <c r="U1444" s="125"/>
      <c r="V1444" s="147" t="s">
        <v>5561</v>
      </c>
      <c r="W1444" s="129"/>
      <c r="X1444" s="88">
        <v>44316</v>
      </c>
      <c r="Y1444" s="130" t="s">
        <v>20</v>
      </c>
      <c r="Z1444" s="133" t="s">
        <v>60</v>
      </c>
      <c r="AA1444" s="133"/>
      <c r="AB1444" s="241">
        <v>200.48</v>
      </c>
      <c r="AC1444" s="134">
        <v>265</v>
      </c>
      <c r="AD1444" s="134"/>
      <c r="AE1444" s="403">
        <f t="shared" si="81"/>
        <v>53127.199999999997</v>
      </c>
      <c r="AF1444" s="132">
        <v>8</v>
      </c>
      <c r="AG1444" s="130" t="s">
        <v>5</v>
      </c>
      <c r="AH1444" s="130"/>
      <c r="AI1444" s="130" t="s">
        <v>100</v>
      </c>
      <c r="AJ1444" s="130"/>
      <c r="AK1444" s="130"/>
      <c r="AL1444" s="135" t="s">
        <v>5156</v>
      </c>
      <c r="AM1444" s="314"/>
      <c r="AN1444" s="26"/>
      <c r="AO1444" s="26"/>
      <c r="AP1444" s="26"/>
      <c r="AQ1444" s="26">
        <v>44338</v>
      </c>
      <c r="AR1444" s="24"/>
      <c r="AS1444" s="24"/>
      <c r="AT1444" s="24">
        <v>44340</v>
      </c>
      <c r="AU1444" s="418">
        <f t="shared" si="82"/>
        <v>5</v>
      </c>
      <c r="AV1444" s="418">
        <f t="shared" si="83"/>
        <v>2021</v>
      </c>
      <c r="AW1444" s="24"/>
      <c r="AX1444" s="24"/>
      <c r="AY1444" s="24" t="s">
        <v>4781</v>
      </c>
      <c r="AZ1444" s="24" t="s">
        <v>37</v>
      </c>
      <c r="BA1444" s="24"/>
      <c r="BB1444" s="24" t="s">
        <v>5564</v>
      </c>
      <c r="BC1444" s="135" t="s">
        <v>5562</v>
      </c>
      <c r="BD1444" s="24">
        <v>44303</v>
      </c>
      <c r="BE1444" s="24" t="s">
        <v>5563</v>
      </c>
      <c r="BF1444" s="24" t="s">
        <v>5498</v>
      </c>
      <c r="BG1444" s="135" t="s">
        <v>65</v>
      </c>
      <c r="BH1444" s="135"/>
      <c r="BI1444" s="314" t="s">
        <v>124</v>
      </c>
      <c r="BJ1444" s="314" t="s">
        <v>143</v>
      </c>
      <c r="BK1444" s="24"/>
      <c r="BL1444" s="24"/>
      <c r="BM1444" s="24"/>
      <c r="BN1444" s="24"/>
      <c r="BO1444" s="24">
        <f>+AQ1444+14</f>
        <v>44352</v>
      </c>
      <c r="BP1444" s="24"/>
      <c r="BQ1444" s="24"/>
      <c r="BR1444" s="24"/>
      <c r="BS1444" s="24"/>
      <c r="BT1444" s="24"/>
      <c r="BU1444" s="24"/>
      <c r="BV1444" s="132" t="e">
        <f>IF(#REF!="COMPLETO","OK","PENDIENTES")</f>
        <v>#REF!</v>
      </c>
      <c r="BW1444" s="132"/>
      <c r="BX1444" s="132"/>
      <c r="BY1444" s="132"/>
      <c r="BZ1444" s="132"/>
      <c r="CA1444" s="132"/>
      <c r="CB1444" s="132"/>
      <c r="CC1444" s="269"/>
      <c r="CG1444" s="24" t="s">
        <v>105</v>
      </c>
      <c r="CH1444" s="24"/>
      <c r="CI1444" s="24"/>
      <c r="CJ1444" s="24"/>
    </row>
    <row r="1445" spans="1:88" ht="15" customHeight="1">
      <c r="A1445" s="18">
        <v>2021</v>
      </c>
      <c r="B1445" s="18" t="str">
        <f>+INDEX(BDD!F:F,MATCH(P1445,BDD!D:D,0))&amp;"-"&amp;INDEX(BDD!E:E,MATCH(P1445,BDD!D:D,0))</f>
        <v>O-S</v>
      </c>
      <c r="C1445" s="125" t="s">
        <v>484</v>
      </c>
      <c r="D1445" s="150" t="s">
        <v>77</v>
      </c>
      <c r="E1445" s="132"/>
      <c r="F1445" s="24"/>
      <c r="G1445" s="346">
        <v>8000001278</v>
      </c>
      <c r="H1445" s="125" t="s">
        <v>5565</v>
      </c>
      <c r="I1445" s="329"/>
      <c r="J1445" s="346">
        <v>8000001278</v>
      </c>
      <c r="K1445" s="24"/>
      <c r="L1445" s="24"/>
      <c r="M1445" s="24"/>
      <c r="N1445" s="340" t="s">
        <v>486</v>
      </c>
      <c r="O1445" s="334">
        <v>204750</v>
      </c>
      <c r="P1445" s="25" t="s">
        <v>390</v>
      </c>
      <c r="Q1445" s="127" t="s">
        <v>303</v>
      </c>
      <c r="R1445" s="232"/>
      <c r="S1445" s="89" t="s">
        <v>5152</v>
      </c>
      <c r="T1445" s="36" t="s">
        <v>19</v>
      </c>
      <c r="U1445" s="125"/>
      <c r="V1445" s="147" t="s">
        <v>5566</v>
      </c>
      <c r="W1445" s="129"/>
      <c r="X1445" s="88">
        <v>44322</v>
      </c>
      <c r="Y1445" s="130" t="s">
        <v>20</v>
      </c>
      <c r="Z1445" s="133" t="s">
        <v>60</v>
      </c>
      <c r="AA1445" s="133"/>
      <c r="AB1445" s="241">
        <v>110</v>
      </c>
      <c r="AC1445" s="134">
        <v>591</v>
      </c>
      <c r="AD1445" s="134"/>
      <c r="AE1445" s="403">
        <f t="shared" si="81"/>
        <v>65010</v>
      </c>
      <c r="AF1445" s="132">
        <v>5</v>
      </c>
      <c r="AG1445" s="130" t="s">
        <v>5</v>
      </c>
      <c r="AH1445" s="130"/>
      <c r="AI1445" s="130" t="s">
        <v>47</v>
      </c>
      <c r="AJ1445" s="130"/>
      <c r="AK1445" s="130"/>
      <c r="AL1445" s="135" t="s">
        <v>5152</v>
      </c>
      <c r="AM1445" s="314"/>
      <c r="AN1445" s="26"/>
      <c r="AO1445" s="26"/>
      <c r="AP1445" s="26"/>
      <c r="AQ1445" s="26">
        <v>44316</v>
      </c>
      <c r="AR1445" s="24"/>
      <c r="AS1445" s="24"/>
      <c r="AT1445" s="24">
        <v>44320</v>
      </c>
      <c r="AU1445" s="418">
        <f t="shared" si="82"/>
        <v>5</v>
      </c>
      <c r="AV1445" s="418">
        <f t="shared" si="83"/>
        <v>2021</v>
      </c>
      <c r="AW1445" s="24"/>
      <c r="AX1445" s="28"/>
      <c r="AY1445" s="28" t="s">
        <v>3415</v>
      </c>
      <c r="AZ1445" s="24" t="s">
        <v>37</v>
      </c>
      <c r="BA1445" s="24"/>
      <c r="BB1445" s="24" t="s">
        <v>3291</v>
      </c>
      <c r="BC1445" s="135" t="s">
        <v>5567</v>
      </c>
      <c r="BD1445" s="24">
        <v>44309</v>
      </c>
      <c r="BE1445" s="24" t="s">
        <v>4840</v>
      </c>
      <c r="BF1445" s="24" t="s">
        <v>4840</v>
      </c>
      <c r="BG1445" s="135" t="s">
        <v>41</v>
      </c>
      <c r="BH1445" s="135"/>
      <c r="BI1445" s="314" t="s">
        <v>124</v>
      </c>
      <c r="BJ1445" s="314" t="s">
        <v>143</v>
      </c>
      <c r="BK1445" s="24"/>
      <c r="BL1445" s="24"/>
      <c r="BM1445" s="24"/>
      <c r="BN1445" s="24"/>
      <c r="BO1445" s="24">
        <v>44323</v>
      </c>
      <c r="BP1445" s="24"/>
      <c r="BQ1445" s="24"/>
      <c r="BR1445" s="24"/>
      <c r="BS1445" s="24"/>
      <c r="BT1445" s="24"/>
      <c r="BU1445" s="24"/>
      <c r="BV1445" s="132" t="e">
        <f>IF(#REF!="COMPLETO","OK","PENDIENTES")</f>
        <v>#REF!</v>
      </c>
      <c r="BW1445" s="132"/>
      <c r="BX1445" s="132"/>
      <c r="BY1445" s="132"/>
      <c r="BZ1445" s="132"/>
      <c r="CA1445" s="132"/>
      <c r="CB1445" s="132"/>
      <c r="CC1445" s="269"/>
      <c r="CG1445" s="24" t="s">
        <v>105</v>
      </c>
      <c r="CH1445" s="24"/>
      <c r="CI1445" s="24"/>
      <c r="CJ1445" s="24"/>
    </row>
    <row r="1446" spans="1:88" ht="15" customHeight="1">
      <c r="A1446" s="18">
        <v>2021</v>
      </c>
      <c r="B1446" s="18" t="str">
        <f>+INDEX(BDD!F:F,MATCH(P1446,BDD!D:D,0))&amp;"-"&amp;INDEX(BDD!E:E,MATCH(P1446,BDD!D:D,0))</f>
        <v>O-S</v>
      </c>
      <c r="C1446" s="125" t="s">
        <v>484</v>
      </c>
      <c r="D1446" s="150" t="s">
        <v>77</v>
      </c>
      <c r="E1446" s="132"/>
      <c r="F1446" s="24"/>
      <c r="G1446" s="346">
        <v>8000001279</v>
      </c>
      <c r="H1446" s="125" t="s">
        <v>5568</v>
      </c>
      <c r="I1446" s="329"/>
      <c r="J1446" s="346">
        <v>8000001279</v>
      </c>
      <c r="K1446" s="24"/>
      <c r="L1446" s="24"/>
      <c r="M1446" s="24"/>
      <c r="N1446" s="340" t="s">
        <v>486</v>
      </c>
      <c r="O1446" s="334">
        <v>204750</v>
      </c>
      <c r="P1446" s="25" t="s">
        <v>390</v>
      </c>
      <c r="Q1446" s="127" t="s">
        <v>303</v>
      </c>
      <c r="R1446" s="232"/>
      <c r="S1446" s="89" t="s">
        <v>5152</v>
      </c>
      <c r="T1446" s="36" t="s">
        <v>19</v>
      </c>
      <c r="U1446" s="125"/>
      <c r="V1446" s="147" t="s">
        <v>5569</v>
      </c>
      <c r="W1446" s="129"/>
      <c r="X1446" s="88">
        <v>44322</v>
      </c>
      <c r="Y1446" s="130" t="s">
        <v>20</v>
      </c>
      <c r="Z1446" s="133" t="s">
        <v>60</v>
      </c>
      <c r="AA1446" s="133"/>
      <c r="AB1446" s="241">
        <v>396</v>
      </c>
      <c r="AC1446" s="134">
        <v>591</v>
      </c>
      <c r="AD1446" s="134"/>
      <c r="AE1446" s="403">
        <f t="shared" si="81"/>
        <v>234036</v>
      </c>
      <c r="AF1446" s="132">
        <v>18</v>
      </c>
      <c r="AG1446" s="130" t="s">
        <v>5</v>
      </c>
      <c r="AH1446" s="130"/>
      <c r="AI1446" s="130" t="s">
        <v>47</v>
      </c>
      <c r="AJ1446" s="130"/>
      <c r="AK1446" s="130"/>
      <c r="AL1446" s="135" t="s">
        <v>5152</v>
      </c>
      <c r="AM1446" s="314"/>
      <c r="AN1446" s="26"/>
      <c r="AO1446" s="26"/>
      <c r="AP1446" s="26"/>
      <c r="AQ1446" s="26">
        <v>44366</v>
      </c>
      <c r="AR1446" s="24"/>
      <c r="AS1446" s="24"/>
      <c r="AT1446" s="24">
        <v>44377</v>
      </c>
      <c r="AU1446" s="418">
        <f t="shared" si="82"/>
        <v>6</v>
      </c>
      <c r="AV1446" s="418">
        <f t="shared" si="83"/>
        <v>2021</v>
      </c>
      <c r="AW1446" s="24"/>
      <c r="AX1446" s="28"/>
      <c r="AY1446" s="28" t="s">
        <v>3415</v>
      </c>
      <c r="AZ1446" s="24" t="s">
        <v>62</v>
      </c>
      <c r="BA1446" s="24"/>
      <c r="BB1446" s="24" t="s">
        <v>3264</v>
      </c>
      <c r="BC1446" s="135" t="s">
        <v>5570</v>
      </c>
      <c r="BD1446" s="24">
        <v>44316</v>
      </c>
      <c r="BE1446" s="24" t="s">
        <v>1806</v>
      </c>
      <c r="BF1446" s="24" t="s">
        <v>1938</v>
      </c>
      <c r="BG1446" s="135" t="s">
        <v>29</v>
      </c>
      <c r="BH1446" s="135"/>
      <c r="BI1446" s="314" t="s">
        <v>124</v>
      </c>
      <c r="BJ1446" s="314" t="s">
        <v>148</v>
      </c>
      <c r="BK1446" s="24"/>
      <c r="BL1446" s="24"/>
      <c r="BM1446" s="24"/>
      <c r="BN1446" s="24"/>
      <c r="BO1446" s="24">
        <v>44386</v>
      </c>
      <c r="BP1446" s="24"/>
      <c r="BQ1446" s="24"/>
      <c r="BR1446" s="24"/>
      <c r="BS1446" s="24"/>
      <c r="BT1446" s="24"/>
      <c r="BU1446" s="24"/>
      <c r="BV1446" s="132" t="e">
        <f>IF(#REF!="COMPLETO","OK","PENDIENTES")</f>
        <v>#REF!</v>
      </c>
      <c r="BW1446" s="132"/>
      <c r="BX1446" s="132"/>
      <c r="BY1446" s="132"/>
      <c r="BZ1446" s="132"/>
      <c r="CA1446" s="132"/>
      <c r="CB1446" s="132"/>
      <c r="CC1446" s="269"/>
      <c r="CG1446" s="24" t="s">
        <v>105</v>
      </c>
      <c r="CH1446" s="24"/>
      <c r="CI1446" s="24"/>
      <c r="CJ1446" s="24"/>
    </row>
    <row r="1447" spans="1:88" ht="15" customHeight="1">
      <c r="A1447" s="18">
        <v>2021</v>
      </c>
      <c r="B1447" s="18" t="str">
        <f>+INDEX(BDD!F:F,MATCH(P1447,BDD!D:D,0))&amp;"-"&amp;INDEX(BDD!E:E,MATCH(P1447,BDD!D:D,0))</f>
        <v>G-C</v>
      </c>
      <c r="C1447" s="125" t="s">
        <v>484</v>
      </c>
      <c r="D1447" s="150" t="s">
        <v>77</v>
      </c>
      <c r="E1447" s="132"/>
      <c r="F1447" s="24"/>
      <c r="G1447" s="346">
        <v>8000001325</v>
      </c>
      <c r="H1447" s="125" t="s">
        <v>5571</v>
      </c>
      <c r="I1447" s="329"/>
      <c r="J1447" s="346">
        <v>8000001325</v>
      </c>
      <c r="K1447" s="24"/>
      <c r="L1447" s="24"/>
      <c r="M1447" s="24"/>
      <c r="N1447" s="340" t="s">
        <v>486</v>
      </c>
      <c r="O1447" s="334">
        <v>206573</v>
      </c>
      <c r="P1447" s="25" t="s">
        <v>226</v>
      </c>
      <c r="Q1447" s="127" t="s">
        <v>291</v>
      </c>
      <c r="R1447" s="232" t="s">
        <v>5572</v>
      </c>
      <c r="S1447" s="89">
        <v>44295</v>
      </c>
      <c r="T1447" s="36">
        <v>150</v>
      </c>
      <c r="U1447" s="125" t="s">
        <v>118</v>
      </c>
      <c r="V1447" s="147" t="s">
        <v>5573</v>
      </c>
      <c r="W1447" s="129"/>
      <c r="X1447" s="88">
        <f>+T1447+BD1447</f>
        <v>44467</v>
      </c>
      <c r="Y1447" s="130" t="s">
        <v>20</v>
      </c>
      <c r="Z1447" s="133" t="s">
        <v>60</v>
      </c>
      <c r="AA1447" s="133"/>
      <c r="AB1447" s="241">
        <v>440</v>
      </c>
      <c r="AC1447" s="134">
        <v>356.63</v>
      </c>
      <c r="AD1447" s="134">
        <v>69</v>
      </c>
      <c r="AE1447" s="403">
        <f t="shared" si="81"/>
        <v>156917.20000000001</v>
      </c>
      <c r="AF1447" s="132"/>
      <c r="AG1447" s="130" t="s">
        <v>46</v>
      </c>
      <c r="AH1447" s="130"/>
      <c r="AI1447" s="130" t="s">
        <v>100</v>
      </c>
      <c r="AJ1447" s="130"/>
      <c r="AK1447" s="130"/>
      <c r="AL1447" s="135" t="s">
        <v>5574</v>
      </c>
      <c r="AM1447" s="314"/>
      <c r="AN1447" s="26"/>
      <c r="AO1447" s="26"/>
      <c r="AP1447" s="26"/>
      <c r="AQ1447" s="26">
        <f>+AQ1370</f>
        <v>44349</v>
      </c>
      <c r="AR1447" s="41"/>
      <c r="AS1447" s="41"/>
      <c r="AT1447" s="24">
        <v>44352</v>
      </c>
      <c r="AU1447" s="418">
        <f t="shared" si="82"/>
        <v>6</v>
      </c>
      <c r="AV1447" s="418">
        <f t="shared" si="83"/>
        <v>2021</v>
      </c>
      <c r="AW1447" s="24"/>
      <c r="AX1447" s="24"/>
      <c r="AY1447" s="24" t="s">
        <v>269</v>
      </c>
      <c r="AZ1447" s="24" t="s">
        <v>9</v>
      </c>
      <c r="BA1447" s="24"/>
      <c r="BB1447" s="24" t="s">
        <v>3264</v>
      </c>
      <c r="BC1447" s="135">
        <v>6</v>
      </c>
      <c r="BD1447" s="24">
        <v>44317</v>
      </c>
      <c r="BE1447" s="24" t="s">
        <v>5288</v>
      </c>
      <c r="BF1447" s="24" t="s">
        <v>5288</v>
      </c>
      <c r="BG1447" s="135" t="s">
        <v>52</v>
      </c>
      <c r="BH1447" s="135"/>
      <c r="BI1447" s="314" t="s">
        <v>117</v>
      </c>
      <c r="BJ1447" s="314" t="s">
        <v>143</v>
      </c>
      <c r="BK1447" s="24"/>
      <c r="BL1447" s="24"/>
      <c r="BM1447" s="24"/>
      <c r="BN1447" s="24"/>
      <c r="BO1447" s="41">
        <f>AQ1447-BD1447</f>
        <v>32</v>
      </c>
      <c r="BP1447" s="41"/>
      <c r="BQ1447" s="41"/>
      <c r="BR1447" s="24"/>
      <c r="BS1447" s="41"/>
      <c r="BT1447" s="41"/>
      <c r="BU1447" s="41"/>
      <c r="BV1447" s="132" t="e">
        <f>IF(#REF!="COMPLETO","OK","PENDIENTES")</f>
        <v>#REF!</v>
      </c>
      <c r="BW1447" s="132"/>
      <c r="BX1447" s="132"/>
      <c r="BY1447" s="132"/>
      <c r="BZ1447" s="132"/>
      <c r="CA1447" s="132"/>
      <c r="CB1447" s="132"/>
      <c r="CC1447" s="269"/>
      <c r="CG1447" s="24" t="s">
        <v>105</v>
      </c>
      <c r="CH1447" s="24"/>
      <c r="CI1447" s="24"/>
      <c r="CJ1447" s="24"/>
    </row>
    <row r="1448" spans="1:88" ht="14.65" customHeight="1">
      <c r="A1448" s="18">
        <v>2021</v>
      </c>
      <c r="B1448" s="18" t="str">
        <f>+INDEX(BDD!F:F,MATCH(P1448,BDD!D:D,0))&amp;"-"&amp;INDEX(BDD!E:E,MATCH(P1448,BDD!D:D,0))</f>
        <v>G-C</v>
      </c>
      <c r="C1448" s="125" t="s">
        <v>484</v>
      </c>
      <c r="D1448" s="150" t="s">
        <v>77</v>
      </c>
      <c r="E1448" s="132"/>
      <c r="F1448" s="24"/>
      <c r="G1448" s="346">
        <v>8000001327</v>
      </c>
      <c r="H1448" s="125" t="s">
        <v>5575</v>
      </c>
      <c r="I1448" s="329"/>
      <c r="J1448" s="346">
        <v>8000001327</v>
      </c>
      <c r="K1448" s="24"/>
      <c r="L1448" s="24"/>
      <c r="M1448" s="24"/>
      <c r="N1448" s="340" t="s">
        <v>486</v>
      </c>
      <c r="O1448" s="334">
        <v>206573</v>
      </c>
      <c r="P1448" s="25" t="s">
        <v>226</v>
      </c>
      <c r="Q1448" s="127" t="s">
        <v>291</v>
      </c>
      <c r="R1448" s="232" t="s">
        <v>5572</v>
      </c>
      <c r="S1448" s="89">
        <v>44295</v>
      </c>
      <c r="T1448" s="36">
        <v>150</v>
      </c>
      <c r="U1448" s="125" t="s">
        <v>118</v>
      </c>
      <c r="V1448" s="147" t="s">
        <v>5576</v>
      </c>
      <c r="W1448" s="129"/>
      <c r="X1448" s="88">
        <f>+T1448+BD1448</f>
        <v>44467</v>
      </c>
      <c r="Y1448" s="130" t="s">
        <v>20</v>
      </c>
      <c r="Z1448" s="133" t="s">
        <v>60</v>
      </c>
      <c r="AA1448" s="133"/>
      <c r="AB1448" s="241">
        <v>1320</v>
      </c>
      <c r="AC1448" s="134">
        <v>356.63</v>
      </c>
      <c r="AD1448" s="134">
        <v>69</v>
      </c>
      <c r="AE1448" s="403">
        <f t="shared" si="81"/>
        <v>470751.6</v>
      </c>
      <c r="AF1448" s="132"/>
      <c r="AG1448" s="130" t="s">
        <v>46</v>
      </c>
      <c r="AH1448" s="130"/>
      <c r="AI1448" s="130" t="s">
        <v>100</v>
      </c>
      <c r="AJ1448" s="130"/>
      <c r="AK1448" s="130"/>
      <c r="AL1448" s="135" t="s">
        <v>5574</v>
      </c>
      <c r="AM1448" s="314"/>
      <c r="AN1448" s="26"/>
      <c r="AO1448" s="26"/>
      <c r="AP1448" s="26"/>
      <c r="AQ1448" s="26">
        <f>+AQ1371</f>
        <v>44352</v>
      </c>
      <c r="AR1448" s="41"/>
      <c r="AS1448" s="41"/>
      <c r="AT1448" s="24">
        <v>44356</v>
      </c>
      <c r="AU1448" s="418">
        <f t="shared" si="82"/>
        <v>6</v>
      </c>
      <c r="AV1448" s="418">
        <f t="shared" si="83"/>
        <v>2021</v>
      </c>
      <c r="AW1448" s="24"/>
      <c r="AX1448" s="24"/>
      <c r="AY1448" s="24" t="s">
        <v>269</v>
      </c>
      <c r="AZ1448" s="24" t="s">
        <v>25</v>
      </c>
      <c r="BA1448" s="24"/>
      <c r="BB1448" s="24" t="s">
        <v>3264</v>
      </c>
      <c r="BC1448" s="135">
        <v>7</v>
      </c>
      <c r="BD1448" s="24">
        <v>44317</v>
      </c>
      <c r="BE1448" s="24" t="s">
        <v>5288</v>
      </c>
      <c r="BF1448" s="24" t="s">
        <v>5288</v>
      </c>
      <c r="BG1448" s="135" t="s">
        <v>52</v>
      </c>
      <c r="BH1448" s="135"/>
      <c r="BI1448" s="314" t="s">
        <v>117</v>
      </c>
      <c r="BJ1448" s="314" t="s">
        <v>143</v>
      </c>
      <c r="BK1448" s="24"/>
      <c r="BL1448" s="24"/>
      <c r="BM1448" s="24"/>
      <c r="BN1448" s="24"/>
      <c r="BO1448" s="41">
        <f>AQ1448-BD1448</f>
        <v>35</v>
      </c>
      <c r="BP1448" s="41"/>
      <c r="BQ1448" s="41"/>
      <c r="BR1448" s="24"/>
      <c r="BS1448" s="41"/>
      <c r="BT1448" s="41"/>
      <c r="BU1448" s="41"/>
      <c r="BV1448" s="132" t="e">
        <f>IF(#REF!="COMPLETO","OK","PENDIENTES")</f>
        <v>#REF!</v>
      </c>
      <c r="BW1448" s="132"/>
      <c r="BX1448" s="132"/>
      <c r="BY1448" s="132"/>
      <c r="BZ1448" s="132"/>
      <c r="CA1448" s="132"/>
      <c r="CB1448" s="132"/>
      <c r="CC1448" s="269"/>
      <c r="CG1448" s="24" t="s">
        <v>105</v>
      </c>
      <c r="CH1448" s="24"/>
      <c r="CI1448" s="24"/>
      <c r="CJ1448" s="24"/>
    </row>
    <row r="1449" spans="1:88" ht="15" customHeight="1">
      <c r="A1449" s="18">
        <v>2021</v>
      </c>
      <c r="B1449" s="18" t="str">
        <f>+INDEX(BDD!F:F,MATCH(P1449,BDD!D:D,0))&amp;"-"&amp;INDEX(BDD!E:E,MATCH(P1449,BDD!D:D,0))</f>
        <v>G-C</v>
      </c>
      <c r="C1449" s="125" t="s">
        <v>484</v>
      </c>
      <c r="D1449" s="150" t="s">
        <v>77</v>
      </c>
      <c r="E1449" s="132"/>
      <c r="F1449" s="24"/>
      <c r="G1449" s="346">
        <v>8000001355</v>
      </c>
      <c r="H1449" s="125" t="s">
        <v>5577</v>
      </c>
      <c r="I1449" s="329"/>
      <c r="J1449" s="346">
        <v>8000001355</v>
      </c>
      <c r="K1449" s="24"/>
      <c r="L1449" s="24"/>
      <c r="M1449" s="24"/>
      <c r="N1449" s="340" t="s">
        <v>486</v>
      </c>
      <c r="O1449" s="334">
        <v>206573</v>
      </c>
      <c r="P1449" s="25" t="s">
        <v>226</v>
      </c>
      <c r="Q1449" s="127" t="s">
        <v>291</v>
      </c>
      <c r="R1449" s="232" t="s">
        <v>5572</v>
      </c>
      <c r="S1449" s="89">
        <v>44295</v>
      </c>
      <c r="T1449" s="36">
        <v>150</v>
      </c>
      <c r="U1449" s="125" t="s">
        <v>118</v>
      </c>
      <c r="V1449" s="147" t="s">
        <v>5578</v>
      </c>
      <c r="W1449" s="129"/>
      <c r="X1449" s="88">
        <f>+T1449+BD1449</f>
        <v>44467</v>
      </c>
      <c r="Y1449" s="130" t="s">
        <v>20</v>
      </c>
      <c r="Z1449" s="133" t="s">
        <v>60</v>
      </c>
      <c r="AA1449" s="133"/>
      <c r="AB1449" s="241">
        <v>1320</v>
      </c>
      <c r="AC1449" s="134">
        <v>356.63</v>
      </c>
      <c r="AD1449" s="134">
        <v>69</v>
      </c>
      <c r="AE1449" s="403">
        <f t="shared" si="81"/>
        <v>470751.6</v>
      </c>
      <c r="AF1449" s="132"/>
      <c r="AG1449" s="130" t="s">
        <v>46</v>
      </c>
      <c r="AH1449" s="130"/>
      <c r="AI1449" s="130" t="s">
        <v>100</v>
      </c>
      <c r="AJ1449" s="130"/>
      <c r="AK1449" s="130"/>
      <c r="AL1449" s="135" t="s">
        <v>5574</v>
      </c>
      <c r="AM1449" s="314"/>
      <c r="AN1449" s="26"/>
      <c r="AO1449" s="26"/>
      <c r="AP1449" s="26"/>
      <c r="AQ1449" s="26">
        <v>44359</v>
      </c>
      <c r="AR1449" s="41"/>
      <c r="AS1449" s="41"/>
      <c r="AT1449" s="24">
        <v>44363</v>
      </c>
      <c r="AU1449" s="418">
        <f t="shared" si="82"/>
        <v>6</v>
      </c>
      <c r="AV1449" s="418">
        <f t="shared" si="83"/>
        <v>2021</v>
      </c>
      <c r="AW1449" s="24"/>
      <c r="AX1449" s="24"/>
      <c r="AY1449" s="24" t="s">
        <v>269</v>
      </c>
      <c r="AZ1449" s="24" t="s">
        <v>50</v>
      </c>
      <c r="BA1449" s="24"/>
      <c r="BB1449" s="24" t="s">
        <v>2956</v>
      </c>
      <c r="BC1449" s="135">
        <v>8</v>
      </c>
      <c r="BD1449" s="24">
        <v>44317</v>
      </c>
      <c r="BE1449" s="24" t="s">
        <v>5288</v>
      </c>
      <c r="BF1449" s="24" t="s">
        <v>5288</v>
      </c>
      <c r="BG1449" s="135" t="s">
        <v>52</v>
      </c>
      <c r="BH1449" s="135"/>
      <c r="BI1449" s="314" t="s">
        <v>117</v>
      </c>
      <c r="BJ1449" s="314" t="s">
        <v>143</v>
      </c>
      <c r="BK1449" s="24"/>
      <c r="BL1449" s="24"/>
      <c r="BM1449" s="24"/>
      <c r="BN1449" s="24"/>
      <c r="BO1449" s="41">
        <f>AQ1449-BD1449</f>
        <v>42</v>
      </c>
      <c r="BP1449" s="41"/>
      <c r="BQ1449" s="41"/>
      <c r="BR1449" s="24"/>
      <c r="BS1449" s="41"/>
      <c r="BT1449" s="41"/>
      <c r="BU1449" s="41"/>
      <c r="BV1449" s="132" t="e">
        <f>IF(#REF!="COMPLETO","OK","PENDIENTES")</f>
        <v>#REF!</v>
      </c>
      <c r="BW1449" s="132"/>
      <c r="BX1449" s="132"/>
      <c r="BY1449" s="132"/>
      <c r="BZ1449" s="132"/>
      <c r="CA1449" s="132"/>
      <c r="CB1449" s="132"/>
      <c r="CC1449" s="269" t="s">
        <v>5579</v>
      </c>
      <c r="CG1449" s="24" t="s">
        <v>105</v>
      </c>
      <c r="CH1449" s="24"/>
      <c r="CI1449" s="24"/>
      <c r="CJ1449" s="24"/>
    </row>
    <row r="1450" spans="1:88" ht="15" customHeight="1">
      <c r="A1450" s="18">
        <v>2021</v>
      </c>
      <c r="B1450" s="18" t="str">
        <f>+INDEX(BDD!F:F,MATCH(P1450,BDD!D:D,0))&amp;"-"&amp;INDEX(BDD!E:E,MATCH(P1450,BDD!D:D,0))</f>
        <v>G-C</v>
      </c>
      <c r="C1450" s="125" t="s">
        <v>484</v>
      </c>
      <c r="D1450" s="150" t="s">
        <v>77</v>
      </c>
      <c r="E1450" s="132"/>
      <c r="F1450" s="24"/>
      <c r="G1450" s="346">
        <v>8000001331</v>
      </c>
      <c r="H1450" s="125" t="s">
        <v>5580</v>
      </c>
      <c r="I1450" s="329"/>
      <c r="J1450" s="346">
        <v>8000001331</v>
      </c>
      <c r="K1450" s="24"/>
      <c r="L1450" s="24"/>
      <c r="M1450" s="24"/>
      <c r="N1450" s="340" t="s">
        <v>486</v>
      </c>
      <c r="O1450" s="334">
        <v>206573</v>
      </c>
      <c r="P1450" s="25" t="s">
        <v>226</v>
      </c>
      <c r="Q1450" s="127" t="s">
        <v>291</v>
      </c>
      <c r="R1450" s="232" t="s">
        <v>5572</v>
      </c>
      <c r="S1450" s="89">
        <v>44295</v>
      </c>
      <c r="T1450" s="36">
        <v>150</v>
      </c>
      <c r="U1450" s="125" t="s">
        <v>118</v>
      </c>
      <c r="V1450" s="147" t="s">
        <v>5581</v>
      </c>
      <c r="W1450" s="129"/>
      <c r="X1450" s="88">
        <f>+T1450+BD1450</f>
        <v>44467</v>
      </c>
      <c r="Y1450" s="130" t="s">
        <v>20</v>
      </c>
      <c r="Z1450" s="133" t="s">
        <v>60</v>
      </c>
      <c r="AA1450" s="133"/>
      <c r="AB1450" s="241">
        <v>330</v>
      </c>
      <c r="AC1450" s="134">
        <v>356.63</v>
      </c>
      <c r="AD1450" s="134">
        <v>69</v>
      </c>
      <c r="AE1450" s="403">
        <f t="shared" si="81"/>
        <v>117687.9</v>
      </c>
      <c r="AF1450" s="132"/>
      <c r="AG1450" s="130" t="s">
        <v>46</v>
      </c>
      <c r="AH1450" s="130"/>
      <c r="AI1450" s="130" t="s">
        <v>100</v>
      </c>
      <c r="AJ1450" s="130"/>
      <c r="AK1450" s="130"/>
      <c r="AL1450" s="135" t="s">
        <v>5574</v>
      </c>
      <c r="AM1450" s="314"/>
      <c r="AN1450" s="26"/>
      <c r="AO1450" s="26"/>
      <c r="AP1450" s="26"/>
      <c r="AQ1450" s="26">
        <f>+AQ1373</f>
        <v>44359</v>
      </c>
      <c r="AR1450" s="41"/>
      <c r="AS1450" s="41"/>
      <c r="AT1450" s="24">
        <v>44363</v>
      </c>
      <c r="AU1450" s="418">
        <f t="shared" si="82"/>
        <v>6</v>
      </c>
      <c r="AV1450" s="418">
        <f t="shared" si="83"/>
        <v>2021</v>
      </c>
      <c r="AW1450" s="24"/>
      <c r="AX1450" s="24"/>
      <c r="AY1450" s="24" t="s">
        <v>269</v>
      </c>
      <c r="AZ1450" s="24" t="s">
        <v>50</v>
      </c>
      <c r="BA1450" s="24"/>
      <c r="BB1450" s="24" t="s">
        <v>2956</v>
      </c>
      <c r="BC1450" s="135">
        <v>9</v>
      </c>
      <c r="BD1450" s="24">
        <v>44317</v>
      </c>
      <c r="BE1450" s="24" t="s">
        <v>5288</v>
      </c>
      <c r="BF1450" s="24" t="s">
        <v>5288</v>
      </c>
      <c r="BG1450" s="135" t="s">
        <v>52</v>
      </c>
      <c r="BH1450" s="135"/>
      <c r="BI1450" s="314" t="s">
        <v>117</v>
      </c>
      <c r="BJ1450" s="314" t="s">
        <v>143</v>
      </c>
      <c r="BK1450" s="24"/>
      <c r="BL1450" s="24"/>
      <c r="BM1450" s="24"/>
      <c r="BN1450" s="24"/>
      <c r="BO1450" s="41">
        <f>AQ1450-BD1450</f>
        <v>42</v>
      </c>
      <c r="BP1450" s="41"/>
      <c r="BQ1450" s="41"/>
      <c r="BR1450" s="24"/>
      <c r="BS1450" s="41"/>
      <c r="BT1450" s="41"/>
      <c r="BU1450" s="41"/>
      <c r="BV1450" s="132" t="e">
        <f>IF(#REF!="COMPLETO","OK","PENDIENTES")</f>
        <v>#REF!</v>
      </c>
      <c r="BW1450" s="132"/>
      <c r="BX1450" s="132"/>
      <c r="BY1450" s="132"/>
      <c r="BZ1450" s="132"/>
      <c r="CA1450" s="132"/>
      <c r="CB1450" s="132"/>
      <c r="CC1450" s="269"/>
      <c r="CG1450" s="24" t="s">
        <v>105</v>
      </c>
      <c r="CH1450" s="24"/>
      <c r="CI1450" s="24"/>
      <c r="CJ1450" s="24"/>
    </row>
    <row r="1451" spans="1:88" ht="15" customHeight="1">
      <c r="A1451" s="18">
        <v>2021</v>
      </c>
      <c r="B1451" s="18" t="str">
        <f>+INDEX(BDD!F:F,MATCH(P1451,BDD!D:D,0))&amp;"-"&amp;INDEX(BDD!E:E,MATCH(P1451,BDD!D:D,0))</f>
        <v>G-C</v>
      </c>
      <c r="C1451" s="125" t="s">
        <v>484</v>
      </c>
      <c r="D1451" s="150" t="s">
        <v>77</v>
      </c>
      <c r="E1451" s="132"/>
      <c r="F1451" s="24"/>
      <c r="G1451" s="346">
        <v>8000001333</v>
      </c>
      <c r="H1451" s="125" t="s">
        <v>5582</v>
      </c>
      <c r="I1451" s="329"/>
      <c r="J1451" s="346">
        <v>8000001333</v>
      </c>
      <c r="K1451" s="24"/>
      <c r="L1451" s="24"/>
      <c r="M1451" s="24"/>
      <c r="N1451" s="340" t="s">
        <v>486</v>
      </c>
      <c r="O1451" s="334">
        <v>206573</v>
      </c>
      <c r="P1451" s="25" t="s">
        <v>226</v>
      </c>
      <c r="Q1451" s="127" t="s">
        <v>291</v>
      </c>
      <c r="R1451" s="232" t="s">
        <v>5572</v>
      </c>
      <c r="S1451" s="89">
        <v>44295</v>
      </c>
      <c r="T1451" s="36">
        <v>150</v>
      </c>
      <c r="U1451" s="125" t="s">
        <v>118</v>
      </c>
      <c r="V1451" s="147" t="s">
        <v>5583</v>
      </c>
      <c r="W1451" s="129"/>
      <c r="X1451" s="88">
        <f>+T1451+BD1451</f>
        <v>44467</v>
      </c>
      <c r="Y1451" s="130" t="s">
        <v>20</v>
      </c>
      <c r="Z1451" s="133" t="s">
        <v>60</v>
      </c>
      <c r="AA1451" s="133"/>
      <c r="AB1451" s="241">
        <v>1540</v>
      </c>
      <c r="AC1451" s="134">
        <v>356.63</v>
      </c>
      <c r="AD1451" s="134">
        <v>69</v>
      </c>
      <c r="AE1451" s="403">
        <f t="shared" si="81"/>
        <v>549210.19999999995</v>
      </c>
      <c r="AF1451" s="132"/>
      <c r="AG1451" s="130" t="s">
        <v>46</v>
      </c>
      <c r="AH1451" s="130"/>
      <c r="AI1451" s="130" t="s">
        <v>100</v>
      </c>
      <c r="AJ1451" s="130"/>
      <c r="AK1451" s="130"/>
      <c r="AL1451" s="135" t="s">
        <v>5574</v>
      </c>
      <c r="AM1451" s="314"/>
      <c r="AN1451" s="26"/>
      <c r="AO1451" s="26"/>
      <c r="AP1451" s="26"/>
      <c r="AQ1451" s="26">
        <v>44363</v>
      </c>
      <c r="AR1451" s="41"/>
      <c r="AS1451" s="41"/>
      <c r="AT1451" s="24">
        <v>44368</v>
      </c>
      <c r="AU1451" s="418">
        <f t="shared" si="82"/>
        <v>6</v>
      </c>
      <c r="AV1451" s="418">
        <f t="shared" si="83"/>
        <v>2021</v>
      </c>
      <c r="AW1451" s="24"/>
      <c r="AX1451" s="24"/>
      <c r="AY1451" s="24" t="s">
        <v>269</v>
      </c>
      <c r="AZ1451" s="24" t="s">
        <v>62</v>
      </c>
      <c r="BA1451" s="24"/>
      <c r="BB1451" s="24" t="s">
        <v>3264</v>
      </c>
      <c r="BC1451" s="135">
        <v>10</v>
      </c>
      <c r="BD1451" s="24">
        <v>44317</v>
      </c>
      <c r="BE1451" s="24" t="s">
        <v>5288</v>
      </c>
      <c r="BF1451" s="24" t="s">
        <v>5288</v>
      </c>
      <c r="BG1451" s="135" t="s">
        <v>52</v>
      </c>
      <c r="BH1451" s="135"/>
      <c r="BI1451" s="314" t="s">
        <v>117</v>
      </c>
      <c r="BJ1451" s="314" t="s">
        <v>143</v>
      </c>
      <c r="BK1451" s="24"/>
      <c r="BL1451" s="24"/>
      <c r="BM1451" s="24"/>
      <c r="BN1451" s="24"/>
      <c r="BO1451" s="41">
        <f>AQ1451-BD1451</f>
        <v>46</v>
      </c>
      <c r="BP1451" s="41"/>
      <c r="BQ1451" s="41"/>
      <c r="BR1451" s="24"/>
      <c r="BS1451" s="41"/>
      <c r="BT1451" s="41"/>
      <c r="BU1451" s="41"/>
      <c r="BV1451" s="132" t="e">
        <f>IF(#REF!="COMPLETO","OK","PENDIENTES")</f>
        <v>#REF!</v>
      </c>
      <c r="BW1451" s="132"/>
      <c r="BX1451" s="132"/>
      <c r="BY1451" s="132"/>
      <c r="BZ1451" s="132"/>
      <c r="CA1451" s="132"/>
      <c r="CB1451" s="132"/>
      <c r="CC1451" s="269"/>
      <c r="CG1451" s="24" t="s">
        <v>105</v>
      </c>
      <c r="CH1451" s="24"/>
      <c r="CI1451" s="24"/>
      <c r="CJ1451" s="24"/>
    </row>
    <row r="1452" spans="1:88" ht="15" customHeight="1">
      <c r="A1452" s="18">
        <v>2021</v>
      </c>
      <c r="B1452" s="18" t="str">
        <f>+INDEX(BDD!F:F,MATCH(P1452,BDD!D:D,0))&amp;"-"&amp;INDEX(BDD!E:E,MATCH(P1452,BDD!D:D,0))</f>
        <v>G-S</v>
      </c>
      <c r="C1452" s="125" t="s">
        <v>484</v>
      </c>
      <c r="D1452" s="150" t="s">
        <v>77</v>
      </c>
      <c r="E1452" s="132"/>
      <c r="F1452" s="24"/>
      <c r="G1452" s="346">
        <v>8000001415</v>
      </c>
      <c r="H1452" s="125" t="s">
        <v>5584</v>
      </c>
      <c r="I1452" s="329"/>
      <c r="J1452" s="346">
        <v>8000001415</v>
      </c>
      <c r="K1452" s="24"/>
      <c r="L1452" s="24">
        <v>0</v>
      </c>
      <c r="M1452" s="24">
        <v>44515</v>
      </c>
      <c r="N1452" s="340" t="s">
        <v>486</v>
      </c>
      <c r="O1452" s="334">
        <v>209979</v>
      </c>
      <c r="P1452" s="25" t="s">
        <v>339</v>
      </c>
      <c r="Q1452" s="127" t="s">
        <v>210</v>
      </c>
      <c r="R1452" s="232" t="s">
        <v>5585</v>
      </c>
      <c r="S1452" s="89">
        <v>44295</v>
      </c>
      <c r="T1452" s="36">
        <v>120</v>
      </c>
      <c r="U1452" s="125" t="s">
        <v>118</v>
      </c>
      <c r="V1452" s="147" t="s">
        <v>5586</v>
      </c>
      <c r="W1452" s="129"/>
      <c r="X1452" s="88">
        <f>+BD1452+T1452</f>
        <v>44600</v>
      </c>
      <c r="Y1452" s="130" t="s">
        <v>20</v>
      </c>
      <c r="Z1452" s="133" t="s">
        <v>72</v>
      </c>
      <c r="AA1452" s="133"/>
      <c r="AB1452" s="257">
        <v>308.05399999999997</v>
      </c>
      <c r="AC1452" s="134">
        <v>510</v>
      </c>
      <c r="AD1452" s="134"/>
      <c r="AE1452" s="403">
        <f t="shared" si="81"/>
        <v>157107.53999999998</v>
      </c>
      <c r="AF1452" s="132">
        <v>11</v>
      </c>
      <c r="AG1452" s="130" t="s">
        <v>5</v>
      </c>
      <c r="AH1452" s="130"/>
      <c r="AI1452" s="130" t="s">
        <v>100</v>
      </c>
      <c r="AJ1452" s="130"/>
      <c r="AK1452" s="130"/>
      <c r="AL1452" s="135" t="s">
        <v>5484</v>
      </c>
      <c r="AM1452" s="314"/>
      <c r="AN1452" s="26">
        <v>44472</v>
      </c>
      <c r="AO1452" s="26">
        <v>44480</v>
      </c>
      <c r="AP1452" s="26">
        <v>44498</v>
      </c>
      <c r="AQ1452" s="26">
        <v>44504</v>
      </c>
      <c r="AR1452" s="24">
        <f>AP1452+4</f>
        <v>44502</v>
      </c>
      <c r="AS1452" s="41"/>
      <c r="AT1452" s="24">
        <v>44512</v>
      </c>
      <c r="AU1452" s="418">
        <f t="shared" si="82"/>
        <v>11</v>
      </c>
      <c r="AV1452" s="418">
        <f t="shared" si="83"/>
        <v>2021</v>
      </c>
      <c r="AW1452" s="24"/>
      <c r="AX1452" s="24"/>
      <c r="AY1452" s="24" t="s">
        <v>162</v>
      </c>
      <c r="AZ1452" s="24" t="s">
        <v>37</v>
      </c>
      <c r="BA1452" s="24"/>
      <c r="BB1452" s="24" t="s">
        <v>3291</v>
      </c>
      <c r="BC1452" s="135" t="s">
        <v>5587</v>
      </c>
      <c r="BD1452" s="24">
        <v>44480</v>
      </c>
      <c r="BE1452" s="24" t="s">
        <v>870</v>
      </c>
      <c r="BF1452" s="24" t="s">
        <v>870</v>
      </c>
      <c r="BG1452" s="135" t="s">
        <v>64</v>
      </c>
      <c r="BH1452" s="135"/>
      <c r="BI1452" s="314" t="s">
        <v>3</v>
      </c>
      <c r="BJ1452" s="314" t="s">
        <v>138</v>
      </c>
      <c r="BK1452" s="24"/>
      <c r="BL1452" s="24"/>
      <c r="BM1452" s="24"/>
      <c r="BN1452" s="24"/>
      <c r="BO1452" s="24"/>
      <c r="BP1452" s="24"/>
      <c r="BQ1452" s="24"/>
      <c r="BR1452" s="24"/>
      <c r="BS1452" s="24"/>
      <c r="BT1452" s="24"/>
      <c r="BU1452" s="24"/>
      <c r="BV1452" s="132" t="e">
        <f>IF(#REF!="COMPLETO","OK","PENDIENTES")</f>
        <v>#REF!</v>
      </c>
      <c r="BW1452" s="132"/>
      <c r="BX1452" s="132"/>
      <c r="BY1452" s="132"/>
      <c r="BZ1452" s="132"/>
      <c r="CA1452" s="132"/>
      <c r="CB1452" s="132"/>
      <c r="CC1452" s="269" t="s">
        <v>5588</v>
      </c>
      <c r="CG1452" s="24" t="s">
        <v>105</v>
      </c>
      <c r="CH1452" s="24"/>
      <c r="CI1452" s="24"/>
      <c r="CJ1452" s="24"/>
    </row>
    <row r="1453" spans="1:88" ht="15" customHeight="1">
      <c r="A1453" s="18">
        <v>2021</v>
      </c>
      <c r="B1453" s="18" t="str">
        <f>+INDEX(BDD!F:F,MATCH(P1453,BDD!D:D,0))&amp;"-"&amp;INDEX(BDD!E:E,MATCH(P1453,BDD!D:D,0))</f>
        <v>S-S</v>
      </c>
      <c r="C1453" s="125" t="s">
        <v>484</v>
      </c>
      <c r="D1453" s="150" t="s">
        <v>77</v>
      </c>
      <c r="E1453" s="132"/>
      <c r="F1453" s="24"/>
      <c r="G1453" s="346">
        <v>8000001524</v>
      </c>
      <c r="H1453" s="125" t="s">
        <v>5589</v>
      </c>
      <c r="I1453" s="329"/>
      <c r="J1453" s="346">
        <v>8000001524</v>
      </c>
      <c r="K1453" s="24"/>
      <c r="L1453" s="24">
        <v>44445</v>
      </c>
      <c r="M1453" s="24">
        <v>44452</v>
      </c>
      <c r="N1453" s="340" t="s">
        <v>486</v>
      </c>
      <c r="O1453" s="334">
        <v>205257</v>
      </c>
      <c r="P1453" s="25" t="s">
        <v>344</v>
      </c>
      <c r="Q1453" s="127" t="s">
        <v>133</v>
      </c>
      <c r="R1453" s="232" t="s">
        <v>5590</v>
      </c>
      <c r="S1453" s="89">
        <v>44299</v>
      </c>
      <c r="T1453" s="36" t="s">
        <v>19</v>
      </c>
      <c r="U1453" s="125"/>
      <c r="V1453" s="147" t="s">
        <v>5591</v>
      </c>
      <c r="W1453" s="129"/>
      <c r="X1453" s="88">
        <v>44000</v>
      </c>
      <c r="Y1453" s="130" t="s">
        <v>20</v>
      </c>
      <c r="Z1453" s="133" t="s">
        <v>81</v>
      </c>
      <c r="AA1453" s="133"/>
      <c r="AB1453" s="241">
        <v>100</v>
      </c>
      <c r="AC1453" s="134">
        <v>172</v>
      </c>
      <c r="AD1453" s="134"/>
      <c r="AE1453" s="403">
        <f t="shared" si="81"/>
        <v>17200</v>
      </c>
      <c r="AF1453" s="132"/>
      <c r="AG1453" s="130" t="s">
        <v>58</v>
      </c>
      <c r="AH1453" s="130"/>
      <c r="AI1453" s="130" t="s">
        <v>34</v>
      </c>
      <c r="AJ1453" s="130"/>
      <c r="AK1453" s="130"/>
      <c r="AL1453" s="135" t="s">
        <v>5156</v>
      </c>
      <c r="AM1453" s="314"/>
      <c r="AN1453" s="26"/>
      <c r="AO1453" s="26">
        <v>44342</v>
      </c>
      <c r="AP1453" s="26"/>
      <c r="AQ1453" s="26">
        <v>44440</v>
      </c>
      <c r="AR1453" s="24"/>
      <c r="AS1453" s="24"/>
      <c r="AT1453" s="24">
        <v>44448</v>
      </c>
      <c r="AU1453" s="418">
        <f t="shared" si="82"/>
        <v>9</v>
      </c>
      <c r="AV1453" s="418">
        <f t="shared" si="83"/>
        <v>2021</v>
      </c>
      <c r="AW1453" s="24"/>
      <c r="AX1453" s="24"/>
      <c r="AY1453" s="24" t="s">
        <v>3199</v>
      </c>
      <c r="AZ1453" s="24" t="s">
        <v>9</v>
      </c>
      <c r="BA1453" s="24"/>
      <c r="BB1453" s="24" t="s">
        <v>3264</v>
      </c>
      <c r="BC1453" s="135" t="s">
        <v>5592</v>
      </c>
      <c r="BD1453" s="24">
        <v>44342</v>
      </c>
      <c r="BE1453" s="24" t="s">
        <v>5593</v>
      </c>
      <c r="BF1453" s="24" t="s">
        <v>5593</v>
      </c>
      <c r="BG1453" s="135" t="s">
        <v>52</v>
      </c>
      <c r="BH1453" s="135"/>
      <c r="BI1453" s="314" t="s">
        <v>124</v>
      </c>
      <c r="BJ1453" s="314" t="s">
        <v>143</v>
      </c>
      <c r="BK1453" s="24"/>
      <c r="BL1453" s="24"/>
      <c r="BM1453" s="24"/>
      <c r="BN1453" s="24"/>
      <c r="BO1453" s="41"/>
      <c r="BP1453" s="41"/>
      <c r="BQ1453" s="41"/>
      <c r="BR1453" s="24"/>
      <c r="BS1453" s="41"/>
      <c r="BT1453" s="41"/>
      <c r="BU1453" s="41"/>
      <c r="BV1453" s="132" t="e">
        <f>IF(#REF!="COMPLETO","OK","PENDIENTES")</f>
        <v>#REF!</v>
      </c>
      <c r="BW1453" s="132"/>
      <c r="BX1453" s="132"/>
      <c r="BY1453" s="132"/>
      <c r="BZ1453" s="132"/>
      <c r="CA1453" s="132"/>
      <c r="CB1453" s="132"/>
      <c r="CC1453" s="269" t="s">
        <v>5594</v>
      </c>
      <c r="CG1453" s="24" t="s">
        <v>105</v>
      </c>
      <c r="CH1453" s="24"/>
      <c r="CI1453" s="24"/>
      <c r="CJ1453" s="24"/>
    </row>
    <row r="1454" spans="1:88" ht="15" customHeight="1">
      <c r="A1454" s="18">
        <v>2021</v>
      </c>
      <c r="B1454" s="18" t="str">
        <f>+INDEX(BDD!F:F,MATCH(P1454,BDD!D:D,0))&amp;"-"&amp;INDEX(BDD!E:E,MATCH(P1454,BDD!D:D,0))</f>
        <v>S-S</v>
      </c>
      <c r="C1454" s="125" t="s">
        <v>484</v>
      </c>
      <c r="D1454" s="150" t="s">
        <v>77</v>
      </c>
      <c r="E1454" s="132" t="s">
        <v>51</v>
      </c>
      <c r="F1454" s="24"/>
      <c r="G1454" s="346">
        <v>8000001521</v>
      </c>
      <c r="H1454" s="125" t="s">
        <v>5595</v>
      </c>
      <c r="I1454" s="329"/>
      <c r="J1454" s="346">
        <v>8000001521</v>
      </c>
      <c r="K1454" s="24"/>
      <c r="L1454" s="24">
        <v>44449</v>
      </c>
      <c r="M1454" s="24">
        <v>44461</v>
      </c>
      <c r="N1454" s="340" t="s">
        <v>486</v>
      </c>
      <c r="O1454" s="334">
        <v>207579</v>
      </c>
      <c r="P1454" s="25" t="s">
        <v>238</v>
      </c>
      <c r="Q1454" s="127" t="s">
        <v>264</v>
      </c>
      <c r="R1454" s="232" t="s">
        <v>5596</v>
      </c>
      <c r="S1454" s="89">
        <v>44299</v>
      </c>
      <c r="T1454" s="36">
        <v>90</v>
      </c>
      <c r="U1454" s="125" t="s">
        <v>118</v>
      </c>
      <c r="V1454" s="147" t="s">
        <v>5596</v>
      </c>
      <c r="W1454" s="129"/>
      <c r="X1454" s="88">
        <f>+BD1454+T1454</f>
        <v>44477</v>
      </c>
      <c r="Y1454" s="130" t="s">
        <v>20</v>
      </c>
      <c r="Z1454" s="133" t="s">
        <v>60</v>
      </c>
      <c r="AA1454" s="133"/>
      <c r="AB1454" s="241">
        <v>350</v>
      </c>
      <c r="AC1454" s="134">
        <v>299</v>
      </c>
      <c r="AD1454" s="134"/>
      <c r="AE1454" s="403">
        <f t="shared" si="81"/>
        <v>104650</v>
      </c>
      <c r="AF1454" s="132"/>
      <c r="AG1454" s="130" t="s">
        <v>58</v>
      </c>
      <c r="AH1454" s="130"/>
      <c r="AI1454" s="130" t="s">
        <v>34</v>
      </c>
      <c r="AJ1454" s="130"/>
      <c r="AK1454" s="130"/>
      <c r="AL1454" s="135" t="s">
        <v>5156</v>
      </c>
      <c r="AM1454" s="314"/>
      <c r="AN1454" s="26"/>
      <c r="AO1454" s="26">
        <v>44387</v>
      </c>
      <c r="AP1454" s="26"/>
      <c r="AQ1454" s="26">
        <v>44427</v>
      </c>
      <c r="AR1454" s="24"/>
      <c r="AS1454" s="24"/>
      <c r="AT1454" s="24">
        <v>44467</v>
      </c>
      <c r="AU1454" s="418">
        <f t="shared" si="82"/>
        <v>9</v>
      </c>
      <c r="AV1454" s="418">
        <f t="shared" si="83"/>
        <v>2021</v>
      </c>
      <c r="AW1454" s="24"/>
      <c r="AX1454" s="24"/>
      <c r="AY1454" s="24" t="s">
        <v>3199</v>
      </c>
      <c r="AZ1454" s="24" t="s">
        <v>37</v>
      </c>
      <c r="BA1454" s="24"/>
      <c r="BB1454" s="24" t="s">
        <v>3291</v>
      </c>
      <c r="BC1454" s="135" t="s">
        <v>5597</v>
      </c>
      <c r="BD1454" s="24">
        <v>44387</v>
      </c>
      <c r="BE1454" s="24" t="s">
        <v>5067</v>
      </c>
      <c r="BF1454" s="24" t="s">
        <v>5067</v>
      </c>
      <c r="BG1454" s="135" t="s">
        <v>52</v>
      </c>
      <c r="BH1454" s="135"/>
      <c r="BI1454" s="314" t="s">
        <v>124</v>
      </c>
      <c r="BJ1454" s="314" t="s">
        <v>143</v>
      </c>
      <c r="BK1454" s="24"/>
      <c r="BL1454" s="24"/>
      <c r="BM1454" s="24"/>
      <c r="BN1454" s="24"/>
      <c r="BO1454" s="24"/>
      <c r="BP1454" s="24"/>
      <c r="BQ1454" s="24"/>
      <c r="BR1454" s="24"/>
      <c r="BS1454" s="24"/>
      <c r="BT1454" s="24"/>
      <c r="BU1454" s="24"/>
      <c r="BV1454" s="132" t="e">
        <f>IF(#REF!="COMPLETO","OK","PENDIENTES")</f>
        <v>#REF!</v>
      </c>
      <c r="BW1454" s="132"/>
      <c r="BX1454" s="132"/>
      <c r="BY1454" s="132"/>
      <c r="BZ1454" s="132"/>
      <c r="CA1454" s="132"/>
      <c r="CB1454" s="132"/>
      <c r="CC1454" s="269"/>
      <c r="CG1454" s="24" t="s">
        <v>105</v>
      </c>
      <c r="CH1454" s="24"/>
      <c r="CI1454" s="24"/>
      <c r="CJ1454" s="24"/>
    </row>
    <row r="1455" spans="1:88" ht="15" customHeight="1">
      <c r="A1455" s="18">
        <v>2021</v>
      </c>
      <c r="B1455" s="18" t="str">
        <f>+INDEX(BDD!F:F,MATCH(P1455,BDD!D:D,0))&amp;"-"&amp;INDEX(BDD!E:E,MATCH(P1455,BDD!D:D,0))</f>
        <v>S-S</v>
      </c>
      <c r="C1455" s="125" t="s">
        <v>484</v>
      </c>
      <c r="D1455" s="150" t="s">
        <v>77</v>
      </c>
      <c r="E1455" s="132" t="s">
        <v>51</v>
      </c>
      <c r="F1455" s="24"/>
      <c r="G1455" s="346">
        <v>8000001559</v>
      </c>
      <c r="H1455" s="125" t="s">
        <v>5598</v>
      </c>
      <c r="I1455" s="329"/>
      <c r="J1455" s="346">
        <v>8000001559</v>
      </c>
      <c r="K1455" s="24"/>
      <c r="L1455" s="24">
        <v>44479</v>
      </c>
      <c r="M1455" s="24">
        <v>44480</v>
      </c>
      <c r="N1455" s="340" t="s">
        <v>486</v>
      </c>
      <c r="O1455" s="334">
        <v>207579</v>
      </c>
      <c r="P1455" s="25" t="s">
        <v>238</v>
      </c>
      <c r="Q1455" s="127" t="s">
        <v>264</v>
      </c>
      <c r="R1455" s="232" t="s">
        <v>5599</v>
      </c>
      <c r="S1455" s="89">
        <v>44299</v>
      </c>
      <c r="T1455" s="36">
        <v>90</v>
      </c>
      <c r="U1455" s="125" t="s">
        <v>118</v>
      </c>
      <c r="V1455" s="232" t="s">
        <v>5599</v>
      </c>
      <c r="W1455" s="151"/>
      <c r="X1455" s="88">
        <f>+BD1455+T1455</f>
        <v>44527</v>
      </c>
      <c r="Y1455" s="130" t="s">
        <v>20</v>
      </c>
      <c r="Z1455" s="133" t="s">
        <v>60</v>
      </c>
      <c r="AA1455" s="133"/>
      <c r="AB1455" s="241">
        <v>150</v>
      </c>
      <c r="AC1455" s="134">
        <v>321</v>
      </c>
      <c r="AD1455" s="134"/>
      <c r="AE1455" s="403">
        <f t="shared" si="81"/>
        <v>48150</v>
      </c>
      <c r="AF1455" s="132"/>
      <c r="AG1455" s="130" t="s">
        <v>58</v>
      </c>
      <c r="AH1455" s="130"/>
      <c r="AI1455" s="130" t="s">
        <v>34</v>
      </c>
      <c r="AJ1455" s="130"/>
      <c r="AK1455" s="130"/>
      <c r="AL1455" s="135" t="s">
        <v>5156</v>
      </c>
      <c r="AM1455" s="314"/>
      <c r="AN1455" s="26">
        <f>BL1455</f>
        <v>0</v>
      </c>
      <c r="AO1455" s="26">
        <v>44438</v>
      </c>
      <c r="AP1455" s="26">
        <f>AQ1455</f>
        <v>44468</v>
      </c>
      <c r="AQ1455" s="26">
        <v>44468</v>
      </c>
      <c r="AR1455" s="24">
        <f>AP1455+7</f>
        <v>44475</v>
      </c>
      <c r="AS1455" s="24"/>
      <c r="AT1455" s="24">
        <v>44470</v>
      </c>
      <c r="AU1455" s="418">
        <f t="shared" si="82"/>
        <v>10</v>
      </c>
      <c r="AV1455" s="418">
        <f t="shared" si="83"/>
        <v>2021</v>
      </c>
      <c r="AW1455" s="24"/>
      <c r="AX1455" s="24"/>
      <c r="AY1455" s="24" t="s">
        <v>95</v>
      </c>
      <c r="AZ1455" s="24" t="s">
        <v>9</v>
      </c>
      <c r="BA1455" s="24"/>
      <c r="BB1455" s="24" t="s">
        <v>2956</v>
      </c>
      <c r="BC1455" s="135" t="s">
        <v>5600</v>
      </c>
      <c r="BD1455" s="24">
        <v>44437</v>
      </c>
      <c r="BE1455" s="24" t="s">
        <v>5406</v>
      </c>
      <c r="BF1455" s="24" t="s">
        <v>5406</v>
      </c>
      <c r="BG1455" s="135" t="s">
        <v>52</v>
      </c>
      <c r="BH1455" s="135"/>
      <c r="BI1455" s="314" t="s">
        <v>124</v>
      </c>
      <c r="BJ1455" s="314" t="s">
        <v>148</v>
      </c>
      <c r="BK1455" s="24"/>
      <c r="BL1455" s="24"/>
      <c r="BM1455" s="24"/>
      <c r="BN1455" s="24"/>
      <c r="BO1455" s="24"/>
      <c r="BP1455" s="24"/>
      <c r="BQ1455" s="24"/>
      <c r="BR1455" s="24"/>
      <c r="BS1455" s="24"/>
      <c r="BT1455" s="24"/>
      <c r="BU1455" s="24"/>
      <c r="BV1455" s="132" t="e">
        <f>IF(#REF!="COMPLETO","OK","PENDIENTES")</f>
        <v>#REF!</v>
      </c>
      <c r="BW1455" s="132"/>
      <c r="BX1455" s="132"/>
      <c r="BY1455" s="132"/>
      <c r="BZ1455" s="132"/>
      <c r="CA1455" s="132"/>
      <c r="CB1455" s="132"/>
      <c r="CC1455" s="269"/>
      <c r="CG1455" s="24" t="s">
        <v>105</v>
      </c>
      <c r="CH1455" s="24"/>
      <c r="CI1455" s="24"/>
      <c r="CJ1455" s="24"/>
    </row>
    <row r="1456" spans="1:88" ht="15" customHeight="1">
      <c r="A1456" s="18">
        <v>2021</v>
      </c>
      <c r="B1456" s="18" t="str">
        <f>+INDEX(BDD!F:F,MATCH(P1456,BDD!D:D,0))&amp;"-"&amp;INDEX(BDD!E:E,MATCH(P1456,BDD!D:D,0))</f>
        <v>O-S</v>
      </c>
      <c r="C1456" s="125" t="s">
        <v>484</v>
      </c>
      <c r="D1456" s="150" t="s">
        <v>77</v>
      </c>
      <c r="E1456" s="132"/>
      <c r="F1456" s="24"/>
      <c r="G1456" s="346">
        <v>8000001302</v>
      </c>
      <c r="H1456" s="125" t="s">
        <v>5601</v>
      </c>
      <c r="I1456" s="329"/>
      <c r="J1456" s="346">
        <v>8000001302</v>
      </c>
      <c r="K1456" s="24"/>
      <c r="L1456" s="24"/>
      <c r="M1456" s="24"/>
      <c r="N1456" s="340" t="s">
        <v>486</v>
      </c>
      <c r="O1456" s="334">
        <v>208061</v>
      </c>
      <c r="P1456" s="25" t="s">
        <v>379</v>
      </c>
      <c r="Q1456" s="127" t="s">
        <v>303</v>
      </c>
      <c r="R1456" s="232" t="s">
        <v>5602</v>
      </c>
      <c r="S1456" s="89" t="s">
        <v>5156</v>
      </c>
      <c r="T1456" s="36" t="s">
        <v>19</v>
      </c>
      <c r="U1456" s="125"/>
      <c r="V1456" s="147" t="s">
        <v>5603</v>
      </c>
      <c r="W1456" s="129"/>
      <c r="X1456" s="88">
        <v>44346</v>
      </c>
      <c r="Y1456" s="130" t="s">
        <v>20</v>
      </c>
      <c r="Z1456" s="133" t="s">
        <v>60</v>
      </c>
      <c r="AA1456" s="133"/>
      <c r="AB1456" s="241">
        <v>650</v>
      </c>
      <c r="AC1456" s="134">
        <v>476.1</v>
      </c>
      <c r="AD1456" s="134">
        <v>69</v>
      </c>
      <c r="AE1456" s="403">
        <f t="shared" si="81"/>
        <v>309465</v>
      </c>
      <c r="AF1456" s="132"/>
      <c r="AG1456" s="130" t="s">
        <v>46</v>
      </c>
      <c r="AH1456" s="130"/>
      <c r="AI1456" s="130" t="s">
        <v>100</v>
      </c>
      <c r="AJ1456" s="130"/>
      <c r="AK1456" s="130"/>
      <c r="AL1456" s="135" t="s">
        <v>5156</v>
      </c>
      <c r="AM1456" s="314"/>
      <c r="AN1456" s="26"/>
      <c r="AO1456" s="26"/>
      <c r="AP1456" s="26"/>
      <c r="AQ1456" s="26">
        <f>+AQ1370</f>
        <v>44349</v>
      </c>
      <c r="AR1456" s="24"/>
      <c r="AS1456" s="24"/>
      <c r="AT1456" s="24">
        <v>44353</v>
      </c>
      <c r="AU1456" s="418">
        <f t="shared" si="82"/>
        <v>6</v>
      </c>
      <c r="AV1456" s="418">
        <f t="shared" si="83"/>
        <v>2021</v>
      </c>
      <c r="AW1456" s="24"/>
      <c r="AX1456" s="24"/>
      <c r="AY1456" s="24" t="s">
        <v>4634</v>
      </c>
      <c r="AZ1456" s="24" t="s">
        <v>9</v>
      </c>
      <c r="BA1456" s="24"/>
      <c r="BB1456" s="24" t="s">
        <v>3264</v>
      </c>
      <c r="BC1456" s="135" t="s">
        <v>5604</v>
      </c>
      <c r="BD1456" s="24">
        <v>44323</v>
      </c>
      <c r="BE1456" s="24" t="s">
        <v>5288</v>
      </c>
      <c r="BF1456" s="24" t="s">
        <v>5288</v>
      </c>
      <c r="BG1456" s="135" t="s">
        <v>52</v>
      </c>
      <c r="BH1456" s="135"/>
      <c r="BI1456" s="314" t="s">
        <v>117</v>
      </c>
      <c r="BJ1456" s="314" t="s">
        <v>143</v>
      </c>
      <c r="BK1456" s="24"/>
      <c r="BL1456" s="24"/>
      <c r="BM1456" s="24"/>
      <c r="BN1456" s="24"/>
      <c r="BO1456" s="24"/>
      <c r="BP1456" s="24"/>
      <c r="BQ1456" s="24"/>
      <c r="BR1456" s="24"/>
      <c r="BS1456" s="24"/>
      <c r="BT1456" s="24"/>
      <c r="BU1456" s="24"/>
      <c r="BV1456" s="132" t="e">
        <f>IF(#REF!="COMPLETO","OK","PENDIENTES")</f>
        <v>#REF!</v>
      </c>
      <c r="BW1456" s="132"/>
      <c r="BX1456" s="132"/>
      <c r="BY1456" s="132"/>
      <c r="BZ1456" s="132"/>
      <c r="CA1456" s="132"/>
      <c r="CB1456" s="132"/>
      <c r="CC1456" s="269"/>
      <c r="CG1456" s="24" t="s">
        <v>105</v>
      </c>
      <c r="CH1456" s="24"/>
      <c r="CI1456" s="24"/>
      <c r="CJ1456" s="24"/>
    </row>
    <row r="1457" spans="1:88" ht="15" customHeight="1">
      <c r="A1457" s="18">
        <v>2021</v>
      </c>
      <c r="B1457" s="18" t="str">
        <f>+INDEX(BDD!F:F,MATCH(P1457,BDD!D:D,0))&amp;"-"&amp;INDEX(BDD!E:E,MATCH(P1457,BDD!D:D,0))</f>
        <v>O-S</v>
      </c>
      <c r="C1457" s="125" t="s">
        <v>484</v>
      </c>
      <c r="D1457" s="150" t="s">
        <v>77</v>
      </c>
      <c r="E1457" s="132"/>
      <c r="F1457" s="24"/>
      <c r="G1457" s="346">
        <v>8000001370</v>
      </c>
      <c r="H1457" s="125" t="s">
        <v>5605</v>
      </c>
      <c r="I1457" s="329"/>
      <c r="J1457" s="346">
        <v>8000001370</v>
      </c>
      <c r="K1457" s="24"/>
      <c r="L1457" s="24"/>
      <c r="M1457" s="24"/>
      <c r="N1457" s="340" t="s">
        <v>486</v>
      </c>
      <c r="O1457" s="334">
        <v>208061</v>
      </c>
      <c r="P1457" s="25" t="s">
        <v>379</v>
      </c>
      <c r="Q1457" s="127" t="s">
        <v>303</v>
      </c>
      <c r="R1457" s="232" t="s">
        <v>5602</v>
      </c>
      <c r="S1457" s="89" t="s">
        <v>5156</v>
      </c>
      <c r="T1457" s="36" t="s">
        <v>19</v>
      </c>
      <c r="U1457" s="125"/>
      <c r="V1457" s="147" t="s">
        <v>5606</v>
      </c>
      <c r="W1457" s="129"/>
      <c r="X1457" s="88">
        <v>44346</v>
      </c>
      <c r="Y1457" s="130" t="s">
        <v>20</v>
      </c>
      <c r="Z1457" s="133" t="s">
        <v>60</v>
      </c>
      <c r="AA1457" s="133"/>
      <c r="AB1457" s="241">
        <v>1650</v>
      </c>
      <c r="AC1457" s="134">
        <v>476.1</v>
      </c>
      <c r="AD1457" s="134">
        <v>69</v>
      </c>
      <c r="AE1457" s="403">
        <f t="shared" si="81"/>
        <v>785565</v>
      </c>
      <c r="AF1457" s="132"/>
      <c r="AG1457" s="130" t="s">
        <v>46</v>
      </c>
      <c r="AH1457" s="130"/>
      <c r="AI1457" s="130" t="s">
        <v>100</v>
      </c>
      <c r="AJ1457" s="130"/>
      <c r="AK1457" s="130"/>
      <c r="AL1457" s="135" t="s">
        <v>5156</v>
      </c>
      <c r="AM1457" s="314"/>
      <c r="AN1457" s="26"/>
      <c r="AO1457" s="26"/>
      <c r="AP1457" s="26"/>
      <c r="AQ1457" s="26">
        <v>44359</v>
      </c>
      <c r="AR1457" s="24"/>
      <c r="AS1457" s="24"/>
      <c r="AT1457" s="24">
        <v>44363</v>
      </c>
      <c r="AU1457" s="418">
        <f t="shared" si="82"/>
        <v>6</v>
      </c>
      <c r="AV1457" s="418">
        <f t="shared" si="83"/>
        <v>2021</v>
      </c>
      <c r="AW1457" s="24"/>
      <c r="AX1457" s="24"/>
      <c r="AY1457" s="24" t="s">
        <v>4634</v>
      </c>
      <c r="AZ1457" s="24" t="s">
        <v>50</v>
      </c>
      <c r="BA1457" s="24"/>
      <c r="BB1457" s="24" t="s">
        <v>2956</v>
      </c>
      <c r="BC1457" s="135" t="s">
        <v>5607</v>
      </c>
      <c r="BD1457" s="24">
        <v>44323</v>
      </c>
      <c r="BE1457" s="24" t="s">
        <v>5288</v>
      </c>
      <c r="BF1457" s="24" t="s">
        <v>5288</v>
      </c>
      <c r="BG1457" s="135" t="s">
        <v>52</v>
      </c>
      <c r="BH1457" s="135"/>
      <c r="BI1457" s="314" t="s">
        <v>117</v>
      </c>
      <c r="BJ1457" s="314" t="s">
        <v>143</v>
      </c>
      <c r="BK1457" s="24"/>
      <c r="BL1457" s="24"/>
      <c r="BM1457" s="24"/>
      <c r="BN1457" s="24"/>
      <c r="BO1457" s="24"/>
      <c r="BP1457" s="24"/>
      <c r="BQ1457" s="24"/>
      <c r="BR1457" s="24"/>
      <c r="BS1457" s="24"/>
      <c r="BT1457" s="24"/>
      <c r="BU1457" s="24"/>
      <c r="BV1457" s="132" t="e">
        <f>IF(#REF!="COMPLETO","OK","PENDIENTES")</f>
        <v>#REF!</v>
      </c>
      <c r="BW1457" s="132"/>
      <c r="BX1457" s="132"/>
      <c r="BY1457" s="132"/>
      <c r="BZ1457" s="132"/>
      <c r="CA1457" s="132"/>
      <c r="CB1457" s="132"/>
      <c r="CC1457" s="269" t="s">
        <v>5608</v>
      </c>
      <c r="CG1457" s="24" t="s">
        <v>105</v>
      </c>
      <c r="CH1457" s="24"/>
      <c r="CI1457" s="24"/>
      <c r="CJ1457" s="24"/>
    </row>
    <row r="1458" spans="1:88" ht="15" customHeight="1">
      <c r="A1458" s="18">
        <v>2021</v>
      </c>
      <c r="B1458" s="18" t="str">
        <f>+INDEX(BDD!F:F,MATCH(P1458,BDD!D:D,0))&amp;"-"&amp;INDEX(BDD!E:E,MATCH(P1458,BDD!D:D,0))</f>
        <v>O-S</v>
      </c>
      <c r="C1458" s="125" t="s">
        <v>484</v>
      </c>
      <c r="D1458" s="150" t="s">
        <v>77</v>
      </c>
      <c r="E1458" s="132"/>
      <c r="F1458" s="24"/>
      <c r="G1458" s="346">
        <v>8000001304</v>
      </c>
      <c r="H1458" s="125" t="s">
        <v>5609</v>
      </c>
      <c r="I1458" s="329"/>
      <c r="J1458" s="346">
        <v>8000001304</v>
      </c>
      <c r="K1458" s="24"/>
      <c r="L1458" s="24"/>
      <c r="M1458" s="24"/>
      <c r="N1458" s="340" t="s">
        <v>486</v>
      </c>
      <c r="O1458" s="334">
        <v>208061</v>
      </c>
      <c r="P1458" s="25" t="s">
        <v>379</v>
      </c>
      <c r="Q1458" s="127" t="s">
        <v>303</v>
      </c>
      <c r="R1458" s="232" t="s">
        <v>5602</v>
      </c>
      <c r="S1458" s="89" t="s">
        <v>5156</v>
      </c>
      <c r="T1458" s="36" t="s">
        <v>19</v>
      </c>
      <c r="U1458" s="125"/>
      <c r="V1458" s="147" t="s">
        <v>5610</v>
      </c>
      <c r="W1458" s="129"/>
      <c r="X1458" s="88">
        <v>44346</v>
      </c>
      <c r="Y1458" s="130" t="s">
        <v>20</v>
      </c>
      <c r="Z1458" s="133" t="s">
        <v>60</v>
      </c>
      <c r="AA1458" s="133"/>
      <c r="AB1458" s="241">
        <v>1003</v>
      </c>
      <c r="AC1458" s="134">
        <v>476.1</v>
      </c>
      <c r="AD1458" s="134">
        <v>69</v>
      </c>
      <c r="AE1458" s="403">
        <f t="shared" si="81"/>
        <v>477528.30000000005</v>
      </c>
      <c r="AF1458" s="132"/>
      <c r="AG1458" s="130" t="s">
        <v>46</v>
      </c>
      <c r="AH1458" s="130"/>
      <c r="AI1458" s="130" t="s">
        <v>100</v>
      </c>
      <c r="AJ1458" s="130"/>
      <c r="AK1458" s="130"/>
      <c r="AL1458" s="135" t="s">
        <v>5156</v>
      </c>
      <c r="AM1458" s="314"/>
      <c r="AN1458" s="26"/>
      <c r="AO1458" s="26"/>
      <c r="AP1458" s="26"/>
      <c r="AQ1458" s="26">
        <f>+AQ1374</f>
        <v>44363</v>
      </c>
      <c r="AR1458" s="24"/>
      <c r="AS1458" s="24"/>
      <c r="AT1458" s="24">
        <v>44368</v>
      </c>
      <c r="AU1458" s="418">
        <f t="shared" si="82"/>
        <v>6</v>
      </c>
      <c r="AV1458" s="418">
        <f t="shared" si="83"/>
        <v>2021</v>
      </c>
      <c r="AW1458" s="24"/>
      <c r="AX1458" s="24"/>
      <c r="AY1458" s="24" t="s">
        <v>4634</v>
      </c>
      <c r="AZ1458" s="24" t="s">
        <v>62</v>
      </c>
      <c r="BA1458" s="24"/>
      <c r="BB1458" s="24" t="s">
        <v>3264</v>
      </c>
      <c r="BC1458" s="135" t="s">
        <v>5611</v>
      </c>
      <c r="BD1458" s="24">
        <v>44323</v>
      </c>
      <c r="BE1458" s="24" t="s">
        <v>5288</v>
      </c>
      <c r="BF1458" s="24" t="s">
        <v>5288</v>
      </c>
      <c r="BG1458" s="135" t="s">
        <v>52</v>
      </c>
      <c r="BH1458" s="135"/>
      <c r="BI1458" s="314" t="s">
        <v>117</v>
      </c>
      <c r="BJ1458" s="314" t="s">
        <v>143</v>
      </c>
      <c r="BK1458" s="24"/>
      <c r="BL1458" s="24"/>
      <c r="BM1458" s="24"/>
      <c r="BN1458" s="24"/>
      <c r="BO1458" s="24"/>
      <c r="BP1458" s="24"/>
      <c r="BQ1458" s="24"/>
      <c r="BR1458" s="24"/>
      <c r="BS1458" s="24"/>
      <c r="BT1458" s="24"/>
      <c r="BU1458" s="24"/>
      <c r="BV1458" s="132" t="e">
        <f>IF(#REF!="COMPLETO","OK","PENDIENTES")</f>
        <v>#REF!</v>
      </c>
      <c r="BW1458" s="132"/>
      <c r="BX1458" s="132"/>
      <c r="BY1458" s="132"/>
      <c r="BZ1458" s="132"/>
      <c r="CA1458" s="132"/>
      <c r="CB1458" s="132"/>
      <c r="CC1458" s="269"/>
      <c r="CG1458" s="24" t="s">
        <v>105</v>
      </c>
      <c r="CH1458" s="24"/>
      <c r="CI1458" s="24"/>
      <c r="CJ1458" s="24"/>
    </row>
    <row r="1459" spans="1:88" ht="15" customHeight="1">
      <c r="A1459" s="18">
        <v>2021</v>
      </c>
      <c r="B1459" s="18" t="str">
        <f>+INDEX(BDD!F:F,MATCH(P1459,BDD!D:D,0))&amp;"-"&amp;INDEX(BDD!E:E,MATCH(P1459,BDD!D:D,0))</f>
        <v>O-S</v>
      </c>
      <c r="C1459" s="125" t="s">
        <v>484</v>
      </c>
      <c r="D1459" s="150" t="s">
        <v>20</v>
      </c>
      <c r="E1459" s="132" t="s">
        <v>1622</v>
      </c>
      <c r="F1459" s="24"/>
      <c r="G1459" s="346"/>
      <c r="H1459" s="125" t="s">
        <v>5612</v>
      </c>
      <c r="I1459" s="329"/>
      <c r="J1459" s="346"/>
      <c r="K1459" s="24"/>
      <c r="L1459" s="24"/>
      <c r="M1459" s="24"/>
      <c r="N1459" s="340"/>
      <c r="O1459" s="334"/>
      <c r="P1459" s="25" t="s">
        <v>379</v>
      </c>
      <c r="Q1459" s="127" t="s">
        <v>303</v>
      </c>
      <c r="R1459" s="232"/>
      <c r="S1459" s="89"/>
      <c r="T1459" s="36"/>
      <c r="U1459" s="125"/>
      <c r="V1459" s="147"/>
      <c r="W1459" s="129"/>
      <c r="X1459" s="88"/>
      <c r="Y1459" s="130"/>
      <c r="Z1459" s="133"/>
      <c r="AA1459" s="133"/>
      <c r="AB1459" s="241"/>
      <c r="AC1459" s="134"/>
      <c r="AD1459" s="134"/>
      <c r="AE1459" s="403">
        <f t="shared" si="81"/>
        <v>0</v>
      </c>
      <c r="AF1459" s="132"/>
      <c r="AG1459" s="130"/>
      <c r="AH1459" s="130"/>
      <c r="AI1459" s="130"/>
      <c r="AJ1459" s="130"/>
      <c r="AK1459" s="130"/>
      <c r="AL1459" s="135"/>
      <c r="AM1459" s="314"/>
      <c r="AN1459" s="26"/>
      <c r="AO1459" s="26"/>
      <c r="AP1459" s="26"/>
      <c r="AQ1459" s="26"/>
      <c r="AR1459" s="24"/>
      <c r="AS1459" s="24"/>
      <c r="AT1459" s="24"/>
      <c r="AU1459" s="418">
        <f t="shared" si="82"/>
        <v>1</v>
      </c>
      <c r="AV1459" s="418">
        <f t="shared" si="83"/>
        <v>1900</v>
      </c>
      <c r="AW1459" s="24"/>
      <c r="AX1459" s="24"/>
      <c r="AY1459" s="24"/>
      <c r="AZ1459" s="24"/>
      <c r="BA1459" s="24"/>
      <c r="BB1459" s="24"/>
      <c r="BC1459" s="135"/>
      <c r="BD1459" s="24"/>
      <c r="BE1459" s="24"/>
      <c r="BF1459" s="24"/>
      <c r="BG1459" s="135"/>
      <c r="BH1459" s="135"/>
      <c r="BI1459" s="314"/>
      <c r="BJ1459" s="314"/>
      <c r="BK1459" s="24"/>
      <c r="BL1459" s="24"/>
      <c r="BM1459" s="24"/>
      <c r="BN1459" s="24"/>
      <c r="BO1459" s="24"/>
      <c r="BP1459" s="24"/>
      <c r="BQ1459" s="24"/>
      <c r="BR1459" s="24"/>
      <c r="BS1459" s="24"/>
      <c r="BT1459" s="24"/>
      <c r="BU1459" s="24"/>
      <c r="BV1459" s="132"/>
      <c r="BW1459" s="132"/>
      <c r="BX1459" s="132"/>
      <c r="BY1459" s="132"/>
      <c r="BZ1459" s="132"/>
      <c r="CA1459" s="132"/>
      <c r="CB1459" s="132"/>
      <c r="CC1459" s="362"/>
      <c r="CD1459" s="22"/>
      <c r="CE1459" s="22"/>
      <c r="CF1459" s="22"/>
      <c r="CG1459" s="24"/>
      <c r="CH1459" s="24"/>
      <c r="CI1459" s="24"/>
      <c r="CJ1459" s="24"/>
    </row>
    <row r="1460" spans="1:88" ht="15" customHeight="1">
      <c r="A1460" s="18">
        <v>2021</v>
      </c>
      <c r="B1460" s="18" t="str">
        <f>+INDEX(BDD!F:F,MATCH(P1460,BDD!D:D,0))&amp;"-"&amp;INDEX(BDD!E:E,MATCH(P1460,BDD!D:D,0))</f>
        <v>O-S</v>
      </c>
      <c r="C1460" s="125" t="s">
        <v>484</v>
      </c>
      <c r="D1460" s="150" t="s">
        <v>77</v>
      </c>
      <c r="E1460" s="132"/>
      <c r="F1460" s="24"/>
      <c r="G1460" s="346">
        <v>8000001305</v>
      </c>
      <c r="H1460" s="125" t="s">
        <v>5613</v>
      </c>
      <c r="I1460" s="329"/>
      <c r="J1460" s="346">
        <v>8000001305</v>
      </c>
      <c r="K1460" s="24"/>
      <c r="L1460" s="24"/>
      <c r="M1460" s="24"/>
      <c r="N1460" s="340" t="s">
        <v>486</v>
      </c>
      <c r="O1460" s="334">
        <v>208063</v>
      </c>
      <c r="P1460" s="25" t="s">
        <v>381</v>
      </c>
      <c r="Q1460" s="127" t="s">
        <v>303</v>
      </c>
      <c r="R1460" s="232" t="s">
        <v>5614</v>
      </c>
      <c r="S1460" s="89" t="s">
        <v>5156</v>
      </c>
      <c r="T1460" s="36" t="s">
        <v>19</v>
      </c>
      <c r="U1460" s="125"/>
      <c r="V1460" s="147" t="s">
        <v>5615</v>
      </c>
      <c r="W1460" s="129"/>
      <c r="X1460" s="88">
        <v>44346</v>
      </c>
      <c r="Y1460" s="130" t="s">
        <v>20</v>
      </c>
      <c r="Z1460" s="133" t="s">
        <v>60</v>
      </c>
      <c r="AA1460" s="133"/>
      <c r="AB1460" s="241">
        <v>1200</v>
      </c>
      <c r="AC1460" s="134">
        <v>624.9</v>
      </c>
      <c r="AD1460" s="134">
        <v>69</v>
      </c>
      <c r="AE1460" s="403">
        <f t="shared" si="81"/>
        <v>749880</v>
      </c>
      <c r="AF1460" s="132"/>
      <c r="AG1460" s="130" t="s">
        <v>46</v>
      </c>
      <c r="AH1460" s="130"/>
      <c r="AI1460" s="130" t="s">
        <v>100</v>
      </c>
      <c r="AJ1460" s="130"/>
      <c r="AK1460" s="130"/>
      <c r="AL1460" s="135" t="s">
        <v>5156</v>
      </c>
      <c r="AM1460" s="314"/>
      <c r="AN1460" s="26"/>
      <c r="AO1460" s="26"/>
      <c r="AP1460" s="26"/>
      <c r="AQ1460" s="26">
        <f>+AQ1370</f>
        <v>44349</v>
      </c>
      <c r="AR1460" s="24"/>
      <c r="AS1460" s="24"/>
      <c r="AT1460" s="24">
        <v>44353</v>
      </c>
      <c r="AU1460" s="418">
        <f t="shared" si="82"/>
        <v>6</v>
      </c>
      <c r="AV1460" s="418">
        <f t="shared" si="83"/>
        <v>2021</v>
      </c>
      <c r="AW1460" s="24"/>
      <c r="AX1460" s="24"/>
      <c r="AY1460" s="24" t="s">
        <v>4634</v>
      </c>
      <c r="AZ1460" s="24" t="s">
        <v>9</v>
      </c>
      <c r="BA1460" s="24"/>
      <c r="BB1460" s="24" t="s">
        <v>3264</v>
      </c>
      <c r="BC1460" s="135" t="s">
        <v>5616</v>
      </c>
      <c r="BD1460" s="24">
        <v>44323</v>
      </c>
      <c r="BE1460" s="24" t="s">
        <v>5288</v>
      </c>
      <c r="BF1460" s="24" t="s">
        <v>5288</v>
      </c>
      <c r="BG1460" s="135" t="s">
        <v>52</v>
      </c>
      <c r="BH1460" s="135"/>
      <c r="BI1460" s="314" t="s">
        <v>117</v>
      </c>
      <c r="BJ1460" s="314" t="s">
        <v>143</v>
      </c>
      <c r="BK1460" s="24"/>
      <c r="BL1460" s="24"/>
      <c r="BM1460" s="24"/>
      <c r="BN1460" s="24"/>
      <c r="BO1460" s="24"/>
      <c r="BP1460" s="24"/>
      <c r="BQ1460" s="24"/>
      <c r="BR1460" s="24"/>
      <c r="BS1460" s="24"/>
      <c r="BT1460" s="24"/>
      <c r="BU1460" s="24"/>
      <c r="BV1460" s="132" t="e">
        <f>IF(#REF!="COMPLETO","OK","PENDIENTES")</f>
        <v>#REF!</v>
      </c>
      <c r="BW1460" s="132"/>
      <c r="BX1460" s="132"/>
      <c r="BY1460" s="132"/>
      <c r="BZ1460" s="132"/>
      <c r="CA1460" s="132"/>
      <c r="CB1460" s="132"/>
      <c r="CC1460" s="269"/>
      <c r="CG1460" s="24" t="s">
        <v>105</v>
      </c>
      <c r="CH1460" s="24"/>
      <c r="CI1460" s="24"/>
      <c r="CJ1460" s="24"/>
    </row>
    <row r="1461" spans="1:88" ht="15" customHeight="1">
      <c r="A1461" s="18">
        <v>2021</v>
      </c>
      <c r="B1461" s="18" t="str">
        <f>+INDEX(BDD!F:F,MATCH(P1461,BDD!D:D,0))&amp;"-"&amp;INDEX(BDD!E:E,MATCH(P1461,BDD!D:D,0))</f>
        <v>O-S</v>
      </c>
      <c r="C1461" s="125" t="s">
        <v>484</v>
      </c>
      <c r="D1461" s="150" t="s">
        <v>77</v>
      </c>
      <c r="E1461" s="132"/>
      <c r="F1461" s="24"/>
      <c r="G1461" s="346">
        <v>8000001306</v>
      </c>
      <c r="H1461" s="125" t="s">
        <v>5617</v>
      </c>
      <c r="I1461" s="329"/>
      <c r="J1461" s="346">
        <v>8000001306</v>
      </c>
      <c r="K1461" s="24"/>
      <c r="L1461" s="24"/>
      <c r="M1461" s="24"/>
      <c r="N1461" s="340" t="s">
        <v>486</v>
      </c>
      <c r="O1461" s="334">
        <v>208063</v>
      </c>
      <c r="P1461" s="25" t="s">
        <v>381</v>
      </c>
      <c r="Q1461" s="127" t="s">
        <v>303</v>
      </c>
      <c r="R1461" s="232" t="s">
        <v>5614</v>
      </c>
      <c r="S1461" s="89" t="s">
        <v>5156</v>
      </c>
      <c r="T1461" s="36" t="s">
        <v>19</v>
      </c>
      <c r="U1461" s="125"/>
      <c r="V1461" s="147" t="s">
        <v>5618</v>
      </c>
      <c r="W1461" s="129"/>
      <c r="X1461" s="88">
        <v>44346</v>
      </c>
      <c r="Y1461" s="130" t="s">
        <v>20</v>
      </c>
      <c r="Z1461" s="133" t="s">
        <v>60</v>
      </c>
      <c r="AA1461" s="133"/>
      <c r="AB1461" s="241">
        <v>1000</v>
      </c>
      <c r="AC1461" s="134">
        <v>624.9</v>
      </c>
      <c r="AD1461" s="134">
        <v>69</v>
      </c>
      <c r="AE1461" s="403">
        <f t="shared" si="81"/>
        <v>624900</v>
      </c>
      <c r="AF1461" s="132"/>
      <c r="AG1461" s="130" t="s">
        <v>46</v>
      </c>
      <c r="AH1461" s="130"/>
      <c r="AI1461" s="130" t="s">
        <v>100</v>
      </c>
      <c r="AJ1461" s="130"/>
      <c r="AK1461" s="130"/>
      <c r="AL1461" s="135" t="s">
        <v>5156</v>
      </c>
      <c r="AM1461" s="314"/>
      <c r="AN1461" s="26"/>
      <c r="AO1461" s="26"/>
      <c r="AP1461" s="26"/>
      <c r="AQ1461" s="26">
        <f>+AQ1371</f>
        <v>44352</v>
      </c>
      <c r="AR1461" s="24"/>
      <c r="AS1461" s="24"/>
      <c r="AT1461" s="24">
        <v>44356</v>
      </c>
      <c r="AU1461" s="418">
        <f t="shared" si="82"/>
        <v>6</v>
      </c>
      <c r="AV1461" s="418">
        <f t="shared" si="83"/>
        <v>2021</v>
      </c>
      <c r="AW1461" s="24"/>
      <c r="AX1461" s="24"/>
      <c r="AY1461" s="24" t="s">
        <v>4634</v>
      </c>
      <c r="AZ1461" s="24" t="s">
        <v>25</v>
      </c>
      <c r="BA1461" s="24"/>
      <c r="BB1461" s="24" t="s">
        <v>3264</v>
      </c>
      <c r="BC1461" s="135" t="s">
        <v>5619</v>
      </c>
      <c r="BD1461" s="24">
        <v>44323</v>
      </c>
      <c r="BE1461" s="24" t="s">
        <v>5288</v>
      </c>
      <c r="BF1461" s="24" t="s">
        <v>5288</v>
      </c>
      <c r="BG1461" s="135" t="s">
        <v>52</v>
      </c>
      <c r="BH1461" s="135"/>
      <c r="BI1461" s="314" t="s">
        <v>117</v>
      </c>
      <c r="BJ1461" s="314" t="s">
        <v>143</v>
      </c>
      <c r="BK1461" s="24"/>
      <c r="BL1461" s="24"/>
      <c r="BM1461" s="24"/>
      <c r="BN1461" s="24"/>
      <c r="BO1461" s="24"/>
      <c r="BP1461" s="24"/>
      <c r="BQ1461" s="24"/>
      <c r="BR1461" s="24"/>
      <c r="BS1461" s="24"/>
      <c r="BT1461" s="24"/>
      <c r="BU1461" s="24"/>
      <c r="BV1461" s="132" t="e">
        <f>IF(#REF!="COMPLETO","OK","PENDIENTES")</f>
        <v>#REF!</v>
      </c>
      <c r="BW1461" s="132"/>
      <c r="BX1461" s="132"/>
      <c r="BY1461" s="132"/>
      <c r="BZ1461" s="132"/>
      <c r="CA1461" s="132"/>
      <c r="CB1461" s="132"/>
      <c r="CC1461" s="269"/>
      <c r="CG1461" s="24" t="s">
        <v>105</v>
      </c>
      <c r="CH1461" s="24"/>
      <c r="CI1461" s="24"/>
      <c r="CJ1461" s="24"/>
    </row>
    <row r="1462" spans="1:88" ht="15" customHeight="1">
      <c r="A1462" s="18">
        <v>2021</v>
      </c>
      <c r="B1462" s="18" t="str">
        <f>+INDEX(BDD!F:F,MATCH(P1462,BDD!D:D,0))&amp;"-"&amp;INDEX(BDD!E:E,MATCH(P1462,BDD!D:D,0))</f>
        <v>O-S</v>
      </c>
      <c r="C1462" s="125" t="s">
        <v>484</v>
      </c>
      <c r="D1462" s="150" t="s">
        <v>77</v>
      </c>
      <c r="E1462" s="132"/>
      <c r="F1462" s="24"/>
      <c r="G1462" s="346">
        <v>8000001356</v>
      </c>
      <c r="H1462" s="125" t="s">
        <v>5620</v>
      </c>
      <c r="I1462" s="329"/>
      <c r="J1462" s="346">
        <v>8000001356</v>
      </c>
      <c r="K1462" s="24"/>
      <c r="L1462" s="24"/>
      <c r="M1462" s="24"/>
      <c r="N1462" s="340" t="s">
        <v>486</v>
      </c>
      <c r="O1462" s="334">
        <v>208063</v>
      </c>
      <c r="P1462" s="25" t="s">
        <v>381</v>
      </c>
      <c r="Q1462" s="127" t="s">
        <v>303</v>
      </c>
      <c r="R1462" s="232" t="s">
        <v>5614</v>
      </c>
      <c r="S1462" s="89" t="s">
        <v>5156</v>
      </c>
      <c r="T1462" s="36" t="s">
        <v>19</v>
      </c>
      <c r="U1462" s="125"/>
      <c r="V1462" s="147" t="s">
        <v>5621</v>
      </c>
      <c r="W1462" s="129"/>
      <c r="X1462" s="88">
        <v>44346</v>
      </c>
      <c r="Y1462" s="130" t="s">
        <v>20</v>
      </c>
      <c r="Z1462" s="133" t="s">
        <v>60</v>
      </c>
      <c r="AA1462" s="133"/>
      <c r="AB1462" s="241">
        <v>1750</v>
      </c>
      <c r="AC1462" s="134">
        <v>624.9</v>
      </c>
      <c r="AD1462" s="134">
        <v>69</v>
      </c>
      <c r="AE1462" s="403">
        <f t="shared" si="81"/>
        <v>1093575</v>
      </c>
      <c r="AF1462" s="132"/>
      <c r="AG1462" s="130" t="s">
        <v>46</v>
      </c>
      <c r="AH1462" s="130"/>
      <c r="AI1462" s="130" t="s">
        <v>100</v>
      </c>
      <c r="AJ1462" s="130"/>
      <c r="AK1462" s="130"/>
      <c r="AL1462" s="135" t="s">
        <v>5156</v>
      </c>
      <c r="AM1462" s="314"/>
      <c r="AN1462" s="26"/>
      <c r="AO1462" s="26"/>
      <c r="AP1462" s="26"/>
      <c r="AQ1462" s="26">
        <v>44359</v>
      </c>
      <c r="AR1462" s="24"/>
      <c r="AS1462" s="24"/>
      <c r="AT1462" s="24">
        <v>44363</v>
      </c>
      <c r="AU1462" s="418">
        <f t="shared" si="82"/>
        <v>6</v>
      </c>
      <c r="AV1462" s="418">
        <f t="shared" si="83"/>
        <v>2021</v>
      </c>
      <c r="AW1462" s="24"/>
      <c r="AX1462" s="24"/>
      <c r="AY1462" s="24" t="s">
        <v>4634</v>
      </c>
      <c r="AZ1462" s="24" t="s">
        <v>50</v>
      </c>
      <c r="BA1462" s="24"/>
      <c r="BB1462" s="24" t="s">
        <v>2956</v>
      </c>
      <c r="BC1462" s="135" t="s">
        <v>5622</v>
      </c>
      <c r="BD1462" s="24">
        <v>44323</v>
      </c>
      <c r="BE1462" s="24" t="s">
        <v>5288</v>
      </c>
      <c r="BF1462" s="24" t="s">
        <v>5288</v>
      </c>
      <c r="BG1462" s="135" t="s">
        <v>52</v>
      </c>
      <c r="BH1462" s="135"/>
      <c r="BI1462" s="314" t="s">
        <v>117</v>
      </c>
      <c r="BJ1462" s="314" t="s">
        <v>143</v>
      </c>
      <c r="BK1462" s="24"/>
      <c r="BL1462" s="24"/>
      <c r="BM1462" s="24"/>
      <c r="BN1462" s="24"/>
      <c r="BO1462" s="24"/>
      <c r="BP1462" s="24"/>
      <c r="BQ1462" s="24"/>
      <c r="BR1462" s="24"/>
      <c r="BS1462" s="24"/>
      <c r="BT1462" s="24"/>
      <c r="BU1462" s="24"/>
      <c r="BV1462" s="132" t="e">
        <f>IF(#REF!="COMPLETO","OK","PENDIENTES")</f>
        <v>#REF!</v>
      </c>
      <c r="BW1462" s="132"/>
      <c r="BX1462" s="132"/>
      <c r="BY1462" s="132"/>
      <c r="BZ1462" s="132"/>
      <c r="CA1462" s="132"/>
      <c r="CB1462" s="132"/>
      <c r="CC1462" s="269" t="s">
        <v>5623</v>
      </c>
      <c r="CG1462" s="24" t="s">
        <v>105</v>
      </c>
      <c r="CH1462" s="24"/>
      <c r="CI1462" s="24"/>
      <c r="CJ1462" s="24"/>
    </row>
    <row r="1463" spans="1:88" ht="15" customHeight="1">
      <c r="A1463" s="18">
        <v>2021</v>
      </c>
      <c r="B1463" s="18" t="str">
        <f>+INDEX(BDD!F:F,MATCH(P1463,BDD!D:D,0))&amp;"-"&amp;INDEX(BDD!E:E,MATCH(P1463,BDD!D:D,0))</f>
        <v>O-S</v>
      </c>
      <c r="C1463" s="125" t="s">
        <v>484</v>
      </c>
      <c r="D1463" s="150" t="s">
        <v>77</v>
      </c>
      <c r="E1463" s="132"/>
      <c r="F1463" s="24"/>
      <c r="G1463" s="346">
        <v>8000001308</v>
      </c>
      <c r="H1463" s="125" t="s">
        <v>5624</v>
      </c>
      <c r="I1463" s="329"/>
      <c r="J1463" s="346">
        <v>8000001308</v>
      </c>
      <c r="K1463" s="24"/>
      <c r="L1463" s="24"/>
      <c r="M1463" s="24"/>
      <c r="N1463" s="340" t="s">
        <v>486</v>
      </c>
      <c r="O1463" s="334">
        <v>208063</v>
      </c>
      <c r="P1463" s="25" t="s">
        <v>381</v>
      </c>
      <c r="Q1463" s="127" t="s">
        <v>303</v>
      </c>
      <c r="R1463" s="232" t="s">
        <v>5614</v>
      </c>
      <c r="S1463" s="89" t="s">
        <v>5156</v>
      </c>
      <c r="T1463" s="36" t="s">
        <v>19</v>
      </c>
      <c r="U1463" s="125"/>
      <c r="V1463" s="147" t="s">
        <v>5625</v>
      </c>
      <c r="W1463" s="129"/>
      <c r="X1463" s="88">
        <v>44346</v>
      </c>
      <c r="Y1463" s="130" t="s">
        <v>20</v>
      </c>
      <c r="Z1463" s="133" t="s">
        <v>60</v>
      </c>
      <c r="AA1463" s="133"/>
      <c r="AB1463" s="241">
        <v>1000</v>
      </c>
      <c r="AC1463" s="134">
        <v>624.9</v>
      </c>
      <c r="AD1463" s="134">
        <v>69</v>
      </c>
      <c r="AE1463" s="403">
        <f t="shared" si="81"/>
        <v>624900</v>
      </c>
      <c r="AF1463" s="132"/>
      <c r="AG1463" s="130" t="s">
        <v>46</v>
      </c>
      <c r="AH1463" s="130"/>
      <c r="AI1463" s="130" t="s">
        <v>100</v>
      </c>
      <c r="AJ1463" s="130"/>
      <c r="AK1463" s="130"/>
      <c r="AL1463" s="135" t="s">
        <v>5156</v>
      </c>
      <c r="AM1463" s="314"/>
      <c r="AN1463" s="26"/>
      <c r="AO1463" s="26"/>
      <c r="AP1463" s="26"/>
      <c r="AQ1463" s="26">
        <f>+AQ1373</f>
        <v>44359</v>
      </c>
      <c r="AR1463" s="24"/>
      <c r="AS1463" s="24"/>
      <c r="AT1463" s="24">
        <v>44363</v>
      </c>
      <c r="AU1463" s="418">
        <f t="shared" si="82"/>
        <v>6</v>
      </c>
      <c r="AV1463" s="418">
        <f t="shared" si="83"/>
        <v>2021</v>
      </c>
      <c r="AW1463" s="24"/>
      <c r="AX1463" s="24"/>
      <c r="AY1463" s="24" t="s">
        <v>4634</v>
      </c>
      <c r="AZ1463" s="24" t="s">
        <v>50</v>
      </c>
      <c r="BA1463" s="24"/>
      <c r="BB1463" s="24" t="s">
        <v>2956</v>
      </c>
      <c r="BC1463" s="135" t="s">
        <v>5626</v>
      </c>
      <c r="BD1463" s="24">
        <v>44323</v>
      </c>
      <c r="BE1463" s="24" t="s">
        <v>5288</v>
      </c>
      <c r="BF1463" s="24" t="s">
        <v>5288</v>
      </c>
      <c r="BG1463" s="135" t="s">
        <v>52</v>
      </c>
      <c r="BH1463" s="135"/>
      <c r="BI1463" s="314" t="s">
        <v>117</v>
      </c>
      <c r="BJ1463" s="314" t="s">
        <v>143</v>
      </c>
      <c r="BK1463" s="24"/>
      <c r="BL1463" s="24"/>
      <c r="BM1463" s="24"/>
      <c r="BN1463" s="24"/>
      <c r="BO1463" s="24"/>
      <c r="BP1463" s="24"/>
      <c r="BQ1463" s="24"/>
      <c r="BR1463" s="24"/>
      <c r="BS1463" s="24"/>
      <c r="BT1463" s="24"/>
      <c r="BU1463" s="24"/>
      <c r="BV1463" s="132" t="e">
        <f>IF(#REF!="COMPLETO","OK","PENDIENTES")</f>
        <v>#REF!</v>
      </c>
      <c r="BW1463" s="132"/>
      <c r="BX1463" s="132"/>
      <c r="BY1463" s="132"/>
      <c r="BZ1463" s="132"/>
      <c r="CA1463" s="132"/>
      <c r="CB1463" s="132"/>
      <c r="CC1463" s="269" t="s">
        <v>5627</v>
      </c>
      <c r="CG1463" s="24" t="s">
        <v>105</v>
      </c>
      <c r="CH1463" s="24"/>
      <c r="CI1463" s="24"/>
      <c r="CJ1463" s="24"/>
    </row>
    <row r="1464" spans="1:88" ht="15" customHeight="1">
      <c r="A1464" s="18">
        <v>2021</v>
      </c>
      <c r="B1464" s="18" t="str">
        <f>+INDEX(BDD!F:F,MATCH(P1464,BDD!D:D,0))&amp;"-"&amp;INDEX(BDD!E:E,MATCH(P1464,BDD!D:D,0))</f>
        <v>O-S</v>
      </c>
      <c r="C1464" s="125" t="s">
        <v>484</v>
      </c>
      <c r="D1464" s="150" t="s">
        <v>77</v>
      </c>
      <c r="E1464" s="132"/>
      <c r="F1464" s="24"/>
      <c r="G1464" s="346">
        <v>8000001309</v>
      </c>
      <c r="H1464" s="125" t="s">
        <v>5628</v>
      </c>
      <c r="I1464" s="329"/>
      <c r="J1464" s="346">
        <v>8000001309</v>
      </c>
      <c r="K1464" s="24"/>
      <c r="L1464" s="24"/>
      <c r="M1464" s="24"/>
      <c r="N1464" s="340" t="s">
        <v>486</v>
      </c>
      <c r="O1464" s="334">
        <v>208063</v>
      </c>
      <c r="P1464" s="25" t="s">
        <v>381</v>
      </c>
      <c r="Q1464" s="127" t="s">
        <v>303</v>
      </c>
      <c r="R1464" s="232" t="s">
        <v>5614</v>
      </c>
      <c r="S1464" s="89" t="s">
        <v>5156</v>
      </c>
      <c r="T1464" s="36" t="s">
        <v>19</v>
      </c>
      <c r="U1464" s="125"/>
      <c r="V1464" s="147" t="s">
        <v>5629</v>
      </c>
      <c r="W1464" s="129"/>
      <c r="X1464" s="88">
        <v>44346</v>
      </c>
      <c r="Y1464" s="130" t="s">
        <v>20</v>
      </c>
      <c r="Z1464" s="133" t="s">
        <v>60</v>
      </c>
      <c r="AA1464" s="133"/>
      <c r="AB1464" s="241">
        <v>1052</v>
      </c>
      <c r="AC1464" s="134">
        <v>624.9</v>
      </c>
      <c r="AD1464" s="134">
        <v>69</v>
      </c>
      <c r="AE1464" s="403">
        <f t="shared" si="81"/>
        <v>657394.79999999993</v>
      </c>
      <c r="AF1464" s="132"/>
      <c r="AG1464" s="130" t="s">
        <v>46</v>
      </c>
      <c r="AH1464" s="130"/>
      <c r="AI1464" s="130" t="s">
        <v>100</v>
      </c>
      <c r="AJ1464" s="130"/>
      <c r="AK1464" s="130"/>
      <c r="AL1464" s="135" t="s">
        <v>5156</v>
      </c>
      <c r="AM1464" s="314"/>
      <c r="AN1464" s="26"/>
      <c r="AO1464" s="26"/>
      <c r="AP1464" s="26"/>
      <c r="AQ1464" s="26">
        <f>+AQ1374</f>
        <v>44363</v>
      </c>
      <c r="AR1464" s="24"/>
      <c r="AS1464" s="24"/>
      <c r="AT1464" s="24">
        <v>44367</v>
      </c>
      <c r="AU1464" s="418">
        <f t="shared" si="82"/>
        <v>6</v>
      </c>
      <c r="AV1464" s="418">
        <f t="shared" si="83"/>
        <v>2021</v>
      </c>
      <c r="AW1464" s="24"/>
      <c r="AX1464" s="24"/>
      <c r="AY1464" s="24" t="s">
        <v>4634</v>
      </c>
      <c r="AZ1464" s="24" t="s">
        <v>62</v>
      </c>
      <c r="BA1464" s="24"/>
      <c r="BB1464" s="24" t="s">
        <v>3264</v>
      </c>
      <c r="BC1464" s="135" t="s">
        <v>5630</v>
      </c>
      <c r="BD1464" s="24">
        <v>44323</v>
      </c>
      <c r="BE1464" s="24" t="s">
        <v>5288</v>
      </c>
      <c r="BF1464" s="24" t="s">
        <v>5288</v>
      </c>
      <c r="BG1464" s="135" t="s">
        <v>52</v>
      </c>
      <c r="BH1464" s="135"/>
      <c r="BI1464" s="314" t="s">
        <v>117</v>
      </c>
      <c r="BJ1464" s="314" t="s">
        <v>143</v>
      </c>
      <c r="BK1464" s="24"/>
      <c r="BL1464" s="24"/>
      <c r="BM1464" s="24"/>
      <c r="BN1464" s="24"/>
      <c r="BO1464" s="24"/>
      <c r="BP1464" s="24"/>
      <c r="BQ1464" s="24"/>
      <c r="BR1464" s="24"/>
      <c r="BS1464" s="24"/>
      <c r="BT1464" s="24"/>
      <c r="BU1464" s="24"/>
      <c r="BV1464" s="132" t="e">
        <f>IF(#REF!="COMPLETO","OK","PENDIENTES")</f>
        <v>#REF!</v>
      </c>
      <c r="BW1464" s="132"/>
      <c r="BX1464" s="132"/>
      <c r="BY1464" s="132"/>
      <c r="BZ1464" s="132"/>
      <c r="CA1464" s="132"/>
      <c r="CB1464" s="132"/>
      <c r="CC1464" s="269"/>
      <c r="CG1464" s="24" t="s">
        <v>105</v>
      </c>
      <c r="CH1464" s="24"/>
      <c r="CI1464" s="24"/>
      <c r="CJ1464" s="24"/>
    </row>
    <row r="1465" spans="1:88" ht="15" customHeight="1">
      <c r="A1465" s="18">
        <v>2021</v>
      </c>
      <c r="B1465" s="18" t="str">
        <f>+INDEX(BDD!F:F,MATCH(P1465,BDD!D:D,0))&amp;"-"&amp;INDEX(BDD!E:E,MATCH(P1465,BDD!D:D,0))</f>
        <v>S-P</v>
      </c>
      <c r="C1465" s="125" t="s">
        <v>5398</v>
      </c>
      <c r="D1465" s="150" t="s">
        <v>3</v>
      </c>
      <c r="E1465" s="132" t="s">
        <v>51</v>
      </c>
      <c r="F1465" s="24"/>
      <c r="G1465" s="346">
        <v>8000001630</v>
      </c>
      <c r="H1465" s="125" t="s">
        <v>5631</v>
      </c>
      <c r="I1465" s="329"/>
      <c r="J1465" s="346">
        <v>8000001630</v>
      </c>
      <c r="K1465" s="24">
        <v>44482</v>
      </c>
      <c r="L1465" s="24"/>
      <c r="M1465" s="24"/>
      <c r="N1465" s="340" t="s">
        <v>3</v>
      </c>
      <c r="O1465" s="334">
        <v>208510</v>
      </c>
      <c r="P1465" s="25" t="s">
        <v>2</v>
      </c>
      <c r="Q1465" s="127" t="s">
        <v>237</v>
      </c>
      <c r="R1465" s="232" t="s">
        <v>5632</v>
      </c>
      <c r="S1465" s="89">
        <v>44309</v>
      </c>
      <c r="T1465" s="36">
        <v>90</v>
      </c>
      <c r="U1465" s="125" t="s">
        <v>118</v>
      </c>
      <c r="V1465" s="147"/>
      <c r="W1465" s="129"/>
      <c r="X1465" s="88">
        <f t="shared" ref="X1465:X1481" si="84">+BD1465+T1465</f>
        <v>90</v>
      </c>
      <c r="Y1465" s="130" t="s">
        <v>3</v>
      </c>
      <c r="Z1465" s="133" t="s">
        <v>60</v>
      </c>
      <c r="AA1465" s="133"/>
      <c r="AB1465" s="241">
        <v>300</v>
      </c>
      <c r="AC1465" s="134">
        <v>1150</v>
      </c>
      <c r="AD1465" s="134"/>
      <c r="AE1465" s="403">
        <f t="shared" si="81"/>
        <v>345000</v>
      </c>
      <c r="AF1465" s="132">
        <f>AB1465/24</f>
        <v>12.5</v>
      </c>
      <c r="AG1465" s="130" t="s">
        <v>5</v>
      </c>
      <c r="AH1465" s="130"/>
      <c r="AI1465" s="130" t="s">
        <v>5633</v>
      </c>
      <c r="AJ1465" s="130" t="s">
        <v>944</v>
      </c>
      <c r="AK1465" s="130" t="s">
        <v>5634</v>
      </c>
      <c r="AL1465" s="135" t="s">
        <v>5574</v>
      </c>
      <c r="AM1465" s="314"/>
      <c r="AN1465" s="26">
        <v>44708</v>
      </c>
      <c r="AO1465" s="385">
        <v>44736</v>
      </c>
      <c r="AP1465" s="26">
        <f>AQ1465</f>
        <v>44782</v>
      </c>
      <c r="AQ1465" s="385">
        <f>+AO1465+46</f>
        <v>44782</v>
      </c>
      <c r="AR1465" s="24">
        <f>AQ1465+4</f>
        <v>44786</v>
      </c>
      <c r="AS1465" s="24"/>
      <c r="AT1465" s="24">
        <v>44786</v>
      </c>
      <c r="AU1465" s="418">
        <f t="shared" si="82"/>
        <v>8</v>
      </c>
      <c r="AV1465" s="418">
        <f t="shared" si="83"/>
        <v>2022</v>
      </c>
      <c r="AW1465" s="24" t="s">
        <v>7874</v>
      </c>
      <c r="AX1465" s="28" t="s">
        <v>5402</v>
      </c>
      <c r="AY1465" s="28" t="s">
        <v>5635</v>
      </c>
      <c r="AZ1465" s="24" t="s">
        <v>37</v>
      </c>
      <c r="BA1465" s="24"/>
      <c r="BB1465" s="24" t="s">
        <v>3291</v>
      </c>
      <c r="BC1465" s="135"/>
      <c r="BD1465" s="24"/>
      <c r="BE1465" s="24"/>
      <c r="BF1465" s="24"/>
      <c r="BG1465" s="135"/>
      <c r="BH1465" s="135"/>
      <c r="BI1465" s="314" t="s">
        <v>3</v>
      </c>
      <c r="BJ1465" s="314"/>
      <c r="BK1465" s="24"/>
      <c r="BL1465" s="24"/>
      <c r="BM1465" s="24"/>
      <c r="BN1465" s="24"/>
      <c r="BO1465" s="24"/>
      <c r="BP1465" s="24"/>
      <c r="BQ1465" s="24"/>
      <c r="BR1465" s="24"/>
      <c r="BS1465" s="24"/>
      <c r="BT1465" s="24"/>
      <c r="BU1465" s="24"/>
      <c r="BV1465" s="132" t="e">
        <f>IF(#REF!="COMPLETO","OK","PENDIENTE")</f>
        <v>#REF!</v>
      </c>
      <c r="BW1465" s="132"/>
      <c r="BX1465" s="132"/>
      <c r="BY1465" s="132"/>
      <c r="BZ1465" s="132"/>
      <c r="CA1465" s="132"/>
      <c r="CB1465" s="132"/>
      <c r="CC1465" s="269"/>
      <c r="CD1465" s="67"/>
      <c r="CE1465" s="67"/>
      <c r="CG1465" s="24"/>
      <c r="CH1465" s="24"/>
      <c r="CI1465" s="24"/>
      <c r="CJ1465" s="24"/>
    </row>
    <row r="1466" spans="1:88" ht="15" customHeight="1">
      <c r="A1466" s="18">
        <v>2021</v>
      </c>
      <c r="B1466" s="18" t="str">
        <f>+INDEX(BDD!F:F,MATCH(P1466,BDD!D:D,0))&amp;"-"&amp;INDEX(BDD!E:E,MATCH(P1466,BDD!D:D,0))</f>
        <v>S-P</v>
      </c>
      <c r="C1466" s="125" t="s">
        <v>5398</v>
      </c>
      <c r="D1466" s="150" t="s">
        <v>3</v>
      </c>
      <c r="E1466" s="132" t="s">
        <v>51</v>
      </c>
      <c r="F1466" s="24"/>
      <c r="G1466" s="346">
        <v>8000001631</v>
      </c>
      <c r="H1466" s="125" t="s">
        <v>5636</v>
      </c>
      <c r="I1466" s="329"/>
      <c r="J1466" s="346">
        <v>8000001631</v>
      </c>
      <c r="K1466" s="24">
        <v>44482</v>
      </c>
      <c r="L1466" s="24"/>
      <c r="M1466" s="24"/>
      <c r="N1466" s="340" t="s">
        <v>3</v>
      </c>
      <c r="O1466" s="334">
        <v>208510</v>
      </c>
      <c r="P1466" s="25" t="s">
        <v>2</v>
      </c>
      <c r="Q1466" s="127" t="s">
        <v>237</v>
      </c>
      <c r="R1466" s="232" t="s">
        <v>5637</v>
      </c>
      <c r="S1466" s="89">
        <v>44309</v>
      </c>
      <c r="T1466" s="36">
        <v>90</v>
      </c>
      <c r="U1466" s="125" t="s">
        <v>118</v>
      </c>
      <c r="V1466" s="147"/>
      <c r="W1466" s="129"/>
      <c r="X1466" s="88">
        <f t="shared" si="84"/>
        <v>90</v>
      </c>
      <c r="Y1466" s="130" t="s">
        <v>3</v>
      </c>
      <c r="Z1466" s="133" t="s">
        <v>60</v>
      </c>
      <c r="AA1466" s="133"/>
      <c r="AB1466" s="241">
        <v>100</v>
      </c>
      <c r="AC1466" s="134">
        <v>1170</v>
      </c>
      <c r="AD1466" s="134"/>
      <c r="AE1466" s="403">
        <f t="shared" si="81"/>
        <v>117000</v>
      </c>
      <c r="AF1466" s="132">
        <f>AB1466/24</f>
        <v>4.166666666666667</v>
      </c>
      <c r="AG1466" s="130" t="s">
        <v>5</v>
      </c>
      <c r="AH1466" s="130"/>
      <c r="AI1466" s="130" t="s">
        <v>5633</v>
      </c>
      <c r="AJ1466" s="130" t="s">
        <v>944</v>
      </c>
      <c r="AK1466" s="130" t="s">
        <v>5634</v>
      </c>
      <c r="AL1466" s="135" t="s">
        <v>5574</v>
      </c>
      <c r="AM1466" s="314"/>
      <c r="AN1466" s="26">
        <v>44715</v>
      </c>
      <c r="AO1466" s="385">
        <v>44736</v>
      </c>
      <c r="AP1466" s="26">
        <f>AQ1466</f>
        <v>44782</v>
      </c>
      <c r="AQ1466" s="385">
        <f>+AO1466+46</f>
        <v>44782</v>
      </c>
      <c r="AR1466" s="24">
        <f>AQ1466+4</f>
        <v>44786</v>
      </c>
      <c r="AS1466" s="24"/>
      <c r="AT1466" s="24">
        <v>44788</v>
      </c>
      <c r="AU1466" s="418">
        <f t="shared" si="82"/>
        <v>8</v>
      </c>
      <c r="AV1466" s="418">
        <f t="shared" si="83"/>
        <v>2022</v>
      </c>
      <c r="AW1466" s="24" t="s">
        <v>7874</v>
      </c>
      <c r="AX1466" s="28" t="s">
        <v>5402</v>
      </c>
      <c r="AY1466" s="28" t="s">
        <v>5635</v>
      </c>
      <c r="AZ1466" s="24" t="s">
        <v>9</v>
      </c>
      <c r="BA1466" s="24"/>
      <c r="BB1466" s="24" t="s">
        <v>3264</v>
      </c>
      <c r="BC1466" s="135"/>
      <c r="BD1466" s="24"/>
      <c r="BE1466" s="24"/>
      <c r="BF1466" s="24"/>
      <c r="BG1466" s="135"/>
      <c r="BH1466" s="135"/>
      <c r="BI1466" s="314" t="s">
        <v>3</v>
      </c>
      <c r="BJ1466" s="314"/>
      <c r="BK1466" s="24"/>
      <c r="BL1466" s="24"/>
      <c r="BM1466" s="24"/>
      <c r="BN1466" s="24"/>
      <c r="BO1466" s="24"/>
      <c r="BP1466" s="24"/>
      <c r="BQ1466" s="24"/>
      <c r="BR1466" s="24"/>
      <c r="BS1466" s="24"/>
      <c r="BT1466" s="24"/>
      <c r="BU1466" s="24"/>
      <c r="BV1466" s="132" t="e">
        <f>IF(#REF!="COMPLETO","OK","PENDIENTE")</f>
        <v>#REF!</v>
      </c>
      <c r="BW1466" s="132"/>
      <c r="BX1466" s="132"/>
      <c r="BY1466" s="132"/>
      <c r="BZ1466" s="132"/>
      <c r="CA1466" s="132"/>
      <c r="CB1466" s="132"/>
      <c r="CC1466" s="269"/>
      <c r="CD1466" s="67"/>
      <c r="CE1466" s="67"/>
      <c r="CG1466" s="24"/>
      <c r="CH1466" s="24"/>
      <c r="CI1466" s="24"/>
      <c r="CJ1466" s="24"/>
    </row>
    <row r="1467" spans="1:88" ht="15" customHeight="1">
      <c r="A1467" s="18">
        <v>2021</v>
      </c>
      <c r="B1467" s="18" t="str">
        <f>+INDEX(BDD!F:F,MATCH(P1467,BDD!D:D,0))&amp;"-"&amp;INDEX(BDD!E:E,MATCH(P1467,BDD!D:D,0))</f>
        <v>G-S</v>
      </c>
      <c r="C1467" s="125" t="s">
        <v>484</v>
      </c>
      <c r="D1467" s="150" t="s">
        <v>77</v>
      </c>
      <c r="E1467" s="132"/>
      <c r="F1467" s="24"/>
      <c r="G1467" s="346">
        <v>8000001532</v>
      </c>
      <c r="H1467" s="125" t="s">
        <v>5638</v>
      </c>
      <c r="I1467" s="329"/>
      <c r="J1467" s="346">
        <v>8000001532</v>
      </c>
      <c r="K1467" s="24"/>
      <c r="L1467" s="24">
        <v>44456</v>
      </c>
      <c r="M1467" s="24">
        <v>44457</v>
      </c>
      <c r="N1467" s="340" t="s">
        <v>486</v>
      </c>
      <c r="O1467" s="334">
        <v>203616</v>
      </c>
      <c r="P1467" s="25" t="s">
        <v>357</v>
      </c>
      <c r="Q1467" s="127" t="s">
        <v>273</v>
      </c>
      <c r="R1467" s="232" t="s">
        <v>5639</v>
      </c>
      <c r="S1467" s="89">
        <v>44349</v>
      </c>
      <c r="T1467" s="36">
        <v>150</v>
      </c>
      <c r="U1467" s="125" t="s">
        <v>118</v>
      </c>
      <c r="V1467" s="147" t="s">
        <v>5640</v>
      </c>
      <c r="W1467" s="129"/>
      <c r="X1467" s="88">
        <f t="shared" si="84"/>
        <v>44534</v>
      </c>
      <c r="Y1467" s="130" t="s">
        <v>20</v>
      </c>
      <c r="Z1467" s="133" t="s">
        <v>60</v>
      </c>
      <c r="AA1467" s="133"/>
      <c r="AB1467" s="241">
        <v>2600</v>
      </c>
      <c r="AC1467" s="134">
        <v>218.34</v>
      </c>
      <c r="AD1467" s="134"/>
      <c r="AE1467" s="403">
        <f t="shared" si="81"/>
        <v>567684</v>
      </c>
      <c r="AF1467" s="132"/>
      <c r="AG1467" s="130" t="s">
        <v>46</v>
      </c>
      <c r="AH1467" s="130"/>
      <c r="AI1467" s="130" t="s">
        <v>100</v>
      </c>
      <c r="AJ1467" s="130"/>
      <c r="AK1467" s="130"/>
      <c r="AL1467" s="135" t="s">
        <v>5484</v>
      </c>
      <c r="AM1467" s="314"/>
      <c r="AN1467" s="26"/>
      <c r="AO1467" s="26">
        <v>44419</v>
      </c>
      <c r="AP1467" s="26"/>
      <c r="AQ1467" s="26">
        <v>44452</v>
      </c>
      <c r="AR1467" s="24"/>
      <c r="AS1467" s="24"/>
      <c r="AT1467" s="24">
        <v>44457</v>
      </c>
      <c r="AU1467" s="418">
        <f t="shared" si="82"/>
        <v>9</v>
      </c>
      <c r="AV1467" s="418">
        <f t="shared" si="83"/>
        <v>2021</v>
      </c>
      <c r="AW1467" s="24"/>
      <c r="AX1467" s="24"/>
      <c r="AY1467" s="24" t="s">
        <v>5642</v>
      </c>
      <c r="AZ1467" s="24" t="s">
        <v>9</v>
      </c>
      <c r="BA1467" s="24"/>
      <c r="BB1467" s="24" t="s">
        <v>3519</v>
      </c>
      <c r="BC1467" s="135" t="s">
        <v>5641</v>
      </c>
      <c r="BD1467" s="24">
        <v>44384</v>
      </c>
      <c r="BE1467" s="24" t="s">
        <v>5643</v>
      </c>
      <c r="BF1467" s="24" t="s">
        <v>5644</v>
      </c>
      <c r="BG1467" s="135" t="s">
        <v>52</v>
      </c>
      <c r="BH1467" s="135"/>
      <c r="BI1467" s="314" t="s">
        <v>117</v>
      </c>
      <c r="BJ1467" s="314" t="s">
        <v>143</v>
      </c>
      <c r="BK1467" s="24"/>
      <c r="BL1467" s="24"/>
      <c r="BM1467" s="24"/>
      <c r="BN1467" s="24"/>
      <c r="BO1467" s="24"/>
      <c r="BP1467" s="24"/>
      <c r="BQ1467" s="24"/>
      <c r="BR1467" s="24"/>
      <c r="BS1467" s="24"/>
      <c r="BT1467" s="24"/>
      <c r="BU1467" s="24"/>
      <c r="BV1467" s="132" t="e">
        <f>IF(#REF!="COMPLETO","OK","PENDIENTES")</f>
        <v>#REF!</v>
      </c>
      <c r="BW1467" s="132"/>
      <c r="BX1467" s="132"/>
      <c r="BY1467" s="132"/>
      <c r="BZ1467" s="132"/>
      <c r="CA1467" s="132"/>
      <c r="CB1467" s="132"/>
      <c r="CC1467" s="269"/>
      <c r="CG1467" s="24" t="s">
        <v>105</v>
      </c>
      <c r="CH1467" s="24"/>
      <c r="CI1467" s="24"/>
      <c r="CJ1467" s="24"/>
    </row>
    <row r="1468" spans="1:88" ht="15" customHeight="1">
      <c r="A1468" s="18">
        <v>2021</v>
      </c>
      <c r="B1468" s="18" t="str">
        <f>+INDEX(BDD!F:F,MATCH(P1468,BDD!D:D,0))&amp;"-"&amp;INDEX(BDD!E:E,MATCH(P1468,BDD!D:D,0))</f>
        <v>G-S</v>
      </c>
      <c r="C1468" s="125" t="s">
        <v>484</v>
      </c>
      <c r="D1468" s="150" t="s">
        <v>77</v>
      </c>
      <c r="E1468" s="132"/>
      <c r="F1468" s="24"/>
      <c r="G1468" s="346">
        <v>8000001546</v>
      </c>
      <c r="H1468" s="125" t="s">
        <v>5645</v>
      </c>
      <c r="I1468" s="329"/>
      <c r="J1468" s="346">
        <v>8000001546</v>
      </c>
      <c r="K1468" s="24"/>
      <c r="L1468" s="24">
        <v>44456</v>
      </c>
      <c r="M1468" s="24">
        <v>44469</v>
      </c>
      <c r="N1468" s="340" t="s">
        <v>486</v>
      </c>
      <c r="O1468" s="334">
        <v>203616</v>
      </c>
      <c r="P1468" s="25" t="s">
        <v>357</v>
      </c>
      <c r="Q1468" s="127" t="s">
        <v>273</v>
      </c>
      <c r="R1468" s="232" t="s">
        <v>5639</v>
      </c>
      <c r="S1468" s="89">
        <v>44349</v>
      </c>
      <c r="T1468" s="36">
        <v>150</v>
      </c>
      <c r="U1468" s="125" t="s">
        <v>118</v>
      </c>
      <c r="V1468" s="147" t="s">
        <v>5646</v>
      </c>
      <c r="W1468" s="129"/>
      <c r="X1468" s="88">
        <f t="shared" si="84"/>
        <v>44534</v>
      </c>
      <c r="Y1468" s="130" t="s">
        <v>20</v>
      </c>
      <c r="Z1468" s="133" t="s">
        <v>60</v>
      </c>
      <c r="AA1468" s="133"/>
      <c r="AB1468" s="241">
        <v>2225</v>
      </c>
      <c r="AC1468" s="134">
        <v>218.34</v>
      </c>
      <c r="AD1468" s="134"/>
      <c r="AE1468" s="403">
        <f t="shared" si="81"/>
        <v>485806.5</v>
      </c>
      <c r="AF1468" s="132"/>
      <c r="AG1468" s="130" t="s">
        <v>46</v>
      </c>
      <c r="AH1468" s="130"/>
      <c r="AI1468" s="130" t="s">
        <v>100</v>
      </c>
      <c r="AJ1468" s="130"/>
      <c r="AK1468" s="130"/>
      <c r="AL1468" s="135" t="s">
        <v>5484</v>
      </c>
      <c r="AM1468" s="314"/>
      <c r="AN1468" s="26"/>
      <c r="AO1468" s="26">
        <v>44419</v>
      </c>
      <c r="AP1468" s="26"/>
      <c r="AQ1468" s="26">
        <v>44459</v>
      </c>
      <c r="AR1468" s="24"/>
      <c r="AS1468" s="24"/>
      <c r="AT1468" s="24">
        <v>44466</v>
      </c>
      <c r="AU1468" s="418">
        <f t="shared" si="82"/>
        <v>9</v>
      </c>
      <c r="AV1468" s="418">
        <f t="shared" si="83"/>
        <v>2021</v>
      </c>
      <c r="AW1468" s="24"/>
      <c r="AX1468" s="24"/>
      <c r="AY1468" s="24" t="s">
        <v>5642</v>
      </c>
      <c r="AZ1468" s="24" t="s">
        <v>25</v>
      </c>
      <c r="BA1468" s="24"/>
      <c r="BB1468" s="24" t="s">
        <v>3264</v>
      </c>
      <c r="BC1468" s="135" t="s">
        <v>5647</v>
      </c>
      <c r="BD1468" s="24">
        <v>44384</v>
      </c>
      <c r="BE1468" s="24" t="s">
        <v>5643</v>
      </c>
      <c r="BF1468" s="24" t="s">
        <v>5644</v>
      </c>
      <c r="BG1468" s="135" t="s">
        <v>52</v>
      </c>
      <c r="BH1468" s="135"/>
      <c r="BI1468" s="314" t="s">
        <v>117</v>
      </c>
      <c r="BJ1468" s="314" t="s">
        <v>143</v>
      </c>
      <c r="BK1468" s="24"/>
      <c r="BL1468" s="24"/>
      <c r="BM1468" s="24"/>
      <c r="BN1468" s="24"/>
      <c r="BO1468" s="24"/>
      <c r="BP1468" s="24"/>
      <c r="BQ1468" s="24"/>
      <c r="BR1468" s="24"/>
      <c r="BS1468" s="24"/>
      <c r="BT1468" s="24"/>
      <c r="BU1468" s="24"/>
      <c r="BV1468" s="132" t="e">
        <f>IF(#REF!="COMPLETO","OK","PENDIENTES")</f>
        <v>#REF!</v>
      </c>
      <c r="BW1468" s="132"/>
      <c r="BX1468" s="132"/>
      <c r="BY1468" s="132"/>
      <c r="BZ1468" s="132"/>
      <c r="CA1468" s="132"/>
      <c r="CB1468" s="132"/>
      <c r="CC1468" s="269" t="s">
        <v>5648</v>
      </c>
      <c r="CG1468" s="24" t="s">
        <v>105</v>
      </c>
      <c r="CH1468" s="24"/>
      <c r="CI1468" s="24"/>
      <c r="CJ1468" s="24"/>
    </row>
    <row r="1469" spans="1:88" ht="15" customHeight="1">
      <c r="A1469" s="18">
        <v>2021</v>
      </c>
      <c r="B1469" s="18" t="str">
        <f>+INDEX(BDD!F:F,MATCH(P1469,BDD!D:D,0))&amp;"-"&amp;INDEX(BDD!E:E,MATCH(P1469,BDD!D:D,0))</f>
        <v>G-S</v>
      </c>
      <c r="C1469" s="125" t="s">
        <v>484</v>
      </c>
      <c r="D1469" s="150" t="s">
        <v>77</v>
      </c>
      <c r="E1469" s="132"/>
      <c r="F1469" s="24"/>
      <c r="G1469" s="346">
        <v>8000001553</v>
      </c>
      <c r="H1469" s="125" t="s">
        <v>5649</v>
      </c>
      <c r="I1469" s="329"/>
      <c r="J1469" s="346">
        <v>8000001553</v>
      </c>
      <c r="K1469" s="24"/>
      <c r="L1469" s="24">
        <v>44459</v>
      </c>
      <c r="M1469" s="24">
        <v>44470</v>
      </c>
      <c r="N1469" s="340" t="s">
        <v>486</v>
      </c>
      <c r="O1469" s="334">
        <v>203616</v>
      </c>
      <c r="P1469" s="25" t="s">
        <v>357</v>
      </c>
      <c r="Q1469" s="127" t="s">
        <v>273</v>
      </c>
      <c r="R1469" s="232" t="s">
        <v>5639</v>
      </c>
      <c r="S1469" s="89">
        <v>44349</v>
      </c>
      <c r="T1469" s="36">
        <v>150</v>
      </c>
      <c r="U1469" s="125" t="s">
        <v>118</v>
      </c>
      <c r="V1469" s="147" t="s">
        <v>5650</v>
      </c>
      <c r="W1469" s="129"/>
      <c r="X1469" s="88">
        <f t="shared" si="84"/>
        <v>44534</v>
      </c>
      <c r="Y1469" s="130" t="s">
        <v>20</v>
      </c>
      <c r="Z1469" s="133" t="s">
        <v>60</v>
      </c>
      <c r="AA1469" s="133"/>
      <c r="AB1469" s="241">
        <v>890</v>
      </c>
      <c r="AC1469" s="134">
        <v>218.34</v>
      </c>
      <c r="AD1469" s="134"/>
      <c r="AE1469" s="403">
        <f t="shared" si="81"/>
        <v>194322.6</v>
      </c>
      <c r="AF1469" s="132"/>
      <c r="AG1469" s="130" t="s">
        <v>46</v>
      </c>
      <c r="AH1469" s="130"/>
      <c r="AI1469" s="130" t="s">
        <v>100</v>
      </c>
      <c r="AJ1469" s="130"/>
      <c r="AK1469" s="130"/>
      <c r="AL1469" s="135" t="s">
        <v>5484</v>
      </c>
      <c r="AM1469" s="314"/>
      <c r="AN1469" s="26">
        <f>BL1469</f>
        <v>0</v>
      </c>
      <c r="AO1469" s="26">
        <v>44419</v>
      </c>
      <c r="AP1469" s="26">
        <f>AQ1469</f>
        <v>44469</v>
      </c>
      <c r="AQ1469" s="26">
        <v>44469</v>
      </c>
      <c r="AR1469" s="24">
        <f>AP1469+3</f>
        <v>44472</v>
      </c>
      <c r="AS1469" s="24"/>
      <c r="AT1469" s="24">
        <v>44472</v>
      </c>
      <c r="AU1469" s="418">
        <f t="shared" si="82"/>
        <v>10</v>
      </c>
      <c r="AV1469" s="418">
        <f t="shared" si="83"/>
        <v>2021</v>
      </c>
      <c r="AW1469" s="24"/>
      <c r="AX1469" s="24"/>
      <c r="AY1469" s="24" t="s">
        <v>5642</v>
      </c>
      <c r="AZ1469" s="24" t="s">
        <v>37</v>
      </c>
      <c r="BA1469" s="24"/>
      <c r="BB1469" s="24" t="s">
        <v>3593</v>
      </c>
      <c r="BC1469" s="135" t="s">
        <v>5651</v>
      </c>
      <c r="BD1469" s="24">
        <v>44384</v>
      </c>
      <c r="BE1469" s="24" t="s">
        <v>5643</v>
      </c>
      <c r="BF1469" s="24" t="s">
        <v>5644</v>
      </c>
      <c r="BG1469" s="135" t="s">
        <v>52</v>
      </c>
      <c r="BH1469" s="135"/>
      <c r="BI1469" s="314" t="s">
        <v>124</v>
      </c>
      <c r="BJ1469" s="314" t="s">
        <v>143</v>
      </c>
      <c r="BK1469" s="24"/>
      <c r="BL1469" s="24"/>
      <c r="BM1469" s="24"/>
      <c r="BN1469" s="24"/>
      <c r="BO1469" s="24"/>
      <c r="BP1469" s="24"/>
      <c r="BQ1469" s="24"/>
      <c r="BR1469" s="24"/>
      <c r="BS1469" s="24"/>
      <c r="BT1469" s="24"/>
      <c r="BU1469" s="24"/>
      <c r="BV1469" s="132" t="e">
        <f>IF(#REF!="COMPLETO","OK","PENDIENTES")</f>
        <v>#REF!</v>
      </c>
      <c r="BW1469" s="132"/>
      <c r="BX1469" s="132"/>
      <c r="BY1469" s="132"/>
      <c r="BZ1469" s="132"/>
      <c r="CA1469" s="132"/>
      <c r="CB1469" s="132"/>
      <c r="CC1469" s="269" t="s">
        <v>5652</v>
      </c>
      <c r="CG1469" s="24" t="s">
        <v>105</v>
      </c>
      <c r="CH1469" s="24"/>
      <c r="CI1469" s="24"/>
      <c r="CJ1469" s="24"/>
    </row>
    <row r="1470" spans="1:88" ht="15" customHeight="1">
      <c r="A1470" s="18">
        <v>2021</v>
      </c>
      <c r="B1470" s="18" t="str">
        <f>+INDEX(BDD!F:F,MATCH(P1470,BDD!D:D,0))&amp;"-"&amp;INDEX(BDD!E:E,MATCH(P1470,BDD!D:D,0))</f>
        <v>G-S</v>
      </c>
      <c r="C1470" s="125" t="s">
        <v>484</v>
      </c>
      <c r="D1470" s="150" t="s">
        <v>77</v>
      </c>
      <c r="E1470" s="132"/>
      <c r="F1470" s="24"/>
      <c r="G1470" s="346">
        <v>8000001585</v>
      </c>
      <c r="H1470" s="125" t="s">
        <v>5653</v>
      </c>
      <c r="I1470" s="329"/>
      <c r="J1470" s="346">
        <v>8000001585</v>
      </c>
      <c r="K1470" s="24"/>
      <c r="L1470" s="24">
        <v>44482</v>
      </c>
      <c r="M1470" s="24">
        <v>44483</v>
      </c>
      <c r="N1470" s="340" t="s">
        <v>486</v>
      </c>
      <c r="O1470" s="334">
        <v>203616</v>
      </c>
      <c r="P1470" s="25" t="s">
        <v>357</v>
      </c>
      <c r="Q1470" s="127" t="s">
        <v>273</v>
      </c>
      <c r="R1470" s="232" t="s">
        <v>5639</v>
      </c>
      <c r="S1470" s="89">
        <v>44349</v>
      </c>
      <c r="T1470" s="36">
        <v>150</v>
      </c>
      <c r="U1470" s="125" t="s">
        <v>118</v>
      </c>
      <c r="V1470" s="147" t="s">
        <v>5654</v>
      </c>
      <c r="W1470" s="129"/>
      <c r="X1470" s="88">
        <f t="shared" si="84"/>
        <v>44534</v>
      </c>
      <c r="Y1470" s="130" t="s">
        <v>20</v>
      </c>
      <c r="Z1470" s="133" t="s">
        <v>60</v>
      </c>
      <c r="AA1470" s="133"/>
      <c r="AB1470" s="241">
        <v>420</v>
      </c>
      <c r="AC1470" s="134">
        <v>218.34</v>
      </c>
      <c r="AD1470" s="134"/>
      <c r="AE1470" s="403">
        <f t="shared" si="81"/>
        <v>91702.8</v>
      </c>
      <c r="AF1470" s="132"/>
      <c r="AG1470" s="130" t="s">
        <v>46</v>
      </c>
      <c r="AH1470" s="130"/>
      <c r="AI1470" s="130" t="s">
        <v>100</v>
      </c>
      <c r="AJ1470" s="130"/>
      <c r="AK1470" s="130"/>
      <c r="AL1470" s="135" t="s">
        <v>5484</v>
      </c>
      <c r="AM1470" s="314"/>
      <c r="AN1470" s="26">
        <f>BL1470</f>
        <v>0</v>
      </c>
      <c r="AO1470" s="26">
        <v>44419</v>
      </c>
      <c r="AP1470" s="26">
        <f>AQ1470</f>
        <v>44475</v>
      </c>
      <c r="AQ1470" s="26">
        <v>44475</v>
      </c>
      <c r="AR1470" s="24">
        <f>AP1470+1</f>
        <v>44476</v>
      </c>
      <c r="AS1470" s="24"/>
      <c r="AT1470" s="24">
        <v>44481</v>
      </c>
      <c r="AU1470" s="418">
        <f t="shared" si="82"/>
        <v>10</v>
      </c>
      <c r="AV1470" s="418">
        <f t="shared" si="83"/>
        <v>2021</v>
      </c>
      <c r="AW1470" s="24"/>
      <c r="AX1470" s="24"/>
      <c r="AY1470" s="24" t="s">
        <v>5642</v>
      </c>
      <c r="AZ1470" s="24" t="s">
        <v>62</v>
      </c>
      <c r="BA1470" s="24"/>
      <c r="BB1470" s="24" t="s">
        <v>3264</v>
      </c>
      <c r="BC1470" s="135" t="s">
        <v>5655</v>
      </c>
      <c r="BD1470" s="24">
        <v>44384</v>
      </c>
      <c r="BE1470" s="24" t="s">
        <v>5643</v>
      </c>
      <c r="BF1470" s="24" t="s">
        <v>5644</v>
      </c>
      <c r="BG1470" s="135" t="s">
        <v>52</v>
      </c>
      <c r="BH1470" s="135"/>
      <c r="BI1470" s="314" t="s">
        <v>124</v>
      </c>
      <c r="BJ1470" s="314" t="s">
        <v>143</v>
      </c>
      <c r="BK1470" s="24"/>
      <c r="BL1470" s="24"/>
      <c r="BM1470" s="24"/>
      <c r="BN1470" s="24"/>
      <c r="BO1470" s="24"/>
      <c r="BP1470" s="24"/>
      <c r="BQ1470" s="24"/>
      <c r="BR1470" s="24"/>
      <c r="BS1470" s="24"/>
      <c r="BT1470" s="24"/>
      <c r="BU1470" s="24"/>
      <c r="BV1470" s="132" t="e">
        <f>IF(#REF!="COMPLETO","OK","PENDIENTES")</f>
        <v>#REF!</v>
      </c>
      <c r="BW1470" s="132"/>
      <c r="BX1470" s="132"/>
      <c r="BY1470" s="132"/>
      <c r="BZ1470" s="132"/>
      <c r="CA1470" s="132"/>
      <c r="CB1470" s="132"/>
      <c r="CC1470" s="269" t="s">
        <v>5656</v>
      </c>
      <c r="CG1470" s="24" t="s">
        <v>105</v>
      </c>
      <c r="CH1470" s="24"/>
      <c r="CI1470" s="24"/>
      <c r="CJ1470" s="24"/>
    </row>
    <row r="1471" spans="1:88" ht="15" customHeight="1">
      <c r="A1471" s="18">
        <v>2021</v>
      </c>
      <c r="B1471" s="18" t="str">
        <f>+INDEX(BDD!F:F,MATCH(P1471,BDD!D:D,0))&amp;"-"&amp;INDEX(BDD!E:E,MATCH(P1471,BDD!D:D,0))</f>
        <v>G-S</v>
      </c>
      <c r="C1471" s="125" t="s">
        <v>484</v>
      </c>
      <c r="D1471" s="150" t="s">
        <v>77</v>
      </c>
      <c r="E1471" s="132"/>
      <c r="F1471" s="24"/>
      <c r="G1471" s="346">
        <v>8000001547</v>
      </c>
      <c r="H1471" s="125" t="s">
        <v>5657</v>
      </c>
      <c r="I1471" s="329"/>
      <c r="J1471" s="346">
        <v>8000001547</v>
      </c>
      <c r="K1471" s="24"/>
      <c r="L1471" s="24">
        <v>44456</v>
      </c>
      <c r="M1471" s="24">
        <v>44466</v>
      </c>
      <c r="N1471" s="340" t="s">
        <v>486</v>
      </c>
      <c r="O1471" s="334">
        <v>206569</v>
      </c>
      <c r="P1471" s="25" t="s">
        <v>142</v>
      </c>
      <c r="Q1471" s="127" t="s">
        <v>273</v>
      </c>
      <c r="R1471" s="232" t="s">
        <v>5639</v>
      </c>
      <c r="S1471" s="89">
        <v>44349</v>
      </c>
      <c r="T1471" s="36">
        <v>150</v>
      </c>
      <c r="U1471" s="125" t="s">
        <v>118</v>
      </c>
      <c r="V1471" s="147" t="s">
        <v>5658</v>
      </c>
      <c r="W1471" s="129"/>
      <c r="X1471" s="88">
        <f t="shared" si="84"/>
        <v>44529</v>
      </c>
      <c r="Y1471" s="130" t="s">
        <v>20</v>
      </c>
      <c r="Z1471" s="133" t="s">
        <v>60</v>
      </c>
      <c r="AA1471" s="133"/>
      <c r="AB1471" s="241">
        <v>950</v>
      </c>
      <c r="AC1471" s="134">
        <v>603.47</v>
      </c>
      <c r="AD1471" s="134"/>
      <c r="AE1471" s="403">
        <f t="shared" si="81"/>
        <v>573296.5</v>
      </c>
      <c r="AF1471" s="132"/>
      <c r="AG1471" s="130" t="s">
        <v>46</v>
      </c>
      <c r="AH1471" s="130"/>
      <c r="AI1471" s="130" t="s">
        <v>100</v>
      </c>
      <c r="AJ1471" s="130"/>
      <c r="AK1471" s="130"/>
      <c r="AL1471" s="135" t="s">
        <v>5484</v>
      </c>
      <c r="AM1471" s="314"/>
      <c r="AN1471" s="26"/>
      <c r="AO1471" s="26">
        <v>44419</v>
      </c>
      <c r="AP1471" s="26"/>
      <c r="AQ1471" s="26">
        <v>44459</v>
      </c>
      <c r="AR1471" s="24"/>
      <c r="AS1471" s="24"/>
      <c r="AT1471" s="24">
        <v>44465</v>
      </c>
      <c r="AU1471" s="418">
        <f t="shared" si="82"/>
        <v>9</v>
      </c>
      <c r="AV1471" s="418">
        <f t="shared" si="83"/>
        <v>2021</v>
      </c>
      <c r="AW1471" s="24"/>
      <c r="AX1471" s="24"/>
      <c r="AY1471" s="24" t="s">
        <v>5642</v>
      </c>
      <c r="AZ1471" s="24" t="s">
        <v>25</v>
      </c>
      <c r="BA1471" s="24"/>
      <c r="BB1471" s="24" t="s">
        <v>3264</v>
      </c>
      <c r="BC1471" s="135" t="s">
        <v>5659</v>
      </c>
      <c r="BD1471" s="24">
        <v>44379</v>
      </c>
      <c r="BE1471" s="24" t="s">
        <v>5643</v>
      </c>
      <c r="BF1471" s="24" t="s">
        <v>5644</v>
      </c>
      <c r="BG1471" s="135" t="s">
        <v>52</v>
      </c>
      <c r="BH1471" s="135"/>
      <c r="BI1471" s="314" t="s">
        <v>117</v>
      </c>
      <c r="BJ1471" s="314" t="s">
        <v>143</v>
      </c>
      <c r="BK1471" s="24"/>
      <c r="BL1471" s="24"/>
      <c r="BM1471" s="24"/>
      <c r="BN1471" s="24"/>
      <c r="BO1471" s="24"/>
      <c r="BP1471" s="24"/>
      <c r="BQ1471" s="24"/>
      <c r="BR1471" s="24"/>
      <c r="BS1471" s="24"/>
      <c r="BT1471" s="24"/>
      <c r="BU1471" s="24"/>
      <c r="BV1471" s="132" t="e">
        <f>IF(#REF!="COMPLETO","OK","PENDIENTES")</f>
        <v>#REF!</v>
      </c>
      <c r="BW1471" s="132"/>
      <c r="BX1471" s="132"/>
      <c r="BY1471" s="132"/>
      <c r="BZ1471" s="132"/>
      <c r="CA1471" s="132"/>
      <c r="CB1471" s="132"/>
      <c r="CC1471" s="269"/>
      <c r="CG1471" s="24" t="s">
        <v>105</v>
      </c>
      <c r="CH1471" s="24"/>
      <c r="CI1471" s="24"/>
      <c r="CJ1471" s="24"/>
    </row>
    <row r="1472" spans="1:88" ht="15" customHeight="1">
      <c r="A1472" s="18">
        <v>2021</v>
      </c>
      <c r="B1472" s="18" t="str">
        <f>+INDEX(BDD!F:F,MATCH(P1472,BDD!D:D,0))&amp;"-"&amp;INDEX(BDD!E:E,MATCH(P1472,BDD!D:D,0))</f>
        <v>G-S</v>
      </c>
      <c r="C1472" s="125" t="s">
        <v>484</v>
      </c>
      <c r="D1472" s="150" t="s">
        <v>77</v>
      </c>
      <c r="E1472" s="132"/>
      <c r="F1472" s="24"/>
      <c r="G1472" s="346">
        <v>8000001554</v>
      </c>
      <c r="H1472" s="125" t="s">
        <v>5660</v>
      </c>
      <c r="I1472" s="329"/>
      <c r="J1472" s="346">
        <v>8000001554</v>
      </c>
      <c r="K1472" s="24"/>
      <c r="L1472" s="24">
        <v>44459</v>
      </c>
      <c r="M1472" s="24">
        <v>44473</v>
      </c>
      <c r="N1472" s="340" t="s">
        <v>486</v>
      </c>
      <c r="O1472" s="334">
        <v>206569</v>
      </c>
      <c r="P1472" s="25" t="s">
        <v>142</v>
      </c>
      <c r="Q1472" s="127" t="s">
        <v>273</v>
      </c>
      <c r="R1472" s="232" t="s">
        <v>5639</v>
      </c>
      <c r="S1472" s="89">
        <v>44349</v>
      </c>
      <c r="T1472" s="36">
        <v>150</v>
      </c>
      <c r="U1472" s="125" t="s">
        <v>118</v>
      </c>
      <c r="V1472" s="147" t="s">
        <v>5661</v>
      </c>
      <c r="W1472" s="129"/>
      <c r="X1472" s="88">
        <f t="shared" si="84"/>
        <v>44529</v>
      </c>
      <c r="Y1472" s="130" t="s">
        <v>20</v>
      </c>
      <c r="Z1472" s="133" t="s">
        <v>60</v>
      </c>
      <c r="AA1472" s="133"/>
      <c r="AB1472" s="241">
        <v>2150</v>
      </c>
      <c r="AC1472" s="134">
        <v>603.47</v>
      </c>
      <c r="AD1472" s="134"/>
      <c r="AE1472" s="403">
        <f t="shared" si="81"/>
        <v>1297460.5</v>
      </c>
      <c r="AF1472" s="132"/>
      <c r="AG1472" s="130" t="s">
        <v>46</v>
      </c>
      <c r="AH1472" s="130"/>
      <c r="AI1472" s="130" t="s">
        <v>100</v>
      </c>
      <c r="AJ1472" s="130"/>
      <c r="AK1472" s="130"/>
      <c r="AL1472" s="135" t="s">
        <v>5484</v>
      </c>
      <c r="AM1472" s="314"/>
      <c r="AN1472" s="26">
        <f>BL1472</f>
        <v>0</v>
      </c>
      <c r="AO1472" s="26">
        <v>44419</v>
      </c>
      <c r="AP1472" s="26">
        <f>AQ1472</f>
        <v>44469</v>
      </c>
      <c r="AQ1472" s="26">
        <v>44469</v>
      </c>
      <c r="AR1472" s="24">
        <f>AP1472+3</f>
        <v>44472</v>
      </c>
      <c r="AS1472" s="24"/>
      <c r="AT1472" s="24">
        <v>44473</v>
      </c>
      <c r="AU1472" s="418">
        <f t="shared" si="82"/>
        <v>10</v>
      </c>
      <c r="AV1472" s="418">
        <f t="shared" si="83"/>
        <v>2021</v>
      </c>
      <c r="AW1472" s="24"/>
      <c r="AX1472" s="24"/>
      <c r="AY1472" s="24" t="s">
        <v>5642</v>
      </c>
      <c r="AZ1472" s="24" t="s">
        <v>37</v>
      </c>
      <c r="BA1472" s="24"/>
      <c r="BB1472" s="24" t="s">
        <v>3593</v>
      </c>
      <c r="BC1472" s="135" t="s">
        <v>5662</v>
      </c>
      <c r="BD1472" s="24">
        <v>44379</v>
      </c>
      <c r="BE1472" s="24" t="s">
        <v>5643</v>
      </c>
      <c r="BF1472" s="24" t="s">
        <v>5644</v>
      </c>
      <c r="BG1472" s="135" t="s">
        <v>52</v>
      </c>
      <c r="BH1472" s="135"/>
      <c r="BI1472" s="314" t="s">
        <v>124</v>
      </c>
      <c r="BJ1472" s="314" t="s">
        <v>143</v>
      </c>
      <c r="BK1472" s="24"/>
      <c r="BL1472" s="24"/>
      <c r="BM1472" s="24"/>
      <c r="BN1472" s="24"/>
      <c r="BO1472" s="24"/>
      <c r="BP1472" s="24"/>
      <c r="BQ1472" s="24"/>
      <c r="BR1472" s="24"/>
      <c r="BS1472" s="24"/>
      <c r="BT1472" s="24"/>
      <c r="BU1472" s="24"/>
      <c r="BV1472" s="132" t="e">
        <f>IF(#REF!="COMPLETO","OK","PENDIENTES")</f>
        <v>#REF!</v>
      </c>
      <c r="BW1472" s="132"/>
      <c r="BX1472" s="132"/>
      <c r="BY1472" s="132"/>
      <c r="BZ1472" s="132"/>
      <c r="CA1472" s="132"/>
      <c r="CB1472" s="132"/>
      <c r="CC1472" s="269"/>
      <c r="CG1472" s="24" t="s">
        <v>105</v>
      </c>
      <c r="CH1472" s="24"/>
      <c r="CI1472" s="24"/>
      <c r="CJ1472" s="24"/>
    </row>
    <row r="1473" spans="1:88" ht="15" customHeight="1">
      <c r="A1473" s="18">
        <v>2021</v>
      </c>
      <c r="B1473" s="18" t="str">
        <f>+INDEX(BDD!F:F,MATCH(P1473,BDD!D:D,0))&amp;"-"&amp;INDEX(BDD!E:E,MATCH(P1473,BDD!D:D,0))</f>
        <v>G-S</v>
      </c>
      <c r="C1473" s="125" t="s">
        <v>484</v>
      </c>
      <c r="D1473" s="150" t="s">
        <v>77</v>
      </c>
      <c r="E1473" s="132"/>
      <c r="F1473" s="24"/>
      <c r="G1473" s="346">
        <v>8000001586</v>
      </c>
      <c r="H1473" s="125" t="s">
        <v>5663</v>
      </c>
      <c r="I1473" s="329"/>
      <c r="J1473" s="346">
        <v>8000001586</v>
      </c>
      <c r="K1473" s="24"/>
      <c r="L1473" s="24">
        <v>44480</v>
      </c>
      <c r="M1473" s="24">
        <v>44483</v>
      </c>
      <c r="N1473" s="340" t="s">
        <v>486</v>
      </c>
      <c r="O1473" s="334">
        <v>206569</v>
      </c>
      <c r="P1473" s="25" t="s">
        <v>142</v>
      </c>
      <c r="Q1473" s="127" t="s">
        <v>273</v>
      </c>
      <c r="R1473" s="232" t="s">
        <v>5639</v>
      </c>
      <c r="S1473" s="89">
        <v>44349</v>
      </c>
      <c r="T1473" s="36">
        <v>150</v>
      </c>
      <c r="U1473" s="125" t="s">
        <v>118</v>
      </c>
      <c r="V1473" s="147" t="s">
        <v>5664</v>
      </c>
      <c r="W1473" s="129"/>
      <c r="X1473" s="88">
        <f t="shared" si="84"/>
        <v>44529</v>
      </c>
      <c r="Y1473" s="130" t="s">
        <v>20</v>
      </c>
      <c r="Z1473" s="133" t="s">
        <v>60</v>
      </c>
      <c r="AA1473" s="133"/>
      <c r="AB1473" s="241">
        <v>1900</v>
      </c>
      <c r="AC1473" s="134">
        <v>603.47</v>
      </c>
      <c r="AD1473" s="134"/>
      <c r="AE1473" s="403">
        <f t="shared" si="81"/>
        <v>1146593</v>
      </c>
      <c r="AF1473" s="132"/>
      <c r="AG1473" s="130" t="s">
        <v>46</v>
      </c>
      <c r="AH1473" s="130"/>
      <c r="AI1473" s="130" t="s">
        <v>100</v>
      </c>
      <c r="AJ1473" s="130"/>
      <c r="AK1473" s="130"/>
      <c r="AL1473" s="135" t="s">
        <v>5484</v>
      </c>
      <c r="AM1473" s="314"/>
      <c r="AN1473" s="26">
        <f>BL1473</f>
        <v>0</v>
      </c>
      <c r="AO1473" s="26">
        <v>44419</v>
      </c>
      <c r="AP1473" s="26">
        <f>AQ1473</f>
        <v>44475</v>
      </c>
      <c r="AQ1473" s="26">
        <v>44475</v>
      </c>
      <c r="AR1473" s="24">
        <f>AP1473+1</f>
        <v>44476</v>
      </c>
      <c r="AS1473" s="24"/>
      <c r="AT1473" s="24">
        <v>44481</v>
      </c>
      <c r="AU1473" s="418">
        <f t="shared" si="82"/>
        <v>10</v>
      </c>
      <c r="AV1473" s="418">
        <f t="shared" si="83"/>
        <v>2021</v>
      </c>
      <c r="AW1473" s="24"/>
      <c r="AX1473" s="24"/>
      <c r="AY1473" s="24" t="s">
        <v>5642</v>
      </c>
      <c r="AZ1473" s="24" t="s">
        <v>62</v>
      </c>
      <c r="BA1473" s="24"/>
      <c r="BB1473" s="24" t="s">
        <v>3264</v>
      </c>
      <c r="BC1473" s="135" t="s">
        <v>5665</v>
      </c>
      <c r="BD1473" s="24">
        <v>44379</v>
      </c>
      <c r="BE1473" s="24" t="s">
        <v>5643</v>
      </c>
      <c r="BF1473" s="24" t="s">
        <v>5644</v>
      </c>
      <c r="BG1473" s="135" t="s">
        <v>52</v>
      </c>
      <c r="BH1473" s="135"/>
      <c r="BI1473" s="314" t="s">
        <v>124</v>
      </c>
      <c r="BJ1473" s="314" t="s">
        <v>143</v>
      </c>
      <c r="BK1473" s="24"/>
      <c r="BL1473" s="24"/>
      <c r="BM1473" s="24"/>
      <c r="BN1473" s="24"/>
      <c r="BO1473" s="24"/>
      <c r="BP1473" s="24"/>
      <c r="BQ1473" s="24"/>
      <c r="BR1473" s="24"/>
      <c r="BS1473" s="24"/>
      <c r="BT1473" s="24"/>
      <c r="BU1473" s="24"/>
      <c r="BV1473" s="132" t="e">
        <f>IF(#REF!="COMPLETO","OK","PENDIENTES")</f>
        <v>#REF!</v>
      </c>
      <c r="BW1473" s="132"/>
      <c r="BX1473" s="132"/>
      <c r="BY1473" s="132"/>
      <c r="BZ1473" s="132"/>
      <c r="CA1473" s="132"/>
      <c r="CB1473" s="132"/>
      <c r="CC1473" s="269"/>
      <c r="CG1473" s="24" t="s">
        <v>105</v>
      </c>
      <c r="CH1473" s="24"/>
      <c r="CI1473" s="24"/>
      <c r="CJ1473" s="24"/>
    </row>
    <row r="1474" spans="1:88" ht="15" customHeight="1">
      <c r="A1474" s="18">
        <v>2021</v>
      </c>
      <c r="B1474" s="18" t="str">
        <f>+INDEX(BDD!F:F,MATCH(P1474,BDD!D:D,0))&amp;"-"&amp;INDEX(BDD!E:E,MATCH(P1474,BDD!D:D,0))</f>
        <v>G-S</v>
      </c>
      <c r="C1474" s="125" t="s">
        <v>484</v>
      </c>
      <c r="D1474" s="150" t="s">
        <v>77</v>
      </c>
      <c r="E1474" s="132"/>
      <c r="F1474" s="24"/>
      <c r="G1474" s="346">
        <v>8000001587</v>
      </c>
      <c r="H1474" s="125" t="s">
        <v>5666</v>
      </c>
      <c r="I1474" s="329"/>
      <c r="J1474" s="346">
        <v>8000001587</v>
      </c>
      <c r="K1474" s="24"/>
      <c r="L1474" s="24">
        <v>44480</v>
      </c>
      <c r="M1474" s="24">
        <v>44480</v>
      </c>
      <c r="N1474" s="340" t="s">
        <v>486</v>
      </c>
      <c r="O1474" s="334">
        <v>209371</v>
      </c>
      <c r="P1474" s="25" t="s">
        <v>147</v>
      </c>
      <c r="Q1474" s="127" t="s">
        <v>273</v>
      </c>
      <c r="R1474" s="232" t="s">
        <v>5639</v>
      </c>
      <c r="S1474" s="89">
        <v>44349</v>
      </c>
      <c r="T1474" s="36">
        <v>150</v>
      </c>
      <c r="U1474" s="125" t="s">
        <v>118</v>
      </c>
      <c r="V1474" s="147" t="s">
        <v>5667</v>
      </c>
      <c r="W1474" s="129"/>
      <c r="X1474" s="88">
        <f t="shared" si="84"/>
        <v>44529</v>
      </c>
      <c r="Y1474" s="130" t="s">
        <v>20</v>
      </c>
      <c r="Z1474" s="133" t="s">
        <v>60</v>
      </c>
      <c r="AA1474" s="133"/>
      <c r="AB1474" s="241">
        <v>5500</v>
      </c>
      <c r="AC1474" s="134">
        <v>539.79</v>
      </c>
      <c r="AD1474" s="134"/>
      <c r="AE1474" s="403">
        <f t="shared" ref="AE1474:AE1537" si="85">AB1474*AC1474</f>
        <v>2968845</v>
      </c>
      <c r="AF1474" s="132"/>
      <c r="AG1474" s="130" t="s">
        <v>46</v>
      </c>
      <c r="AH1474" s="130"/>
      <c r="AI1474" s="130" t="s">
        <v>100</v>
      </c>
      <c r="AJ1474" s="130"/>
      <c r="AK1474" s="130"/>
      <c r="AL1474" s="135" t="s">
        <v>5484</v>
      </c>
      <c r="AM1474" s="314"/>
      <c r="AN1474" s="26">
        <f>BL1474</f>
        <v>0</v>
      </c>
      <c r="AO1474" s="26">
        <v>44419</v>
      </c>
      <c r="AP1474" s="26">
        <f>AQ1474</f>
        <v>44475</v>
      </c>
      <c r="AQ1474" s="26">
        <v>44475</v>
      </c>
      <c r="AR1474" s="24">
        <f>AP1474+1</f>
        <v>44476</v>
      </c>
      <c r="AS1474" s="24"/>
      <c r="AT1474" s="24">
        <v>44482</v>
      </c>
      <c r="AU1474" s="418">
        <f t="shared" si="82"/>
        <v>10</v>
      </c>
      <c r="AV1474" s="418">
        <f t="shared" si="83"/>
        <v>2021</v>
      </c>
      <c r="AW1474" s="24"/>
      <c r="AX1474" s="24"/>
      <c r="AY1474" s="24" t="s">
        <v>5642</v>
      </c>
      <c r="AZ1474" s="24" t="s">
        <v>62</v>
      </c>
      <c r="BA1474" s="24"/>
      <c r="BB1474" s="24" t="s">
        <v>3264</v>
      </c>
      <c r="BC1474" s="135" t="s">
        <v>5668</v>
      </c>
      <c r="BD1474" s="24">
        <v>44379</v>
      </c>
      <c r="BE1474" s="24" t="s">
        <v>5643</v>
      </c>
      <c r="BF1474" s="24" t="s">
        <v>5644</v>
      </c>
      <c r="BG1474" s="135" t="s">
        <v>52</v>
      </c>
      <c r="BH1474" s="135"/>
      <c r="BI1474" s="314" t="s">
        <v>124</v>
      </c>
      <c r="BJ1474" s="314" t="s">
        <v>143</v>
      </c>
      <c r="BK1474" s="24"/>
      <c r="BL1474" s="24"/>
      <c r="BM1474" s="24"/>
      <c r="BN1474" s="24"/>
      <c r="BO1474" s="24"/>
      <c r="BP1474" s="24"/>
      <c r="BQ1474" s="24"/>
      <c r="BR1474" s="24"/>
      <c r="BS1474" s="24"/>
      <c r="BT1474" s="24"/>
      <c r="BU1474" s="24"/>
      <c r="BV1474" s="132" t="e">
        <f>IF(#REF!="COMPLETO","OK","PENDIENTES")</f>
        <v>#REF!</v>
      </c>
      <c r="BW1474" s="132"/>
      <c r="BX1474" s="132"/>
      <c r="BY1474" s="132"/>
      <c r="BZ1474" s="132"/>
      <c r="CA1474" s="132"/>
      <c r="CB1474" s="132"/>
      <c r="CC1474" s="269"/>
      <c r="CG1474" s="24" t="s">
        <v>105</v>
      </c>
      <c r="CH1474" s="24"/>
      <c r="CI1474" s="24"/>
      <c r="CJ1474" s="24"/>
    </row>
    <row r="1475" spans="1:88" ht="15" customHeight="1">
      <c r="A1475" s="18">
        <v>2021</v>
      </c>
      <c r="B1475" s="18" t="str">
        <f>+INDEX(BDD!F:F,MATCH(P1475,BDD!D:D,0))&amp;"-"&amp;INDEX(BDD!E:E,MATCH(P1475,BDD!D:D,0))</f>
        <v>G-S</v>
      </c>
      <c r="C1475" s="125" t="s">
        <v>484</v>
      </c>
      <c r="D1475" s="150" t="s">
        <v>77</v>
      </c>
      <c r="E1475" s="132"/>
      <c r="F1475" s="24"/>
      <c r="G1475" s="346">
        <v>8000001592</v>
      </c>
      <c r="H1475" s="125" t="s">
        <v>5669</v>
      </c>
      <c r="I1475" s="329"/>
      <c r="J1475" s="346">
        <v>8000001592</v>
      </c>
      <c r="K1475" s="24"/>
      <c r="L1475" s="24">
        <v>44456</v>
      </c>
      <c r="M1475" s="24">
        <v>44457</v>
      </c>
      <c r="N1475" s="340" t="s">
        <v>486</v>
      </c>
      <c r="O1475" s="334">
        <v>203577</v>
      </c>
      <c r="P1475" s="25" t="s">
        <v>353</v>
      </c>
      <c r="Q1475" s="127" t="s">
        <v>273</v>
      </c>
      <c r="R1475" s="232" t="s">
        <v>5639</v>
      </c>
      <c r="S1475" s="89">
        <v>44349</v>
      </c>
      <c r="T1475" s="36">
        <v>150</v>
      </c>
      <c r="U1475" s="125" t="s">
        <v>118</v>
      </c>
      <c r="V1475" s="147" t="s">
        <v>5670</v>
      </c>
      <c r="W1475" s="129"/>
      <c r="X1475" s="88">
        <f t="shared" si="84"/>
        <v>44569</v>
      </c>
      <c r="Y1475" s="130" t="s">
        <v>20</v>
      </c>
      <c r="Z1475" s="133" t="s">
        <v>60</v>
      </c>
      <c r="AA1475" s="133"/>
      <c r="AB1475" s="241">
        <v>1060</v>
      </c>
      <c r="AC1475" s="134">
        <v>401.3</v>
      </c>
      <c r="AD1475" s="134"/>
      <c r="AE1475" s="403">
        <f t="shared" si="85"/>
        <v>425378</v>
      </c>
      <c r="AF1475" s="132"/>
      <c r="AG1475" s="130" t="s">
        <v>46</v>
      </c>
      <c r="AH1475" s="130"/>
      <c r="AI1475" s="130" t="s">
        <v>100</v>
      </c>
      <c r="AJ1475" s="130"/>
      <c r="AK1475" s="130"/>
      <c r="AL1475" s="135" t="s">
        <v>5484</v>
      </c>
      <c r="AM1475" s="314"/>
      <c r="AN1475" s="26"/>
      <c r="AO1475" s="26">
        <v>44419</v>
      </c>
      <c r="AP1475" s="26"/>
      <c r="AQ1475" s="26">
        <v>44452</v>
      </c>
      <c r="AR1475" s="24"/>
      <c r="AS1475" s="24"/>
      <c r="AT1475" s="24">
        <v>44457</v>
      </c>
      <c r="AU1475" s="418">
        <f t="shared" ref="AU1475:AU1538" si="86">MONTH(AT1475)</f>
        <v>9</v>
      </c>
      <c r="AV1475" s="418">
        <f t="shared" ref="AV1475:AV1538" si="87">YEAR(AT1475)</f>
        <v>2021</v>
      </c>
      <c r="AW1475" s="24"/>
      <c r="AX1475" s="24"/>
      <c r="AY1475" s="24" t="s">
        <v>3199</v>
      </c>
      <c r="AZ1475" s="24" t="s">
        <v>9</v>
      </c>
      <c r="BA1475" s="24"/>
      <c r="BB1475" s="24" t="s">
        <v>3519</v>
      </c>
      <c r="BC1475" s="135" t="s">
        <v>5671</v>
      </c>
      <c r="BD1475" s="24">
        <v>44419</v>
      </c>
      <c r="BE1475" s="24" t="s">
        <v>5643</v>
      </c>
      <c r="BF1475" s="24" t="s">
        <v>5644</v>
      </c>
      <c r="BG1475" s="135" t="s">
        <v>52</v>
      </c>
      <c r="BH1475" s="135"/>
      <c r="BI1475" s="314" t="s">
        <v>117</v>
      </c>
      <c r="BJ1475" s="314" t="s">
        <v>143</v>
      </c>
      <c r="BK1475" s="24"/>
      <c r="BL1475" s="24"/>
      <c r="BM1475" s="24"/>
      <c r="BN1475" s="24"/>
      <c r="BO1475" s="24"/>
      <c r="BP1475" s="24"/>
      <c r="BQ1475" s="24"/>
      <c r="BR1475" s="24"/>
      <c r="BS1475" s="24"/>
      <c r="BT1475" s="24"/>
      <c r="BU1475" s="24"/>
      <c r="BV1475" s="132" t="e">
        <f>IF(#REF!="COMPLETO","OK","PENDIENTES")</f>
        <v>#REF!</v>
      </c>
      <c r="BW1475" s="132"/>
      <c r="BX1475" s="132"/>
      <c r="BY1475" s="132"/>
      <c r="BZ1475" s="132"/>
      <c r="CA1475" s="132"/>
      <c r="CB1475" s="132"/>
      <c r="CC1475" s="269" t="s">
        <v>5672</v>
      </c>
      <c r="CG1475" s="24" t="s">
        <v>105</v>
      </c>
      <c r="CH1475" s="24"/>
      <c r="CI1475" s="24"/>
      <c r="CJ1475" s="24"/>
    </row>
    <row r="1476" spans="1:88" ht="15" customHeight="1">
      <c r="A1476" s="18">
        <v>2021</v>
      </c>
      <c r="B1476" s="18" t="str">
        <f>+INDEX(BDD!F:F,MATCH(P1476,BDD!D:D,0))&amp;"-"&amp;INDEX(BDD!E:E,MATCH(P1476,BDD!D:D,0))</f>
        <v>G-S</v>
      </c>
      <c r="C1476" s="125" t="s">
        <v>484</v>
      </c>
      <c r="D1476" s="150" t="s">
        <v>77</v>
      </c>
      <c r="E1476" s="132"/>
      <c r="F1476" s="24"/>
      <c r="G1476" s="346">
        <v>8000001593</v>
      </c>
      <c r="H1476" s="125" t="s">
        <v>5673</v>
      </c>
      <c r="I1476" s="329"/>
      <c r="J1476" s="346">
        <v>8000001593</v>
      </c>
      <c r="K1476" s="24"/>
      <c r="L1476" s="24">
        <v>44456</v>
      </c>
      <c r="M1476" s="24">
        <v>44469</v>
      </c>
      <c r="N1476" s="340" t="s">
        <v>486</v>
      </c>
      <c r="O1476" s="334">
        <v>203577</v>
      </c>
      <c r="P1476" s="25" t="s">
        <v>353</v>
      </c>
      <c r="Q1476" s="127" t="s">
        <v>273</v>
      </c>
      <c r="R1476" s="232" t="s">
        <v>5639</v>
      </c>
      <c r="S1476" s="89">
        <v>44349</v>
      </c>
      <c r="T1476" s="36">
        <v>150</v>
      </c>
      <c r="U1476" s="125" t="s">
        <v>118</v>
      </c>
      <c r="V1476" s="147" t="s">
        <v>5674</v>
      </c>
      <c r="W1476" s="129"/>
      <c r="X1476" s="88">
        <f t="shared" si="84"/>
        <v>44569</v>
      </c>
      <c r="Y1476" s="130" t="s">
        <v>20</v>
      </c>
      <c r="Z1476" s="133" t="s">
        <v>60</v>
      </c>
      <c r="AA1476" s="133"/>
      <c r="AB1476" s="241">
        <v>800</v>
      </c>
      <c r="AC1476" s="134">
        <v>401.3</v>
      </c>
      <c r="AD1476" s="134"/>
      <c r="AE1476" s="403">
        <f t="shared" si="85"/>
        <v>321040</v>
      </c>
      <c r="AF1476" s="132"/>
      <c r="AG1476" s="130" t="s">
        <v>46</v>
      </c>
      <c r="AH1476" s="130"/>
      <c r="AI1476" s="130" t="s">
        <v>100</v>
      </c>
      <c r="AJ1476" s="130"/>
      <c r="AK1476" s="130"/>
      <c r="AL1476" s="135" t="s">
        <v>5484</v>
      </c>
      <c r="AM1476" s="314"/>
      <c r="AN1476" s="26"/>
      <c r="AO1476" s="26">
        <v>44419</v>
      </c>
      <c r="AP1476" s="26"/>
      <c r="AQ1476" s="26">
        <v>44459</v>
      </c>
      <c r="AR1476" s="24"/>
      <c r="AS1476" s="24"/>
      <c r="AT1476" s="24">
        <v>44465</v>
      </c>
      <c r="AU1476" s="418">
        <f t="shared" si="86"/>
        <v>9</v>
      </c>
      <c r="AV1476" s="418">
        <f t="shared" si="87"/>
        <v>2021</v>
      </c>
      <c r="AW1476" s="24"/>
      <c r="AX1476" s="24"/>
      <c r="AY1476" s="24" t="s">
        <v>3199</v>
      </c>
      <c r="AZ1476" s="24" t="s">
        <v>25</v>
      </c>
      <c r="BA1476" s="24"/>
      <c r="BB1476" s="24" t="s">
        <v>3264</v>
      </c>
      <c r="BC1476" s="135" t="s">
        <v>5675</v>
      </c>
      <c r="BD1476" s="24">
        <v>44419</v>
      </c>
      <c r="BE1476" s="24" t="s">
        <v>5643</v>
      </c>
      <c r="BF1476" s="24" t="s">
        <v>5644</v>
      </c>
      <c r="BG1476" s="135" t="s">
        <v>52</v>
      </c>
      <c r="BH1476" s="135"/>
      <c r="BI1476" s="314" t="s">
        <v>117</v>
      </c>
      <c r="BJ1476" s="314" t="s">
        <v>143</v>
      </c>
      <c r="BK1476" s="24"/>
      <c r="BL1476" s="24"/>
      <c r="BM1476" s="24"/>
      <c r="BN1476" s="24"/>
      <c r="BO1476" s="24"/>
      <c r="BP1476" s="24"/>
      <c r="BQ1476" s="24"/>
      <c r="BR1476" s="24"/>
      <c r="BS1476" s="24"/>
      <c r="BT1476" s="24"/>
      <c r="BU1476" s="24"/>
      <c r="BV1476" s="132" t="e">
        <f>IF(#REF!="COMPLETO","OK","PENDIENTES")</f>
        <v>#REF!</v>
      </c>
      <c r="BW1476" s="132"/>
      <c r="BX1476" s="132"/>
      <c r="BY1476" s="132"/>
      <c r="BZ1476" s="132"/>
      <c r="CA1476" s="132"/>
      <c r="CB1476" s="132"/>
      <c r="CC1476" s="269" t="s">
        <v>5676</v>
      </c>
      <c r="CG1476" s="24" t="s">
        <v>105</v>
      </c>
      <c r="CH1476" s="24"/>
      <c r="CI1476" s="24"/>
      <c r="CJ1476" s="24"/>
    </row>
    <row r="1477" spans="1:88" ht="15" customHeight="1">
      <c r="A1477" s="18">
        <v>2021</v>
      </c>
      <c r="B1477" s="18" t="str">
        <f>+INDEX(BDD!F:F,MATCH(P1477,BDD!D:D,0))&amp;"-"&amp;INDEX(BDD!E:E,MATCH(P1477,BDD!D:D,0))</f>
        <v>G-S</v>
      </c>
      <c r="C1477" s="125" t="s">
        <v>484</v>
      </c>
      <c r="D1477" s="150" t="s">
        <v>77</v>
      </c>
      <c r="E1477" s="132"/>
      <c r="F1477" s="24"/>
      <c r="G1477" s="346">
        <v>8000001578</v>
      </c>
      <c r="H1477" s="125" t="s">
        <v>5677</v>
      </c>
      <c r="I1477" s="329"/>
      <c r="J1477" s="346">
        <v>8000001578</v>
      </c>
      <c r="K1477" s="24"/>
      <c r="L1477" s="24">
        <v>44459</v>
      </c>
      <c r="M1477" s="24">
        <v>44470</v>
      </c>
      <c r="N1477" s="340" t="s">
        <v>486</v>
      </c>
      <c r="O1477" s="334">
        <v>203577</v>
      </c>
      <c r="P1477" s="25" t="s">
        <v>353</v>
      </c>
      <c r="Q1477" s="127" t="s">
        <v>273</v>
      </c>
      <c r="R1477" s="232" t="s">
        <v>5639</v>
      </c>
      <c r="S1477" s="89">
        <v>44349</v>
      </c>
      <c r="T1477" s="36">
        <v>150</v>
      </c>
      <c r="U1477" s="125" t="s">
        <v>118</v>
      </c>
      <c r="V1477" s="147" t="s">
        <v>5678</v>
      </c>
      <c r="W1477" s="129"/>
      <c r="X1477" s="88">
        <f t="shared" si="84"/>
        <v>44569</v>
      </c>
      <c r="Y1477" s="130" t="s">
        <v>20</v>
      </c>
      <c r="Z1477" s="133" t="s">
        <v>60</v>
      </c>
      <c r="AA1477" s="133"/>
      <c r="AB1477" s="241">
        <v>950</v>
      </c>
      <c r="AC1477" s="134">
        <v>401.3</v>
      </c>
      <c r="AD1477" s="134"/>
      <c r="AE1477" s="403">
        <f t="shared" si="85"/>
        <v>381235</v>
      </c>
      <c r="AF1477" s="132"/>
      <c r="AG1477" s="130" t="s">
        <v>46</v>
      </c>
      <c r="AH1477" s="130"/>
      <c r="AI1477" s="130" t="s">
        <v>100</v>
      </c>
      <c r="AJ1477" s="130"/>
      <c r="AK1477" s="130"/>
      <c r="AL1477" s="135" t="s">
        <v>5484</v>
      </c>
      <c r="AM1477" s="314"/>
      <c r="AN1477" s="26">
        <f>BL1477</f>
        <v>0</v>
      </c>
      <c r="AO1477" s="26">
        <v>44419</v>
      </c>
      <c r="AP1477" s="26">
        <f>AQ1477</f>
        <v>44469</v>
      </c>
      <c r="AQ1477" s="26">
        <v>44469</v>
      </c>
      <c r="AR1477" s="24">
        <f>AP1477+3</f>
        <v>44472</v>
      </c>
      <c r="AS1477" s="24"/>
      <c r="AT1477" s="24">
        <v>44472</v>
      </c>
      <c r="AU1477" s="418">
        <f t="shared" si="86"/>
        <v>10</v>
      </c>
      <c r="AV1477" s="418">
        <f t="shared" si="87"/>
        <v>2021</v>
      </c>
      <c r="AW1477" s="24"/>
      <c r="AX1477" s="24"/>
      <c r="AY1477" s="24" t="s">
        <v>3199</v>
      </c>
      <c r="AZ1477" s="24" t="s">
        <v>37</v>
      </c>
      <c r="BA1477" s="24"/>
      <c r="BB1477" s="24" t="s">
        <v>2956</v>
      </c>
      <c r="BC1477" s="135" t="s">
        <v>5679</v>
      </c>
      <c r="BD1477" s="24">
        <v>44419</v>
      </c>
      <c r="BE1477" s="24" t="s">
        <v>5643</v>
      </c>
      <c r="BF1477" s="24" t="s">
        <v>5644</v>
      </c>
      <c r="BG1477" s="135" t="s">
        <v>52</v>
      </c>
      <c r="BH1477" s="135"/>
      <c r="BI1477" s="314" t="s">
        <v>124</v>
      </c>
      <c r="BJ1477" s="314" t="s">
        <v>143</v>
      </c>
      <c r="BK1477" s="24"/>
      <c r="BL1477" s="24"/>
      <c r="BM1477" s="24"/>
      <c r="BN1477" s="24"/>
      <c r="BO1477" s="24"/>
      <c r="BP1477" s="24"/>
      <c r="BQ1477" s="24"/>
      <c r="BR1477" s="24"/>
      <c r="BS1477" s="24"/>
      <c r="BT1477" s="24"/>
      <c r="BU1477" s="24"/>
      <c r="BV1477" s="132" t="e">
        <f>IF(#REF!="COMPLETO","OK","PENDIENTES")</f>
        <v>#REF!</v>
      </c>
      <c r="BW1477" s="132"/>
      <c r="BX1477" s="132"/>
      <c r="BY1477" s="132"/>
      <c r="BZ1477" s="132"/>
      <c r="CA1477" s="132"/>
      <c r="CB1477" s="132"/>
      <c r="CC1477" s="269" t="s">
        <v>5680</v>
      </c>
      <c r="CG1477" s="24" t="s">
        <v>105</v>
      </c>
      <c r="CH1477" s="24"/>
      <c r="CI1477" s="24"/>
      <c r="CJ1477" s="24"/>
    </row>
    <row r="1478" spans="1:88" ht="15" customHeight="1">
      <c r="A1478" s="18">
        <v>2021</v>
      </c>
      <c r="B1478" s="18" t="str">
        <f>+INDEX(BDD!F:F,MATCH(P1478,BDD!D:D,0))&amp;"-"&amp;INDEX(BDD!E:E,MATCH(P1478,BDD!D:D,0))</f>
        <v>G-S</v>
      </c>
      <c r="C1478" s="125" t="s">
        <v>484</v>
      </c>
      <c r="D1478" s="150" t="s">
        <v>77</v>
      </c>
      <c r="E1478" s="132"/>
      <c r="F1478" s="24"/>
      <c r="G1478" s="346">
        <v>8000001588</v>
      </c>
      <c r="H1478" s="125" t="s">
        <v>5681</v>
      </c>
      <c r="I1478" s="329"/>
      <c r="J1478" s="346">
        <v>8000001588</v>
      </c>
      <c r="K1478" s="24"/>
      <c r="L1478" s="24">
        <v>44483</v>
      </c>
      <c r="M1478" s="24">
        <v>44483</v>
      </c>
      <c r="N1478" s="340" t="s">
        <v>486</v>
      </c>
      <c r="O1478" s="334">
        <v>203577</v>
      </c>
      <c r="P1478" s="25" t="s">
        <v>353</v>
      </c>
      <c r="Q1478" s="127" t="s">
        <v>273</v>
      </c>
      <c r="R1478" s="232" t="s">
        <v>5639</v>
      </c>
      <c r="S1478" s="89">
        <v>44349</v>
      </c>
      <c r="T1478" s="36">
        <v>150</v>
      </c>
      <c r="U1478" s="125" t="s">
        <v>118</v>
      </c>
      <c r="V1478" s="147" t="s">
        <v>5682</v>
      </c>
      <c r="W1478" s="129"/>
      <c r="X1478" s="88">
        <f t="shared" si="84"/>
        <v>44569</v>
      </c>
      <c r="Y1478" s="130" t="s">
        <v>20</v>
      </c>
      <c r="Z1478" s="133" t="s">
        <v>60</v>
      </c>
      <c r="AA1478" s="133"/>
      <c r="AB1478" s="241">
        <v>800</v>
      </c>
      <c r="AC1478" s="134">
        <v>401.3</v>
      </c>
      <c r="AD1478" s="134"/>
      <c r="AE1478" s="403">
        <f t="shared" si="85"/>
        <v>321040</v>
      </c>
      <c r="AF1478" s="132"/>
      <c r="AG1478" s="130" t="s">
        <v>46</v>
      </c>
      <c r="AH1478" s="130"/>
      <c r="AI1478" s="130" t="s">
        <v>100</v>
      </c>
      <c r="AJ1478" s="130"/>
      <c r="AK1478" s="130"/>
      <c r="AL1478" s="135" t="s">
        <v>5484</v>
      </c>
      <c r="AM1478" s="314"/>
      <c r="AN1478" s="26">
        <f>BL1478</f>
        <v>0</v>
      </c>
      <c r="AO1478" s="26">
        <v>44419</v>
      </c>
      <c r="AP1478" s="26">
        <f>AQ1478</f>
        <v>44475</v>
      </c>
      <c r="AQ1478" s="26">
        <v>44475</v>
      </c>
      <c r="AR1478" s="24">
        <f>AP1478+1</f>
        <v>44476</v>
      </c>
      <c r="AS1478" s="24"/>
      <c r="AT1478" s="24">
        <v>44482</v>
      </c>
      <c r="AU1478" s="418">
        <f t="shared" si="86"/>
        <v>10</v>
      </c>
      <c r="AV1478" s="418">
        <f t="shared" si="87"/>
        <v>2021</v>
      </c>
      <c r="AW1478" s="24"/>
      <c r="AX1478" s="24"/>
      <c r="AY1478" s="24" t="s">
        <v>3199</v>
      </c>
      <c r="AZ1478" s="24" t="s">
        <v>62</v>
      </c>
      <c r="BA1478" s="24"/>
      <c r="BB1478" s="24" t="s">
        <v>3264</v>
      </c>
      <c r="BC1478" s="135" t="s">
        <v>5683</v>
      </c>
      <c r="BD1478" s="24">
        <v>44419</v>
      </c>
      <c r="BE1478" s="24" t="s">
        <v>5643</v>
      </c>
      <c r="BF1478" s="24" t="s">
        <v>5644</v>
      </c>
      <c r="BG1478" s="135" t="s">
        <v>52</v>
      </c>
      <c r="BH1478" s="135"/>
      <c r="BI1478" s="314" t="s">
        <v>124</v>
      </c>
      <c r="BJ1478" s="314" t="s">
        <v>143</v>
      </c>
      <c r="BK1478" s="24"/>
      <c r="BL1478" s="24"/>
      <c r="BM1478" s="24"/>
      <c r="BN1478" s="24"/>
      <c r="BO1478" s="24"/>
      <c r="BP1478" s="24"/>
      <c r="BQ1478" s="24"/>
      <c r="BR1478" s="24"/>
      <c r="BS1478" s="24"/>
      <c r="BT1478" s="24"/>
      <c r="BU1478" s="24"/>
      <c r="BV1478" s="132" t="e">
        <f>IF(#REF!="COMPLETO","OK","PENDIENTES")</f>
        <v>#REF!</v>
      </c>
      <c r="BW1478" s="132"/>
      <c r="BX1478" s="132"/>
      <c r="BY1478" s="132"/>
      <c r="BZ1478" s="132"/>
      <c r="CA1478" s="132"/>
      <c r="CB1478" s="132"/>
      <c r="CC1478" s="269"/>
      <c r="CG1478" s="24" t="s">
        <v>105</v>
      </c>
      <c r="CH1478" s="24"/>
      <c r="CI1478" s="24"/>
      <c r="CJ1478" s="24"/>
    </row>
    <row r="1479" spans="1:88" ht="15" customHeight="1">
      <c r="A1479" s="18">
        <v>2021</v>
      </c>
      <c r="B1479" s="18" t="str">
        <f>+INDEX(BDD!F:F,MATCH(P1479,BDD!D:D,0))&amp;"-"&amp;INDEX(BDD!E:E,MATCH(P1479,BDD!D:D,0))</f>
        <v>G-S</v>
      </c>
      <c r="C1479" s="125" t="s">
        <v>484</v>
      </c>
      <c r="D1479" s="150" t="s">
        <v>77</v>
      </c>
      <c r="E1479" s="132"/>
      <c r="F1479" s="24"/>
      <c r="G1479" s="346">
        <v>8000001566</v>
      </c>
      <c r="H1479" s="125" t="s">
        <v>5684</v>
      </c>
      <c r="I1479" s="329"/>
      <c r="J1479" s="346">
        <v>8000001566</v>
      </c>
      <c r="K1479" s="24"/>
      <c r="L1479" s="24">
        <v>44456</v>
      </c>
      <c r="M1479" s="24">
        <v>44466</v>
      </c>
      <c r="N1479" s="340" t="s">
        <v>486</v>
      </c>
      <c r="O1479" s="334">
        <v>203576</v>
      </c>
      <c r="P1479" s="25" t="s">
        <v>354</v>
      </c>
      <c r="Q1479" s="127" t="s">
        <v>273</v>
      </c>
      <c r="R1479" s="232" t="s">
        <v>5639</v>
      </c>
      <c r="S1479" s="89">
        <v>44349</v>
      </c>
      <c r="T1479" s="36">
        <v>150</v>
      </c>
      <c r="U1479" s="125" t="s">
        <v>118</v>
      </c>
      <c r="V1479" s="147" t="s">
        <v>5685</v>
      </c>
      <c r="W1479" s="129"/>
      <c r="X1479" s="88">
        <f t="shared" si="84"/>
        <v>44569</v>
      </c>
      <c r="Y1479" s="130" t="s">
        <v>20</v>
      </c>
      <c r="Z1479" s="133" t="s">
        <v>60</v>
      </c>
      <c r="AA1479" s="133"/>
      <c r="AB1479" s="241">
        <v>2300</v>
      </c>
      <c r="AC1479" s="134">
        <v>399.28</v>
      </c>
      <c r="AD1479" s="134"/>
      <c r="AE1479" s="403">
        <f t="shared" si="85"/>
        <v>918343.99999999988</v>
      </c>
      <c r="AF1479" s="132"/>
      <c r="AG1479" s="130" t="s">
        <v>46</v>
      </c>
      <c r="AH1479" s="130"/>
      <c r="AI1479" s="130" t="s">
        <v>100</v>
      </c>
      <c r="AJ1479" s="130"/>
      <c r="AK1479" s="130"/>
      <c r="AL1479" s="135" t="s">
        <v>5484</v>
      </c>
      <c r="AM1479" s="314"/>
      <c r="AN1479" s="26"/>
      <c r="AO1479" s="26">
        <v>44419</v>
      </c>
      <c r="AP1479" s="26"/>
      <c r="AQ1479" s="26">
        <v>44459</v>
      </c>
      <c r="AR1479" s="24"/>
      <c r="AS1479" s="24"/>
      <c r="AT1479" s="24">
        <v>44465</v>
      </c>
      <c r="AU1479" s="418">
        <f t="shared" si="86"/>
        <v>9</v>
      </c>
      <c r="AV1479" s="418">
        <f t="shared" si="87"/>
        <v>2021</v>
      </c>
      <c r="AW1479" s="24"/>
      <c r="AX1479" s="24"/>
      <c r="AY1479" s="24" t="s">
        <v>3199</v>
      </c>
      <c r="AZ1479" s="24" t="s">
        <v>25</v>
      </c>
      <c r="BA1479" s="24"/>
      <c r="BB1479" s="24" t="s">
        <v>3264</v>
      </c>
      <c r="BC1479" s="135" t="s">
        <v>5686</v>
      </c>
      <c r="BD1479" s="24">
        <v>44419</v>
      </c>
      <c r="BE1479" s="24" t="s">
        <v>5643</v>
      </c>
      <c r="BF1479" s="24" t="s">
        <v>5644</v>
      </c>
      <c r="BG1479" s="135" t="s">
        <v>52</v>
      </c>
      <c r="BH1479" s="135"/>
      <c r="BI1479" s="314" t="s">
        <v>117</v>
      </c>
      <c r="BJ1479" s="314" t="s">
        <v>143</v>
      </c>
      <c r="BK1479" s="24"/>
      <c r="BL1479" s="24"/>
      <c r="BM1479" s="24"/>
      <c r="BN1479" s="24"/>
      <c r="BO1479" s="24"/>
      <c r="BP1479" s="24"/>
      <c r="BQ1479" s="24"/>
      <c r="BR1479" s="24"/>
      <c r="BS1479" s="24"/>
      <c r="BT1479" s="24"/>
      <c r="BU1479" s="24"/>
      <c r="BV1479" s="132" t="e">
        <f>IF(#REF!="COMPLETO","OK","PENDIENTES")</f>
        <v>#REF!</v>
      </c>
      <c r="BW1479" s="132"/>
      <c r="BX1479" s="132"/>
      <c r="BY1479" s="132"/>
      <c r="BZ1479" s="132"/>
      <c r="CA1479" s="132"/>
      <c r="CB1479" s="132"/>
      <c r="CC1479" s="294" t="s">
        <v>5687</v>
      </c>
      <c r="CG1479" s="24" t="s">
        <v>105</v>
      </c>
      <c r="CH1479" s="24"/>
      <c r="CI1479" s="24"/>
      <c r="CJ1479" s="24"/>
    </row>
    <row r="1480" spans="1:88" ht="15" customHeight="1">
      <c r="A1480" s="18">
        <v>2021</v>
      </c>
      <c r="B1480" s="18" t="str">
        <f>+INDEX(BDD!F:F,MATCH(P1480,BDD!D:D,0))&amp;"-"&amp;INDEX(BDD!E:E,MATCH(P1480,BDD!D:D,0))</f>
        <v>G-S</v>
      </c>
      <c r="C1480" s="125" t="s">
        <v>484</v>
      </c>
      <c r="D1480" s="150" t="s">
        <v>77</v>
      </c>
      <c r="E1480" s="132"/>
      <c r="F1480" s="24"/>
      <c r="G1480" s="346">
        <v>8000001579</v>
      </c>
      <c r="H1480" s="125" t="s">
        <v>5688</v>
      </c>
      <c r="I1480" s="329"/>
      <c r="J1480" s="346">
        <v>8000001579</v>
      </c>
      <c r="K1480" s="24"/>
      <c r="L1480" s="24">
        <v>44459</v>
      </c>
      <c r="M1480" s="24">
        <v>44470</v>
      </c>
      <c r="N1480" s="340" t="s">
        <v>486</v>
      </c>
      <c r="O1480" s="334">
        <v>203576</v>
      </c>
      <c r="P1480" s="25" t="s">
        <v>354</v>
      </c>
      <c r="Q1480" s="127" t="s">
        <v>273</v>
      </c>
      <c r="R1480" s="232" t="s">
        <v>5639</v>
      </c>
      <c r="S1480" s="89">
        <v>44349</v>
      </c>
      <c r="T1480" s="36">
        <v>150</v>
      </c>
      <c r="U1480" s="125" t="s">
        <v>118</v>
      </c>
      <c r="V1480" s="147" t="s">
        <v>5689</v>
      </c>
      <c r="W1480" s="129"/>
      <c r="X1480" s="88">
        <f t="shared" si="84"/>
        <v>44569</v>
      </c>
      <c r="Y1480" s="130" t="s">
        <v>20</v>
      </c>
      <c r="Z1480" s="133" t="s">
        <v>60</v>
      </c>
      <c r="AA1480" s="133"/>
      <c r="AB1480" s="241">
        <v>1900</v>
      </c>
      <c r="AC1480" s="134">
        <v>399.28</v>
      </c>
      <c r="AD1480" s="134"/>
      <c r="AE1480" s="403">
        <f t="shared" si="85"/>
        <v>758632</v>
      </c>
      <c r="AF1480" s="132"/>
      <c r="AG1480" s="130" t="s">
        <v>46</v>
      </c>
      <c r="AH1480" s="130"/>
      <c r="AI1480" s="130" t="s">
        <v>100</v>
      </c>
      <c r="AJ1480" s="130"/>
      <c r="AK1480" s="130"/>
      <c r="AL1480" s="135" t="s">
        <v>5484</v>
      </c>
      <c r="AM1480" s="314"/>
      <c r="AN1480" s="26">
        <f>BL1480</f>
        <v>0</v>
      </c>
      <c r="AO1480" s="26">
        <v>44419</v>
      </c>
      <c r="AP1480" s="26">
        <f>AQ1480</f>
        <v>44469</v>
      </c>
      <c r="AQ1480" s="26">
        <v>44469</v>
      </c>
      <c r="AR1480" s="24">
        <f>AP1480+3</f>
        <v>44472</v>
      </c>
      <c r="AS1480" s="24"/>
      <c r="AT1480" s="24">
        <v>44473</v>
      </c>
      <c r="AU1480" s="418">
        <f t="shared" si="86"/>
        <v>10</v>
      </c>
      <c r="AV1480" s="418">
        <f t="shared" si="87"/>
        <v>2021</v>
      </c>
      <c r="AW1480" s="24"/>
      <c r="AX1480" s="24"/>
      <c r="AY1480" s="24" t="s">
        <v>3199</v>
      </c>
      <c r="AZ1480" s="24" t="s">
        <v>37</v>
      </c>
      <c r="BA1480" s="24"/>
      <c r="BB1480" s="24" t="s">
        <v>3291</v>
      </c>
      <c r="BC1480" s="135" t="s">
        <v>5690</v>
      </c>
      <c r="BD1480" s="24">
        <v>44419</v>
      </c>
      <c r="BE1480" s="24" t="s">
        <v>5643</v>
      </c>
      <c r="BF1480" s="24" t="s">
        <v>5644</v>
      </c>
      <c r="BG1480" s="135" t="s">
        <v>52</v>
      </c>
      <c r="BH1480" s="135"/>
      <c r="BI1480" s="314" t="s">
        <v>124</v>
      </c>
      <c r="BJ1480" s="314" t="s">
        <v>143</v>
      </c>
      <c r="BK1480" s="24"/>
      <c r="BL1480" s="24"/>
      <c r="BM1480" s="24"/>
      <c r="BN1480" s="24"/>
      <c r="BO1480" s="41">
        <f>AQ1480-AO1480</f>
        <v>50</v>
      </c>
      <c r="BP1480" s="41"/>
      <c r="BQ1480" s="41"/>
      <c r="BR1480" s="24"/>
      <c r="BS1480" s="41"/>
      <c r="BT1480" s="41"/>
      <c r="BU1480" s="41"/>
      <c r="BV1480" s="132" t="e">
        <f>IF(#REF!="COMPLETO","OK","PENDIENTES")</f>
        <v>#REF!</v>
      </c>
      <c r="BW1480" s="132"/>
      <c r="BX1480" s="132"/>
      <c r="BY1480" s="132"/>
      <c r="BZ1480" s="132"/>
      <c r="CA1480" s="132"/>
      <c r="CB1480" s="132"/>
      <c r="CC1480" s="269" t="s">
        <v>5691</v>
      </c>
      <c r="CG1480" s="24" t="s">
        <v>105</v>
      </c>
      <c r="CH1480" s="24"/>
      <c r="CI1480" s="24"/>
      <c r="CJ1480" s="24"/>
    </row>
    <row r="1481" spans="1:88" ht="14.65" customHeight="1">
      <c r="A1481" s="18">
        <v>2021</v>
      </c>
      <c r="B1481" s="18" t="str">
        <f>+INDEX(BDD!F:F,MATCH(P1481,BDD!D:D,0))&amp;"-"&amp;INDEX(BDD!E:E,MATCH(P1481,BDD!D:D,0))</f>
        <v>G-S</v>
      </c>
      <c r="C1481" s="125" t="s">
        <v>484</v>
      </c>
      <c r="D1481" s="150" t="s">
        <v>77</v>
      </c>
      <c r="E1481" s="132"/>
      <c r="F1481" s="24"/>
      <c r="G1481" s="346">
        <v>8000001589</v>
      </c>
      <c r="H1481" s="125" t="s">
        <v>5692</v>
      </c>
      <c r="I1481" s="329"/>
      <c r="J1481" s="346">
        <v>8000001589</v>
      </c>
      <c r="K1481" s="24"/>
      <c r="L1481" s="24">
        <v>44481</v>
      </c>
      <c r="M1481" s="24">
        <v>44483</v>
      </c>
      <c r="N1481" s="340" t="s">
        <v>486</v>
      </c>
      <c r="O1481" s="334">
        <v>203576</v>
      </c>
      <c r="P1481" s="25" t="s">
        <v>354</v>
      </c>
      <c r="Q1481" s="127" t="s">
        <v>273</v>
      </c>
      <c r="R1481" s="232" t="s">
        <v>5639</v>
      </c>
      <c r="S1481" s="89">
        <v>44349</v>
      </c>
      <c r="T1481" s="36">
        <v>150</v>
      </c>
      <c r="U1481" s="125" t="s">
        <v>118</v>
      </c>
      <c r="V1481" s="147" t="s">
        <v>5693</v>
      </c>
      <c r="W1481" s="129"/>
      <c r="X1481" s="88">
        <f t="shared" si="84"/>
        <v>44569</v>
      </c>
      <c r="Y1481" s="130" t="s">
        <v>20</v>
      </c>
      <c r="Z1481" s="133" t="s">
        <v>60</v>
      </c>
      <c r="AA1481" s="133"/>
      <c r="AB1481" s="241">
        <v>1200</v>
      </c>
      <c r="AC1481" s="134">
        <v>399.28</v>
      </c>
      <c r="AD1481" s="134"/>
      <c r="AE1481" s="403">
        <f t="shared" si="85"/>
        <v>479135.99999999994</v>
      </c>
      <c r="AF1481" s="132"/>
      <c r="AG1481" s="130" t="s">
        <v>46</v>
      </c>
      <c r="AH1481" s="130"/>
      <c r="AI1481" s="130" t="s">
        <v>100</v>
      </c>
      <c r="AJ1481" s="130"/>
      <c r="AK1481" s="130"/>
      <c r="AL1481" s="135" t="s">
        <v>5484</v>
      </c>
      <c r="AM1481" s="314"/>
      <c r="AN1481" s="26">
        <f>BL1481</f>
        <v>0</v>
      </c>
      <c r="AO1481" s="26">
        <v>44419</v>
      </c>
      <c r="AP1481" s="26">
        <f>AQ1481</f>
        <v>44475</v>
      </c>
      <c r="AQ1481" s="26">
        <v>44475</v>
      </c>
      <c r="AR1481" s="24">
        <f>AP1481+1</f>
        <v>44476</v>
      </c>
      <c r="AS1481" s="24"/>
      <c r="AT1481" s="24">
        <v>44482</v>
      </c>
      <c r="AU1481" s="418">
        <f t="shared" si="86"/>
        <v>10</v>
      </c>
      <c r="AV1481" s="418">
        <f t="shared" si="87"/>
        <v>2021</v>
      </c>
      <c r="AW1481" s="24"/>
      <c r="AX1481" s="24"/>
      <c r="AY1481" s="24" t="s">
        <v>3199</v>
      </c>
      <c r="AZ1481" s="24" t="s">
        <v>62</v>
      </c>
      <c r="BA1481" s="24"/>
      <c r="BB1481" s="24" t="s">
        <v>3264</v>
      </c>
      <c r="BC1481" s="135" t="s">
        <v>5694</v>
      </c>
      <c r="BD1481" s="24">
        <v>44419</v>
      </c>
      <c r="BE1481" s="24" t="s">
        <v>5643</v>
      </c>
      <c r="BF1481" s="24" t="s">
        <v>5644</v>
      </c>
      <c r="BG1481" s="135" t="s">
        <v>52</v>
      </c>
      <c r="BH1481" s="135"/>
      <c r="BI1481" s="314" t="s">
        <v>124</v>
      </c>
      <c r="BJ1481" s="314" t="s">
        <v>143</v>
      </c>
      <c r="BK1481" s="24"/>
      <c r="BL1481" s="24"/>
      <c r="BM1481" s="24"/>
      <c r="BN1481" s="24"/>
      <c r="BO1481" s="41">
        <f>AQ1481-AO1481</f>
        <v>56</v>
      </c>
      <c r="BP1481" s="41"/>
      <c r="BQ1481" s="41"/>
      <c r="BR1481" s="24"/>
      <c r="BS1481" s="41"/>
      <c r="BT1481" s="41"/>
      <c r="BU1481" s="41"/>
      <c r="BV1481" s="132" t="e">
        <f>IF(#REF!="COMPLETO","OK","PENDIENTES")</f>
        <v>#REF!</v>
      </c>
      <c r="BW1481" s="132"/>
      <c r="BX1481" s="132"/>
      <c r="BY1481" s="132"/>
      <c r="BZ1481" s="132"/>
      <c r="CA1481" s="132"/>
      <c r="CB1481" s="132"/>
      <c r="CC1481" s="269"/>
      <c r="CG1481" s="24" t="s">
        <v>105</v>
      </c>
      <c r="CH1481" s="24"/>
      <c r="CI1481" s="24"/>
      <c r="CJ1481" s="24"/>
    </row>
    <row r="1482" spans="1:88" ht="15" customHeight="1">
      <c r="A1482" s="18">
        <v>2021</v>
      </c>
      <c r="B1482" s="18" t="str">
        <f>+INDEX(BDD!F:F,MATCH(P1482,BDD!D:D,0))&amp;"-"&amp;INDEX(BDD!E:E,MATCH(P1482,BDD!D:D,0))</f>
        <v>O-S</v>
      </c>
      <c r="C1482" s="125" t="s">
        <v>484</v>
      </c>
      <c r="D1482" s="150" t="s">
        <v>77</v>
      </c>
      <c r="E1482" s="132"/>
      <c r="F1482" s="24"/>
      <c r="G1482" s="346">
        <v>8000001310</v>
      </c>
      <c r="H1482" s="125" t="s">
        <v>5695</v>
      </c>
      <c r="I1482" s="329"/>
      <c r="J1482" s="346">
        <v>8000001310</v>
      </c>
      <c r="K1482" s="24"/>
      <c r="L1482" s="24"/>
      <c r="M1482" s="24"/>
      <c r="N1482" s="340" t="s">
        <v>486</v>
      </c>
      <c r="O1482" s="334">
        <v>203553</v>
      </c>
      <c r="P1482" s="25" t="s">
        <v>386</v>
      </c>
      <c r="Q1482" s="127" t="s">
        <v>303</v>
      </c>
      <c r="R1482" s="232" t="s">
        <v>5696</v>
      </c>
      <c r="S1482" s="89" t="s">
        <v>5152</v>
      </c>
      <c r="T1482" s="36" t="s">
        <v>19</v>
      </c>
      <c r="U1482" s="125"/>
      <c r="V1482" s="147" t="s">
        <v>5697</v>
      </c>
      <c r="W1482" s="129"/>
      <c r="X1482" s="88">
        <v>44355</v>
      </c>
      <c r="Y1482" s="130" t="s">
        <v>20</v>
      </c>
      <c r="Z1482" s="133" t="s">
        <v>60</v>
      </c>
      <c r="AA1482" s="133"/>
      <c r="AB1482" s="241">
        <v>107.35</v>
      </c>
      <c r="AC1482" s="134">
        <v>293.37</v>
      </c>
      <c r="AD1482" s="134"/>
      <c r="AE1482" s="403">
        <f t="shared" si="85"/>
        <v>31493.269499999999</v>
      </c>
      <c r="AF1482" s="132">
        <v>4</v>
      </c>
      <c r="AG1482" s="130" t="s">
        <v>5</v>
      </c>
      <c r="AH1482" s="130"/>
      <c r="AI1482" s="130" t="s">
        <v>100</v>
      </c>
      <c r="AJ1482" s="130"/>
      <c r="AK1482" s="130"/>
      <c r="AL1482" s="135" t="s">
        <v>5156</v>
      </c>
      <c r="AM1482" s="314"/>
      <c r="AN1482" s="26"/>
      <c r="AO1482" s="26"/>
      <c r="AP1482" s="26"/>
      <c r="AQ1482" s="26">
        <v>44363</v>
      </c>
      <c r="AR1482" s="24"/>
      <c r="AS1482" s="24"/>
      <c r="AT1482" s="24">
        <v>44368</v>
      </c>
      <c r="AU1482" s="418">
        <f t="shared" si="86"/>
        <v>6</v>
      </c>
      <c r="AV1482" s="418">
        <f t="shared" si="87"/>
        <v>2021</v>
      </c>
      <c r="AW1482" s="24"/>
      <c r="AX1482" s="24"/>
      <c r="AY1482" s="24" t="s">
        <v>4072</v>
      </c>
      <c r="AZ1482" s="24" t="s">
        <v>9</v>
      </c>
      <c r="BA1482" s="24"/>
      <c r="BB1482" s="24" t="s">
        <v>3264</v>
      </c>
      <c r="BC1482" s="135" t="s">
        <v>5698</v>
      </c>
      <c r="BD1482" s="24">
        <v>44323</v>
      </c>
      <c r="BE1482" s="24" t="s">
        <v>4079</v>
      </c>
      <c r="BF1482" s="24" t="s">
        <v>1806</v>
      </c>
      <c r="BG1482" s="135" t="s">
        <v>64</v>
      </c>
      <c r="BH1482" s="135"/>
      <c r="BI1482" s="314" t="s">
        <v>124</v>
      </c>
      <c r="BJ1482" s="314" t="s">
        <v>138</v>
      </c>
      <c r="BK1482" s="24"/>
      <c r="BL1482" s="24"/>
      <c r="BM1482" s="24"/>
      <c r="BN1482" s="24"/>
      <c r="BO1482" s="24">
        <v>44368</v>
      </c>
      <c r="BP1482" s="24"/>
      <c r="BQ1482" s="24"/>
      <c r="BR1482" s="24"/>
      <c r="BS1482" s="24"/>
      <c r="BT1482" s="24"/>
      <c r="BU1482" s="24"/>
      <c r="BV1482" s="132" t="e">
        <f>IF(#REF!="COMPLETO","OK","PENDIENTES")</f>
        <v>#REF!</v>
      </c>
      <c r="BW1482" s="132"/>
      <c r="BX1482" s="132"/>
      <c r="BY1482" s="132"/>
      <c r="BZ1482" s="132"/>
      <c r="CA1482" s="132"/>
      <c r="CB1482" s="132"/>
      <c r="CC1482" s="269"/>
      <c r="CG1482" s="24" t="s">
        <v>105</v>
      </c>
      <c r="CH1482" s="24"/>
      <c r="CI1482" s="24"/>
      <c r="CJ1482" s="24"/>
    </row>
    <row r="1483" spans="1:88" ht="15" customHeight="1">
      <c r="A1483" s="18">
        <v>2021</v>
      </c>
      <c r="B1483" s="18" t="str">
        <f>+INDEX(BDD!F:F,MATCH(P1483,BDD!D:D,0))&amp;"-"&amp;INDEX(BDD!E:E,MATCH(P1483,BDD!D:D,0))</f>
        <v>O-S</v>
      </c>
      <c r="C1483" s="125" t="s">
        <v>484</v>
      </c>
      <c r="D1483" s="150" t="s">
        <v>77</v>
      </c>
      <c r="E1483" s="132"/>
      <c r="F1483" s="24"/>
      <c r="G1483" s="346">
        <v>8000001311</v>
      </c>
      <c r="H1483" s="125" t="s">
        <v>5699</v>
      </c>
      <c r="I1483" s="329"/>
      <c r="J1483" s="346">
        <v>8000001311</v>
      </c>
      <c r="K1483" s="24"/>
      <c r="L1483" s="24"/>
      <c r="M1483" s="24"/>
      <c r="N1483" s="340" t="s">
        <v>486</v>
      </c>
      <c r="O1483" s="334">
        <v>203553</v>
      </c>
      <c r="P1483" s="125" t="s">
        <v>386</v>
      </c>
      <c r="Q1483" s="127" t="s">
        <v>303</v>
      </c>
      <c r="R1483" s="232" t="s">
        <v>5700</v>
      </c>
      <c r="S1483" s="89" t="s">
        <v>5152</v>
      </c>
      <c r="T1483" s="36" t="s">
        <v>19</v>
      </c>
      <c r="U1483" s="125"/>
      <c r="V1483" s="147" t="s">
        <v>5701</v>
      </c>
      <c r="W1483" s="129"/>
      <c r="X1483" s="88">
        <v>44355</v>
      </c>
      <c r="Y1483" s="130" t="s">
        <v>20</v>
      </c>
      <c r="Z1483" s="133" t="s">
        <v>60</v>
      </c>
      <c r="AA1483" s="133"/>
      <c r="AB1483" s="241">
        <v>107.25</v>
      </c>
      <c r="AC1483" s="134">
        <v>292.11</v>
      </c>
      <c r="AD1483" s="134"/>
      <c r="AE1483" s="403">
        <f t="shared" si="85"/>
        <v>31328.797500000001</v>
      </c>
      <c r="AF1483" s="132">
        <v>4</v>
      </c>
      <c r="AG1483" s="130" t="s">
        <v>5</v>
      </c>
      <c r="AH1483" s="130"/>
      <c r="AI1483" s="130" t="s">
        <v>100</v>
      </c>
      <c r="AJ1483" s="130"/>
      <c r="AK1483" s="130"/>
      <c r="AL1483" s="135" t="s">
        <v>5156</v>
      </c>
      <c r="AM1483" s="314"/>
      <c r="AN1483" s="26"/>
      <c r="AO1483" s="26"/>
      <c r="AP1483" s="26"/>
      <c r="AQ1483" s="26">
        <v>44364</v>
      </c>
      <c r="AR1483" s="24"/>
      <c r="AS1483" s="24"/>
      <c r="AT1483" s="24">
        <v>44372</v>
      </c>
      <c r="AU1483" s="418">
        <f t="shared" si="86"/>
        <v>6</v>
      </c>
      <c r="AV1483" s="418">
        <f t="shared" si="87"/>
        <v>2021</v>
      </c>
      <c r="AW1483" s="24"/>
      <c r="AX1483" s="24"/>
      <c r="AY1483" s="24" t="s">
        <v>4072</v>
      </c>
      <c r="AZ1483" s="24" t="s">
        <v>37</v>
      </c>
      <c r="BA1483" s="24"/>
      <c r="BB1483" s="24" t="s">
        <v>3291</v>
      </c>
      <c r="BC1483" s="135" t="s">
        <v>5702</v>
      </c>
      <c r="BD1483" s="24">
        <v>44323</v>
      </c>
      <c r="BE1483" s="24" t="s">
        <v>4079</v>
      </c>
      <c r="BF1483" s="24" t="s">
        <v>2668</v>
      </c>
      <c r="BG1483" s="135" t="s">
        <v>64</v>
      </c>
      <c r="BH1483" s="135"/>
      <c r="BI1483" s="314" t="s">
        <v>124</v>
      </c>
      <c r="BJ1483" s="314" t="s">
        <v>138</v>
      </c>
      <c r="BK1483" s="24"/>
      <c r="BL1483" s="24"/>
      <c r="BM1483" s="24"/>
      <c r="BN1483" s="24"/>
      <c r="BO1483" s="24">
        <f>+AQ1483+14</f>
        <v>44378</v>
      </c>
      <c r="BP1483" s="24"/>
      <c r="BQ1483" s="24"/>
      <c r="BR1483" s="24"/>
      <c r="BS1483" s="24"/>
      <c r="BT1483" s="24"/>
      <c r="BU1483" s="24"/>
      <c r="BV1483" s="132" t="e">
        <f>IF(#REF!="COMPLETO","OK","PENDIENTES")</f>
        <v>#REF!</v>
      </c>
      <c r="BW1483" s="132"/>
      <c r="BX1483" s="132"/>
      <c r="BY1483" s="132"/>
      <c r="BZ1483" s="132"/>
      <c r="CA1483" s="132"/>
      <c r="CB1483" s="132"/>
      <c r="CC1483" s="269"/>
      <c r="CG1483" s="24" t="s">
        <v>105</v>
      </c>
      <c r="CH1483" s="24"/>
      <c r="CI1483" s="24"/>
      <c r="CJ1483" s="24"/>
    </row>
    <row r="1484" spans="1:88" ht="13.9" customHeight="1">
      <c r="A1484" s="18">
        <v>2021</v>
      </c>
      <c r="B1484" s="18" t="str">
        <f>+INDEX(BDD!F:F,MATCH(P1484,BDD!D:D,0))&amp;"-"&amp;INDEX(BDD!E:E,MATCH(P1484,BDD!D:D,0))</f>
        <v>O-S</v>
      </c>
      <c r="C1484" s="125" t="s">
        <v>484</v>
      </c>
      <c r="D1484" s="150" t="s">
        <v>77</v>
      </c>
      <c r="E1484" s="132"/>
      <c r="F1484" s="24"/>
      <c r="G1484" s="346">
        <v>8000001452</v>
      </c>
      <c r="H1484" s="125" t="s">
        <v>5703</v>
      </c>
      <c r="I1484" s="329"/>
      <c r="J1484" s="346">
        <v>8000001452</v>
      </c>
      <c r="K1484" s="24"/>
      <c r="L1484" s="24">
        <v>44417</v>
      </c>
      <c r="M1484" s="24">
        <v>44420</v>
      </c>
      <c r="N1484" s="340" t="s">
        <v>486</v>
      </c>
      <c r="O1484" s="334">
        <v>203553</v>
      </c>
      <c r="P1484" s="25" t="s">
        <v>386</v>
      </c>
      <c r="Q1484" s="127" t="s">
        <v>303</v>
      </c>
      <c r="R1484" s="232" t="s">
        <v>5704</v>
      </c>
      <c r="S1484" s="89" t="s">
        <v>5152</v>
      </c>
      <c r="T1484" s="36">
        <v>30</v>
      </c>
      <c r="U1484" s="125" t="s">
        <v>131</v>
      </c>
      <c r="V1484" s="147" t="s">
        <v>5705</v>
      </c>
      <c r="W1484" s="129"/>
      <c r="X1484" s="88">
        <v>44365</v>
      </c>
      <c r="Y1484" s="130" t="s">
        <v>20</v>
      </c>
      <c r="Z1484" s="133" t="s">
        <v>60</v>
      </c>
      <c r="AA1484" s="133"/>
      <c r="AB1484" s="241">
        <v>53.6</v>
      </c>
      <c r="AC1484" s="134">
        <v>316.39999999999998</v>
      </c>
      <c r="AD1484" s="134"/>
      <c r="AE1484" s="403">
        <f t="shared" si="85"/>
        <v>16959.04</v>
      </c>
      <c r="AF1484" s="132">
        <v>2</v>
      </c>
      <c r="AG1484" s="130" t="s">
        <v>5</v>
      </c>
      <c r="AH1484" s="130"/>
      <c r="AI1484" s="130" t="s">
        <v>100</v>
      </c>
      <c r="AJ1484" s="130"/>
      <c r="AK1484" s="130"/>
      <c r="AL1484" s="135" t="s">
        <v>5152</v>
      </c>
      <c r="AM1484" s="314"/>
      <c r="AN1484" s="26"/>
      <c r="AO1484" s="26">
        <v>44327</v>
      </c>
      <c r="AP1484" s="26"/>
      <c r="AQ1484" s="26">
        <v>44411</v>
      </c>
      <c r="AR1484" s="24"/>
      <c r="AS1484" s="24"/>
      <c r="AT1484" s="24">
        <v>44414</v>
      </c>
      <c r="AU1484" s="418">
        <f t="shared" si="86"/>
        <v>8</v>
      </c>
      <c r="AV1484" s="418">
        <f t="shared" si="87"/>
        <v>2021</v>
      </c>
      <c r="AW1484" s="24"/>
      <c r="AX1484" s="24"/>
      <c r="AY1484" s="24" t="s">
        <v>4072</v>
      </c>
      <c r="AZ1484" s="24" t="s">
        <v>62</v>
      </c>
      <c r="BA1484" s="24"/>
      <c r="BB1484" s="24" t="s">
        <v>3264</v>
      </c>
      <c r="BC1484" s="135" t="s">
        <v>5706</v>
      </c>
      <c r="BD1484" s="24">
        <v>44327</v>
      </c>
      <c r="BE1484" s="24" t="s">
        <v>5707</v>
      </c>
      <c r="BF1484" s="24" t="s">
        <v>1938</v>
      </c>
      <c r="BG1484" s="135" t="s">
        <v>29</v>
      </c>
      <c r="BH1484" s="135"/>
      <c r="BI1484" s="314" t="s">
        <v>124</v>
      </c>
      <c r="BJ1484" s="314" t="s">
        <v>148</v>
      </c>
      <c r="BK1484" s="24"/>
      <c r="BL1484" s="24"/>
      <c r="BM1484" s="24"/>
      <c r="BN1484" s="24"/>
      <c r="BO1484" s="24"/>
      <c r="BP1484" s="24"/>
      <c r="BQ1484" s="24"/>
      <c r="BR1484" s="24"/>
      <c r="BS1484" s="24"/>
      <c r="BT1484" s="24"/>
      <c r="BU1484" s="24"/>
      <c r="BV1484" s="132" t="e">
        <f>IF(#REF!="COMPLETO","OK","PENDIENTES")</f>
        <v>#REF!</v>
      </c>
      <c r="BW1484" s="132"/>
      <c r="BX1484" s="132"/>
      <c r="BY1484" s="132"/>
      <c r="BZ1484" s="132"/>
      <c r="CA1484" s="132"/>
      <c r="CB1484" s="132"/>
      <c r="CC1484" s="269" t="s">
        <v>5708</v>
      </c>
      <c r="CG1484" s="24" t="s">
        <v>105</v>
      </c>
      <c r="CH1484" s="24"/>
      <c r="CI1484" s="24"/>
      <c r="CJ1484" s="24"/>
    </row>
    <row r="1485" spans="1:88" ht="15" customHeight="1">
      <c r="A1485" s="18">
        <v>2021</v>
      </c>
      <c r="B1485" s="18" t="str">
        <f>+INDEX(BDD!F:F,MATCH(P1485,BDD!D:D,0))&amp;"-"&amp;INDEX(BDD!E:E,MATCH(P1485,BDD!D:D,0))</f>
        <v>T-S</v>
      </c>
      <c r="C1485" s="125" t="s">
        <v>484</v>
      </c>
      <c r="D1485" s="150" t="s">
        <v>77</v>
      </c>
      <c r="E1485" s="132"/>
      <c r="F1485" s="24"/>
      <c r="G1485" s="346">
        <v>8000001476</v>
      </c>
      <c r="H1485" s="125" t="s">
        <v>5709</v>
      </c>
      <c r="I1485" s="329"/>
      <c r="J1485" s="346">
        <v>8000001476</v>
      </c>
      <c r="K1485" s="24"/>
      <c r="L1485" s="24"/>
      <c r="M1485" s="24"/>
      <c r="N1485" s="340" t="s">
        <v>486</v>
      </c>
      <c r="O1485" s="334">
        <v>203924</v>
      </c>
      <c r="P1485" s="25" t="s">
        <v>393</v>
      </c>
      <c r="Q1485" s="127" t="s">
        <v>303</v>
      </c>
      <c r="R1485" s="232" t="s">
        <v>5710</v>
      </c>
      <c r="S1485" s="89">
        <v>44270</v>
      </c>
      <c r="T1485" s="36" t="s">
        <v>19</v>
      </c>
      <c r="U1485" s="125"/>
      <c r="V1485" s="147" t="s">
        <v>5711</v>
      </c>
      <c r="W1485" s="129"/>
      <c r="X1485" s="222">
        <v>44418</v>
      </c>
      <c r="Y1485" s="130" t="s">
        <v>20</v>
      </c>
      <c r="Z1485" s="133" t="s">
        <v>60</v>
      </c>
      <c r="AA1485" s="133"/>
      <c r="AB1485" s="241">
        <v>16</v>
      </c>
      <c r="AC1485" s="134">
        <v>5500</v>
      </c>
      <c r="AD1485" s="134"/>
      <c r="AE1485" s="403">
        <f t="shared" si="85"/>
        <v>88000</v>
      </c>
      <c r="AF1485" s="132">
        <v>1</v>
      </c>
      <c r="AG1485" s="130" t="s">
        <v>21</v>
      </c>
      <c r="AH1485" s="130"/>
      <c r="AI1485" s="130" t="s">
        <v>3619</v>
      </c>
      <c r="AJ1485" s="130"/>
      <c r="AK1485" s="130"/>
      <c r="AL1485" s="135" t="s">
        <v>5156</v>
      </c>
      <c r="AM1485" s="314"/>
      <c r="AN1485" s="26"/>
      <c r="AO1485" s="26">
        <v>44398</v>
      </c>
      <c r="AP1485" s="26"/>
      <c r="AQ1485" s="26">
        <v>44427</v>
      </c>
      <c r="AR1485" s="24"/>
      <c r="AS1485" s="24"/>
      <c r="AT1485" s="24">
        <v>44433</v>
      </c>
      <c r="AU1485" s="418">
        <f t="shared" si="86"/>
        <v>8</v>
      </c>
      <c r="AV1485" s="418">
        <f t="shared" si="87"/>
        <v>2021</v>
      </c>
      <c r="AW1485" s="24"/>
      <c r="AX1485" s="28"/>
      <c r="AY1485" s="28" t="s">
        <v>3981</v>
      </c>
      <c r="AZ1485" s="24" t="s">
        <v>37</v>
      </c>
      <c r="BA1485" s="24"/>
      <c r="BB1485" s="24" t="s">
        <v>3291</v>
      </c>
      <c r="BC1485" s="135" t="s">
        <v>5712</v>
      </c>
      <c r="BD1485" s="24">
        <v>44399</v>
      </c>
      <c r="BE1485" s="24" t="s">
        <v>2668</v>
      </c>
      <c r="BF1485" s="24" t="s">
        <v>2668</v>
      </c>
      <c r="BG1485" s="135" t="s">
        <v>29</v>
      </c>
      <c r="BH1485" s="135"/>
      <c r="BI1485" s="314" t="s">
        <v>124</v>
      </c>
      <c r="BJ1485" s="314" t="s">
        <v>143</v>
      </c>
      <c r="BK1485" s="24"/>
      <c r="BL1485" s="24"/>
      <c r="BM1485" s="24"/>
      <c r="BN1485" s="24"/>
      <c r="BO1485" s="24"/>
      <c r="BP1485" s="24"/>
      <c r="BQ1485" s="24"/>
      <c r="BR1485" s="24"/>
      <c r="BS1485" s="24"/>
      <c r="BT1485" s="24"/>
      <c r="BU1485" s="24"/>
      <c r="BV1485" s="132" t="e">
        <f>IF(#REF!="COMPLETO","OK","PENDIENTES")</f>
        <v>#REF!</v>
      </c>
      <c r="BW1485" s="132"/>
      <c r="BX1485" s="132"/>
      <c r="BY1485" s="132"/>
      <c r="BZ1485" s="132"/>
      <c r="CA1485" s="132"/>
      <c r="CB1485" s="132"/>
      <c r="CC1485" s="269" t="s">
        <v>5713</v>
      </c>
      <c r="CG1485" s="24" t="s">
        <v>105</v>
      </c>
      <c r="CH1485" s="24"/>
      <c r="CI1485" s="24"/>
      <c r="CJ1485" s="24"/>
    </row>
    <row r="1486" spans="1:88" ht="15" customHeight="1">
      <c r="A1486" s="18">
        <v>2021</v>
      </c>
      <c r="B1486" s="18" t="str">
        <f>+INDEX(BDD!F:F,MATCH(P1486,BDD!D:D,0))&amp;"-"&amp;INDEX(BDD!E:E,MATCH(P1486,BDD!D:D,0))</f>
        <v>O-S</v>
      </c>
      <c r="C1486" s="125" t="s">
        <v>484</v>
      </c>
      <c r="D1486" s="150" t="s">
        <v>77</v>
      </c>
      <c r="E1486" s="132"/>
      <c r="F1486" s="24"/>
      <c r="G1486" s="346">
        <v>8000001382</v>
      </c>
      <c r="H1486" s="125" t="s">
        <v>5714</v>
      </c>
      <c r="I1486" s="329"/>
      <c r="J1486" s="346">
        <v>8000001382</v>
      </c>
      <c r="K1486" s="24"/>
      <c r="L1486" s="24">
        <v>44417</v>
      </c>
      <c r="M1486" s="24">
        <v>44418</v>
      </c>
      <c r="N1486" s="340" t="s">
        <v>486</v>
      </c>
      <c r="O1486" s="334">
        <v>203553</v>
      </c>
      <c r="P1486" s="25" t="s">
        <v>386</v>
      </c>
      <c r="Q1486" s="127" t="s">
        <v>303</v>
      </c>
      <c r="R1486" s="232" t="s">
        <v>5715</v>
      </c>
      <c r="S1486" s="89" t="s">
        <v>5156</v>
      </c>
      <c r="T1486" s="36" t="s">
        <v>19</v>
      </c>
      <c r="U1486" s="125"/>
      <c r="V1486" s="147" t="s">
        <v>5716</v>
      </c>
      <c r="W1486" s="129"/>
      <c r="X1486" s="88">
        <v>44380</v>
      </c>
      <c r="Y1486" s="130" t="s">
        <v>20</v>
      </c>
      <c r="Z1486" s="133" t="s">
        <v>60</v>
      </c>
      <c r="AA1486" s="133"/>
      <c r="AB1486" s="241">
        <v>53.85</v>
      </c>
      <c r="AC1486" s="134">
        <v>315.55</v>
      </c>
      <c r="AD1486" s="134"/>
      <c r="AE1486" s="403">
        <f t="shared" si="85"/>
        <v>16992.3675</v>
      </c>
      <c r="AF1486" s="132">
        <v>2</v>
      </c>
      <c r="AG1486" s="130" t="s">
        <v>5</v>
      </c>
      <c r="AH1486" s="130"/>
      <c r="AI1486" s="130" t="s">
        <v>100</v>
      </c>
      <c r="AJ1486" s="130"/>
      <c r="AK1486" s="130"/>
      <c r="AL1486" s="135" t="s">
        <v>5156</v>
      </c>
      <c r="AM1486" s="314"/>
      <c r="AN1486" s="26"/>
      <c r="AO1486" s="26">
        <v>44351</v>
      </c>
      <c r="AP1486" s="26"/>
      <c r="AQ1486" s="26">
        <v>44411</v>
      </c>
      <c r="AR1486" s="24"/>
      <c r="AS1486" s="24"/>
      <c r="AT1486" s="24">
        <v>44414</v>
      </c>
      <c r="AU1486" s="418">
        <f t="shared" si="86"/>
        <v>8</v>
      </c>
      <c r="AV1486" s="418">
        <f t="shared" si="87"/>
        <v>2021</v>
      </c>
      <c r="AW1486" s="24"/>
      <c r="AX1486" s="24"/>
      <c r="AY1486" s="24" t="s">
        <v>4072</v>
      </c>
      <c r="AZ1486" s="24" t="s">
        <v>62</v>
      </c>
      <c r="BA1486" s="24"/>
      <c r="BB1486" s="24" t="s">
        <v>3264</v>
      </c>
      <c r="BC1486" s="135" t="s">
        <v>5717</v>
      </c>
      <c r="BD1486" s="24">
        <v>44351</v>
      </c>
      <c r="BE1486" s="24" t="s">
        <v>4079</v>
      </c>
      <c r="BF1486" s="24" t="s">
        <v>1938</v>
      </c>
      <c r="BG1486" s="135" t="s">
        <v>29</v>
      </c>
      <c r="BH1486" s="135"/>
      <c r="BI1486" s="314" t="s">
        <v>124</v>
      </c>
      <c r="BJ1486" s="314" t="s">
        <v>148</v>
      </c>
      <c r="BK1486" s="24"/>
      <c r="BL1486" s="24"/>
      <c r="BM1486" s="24"/>
      <c r="BN1486" s="24"/>
      <c r="BO1486" s="24"/>
      <c r="BP1486" s="24"/>
      <c r="BQ1486" s="24"/>
      <c r="BR1486" s="24"/>
      <c r="BS1486" s="24"/>
      <c r="BT1486" s="24"/>
      <c r="BU1486" s="24"/>
      <c r="BV1486" s="132" t="e">
        <f>IF(#REF!="COMPLETO","OK","PENDIENTES")</f>
        <v>#REF!</v>
      </c>
      <c r="BW1486" s="132"/>
      <c r="BX1486" s="132"/>
      <c r="BY1486" s="132"/>
      <c r="BZ1486" s="132"/>
      <c r="CA1486" s="132"/>
      <c r="CB1486" s="132"/>
      <c r="CC1486" s="269" t="s">
        <v>5718</v>
      </c>
      <c r="CG1486" s="24" t="s">
        <v>105</v>
      </c>
      <c r="CH1486" s="24"/>
      <c r="CI1486" s="24"/>
      <c r="CJ1486" s="24"/>
    </row>
    <row r="1487" spans="1:88" ht="15" customHeight="1">
      <c r="A1487" s="18">
        <v>2021</v>
      </c>
      <c r="B1487" s="18" t="str">
        <f>+INDEX(BDD!F:F,MATCH(P1487,BDD!D:D,0))&amp;"-"&amp;INDEX(BDD!E:E,MATCH(P1487,BDD!D:D,0))</f>
        <v>O-S</v>
      </c>
      <c r="C1487" s="125" t="s">
        <v>484</v>
      </c>
      <c r="D1487" s="150" t="s">
        <v>77</v>
      </c>
      <c r="E1487" s="132"/>
      <c r="F1487" s="24"/>
      <c r="G1487" s="346">
        <v>8000001381</v>
      </c>
      <c r="H1487" s="125" t="s">
        <v>5719</v>
      </c>
      <c r="I1487" s="329"/>
      <c r="J1487" s="346">
        <v>8000001381</v>
      </c>
      <c r="K1487" s="24"/>
      <c r="L1487" s="24"/>
      <c r="M1487" s="24"/>
      <c r="N1487" s="340" t="s">
        <v>486</v>
      </c>
      <c r="O1487" s="334">
        <v>203553</v>
      </c>
      <c r="P1487" s="25" t="s">
        <v>386</v>
      </c>
      <c r="Q1487" s="127" t="s">
        <v>303</v>
      </c>
      <c r="R1487" s="232" t="s">
        <v>5720</v>
      </c>
      <c r="S1487" s="89" t="s">
        <v>5156</v>
      </c>
      <c r="T1487" s="36" t="s">
        <v>19</v>
      </c>
      <c r="U1487" s="125"/>
      <c r="V1487" s="147" t="s">
        <v>5721</v>
      </c>
      <c r="W1487" s="129"/>
      <c r="X1487" s="88">
        <v>44380</v>
      </c>
      <c r="Y1487" s="130" t="s">
        <v>20</v>
      </c>
      <c r="Z1487" s="133" t="s">
        <v>60</v>
      </c>
      <c r="AA1487" s="133"/>
      <c r="AB1487" s="241">
        <v>267.60000000000002</v>
      </c>
      <c r="AC1487" s="134">
        <v>292.93</v>
      </c>
      <c r="AD1487" s="134"/>
      <c r="AE1487" s="403">
        <f t="shared" si="85"/>
        <v>78388.068000000014</v>
      </c>
      <c r="AF1487" s="132">
        <v>10</v>
      </c>
      <c r="AG1487" s="130" t="s">
        <v>5</v>
      </c>
      <c r="AH1487" s="130"/>
      <c r="AI1487" s="130" t="s">
        <v>100</v>
      </c>
      <c r="AJ1487" s="130"/>
      <c r="AK1487" s="130"/>
      <c r="AL1487" s="135" t="s">
        <v>5156</v>
      </c>
      <c r="AM1487" s="314"/>
      <c r="AN1487" s="26"/>
      <c r="AO1487" s="26"/>
      <c r="AP1487" s="26"/>
      <c r="AQ1487" s="26">
        <v>44391</v>
      </c>
      <c r="AR1487" s="24"/>
      <c r="AS1487" s="24"/>
      <c r="AT1487" s="24">
        <v>44398</v>
      </c>
      <c r="AU1487" s="418">
        <f t="shared" si="86"/>
        <v>7</v>
      </c>
      <c r="AV1487" s="418">
        <f t="shared" si="87"/>
        <v>2021</v>
      </c>
      <c r="AW1487" s="24"/>
      <c r="AX1487" s="24"/>
      <c r="AY1487" s="24" t="s">
        <v>4072</v>
      </c>
      <c r="AZ1487" s="24" t="s">
        <v>9</v>
      </c>
      <c r="BA1487" s="24"/>
      <c r="BB1487" s="24" t="s">
        <v>3264</v>
      </c>
      <c r="BC1487" s="135" t="s">
        <v>5722</v>
      </c>
      <c r="BD1487" s="24">
        <v>44358</v>
      </c>
      <c r="BE1487" s="24" t="s">
        <v>4079</v>
      </c>
      <c r="BF1487" s="24" t="s">
        <v>1806</v>
      </c>
      <c r="BG1487" s="135" t="s">
        <v>64</v>
      </c>
      <c r="BH1487" s="135"/>
      <c r="BI1487" s="314" t="s">
        <v>124</v>
      </c>
      <c r="BJ1487" s="314" t="s">
        <v>138</v>
      </c>
      <c r="BK1487" s="24"/>
      <c r="BL1487" s="24"/>
      <c r="BM1487" s="24"/>
      <c r="BN1487" s="24"/>
      <c r="BO1487" s="24">
        <v>44404</v>
      </c>
      <c r="BP1487" s="24"/>
      <c r="BQ1487" s="24"/>
      <c r="BR1487" s="24"/>
      <c r="BS1487" s="24"/>
      <c r="BT1487" s="24"/>
      <c r="BU1487" s="24"/>
      <c r="BV1487" s="132" t="e">
        <f>IF(#REF!="COMPLETO","OK","PENDIENTES")</f>
        <v>#REF!</v>
      </c>
      <c r="BW1487" s="132"/>
      <c r="BX1487" s="132"/>
      <c r="BY1487" s="132"/>
      <c r="BZ1487" s="132"/>
      <c r="CA1487" s="132"/>
      <c r="CB1487" s="132"/>
      <c r="CC1487" s="269"/>
      <c r="CG1487" s="24" t="s">
        <v>105</v>
      </c>
      <c r="CH1487" s="24"/>
      <c r="CI1487" s="24"/>
      <c r="CJ1487" s="24"/>
    </row>
    <row r="1488" spans="1:88" ht="15" customHeight="1">
      <c r="A1488" s="18">
        <v>2021</v>
      </c>
      <c r="B1488" s="18" t="str">
        <f>+INDEX(BDD!F:F,MATCH(P1488,BDD!D:D,0))&amp;"-"&amp;INDEX(BDD!E:E,MATCH(P1488,BDD!D:D,0))</f>
        <v>O-S</v>
      </c>
      <c r="C1488" s="125" t="s">
        <v>484</v>
      </c>
      <c r="D1488" s="150" t="s">
        <v>77</v>
      </c>
      <c r="E1488" s="132"/>
      <c r="F1488" s="24"/>
      <c r="G1488" s="346">
        <v>8000001383</v>
      </c>
      <c r="H1488" s="125" t="s">
        <v>5723</v>
      </c>
      <c r="I1488" s="329"/>
      <c r="J1488" s="346">
        <v>8000001383</v>
      </c>
      <c r="K1488" s="24"/>
      <c r="L1488" s="24">
        <v>44413</v>
      </c>
      <c r="M1488" s="24">
        <v>44413</v>
      </c>
      <c r="N1488" s="340" t="s">
        <v>486</v>
      </c>
      <c r="O1488" s="334">
        <v>203553</v>
      </c>
      <c r="P1488" s="25" t="s">
        <v>386</v>
      </c>
      <c r="Q1488" s="127" t="s">
        <v>303</v>
      </c>
      <c r="R1488" s="232" t="s">
        <v>5724</v>
      </c>
      <c r="S1488" s="89" t="s">
        <v>5156</v>
      </c>
      <c r="T1488" s="36" t="s">
        <v>19</v>
      </c>
      <c r="U1488" s="125"/>
      <c r="V1488" s="147" t="s">
        <v>5725</v>
      </c>
      <c r="W1488" s="129"/>
      <c r="X1488" s="88">
        <v>44380</v>
      </c>
      <c r="Y1488" s="130" t="s">
        <v>20</v>
      </c>
      <c r="Z1488" s="133" t="s">
        <v>72</v>
      </c>
      <c r="AA1488" s="133"/>
      <c r="AB1488" s="241">
        <v>187</v>
      </c>
      <c r="AC1488" s="134">
        <v>291.7</v>
      </c>
      <c r="AD1488" s="134"/>
      <c r="AE1488" s="403">
        <f t="shared" si="85"/>
        <v>54547.9</v>
      </c>
      <c r="AF1488" s="132">
        <v>7</v>
      </c>
      <c r="AG1488" s="130" t="s">
        <v>5</v>
      </c>
      <c r="AH1488" s="130"/>
      <c r="AI1488" s="130" t="s">
        <v>100</v>
      </c>
      <c r="AJ1488" s="130"/>
      <c r="AK1488" s="130"/>
      <c r="AL1488" s="135" t="s">
        <v>5156</v>
      </c>
      <c r="AM1488" s="314"/>
      <c r="AN1488" s="26"/>
      <c r="AO1488" s="26"/>
      <c r="AP1488" s="26"/>
      <c r="AQ1488" s="26">
        <v>44399</v>
      </c>
      <c r="AR1488" s="24"/>
      <c r="AS1488" s="24"/>
      <c r="AT1488" s="24">
        <v>44411</v>
      </c>
      <c r="AU1488" s="418">
        <f t="shared" si="86"/>
        <v>8</v>
      </c>
      <c r="AV1488" s="418">
        <f t="shared" si="87"/>
        <v>2021</v>
      </c>
      <c r="AW1488" s="24"/>
      <c r="AX1488" s="24"/>
      <c r="AY1488" s="24" t="s">
        <v>4072</v>
      </c>
      <c r="AZ1488" s="24" t="s">
        <v>37</v>
      </c>
      <c r="BA1488" s="24"/>
      <c r="BB1488" s="24" t="s">
        <v>3291</v>
      </c>
      <c r="BC1488" s="135" t="s">
        <v>5726</v>
      </c>
      <c r="BD1488" s="24">
        <v>44366</v>
      </c>
      <c r="BE1488" s="24" t="s">
        <v>4079</v>
      </c>
      <c r="BF1488" s="24" t="s">
        <v>814</v>
      </c>
      <c r="BG1488" s="135" t="s">
        <v>64</v>
      </c>
      <c r="BH1488" s="135"/>
      <c r="BI1488" s="314" t="s">
        <v>124</v>
      </c>
      <c r="BJ1488" s="314" t="s">
        <v>143</v>
      </c>
      <c r="BK1488" s="24"/>
      <c r="BL1488" s="24"/>
      <c r="BM1488" s="24"/>
      <c r="BN1488" s="24"/>
      <c r="BO1488" s="24">
        <f>+AQ1488+14</f>
        <v>44413</v>
      </c>
      <c r="BP1488" s="24"/>
      <c r="BQ1488" s="24"/>
      <c r="BR1488" s="24"/>
      <c r="BS1488" s="24"/>
      <c r="BT1488" s="24"/>
      <c r="BU1488" s="24"/>
      <c r="BV1488" s="132" t="e">
        <f>IF(#REF!="COMPLETO","OK","PENDIENTES")</f>
        <v>#REF!</v>
      </c>
      <c r="BW1488" s="132"/>
      <c r="BX1488" s="132"/>
      <c r="BY1488" s="132"/>
      <c r="BZ1488" s="132"/>
      <c r="CA1488" s="132"/>
      <c r="CB1488" s="132"/>
      <c r="CC1488" s="269"/>
      <c r="CG1488" s="24" t="s">
        <v>105</v>
      </c>
      <c r="CH1488" s="24"/>
      <c r="CI1488" s="24"/>
      <c r="CJ1488" s="24"/>
    </row>
    <row r="1489" spans="1:88" ht="15" customHeight="1">
      <c r="A1489" s="18">
        <v>2021</v>
      </c>
      <c r="B1489" s="18" t="str">
        <f>+INDEX(BDD!F:F,MATCH(P1489,BDD!D:D,0))&amp;"-"&amp;INDEX(BDD!E:E,MATCH(P1489,BDD!D:D,0))</f>
        <v>E-S</v>
      </c>
      <c r="C1489" s="125" t="s">
        <v>484</v>
      </c>
      <c r="D1489" s="150" t="s">
        <v>77</v>
      </c>
      <c r="E1489" s="132"/>
      <c r="F1489" s="24"/>
      <c r="G1489" s="346">
        <v>8000001522</v>
      </c>
      <c r="H1489" s="125" t="s">
        <v>5727</v>
      </c>
      <c r="I1489" s="329"/>
      <c r="J1489" s="346">
        <v>8000001522</v>
      </c>
      <c r="K1489" s="24"/>
      <c r="L1489" s="24">
        <v>44449</v>
      </c>
      <c r="M1489" s="24">
        <v>44461</v>
      </c>
      <c r="N1489" s="340" t="s">
        <v>486</v>
      </c>
      <c r="O1489" s="334">
        <v>203820</v>
      </c>
      <c r="P1489" s="25" t="s">
        <v>164</v>
      </c>
      <c r="Q1489" s="127" t="s">
        <v>136</v>
      </c>
      <c r="R1489" s="232" t="s">
        <v>5728</v>
      </c>
      <c r="S1489" s="89">
        <v>44330</v>
      </c>
      <c r="T1489" s="36" t="s">
        <v>19</v>
      </c>
      <c r="U1489" s="125"/>
      <c r="V1489" s="147" t="s">
        <v>5729</v>
      </c>
      <c r="W1489" s="129"/>
      <c r="X1489" s="88">
        <v>44417</v>
      </c>
      <c r="Y1489" s="130" t="s">
        <v>20</v>
      </c>
      <c r="Z1489" s="133" t="s">
        <v>60</v>
      </c>
      <c r="AA1489" s="133"/>
      <c r="AB1489" s="241">
        <v>100</v>
      </c>
      <c r="AC1489" s="134">
        <v>1274</v>
      </c>
      <c r="AD1489" s="134"/>
      <c r="AE1489" s="403">
        <f t="shared" si="85"/>
        <v>127400</v>
      </c>
      <c r="AF1489" s="132"/>
      <c r="AG1489" s="130" t="s">
        <v>58</v>
      </c>
      <c r="AH1489" s="130"/>
      <c r="AI1489" s="130" t="s">
        <v>34</v>
      </c>
      <c r="AJ1489" s="130"/>
      <c r="AK1489" s="130"/>
      <c r="AL1489" s="135" t="s">
        <v>5730</v>
      </c>
      <c r="AM1489" s="314"/>
      <c r="AN1489" s="26">
        <f>BL1489</f>
        <v>0</v>
      </c>
      <c r="AO1489" s="26">
        <v>44397</v>
      </c>
      <c r="AP1489" s="26">
        <f>AQ1489</f>
        <v>44427</v>
      </c>
      <c r="AQ1489" s="26">
        <v>44427</v>
      </c>
      <c r="AR1489" s="24">
        <f>AP1489+10</f>
        <v>44437</v>
      </c>
      <c r="AS1489" s="24"/>
      <c r="AT1489" s="24">
        <v>44467</v>
      </c>
      <c r="AU1489" s="418">
        <f t="shared" si="86"/>
        <v>9</v>
      </c>
      <c r="AV1489" s="418">
        <f t="shared" si="87"/>
        <v>2021</v>
      </c>
      <c r="AW1489" s="24"/>
      <c r="AX1489" s="24"/>
      <c r="AY1489" s="24" t="s">
        <v>3199</v>
      </c>
      <c r="AZ1489" s="24" t="s">
        <v>37</v>
      </c>
      <c r="BA1489" s="24"/>
      <c r="BB1489" s="24" t="s">
        <v>3291</v>
      </c>
      <c r="BC1489" s="135" t="s">
        <v>5731</v>
      </c>
      <c r="BD1489" s="24">
        <v>44397</v>
      </c>
      <c r="BE1489" s="24" t="s">
        <v>5067</v>
      </c>
      <c r="BF1489" s="24" t="s">
        <v>5067</v>
      </c>
      <c r="BG1489" s="135" t="s">
        <v>52</v>
      </c>
      <c r="BH1489" s="135"/>
      <c r="BI1489" s="314" t="s">
        <v>124</v>
      </c>
      <c r="BJ1489" s="314" t="s">
        <v>143</v>
      </c>
      <c r="BK1489" s="24"/>
      <c r="BL1489" s="24"/>
      <c r="BM1489" s="24"/>
      <c r="BN1489" s="24"/>
      <c r="BO1489" s="24"/>
      <c r="BP1489" s="24"/>
      <c r="BQ1489" s="24"/>
      <c r="BR1489" s="24"/>
      <c r="BS1489" s="24"/>
      <c r="BT1489" s="24"/>
      <c r="BU1489" s="24"/>
      <c r="BV1489" s="132" t="e">
        <f>IF(#REF!="COMPLETO","OK","PENDIENTES")</f>
        <v>#REF!</v>
      </c>
      <c r="BW1489" s="132"/>
      <c r="BX1489" s="132"/>
      <c r="BY1489" s="132"/>
      <c r="BZ1489" s="132"/>
      <c r="CA1489" s="132"/>
      <c r="CB1489" s="132"/>
      <c r="CC1489" s="269"/>
      <c r="CG1489" s="24" t="s">
        <v>105</v>
      </c>
      <c r="CH1489" s="24"/>
      <c r="CI1489" s="24"/>
      <c r="CJ1489" s="24"/>
    </row>
    <row r="1490" spans="1:88" ht="15" customHeight="1">
      <c r="A1490" s="18">
        <v>2021</v>
      </c>
      <c r="B1490" s="18" t="str">
        <f>+INDEX(BDD!F:F,MATCH(P1490,BDD!D:D,0))&amp;"-"&amp;INDEX(BDD!E:E,MATCH(P1490,BDD!D:D,0))</f>
        <v>E-S</v>
      </c>
      <c r="C1490" s="125" t="s">
        <v>484</v>
      </c>
      <c r="D1490" s="150" t="s">
        <v>20</v>
      </c>
      <c r="E1490" s="132" t="s">
        <v>1622</v>
      </c>
      <c r="F1490" s="24"/>
      <c r="G1490" s="346"/>
      <c r="H1490" s="125" t="s">
        <v>5732</v>
      </c>
      <c r="I1490" s="329"/>
      <c r="J1490" s="346"/>
      <c r="K1490" s="24"/>
      <c r="L1490" s="24"/>
      <c r="M1490" s="24"/>
      <c r="N1490" s="340"/>
      <c r="O1490" s="334"/>
      <c r="P1490" s="25" t="s">
        <v>164</v>
      </c>
      <c r="Q1490" s="127" t="s">
        <v>136</v>
      </c>
      <c r="R1490" s="232"/>
      <c r="S1490" s="89"/>
      <c r="T1490" s="36"/>
      <c r="U1490" s="125"/>
      <c r="V1490" s="147"/>
      <c r="W1490" s="129"/>
      <c r="X1490" s="88"/>
      <c r="Y1490" s="130"/>
      <c r="Z1490" s="133"/>
      <c r="AA1490" s="133"/>
      <c r="AB1490" s="241"/>
      <c r="AC1490" s="134"/>
      <c r="AD1490" s="134"/>
      <c r="AE1490" s="403">
        <f t="shared" si="85"/>
        <v>0</v>
      </c>
      <c r="AF1490" s="132"/>
      <c r="AG1490" s="130"/>
      <c r="AH1490" s="130"/>
      <c r="AI1490" s="130"/>
      <c r="AJ1490" s="130"/>
      <c r="AK1490" s="130"/>
      <c r="AL1490" s="135"/>
      <c r="AM1490" s="314"/>
      <c r="AN1490" s="26"/>
      <c r="AO1490" s="26"/>
      <c r="AP1490" s="26"/>
      <c r="AQ1490" s="26"/>
      <c r="AR1490" s="24"/>
      <c r="AS1490" s="24"/>
      <c r="AT1490" s="24"/>
      <c r="AU1490" s="418">
        <f t="shared" si="86"/>
        <v>1</v>
      </c>
      <c r="AV1490" s="418">
        <f t="shared" si="87"/>
        <v>1900</v>
      </c>
      <c r="AW1490" s="24"/>
      <c r="AX1490" s="24"/>
      <c r="AY1490" s="24"/>
      <c r="AZ1490" s="24"/>
      <c r="BA1490" s="24"/>
      <c r="BB1490" s="24"/>
      <c r="BC1490" s="135"/>
      <c r="BD1490" s="24"/>
      <c r="BE1490" s="24"/>
      <c r="BF1490" s="24"/>
      <c r="BG1490" s="135"/>
      <c r="BH1490" s="135"/>
      <c r="BI1490" s="314"/>
      <c r="BJ1490" s="314"/>
      <c r="BK1490" s="24"/>
      <c r="BL1490" s="24"/>
      <c r="BM1490" s="24"/>
      <c r="BN1490" s="24"/>
      <c r="BO1490" s="24"/>
      <c r="BP1490" s="24"/>
      <c r="BQ1490" s="24"/>
      <c r="BR1490" s="24"/>
      <c r="BS1490" s="24"/>
      <c r="BT1490" s="24"/>
      <c r="BU1490" s="24"/>
      <c r="BV1490" s="132"/>
      <c r="BW1490" s="132"/>
      <c r="BX1490" s="132"/>
      <c r="BY1490" s="132"/>
      <c r="BZ1490" s="132"/>
      <c r="CA1490" s="132"/>
      <c r="CB1490" s="132"/>
      <c r="CC1490" s="269"/>
      <c r="CD1490" s="22"/>
      <c r="CE1490" s="22"/>
      <c r="CF1490" s="22"/>
      <c r="CG1490" s="24"/>
      <c r="CH1490" s="24"/>
      <c r="CI1490" s="24"/>
      <c r="CJ1490" s="24"/>
    </row>
    <row r="1491" spans="1:88" ht="15" customHeight="1">
      <c r="A1491" s="18">
        <v>2021</v>
      </c>
      <c r="B1491" s="18" t="str">
        <f>+INDEX(BDD!F:F,MATCH(P1491,BDD!D:D,0))&amp;"-"&amp;INDEX(BDD!E:E,MATCH(P1491,BDD!D:D,0))</f>
        <v>T-S</v>
      </c>
      <c r="C1491" s="125" t="s">
        <v>484</v>
      </c>
      <c r="D1491" s="150" t="s">
        <v>77</v>
      </c>
      <c r="E1491" s="132"/>
      <c r="F1491" s="24"/>
      <c r="G1491" s="346">
        <v>8000001297</v>
      </c>
      <c r="H1491" s="125" t="s">
        <v>5733</v>
      </c>
      <c r="I1491" s="329"/>
      <c r="J1491" s="346">
        <v>8000001297</v>
      </c>
      <c r="K1491" s="24"/>
      <c r="L1491" s="24"/>
      <c r="M1491" s="24"/>
      <c r="N1491" s="340" t="s">
        <v>486</v>
      </c>
      <c r="O1491" s="334">
        <v>208067</v>
      </c>
      <c r="P1491" s="25" t="s">
        <v>383</v>
      </c>
      <c r="Q1491" s="127" t="s">
        <v>303</v>
      </c>
      <c r="R1491" s="232"/>
      <c r="S1491" s="89" t="s">
        <v>5156</v>
      </c>
      <c r="T1491" s="36">
        <v>30</v>
      </c>
      <c r="U1491" s="125" t="s">
        <v>131</v>
      </c>
      <c r="V1491" s="147" t="s">
        <v>5734</v>
      </c>
      <c r="W1491" s="129"/>
      <c r="X1491" s="88">
        <v>44364</v>
      </c>
      <c r="Y1491" s="130" t="s">
        <v>20</v>
      </c>
      <c r="Z1491" s="133" t="s">
        <v>60</v>
      </c>
      <c r="AA1491" s="133"/>
      <c r="AB1491" s="241">
        <v>81</v>
      </c>
      <c r="AC1491" s="134">
        <v>249</v>
      </c>
      <c r="AD1491" s="134"/>
      <c r="AE1491" s="403">
        <f t="shared" si="85"/>
        <v>20169</v>
      </c>
      <c r="AF1491" s="132">
        <v>3</v>
      </c>
      <c r="AG1491" s="130" t="s">
        <v>5</v>
      </c>
      <c r="AH1491" s="130"/>
      <c r="AI1491" s="130" t="s">
        <v>34</v>
      </c>
      <c r="AJ1491" s="130"/>
      <c r="AK1491" s="130"/>
      <c r="AL1491" s="135" t="s">
        <v>5156</v>
      </c>
      <c r="AM1491" s="314"/>
      <c r="AN1491" s="26"/>
      <c r="AO1491" s="26"/>
      <c r="AP1491" s="26"/>
      <c r="AQ1491" s="26">
        <v>44366</v>
      </c>
      <c r="AR1491" s="24"/>
      <c r="AS1491" s="24"/>
      <c r="AT1491" s="24">
        <v>44371</v>
      </c>
      <c r="AU1491" s="418">
        <f t="shared" si="86"/>
        <v>6</v>
      </c>
      <c r="AV1491" s="418">
        <f t="shared" si="87"/>
        <v>2021</v>
      </c>
      <c r="AW1491" s="24"/>
      <c r="AX1491" s="24"/>
      <c r="AY1491" s="24" t="s">
        <v>3415</v>
      </c>
      <c r="AZ1491" s="24" t="s">
        <v>62</v>
      </c>
      <c r="BA1491" s="24"/>
      <c r="BB1491" s="24" t="s">
        <v>3264</v>
      </c>
      <c r="BC1491" s="135" t="s">
        <v>5735</v>
      </c>
      <c r="BD1491" s="24">
        <v>44330</v>
      </c>
      <c r="BE1491" s="24" t="s">
        <v>1806</v>
      </c>
      <c r="BF1491" s="24" t="s">
        <v>1938</v>
      </c>
      <c r="BG1491" s="135" t="s">
        <v>29</v>
      </c>
      <c r="BH1491" s="135"/>
      <c r="BI1491" s="314" t="s">
        <v>124</v>
      </c>
      <c r="BJ1491" s="314" t="s">
        <v>148</v>
      </c>
      <c r="BK1491" s="24"/>
      <c r="BL1491" s="24"/>
      <c r="BM1491" s="24"/>
      <c r="BN1491" s="24"/>
      <c r="BO1491" s="24">
        <v>44386</v>
      </c>
      <c r="BP1491" s="24"/>
      <c r="BQ1491" s="24"/>
      <c r="BR1491" s="24"/>
      <c r="BS1491" s="24"/>
      <c r="BT1491" s="24"/>
      <c r="BU1491" s="24"/>
      <c r="BV1491" s="132" t="e">
        <f>IF(#REF!="COMPLETO","OK","PENDIENTES")</f>
        <v>#REF!</v>
      </c>
      <c r="BW1491" s="132"/>
      <c r="BX1491" s="132"/>
      <c r="BY1491" s="132"/>
      <c r="BZ1491" s="132"/>
      <c r="CA1491" s="132"/>
      <c r="CB1491" s="132"/>
      <c r="CC1491" s="269"/>
      <c r="CG1491" s="24" t="s">
        <v>105</v>
      </c>
      <c r="CH1491" s="24"/>
      <c r="CI1491" s="24"/>
      <c r="CJ1491" s="24"/>
    </row>
    <row r="1492" spans="1:88" ht="15" customHeight="1">
      <c r="A1492" s="18">
        <v>2021</v>
      </c>
      <c r="B1492" s="18" t="str">
        <f>+INDEX(BDD!F:F,MATCH(P1492,BDD!D:D,0))&amp;"-"&amp;INDEX(BDD!E:E,MATCH(P1492,BDD!D:D,0))</f>
        <v>S-C</v>
      </c>
      <c r="C1492" s="125" t="s">
        <v>484</v>
      </c>
      <c r="D1492" s="150" t="s">
        <v>77</v>
      </c>
      <c r="E1492" s="132"/>
      <c r="F1492" s="24"/>
      <c r="G1492" s="346">
        <v>8000001455</v>
      </c>
      <c r="H1492" s="125" t="s">
        <v>5736</v>
      </c>
      <c r="I1492" s="329"/>
      <c r="J1492" s="346">
        <v>8000001455</v>
      </c>
      <c r="K1492" s="24"/>
      <c r="L1492" s="24">
        <v>44424</v>
      </c>
      <c r="M1492" s="24">
        <v>44425</v>
      </c>
      <c r="N1492" s="340" t="s">
        <v>486</v>
      </c>
      <c r="O1492" s="334">
        <v>207580</v>
      </c>
      <c r="P1492" s="25" t="s">
        <v>241</v>
      </c>
      <c r="Q1492" s="127" t="s">
        <v>297</v>
      </c>
      <c r="R1492" s="232" t="s">
        <v>5737</v>
      </c>
      <c r="S1492" s="89">
        <v>44343</v>
      </c>
      <c r="T1492" s="36" t="s">
        <v>19</v>
      </c>
      <c r="U1492" s="125"/>
      <c r="V1492" s="147" t="s">
        <v>5738</v>
      </c>
      <c r="W1492" s="129"/>
      <c r="X1492" s="88" t="s">
        <v>944</v>
      </c>
      <c r="Y1492" s="130" t="s">
        <v>20</v>
      </c>
      <c r="Z1492" s="133" t="s">
        <v>72</v>
      </c>
      <c r="AA1492" s="133"/>
      <c r="AB1492" s="241">
        <v>408</v>
      </c>
      <c r="AC1492" s="134">
        <v>658</v>
      </c>
      <c r="AD1492" s="134"/>
      <c r="AE1492" s="403">
        <f t="shared" si="85"/>
        <v>268464</v>
      </c>
      <c r="AF1492" s="132">
        <v>17</v>
      </c>
      <c r="AG1492" s="130" t="s">
        <v>5</v>
      </c>
      <c r="AH1492" s="130"/>
      <c r="AI1492" s="130" t="s">
        <v>34</v>
      </c>
      <c r="AJ1492" s="130"/>
      <c r="AK1492" s="130"/>
      <c r="AL1492" s="135" t="s">
        <v>5739</v>
      </c>
      <c r="AM1492" s="314"/>
      <c r="AN1492" s="26"/>
      <c r="AO1492" s="26">
        <v>44397</v>
      </c>
      <c r="AP1492" s="26"/>
      <c r="AQ1492" s="26">
        <v>44417</v>
      </c>
      <c r="AR1492" s="41"/>
      <c r="AS1492" s="41"/>
      <c r="AT1492" s="24">
        <v>44421</v>
      </c>
      <c r="AU1492" s="418">
        <f t="shared" si="86"/>
        <v>8</v>
      </c>
      <c r="AV1492" s="418">
        <f t="shared" si="87"/>
        <v>2021</v>
      </c>
      <c r="AW1492" s="24"/>
      <c r="AX1492" s="24"/>
      <c r="AY1492" s="24" t="s">
        <v>4881</v>
      </c>
      <c r="AZ1492" s="24" t="s">
        <v>37</v>
      </c>
      <c r="BA1492" s="24"/>
      <c r="BB1492" s="24" t="s">
        <v>3291</v>
      </c>
      <c r="BC1492" s="135" t="s">
        <v>5740</v>
      </c>
      <c r="BD1492" s="24">
        <v>44368</v>
      </c>
      <c r="BE1492" s="24" t="s">
        <v>5741</v>
      </c>
      <c r="BF1492" s="24" t="s">
        <v>4776</v>
      </c>
      <c r="BG1492" s="135" t="s">
        <v>65</v>
      </c>
      <c r="BH1492" s="135"/>
      <c r="BI1492" s="314" t="s">
        <v>124</v>
      </c>
      <c r="BJ1492" s="314" t="s">
        <v>143</v>
      </c>
      <c r="BK1492" s="24"/>
      <c r="BL1492" s="24"/>
      <c r="BM1492" s="24"/>
      <c r="BN1492" s="24"/>
      <c r="BO1492" s="41"/>
      <c r="BP1492" s="41"/>
      <c r="BQ1492" s="41"/>
      <c r="BR1492" s="24"/>
      <c r="BS1492" s="41"/>
      <c r="BT1492" s="41"/>
      <c r="BU1492" s="41"/>
      <c r="BV1492" s="132" t="e">
        <f>IF(#REF!="COMPLETO","OK","PENDIENTES")</f>
        <v>#REF!</v>
      </c>
      <c r="BW1492" s="132"/>
      <c r="BX1492" s="132"/>
      <c r="BY1492" s="132"/>
      <c r="BZ1492" s="132"/>
      <c r="CA1492" s="132"/>
      <c r="CB1492" s="132"/>
      <c r="CC1492" s="269"/>
      <c r="CG1492" s="24" t="s">
        <v>105</v>
      </c>
      <c r="CH1492" s="24"/>
      <c r="CI1492" s="24"/>
      <c r="CJ1492" s="24"/>
    </row>
    <row r="1493" spans="1:88" ht="15" customHeight="1">
      <c r="A1493" s="18">
        <v>2021</v>
      </c>
      <c r="B1493" s="18" t="str">
        <f>+INDEX(BDD!F:F,MATCH(P1493,BDD!D:D,0))&amp;"-"&amp;INDEX(BDD!E:E,MATCH(P1493,BDD!D:D,0))</f>
        <v>G-S</v>
      </c>
      <c r="C1493" s="125" t="s">
        <v>484</v>
      </c>
      <c r="D1493" s="150" t="s">
        <v>77</v>
      </c>
      <c r="E1493" s="132"/>
      <c r="F1493" s="24"/>
      <c r="G1493" s="346">
        <v>8000001501</v>
      </c>
      <c r="H1493" s="125" t="s">
        <v>5742</v>
      </c>
      <c r="I1493" s="329"/>
      <c r="J1493" s="346">
        <v>8000001501</v>
      </c>
      <c r="K1493" s="24"/>
      <c r="L1493" s="24">
        <v>44440</v>
      </c>
      <c r="M1493" s="24">
        <v>44440</v>
      </c>
      <c r="N1493" s="340" t="s">
        <v>486</v>
      </c>
      <c r="O1493" s="334">
        <v>209852</v>
      </c>
      <c r="P1493" s="25" t="s">
        <v>337</v>
      </c>
      <c r="Q1493" s="127" t="s">
        <v>297</v>
      </c>
      <c r="R1493" s="232" t="s">
        <v>5743</v>
      </c>
      <c r="S1493" s="89">
        <v>44349</v>
      </c>
      <c r="T1493" s="36">
        <v>90</v>
      </c>
      <c r="U1493" s="125" t="s">
        <v>118</v>
      </c>
      <c r="V1493" s="147" t="s">
        <v>5744</v>
      </c>
      <c r="W1493" s="129"/>
      <c r="X1493" s="88">
        <f t="shared" ref="X1493:X1498" si="88">+T1493+BD1493</f>
        <v>44490</v>
      </c>
      <c r="Y1493" s="130" t="s">
        <v>20</v>
      </c>
      <c r="Z1493" s="133" t="s">
        <v>60</v>
      </c>
      <c r="AA1493" s="133"/>
      <c r="AB1493" s="241">
        <v>750</v>
      </c>
      <c r="AC1493" s="134">
        <v>214</v>
      </c>
      <c r="AD1493" s="134"/>
      <c r="AE1493" s="403">
        <f t="shared" si="85"/>
        <v>160500</v>
      </c>
      <c r="AF1493" s="132"/>
      <c r="AG1493" s="130" t="s">
        <v>58</v>
      </c>
      <c r="AH1493" s="130"/>
      <c r="AI1493" s="130" t="s">
        <v>47</v>
      </c>
      <c r="AJ1493" s="130"/>
      <c r="AK1493" s="130"/>
      <c r="AL1493" s="135" t="s">
        <v>5739</v>
      </c>
      <c r="AM1493" s="314"/>
      <c r="AN1493" s="26"/>
      <c r="AO1493" s="26">
        <v>44387</v>
      </c>
      <c r="AP1493" s="26"/>
      <c r="AQ1493" s="26">
        <v>44429</v>
      </c>
      <c r="AR1493" s="24"/>
      <c r="AS1493" s="24"/>
      <c r="AT1493" s="24">
        <v>44442</v>
      </c>
      <c r="AU1493" s="418">
        <f t="shared" si="86"/>
        <v>9</v>
      </c>
      <c r="AV1493" s="418">
        <f t="shared" si="87"/>
        <v>2021</v>
      </c>
      <c r="AW1493" s="24"/>
      <c r="AX1493" s="24"/>
      <c r="AY1493" s="24" t="s">
        <v>3199</v>
      </c>
      <c r="AZ1493" s="24" t="s">
        <v>37</v>
      </c>
      <c r="BA1493" s="24"/>
      <c r="BB1493" s="24" t="s">
        <v>3291</v>
      </c>
      <c r="BC1493" s="135" t="s">
        <v>5745</v>
      </c>
      <c r="BD1493" s="24">
        <v>44400</v>
      </c>
      <c r="BE1493" s="24" t="s">
        <v>5746</v>
      </c>
      <c r="BF1493" s="24" t="s">
        <v>5746</v>
      </c>
      <c r="BG1493" s="135" t="s">
        <v>52</v>
      </c>
      <c r="BH1493" s="135"/>
      <c r="BI1493" s="314" t="s">
        <v>124</v>
      </c>
      <c r="BJ1493" s="314" t="s">
        <v>143</v>
      </c>
      <c r="BK1493" s="24"/>
      <c r="BL1493" s="24"/>
      <c r="BM1493" s="24"/>
      <c r="BN1493" s="24"/>
      <c r="BO1493" s="24"/>
      <c r="BP1493" s="24"/>
      <c r="BQ1493" s="24"/>
      <c r="BR1493" s="24"/>
      <c r="BS1493" s="24"/>
      <c r="BT1493" s="24"/>
      <c r="BU1493" s="24"/>
      <c r="BV1493" s="132" t="e">
        <f>IF(#REF!="COMPLETO","OK","PENDIENTES")</f>
        <v>#REF!</v>
      </c>
      <c r="BW1493" s="132"/>
      <c r="BX1493" s="132"/>
      <c r="BY1493" s="132"/>
      <c r="BZ1493" s="132"/>
      <c r="CA1493" s="132"/>
      <c r="CB1493" s="132"/>
      <c r="CC1493" s="269" t="s">
        <v>5747</v>
      </c>
      <c r="CG1493" s="24" t="s">
        <v>105</v>
      </c>
      <c r="CH1493" s="24"/>
      <c r="CI1493" s="24"/>
      <c r="CJ1493" s="24"/>
    </row>
    <row r="1494" spans="1:88" ht="15" customHeight="1">
      <c r="A1494" s="18">
        <v>2021</v>
      </c>
      <c r="B1494" s="18" t="str">
        <f>+INDEX(BDD!F:F,MATCH(P1494,BDD!D:D,0))&amp;"-"&amp;INDEX(BDD!E:E,MATCH(P1494,BDD!D:D,0))</f>
        <v>G-S</v>
      </c>
      <c r="C1494" s="125" t="s">
        <v>484</v>
      </c>
      <c r="D1494" s="150" t="s">
        <v>77</v>
      </c>
      <c r="E1494" s="132"/>
      <c r="F1494" s="24"/>
      <c r="G1494" s="346">
        <v>8000001581</v>
      </c>
      <c r="H1494" s="125" t="s">
        <v>5748</v>
      </c>
      <c r="I1494" s="329"/>
      <c r="J1494" s="346">
        <v>8000001581</v>
      </c>
      <c r="K1494" s="24"/>
      <c r="L1494" s="24">
        <v>0</v>
      </c>
      <c r="M1494" s="24">
        <v>44505</v>
      </c>
      <c r="N1494" s="340" t="s">
        <v>486</v>
      </c>
      <c r="O1494" s="334">
        <v>209852</v>
      </c>
      <c r="P1494" s="25" t="s">
        <v>337</v>
      </c>
      <c r="Q1494" s="127" t="s">
        <v>297</v>
      </c>
      <c r="R1494" s="232" t="s">
        <v>5743</v>
      </c>
      <c r="S1494" s="89">
        <v>44349</v>
      </c>
      <c r="T1494" s="36">
        <v>90</v>
      </c>
      <c r="U1494" s="125" t="s">
        <v>118</v>
      </c>
      <c r="V1494" s="147" t="s">
        <v>5749</v>
      </c>
      <c r="W1494" s="129"/>
      <c r="X1494" s="88">
        <f t="shared" si="88"/>
        <v>44539</v>
      </c>
      <c r="Y1494" s="130" t="s">
        <v>20</v>
      </c>
      <c r="Z1494" s="133" t="s">
        <v>60</v>
      </c>
      <c r="AA1494" s="133"/>
      <c r="AB1494" s="241">
        <v>350</v>
      </c>
      <c r="AC1494" s="134">
        <v>214</v>
      </c>
      <c r="AD1494" s="134"/>
      <c r="AE1494" s="403">
        <f t="shared" si="85"/>
        <v>74900</v>
      </c>
      <c r="AF1494" s="132"/>
      <c r="AG1494" s="130" t="s">
        <v>58</v>
      </c>
      <c r="AH1494" s="130"/>
      <c r="AI1494" s="130" t="s">
        <v>47</v>
      </c>
      <c r="AJ1494" s="130"/>
      <c r="AK1494" s="130"/>
      <c r="AL1494" s="135" t="s">
        <v>5739</v>
      </c>
      <c r="AM1494" s="314"/>
      <c r="AN1494" s="26">
        <f>BL1494</f>
        <v>0</v>
      </c>
      <c r="AO1494" s="26">
        <v>44450</v>
      </c>
      <c r="AP1494" s="26">
        <f>AQ1494</f>
        <v>44490</v>
      </c>
      <c r="AQ1494" s="26">
        <v>44490</v>
      </c>
      <c r="AR1494" s="24">
        <f>AP1494+10</f>
        <v>44500</v>
      </c>
      <c r="AS1494" s="24"/>
      <c r="AT1494" s="24">
        <v>44503</v>
      </c>
      <c r="AU1494" s="418">
        <f t="shared" si="86"/>
        <v>11</v>
      </c>
      <c r="AV1494" s="418">
        <f t="shared" si="87"/>
        <v>2021</v>
      </c>
      <c r="AW1494" s="24"/>
      <c r="AX1494" s="24"/>
      <c r="AY1494" s="24" t="s">
        <v>3199</v>
      </c>
      <c r="AZ1494" s="24" t="s">
        <v>37</v>
      </c>
      <c r="BA1494" s="24"/>
      <c r="BB1494" s="24" t="s">
        <v>3291</v>
      </c>
      <c r="BC1494" s="135" t="s">
        <v>5750</v>
      </c>
      <c r="BD1494" s="24">
        <v>44449</v>
      </c>
      <c r="BE1494" s="24" t="s">
        <v>1236</v>
      </c>
      <c r="BF1494" s="24" t="s">
        <v>1236</v>
      </c>
      <c r="BG1494" s="135" t="s">
        <v>52</v>
      </c>
      <c r="BH1494" s="135"/>
      <c r="BI1494" s="314" t="s">
        <v>124</v>
      </c>
      <c r="BJ1494" s="314" t="s">
        <v>143</v>
      </c>
      <c r="BK1494" s="24"/>
      <c r="BL1494" s="24"/>
      <c r="BM1494" s="24"/>
      <c r="BN1494" s="24"/>
      <c r="BO1494" s="24"/>
      <c r="BP1494" s="24"/>
      <c r="BQ1494" s="24"/>
      <c r="BR1494" s="24"/>
      <c r="BS1494" s="24"/>
      <c r="BT1494" s="24"/>
      <c r="BU1494" s="24"/>
      <c r="BV1494" s="132" t="e">
        <f>IF(#REF!="COMPLETO","OK","PENDIENTES")</f>
        <v>#REF!</v>
      </c>
      <c r="BW1494" s="132"/>
      <c r="BX1494" s="132"/>
      <c r="BY1494" s="132"/>
      <c r="BZ1494" s="132"/>
      <c r="CA1494" s="132"/>
      <c r="CB1494" s="132"/>
      <c r="CC1494" s="269"/>
      <c r="CG1494" s="24" t="s">
        <v>105</v>
      </c>
      <c r="CH1494" s="24"/>
      <c r="CI1494" s="24"/>
      <c r="CJ1494" s="24"/>
    </row>
    <row r="1495" spans="1:88" ht="15" customHeight="1">
      <c r="A1495" s="18">
        <v>2021</v>
      </c>
      <c r="B1495" s="18" t="str">
        <f>+INDEX(BDD!F:F,MATCH(P1495,BDD!D:D,0))&amp;"-"&amp;INDEX(BDD!E:E,MATCH(P1495,BDD!D:D,0))</f>
        <v>G-S</v>
      </c>
      <c r="C1495" s="125" t="s">
        <v>484</v>
      </c>
      <c r="D1495" s="150" t="s">
        <v>77</v>
      </c>
      <c r="E1495" s="132"/>
      <c r="F1495" s="24"/>
      <c r="G1495" s="346">
        <v>8000001582</v>
      </c>
      <c r="H1495" s="125" t="s">
        <v>5751</v>
      </c>
      <c r="I1495" s="329"/>
      <c r="J1495" s="346">
        <v>8000001582</v>
      </c>
      <c r="K1495" s="24"/>
      <c r="L1495" s="24">
        <v>0</v>
      </c>
      <c r="M1495" s="24">
        <v>44512</v>
      </c>
      <c r="N1495" s="340" t="s">
        <v>486</v>
      </c>
      <c r="O1495" s="334">
        <v>209852</v>
      </c>
      <c r="P1495" s="25" t="s">
        <v>337</v>
      </c>
      <c r="Q1495" s="127" t="s">
        <v>297</v>
      </c>
      <c r="R1495" s="232" t="s">
        <v>5743</v>
      </c>
      <c r="S1495" s="89">
        <v>44349</v>
      </c>
      <c r="T1495" s="36">
        <v>90</v>
      </c>
      <c r="U1495" s="125" t="s">
        <v>118</v>
      </c>
      <c r="V1495" s="147" t="s">
        <v>5752</v>
      </c>
      <c r="W1495" s="129"/>
      <c r="X1495" s="88">
        <f t="shared" si="88"/>
        <v>44538</v>
      </c>
      <c r="Y1495" s="130" t="s">
        <v>20</v>
      </c>
      <c r="Z1495" s="133" t="s">
        <v>60</v>
      </c>
      <c r="AA1495" s="133"/>
      <c r="AB1495" s="241">
        <v>501</v>
      </c>
      <c r="AC1495" s="134">
        <v>214</v>
      </c>
      <c r="AD1495" s="134"/>
      <c r="AE1495" s="403">
        <f t="shared" si="85"/>
        <v>107214</v>
      </c>
      <c r="AF1495" s="132"/>
      <c r="AG1495" s="130" t="s">
        <v>58</v>
      </c>
      <c r="AH1495" s="130"/>
      <c r="AI1495" s="130" t="s">
        <v>47</v>
      </c>
      <c r="AJ1495" s="130"/>
      <c r="AK1495" s="130"/>
      <c r="AL1495" s="135" t="s">
        <v>5739</v>
      </c>
      <c r="AM1495" s="314"/>
      <c r="AN1495" s="26">
        <f>BL1495</f>
        <v>0</v>
      </c>
      <c r="AO1495" s="26">
        <v>44450</v>
      </c>
      <c r="AP1495" s="26">
        <f>AQ1495</f>
        <v>44490</v>
      </c>
      <c r="AQ1495" s="26">
        <v>44490</v>
      </c>
      <c r="AR1495" s="24">
        <f>AP1495+10</f>
        <v>44500</v>
      </c>
      <c r="AS1495" s="24"/>
      <c r="AT1495" s="24">
        <v>44510</v>
      </c>
      <c r="AU1495" s="418">
        <f t="shared" si="86"/>
        <v>11</v>
      </c>
      <c r="AV1495" s="418">
        <f t="shared" si="87"/>
        <v>2021</v>
      </c>
      <c r="AW1495" s="24"/>
      <c r="AX1495" s="24"/>
      <c r="AY1495" s="24" t="s">
        <v>3199</v>
      </c>
      <c r="AZ1495" s="24" t="s">
        <v>37</v>
      </c>
      <c r="BA1495" s="24"/>
      <c r="BB1495" s="24" t="s">
        <v>3291</v>
      </c>
      <c r="BC1495" s="135" t="s">
        <v>5753</v>
      </c>
      <c r="BD1495" s="24">
        <v>44448</v>
      </c>
      <c r="BE1495" s="24" t="s">
        <v>1236</v>
      </c>
      <c r="BF1495" s="24" t="s">
        <v>1236</v>
      </c>
      <c r="BG1495" s="135" t="s">
        <v>52</v>
      </c>
      <c r="BH1495" s="135"/>
      <c r="BI1495" s="314" t="s">
        <v>124</v>
      </c>
      <c r="BJ1495" s="314" t="s">
        <v>143</v>
      </c>
      <c r="BK1495" s="24"/>
      <c r="BL1495" s="24"/>
      <c r="BM1495" s="24"/>
      <c r="BN1495" s="24"/>
      <c r="BO1495" s="24"/>
      <c r="BP1495" s="24"/>
      <c r="BQ1495" s="24"/>
      <c r="BR1495" s="24"/>
      <c r="BS1495" s="24"/>
      <c r="BT1495" s="24"/>
      <c r="BU1495" s="24"/>
      <c r="BV1495" s="132" t="e">
        <f>IF(#REF!="COMPLETO","OK","PENDIENTES")</f>
        <v>#REF!</v>
      </c>
      <c r="BW1495" s="132"/>
      <c r="BX1495" s="132"/>
      <c r="BY1495" s="132"/>
      <c r="BZ1495" s="132"/>
      <c r="CA1495" s="132"/>
      <c r="CB1495" s="132"/>
      <c r="CC1495" s="269"/>
      <c r="CG1495" s="24" t="s">
        <v>105</v>
      </c>
      <c r="CH1495" s="24"/>
      <c r="CI1495" s="24"/>
      <c r="CJ1495" s="24"/>
    </row>
    <row r="1496" spans="1:88" ht="15" customHeight="1">
      <c r="A1496" s="18">
        <v>2021</v>
      </c>
      <c r="B1496" s="18" t="str">
        <f>+INDEX(BDD!F:F,MATCH(P1496,BDD!D:D,0))&amp;"-"&amp;INDEX(BDD!E:E,MATCH(P1496,BDD!D:D,0))</f>
        <v>G-S</v>
      </c>
      <c r="C1496" s="125" t="s">
        <v>484</v>
      </c>
      <c r="D1496" s="150" t="s">
        <v>77</v>
      </c>
      <c r="E1496" s="132"/>
      <c r="F1496" s="24"/>
      <c r="G1496" s="346">
        <v>8000001504</v>
      </c>
      <c r="H1496" s="125" t="s">
        <v>5754</v>
      </c>
      <c r="I1496" s="329"/>
      <c r="J1496" s="346">
        <v>8000001504</v>
      </c>
      <c r="K1496" s="24"/>
      <c r="L1496" s="24">
        <v>44442</v>
      </c>
      <c r="M1496" s="24">
        <v>44442</v>
      </c>
      <c r="N1496" s="340" t="s">
        <v>486</v>
      </c>
      <c r="O1496" s="334">
        <v>209851</v>
      </c>
      <c r="P1496" s="25" t="s">
        <v>337</v>
      </c>
      <c r="Q1496" s="127" t="s">
        <v>297</v>
      </c>
      <c r="R1496" s="232" t="s">
        <v>5755</v>
      </c>
      <c r="S1496" s="89">
        <v>44349</v>
      </c>
      <c r="T1496" s="36">
        <v>90</v>
      </c>
      <c r="U1496" s="125" t="s">
        <v>118</v>
      </c>
      <c r="V1496" s="147" t="s">
        <v>5756</v>
      </c>
      <c r="W1496" s="129"/>
      <c r="X1496" s="88">
        <f t="shared" si="88"/>
        <v>44490</v>
      </c>
      <c r="Y1496" s="130" t="s">
        <v>20</v>
      </c>
      <c r="Z1496" s="133" t="s">
        <v>60</v>
      </c>
      <c r="AA1496" s="133"/>
      <c r="AB1496" s="241">
        <v>300</v>
      </c>
      <c r="AC1496" s="134">
        <v>208</v>
      </c>
      <c r="AD1496" s="134"/>
      <c r="AE1496" s="403">
        <f t="shared" si="85"/>
        <v>62400</v>
      </c>
      <c r="AF1496" s="132"/>
      <c r="AG1496" s="130" t="s">
        <v>58</v>
      </c>
      <c r="AH1496" s="130"/>
      <c r="AI1496" s="130" t="s">
        <v>71</v>
      </c>
      <c r="AJ1496" s="130"/>
      <c r="AK1496" s="130"/>
      <c r="AL1496" s="135" t="s">
        <v>5739</v>
      </c>
      <c r="AM1496" s="314"/>
      <c r="AN1496" s="26"/>
      <c r="AO1496" s="26">
        <v>44387</v>
      </c>
      <c r="AP1496" s="26"/>
      <c r="AQ1496" s="26">
        <v>44429</v>
      </c>
      <c r="AR1496" s="24"/>
      <c r="AS1496" s="24"/>
      <c r="AT1496" s="24">
        <v>44442</v>
      </c>
      <c r="AU1496" s="418">
        <f t="shared" si="86"/>
        <v>9</v>
      </c>
      <c r="AV1496" s="418">
        <f t="shared" si="87"/>
        <v>2021</v>
      </c>
      <c r="AW1496" s="24"/>
      <c r="AX1496" s="24"/>
      <c r="AY1496" s="24" t="s">
        <v>3199</v>
      </c>
      <c r="AZ1496" s="24" t="s">
        <v>37</v>
      </c>
      <c r="BA1496" s="24"/>
      <c r="BB1496" s="24" t="s">
        <v>3291</v>
      </c>
      <c r="BC1496" s="135" t="s">
        <v>5757</v>
      </c>
      <c r="BD1496" s="24">
        <v>44400</v>
      </c>
      <c r="BE1496" s="24" t="s">
        <v>5746</v>
      </c>
      <c r="BF1496" s="24" t="s">
        <v>5746</v>
      </c>
      <c r="BG1496" s="135" t="s">
        <v>52</v>
      </c>
      <c r="BH1496" s="135"/>
      <c r="BI1496" s="314" t="s">
        <v>124</v>
      </c>
      <c r="BJ1496" s="314" t="s">
        <v>143</v>
      </c>
      <c r="BK1496" s="24"/>
      <c r="BL1496" s="24"/>
      <c r="BM1496" s="24"/>
      <c r="BN1496" s="24"/>
      <c r="BO1496" s="24"/>
      <c r="BP1496" s="24"/>
      <c r="BQ1496" s="24"/>
      <c r="BR1496" s="24"/>
      <c r="BS1496" s="24"/>
      <c r="BT1496" s="24"/>
      <c r="BU1496" s="24"/>
      <c r="BV1496" s="132" t="e">
        <f>IF(#REF!="COMPLETO","OK","PENDIENTES")</f>
        <v>#REF!</v>
      </c>
      <c r="BW1496" s="132"/>
      <c r="BX1496" s="132"/>
      <c r="BY1496" s="132"/>
      <c r="BZ1496" s="132"/>
      <c r="CA1496" s="132"/>
      <c r="CB1496" s="132"/>
      <c r="CC1496" s="269" t="s">
        <v>5758</v>
      </c>
      <c r="CG1496" s="24" t="s">
        <v>105</v>
      </c>
      <c r="CH1496" s="24"/>
      <c r="CI1496" s="24"/>
      <c r="CJ1496" s="24"/>
    </row>
    <row r="1497" spans="1:88" ht="15" customHeight="1">
      <c r="A1497" s="18">
        <v>2021</v>
      </c>
      <c r="B1497" s="18" t="str">
        <f>+INDEX(BDD!F:F,MATCH(P1497,BDD!D:D,0))&amp;"-"&amp;INDEX(BDD!E:E,MATCH(P1497,BDD!D:D,0))</f>
        <v>G-S</v>
      </c>
      <c r="C1497" s="125" t="s">
        <v>484</v>
      </c>
      <c r="D1497" s="150" t="s">
        <v>77</v>
      </c>
      <c r="E1497" s="132"/>
      <c r="F1497" s="24"/>
      <c r="G1497" s="346">
        <v>8000001510</v>
      </c>
      <c r="H1497" s="125" t="s">
        <v>5759</v>
      </c>
      <c r="I1497" s="329"/>
      <c r="J1497" s="346">
        <v>8000001510</v>
      </c>
      <c r="K1497" s="24"/>
      <c r="L1497" s="24">
        <v>44445</v>
      </c>
      <c r="M1497" s="24">
        <v>44446</v>
      </c>
      <c r="N1497" s="340" t="s">
        <v>486</v>
      </c>
      <c r="O1497" s="334">
        <v>209851</v>
      </c>
      <c r="P1497" s="25" t="s">
        <v>337</v>
      </c>
      <c r="Q1497" s="127" t="s">
        <v>297</v>
      </c>
      <c r="R1497" s="232" t="s">
        <v>5760</v>
      </c>
      <c r="S1497" s="89">
        <v>44349</v>
      </c>
      <c r="T1497" s="36">
        <v>90</v>
      </c>
      <c r="U1497" s="125" t="s">
        <v>118</v>
      </c>
      <c r="V1497" s="147" t="s">
        <v>5761</v>
      </c>
      <c r="W1497" s="129"/>
      <c r="X1497" s="88">
        <f t="shared" si="88"/>
        <v>44489</v>
      </c>
      <c r="Y1497" s="130" t="s">
        <v>20</v>
      </c>
      <c r="Z1497" s="133" t="s">
        <v>60</v>
      </c>
      <c r="AA1497" s="133"/>
      <c r="AB1497" s="241">
        <v>200</v>
      </c>
      <c r="AC1497" s="134">
        <v>227</v>
      </c>
      <c r="AD1497" s="134"/>
      <c r="AE1497" s="403">
        <f t="shared" si="85"/>
        <v>45400</v>
      </c>
      <c r="AF1497" s="132"/>
      <c r="AG1497" s="130" t="s">
        <v>58</v>
      </c>
      <c r="AH1497" s="130"/>
      <c r="AI1497" s="130" t="s">
        <v>71</v>
      </c>
      <c r="AJ1497" s="130"/>
      <c r="AK1497" s="130"/>
      <c r="AL1497" s="135" t="s">
        <v>5739</v>
      </c>
      <c r="AM1497" s="314"/>
      <c r="AN1497" s="26"/>
      <c r="AO1497" s="26">
        <v>44401</v>
      </c>
      <c r="AP1497" s="26"/>
      <c r="AQ1497" s="26">
        <v>44442</v>
      </c>
      <c r="AR1497" s="24"/>
      <c r="AS1497" s="24"/>
      <c r="AT1497" s="24">
        <v>44443</v>
      </c>
      <c r="AU1497" s="418">
        <f t="shared" si="86"/>
        <v>9</v>
      </c>
      <c r="AV1497" s="418">
        <f t="shared" si="87"/>
        <v>2021</v>
      </c>
      <c r="AW1497" s="24"/>
      <c r="AX1497" s="24"/>
      <c r="AY1497" s="24" t="s">
        <v>3199</v>
      </c>
      <c r="AZ1497" s="24" t="s">
        <v>25</v>
      </c>
      <c r="BA1497" s="24"/>
      <c r="BB1497" s="24" t="s">
        <v>3264</v>
      </c>
      <c r="BC1497" s="135" t="s">
        <v>5762</v>
      </c>
      <c r="BD1497" s="24">
        <v>44399</v>
      </c>
      <c r="BE1497" s="24" t="s">
        <v>5746</v>
      </c>
      <c r="BF1497" s="24" t="s">
        <v>5746</v>
      </c>
      <c r="BG1497" s="135" t="s">
        <v>52</v>
      </c>
      <c r="BH1497" s="135"/>
      <c r="BI1497" s="314" t="s">
        <v>124</v>
      </c>
      <c r="BJ1497" s="314" t="s">
        <v>143</v>
      </c>
      <c r="BK1497" s="24"/>
      <c r="BL1497" s="24"/>
      <c r="BM1497" s="24"/>
      <c r="BN1497" s="24"/>
      <c r="BO1497" s="24"/>
      <c r="BP1497" s="24"/>
      <c r="BQ1497" s="24"/>
      <c r="BR1497" s="24"/>
      <c r="BS1497" s="24"/>
      <c r="BT1497" s="24"/>
      <c r="BU1497" s="24"/>
      <c r="BV1497" s="132" t="e">
        <f>IF(#REF!="COMPLETO","OK","PENDIENTES")</f>
        <v>#REF!</v>
      </c>
      <c r="BW1497" s="132"/>
      <c r="BX1497" s="132"/>
      <c r="BY1497" s="132"/>
      <c r="BZ1497" s="132"/>
      <c r="CA1497" s="132"/>
      <c r="CB1497" s="132"/>
      <c r="CC1497" s="269"/>
      <c r="CG1497" s="24" t="s">
        <v>105</v>
      </c>
      <c r="CH1497" s="24"/>
      <c r="CI1497" s="24"/>
      <c r="CJ1497" s="24"/>
    </row>
    <row r="1498" spans="1:88" ht="15" customHeight="1">
      <c r="A1498" s="18">
        <v>2021</v>
      </c>
      <c r="B1498" s="18" t="str">
        <f>+INDEX(BDD!F:F,MATCH(P1498,BDD!D:D,0))&amp;"-"&amp;INDEX(BDD!E:E,MATCH(P1498,BDD!D:D,0))</f>
        <v>S-P</v>
      </c>
      <c r="C1498" s="125" t="s">
        <v>484</v>
      </c>
      <c r="D1498" s="150" t="s">
        <v>77</v>
      </c>
      <c r="E1498" s="132"/>
      <c r="F1498" s="24"/>
      <c r="G1498" s="346">
        <v>8000001583</v>
      </c>
      <c r="H1498" s="125" t="s">
        <v>5763</v>
      </c>
      <c r="I1498" s="329"/>
      <c r="J1498" s="346">
        <v>8000001583</v>
      </c>
      <c r="K1498" s="24"/>
      <c r="L1498" s="24">
        <v>0</v>
      </c>
      <c r="M1498" s="24">
        <v>44505</v>
      </c>
      <c r="N1498" s="340" t="s">
        <v>486</v>
      </c>
      <c r="O1498" s="334">
        <v>207499</v>
      </c>
      <c r="P1498" s="25" t="s">
        <v>343</v>
      </c>
      <c r="Q1498" s="127" t="s">
        <v>297</v>
      </c>
      <c r="R1498" s="232" t="s">
        <v>5764</v>
      </c>
      <c r="S1498" s="89">
        <v>44342</v>
      </c>
      <c r="T1498" s="36">
        <v>90</v>
      </c>
      <c r="U1498" s="125" t="s">
        <v>118</v>
      </c>
      <c r="V1498" s="147" t="s">
        <v>5765</v>
      </c>
      <c r="W1498" s="129"/>
      <c r="X1498" s="88">
        <f t="shared" si="88"/>
        <v>44539</v>
      </c>
      <c r="Y1498" s="130" t="s">
        <v>20</v>
      </c>
      <c r="Z1498" s="133" t="s">
        <v>60</v>
      </c>
      <c r="AA1498" s="133"/>
      <c r="AB1498" s="241">
        <v>349</v>
      </c>
      <c r="AC1498" s="134">
        <v>713</v>
      </c>
      <c r="AD1498" s="134"/>
      <c r="AE1498" s="403">
        <f t="shared" si="85"/>
        <v>248837</v>
      </c>
      <c r="AF1498" s="132"/>
      <c r="AG1498" s="130" t="s">
        <v>58</v>
      </c>
      <c r="AH1498" s="130"/>
      <c r="AI1498" s="130" t="s">
        <v>34</v>
      </c>
      <c r="AJ1498" s="130"/>
      <c r="AK1498" s="130"/>
      <c r="AL1498" s="135" t="s">
        <v>5766</v>
      </c>
      <c r="AM1498" s="314"/>
      <c r="AN1498" s="26">
        <f>BL1498</f>
        <v>0</v>
      </c>
      <c r="AO1498" s="26">
        <v>44450</v>
      </c>
      <c r="AP1498" s="26">
        <f>AQ1498</f>
        <v>44490</v>
      </c>
      <c r="AQ1498" s="26">
        <v>44490</v>
      </c>
      <c r="AR1498" s="24">
        <f>AP1498+10</f>
        <v>44500</v>
      </c>
      <c r="AS1498" s="24"/>
      <c r="AT1498" s="24">
        <v>44509</v>
      </c>
      <c r="AU1498" s="418">
        <f t="shared" si="86"/>
        <v>11</v>
      </c>
      <c r="AV1498" s="418">
        <f t="shared" si="87"/>
        <v>2021</v>
      </c>
      <c r="AW1498" s="24"/>
      <c r="AX1498" s="24"/>
      <c r="AY1498" s="24" t="s">
        <v>3199</v>
      </c>
      <c r="AZ1498" s="24" t="s">
        <v>37</v>
      </c>
      <c r="BA1498" s="24"/>
      <c r="BB1498" s="24" t="s">
        <v>3291</v>
      </c>
      <c r="BC1498" s="135" t="s">
        <v>5767</v>
      </c>
      <c r="BD1498" s="24">
        <v>44449</v>
      </c>
      <c r="BE1498" s="24" t="s">
        <v>1236</v>
      </c>
      <c r="BF1498" s="24" t="s">
        <v>1236</v>
      </c>
      <c r="BG1498" s="135" t="s">
        <v>52</v>
      </c>
      <c r="BH1498" s="135"/>
      <c r="BI1498" s="314" t="s">
        <v>124</v>
      </c>
      <c r="BJ1498" s="314" t="s">
        <v>143</v>
      </c>
      <c r="BK1498" s="24"/>
      <c r="BL1498" s="24"/>
      <c r="BM1498" s="24"/>
      <c r="BN1498" s="24"/>
      <c r="BO1498" s="24"/>
      <c r="BP1498" s="24"/>
      <c r="BQ1498" s="24"/>
      <c r="BR1498" s="24"/>
      <c r="BS1498" s="24"/>
      <c r="BT1498" s="24"/>
      <c r="BU1498" s="24"/>
      <c r="BV1498" s="132" t="e">
        <f>IF(#REF!="COMPLETO","OK","PENDIENTES")</f>
        <v>#REF!</v>
      </c>
      <c r="BW1498" s="132"/>
      <c r="BX1498" s="132"/>
      <c r="BY1498" s="132"/>
      <c r="BZ1498" s="132"/>
      <c r="CA1498" s="132"/>
      <c r="CB1498" s="132"/>
      <c r="CC1498" s="269"/>
      <c r="CG1498" s="24" t="s">
        <v>105</v>
      </c>
      <c r="CH1498" s="24"/>
      <c r="CI1498" s="24"/>
      <c r="CJ1498" s="24"/>
    </row>
    <row r="1499" spans="1:88" ht="15" customHeight="1">
      <c r="A1499" s="18">
        <v>2021</v>
      </c>
      <c r="B1499" s="18" t="str">
        <f>+INDEX(BDD!F:F,MATCH(P1499,BDD!D:D,0))&amp;"-"&amp;INDEX(BDD!E:E,MATCH(P1499,BDD!D:D,0))</f>
        <v>S-P</v>
      </c>
      <c r="C1499" s="125" t="s">
        <v>484</v>
      </c>
      <c r="D1499" s="150" t="s">
        <v>92</v>
      </c>
      <c r="E1499" s="132" t="s">
        <v>1622</v>
      </c>
      <c r="F1499" s="24"/>
      <c r="G1499" s="346"/>
      <c r="H1499" s="125" t="s">
        <v>5768</v>
      </c>
      <c r="I1499" s="330"/>
      <c r="J1499" s="346"/>
      <c r="K1499" s="24"/>
      <c r="L1499" s="24"/>
      <c r="M1499" s="24"/>
      <c r="N1499" s="340"/>
      <c r="O1499" s="334"/>
      <c r="P1499" s="25" t="s">
        <v>343</v>
      </c>
      <c r="Q1499" s="127" t="s">
        <v>297</v>
      </c>
      <c r="R1499" s="232"/>
      <c r="S1499" s="89"/>
      <c r="T1499" s="36"/>
      <c r="U1499" s="125"/>
      <c r="V1499" s="147"/>
      <c r="W1499" s="129"/>
      <c r="X1499" s="88"/>
      <c r="Y1499" s="130"/>
      <c r="Z1499" s="133"/>
      <c r="AA1499" s="133"/>
      <c r="AB1499" s="241"/>
      <c r="AC1499" s="134"/>
      <c r="AD1499" s="134"/>
      <c r="AE1499" s="403">
        <f t="shared" si="85"/>
        <v>0</v>
      </c>
      <c r="AF1499" s="132"/>
      <c r="AG1499" s="130"/>
      <c r="AH1499" s="130"/>
      <c r="AI1499" s="130"/>
      <c r="AJ1499" s="130"/>
      <c r="AK1499" s="130"/>
      <c r="AL1499" s="135"/>
      <c r="AM1499" s="314"/>
      <c r="AN1499" s="26"/>
      <c r="AO1499" s="26"/>
      <c r="AP1499" s="26"/>
      <c r="AQ1499" s="26"/>
      <c r="AR1499" s="24"/>
      <c r="AS1499" s="24"/>
      <c r="AT1499" s="24"/>
      <c r="AU1499" s="418">
        <f t="shared" si="86"/>
        <v>1</v>
      </c>
      <c r="AV1499" s="418">
        <f t="shared" si="87"/>
        <v>1900</v>
      </c>
      <c r="AW1499" s="24"/>
      <c r="AX1499" s="24"/>
      <c r="AY1499" s="24"/>
      <c r="AZ1499" s="24"/>
      <c r="BA1499" s="24"/>
      <c r="BB1499" s="24"/>
      <c r="BC1499" s="135"/>
      <c r="BD1499" s="24"/>
      <c r="BE1499" s="24"/>
      <c r="BF1499" s="24"/>
      <c r="BG1499" s="135"/>
      <c r="BH1499" s="135"/>
      <c r="BI1499" s="314"/>
      <c r="BJ1499" s="314"/>
      <c r="BK1499" s="24"/>
      <c r="BL1499" s="24"/>
      <c r="BM1499" s="24"/>
      <c r="BN1499" s="24"/>
      <c r="BO1499" s="24"/>
      <c r="BP1499" s="24"/>
      <c r="BQ1499" s="24"/>
      <c r="BR1499" s="24"/>
      <c r="BS1499" s="24"/>
      <c r="BT1499" s="24"/>
      <c r="BU1499" s="24"/>
      <c r="BV1499" s="132"/>
      <c r="BW1499" s="132"/>
      <c r="BX1499" s="132"/>
      <c r="BY1499" s="132"/>
      <c r="BZ1499" s="132"/>
      <c r="CA1499" s="132"/>
      <c r="CB1499" s="132"/>
      <c r="CC1499" s="362"/>
      <c r="CD1499" s="22"/>
      <c r="CE1499" s="22"/>
      <c r="CF1499" s="22"/>
      <c r="CG1499" s="24"/>
      <c r="CH1499" s="24"/>
      <c r="CI1499" s="24"/>
      <c r="CJ1499" s="24"/>
    </row>
    <row r="1500" spans="1:88" ht="15" customHeight="1">
      <c r="A1500" s="18">
        <v>2021</v>
      </c>
      <c r="B1500" s="18" t="str">
        <f>+INDEX(BDD!F:F,MATCH(P1500,BDD!D:D,0))&amp;"-"&amp;INDEX(BDD!E:E,MATCH(P1500,BDD!D:D,0))</f>
        <v>T-S</v>
      </c>
      <c r="C1500" s="125" t="s">
        <v>484</v>
      </c>
      <c r="D1500" s="150" t="s">
        <v>77</v>
      </c>
      <c r="E1500" s="132"/>
      <c r="F1500" s="24"/>
      <c r="G1500" s="346">
        <v>8000001301</v>
      </c>
      <c r="H1500" s="125" t="s">
        <v>5769</v>
      </c>
      <c r="I1500" s="329"/>
      <c r="J1500" s="346">
        <v>8000001301</v>
      </c>
      <c r="K1500" s="24"/>
      <c r="L1500" s="24"/>
      <c r="M1500" s="24"/>
      <c r="N1500" s="340" t="s">
        <v>486</v>
      </c>
      <c r="O1500" s="334">
        <v>208067</v>
      </c>
      <c r="P1500" s="25" t="s">
        <v>383</v>
      </c>
      <c r="Q1500" s="127" t="s">
        <v>303</v>
      </c>
      <c r="R1500" s="232" t="s">
        <v>5770</v>
      </c>
      <c r="S1500" s="89" t="s">
        <v>5156</v>
      </c>
      <c r="T1500" s="36">
        <v>30</v>
      </c>
      <c r="U1500" s="125" t="s">
        <v>131</v>
      </c>
      <c r="V1500" s="147" t="s">
        <v>5771</v>
      </c>
      <c r="W1500" s="129"/>
      <c r="X1500" s="88">
        <v>44368</v>
      </c>
      <c r="Y1500" s="130" t="s">
        <v>20</v>
      </c>
      <c r="Z1500" s="133" t="s">
        <v>60</v>
      </c>
      <c r="AA1500" s="133"/>
      <c r="AB1500" s="241">
        <v>513</v>
      </c>
      <c r="AC1500" s="134">
        <v>249</v>
      </c>
      <c r="AD1500" s="134"/>
      <c r="AE1500" s="403">
        <f t="shared" si="85"/>
        <v>127737</v>
      </c>
      <c r="AF1500" s="132">
        <v>19</v>
      </c>
      <c r="AG1500" s="130" t="s">
        <v>5</v>
      </c>
      <c r="AH1500" s="130"/>
      <c r="AI1500" s="130" t="s">
        <v>34</v>
      </c>
      <c r="AJ1500" s="130"/>
      <c r="AK1500" s="130"/>
      <c r="AL1500" s="135" t="s">
        <v>5156</v>
      </c>
      <c r="AM1500" s="314"/>
      <c r="AN1500" s="26"/>
      <c r="AO1500" s="26"/>
      <c r="AP1500" s="26"/>
      <c r="AQ1500" s="26">
        <v>44342</v>
      </c>
      <c r="AR1500" s="24"/>
      <c r="AS1500" s="24"/>
      <c r="AT1500" s="24">
        <v>44356</v>
      </c>
      <c r="AU1500" s="418">
        <f t="shared" si="86"/>
        <v>6</v>
      </c>
      <c r="AV1500" s="418">
        <f t="shared" si="87"/>
        <v>2021</v>
      </c>
      <c r="AW1500" s="24"/>
      <c r="AX1500" s="24"/>
      <c r="AY1500" s="24" t="s">
        <v>3415</v>
      </c>
      <c r="AZ1500" s="24" t="s">
        <v>9</v>
      </c>
      <c r="BA1500" s="24"/>
      <c r="BB1500" s="24" t="s">
        <v>3264</v>
      </c>
      <c r="BC1500" s="135" t="s">
        <v>5480</v>
      </c>
      <c r="BD1500" s="24">
        <v>44337</v>
      </c>
      <c r="BE1500" s="24" t="s">
        <v>5130</v>
      </c>
      <c r="BF1500" s="24" t="s">
        <v>5130</v>
      </c>
      <c r="BG1500" s="135" t="s">
        <v>29</v>
      </c>
      <c r="BH1500" s="135"/>
      <c r="BI1500" s="314" t="s">
        <v>124</v>
      </c>
      <c r="BJ1500" s="314" t="s">
        <v>148</v>
      </c>
      <c r="BK1500" s="24"/>
      <c r="BL1500" s="24"/>
      <c r="BM1500" s="24"/>
      <c r="BN1500" s="24"/>
      <c r="BO1500" s="24">
        <v>44362</v>
      </c>
      <c r="BP1500" s="24"/>
      <c r="BQ1500" s="24"/>
      <c r="BR1500" s="24"/>
      <c r="BS1500" s="24"/>
      <c r="BT1500" s="24"/>
      <c r="BU1500" s="24"/>
      <c r="BV1500" s="132" t="e">
        <f>IF(#REF!="COMPLETO","OK","PENDIENTES")</f>
        <v>#REF!</v>
      </c>
      <c r="BW1500" s="132"/>
      <c r="BX1500" s="132"/>
      <c r="BY1500" s="132"/>
      <c r="BZ1500" s="132"/>
      <c r="CA1500" s="132"/>
      <c r="CB1500" s="132"/>
      <c r="CC1500" s="269"/>
      <c r="CG1500" s="24" t="s">
        <v>105</v>
      </c>
      <c r="CH1500" s="24"/>
      <c r="CI1500" s="24"/>
      <c r="CJ1500" s="24"/>
    </row>
    <row r="1501" spans="1:88" ht="15" customHeight="1">
      <c r="A1501" s="18">
        <v>2021</v>
      </c>
      <c r="B1501" s="18" t="str">
        <f>+INDEX(BDD!F:F,MATCH(P1501,BDD!D:D,0))&amp;"-"&amp;INDEX(BDD!E:E,MATCH(P1501,BDD!D:D,0))</f>
        <v>O-S</v>
      </c>
      <c r="C1501" s="125" t="s">
        <v>484</v>
      </c>
      <c r="D1501" s="150" t="s">
        <v>77</v>
      </c>
      <c r="E1501" s="132"/>
      <c r="F1501" s="24"/>
      <c r="G1501" s="346">
        <v>8000001437</v>
      </c>
      <c r="H1501" s="125" t="s">
        <v>5772</v>
      </c>
      <c r="I1501" s="329"/>
      <c r="J1501" s="346">
        <v>8000001437</v>
      </c>
      <c r="K1501" s="24"/>
      <c r="L1501" s="24">
        <v>44439</v>
      </c>
      <c r="M1501" s="24">
        <v>44439</v>
      </c>
      <c r="N1501" s="340" t="s">
        <v>486</v>
      </c>
      <c r="O1501" s="334">
        <v>203553</v>
      </c>
      <c r="P1501" s="25" t="s">
        <v>386</v>
      </c>
      <c r="Q1501" s="127" t="s">
        <v>303</v>
      </c>
      <c r="R1501" s="232" t="s">
        <v>5773</v>
      </c>
      <c r="S1501" s="89">
        <v>44270</v>
      </c>
      <c r="T1501" s="36" t="s">
        <v>19</v>
      </c>
      <c r="U1501" s="125"/>
      <c r="V1501" s="147" t="s">
        <v>5774</v>
      </c>
      <c r="W1501" s="129"/>
      <c r="X1501" s="88">
        <v>44445</v>
      </c>
      <c r="Y1501" s="130" t="s">
        <v>20</v>
      </c>
      <c r="Z1501" s="133" t="s">
        <v>60</v>
      </c>
      <c r="AA1501" s="133"/>
      <c r="AB1501" s="241">
        <v>214.75</v>
      </c>
      <c r="AC1501" s="134">
        <v>322.76</v>
      </c>
      <c r="AD1501" s="134"/>
      <c r="AE1501" s="403">
        <f t="shared" si="85"/>
        <v>69312.709999999992</v>
      </c>
      <c r="AF1501" s="132">
        <v>8</v>
      </c>
      <c r="AG1501" s="130" t="s">
        <v>5</v>
      </c>
      <c r="AH1501" s="130"/>
      <c r="AI1501" s="130" t="s">
        <v>100</v>
      </c>
      <c r="AJ1501" s="130"/>
      <c r="AK1501" s="130"/>
      <c r="AL1501" s="135" t="s">
        <v>5484</v>
      </c>
      <c r="AM1501" s="314"/>
      <c r="AN1501" s="26"/>
      <c r="AO1501" s="26">
        <v>44402</v>
      </c>
      <c r="AP1501" s="26"/>
      <c r="AQ1501" s="26">
        <v>44440</v>
      </c>
      <c r="AR1501" s="24"/>
      <c r="AS1501" s="24"/>
      <c r="AT1501" s="24">
        <v>44447</v>
      </c>
      <c r="AU1501" s="418">
        <f t="shared" si="86"/>
        <v>9</v>
      </c>
      <c r="AV1501" s="418">
        <f t="shared" si="87"/>
        <v>2021</v>
      </c>
      <c r="AW1501" s="24"/>
      <c r="AX1501" s="24"/>
      <c r="AY1501" s="24" t="s">
        <v>4072</v>
      </c>
      <c r="AZ1501" s="24" t="s">
        <v>9</v>
      </c>
      <c r="BA1501" s="24"/>
      <c r="BB1501" s="24" t="s">
        <v>3264</v>
      </c>
      <c r="BC1501" s="135" t="s">
        <v>5775</v>
      </c>
      <c r="BD1501" s="24">
        <v>44402</v>
      </c>
      <c r="BE1501" s="24" t="s">
        <v>4079</v>
      </c>
      <c r="BF1501" s="24" t="s">
        <v>5130</v>
      </c>
      <c r="BG1501" s="135" t="s">
        <v>64</v>
      </c>
      <c r="BH1501" s="135"/>
      <c r="BI1501" s="314" t="s">
        <v>124</v>
      </c>
      <c r="BJ1501" s="314" t="s">
        <v>138</v>
      </c>
      <c r="BK1501" s="24"/>
      <c r="BL1501" s="24"/>
      <c r="BM1501" s="24"/>
      <c r="BN1501" s="24"/>
      <c r="BO1501" s="24"/>
      <c r="BP1501" s="24"/>
      <c r="BQ1501" s="24"/>
      <c r="BR1501" s="24"/>
      <c r="BS1501" s="24"/>
      <c r="BT1501" s="24"/>
      <c r="BU1501" s="24"/>
      <c r="BV1501" s="132" t="e">
        <f>IF(#REF!="COMPLETO","OK","PENDIENTES")</f>
        <v>#REF!</v>
      </c>
      <c r="BW1501" s="132"/>
      <c r="BX1501" s="132"/>
      <c r="BY1501" s="132"/>
      <c r="BZ1501" s="132"/>
      <c r="CA1501" s="132"/>
      <c r="CB1501" s="132"/>
      <c r="CC1501" s="269"/>
      <c r="CG1501" s="24" t="s">
        <v>105</v>
      </c>
      <c r="CH1501" s="24"/>
      <c r="CI1501" s="24"/>
      <c r="CJ1501" s="24"/>
    </row>
    <row r="1502" spans="1:88" ht="15" customHeight="1">
      <c r="A1502" s="18">
        <v>2021</v>
      </c>
      <c r="B1502" s="18" t="str">
        <f>+INDEX(BDD!F:F,MATCH(P1502,BDD!D:D,0))&amp;"-"&amp;INDEX(BDD!E:E,MATCH(P1502,BDD!D:D,0))</f>
        <v>O-S</v>
      </c>
      <c r="C1502" s="125" t="s">
        <v>484</v>
      </c>
      <c r="D1502" s="150" t="s">
        <v>20</v>
      </c>
      <c r="E1502" s="132" t="s">
        <v>1622</v>
      </c>
      <c r="F1502" s="24"/>
      <c r="G1502" s="346"/>
      <c r="H1502" s="125" t="s">
        <v>5776</v>
      </c>
      <c r="I1502" s="329"/>
      <c r="J1502" s="346"/>
      <c r="K1502" s="24"/>
      <c r="L1502" s="24"/>
      <c r="M1502" s="24"/>
      <c r="N1502" s="340"/>
      <c r="O1502" s="334"/>
      <c r="P1502" s="25" t="s">
        <v>386</v>
      </c>
      <c r="Q1502" s="127" t="s">
        <v>303</v>
      </c>
      <c r="R1502" s="232"/>
      <c r="S1502" s="89"/>
      <c r="T1502" s="36"/>
      <c r="U1502" s="125"/>
      <c r="V1502" s="147"/>
      <c r="W1502" s="129"/>
      <c r="X1502" s="88"/>
      <c r="Y1502" s="130"/>
      <c r="Z1502" s="133"/>
      <c r="AA1502" s="133"/>
      <c r="AB1502" s="241"/>
      <c r="AC1502" s="134"/>
      <c r="AD1502" s="134"/>
      <c r="AE1502" s="403">
        <f t="shared" si="85"/>
        <v>0</v>
      </c>
      <c r="AF1502" s="132"/>
      <c r="AG1502" s="130"/>
      <c r="AH1502" s="130"/>
      <c r="AI1502" s="130"/>
      <c r="AJ1502" s="130"/>
      <c r="AK1502" s="130"/>
      <c r="AL1502" s="135"/>
      <c r="AM1502" s="314"/>
      <c r="AN1502" s="26"/>
      <c r="AO1502" s="26"/>
      <c r="AP1502" s="26"/>
      <c r="AQ1502" s="26"/>
      <c r="AR1502" s="24"/>
      <c r="AS1502" s="24"/>
      <c r="AT1502" s="24"/>
      <c r="AU1502" s="418">
        <f t="shared" si="86"/>
        <v>1</v>
      </c>
      <c r="AV1502" s="418">
        <f t="shared" si="87"/>
        <v>1900</v>
      </c>
      <c r="AW1502" s="24"/>
      <c r="AX1502" s="24"/>
      <c r="AY1502" s="24"/>
      <c r="AZ1502" s="24"/>
      <c r="BA1502" s="24"/>
      <c r="BB1502" s="24"/>
      <c r="BC1502" s="135"/>
      <c r="BD1502" s="24"/>
      <c r="BE1502" s="24"/>
      <c r="BF1502" s="24"/>
      <c r="BG1502" s="135"/>
      <c r="BH1502" s="135"/>
      <c r="BI1502" s="314"/>
      <c r="BJ1502" s="314"/>
      <c r="BK1502" s="24"/>
      <c r="BL1502" s="24"/>
      <c r="BM1502" s="24"/>
      <c r="BN1502" s="24"/>
      <c r="BO1502" s="24"/>
      <c r="BP1502" s="24"/>
      <c r="BQ1502" s="24"/>
      <c r="BR1502" s="24"/>
      <c r="BS1502" s="24"/>
      <c r="BT1502" s="24"/>
      <c r="BU1502" s="24"/>
      <c r="BV1502" s="132"/>
      <c r="BW1502" s="132"/>
      <c r="BX1502" s="132"/>
      <c r="BY1502" s="132"/>
      <c r="BZ1502" s="132"/>
      <c r="CA1502" s="132"/>
      <c r="CB1502" s="132"/>
      <c r="CC1502" s="362"/>
      <c r="CD1502" s="22"/>
      <c r="CE1502" s="22"/>
      <c r="CF1502" s="22"/>
      <c r="CG1502" s="24"/>
      <c r="CH1502" s="24"/>
      <c r="CI1502" s="24"/>
      <c r="CJ1502" s="24"/>
    </row>
    <row r="1503" spans="1:88" ht="14.65" customHeight="1">
      <c r="A1503" s="18">
        <v>2021</v>
      </c>
      <c r="B1503" s="18" t="str">
        <f>+INDEX(BDD!F:F,MATCH(P1503,BDD!D:D,0))&amp;"-"&amp;INDEX(BDD!E:E,MATCH(P1503,BDD!D:D,0))</f>
        <v>T-S</v>
      </c>
      <c r="C1503" s="125" t="s">
        <v>484</v>
      </c>
      <c r="D1503" s="150" t="s">
        <v>77</v>
      </c>
      <c r="E1503" s="132"/>
      <c r="F1503" s="24"/>
      <c r="G1503" s="346">
        <v>8000001359</v>
      </c>
      <c r="H1503" s="125" t="s">
        <v>5777</v>
      </c>
      <c r="I1503" s="329"/>
      <c r="J1503" s="346">
        <v>8000001359</v>
      </c>
      <c r="K1503" s="24"/>
      <c r="L1503" s="24"/>
      <c r="M1503" s="24"/>
      <c r="N1503" s="340" t="s">
        <v>486</v>
      </c>
      <c r="O1503" s="334">
        <v>208067</v>
      </c>
      <c r="P1503" s="25" t="s">
        <v>383</v>
      </c>
      <c r="Q1503" s="127" t="s">
        <v>303</v>
      </c>
      <c r="R1503" s="232" t="s">
        <v>5778</v>
      </c>
      <c r="S1503" s="89" t="s">
        <v>5156</v>
      </c>
      <c r="T1503" s="36">
        <v>30</v>
      </c>
      <c r="U1503" s="125" t="s">
        <v>131</v>
      </c>
      <c r="V1503" s="147" t="s">
        <v>5779</v>
      </c>
      <c r="W1503" s="129"/>
      <c r="X1503" s="88">
        <f>+T1503+BD1503</f>
        <v>44395</v>
      </c>
      <c r="Y1503" s="130" t="s">
        <v>20</v>
      </c>
      <c r="Z1503" s="133" t="s">
        <v>60</v>
      </c>
      <c r="AA1503" s="133"/>
      <c r="AB1503" s="241">
        <v>216</v>
      </c>
      <c r="AC1503" s="134">
        <v>249</v>
      </c>
      <c r="AD1503" s="134"/>
      <c r="AE1503" s="403">
        <f t="shared" si="85"/>
        <v>53784</v>
      </c>
      <c r="AF1503" s="132">
        <v>8</v>
      </c>
      <c r="AG1503" s="130" t="s">
        <v>5</v>
      </c>
      <c r="AH1503" s="130"/>
      <c r="AI1503" s="130" t="s">
        <v>34</v>
      </c>
      <c r="AJ1503" s="130"/>
      <c r="AK1503" s="130"/>
      <c r="AL1503" s="135" t="s">
        <v>5484</v>
      </c>
      <c r="AM1503" s="314"/>
      <c r="AN1503" s="26"/>
      <c r="AO1503" s="26"/>
      <c r="AP1503" s="26"/>
      <c r="AQ1503" s="26">
        <v>44370</v>
      </c>
      <c r="AR1503" s="24"/>
      <c r="AS1503" s="24"/>
      <c r="AT1503" s="24">
        <v>44379</v>
      </c>
      <c r="AU1503" s="418">
        <f t="shared" si="86"/>
        <v>7</v>
      </c>
      <c r="AV1503" s="418">
        <f t="shared" si="87"/>
        <v>2021</v>
      </c>
      <c r="AW1503" s="24"/>
      <c r="AX1503" s="24"/>
      <c r="AY1503" s="24" t="s">
        <v>3415</v>
      </c>
      <c r="AZ1503" s="24" t="s">
        <v>9</v>
      </c>
      <c r="BA1503" s="24"/>
      <c r="BB1503" s="24" t="s">
        <v>3264</v>
      </c>
      <c r="BC1503" s="135" t="s">
        <v>5780</v>
      </c>
      <c r="BD1503" s="24">
        <v>44365</v>
      </c>
      <c r="BE1503" s="24" t="s">
        <v>5130</v>
      </c>
      <c r="BF1503" s="24" t="s">
        <v>5130</v>
      </c>
      <c r="BG1503" s="135" t="s">
        <v>29</v>
      </c>
      <c r="BH1503" s="135"/>
      <c r="BI1503" s="314" t="s">
        <v>124</v>
      </c>
      <c r="BJ1503" s="314" t="s">
        <v>148</v>
      </c>
      <c r="BK1503" s="24"/>
      <c r="BL1503" s="24"/>
      <c r="BM1503" s="24"/>
      <c r="BN1503" s="24"/>
      <c r="BO1503" s="24">
        <f>+AQ1503+20</f>
        <v>44390</v>
      </c>
      <c r="BP1503" s="24"/>
      <c r="BQ1503" s="24"/>
      <c r="BR1503" s="24"/>
      <c r="BS1503" s="24"/>
      <c r="BT1503" s="24"/>
      <c r="BU1503" s="24"/>
      <c r="BV1503" s="132" t="e">
        <f>IF(#REF!="COMPLETO","OK","PENDIENTES")</f>
        <v>#REF!</v>
      </c>
      <c r="BW1503" s="132"/>
      <c r="BX1503" s="132"/>
      <c r="BY1503" s="132"/>
      <c r="BZ1503" s="132"/>
      <c r="CA1503" s="132"/>
      <c r="CB1503" s="132"/>
      <c r="CC1503" s="269"/>
      <c r="CG1503" s="24" t="s">
        <v>105</v>
      </c>
      <c r="CH1503" s="24"/>
      <c r="CI1503" s="24"/>
      <c r="CJ1503" s="24"/>
    </row>
    <row r="1504" spans="1:88" ht="15" customHeight="1">
      <c r="A1504" s="18">
        <v>2021</v>
      </c>
      <c r="B1504" s="18" t="str">
        <f>+INDEX(BDD!F:F,MATCH(P1504,BDD!D:D,0))&amp;"-"&amp;INDEX(BDD!E:E,MATCH(P1504,BDD!D:D,0))</f>
        <v>T-S</v>
      </c>
      <c r="C1504" s="125" t="s">
        <v>484</v>
      </c>
      <c r="D1504" s="150" t="s">
        <v>77</v>
      </c>
      <c r="E1504" s="132"/>
      <c r="F1504" s="24"/>
      <c r="G1504" s="346">
        <v>8000001318</v>
      </c>
      <c r="H1504" s="125" t="s">
        <v>5781</v>
      </c>
      <c r="I1504" s="329"/>
      <c r="J1504" s="346">
        <v>8000001318</v>
      </c>
      <c r="K1504" s="24"/>
      <c r="L1504" s="24"/>
      <c r="M1504" s="24"/>
      <c r="N1504" s="340" t="s">
        <v>486</v>
      </c>
      <c r="O1504" s="334">
        <v>208067</v>
      </c>
      <c r="P1504" s="25" t="s">
        <v>383</v>
      </c>
      <c r="Q1504" s="127" t="s">
        <v>303</v>
      </c>
      <c r="R1504" s="232" t="s">
        <v>5782</v>
      </c>
      <c r="S1504" s="89" t="s">
        <v>5156</v>
      </c>
      <c r="T1504" s="36">
        <v>30</v>
      </c>
      <c r="U1504" s="125" t="s">
        <v>131</v>
      </c>
      <c r="V1504" s="147" t="s">
        <v>5783</v>
      </c>
      <c r="W1504" s="129"/>
      <c r="X1504" s="88">
        <v>44374</v>
      </c>
      <c r="Y1504" s="130" t="s">
        <v>20</v>
      </c>
      <c r="Z1504" s="133" t="s">
        <v>60</v>
      </c>
      <c r="AA1504" s="133"/>
      <c r="AB1504" s="241">
        <v>270</v>
      </c>
      <c r="AC1504" s="134">
        <v>249</v>
      </c>
      <c r="AD1504" s="134"/>
      <c r="AE1504" s="403">
        <f t="shared" si="85"/>
        <v>67230</v>
      </c>
      <c r="AF1504" s="132">
        <v>10</v>
      </c>
      <c r="AG1504" s="130" t="s">
        <v>5</v>
      </c>
      <c r="AH1504" s="130"/>
      <c r="AI1504" s="130" t="s">
        <v>34</v>
      </c>
      <c r="AJ1504" s="130"/>
      <c r="AK1504" s="130"/>
      <c r="AL1504" s="135" t="s">
        <v>5156</v>
      </c>
      <c r="AM1504" s="314"/>
      <c r="AN1504" s="26"/>
      <c r="AO1504" s="26"/>
      <c r="AP1504" s="26"/>
      <c r="AQ1504" s="26">
        <v>44351</v>
      </c>
      <c r="AR1504" s="24"/>
      <c r="AS1504" s="24"/>
      <c r="AT1504" s="24">
        <v>44358</v>
      </c>
      <c r="AU1504" s="418">
        <f t="shared" si="86"/>
        <v>6</v>
      </c>
      <c r="AV1504" s="418">
        <f t="shared" si="87"/>
        <v>2021</v>
      </c>
      <c r="AW1504" s="24"/>
      <c r="AX1504" s="24"/>
      <c r="AY1504" s="24" t="s">
        <v>3415</v>
      </c>
      <c r="AZ1504" s="24" t="s">
        <v>37</v>
      </c>
      <c r="BA1504" s="24"/>
      <c r="BB1504" s="24" t="s">
        <v>3291</v>
      </c>
      <c r="BC1504" s="135" t="s">
        <v>5477</v>
      </c>
      <c r="BD1504" s="24">
        <v>44342</v>
      </c>
      <c r="BE1504" s="24" t="s">
        <v>2329</v>
      </c>
      <c r="BF1504" s="24" t="s">
        <v>2329</v>
      </c>
      <c r="BG1504" s="135" t="s">
        <v>64</v>
      </c>
      <c r="BH1504" s="135"/>
      <c r="BI1504" s="314" t="s">
        <v>124</v>
      </c>
      <c r="BJ1504" s="314" t="s">
        <v>138</v>
      </c>
      <c r="BK1504" s="24"/>
      <c r="BL1504" s="24"/>
      <c r="BM1504" s="24"/>
      <c r="BN1504" s="24"/>
      <c r="BO1504" s="24"/>
      <c r="BP1504" s="24"/>
      <c r="BQ1504" s="24"/>
      <c r="BR1504" s="24"/>
      <c r="BS1504" s="24"/>
      <c r="BT1504" s="24"/>
      <c r="BU1504" s="24"/>
      <c r="BV1504" s="132" t="e">
        <f>IF(#REF!="COMPLETO","OK","PENDIENTES")</f>
        <v>#REF!</v>
      </c>
      <c r="BW1504" s="132"/>
      <c r="BX1504" s="132"/>
      <c r="BY1504" s="132"/>
      <c r="BZ1504" s="132"/>
      <c r="CA1504" s="132"/>
      <c r="CB1504" s="132"/>
      <c r="CC1504" s="269"/>
      <c r="CG1504" s="24" t="s">
        <v>105</v>
      </c>
      <c r="CH1504" s="24"/>
      <c r="CI1504" s="24"/>
      <c r="CJ1504" s="24"/>
    </row>
    <row r="1505" spans="1:88" ht="15" customHeight="1">
      <c r="A1505" s="18">
        <v>2021</v>
      </c>
      <c r="B1505" s="18" t="str">
        <f>+INDEX(BDD!F:F,MATCH(P1505,BDD!D:D,0))&amp;"-"&amp;INDEX(BDD!E:E,MATCH(P1505,BDD!D:D,0))</f>
        <v>T-S</v>
      </c>
      <c r="C1505" s="125" t="s">
        <v>484</v>
      </c>
      <c r="D1505" s="150" t="s">
        <v>77</v>
      </c>
      <c r="E1505" s="132"/>
      <c r="F1505" s="24"/>
      <c r="G1505" s="346">
        <v>8000001377</v>
      </c>
      <c r="H1505" s="125" t="s">
        <v>5784</v>
      </c>
      <c r="I1505" s="329"/>
      <c r="J1505" s="346">
        <v>8000001377</v>
      </c>
      <c r="K1505" s="24"/>
      <c r="L1505" s="24"/>
      <c r="M1505" s="24"/>
      <c r="N1505" s="340" t="s">
        <v>486</v>
      </c>
      <c r="O1505" s="334">
        <v>208071</v>
      </c>
      <c r="P1505" s="25" t="s">
        <v>384</v>
      </c>
      <c r="Q1505" s="127" t="s">
        <v>303</v>
      </c>
      <c r="R1505" s="232" t="s">
        <v>5785</v>
      </c>
      <c r="S1505" s="89">
        <v>44331</v>
      </c>
      <c r="T1505" s="36">
        <v>30</v>
      </c>
      <c r="U1505" s="125" t="s">
        <v>131</v>
      </c>
      <c r="V1505" s="147" t="s">
        <v>5786</v>
      </c>
      <c r="W1505" s="129"/>
      <c r="X1505" s="88">
        <v>44381</v>
      </c>
      <c r="Y1505" s="130" t="s">
        <v>20</v>
      </c>
      <c r="Z1505" s="133" t="s">
        <v>60</v>
      </c>
      <c r="AA1505" s="133"/>
      <c r="AB1505" s="241">
        <f>118.8-AB1506</f>
        <v>91.8</v>
      </c>
      <c r="AC1505" s="134">
        <v>249</v>
      </c>
      <c r="AD1505" s="134"/>
      <c r="AE1505" s="403">
        <f t="shared" si="85"/>
        <v>22858.2</v>
      </c>
      <c r="AF1505" s="132">
        <f>+AB1505/27</f>
        <v>3.4</v>
      </c>
      <c r="AG1505" s="130" t="s">
        <v>5</v>
      </c>
      <c r="AH1505" s="130"/>
      <c r="AI1505" s="130" t="s">
        <v>34</v>
      </c>
      <c r="AJ1505" s="130"/>
      <c r="AK1505" s="130"/>
      <c r="AL1505" s="135" t="s">
        <v>5156</v>
      </c>
      <c r="AM1505" s="314"/>
      <c r="AN1505" s="26"/>
      <c r="AO1505" s="26"/>
      <c r="AP1505" s="26"/>
      <c r="AQ1505" s="26">
        <v>44356</v>
      </c>
      <c r="AR1505" s="24"/>
      <c r="AS1505" s="24"/>
      <c r="AT1505" s="24">
        <v>44362</v>
      </c>
      <c r="AU1505" s="418">
        <f t="shared" si="86"/>
        <v>6</v>
      </c>
      <c r="AV1505" s="418">
        <f t="shared" si="87"/>
        <v>2021</v>
      </c>
      <c r="AW1505" s="24"/>
      <c r="AX1505" s="24"/>
      <c r="AY1505" s="24" t="s">
        <v>3415</v>
      </c>
      <c r="AZ1505" s="24" t="s">
        <v>9</v>
      </c>
      <c r="BA1505" s="24"/>
      <c r="BB1505" s="24" t="s">
        <v>3264</v>
      </c>
      <c r="BC1505" s="135" t="s">
        <v>5787</v>
      </c>
      <c r="BD1505" s="24">
        <v>44350</v>
      </c>
      <c r="BE1505" s="24" t="s">
        <v>5130</v>
      </c>
      <c r="BF1505" s="24" t="s">
        <v>5130</v>
      </c>
      <c r="BG1505" s="135" t="s">
        <v>64</v>
      </c>
      <c r="BH1505" s="135"/>
      <c r="BI1505" s="314" t="s">
        <v>124</v>
      </c>
      <c r="BJ1505" s="314" t="s">
        <v>138</v>
      </c>
      <c r="BK1505" s="24"/>
      <c r="BL1505" s="24"/>
      <c r="BM1505" s="24"/>
      <c r="BN1505" s="24"/>
      <c r="BO1505" s="24">
        <v>44376</v>
      </c>
      <c r="BP1505" s="24"/>
      <c r="BQ1505" s="24"/>
      <c r="BR1505" s="24"/>
      <c r="BS1505" s="24"/>
      <c r="BT1505" s="24"/>
      <c r="BU1505" s="24"/>
      <c r="BV1505" s="132" t="e">
        <f>IF(#REF!="COMPLETO","OK","PENDIENTES")</f>
        <v>#REF!</v>
      </c>
      <c r="BW1505" s="132"/>
      <c r="BX1505" s="132"/>
      <c r="BY1505" s="132"/>
      <c r="BZ1505" s="132"/>
      <c r="CA1505" s="132"/>
      <c r="CB1505" s="132"/>
      <c r="CC1505" s="269" t="s">
        <v>5788</v>
      </c>
      <c r="CG1505" s="24" t="s">
        <v>105</v>
      </c>
      <c r="CH1505" s="24"/>
      <c r="CI1505" s="24"/>
      <c r="CJ1505" s="24"/>
    </row>
    <row r="1506" spans="1:88" ht="15" customHeight="1">
      <c r="A1506" s="18">
        <v>2021</v>
      </c>
      <c r="B1506" s="18" t="str">
        <f>+INDEX(BDD!F:F,MATCH(P1506,BDD!D:D,0))&amp;"-"&amp;INDEX(BDD!E:E,MATCH(P1506,BDD!D:D,0))</f>
        <v>T-S</v>
      </c>
      <c r="C1506" s="125" t="s">
        <v>484</v>
      </c>
      <c r="D1506" s="150" t="s">
        <v>77</v>
      </c>
      <c r="E1506" s="132"/>
      <c r="F1506" s="24"/>
      <c r="G1506" s="346">
        <v>8000001374</v>
      </c>
      <c r="H1506" s="125" t="s">
        <v>5789</v>
      </c>
      <c r="I1506" s="329"/>
      <c r="J1506" s="346">
        <v>8000001374</v>
      </c>
      <c r="K1506" s="24"/>
      <c r="L1506" s="24"/>
      <c r="M1506" s="24"/>
      <c r="N1506" s="340" t="s">
        <v>486</v>
      </c>
      <c r="O1506" s="334">
        <v>208071</v>
      </c>
      <c r="P1506" s="25" t="s">
        <v>384</v>
      </c>
      <c r="Q1506" s="127" t="s">
        <v>303</v>
      </c>
      <c r="R1506" s="232" t="s">
        <v>5785</v>
      </c>
      <c r="S1506" s="89">
        <v>44331</v>
      </c>
      <c r="T1506" s="36">
        <v>30</v>
      </c>
      <c r="U1506" s="125" t="s">
        <v>131</v>
      </c>
      <c r="V1506" s="147" t="s">
        <v>5786</v>
      </c>
      <c r="W1506" s="129"/>
      <c r="X1506" s="88">
        <v>44381</v>
      </c>
      <c r="Y1506" s="130" t="s">
        <v>20</v>
      </c>
      <c r="Z1506" s="133" t="s">
        <v>60</v>
      </c>
      <c r="AA1506" s="133"/>
      <c r="AB1506" s="241">
        <v>27</v>
      </c>
      <c r="AC1506" s="134">
        <v>249</v>
      </c>
      <c r="AD1506" s="134"/>
      <c r="AE1506" s="403">
        <f t="shared" si="85"/>
        <v>6723</v>
      </c>
      <c r="AF1506" s="132">
        <f>+AB1506/27</f>
        <v>1</v>
      </c>
      <c r="AG1506" s="130" t="s">
        <v>5</v>
      </c>
      <c r="AH1506" s="130"/>
      <c r="AI1506" s="130" t="s">
        <v>34</v>
      </c>
      <c r="AJ1506" s="130"/>
      <c r="AK1506" s="130"/>
      <c r="AL1506" s="135" t="s">
        <v>5156</v>
      </c>
      <c r="AM1506" s="314"/>
      <c r="AN1506" s="26"/>
      <c r="AO1506" s="26"/>
      <c r="AP1506" s="26"/>
      <c r="AQ1506" s="26">
        <v>44363</v>
      </c>
      <c r="AR1506" s="24"/>
      <c r="AS1506" s="24"/>
      <c r="AT1506" s="24">
        <v>44371</v>
      </c>
      <c r="AU1506" s="418">
        <f t="shared" si="86"/>
        <v>6</v>
      </c>
      <c r="AV1506" s="418">
        <f t="shared" si="87"/>
        <v>2021</v>
      </c>
      <c r="AW1506" s="24"/>
      <c r="AX1506" s="24"/>
      <c r="AY1506" s="24" t="s">
        <v>3415</v>
      </c>
      <c r="AZ1506" s="24" t="s">
        <v>9</v>
      </c>
      <c r="BA1506" s="24"/>
      <c r="BB1506" s="24" t="s">
        <v>3264</v>
      </c>
      <c r="BC1506" s="135" t="s">
        <v>5790</v>
      </c>
      <c r="BD1506" s="24">
        <v>44350</v>
      </c>
      <c r="BE1506" s="24" t="s">
        <v>5130</v>
      </c>
      <c r="BF1506" s="24" t="s">
        <v>1806</v>
      </c>
      <c r="BG1506" s="135" t="s">
        <v>64</v>
      </c>
      <c r="BH1506" s="135"/>
      <c r="BI1506" s="314" t="s">
        <v>124</v>
      </c>
      <c r="BJ1506" s="314" t="s">
        <v>138</v>
      </c>
      <c r="BK1506" s="24"/>
      <c r="BL1506" s="24"/>
      <c r="BM1506" s="24"/>
      <c r="BN1506" s="24"/>
      <c r="BO1506" s="24">
        <v>44383</v>
      </c>
      <c r="BP1506" s="24"/>
      <c r="BQ1506" s="24"/>
      <c r="BR1506" s="24"/>
      <c r="BS1506" s="24"/>
      <c r="BT1506" s="24"/>
      <c r="BU1506" s="24"/>
      <c r="BV1506" s="132" t="e">
        <f>IF(#REF!="COMPLETO","OK","PENDIENTES")</f>
        <v>#REF!</v>
      </c>
      <c r="BW1506" s="132"/>
      <c r="BX1506" s="132"/>
      <c r="BY1506" s="132"/>
      <c r="BZ1506" s="132"/>
      <c r="CA1506" s="132"/>
      <c r="CB1506" s="132"/>
      <c r="CC1506" s="269" t="s">
        <v>5791</v>
      </c>
      <c r="CG1506" s="24" t="s">
        <v>105</v>
      </c>
      <c r="CH1506" s="24"/>
      <c r="CI1506" s="24"/>
      <c r="CJ1506" s="24"/>
    </row>
    <row r="1507" spans="1:88" ht="15" customHeight="1">
      <c r="A1507" s="18">
        <v>2021</v>
      </c>
      <c r="B1507" s="18" t="str">
        <f>+INDEX(BDD!F:F,MATCH(P1507,BDD!D:D,0))&amp;"-"&amp;INDEX(BDD!E:E,MATCH(P1507,BDD!D:D,0))</f>
        <v>T-S</v>
      </c>
      <c r="C1507" s="125" t="s">
        <v>484</v>
      </c>
      <c r="D1507" s="150" t="s">
        <v>77</v>
      </c>
      <c r="E1507" s="132"/>
      <c r="F1507" s="24"/>
      <c r="G1507" s="346">
        <v>8000001378</v>
      </c>
      <c r="H1507" s="125" t="s">
        <v>5792</v>
      </c>
      <c r="I1507" s="329"/>
      <c r="J1507" s="346">
        <v>8000001378</v>
      </c>
      <c r="K1507" s="24"/>
      <c r="L1507" s="24"/>
      <c r="M1507" s="24"/>
      <c r="N1507" s="340" t="s">
        <v>486</v>
      </c>
      <c r="O1507" s="334">
        <v>208067</v>
      </c>
      <c r="P1507" s="25" t="s">
        <v>383</v>
      </c>
      <c r="Q1507" s="127" t="s">
        <v>303</v>
      </c>
      <c r="R1507" s="232" t="s">
        <v>5785</v>
      </c>
      <c r="S1507" s="89" t="s">
        <v>5156</v>
      </c>
      <c r="T1507" s="36">
        <v>30</v>
      </c>
      <c r="U1507" s="125" t="s">
        <v>131</v>
      </c>
      <c r="V1507" s="147" t="s">
        <v>5786</v>
      </c>
      <c r="W1507" s="129"/>
      <c r="X1507" s="88">
        <v>44381</v>
      </c>
      <c r="Y1507" s="130" t="s">
        <v>20</v>
      </c>
      <c r="Z1507" s="133" t="s">
        <v>60</v>
      </c>
      <c r="AA1507" s="133"/>
      <c r="AB1507" s="241">
        <f>124.2-AB1508</f>
        <v>43.2</v>
      </c>
      <c r="AC1507" s="134">
        <v>249</v>
      </c>
      <c r="AD1507" s="134"/>
      <c r="AE1507" s="403">
        <f t="shared" si="85"/>
        <v>10756.800000000001</v>
      </c>
      <c r="AF1507" s="132">
        <f>+AB1507/27</f>
        <v>1.6</v>
      </c>
      <c r="AG1507" s="130" t="s">
        <v>5</v>
      </c>
      <c r="AH1507" s="130"/>
      <c r="AI1507" s="130" t="s">
        <v>34</v>
      </c>
      <c r="AJ1507" s="130"/>
      <c r="AK1507" s="130"/>
      <c r="AL1507" s="135" t="s">
        <v>5156</v>
      </c>
      <c r="AM1507" s="314"/>
      <c r="AN1507" s="26"/>
      <c r="AO1507" s="26"/>
      <c r="AP1507" s="26"/>
      <c r="AQ1507" s="26">
        <v>44356</v>
      </c>
      <c r="AR1507" s="24"/>
      <c r="AS1507" s="24"/>
      <c r="AT1507" s="24">
        <v>44362</v>
      </c>
      <c r="AU1507" s="418">
        <f t="shared" si="86"/>
        <v>6</v>
      </c>
      <c r="AV1507" s="418">
        <f t="shared" si="87"/>
        <v>2021</v>
      </c>
      <c r="AW1507" s="24"/>
      <c r="AX1507" s="24"/>
      <c r="AY1507" s="24" t="s">
        <v>3415</v>
      </c>
      <c r="AZ1507" s="24" t="s">
        <v>9</v>
      </c>
      <c r="BA1507" s="24"/>
      <c r="BB1507" s="24" t="s">
        <v>3264</v>
      </c>
      <c r="BC1507" s="135" t="s">
        <v>5787</v>
      </c>
      <c r="BD1507" s="24">
        <v>44350</v>
      </c>
      <c r="BE1507" s="24" t="s">
        <v>5130</v>
      </c>
      <c r="BF1507" s="24" t="s">
        <v>5130</v>
      </c>
      <c r="BG1507" s="135" t="s">
        <v>64</v>
      </c>
      <c r="BH1507" s="135"/>
      <c r="BI1507" s="314" t="s">
        <v>124</v>
      </c>
      <c r="BJ1507" s="314" t="s">
        <v>138</v>
      </c>
      <c r="BK1507" s="24"/>
      <c r="BL1507" s="24"/>
      <c r="BM1507" s="24"/>
      <c r="BN1507" s="24"/>
      <c r="BO1507" s="24">
        <v>44376</v>
      </c>
      <c r="BP1507" s="24"/>
      <c r="BQ1507" s="24"/>
      <c r="BR1507" s="24"/>
      <c r="BS1507" s="24"/>
      <c r="BT1507" s="24"/>
      <c r="BU1507" s="24"/>
      <c r="BV1507" s="132" t="e">
        <f>IF(#REF!="COMPLETO","OK","PENDIENTES")</f>
        <v>#REF!</v>
      </c>
      <c r="BW1507" s="132"/>
      <c r="BX1507" s="132"/>
      <c r="BY1507" s="132"/>
      <c r="BZ1507" s="132"/>
      <c r="CA1507" s="132"/>
      <c r="CB1507" s="132"/>
      <c r="CC1507" s="269"/>
      <c r="CG1507" s="24" t="s">
        <v>105</v>
      </c>
      <c r="CH1507" s="24"/>
      <c r="CI1507" s="24"/>
      <c r="CJ1507" s="24"/>
    </row>
    <row r="1508" spans="1:88" ht="15" customHeight="1">
      <c r="A1508" s="18">
        <v>2021</v>
      </c>
      <c r="B1508" s="18" t="str">
        <f>+INDEX(BDD!F:F,MATCH(P1508,BDD!D:D,0))&amp;"-"&amp;INDEX(BDD!E:E,MATCH(P1508,BDD!D:D,0))</f>
        <v>T-S</v>
      </c>
      <c r="C1508" s="125" t="s">
        <v>484</v>
      </c>
      <c r="D1508" s="150" t="s">
        <v>77</v>
      </c>
      <c r="E1508" s="132"/>
      <c r="F1508" s="24"/>
      <c r="G1508" s="346">
        <v>8000001375</v>
      </c>
      <c r="H1508" s="125" t="s">
        <v>5793</v>
      </c>
      <c r="I1508" s="329"/>
      <c r="J1508" s="346">
        <v>8000001375</v>
      </c>
      <c r="K1508" s="24"/>
      <c r="L1508" s="24"/>
      <c r="M1508" s="24"/>
      <c r="N1508" s="340" t="s">
        <v>486</v>
      </c>
      <c r="O1508" s="334">
        <v>208067</v>
      </c>
      <c r="P1508" s="25" t="s">
        <v>383</v>
      </c>
      <c r="Q1508" s="127" t="s">
        <v>303</v>
      </c>
      <c r="R1508" s="232" t="s">
        <v>5785</v>
      </c>
      <c r="S1508" s="89" t="s">
        <v>5156</v>
      </c>
      <c r="T1508" s="36">
        <v>30</v>
      </c>
      <c r="U1508" s="125" t="s">
        <v>131</v>
      </c>
      <c r="V1508" s="147" t="s">
        <v>5786</v>
      </c>
      <c r="W1508" s="129"/>
      <c r="X1508" s="88">
        <v>44381</v>
      </c>
      <c r="Y1508" s="130" t="s">
        <v>20</v>
      </c>
      <c r="Z1508" s="133" t="s">
        <v>60</v>
      </c>
      <c r="AA1508" s="133"/>
      <c r="AB1508" s="241">
        <f>27*3</f>
        <v>81</v>
      </c>
      <c r="AC1508" s="134">
        <v>249</v>
      </c>
      <c r="AD1508" s="134"/>
      <c r="AE1508" s="403">
        <f t="shared" si="85"/>
        <v>20169</v>
      </c>
      <c r="AF1508" s="132">
        <v>3</v>
      </c>
      <c r="AG1508" s="130" t="s">
        <v>5</v>
      </c>
      <c r="AH1508" s="130"/>
      <c r="AI1508" s="130" t="s">
        <v>34</v>
      </c>
      <c r="AJ1508" s="130"/>
      <c r="AK1508" s="130"/>
      <c r="AL1508" s="135" t="s">
        <v>5156</v>
      </c>
      <c r="AM1508" s="314"/>
      <c r="AN1508" s="26"/>
      <c r="AO1508" s="26"/>
      <c r="AP1508" s="26"/>
      <c r="AQ1508" s="26">
        <v>44363</v>
      </c>
      <c r="AR1508" s="24"/>
      <c r="AS1508" s="24"/>
      <c r="AT1508" s="24">
        <v>44371</v>
      </c>
      <c r="AU1508" s="418">
        <f t="shared" si="86"/>
        <v>6</v>
      </c>
      <c r="AV1508" s="418">
        <f t="shared" si="87"/>
        <v>2021</v>
      </c>
      <c r="AW1508" s="24"/>
      <c r="AX1508" s="24"/>
      <c r="AY1508" s="24" t="s">
        <v>3415</v>
      </c>
      <c r="AZ1508" s="24" t="s">
        <v>9</v>
      </c>
      <c r="BA1508" s="24"/>
      <c r="BB1508" s="24" t="s">
        <v>3264</v>
      </c>
      <c r="BC1508" s="135" t="s">
        <v>5790</v>
      </c>
      <c r="BD1508" s="24">
        <v>44350</v>
      </c>
      <c r="BE1508" s="24" t="s">
        <v>5130</v>
      </c>
      <c r="BF1508" s="24" t="s">
        <v>1806</v>
      </c>
      <c r="BG1508" s="135" t="s">
        <v>64</v>
      </c>
      <c r="BH1508" s="135"/>
      <c r="BI1508" s="314" t="s">
        <v>124</v>
      </c>
      <c r="BJ1508" s="314" t="s">
        <v>138</v>
      </c>
      <c r="BK1508" s="24"/>
      <c r="BL1508" s="24"/>
      <c r="BM1508" s="24"/>
      <c r="BN1508" s="24"/>
      <c r="BO1508" s="24">
        <v>44383</v>
      </c>
      <c r="BP1508" s="24"/>
      <c r="BQ1508" s="24"/>
      <c r="BR1508" s="24"/>
      <c r="BS1508" s="24"/>
      <c r="BT1508" s="24"/>
      <c r="BU1508" s="24"/>
      <c r="BV1508" s="132" t="e">
        <f>IF(#REF!="COMPLETO","OK","PENDIENTES")</f>
        <v>#REF!</v>
      </c>
      <c r="BW1508" s="132"/>
      <c r="BX1508" s="132"/>
      <c r="BY1508" s="132"/>
      <c r="BZ1508" s="132"/>
      <c r="CA1508" s="132"/>
      <c r="CB1508" s="132"/>
      <c r="CC1508" s="269"/>
      <c r="CG1508" s="24" t="s">
        <v>105</v>
      </c>
      <c r="CH1508" s="24"/>
      <c r="CI1508" s="24"/>
      <c r="CJ1508" s="24"/>
    </row>
    <row r="1509" spans="1:88" ht="15" customHeight="1">
      <c r="A1509" s="18">
        <v>2021</v>
      </c>
      <c r="B1509" s="18" t="str">
        <f>+INDEX(BDD!F:F,MATCH(P1509,BDD!D:D,0))&amp;"-"&amp;INDEX(BDD!E:E,MATCH(P1509,BDD!D:D,0))</f>
        <v>T-S</v>
      </c>
      <c r="C1509" s="125" t="s">
        <v>484</v>
      </c>
      <c r="D1509" s="150" t="s">
        <v>77</v>
      </c>
      <c r="E1509" s="132"/>
      <c r="F1509" s="24"/>
      <c r="G1509" s="346">
        <v>8000001376</v>
      </c>
      <c r="H1509" s="125" t="s">
        <v>5794</v>
      </c>
      <c r="I1509" s="329"/>
      <c r="J1509" s="346">
        <v>8000001376</v>
      </c>
      <c r="K1509" s="24"/>
      <c r="L1509" s="24"/>
      <c r="M1509" s="24"/>
      <c r="N1509" s="340" t="s">
        <v>486</v>
      </c>
      <c r="O1509" s="334">
        <v>208067</v>
      </c>
      <c r="P1509" s="25" t="s">
        <v>383</v>
      </c>
      <c r="Q1509" s="127" t="s">
        <v>303</v>
      </c>
      <c r="R1509" s="232" t="s">
        <v>5795</v>
      </c>
      <c r="S1509" s="89" t="s">
        <v>5156</v>
      </c>
      <c r="T1509" s="36">
        <v>30</v>
      </c>
      <c r="U1509" s="125" t="s">
        <v>131</v>
      </c>
      <c r="V1509" s="147" t="s">
        <v>5796</v>
      </c>
      <c r="W1509" s="129"/>
      <c r="X1509" s="88">
        <v>44406</v>
      </c>
      <c r="Y1509" s="130" t="s">
        <v>20</v>
      </c>
      <c r="Z1509" s="133" t="s">
        <v>60</v>
      </c>
      <c r="AA1509" s="133"/>
      <c r="AB1509" s="241">
        <v>81</v>
      </c>
      <c r="AC1509" s="134">
        <v>249</v>
      </c>
      <c r="AD1509" s="134"/>
      <c r="AE1509" s="403">
        <f t="shared" si="85"/>
        <v>20169</v>
      </c>
      <c r="AF1509" s="132">
        <v>3</v>
      </c>
      <c r="AG1509" s="130" t="s">
        <v>5</v>
      </c>
      <c r="AH1509" s="130"/>
      <c r="AI1509" s="130" t="s">
        <v>34</v>
      </c>
      <c r="AJ1509" s="130"/>
      <c r="AK1509" s="130"/>
      <c r="AL1509" s="135" t="s">
        <v>5484</v>
      </c>
      <c r="AM1509" s="314"/>
      <c r="AN1509" s="26"/>
      <c r="AO1509" s="26"/>
      <c r="AP1509" s="26"/>
      <c r="AQ1509" s="26">
        <v>44389</v>
      </c>
      <c r="AR1509" s="24"/>
      <c r="AS1509" s="24"/>
      <c r="AT1509" s="24">
        <v>44391</v>
      </c>
      <c r="AU1509" s="418">
        <f t="shared" si="86"/>
        <v>7</v>
      </c>
      <c r="AV1509" s="418">
        <f t="shared" si="87"/>
        <v>2021</v>
      </c>
      <c r="AW1509" s="24"/>
      <c r="AX1509" s="24"/>
      <c r="AY1509" s="24" t="s">
        <v>3415</v>
      </c>
      <c r="AZ1509" s="24" t="s">
        <v>37</v>
      </c>
      <c r="BA1509" s="24"/>
      <c r="BB1509" s="24" t="s">
        <v>3291</v>
      </c>
      <c r="BC1509" s="135" t="s">
        <v>5797</v>
      </c>
      <c r="BD1509" s="24">
        <v>44372</v>
      </c>
      <c r="BE1509" s="24" t="s">
        <v>4714</v>
      </c>
      <c r="BF1509" s="24" t="s">
        <v>2521</v>
      </c>
      <c r="BG1509" s="135" t="s">
        <v>190</v>
      </c>
      <c r="BH1509" s="135"/>
      <c r="BI1509" s="314" t="s">
        <v>124</v>
      </c>
      <c r="BJ1509" s="314" t="s">
        <v>148</v>
      </c>
      <c r="BK1509" s="24"/>
      <c r="BL1509" s="24"/>
      <c r="BM1509" s="24"/>
      <c r="BN1509" s="24"/>
      <c r="BO1509" s="24">
        <v>44410</v>
      </c>
      <c r="BP1509" s="24"/>
      <c r="BQ1509" s="24"/>
      <c r="BR1509" s="24"/>
      <c r="BS1509" s="24"/>
      <c r="BT1509" s="24"/>
      <c r="BU1509" s="24"/>
      <c r="BV1509" s="132" t="e">
        <f>IF(#REF!="COMPLETO","OK","PENDIENTES")</f>
        <v>#REF!</v>
      </c>
      <c r="BW1509" s="132"/>
      <c r="BX1509" s="132"/>
      <c r="BY1509" s="132"/>
      <c r="BZ1509" s="132"/>
      <c r="CA1509" s="132"/>
      <c r="CB1509" s="132"/>
      <c r="CC1509" s="269"/>
      <c r="CG1509" s="24" t="s">
        <v>105</v>
      </c>
      <c r="CH1509" s="24"/>
      <c r="CI1509" s="24"/>
      <c r="CJ1509" s="24"/>
    </row>
    <row r="1510" spans="1:88" ht="15" customHeight="1">
      <c r="A1510" s="18">
        <v>2021</v>
      </c>
      <c r="B1510" s="18" t="str">
        <f>+INDEX(BDD!F:F,MATCH(P1510,BDD!D:D,0))&amp;"-"&amp;INDEX(BDD!E:E,MATCH(P1510,BDD!D:D,0))</f>
        <v>O-S</v>
      </c>
      <c r="C1510" s="125" t="s">
        <v>484</v>
      </c>
      <c r="D1510" s="150" t="s">
        <v>77</v>
      </c>
      <c r="E1510" s="132"/>
      <c r="F1510" s="24"/>
      <c r="G1510" s="346">
        <v>8000001438</v>
      </c>
      <c r="H1510" s="125" t="s">
        <v>5798</v>
      </c>
      <c r="I1510" s="329"/>
      <c r="J1510" s="346">
        <v>8000001438</v>
      </c>
      <c r="K1510" s="24"/>
      <c r="L1510" s="24">
        <v>44455</v>
      </c>
      <c r="M1510" s="24">
        <v>44455</v>
      </c>
      <c r="N1510" s="340" t="s">
        <v>486</v>
      </c>
      <c r="O1510" s="334">
        <v>203553</v>
      </c>
      <c r="P1510" s="25" t="s">
        <v>386</v>
      </c>
      <c r="Q1510" s="127" t="s">
        <v>303</v>
      </c>
      <c r="R1510" s="232" t="s">
        <v>5799</v>
      </c>
      <c r="S1510" s="89">
        <v>44270</v>
      </c>
      <c r="T1510" s="36" t="s">
        <v>19</v>
      </c>
      <c r="U1510" s="125"/>
      <c r="V1510" s="147" t="s">
        <v>5800</v>
      </c>
      <c r="W1510" s="129"/>
      <c r="X1510" s="88">
        <v>44422</v>
      </c>
      <c r="Y1510" s="130" t="s">
        <v>20</v>
      </c>
      <c r="Z1510" s="133" t="s">
        <v>60</v>
      </c>
      <c r="AA1510" s="133"/>
      <c r="AB1510" s="241">
        <v>214.65</v>
      </c>
      <c r="AC1510" s="134">
        <v>320.51</v>
      </c>
      <c r="AD1510" s="134"/>
      <c r="AE1510" s="403">
        <f t="shared" si="85"/>
        <v>68797.4715</v>
      </c>
      <c r="AF1510" s="132">
        <v>8</v>
      </c>
      <c r="AG1510" s="130" t="s">
        <v>5</v>
      </c>
      <c r="AH1510" s="130"/>
      <c r="AI1510" s="130" t="s">
        <v>100</v>
      </c>
      <c r="AJ1510" s="130"/>
      <c r="AK1510" s="130"/>
      <c r="AL1510" s="135" t="s">
        <v>5484</v>
      </c>
      <c r="AM1510" s="314"/>
      <c r="AN1510" s="26"/>
      <c r="AO1510" s="26">
        <v>44408</v>
      </c>
      <c r="AP1510" s="26"/>
      <c r="AQ1510" s="26">
        <v>44448</v>
      </c>
      <c r="AR1510" s="24"/>
      <c r="AS1510" s="24"/>
      <c r="AT1510" s="24">
        <v>44455</v>
      </c>
      <c r="AU1510" s="418">
        <f t="shared" si="86"/>
        <v>9</v>
      </c>
      <c r="AV1510" s="418">
        <f t="shared" si="87"/>
        <v>2021</v>
      </c>
      <c r="AW1510" s="24"/>
      <c r="AX1510" s="24"/>
      <c r="AY1510" s="24" t="s">
        <v>4634</v>
      </c>
      <c r="AZ1510" s="24" t="s">
        <v>37</v>
      </c>
      <c r="BA1510" s="24"/>
      <c r="BB1510" s="24" t="s">
        <v>3291</v>
      </c>
      <c r="BC1510" s="135" t="s">
        <v>5801</v>
      </c>
      <c r="BD1510" s="24">
        <v>44408</v>
      </c>
      <c r="BE1510" s="24" t="s">
        <v>4079</v>
      </c>
      <c r="BF1510" s="24" t="s">
        <v>5802</v>
      </c>
      <c r="BG1510" s="135" t="s">
        <v>64</v>
      </c>
      <c r="BH1510" s="135"/>
      <c r="BI1510" s="314" t="s">
        <v>124</v>
      </c>
      <c r="BJ1510" s="314" t="s">
        <v>138</v>
      </c>
      <c r="BK1510" s="24"/>
      <c r="BL1510" s="24"/>
      <c r="BM1510" s="24"/>
      <c r="BN1510" s="24"/>
      <c r="BO1510" s="24"/>
      <c r="BP1510" s="24"/>
      <c r="BQ1510" s="24"/>
      <c r="BR1510" s="24"/>
      <c r="BS1510" s="24"/>
      <c r="BT1510" s="24"/>
      <c r="BU1510" s="24"/>
      <c r="BV1510" s="132" t="e">
        <f>IF(#REF!="COMPLETO","OK","PENDIENTES")</f>
        <v>#REF!</v>
      </c>
      <c r="BW1510" s="132"/>
      <c r="BX1510" s="132"/>
      <c r="BY1510" s="132"/>
      <c r="BZ1510" s="132"/>
      <c r="CA1510" s="132"/>
      <c r="CB1510" s="132"/>
      <c r="CC1510" s="269"/>
      <c r="CG1510" s="24" t="s">
        <v>105</v>
      </c>
      <c r="CH1510" s="24"/>
      <c r="CI1510" s="24"/>
      <c r="CJ1510" s="24"/>
    </row>
    <row r="1511" spans="1:88" ht="15" customHeight="1">
      <c r="A1511" s="18">
        <v>2021</v>
      </c>
      <c r="B1511" s="18" t="str">
        <f>+INDEX(BDD!F:F,MATCH(P1511,BDD!D:D,0))&amp;"-"&amp;INDEX(BDD!E:E,MATCH(P1511,BDD!D:D,0))</f>
        <v>O-S</v>
      </c>
      <c r="C1511" s="125" t="s">
        <v>484</v>
      </c>
      <c r="D1511" s="150" t="s">
        <v>77</v>
      </c>
      <c r="E1511" s="132"/>
      <c r="F1511" s="24"/>
      <c r="G1511" s="346">
        <v>8000001601</v>
      </c>
      <c r="H1511" s="125" t="s">
        <v>5803</v>
      </c>
      <c r="I1511" s="329"/>
      <c r="J1511" s="346">
        <v>8000001601</v>
      </c>
      <c r="K1511" s="24"/>
      <c r="L1511" s="24">
        <v>0</v>
      </c>
      <c r="M1511" s="24">
        <v>44540</v>
      </c>
      <c r="N1511" s="340" t="s">
        <v>486</v>
      </c>
      <c r="O1511" s="334">
        <v>203553</v>
      </c>
      <c r="P1511" s="25" t="s">
        <v>386</v>
      </c>
      <c r="Q1511" s="127" t="s">
        <v>303</v>
      </c>
      <c r="R1511" s="232" t="s">
        <v>5804</v>
      </c>
      <c r="S1511" s="89">
        <v>44301</v>
      </c>
      <c r="T1511" s="36" t="s">
        <v>19</v>
      </c>
      <c r="U1511" s="125"/>
      <c r="V1511" s="147" t="s">
        <v>5805</v>
      </c>
      <c r="W1511" s="129"/>
      <c r="X1511" s="88">
        <v>44494</v>
      </c>
      <c r="Y1511" s="130" t="s">
        <v>20</v>
      </c>
      <c r="Z1511" s="133" t="s">
        <v>60</v>
      </c>
      <c r="AA1511" s="133"/>
      <c r="AB1511" s="241">
        <v>53.65</v>
      </c>
      <c r="AC1511" s="134">
        <v>368.9</v>
      </c>
      <c r="AD1511" s="134"/>
      <c r="AE1511" s="403">
        <f t="shared" si="85"/>
        <v>19791.484999999997</v>
      </c>
      <c r="AF1511" s="132">
        <v>2</v>
      </c>
      <c r="AG1511" s="130" t="s">
        <v>5</v>
      </c>
      <c r="AH1511" s="130"/>
      <c r="AI1511" s="130" t="s">
        <v>100</v>
      </c>
      <c r="AJ1511" s="130"/>
      <c r="AK1511" s="130"/>
      <c r="AL1511" s="135" t="s">
        <v>5484</v>
      </c>
      <c r="AM1511" s="314"/>
      <c r="AN1511" s="26">
        <f>BL1511</f>
        <v>0</v>
      </c>
      <c r="AO1511" s="26">
        <v>44437</v>
      </c>
      <c r="AP1511" s="26">
        <f>AQ1511</f>
        <v>44531</v>
      </c>
      <c r="AQ1511" s="26">
        <v>44531</v>
      </c>
      <c r="AR1511" s="24">
        <f>AQ1511+3</f>
        <v>44534</v>
      </c>
      <c r="AS1511" s="24"/>
      <c r="AT1511" s="24">
        <v>44539</v>
      </c>
      <c r="AU1511" s="418">
        <f t="shared" si="86"/>
        <v>12</v>
      </c>
      <c r="AV1511" s="418">
        <f t="shared" si="87"/>
        <v>2021</v>
      </c>
      <c r="AW1511" s="24"/>
      <c r="AX1511" s="24"/>
      <c r="AY1511" s="24" t="s">
        <v>4072</v>
      </c>
      <c r="AZ1511" s="24" t="s">
        <v>62</v>
      </c>
      <c r="BA1511" s="24"/>
      <c r="BB1511" s="24" t="s">
        <v>3264</v>
      </c>
      <c r="BC1511" s="135" t="s">
        <v>5806</v>
      </c>
      <c r="BD1511" s="24">
        <v>44438</v>
      </c>
      <c r="BE1511" s="24" t="s">
        <v>5807</v>
      </c>
      <c r="BF1511" s="24" t="s">
        <v>1938</v>
      </c>
      <c r="BG1511" s="135" t="s">
        <v>29</v>
      </c>
      <c r="BH1511" s="135"/>
      <c r="BI1511" s="314" t="s">
        <v>3</v>
      </c>
      <c r="BJ1511" s="314" t="s">
        <v>148</v>
      </c>
      <c r="BK1511" s="24"/>
      <c r="BL1511" s="24"/>
      <c r="BM1511" s="24"/>
      <c r="BN1511" s="24"/>
      <c r="BO1511" s="24">
        <v>44544</v>
      </c>
      <c r="BP1511" s="24"/>
      <c r="BQ1511" s="24"/>
      <c r="BR1511" s="24"/>
      <c r="BS1511" s="24"/>
      <c r="BT1511" s="24"/>
      <c r="BU1511" s="24"/>
      <c r="BV1511" s="132" t="e">
        <f>IF(#REF!="COMPLETO","OK","PENDIENTE")</f>
        <v>#REF!</v>
      </c>
      <c r="BW1511" s="132"/>
      <c r="BX1511" s="132"/>
      <c r="BY1511" s="132"/>
      <c r="BZ1511" s="132"/>
      <c r="CA1511" s="132"/>
      <c r="CB1511" s="132"/>
      <c r="CC1511" s="269"/>
      <c r="CG1511" s="24" t="s">
        <v>105</v>
      </c>
      <c r="CH1511" s="24"/>
      <c r="CI1511" s="24"/>
      <c r="CJ1511" s="24"/>
    </row>
    <row r="1512" spans="1:88" ht="15" customHeight="1">
      <c r="A1512" s="18">
        <v>2021</v>
      </c>
      <c r="B1512" s="18" t="str">
        <f>+INDEX(BDD!F:F,MATCH(P1512,BDD!D:D,0))&amp;"-"&amp;INDEX(BDD!E:E,MATCH(P1512,BDD!D:D,0))</f>
        <v>S-P</v>
      </c>
      <c r="C1512" s="125" t="s">
        <v>484</v>
      </c>
      <c r="D1512" s="150" t="s">
        <v>77</v>
      </c>
      <c r="E1512" s="132"/>
      <c r="F1512" s="24"/>
      <c r="G1512" s="346">
        <v>8000001560</v>
      </c>
      <c r="H1512" s="125" t="s">
        <v>5808</v>
      </c>
      <c r="I1512" s="329"/>
      <c r="J1512" s="346">
        <v>8000001560</v>
      </c>
      <c r="K1512" s="24"/>
      <c r="L1512" s="24">
        <v>44479</v>
      </c>
      <c r="M1512" s="24">
        <v>44480</v>
      </c>
      <c r="N1512" s="340" t="s">
        <v>486</v>
      </c>
      <c r="O1512" s="334">
        <v>207499</v>
      </c>
      <c r="P1512" s="25" t="s">
        <v>343</v>
      </c>
      <c r="Q1512" s="127" t="s">
        <v>264</v>
      </c>
      <c r="R1512" s="232" t="s">
        <v>5809</v>
      </c>
      <c r="S1512" s="89">
        <v>44341</v>
      </c>
      <c r="T1512" s="36">
        <v>90</v>
      </c>
      <c r="U1512" s="125" t="s">
        <v>118</v>
      </c>
      <c r="V1512" s="232" t="s">
        <v>5809</v>
      </c>
      <c r="W1512" s="151"/>
      <c r="X1512" s="88">
        <f>+BD1512+T1512</f>
        <v>44508</v>
      </c>
      <c r="Y1512" s="130" t="s">
        <v>20</v>
      </c>
      <c r="Z1512" s="133" t="s">
        <v>60</v>
      </c>
      <c r="AA1512" s="133"/>
      <c r="AB1512" s="241">
        <v>250</v>
      </c>
      <c r="AC1512" s="134">
        <v>735</v>
      </c>
      <c r="AD1512" s="134"/>
      <c r="AE1512" s="403">
        <f t="shared" si="85"/>
        <v>183750</v>
      </c>
      <c r="AF1512" s="132"/>
      <c r="AG1512" s="130" t="s">
        <v>58</v>
      </c>
      <c r="AH1512" s="130"/>
      <c r="AI1512" s="130" t="s">
        <v>34</v>
      </c>
      <c r="AJ1512" s="130"/>
      <c r="AK1512" s="130"/>
      <c r="AL1512" s="135" t="s">
        <v>5484</v>
      </c>
      <c r="AM1512" s="314"/>
      <c r="AN1512" s="26">
        <f>BL1512</f>
        <v>0</v>
      </c>
      <c r="AO1512" s="26">
        <v>44438</v>
      </c>
      <c r="AP1512" s="26">
        <f>AQ1512</f>
        <v>44468</v>
      </c>
      <c r="AQ1512" s="26">
        <v>44468</v>
      </c>
      <c r="AR1512" s="24">
        <f>AP1512+7</f>
        <v>44475</v>
      </c>
      <c r="AS1512" s="24"/>
      <c r="AT1512" s="24">
        <v>44473</v>
      </c>
      <c r="AU1512" s="418">
        <f t="shared" si="86"/>
        <v>10</v>
      </c>
      <c r="AV1512" s="418">
        <f t="shared" si="87"/>
        <v>2021</v>
      </c>
      <c r="AW1512" s="24"/>
      <c r="AX1512" s="24"/>
      <c r="AY1512" s="24" t="s">
        <v>95</v>
      </c>
      <c r="AZ1512" s="24" t="s">
        <v>9</v>
      </c>
      <c r="BA1512" s="24"/>
      <c r="BB1512" s="24" t="s">
        <v>2956</v>
      </c>
      <c r="BC1512" s="135" t="s">
        <v>5810</v>
      </c>
      <c r="BD1512" s="24">
        <v>44418</v>
      </c>
      <c r="BE1512" s="24" t="s">
        <v>5406</v>
      </c>
      <c r="BF1512" s="24" t="s">
        <v>5406</v>
      </c>
      <c r="BG1512" s="135" t="s">
        <v>52</v>
      </c>
      <c r="BH1512" s="135"/>
      <c r="BI1512" s="314" t="s">
        <v>124</v>
      </c>
      <c r="BJ1512" s="314" t="s">
        <v>148</v>
      </c>
      <c r="BK1512" s="24"/>
      <c r="BL1512" s="24"/>
      <c r="BM1512" s="24"/>
      <c r="BN1512" s="24"/>
      <c r="BO1512" s="24"/>
      <c r="BP1512" s="24"/>
      <c r="BQ1512" s="24"/>
      <c r="BR1512" s="24"/>
      <c r="BS1512" s="24"/>
      <c r="BT1512" s="24"/>
      <c r="BU1512" s="24"/>
      <c r="BV1512" s="132" t="e">
        <f>IF(#REF!="COMPLETO","OK","PENDIENTES")</f>
        <v>#REF!</v>
      </c>
      <c r="BW1512" s="132"/>
      <c r="BX1512" s="132"/>
      <c r="BY1512" s="132"/>
      <c r="BZ1512" s="132"/>
      <c r="CA1512" s="132"/>
      <c r="CB1512" s="132"/>
      <c r="CC1512" s="269"/>
      <c r="CG1512" s="24" t="s">
        <v>105</v>
      </c>
      <c r="CH1512" s="24"/>
      <c r="CI1512" s="24"/>
      <c r="CJ1512" s="24"/>
    </row>
    <row r="1513" spans="1:88" ht="15" customHeight="1">
      <c r="A1513" s="18">
        <v>2021</v>
      </c>
      <c r="B1513" s="18" t="str">
        <f>+INDEX(BDD!F:F,MATCH(P1513,BDD!D:D,0))&amp;"-"&amp;INDEX(BDD!E:E,MATCH(P1513,BDD!D:D,0))</f>
        <v>E-S</v>
      </c>
      <c r="C1513" s="125" t="s">
        <v>484</v>
      </c>
      <c r="D1513" s="150" t="s">
        <v>77</v>
      </c>
      <c r="E1513" s="132"/>
      <c r="F1513" s="24"/>
      <c r="G1513" s="346">
        <v>8000001565</v>
      </c>
      <c r="H1513" s="125" t="s">
        <v>5811</v>
      </c>
      <c r="I1513" s="329"/>
      <c r="J1513" s="346">
        <v>8000001565</v>
      </c>
      <c r="K1513" s="24"/>
      <c r="L1513" s="24">
        <v>44456</v>
      </c>
      <c r="M1513" s="24">
        <v>44468</v>
      </c>
      <c r="N1513" s="340" t="s">
        <v>486</v>
      </c>
      <c r="O1513" s="334">
        <v>203575</v>
      </c>
      <c r="P1513" s="25" t="s">
        <v>351</v>
      </c>
      <c r="Q1513" s="127" t="s">
        <v>273</v>
      </c>
      <c r="R1513" s="232" t="s">
        <v>5639</v>
      </c>
      <c r="S1513" s="89">
        <v>44349</v>
      </c>
      <c r="T1513" s="36">
        <v>150</v>
      </c>
      <c r="U1513" s="125" t="s">
        <v>118</v>
      </c>
      <c r="V1513" s="147" t="s">
        <v>5812</v>
      </c>
      <c r="W1513" s="129"/>
      <c r="X1513" s="88">
        <f>+BD1513+T1513</f>
        <v>44529</v>
      </c>
      <c r="Y1513" s="130" t="s">
        <v>20</v>
      </c>
      <c r="Z1513" s="133" t="s">
        <v>60</v>
      </c>
      <c r="AA1513" s="133"/>
      <c r="AB1513" s="241">
        <v>150</v>
      </c>
      <c r="AC1513" s="134">
        <v>505.42</v>
      </c>
      <c r="AD1513" s="134"/>
      <c r="AE1513" s="403">
        <f t="shared" si="85"/>
        <v>75813</v>
      </c>
      <c r="AF1513" s="132"/>
      <c r="AG1513" s="130" t="s">
        <v>46</v>
      </c>
      <c r="AH1513" s="130"/>
      <c r="AI1513" s="130" t="s">
        <v>71</v>
      </c>
      <c r="AJ1513" s="130"/>
      <c r="AK1513" s="130"/>
      <c r="AL1513" s="135" t="s">
        <v>5484</v>
      </c>
      <c r="AM1513" s="314"/>
      <c r="AN1513" s="26"/>
      <c r="AO1513" s="26">
        <v>44419</v>
      </c>
      <c r="AP1513" s="26"/>
      <c r="AQ1513" s="26">
        <v>44459</v>
      </c>
      <c r="AR1513" s="24"/>
      <c r="AS1513" s="24"/>
      <c r="AT1513" s="24">
        <v>44465</v>
      </c>
      <c r="AU1513" s="418">
        <f t="shared" si="86"/>
        <v>9</v>
      </c>
      <c r="AV1513" s="418">
        <f t="shared" si="87"/>
        <v>2021</v>
      </c>
      <c r="AW1513" s="24"/>
      <c r="AX1513" s="24"/>
      <c r="AY1513" s="24" t="s">
        <v>5642</v>
      </c>
      <c r="AZ1513" s="24" t="s">
        <v>25</v>
      </c>
      <c r="BA1513" s="24"/>
      <c r="BB1513" s="24" t="s">
        <v>3264</v>
      </c>
      <c r="BC1513" s="135" t="s">
        <v>5813</v>
      </c>
      <c r="BD1513" s="24">
        <v>44379</v>
      </c>
      <c r="BE1513" s="24" t="s">
        <v>5643</v>
      </c>
      <c r="BF1513" s="24" t="s">
        <v>5644</v>
      </c>
      <c r="BG1513" s="135" t="s">
        <v>52</v>
      </c>
      <c r="BH1513" s="135"/>
      <c r="BI1513" s="314" t="s">
        <v>117</v>
      </c>
      <c r="BJ1513" s="314" t="s">
        <v>143</v>
      </c>
      <c r="BK1513" s="24"/>
      <c r="BL1513" s="24"/>
      <c r="BM1513" s="24"/>
      <c r="BN1513" s="24"/>
      <c r="BO1513" s="24"/>
      <c r="BP1513" s="24"/>
      <c r="BQ1513" s="24"/>
      <c r="BR1513" s="24"/>
      <c r="BS1513" s="24"/>
      <c r="BT1513" s="24"/>
      <c r="BU1513" s="24"/>
      <c r="BV1513" s="132" t="e">
        <f>IF(#REF!="COMPLETO","OK","PENDIENTES")</f>
        <v>#REF!</v>
      </c>
      <c r="BW1513" s="132"/>
      <c r="BX1513" s="132"/>
      <c r="BY1513" s="132"/>
      <c r="BZ1513" s="132"/>
      <c r="CA1513" s="132"/>
      <c r="CB1513" s="132"/>
      <c r="CC1513" s="269" t="s">
        <v>5814</v>
      </c>
      <c r="CG1513" s="24" t="s">
        <v>105</v>
      </c>
      <c r="CH1513" s="24"/>
      <c r="CI1513" s="24"/>
      <c r="CJ1513" s="24"/>
    </row>
    <row r="1514" spans="1:88" ht="15" customHeight="1">
      <c r="A1514" s="18">
        <v>2021</v>
      </c>
      <c r="B1514" s="18" t="str">
        <f>+INDEX(BDD!F:F,MATCH(P1514,BDD!D:D,0))&amp;"-"&amp;INDEX(BDD!E:E,MATCH(P1514,BDD!D:D,0))</f>
        <v>E-S</v>
      </c>
      <c r="C1514" s="125" t="s">
        <v>484</v>
      </c>
      <c r="D1514" s="150" t="s">
        <v>77</v>
      </c>
      <c r="E1514" s="132"/>
      <c r="F1514" s="24"/>
      <c r="G1514" s="346">
        <v>8000001580</v>
      </c>
      <c r="H1514" s="125" t="s">
        <v>5815</v>
      </c>
      <c r="I1514" s="329"/>
      <c r="J1514" s="346">
        <v>8000001580</v>
      </c>
      <c r="K1514" s="24"/>
      <c r="L1514" s="24">
        <v>44473</v>
      </c>
      <c r="M1514" s="24">
        <v>44474</v>
      </c>
      <c r="N1514" s="340" t="s">
        <v>486</v>
      </c>
      <c r="O1514" s="334">
        <v>203575</v>
      </c>
      <c r="P1514" s="25" t="s">
        <v>351</v>
      </c>
      <c r="Q1514" s="127" t="s">
        <v>273</v>
      </c>
      <c r="R1514" s="232" t="s">
        <v>5639</v>
      </c>
      <c r="S1514" s="89">
        <v>44349</v>
      </c>
      <c r="T1514" s="36">
        <v>150</v>
      </c>
      <c r="U1514" s="125" t="s">
        <v>118</v>
      </c>
      <c r="V1514" s="147" t="s">
        <v>5816</v>
      </c>
      <c r="W1514" s="129"/>
      <c r="X1514" s="88">
        <f>+BD1514+T1514</f>
        <v>44529</v>
      </c>
      <c r="Y1514" s="130" t="s">
        <v>20</v>
      </c>
      <c r="Z1514" s="133" t="s">
        <v>60</v>
      </c>
      <c r="AA1514" s="133"/>
      <c r="AB1514" s="241">
        <v>800</v>
      </c>
      <c r="AC1514" s="134">
        <v>505.42</v>
      </c>
      <c r="AD1514" s="134"/>
      <c r="AE1514" s="403">
        <f t="shared" si="85"/>
        <v>404336</v>
      </c>
      <c r="AF1514" s="132"/>
      <c r="AG1514" s="130" t="s">
        <v>46</v>
      </c>
      <c r="AH1514" s="130"/>
      <c r="AI1514" s="130" t="s">
        <v>71</v>
      </c>
      <c r="AJ1514" s="130"/>
      <c r="AK1514" s="130"/>
      <c r="AL1514" s="135" t="s">
        <v>5484</v>
      </c>
      <c r="AM1514" s="314"/>
      <c r="AN1514" s="26">
        <f>BL1514</f>
        <v>0</v>
      </c>
      <c r="AO1514" s="26">
        <v>44419</v>
      </c>
      <c r="AP1514" s="26">
        <f>AQ1514</f>
        <v>44469</v>
      </c>
      <c r="AQ1514" s="26">
        <v>44469</v>
      </c>
      <c r="AR1514" s="24">
        <f>AP1514+3</f>
        <v>44472</v>
      </c>
      <c r="AS1514" s="24"/>
      <c r="AT1514" s="24">
        <v>44474</v>
      </c>
      <c r="AU1514" s="418">
        <f t="shared" si="86"/>
        <v>10</v>
      </c>
      <c r="AV1514" s="418">
        <f t="shared" si="87"/>
        <v>2021</v>
      </c>
      <c r="AW1514" s="24"/>
      <c r="AX1514" s="24"/>
      <c r="AY1514" s="24" t="s">
        <v>5642</v>
      </c>
      <c r="AZ1514" s="24" t="s">
        <v>37</v>
      </c>
      <c r="BA1514" s="24"/>
      <c r="BB1514" s="24" t="s">
        <v>2956</v>
      </c>
      <c r="BC1514" s="135" t="s">
        <v>5817</v>
      </c>
      <c r="BD1514" s="24">
        <v>44379</v>
      </c>
      <c r="BE1514" s="24" t="s">
        <v>5643</v>
      </c>
      <c r="BF1514" s="24" t="s">
        <v>5644</v>
      </c>
      <c r="BG1514" s="135" t="s">
        <v>52</v>
      </c>
      <c r="BH1514" s="135"/>
      <c r="BI1514" s="314" t="s">
        <v>124</v>
      </c>
      <c r="BJ1514" s="314" t="s">
        <v>143</v>
      </c>
      <c r="BK1514" s="24"/>
      <c r="BL1514" s="24"/>
      <c r="BM1514" s="24"/>
      <c r="BN1514" s="24"/>
      <c r="BO1514" s="24"/>
      <c r="BP1514" s="24"/>
      <c r="BQ1514" s="24"/>
      <c r="BR1514" s="24"/>
      <c r="BS1514" s="24"/>
      <c r="BT1514" s="24"/>
      <c r="BU1514" s="24"/>
      <c r="BV1514" s="132" t="e">
        <f>IF(#REF!="COMPLETO","OK","PENDIENTES")</f>
        <v>#REF!</v>
      </c>
      <c r="BW1514" s="132"/>
      <c r="BX1514" s="132"/>
      <c r="BY1514" s="132"/>
      <c r="BZ1514" s="132"/>
      <c r="CA1514" s="132"/>
      <c r="CB1514" s="132"/>
      <c r="CC1514" s="269" t="s">
        <v>5818</v>
      </c>
      <c r="CG1514" s="24" t="s">
        <v>105</v>
      </c>
      <c r="CH1514" s="24"/>
      <c r="CI1514" s="24"/>
      <c r="CJ1514" s="24"/>
    </row>
    <row r="1515" spans="1:88" ht="15" customHeight="1">
      <c r="A1515" s="18">
        <v>2021</v>
      </c>
      <c r="B1515" s="18" t="str">
        <f>+INDEX(BDD!F:F,MATCH(P1515,BDD!D:D,0))&amp;"-"&amp;INDEX(BDD!E:E,MATCH(P1515,BDD!D:D,0))</f>
        <v>E-S</v>
      </c>
      <c r="C1515" s="125" t="s">
        <v>484</v>
      </c>
      <c r="D1515" s="150" t="s">
        <v>77</v>
      </c>
      <c r="E1515" s="132"/>
      <c r="F1515" s="24"/>
      <c r="G1515" s="346">
        <v>8000001590</v>
      </c>
      <c r="H1515" s="125" t="s">
        <v>5819</v>
      </c>
      <c r="I1515" s="329"/>
      <c r="J1515" s="346">
        <v>8000001590</v>
      </c>
      <c r="K1515" s="24"/>
      <c r="L1515" s="24">
        <v>44481</v>
      </c>
      <c r="M1515" s="24">
        <v>44483</v>
      </c>
      <c r="N1515" s="340" t="s">
        <v>486</v>
      </c>
      <c r="O1515" s="334">
        <v>203575</v>
      </c>
      <c r="P1515" s="25" t="s">
        <v>351</v>
      </c>
      <c r="Q1515" s="127" t="s">
        <v>273</v>
      </c>
      <c r="R1515" s="232" t="s">
        <v>5639</v>
      </c>
      <c r="S1515" s="89">
        <v>44349</v>
      </c>
      <c r="T1515" s="36">
        <v>150</v>
      </c>
      <c r="U1515" s="125" t="s">
        <v>118</v>
      </c>
      <c r="V1515" s="147" t="s">
        <v>5820</v>
      </c>
      <c r="W1515" s="129"/>
      <c r="X1515" s="88">
        <f>+BD1515+T1515</f>
        <v>44529</v>
      </c>
      <c r="Y1515" s="130" t="s">
        <v>20</v>
      </c>
      <c r="Z1515" s="133" t="s">
        <v>60</v>
      </c>
      <c r="AA1515" s="133"/>
      <c r="AB1515" s="241">
        <v>150</v>
      </c>
      <c r="AC1515" s="134">
        <v>505.42</v>
      </c>
      <c r="AD1515" s="134"/>
      <c r="AE1515" s="403">
        <f t="shared" si="85"/>
        <v>75813</v>
      </c>
      <c r="AF1515" s="132"/>
      <c r="AG1515" s="130" t="s">
        <v>46</v>
      </c>
      <c r="AH1515" s="130"/>
      <c r="AI1515" s="130" t="s">
        <v>71</v>
      </c>
      <c r="AJ1515" s="130"/>
      <c r="AK1515" s="130"/>
      <c r="AL1515" s="135" t="s">
        <v>5484</v>
      </c>
      <c r="AM1515" s="314"/>
      <c r="AN1515" s="26">
        <f>BL1515</f>
        <v>0</v>
      </c>
      <c r="AO1515" s="26">
        <v>44419</v>
      </c>
      <c r="AP1515" s="26">
        <f>AQ1515</f>
        <v>44475</v>
      </c>
      <c r="AQ1515" s="26">
        <v>44475</v>
      </c>
      <c r="AR1515" s="24">
        <f>AP1515+1</f>
        <v>44476</v>
      </c>
      <c r="AS1515" s="24"/>
      <c r="AT1515" s="24">
        <v>44480</v>
      </c>
      <c r="AU1515" s="418">
        <f t="shared" si="86"/>
        <v>10</v>
      </c>
      <c r="AV1515" s="418">
        <f t="shared" si="87"/>
        <v>2021</v>
      </c>
      <c r="AW1515" s="24"/>
      <c r="AX1515" s="24"/>
      <c r="AY1515" s="24" t="s">
        <v>5642</v>
      </c>
      <c r="AZ1515" s="24" t="s">
        <v>62</v>
      </c>
      <c r="BA1515" s="24"/>
      <c r="BB1515" s="24" t="s">
        <v>3264</v>
      </c>
      <c r="BC1515" s="135" t="s">
        <v>5821</v>
      </c>
      <c r="BD1515" s="24">
        <v>44379</v>
      </c>
      <c r="BE1515" s="24" t="s">
        <v>5643</v>
      </c>
      <c r="BF1515" s="24" t="s">
        <v>5644</v>
      </c>
      <c r="BG1515" s="135" t="s">
        <v>52</v>
      </c>
      <c r="BH1515" s="135"/>
      <c r="BI1515" s="314" t="s">
        <v>124</v>
      </c>
      <c r="BJ1515" s="314" t="s">
        <v>143</v>
      </c>
      <c r="BK1515" s="24"/>
      <c r="BL1515" s="24"/>
      <c r="BM1515" s="24"/>
      <c r="BN1515" s="24"/>
      <c r="BO1515" s="24"/>
      <c r="BP1515" s="24"/>
      <c r="BQ1515" s="24"/>
      <c r="BR1515" s="24"/>
      <c r="BS1515" s="24"/>
      <c r="BT1515" s="24"/>
      <c r="BU1515" s="24"/>
      <c r="BV1515" s="132" t="e">
        <f>IF(#REF!="COMPLETO","OK","PENDIENTES")</f>
        <v>#REF!</v>
      </c>
      <c r="BW1515" s="132"/>
      <c r="BX1515" s="132"/>
      <c r="BY1515" s="132"/>
      <c r="BZ1515" s="132"/>
      <c r="CA1515" s="132"/>
      <c r="CB1515" s="132"/>
      <c r="CC1515" s="269"/>
      <c r="CG1515" s="24" t="s">
        <v>105</v>
      </c>
      <c r="CH1515" s="24"/>
      <c r="CI1515" s="24"/>
      <c r="CJ1515" s="24"/>
    </row>
    <row r="1516" spans="1:88" ht="15" customHeight="1">
      <c r="A1516" s="18">
        <v>2021</v>
      </c>
      <c r="B1516" s="18" t="e">
        <f>+INDEX(BDD!F:F,MATCH(P1516,BDD!D:D,0))&amp;"-"&amp;INDEX(BDD!E:E,MATCH(P1516,BDD!D:D,0))</f>
        <v>#N/A</v>
      </c>
      <c r="C1516" s="125" t="s">
        <v>484</v>
      </c>
      <c r="D1516" s="150" t="s">
        <v>77</v>
      </c>
      <c r="E1516" s="132"/>
      <c r="F1516" s="24"/>
      <c r="G1516" s="346">
        <v>8000001678</v>
      </c>
      <c r="H1516" s="125" t="s">
        <v>5822</v>
      </c>
      <c r="I1516" s="329"/>
      <c r="J1516" s="346">
        <v>8000001678</v>
      </c>
      <c r="K1516" s="24"/>
      <c r="L1516" s="24">
        <v>44494</v>
      </c>
      <c r="M1516" s="24">
        <v>44496</v>
      </c>
      <c r="N1516" s="340" t="s">
        <v>486</v>
      </c>
      <c r="O1516" s="334">
        <v>209878</v>
      </c>
      <c r="P1516" s="25" t="s">
        <v>5096</v>
      </c>
      <c r="Q1516" s="127" t="s">
        <v>309</v>
      </c>
      <c r="R1516" s="232" t="s">
        <v>544</v>
      </c>
      <c r="S1516" s="89">
        <v>44344</v>
      </c>
      <c r="T1516" s="36">
        <v>90</v>
      </c>
      <c r="U1516" s="125" t="s">
        <v>118</v>
      </c>
      <c r="V1516" s="147" t="s">
        <v>5823</v>
      </c>
      <c r="W1516" s="129"/>
      <c r="X1516" s="88">
        <f>+T1516+BD1516</f>
        <v>44524</v>
      </c>
      <c r="Y1516" s="130" t="s">
        <v>20</v>
      </c>
      <c r="Z1516" s="133" t="s">
        <v>81</v>
      </c>
      <c r="AA1516" s="133"/>
      <c r="AB1516" s="241">
        <v>18</v>
      </c>
      <c r="AC1516" s="134">
        <v>5110</v>
      </c>
      <c r="AD1516" s="134"/>
      <c r="AE1516" s="403">
        <f t="shared" si="85"/>
        <v>91980</v>
      </c>
      <c r="AF1516" s="132">
        <v>1</v>
      </c>
      <c r="AG1516" s="130" t="s">
        <v>21</v>
      </c>
      <c r="AH1516" s="130"/>
      <c r="AI1516" s="130" t="s">
        <v>3619</v>
      </c>
      <c r="AJ1516" s="130"/>
      <c r="AK1516" s="130"/>
      <c r="AL1516" s="135" t="s">
        <v>5484</v>
      </c>
      <c r="AM1516" s="314"/>
      <c r="AN1516" s="26">
        <v>44455</v>
      </c>
      <c r="AO1516" s="26">
        <v>44455</v>
      </c>
      <c r="AP1516" s="26">
        <v>44490</v>
      </c>
      <c r="AQ1516" s="26">
        <v>44490</v>
      </c>
      <c r="AR1516" s="24">
        <f>AP1516+4</f>
        <v>44494</v>
      </c>
      <c r="AS1516" s="41"/>
      <c r="AT1516" s="24">
        <v>44494</v>
      </c>
      <c r="AU1516" s="418">
        <f t="shared" si="86"/>
        <v>10</v>
      </c>
      <c r="AV1516" s="418">
        <f t="shared" si="87"/>
        <v>2021</v>
      </c>
      <c r="AW1516" s="24"/>
      <c r="AX1516" s="24"/>
      <c r="AY1516" s="24" t="s">
        <v>5825</v>
      </c>
      <c r="AZ1516" s="24" t="s">
        <v>37</v>
      </c>
      <c r="BA1516" s="24"/>
      <c r="BB1516" s="24" t="s">
        <v>3291</v>
      </c>
      <c r="BC1516" s="135" t="s">
        <v>5824</v>
      </c>
      <c r="BD1516" s="24">
        <v>44434</v>
      </c>
      <c r="BE1516" s="24" t="s">
        <v>5826</v>
      </c>
      <c r="BF1516" s="24" t="s">
        <v>2668</v>
      </c>
      <c r="BG1516" s="135" t="s">
        <v>29</v>
      </c>
      <c r="BH1516" s="135"/>
      <c r="BI1516" s="314" t="s">
        <v>124</v>
      </c>
      <c r="BJ1516" s="314" t="s">
        <v>143</v>
      </c>
      <c r="BK1516" s="24"/>
      <c r="BL1516" s="24"/>
      <c r="BM1516" s="24"/>
      <c r="BN1516" s="24"/>
      <c r="BO1516" s="24"/>
      <c r="BP1516" s="24"/>
      <c r="BQ1516" s="24"/>
      <c r="BR1516" s="24"/>
      <c r="BS1516" s="24"/>
      <c r="BT1516" s="24"/>
      <c r="BU1516" s="24"/>
      <c r="BV1516" s="132" t="e">
        <f>IF(#REF!="COMPLETO","OK","PENDIENTES")</f>
        <v>#REF!</v>
      </c>
      <c r="BW1516" s="132"/>
      <c r="BX1516" s="132"/>
      <c r="BY1516" s="132"/>
      <c r="BZ1516" s="132"/>
      <c r="CA1516" s="132"/>
      <c r="CB1516" s="132"/>
      <c r="CC1516" s="269"/>
      <c r="CG1516" s="24" t="s">
        <v>105</v>
      </c>
      <c r="CH1516" s="24"/>
      <c r="CI1516" s="24"/>
      <c r="CJ1516" s="24"/>
    </row>
    <row r="1517" spans="1:88" ht="15" customHeight="1">
      <c r="A1517" s="18">
        <v>2021</v>
      </c>
      <c r="B1517" s="18" t="str">
        <f>+INDEX(BDD!F:F,MATCH(P1517,BDD!D:D,0))&amp;"-"&amp;INDEX(BDD!E:E,MATCH(P1517,BDD!D:D,0))</f>
        <v>G-S</v>
      </c>
      <c r="C1517" s="125" t="s">
        <v>484</v>
      </c>
      <c r="D1517" s="150" t="s">
        <v>77</v>
      </c>
      <c r="E1517" s="132"/>
      <c r="F1517" s="24"/>
      <c r="G1517" s="346">
        <v>8000001352</v>
      </c>
      <c r="H1517" s="125" t="s">
        <v>5827</v>
      </c>
      <c r="I1517" s="329"/>
      <c r="J1517" s="346">
        <v>8000001352</v>
      </c>
      <c r="K1517" s="24"/>
      <c r="L1517" s="24"/>
      <c r="M1517" s="24"/>
      <c r="N1517" s="340" t="s">
        <v>486</v>
      </c>
      <c r="O1517" s="334">
        <v>207485</v>
      </c>
      <c r="P1517" s="25" t="s">
        <v>353</v>
      </c>
      <c r="Q1517" s="127" t="s">
        <v>66</v>
      </c>
      <c r="R1517" s="232" t="s">
        <v>5828</v>
      </c>
      <c r="S1517" s="89">
        <v>44347</v>
      </c>
      <c r="T1517" s="36" t="s">
        <v>19</v>
      </c>
      <c r="U1517" s="125"/>
      <c r="V1517" s="147" t="s">
        <v>5829</v>
      </c>
      <c r="W1517" s="129"/>
      <c r="X1517" s="88">
        <v>44351</v>
      </c>
      <c r="Y1517" s="130" t="s">
        <v>20</v>
      </c>
      <c r="Z1517" s="133" t="s">
        <v>60</v>
      </c>
      <c r="AA1517" s="133"/>
      <c r="AB1517" s="241">
        <v>2500</v>
      </c>
      <c r="AC1517" s="134">
        <v>436.5</v>
      </c>
      <c r="AD1517" s="134"/>
      <c r="AE1517" s="403">
        <f t="shared" si="85"/>
        <v>1091250</v>
      </c>
      <c r="AF1517" s="132"/>
      <c r="AG1517" s="130" t="s">
        <v>46</v>
      </c>
      <c r="AH1517" s="130"/>
      <c r="AI1517" s="130" t="s">
        <v>100</v>
      </c>
      <c r="AJ1517" s="130"/>
      <c r="AK1517" s="130"/>
      <c r="AL1517" s="135" t="s">
        <v>5156</v>
      </c>
      <c r="AM1517" s="314"/>
      <c r="AN1517" s="26"/>
      <c r="AO1517" s="26"/>
      <c r="AP1517" s="26"/>
      <c r="AQ1517" s="26">
        <v>44352</v>
      </c>
      <c r="AR1517" s="24"/>
      <c r="AS1517" s="24"/>
      <c r="AT1517" s="24">
        <v>44353</v>
      </c>
      <c r="AU1517" s="418">
        <f t="shared" si="86"/>
        <v>6</v>
      </c>
      <c r="AV1517" s="418">
        <f t="shared" si="87"/>
        <v>2021</v>
      </c>
      <c r="AW1517" s="24"/>
      <c r="AX1517" s="24"/>
      <c r="AY1517" s="24" t="s">
        <v>5831</v>
      </c>
      <c r="AZ1517" s="24" t="s">
        <v>9</v>
      </c>
      <c r="BA1517" s="24"/>
      <c r="BB1517" s="24" t="s">
        <v>3519</v>
      </c>
      <c r="BC1517" s="135" t="s">
        <v>5830</v>
      </c>
      <c r="BD1517" s="24">
        <v>44317</v>
      </c>
      <c r="BE1517" s="24" t="s">
        <v>5832</v>
      </c>
      <c r="BF1517" s="24" t="s">
        <v>5832</v>
      </c>
      <c r="BG1517" s="135" t="s">
        <v>52</v>
      </c>
      <c r="BH1517" s="135"/>
      <c r="BI1517" s="314" t="s">
        <v>117</v>
      </c>
      <c r="BJ1517" s="314" t="s">
        <v>148</v>
      </c>
      <c r="BK1517" s="24"/>
      <c r="BL1517" s="24"/>
      <c r="BM1517" s="24"/>
      <c r="BN1517" s="24"/>
      <c r="BO1517" s="24"/>
      <c r="BP1517" s="24"/>
      <c r="BQ1517" s="24"/>
      <c r="BR1517" s="24"/>
      <c r="BS1517" s="24"/>
      <c r="BT1517" s="24"/>
      <c r="BU1517" s="24"/>
      <c r="BV1517" s="132" t="e">
        <f>IF(#REF!="COMPLETO","OK","PENDIENTES")</f>
        <v>#REF!</v>
      </c>
      <c r="BW1517" s="132"/>
      <c r="BX1517" s="132"/>
      <c r="BY1517" s="132"/>
      <c r="BZ1517" s="132"/>
      <c r="CA1517" s="132"/>
      <c r="CB1517" s="132"/>
      <c r="CC1517" s="269" t="s">
        <v>5833</v>
      </c>
      <c r="CG1517" s="24" t="s">
        <v>105</v>
      </c>
      <c r="CH1517" s="24"/>
      <c r="CI1517" s="24"/>
      <c r="CJ1517" s="24"/>
    </row>
    <row r="1518" spans="1:88" ht="15" customHeight="1">
      <c r="A1518" s="18">
        <v>2021</v>
      </c>
      <c r="B1518" s="18" t="str">
        <f>+INDEX(BDD!F:F,MATCH(P1518,BDD!D:D,0))&amp;"-"&amp;INDEX(BDD!E:E,MATCH(P1518,BDD!D:D,0))</f>
        <v>G-S</v>
      </c>
      <c r="C1518" s="125" t="s">
        <v>484</v>
      </c>
      <c r="D1518" s="150" t="s">
        <v>77</v>
      </c>
      <c r="E1518" s="132"/>
      <c r="F1518" s="24"/>
      <c r="G1518" s="346">
        <v>8000001361</v>
      </c>
      <c r="H1518" s="125" t="s">
        <v>5834</v>
      </c>
      <c r="I1518" s="329"/>
      <c r="J1518" s="346">
        <v>8000001361</v>
      </c>
      <c r="K1518" s="24"/>
      <c r="L1518" s="24"/>
      <c r="M1518" s="24"/>
      <c r="N1518" s="340" t="s">
        <v>486</v>
      </c>
      <c r="O1518" s="334">
        <v>207485</v>
      </c>
      <c r="P1518" s="25" t="s">
        <v>353</v>
      </c>
      <c r="Q1518" s="127" t="s">
        <v>66</v>
      </c>
      <c r="R1518" s="232" t="s">
        <v>5828</v>
      </c>
      <c r="S1518" s="89">
        <v>44347</v>
      </c>
      <c r="T1518" s="36" t="s">
        <v>19</v>
      </c>
      <c r="U1518" s="125"/>
      <c r="V1518" s="147" t="s">
        <v>5835</v>
      </c>
      <c r="W1518" s="129"/>
      <c r="X1518" s="88">
        <v>44351</v>
      </c>
      <c r="Y1518" s="130" t="s">
        <v>20</v>
      </c>
      <c r="Z1518" s="133" t="s">
        <v>60</v>
      </c>
      <c r="AA1518" s="133"/>
      <c r="AB1518" s="241">
        <v>3000</v>
      </c>
      <c r="AC1518" s="134">
        <v>436.5</v>
      </c>
      <c r="AD1518" s="134"/>
      <c r="AE1518" s="403">
        <f t="shared" si="85"/>
        <v>1309500</v>
      </c>
      <c r="AF1518" s="132"/>
      <c r="AG1518" s="130" t="s">
        <v>46</v>
      </c>
      <c r="AH1518" s="130"/>
      <c r="AI1518" s="130" t="s">
        <v>100</v>
      </c>
      <c r="AJ1518" s="130"/>
      <c r="AK1518" s="130"/>
      <c r="AL1518" s="135" t="s">
        <v>5156</v>
      </c>
      <c r="AM1518" s="314"/>
      <c r="AN1518" s="26"/>
      <c r="AO1518" s="26"/>
      <c r="AP1518" s="26"/>
      <c r="AQ1518" s="26">
        <v>44355</v>
      </c>
      <c r="AR1518" s="24"/>
      <c r="AS1518" s="24"/>
      <c r="AT1518" s="24">
        <v>44361</v>
      </c>
      <c r="AU1518" s="418">
        <f t="shared" si="86"/>
        <v>6</v>
      </c>
      <c r="AV1518" s="418">
        <f t="shared" si="87"/>
        <v>2021</v>
      </c>
      <c r="AW1518" s="24"/>
      <c r="AX1518" s="24"/>
      <c r="AY1518" s="24" t="s">
        <v>5831</v>
      </c>
      <c r="AZ1518" s="24" t="s">
        <v>37</v>
      </c>
      <c r="BA1518" s="24"/>
      <c r="BB1518" s="24" t="s">
        <v>3593</v>
      </c>
      <c r="BC1518" s="135" t="s">
        <v>5836</v>
      </c>
      <c r="BD1518" s="24">
        <v>44317</v>
      </c>
      <c r="BE1518" s="24" t="s">
        <v>5832</v>
      </c>
      <c r="BF1518" s="24" t="s">
        <v>5832</v>
      </c>
      <c r="BG1518" s="135" t="s">
        <v>52</v>
      </c>
      <c r="BH1518" s="135"/>
      <c r="BI1518" s="314" t="s">
        <v>117</v>
      </c>
      <c r="BJ1518" s="314" t="s">
        <v>148</v>
      </c>
      <c r="BK1518" s="24"/>
      <c r="BL1518" s="24"/>
      <c r="BM1518" s="24"/>
      <c r="BN1518" s="24"/>
      <c r="BO1518" s="24"/>
      <c r="BP1518" s="24"/>
      <c r="BQ1518" s="24"/>
      <c r="BR1518" s="24"/>
      <c r="BS1518" s="24"/>
      <c r="BT1518" s="24"/>
      <c r="BU1518" s="24"/>
      <c r="BV1518" s="132" t="e">
        <f>IF(#REF!="COMPLETO","OK","PENDIENTES")</f>
        <v>#REF!</v>
      </c>
      <c r="BW1518" s="132"/>
      <c r="BX1518" s="132"/>
      <c r="BY1518" s="132"/>
      <c r="BZ1518" s="132"/>
      <c r="CA1518" s="132"/>
      <c r="CB1518" s="132"/>
      <c r="CC1518" s="269"/>
      <c r="CG1518" s="24" t="s">
        <v>105</v>
      </c>
      <c r="CH1518" s="24"/>
      <c r="CI1518" s="24"/>
      <c r="CJ1518" s="24"/>
    </row>
    <row r="1519" spans="1:88" ht="15" customHeight="1">
      <c r="A1519" s="18">
        <v>2021</v>
      </c>
      <c r="B1519" s="18" t="str">
        <f>+INDEX(BDD!F:F,MATCH(P1519,BDD!D:D,0))&amp;"-"&amp;INDEX(BDD!E:E,MATCH(P1519,BDD!D:D,0))</f>
        <v>G-S</v>
      </c>
      <c r="C1519" s="125" t="s">
        <v>484</v>
      </c>
      <c r="D1519" s="150" t="s">
        <v>77</v>
      </c>
      <c r="E1519" s="132"/>
      <c r="F1519" s="24"/>
      <c r="G1519" s="346">
        <v>8000001365</v>
      </c>
      <c r="H1519" s="125" t="s">
        <v>5837</v>
      </c>
      <c r="I1519" s="329"/>
      <c r="J1519" s="346">
        <v>8000001365</v>
      </c>
      <c r="K1519" s="24"/>
      <c r="L1519" s="24"/>
      <c r="M1519" s="24"/>
      <c r="N1519" s="340" t="s">
        <v>486</v>
      </c>
      <c r="O1519" s="334">
        <v>207485</v>
      </c>
      <c r="P1519" s="25" t="s">
        <v>353</v>
      </c>
      <c r="Q1519" s="127" t="s">
        <v>66</v>
      </c>
      <c r="R1519" s="232" t="s">
        <v>5828</v>
      </c>
      <c r="S1519" s="89">
        <v>44347</v>
      </c>
      <c r="T1519" s="36" t="s">
        <v>19</v>
      </c>
      <c r="U1519" s="125"/>
      <c r="V1519" s="147" t="s">
        <v>5838</v>
      </c>
      <c r="W1519" s="129"/>
      <c r="X1519" s="88">
        <v>44351</v>
      </c>
      <c r="Y1519" s="130" t="s">
        <v>20</v>
      </c>
      <c r="Z1519" s="133" t="s">
        <v>60</v>
      </c>
      <c r="AA1519" s="133"/>
      <c r="AB1519" s="241">
        <v>6495</v>
      </c>
      <c r="AC1519" s="134">
        <v>436.5</v>
      </c>
      <c r="AD1519" s="134"/>
      <c r="AE1519" s="403">
        <f t="shared" si="85"/>
        <v>2835067.5</v>
      </c>
      <c r="AF1519" s="132"/>
      <c r="AG1519" s="130" t="s">
        <v>46</v>
      </c>
      <c r="AH1519" s="130"/>
      <c r="AI1519" s="130" t="s">
        <v>100</v>
      </c>
      <c r="AJ1519" s="130"/>
      <c r="AK1519" s="130"/>
      <c r="AL1519" s="135" t="s">
        <v>5156</v>
      </c>
      <c r="AM1519" s="314"/>
      <c r="AN1519" s="26"/>
      <c r="AO1519" s="26"/>
      <c r="AP1519" s="26"/>
      <c r="AQ1519" s="26">
        <v>44362</v>
      </c>
      <c r="AR1519" s="24"/>
      <c r="AS1519" s="24"/>
      <c r="AT1519" s="24">
        <v>44364</v>
      </c>
      <c r="AU1519" s="418">
        <f t="shared" si="86"/>
        <v>6</v>
      </c>
      <c r="AV1519" s="418">
        <f t="shared" si="87"/>
        <v>2021</v>
      </c>
      <c r="AW1519" s="24"/>
      <c r="AX1519" s="24"/>
      <c r="AY1519" s="24" t="s">
        <v>5831</v>
      </c>
      <c r="AZ1519" s="24" t="s">
        <v>62</v>
      </c>
      <c r="BA1519" s="24"/>
      <c r="BB1519" s="24" t="s">
        <v>3264</v>
      </c>
      <c r="BC1519" s="135" t="s">
        <v>5839</v>
      </c>
      <c r="BD1519" s="24">
        <v>44317</v>
      </c>
      <c r="BE1519" s="24" t="s">
        <v>5832</v>
      </c>
      <c r="BF1519" s="24" t="s">
        <v>5832</v>
      </c>
      <c r="BG1519" s="135" t="s">
        <v>52</v>
      </c>
      <c r="BH1519" s="135"/>
      <c r="BI1519" s="314" t="s">
        <v>117</v>
      </c>
      <c r="BJ1519" s="314" t="s">
        <v>148</v>
      </c>
      <c r="BK1519" s="24"/>
      <c r="BL1519" s="24"/>
      <c r="BM1519" s="24"/>
      <c r="BN1519" s="24"/>
      <c r="BO1519" s="24"/>
      <c r="BP1519" s="24"/>
      <c r="BQ1519" s="24"/>
      <c r="BR1519" s="24"/>
      <c r="BS1519" s="24"/>
      <c r="BT1519" s="24"/>
      <c r="BU1519" s="24"/>
      <c r="BV1519" s="132" t="e">
        <f>IF(#REF!="COMPLETO","OK","PENDIENTES")</f>
        <v>#REF!</v>
      </c>
      <c r="BW1519" s="132"/>
      <c r="BX1519" s="132"/>
      <c r="BY1519" s="132"/>
      <c r="BZ1519" s="132"/>
      <c r="CA1519" s="132"/>
      <c r="CB1519" s="132"/>
      <c r="CC1519" s="269"/>
      <c r="CG1519" s="24" t="s">
        <v>105</v>
      </c>
      <c r="CH1519" s="24"/>
      <c r="CI1519" s="24"/>
      <c r="CJ1519" s="24"/>
    </row>
    <row r="1520" spans="1:88" ht="15" customHeight="1">
      <c r="A1520" s="18">
        <v>2021</v>
      </c>
      <c r="B1520" s="18" t="str">
        <f>+INDEX(BDD!F:F,MATCH(P1520,BDD!D:D,0))&amp;"-"&amp;INDEX(BDD!E:E,MATCH(P1520,BDD!D:D,0))</f>
        <v>T-S</v>
      </c>
      <c r="C1520" s="125" t="s">
        <v>484</v>
      </c>
      <c r="D1520" s="150" t="s">
        <v>77</v>
      </c>
      <c r="E1520" s="132"/>
      <c r="F1520" s="24"/>
      <c r="G1520" s="346">
        <v>8000001414</v>
      </c>
      <c r="H1520" s="125" t="s">
        <v>5840</v>
      </c>
      <c r="I1520" s="329"/>
      <c r="J1520" s="346">
        <v>8000001414</v>
      </c>
      <c r="K1520" s="24"/>
      <c r="L1520" s="24">
        <v>44424</v>
      </c>
      <c r="M1520" s="24">
        <v>44425</v>
      </c>
      <c r="N1520" s="340" t="s">
        <v>486</v>
      </c>
      <c r="O1520" s="334">
        <v>208057</v>
      </c>
      <c r="P1520" s="25" t="s">
        <v>391</v>
      </c>
      <c r="Q1520" s="127" t="s">
        <v>303</v>
      </c>
      <c r="R1520" s="232" t="s">
        <v>5841</v>
      </c>
      <c r="S1520" s="89">
        <v>44301</v>
      </c>
      <c r="T1520" s="36" t="s">
        <v>19</v>
      </c>
      <c r="U1520" s="125"/>
      <c r="V1520" s="147" t="s">
        <v>5842</v>
      </c>
      <c r="W1520" s="129"/>
      <c r="X1520" s="88">
        <v>44406</v>
      </c>
      <c r="Y1520" s="130" t="s">
        <v>20</v>
      </c>
      <c r="Z1520" s="133" t="s">
        <v>60</v>
      </c>
      <c r="AA1520" s="133"/>
      <c r="AB1520" s="241">
        <v>264</v>
      </c>
      <c r="AC1520" s="134">
        <v>550</v>
      </c>
      <c r="AD1520" s="134"/>
      <c r="AE1520" s="403">
        <f t="shared" si="85"/>
        <v>145200</v>
      </c>
      <c r="AF1520" s="132">
        <v>12</v>
      </c>
      <c r="AG1520" s="130" t="s">
        <v>5</v>
      </c>
      <c r="AH1520" s="130" t="s">
        <v>7027</v>
      </c>
      <c r="AI1520" s="130" t="s">
        <v>47</v>
      </c>
      <c r="AJ1520" s="130"/>
      <c r="AK1520" s="130"/>
      <c r="AL1520" s="135" t="s">
        <v>5484</v>
      </c>
      <c r="AM1520" s="314"/>
      <c r="AN1520" s="26"/>
      <c r="AO1520" s="26">
        <v>44386</v>
      </c>
      <c r="AP1520" s="26"/>
      <c r="AQ1520" s="26">
        <v>44411</v>
      </c>
      <c r="AR1520" s="24"/>
      <c r="AS1520" s="24"/>
      <c r="AT1520" s="24">
        <v>44422</v>
      </c>
      <c r="AU1520" s="418">
        <f t="shared" si="86"/>
        <v>8</v>
      </c>
      <c r="AV1520" s="418">
        <f t="shared" si="87"/>
        <v>2021</v>
      </c>
      <c r="AW1520" s="24"/>
      <c r="AX1520" s="24"/>
      <c r="AY1520" s="24" t="s">
        <v>3415</v>
      </c>
      <c r="AZ1520" s="24" t="s">
        <v>62</v>
      </c>
      <c r="BA1520" s="24"/>
      <c r="BB1520" s="24" t="s">
        <v>3264</v>
      </c>
      <c r="BC1520" s="135" t="s">
        <v>5843</v>
      </c>
      <c r="BD1520" s="24">
        <v>44386</v>
      </c>
      <c r="BE1520" s="24" t="s">
        <v>1806</v>
      </c>
      <c r="BF1520" s="24" t="s">
        <v>1938</v>
      </c>
      <c r="BG1520" s="135" t="s">
        <v>29</v>
      </c>
      <c r="BH1520" s="135"/>
      <c r="BI1520" s="314" t="s">
        <v>124</v>
      </c>
      <c r="BJ1520" s="314" t="s">
        <v>148</v>
      </c>
      <c r="BK1520" s="24"/>
      <c r="BL1520" s="24"/>
      <c r="BM1520" s="24"/>
      <c r="BN1520" s="24"/>
      <c r="BO1520" s="24">
        <v>44430</v>
      </c>
      <c r="BP1520" s="24"/>
      <c r="BQ1520" s="24"/>
      <c r="BR1520" s="24"/>
      <c r="BS1520" s="24"/>
      <c r="BT1520" s="24"/>
      <c r="BU1520" s="24"/>
      <c r="BV1520" s="132" t="e">
        <f>IF(#REF!="COMPLETO","OK","PENDIENTES")</f>
        <v>#REF!</v>
      </c>
      <c r="BW1520" s="132"/>
      <c r="BX1520" s="132"/>
      <c r="BY1520" s="132"/>
      <c r="BZ1520" s="132"/>
      <c r="CA1520" s="132"/>
      <c r="CB1520" s="132"/>
      <c r="CC1520" s="269"/>
      <c r="CG1520" s="24" t="s">
        <v>105</v>
      </c>
      <c r="CH1520" s="24"/>
      <c r="CI1520" s="24"/>
      <c r="CJ1520" s="24"/>
    </row>
    <row r="1521" spans="1:88" ht="14.65" customHeight="1">
      <c r="A1521" s="18">
        <v>2021</v>
      </c>
      <c r="B1521" s="18" t="str">
        <f>+INDEX(BDD!F:F,MATCH(P1521,BDD!D:D,0))&amp;"-"&amp;INDEX(BDD!E:E,MATCH(P1521,BDD!D:D,0))</f>
        <v>O-S</v>
      </c>
      <c r="C1521" s="125" t="s">
        <v>484</v>
      </c>
      <c r="D1521" s="150" t="s">
        <v>77</v>
      </c>
      <c r="E1521" s="132"/>
      <c r="F1521" s="24"/>
      <c r="G1521" s="346">
        <v>8000001411</v>
      </c>
      <c r="H1521" s="125" t="s">
        <v>5844</v>
      </c>
      <c r="I1521" s="329"/>
      <c r="J1521" s="346">
        <v>8000001411</v>
      </c>
      <c r="K1521" s="24"/>
      <c r="L1521" s="24"/>
      <c r="M1521" s="24"/>
      <c r="N1521" s="340" t="s">
        <v>486</v>
      </c>
      <c r="O1521" s="334">
        <v>204749</v>
      </c>
      <c r="P1521" s="25" t="s">
        <v>390</v>
      </c>
      <c r="Q1521" s="127" t="s">
        <v>303</v>
      </c>
      <c r="R1521" s="232">
        <v>4600018459</v>
      </c>
      <c r="S1521" s="89" t="s">
        <v>5156</v>
      </c>
      <c r="T1521" s="36" t="s">
        <v>19</v>
      </c>
      <c r="U1521" s="125"/>
      <c r="V1521" s="147" t="s">
        <v>5845</v>
      </c>
      <c r="W1521" s="129"/>
      <c r="X1521" s="88">
        <v>44379</v>
      </c>
      <c r="Y1521" s="130" t="s">
        <v>20</v>
      </c>
      <c r="Z1521" s="133" t="s">
        <v>60</v>
      </c>
      <c r="AA1521" s="133"/>
      <c r="AB1521" s="241">
        <v>66</v>
      </c>
      <c r="AC1521" s="134">
        <v>567</v>
      </c>
      <c r="AD1521" s="134"/>
      <c r="AE1521" s="403">
        <f t="shared" si="85"/>
        <v>37422</v>
      </c>
      <c r="AF1521" s="132">
        <v>3</v>
      </c>
      <c r="AG1521" s="130" t="s">
        <v>5</v>
      </c>
      <c r="AH1521" s="130"/>
      <c r="AI1521" s="130" t="s">
        <v>47</v>
      </c>
      <c r="AJ1521" s="130"/>
      <c r="AK1521" s="130"/>
      <c r="AL1521" s="135" t="s">
        <v>5484</v>
      </c>
      <c r="AM1521" s="314"/>
      <c r="AN1521" s="26"/>
      <c r="AO1521" s="26"/>
      <c r="AP1521" s="26"/>
      <c r="AQ1521" s="26">
        <v>44379</v>
      </c>
      <c r="AR1521" s="24"/>
      <c r="AS1521" s="24"/>
      <c r="AT1521" s="24">
        <v>44389</v>
      </c>
      <c r="AU1521" s="418">
        <f t="shared" si="86"/>
        <v>7</v>
      </c>
      <c r="AV1521" s="418">
        <f t="shared" si="87"/>
        <v>2021</v>
      </c>
      <c r="AW1521" s="24"/>
      <c r="AX1521" s="24"/>
      <c r="AY1521" s="24" t="s">
        <v>3415</v>
      </c>
      <c r="AZ1521" s="24" t="s">
        <v>37</v>
      </c>
      <c r="BA1521" s="24"/>
      <c r="BB1521" s="24" t="s">
        <v>3291</v>
      </c>
      <c r="BC1521" s="135" t="s">
        <v>5846</v>
      </c>
      <c r="BD1521" s="24">
        <v>44371</v>
      </c>
      <c r="BE1521" s="24" t="s">
        <v>870</v>
      </c>
      <c r="BF1521" s="24" t="s">
        <v>870</v>
      </c>
      <c r="BG1521" s="135" t="s">
        <v>64</v>
      </c>
      <c r="BH1521" s="135"/>
      <c r="BI1521" s="314" t="s">
        <v>124</v>
      </c>
      <c r="BJ1521" s="314" t="s">
        <v>138</v>
      </c>
      <c r="BK1521" s="24"/>
      <c r="BL1521" s="24"/>
      <c r="BM1521" s="24"/>
      <c r="BN1521" s="24"/>
      <c r="BO1521" s="24">
        <v>44399</v>
      </c>
      <c r="BP1521" s="24"/>
      <c r="BQ1521" s="24"/>
      <c r="BR1521" s="24"/>
      <c r="BS1521" s="24"/>
      <c r="BT1521" s="24"/>
      <c r="BU1521" s="24"/>
      <c r="BV1521" s="132" t="e">
        <f>IF(#REF!="COMPLETO","OK","PENDIENTES")</f>
        <v>#REF!</v>
      </c>
      <c r="BW1521" s="132"/>
      <c r="BX1521" s="132"/>
      <c r="BY1521" s="132"/>
      <c r="BZ1521" s="132"/>
      <c r="CA1521" s="132"/>
      <c r="CB1521" s="132"/>
      <c r="CC1521" s="269" t="s">
        <v>5847</v>
      </c>
      <c r="CG1521" s="24" t="s">
        <v>105</v>
      </c>
      <c r="CH1521" s="24"/>
      <c r="CI1521" s="24"/>
      <c r="CJ1521" s="24"/>
    </row>
    <row r="1522" spans="1:88" ht="15" customHeight="1">
      <c r="A1522" s="18">
        <v>2021</v>
      </c>
      <c r="B1522" s="18" t="str">
        <f>+INDEX(BDD!F:F,MATCH(P1522,BDD!D:D,0))&amp;"-"&amp;INDEX(BDD!E:E,MATCH(P1522,BDD!D:D,0))</f>
        <v>O-S</v>
      </c>
      <c r="C1522" s="125" t="s">
        <v>484</v>
      </c>
      <c r="D1522" s="150" t="s">
        <v>77</v>
      </c>
      <c r="E1522" s="132"/>
      <c r="F1522" s="24"/>
      <c r="G1522" s="346">
        <v>8000001426</v>
      </c>
      <c r="H1522" s="125" t="s">
        <v>5848</v>
      </c>
      <c r="I1522" s="329"/>
      <c r="J1522" s="346">
        <v>8000001426</v>
      </c>
      <c r="K1522" s="24"/>
      <c r="L1522" s="24"/>
      <c r="M1522" s="24"/>
      <c r="N1522" s="340" t="s">
        <v>486</v>
      </c>
      <c r="O1522" s="334">
        <v>204749</v>
      </c>
      <c r="P1522" s="25" t="s">
        <v>390</v>
      </c>
      <c r="Q1522" s="127" t="s">
        <v>303</v>
      </c>
      <c r="R1522" s="232">
        <v>4600018459</v>
      </c>
      <c r="S1522" s="89" t="s">
        <v>5156</v>
      </c>
      <c r="T1522" s="36" t="s">
        <v>19</v>
      </c>
      <c r="U1522" s="125"/>
      <c r="V1522" s="147" t="s">
        <v>5845</v>
      </c>
      <c r="W1522" s="129"/>
      <c r="X1522" s="88">
        <v>44379</v>
      </c>
      <c r="Y1522" s="130" t="s">
        <v>20</v>
      </c>
      <c r="Z1522" s="133" t="s">
        <v>60</v>
      </c>
      <c r="AA1522" s="133"/>
      <c r="AB1522" s="241">
        <v>88</v>
      </c>
      <c r="AC1522" s="134">
        <v>567</v>
      </c>
      <c r="AD1522" s="134"/>
      <c r="AE1522" s="403">
        <f t="shared" si="85"/>
        <v>49896</v>
      </c>
      <c r="AF1522" s="132">
        <v>4</v>
      </c>
      <c r="AG1522" s="130" t="s">
        <v>5</v>
      </c>
      <c r="AH1522" s="130"/>
      <c r="AI1522" s="130" t="s">
        <v>47</v>
      </c>
      <c r="AJ1522" s="130"/>
      <c r="AK1522" s="130"/>
      <c r="AL1522" s="135" t="s">
        <v>5484</v>
      </c>
      <c r="AM1522" s="314"/>
      <c r="AN1522" s="26"/>
      <c r="AO1522" s="26"/>
      <c r="AP1522" s="26"/>
      <c r="AQ1522" s="26">
        <v>44385</v>
      </c>
      <c r="AR1522" s="24"/>
      <c r="AS1522" s="24"/>
      <c r="AT1522" s="24">
        <v>44396</v>
      </c>
      <c r="AU1522" s="418">
        <f t="shared" si="86"/>
        <v>7</v>
      </c>
      <c r="AV1522" s="418">
        <f t="shared" si="87"/>
        <v>2021</v>
      </c>
      <c r="AW1522" s="24"/>
      <c r="AX1522" s="24"/>
      <c r="AY1522" s="24" t="s">
        <v>3415</v>
      </c>
      <c r="AZ1522" s="24" t="s">
        <v>37</v>
      </c>
      <c r="BA1522" s="24"/>
      <c r="BB1522" s="24" t="s">
        <v>3291</v>
      </c>
      <c r="BC1522" s="135" t="s">
        <v>5849</v>
      </c>
      <c r="BD1522" s="24">
        <v>44378</v>
      </c>
      <c r="BE1522" s="24" t="s">
        <v>5802</v>
      </c>
      <c r="BF1522" s="24" t="s">
        <v>5802</v>
      </c>
      <c r="BG1522" s="135" t="s">
        <v>64</v>
      </c>
      <c r="BH1522" s="135"/>
      <c r="BI1522" s="314" t="s">
        <v>124</v>
      </c>
      <c r="BJ1522" s="314" t="s">
        <v>138</v>
      </c>
      <c r="BK1522" s="24"/>
      <c r="BL1522" s="24"/>
      <c r="BM1522" s="24"/>
      <c r="BN1522" s="24"/>
      <c r="BO1522" s="24">
        <v>44407</v>
      </c>
      <c r="BP1522" s="24"/>
      <c r="BQ1522" s="24"/>
      <c r="BR1522" s="24"/>
      <c r="BS1522" s="24"/>
      <c r="BT1522" s="24"/>
      <c r="BU1522" s="24"/>
      <c r="BV1522" s="132" t="e">
        <f>IF(#REF!="COMPLETO","OK","PENDIENTES")</f>
        <v>#REF!</v>
      </c>
      <c r="BW1522" s="132"/>
      <c r="BX1522" s="132"/>
      <c r="BY1522" s="132"/>
      <c r="BZ1522" s="132"/>
      <c r="CA1522" s="132"/>
      <c r="CB1522" s="132"/>
      <c r="CC1522" s="269"/>
      <c r="CG1522" s="24" t="s">
        <v>105</v>
      </c>
      <c r="CH1522" s="24"/>
      <c r="CI1522" s="24"/>
      <c r="CJ1522" s="24"/>
    </row>
    <row r="1523" spans="1:88" ht="15" customHeight="1">
      <c r="A1523" s="18">
        <v>2021</v>
      </c>
      <c r="B1523" s="18" t="str">
        <f>+INDEX(BDD!F:F,MATCH(P1523,BDD!D:D,0))&amp;"-"&amp;INDEX(BDD!E:E,MATCH(P1523,BDD!D:D,0))</f>
        <v>O-S</v>
      </c>
      <c r="C1523" s="125" t="s">
        <v>484</v>
      </c>
      <c r="D1523" s="150" t="s">
        <v>77</v>
      </c>
      <c r="E1523" s="132"/>
      <c r="F1523" s="24"/>
      <c r="G1523" s="346">
        <v>8000001396</v>
      </c>
      <c r="H1523" s="125" t="s">
        <v>5850</v>
      </c>
      <c r="I1523" s="329"/>
      <c r="J1523" s="346">
        <v>8000001396</v>
      </c>
      <c r="K1523" s="24"/>
      <c r="L1523" s="24"/>
      <c r="M1523" s="24"/>
      <c r="N1523" s="340" t="s">
        <v>486</v>
      </c>
      <c r="O1523" s="334">
        <v>204749</v>
      </c>
      <c r="P1523" s="25" t="s">
        <v>390</v>
      </c>
      <c r="Q1523" s="127" t="s">
        <v>303</v>
      </c>
      <c r="R1523" s="232" t="s">
        <v>5851</v>
      </c>
      <c r="S1523" s="89" t="s">
        <v>5156</v>
      </c>
      <c r="T1523" s="36" t="s">
        <v>19</v>
      </c>
      <c r="U1523" s="125"/>
      <c r="V1523" s="147" t="s">
        <v>5852</v>
      </c>
      <c r="W1523" s="129"/>
      <c r="X1523" s="88">
        <v>44382</v>
      </c>
      <c r="Y1523" s="130" t="s">
        <v>20</v>
      </c>
      <c r="Z1523" s="133" t="s">
        <v>60</v>
      </c>
      <c r="AA1523" s="133"/>
      <c r="AB1523" s="241">
        <v>154</v>
      </c>
      <c r="AC1523" s="134">
        <v>567</v>
      </c>
      <c r="AD1523" s="134"/>
      <c r="AE1523" s="403">
        <f t="shared" si="85"/>
        <v>87318</v>
      </c>
      <c r="AF1523" s="132">
        <v>7</v>
      </c>
      <c r="AG1523" s="130" t="s">
        <v>5</v>
      </c>
      <c r="AH1523" s="130"/>
      <c r="AI1523" s="130" t="s">
        <v>47</v>
      </c>
      <c r="AJ1523" s="130"/>
      <c r="AK1523" s="130"/>
      <c r="AL1523" s="135" t="s">
        <v>5484</v>
      </c>
      <c r="AM1523" s="314"/>
      <c r="AN1523" s="26"/>
      <c r="AO1523" s="26"/>
      <c r="AP1523" s="26"/>
      <c r="AQ1523" s="26">
        <v>44384</v>
      </c>
      <c r="AR1523" s="24"/>
      <c r="AS1523" s="24"/>
      <c r="AT1523" s="24">
        <v>44386</v>
      </c>
      <c r="AU1523" s="418">
        <f t="shared" si="86"/>
        <v>7</v>
      </c>
      <c r="AV1523" s="418">
        <f t="shared" si="87"/>
        <v>2021</v>
      </c>
      <c r="AW1523" s="24"/>
      <c r="AX1523" s="24"/>
      <c r="AY1523" s="24" t="s">
        <v>3415</v>
      </c>
      <c r="AZ1523" s="24" t="s">
        <v>9</v>
      </c>
      <c r="BA1523" s="24"/>
      <c r="BB1523" s="24" t="s">
        <v>3264</v>
      </c>
      <c r="BC1523" s="135" t="s">
        <v>5853</v>
      </c>
      <c r="BD1523" s="24">
        <v>44379</v>
      </c>
      <c r="BE1523" s="24" t="s">
        <v>5130</v>
      </c>
      <c r="BF1523" s="24" t="s">
        <v>5130</v>
      </c>
      <c r="BG1523" s="135" t="s">
        <v>64</v>
      </c>
      <c r="BH1523" s="135"/>
      <c r="BI1523" s="314" t="s">
        <v>124</v>
      </c>
      <c r="BJ1523" s="314" t="s">
        <v>138</v>
      </c>
      <c r="BK1523" s="24"/>
      <c r="BL1523" s="24"/>
      <c r="BM1523" s="24"/>
      <c r="BN1523" s="24"/>
      <c r="BO1523" s="24">
        <v>44404</v>
      </c>
      <c r="BP1523" s="24"/>
      <c r="BQ1523" s="24"/>
      <c r="BR1523" s="24"/>
      <c r="BS1523" s="24"/>
      <c r="BT1523" s="24"/>
      <c r="BU1523" s="24"/>
      <c r="BV1523" s="132" t="e">
        <f>IF(#REF!="COMPLETO","OK","PENDIENTES")</f>
        <v>#REF!</v>
      </c>
      <c r="BW1523" s="132"/>
      <c r="BX1523" s="132"/>
      <c r="BY1523" s="132"/>
      <c r="BZ1523" s="132"/>
      <c r="CA1523" s="132"/>
      <c r="CB1523" s="132"/>
      <c r="CC1523" s="269" t="s">
        <v>5854</v>
      </c>
      <c r="CG1523" s="24" t="s">
        <v>105</v>
      </c>
      <c r="CH1523" s="24"/>
      <c r="CI1523" s="24"/>
      <c r="CJ1523" s="24"/>
    </row>
    <row r="1524" spans="1:88" ht="15" customHeight="1">
      <c r="A1524" s="18">
        <v>2021</v>
      </c>
      <c r="B1524" s="18" t="str">
        <f>+INDEX(BDD!F:F,MATCH(P1524,BDD!D:D,0))&amp;"-"&amp;INDEX(BDD!E:E,MATCH(P1524,BDD!D:D,0))</f>
        <v>O-S</v>
      </c>
      <c r="C1524" s="125" t="s">
        <v>484</v>
      </c>
      <c r="D1524" s="150" t="s">
        <v>77</v>
      </c>
      <c r="E1524" s="132"/>
      <c r="F1524" s="24"/>
      <c r="G1524" s="346">
        <v>8000001456</v>
      </c>
      <c r="H1524" s="125" t="s">
        <v>5855</v>
      </c>
      <c r="I1524" s="329"/>
      <c r="J1524" s="346">
        <v>8000001456</v>
      </c>
      <c r="K1524" s="24"/>
      <c r="L1524" s="24">
        <v>44421</v>
      </c>
      <c r="M1524" s="24">
        <v>44424</v>
      </c>
      <c r="N1524" s="340" t="s">
        <v>486</v>
      </c>
      <c r="O1524" s="334">
        <v>204750</v>
      </c>
      <c r="P1524" s="25" t="s">
        <v>390</v>
      </c>
      <c r="Q1524" s="127" t="s">
        <v>303</v>
      </c>
      <c r="R1524" s="232" t="s">
        <v>5856</v>
      </c>
      <c r="S1524" s="89">
        <v>44301</v>
      </c>
      <c r="T1524" s="36" t="s">
        <v>19</v>
      </c>
      <c r="U1524" s="125"/>
      <c r="V1524" s="147" t="s">
        <v>5857</v>
      </c>
      <c r="W1524" s="129"/>
      <c r="X1524" s="88">
        <v>44402</v>
      </c>
      <c r="Y1524" s="130" t="s">
        <v>20</v>
      </c>
      <c r="Z1524" s="133" t="s">
        <v>60</v>
      </c>
      <c r="AA1524" s="133"/>
      <c r="AB1524" s="241">
        <v>704</v>
      </c>
      <c r="AC1524" s="134">
        <v>575</v>
      </c>
      <c r="AD1524" s="134"/>
      <c r="AE1524" s="403">
        <f t="shared" si="85"/>
        <v>404800</v>
      </c>
      <c r="AF1524" s="132">
        <v>32</v>
      </c>
      <c r="AG1524" s="130" t="s">
        <v>5</v>
      </c>
      <c r="AH1524" s="130"/>
      <c r="AI1524" s="130" t="s">
        <v>47</v>
      </c>
      <c r="AJ1524" s="130"/>
      <c r="AK1524" s="130"/>
      <c r="AL1524" s="135" t="s">
        <v>5484</v>
      </c>
      <c r="AM1524" s="314"/>
      <c r="AN1524" s="26"/>
      <c r="AO1524" s="26">
        <v>44386</v>
      </c>
      <c r="AP1524" s="26"/>
      <c r="AQ1524" s="26">
        <v>44411</v>
      </c>
      <c r="AR1524" s="24"/>
      <c r="AS1524" s="24"/>
      <c r="AT1524" s="24">
        <v>44420</v>
      </c>
      <c r="AU1524" s="418">
        <f t="shared" si="86"/>
        <v>8</v>
      </c>
      <c r="AV1524" s="418">
        <f t="shared" si="87"/>
        <v>2021</v>
      </c>
      <c r="AW1524" s="24"/>
      <c r="AX1524" s="24"/>
      <c r="AY1524" s="24" t="s">
        <v>3415</v>
      </c>
      <c r="AZ1524" s="24" t="s">
        <v>62</v>
      </c>
      <c r="BA1524" s="24"/>
      <c r="BB1524" s="24" t="s">
        <v>3264</v>
      </c>
      <c r="BC1524" s="135" t="s">
        <v>5858</v>
      </c>
      <c r="BD1524" s="24">
        <v>44386</v>
      </c>
      <c r="BE1524" s="24" t="s">
        <v>1806</v>
      </c>
      <c r="BF1524" s="24" t="s">
        <v>1938</v>
      </c>
      <c r="BG1524" s="135" t="s">
        <v>29</v>
      </c>
      <c r="BH1524" s="135"/>
      <c r="BI1524" s="314" t="s">
        <v>124</v>
      </c>
      <c r="BJ1524" s="314" t="s">
        <v>148</v>
      </c>
      <c r="BK1524" s="24"/>
      <c r="BL1524" s="24"/>
      <c r="BM1524" s="24"/>
      <c r="BN1524" s="24"/>
      <c r="BO1524" s="24">
        <v>44430</v>
      </c>
      <c r="BP1524" s="24"/>
      <c r="BQ1524" s="24"/>
      <c r="BR1524" s="24"/>
      <c r="BS1524" s="24"/>
      <c r="BT1524" s="24"/>
      <c r="BU1524" s="24"/>
      <c r="BV1524" s="132" t="e">
        <f>IF(#REF!="COMPLETO","OK","PENDIENTES")</f>
        <v>#REF!</v>
      </c>
      <c r="BW1524" s="132"/>
      <c r="BX1524" s="132"/>
      <c r="BY1524" s="132"/>
      <c r="BZ1524" s="132"/>
      <c r="CA1524" s="132"/>
      <c r="CB1524" s="132"/>
      <c r="CC1524" s="269"/>
      <c r="CG1524" s="24" t="s">
        <v>105</v>
      </c>
      <c r="CH1524" s="24"/>
      <c r="CI1524" s="24"/>
      <c r="CJ1524" s="24"/>
    </row>
    <row r="1525" spans="1:88" ht="15" customHeight="1">
      <c r="A1525" s="18">
        <v>2021</v>
      </c>
      <c r="B1525" s="18" t="str">
        <f>+INDEX(BDD!F:F,MATCH(P1525,BDD!D:D,0))&amp;"-"&amp;INDEX(BDD!E:E,MATCH(P1525,BDD!D:D,0))</f>
        <v>O-S</v>
      </c>
      <c r="C1525" s="125" t="s">
        <v>484</v>
      </c>
      <c r="D1525" s="150" t="s">
        <v>77</v>
      </c>
      <c r="E1525" s="132"/>
      <c r="F1525" s="24"/>
      <c r="G1525" s="346">
        <v>8000001397</v>
      </c>
      <c r="H1525" s="125" t="s">
        <v>5859</v>
      </c>
      <c r="I1525" s="329"/>
      <c r="J1525" s="346">
        <v>8000001397</v>
      </c>
      <c r="K1525" s="24"/>
      <c r="L1525" s="24"/>
      <c r="M1525" s="24"/>
      <c r="N1525" s="340" t="s">
        <v>486</v>
      </c>
      <c r="O1525" s="334">
        <v>208058</v>
      </c>
      <c r="P1525" s="25" t="s">
        <v>392</v>
      </c>
      <c r="Q1525" s="127" t="s">
        <v>303</v>
      </c>
      <c r="R1525" s="232" t="s">
        <v>5860</v>
      </c>
      <c r="S1525" s="89" t="s">
        <v>5156</v>
      </c>
      <c r="T1525" s="36" t="s">
        <v>19</v>
      </c>
      <c r="U1525" s="125"/>
      <c r="V1525" s="147" t="s">
        <v>5861</v>
      </c>
      <c r="W1525" s="129"/>
      <c r="X1525" s="88">
        <v>44386</v>
      </c>
      <c r="Y1525" s="130" t="s">
        <v>20</v>
      </c>
      <c r="Z1525" s="133" t="s">
        <v>60</v>
      </c>
      <c r="AA1525" s="133"/>
      <c r="AB1525" s="241">
        <v>264</v>
      </c>
      <c r="AC1525" s="134">
        <v>551</v>
      </c>
      <c r="AD1525" s="134"/>
      <c r="AE1525" s="403">
        <f t="shared" si="85"/>
        <v>145464</v>
      </c>
      <c r="AF1525" s="132">
        <v>12</v>
      </c>
      <c r="AG1525" s="130" t="s">
        <v>5</v>
      </c>
      <c r="AH1525" s="130"/>
      <c r="AI1525" s="130" t="s">
        <v>47</v>
      </c>
      <c r="AJ1525" s="130"/>
      <c r="AK1525" s="130"/>
      <c r="AL1525" s="135" t="s">
        <v>5484</v>
      </c>
      <c r="AM1525" s="314"/>
      <c r="AN1525" s="26"/>
      <c r="AO1525" s="26"/>
      <c r="AP1525" s="26"/>
      <c r="AQ1525" s="26">
        <v>44385</v>
      </c>
      <c r="AR1525" s="24"/>
      <c r="AS1525" s="24"/>
      <c r="AT1525" s="24">
        <v>44397</v>
      </c>
      <c r="AU1525" s="418">
        <f t="shared" si="86"/>
        <v>7</v>
      </c>
      <c r="AV1525" s="418">
        <f t="shared" si="87"/>
        <v>2021</v>
      </c>
      <c r="AW1525" s="24"/>
      <c r="AX1525" s="24"/>
      <c r="AY1525" s="24" t="s">
        <v>3415</v>
      </c>
      <c r="AZ1525" s="24" t="s">
        <v>37</v>
      </c>
      <c r="BA1525" s="24"/>
      <c r="BB1525" s="24" t="s">
        <v>3593</v>
      </c>
      <c r="BC1525" s="135" t="s">
        <v>5862</v>
      </c>
      <c r="BD1525" s="24">
        <v>44378</v>
      </c>
      <c r="BE1525" s="24" t="s">
        <v>5802</v>
      </c>
      <c r="BF1525" s="24" t="s">
        <v>5802</v>
      </c>
      <c r="BG1525" s="135" t="s">
        <v>64</v>
      </c>
      <c r="BH1525" s="135"/>
      <c r="BI1525" s="314" t="s">
        <v>124</v>
      </c>
      <c r="BJ1525" s="314" t="s">
        <v>138</v>
      </c>
      <c r="BK1525" s="24"/>
      <c r="BL1525" s="24"/>
      <c r="BM1525" s="24"/>
      <c r="BN1525" s="24"/>
      <c r="BO1525" s="24">
        <v>44406</v>
      </c>
      <c r="BP1525" s="24"/>
      <c r="BQ1525" s="24"/>
      <c r="BR1525" s="24"/>
      <c r="BS1525" s="24"/>
      <c r="BT1525" s="24"/>
      <c r="BU1525" s="24"/>
      <c r="BV1525" s="132" t="e">
        <f>IF(#REF!="COMPLETO","OK","PENDIENTES")</f>
        <v>#REF!</v>
      </c>
      <c r="BW1525" s="132"/>
      <c r="BX1525" s="132"/>
      <c r="BY1525" s="132"/>
      <c r="BZ1525" s="132"/>
      <c r="CA1525" s="132"/>
      <c r="CB1525" s="132"/>
      <c r="CC1525" s="269"/>
      <c r="CG1525" s="24" t="s">
        <v>105</v>
      </c>
      <c r="CH1525" s="24"/>
      <c r="CI1525" s="24"/>
      <c r="CJ1525" s="24"/>
    </row>
    <row r="1526" spans="1:88" ht="15" customHeight="1">
      <c r="A1526" s="18">
        <v>2021</v>
      </c>
      <c r="B1526" s="18" t="str">
        <f>+INDEX(BDD!F:F,MATCH(P1526,BDD!D:D,0))&amp;"-"&amp;INDEX(BDD!E:E,MATCH(P1526,BDD!D:D,0))</f>
        <v>O-S</v>
      </c>
      <c r="C1526" s="125" t="s">
        <v>484</v>
      </c>
      <c r="D1526" s="150" t="s">
        <v>92</v>
      </c>
      <c r="E1526" s="132" t="s">
        <v>1622</v>
      </c>
      <c r="F1526" s="24"/>
      <c r="G1526" s="346"/>
      <c r="H1526" s="125" t="s">
        <v>5863</v>
      </c>
      <c r="I1526" s="330"/>
      <c r="J1526" s="346"/>
      <c r="K1526" s="24"/>
      <c r="L1526" s="24"/>
      <c r="M1526" s="24"/>
      <c r="N1526" s="340"/>
      <c r="O1526" s="334"/>
      <c r="P1526" s="25" t="s">
        <v>392</v>
      </c>
      <c r="Q1526" s="127" t="s">
        <v>303</v>
      </c>
      <c r="R1526" s="232"/>
      <c r="S1526" s="89"/>
      <c r="T1526" s="36"/>
      <c r="U1526" s="125"/>
      <c r="V1526" s="147"/>
      <c r="W1526" s="129"/>
      <c r="X1526" s="88"/>
      <c r="Y1526" s="130"/>
      <c r="Z1526" s="133"/>
      <c r="AA1526" s="133"/>
      <c r="AB1526" s="241"/>
      <c r="AC1526" s="134"/>
      <c r="AD1526" s="134"/>
      <c r="AE1526" s="403">
        <f t="shared" si="85"/>
        <v>0</v>
      </c>
      <c r="AF1526" s="132"/>
      <c r="AG1526" s="130"/>
      <c r="AH1526" s="130"/>
      <c r="AI1526" s="130"/>
      <c r="AJ1526" s="130"/>
      <c r="AK1526" s="130"/>
      <c r="AL1526" s="135"/>
      <c r="AM1526" s="314"/>
      <c r="AN1526" s="26"/>
      <c r="AO1526" s="26"/>
      <c r="AP1526" s="26"/>
      <c r="AQ1526" s="26"/>
      <c r="AR1526" s="24"/>
      <c r="AS1526" s="24"/>
      <c r="AT1526" s="24"/>
      <c r="AU1526" s="418">
        <f t="shared" si="86"/>
        <v>1</v>
      </c>
      <c r="AV1526" s="418">
        <f t="shared" si="87"/>
        <v>1900</v>
      </c>
      <c r="AW1526" s="24"/>
      <c r="AX1526" s="24"/>
      <c r="AY1526" s="24"/>
      <c r="AZ1526" s="24"/>
      <c r="BA1526" s="24"/>
      <c r="BB1526" s="24"/>
      <c r="BC1526" s="135"/>
      <c r="BD1526" s="24"/>
      <c r="BE1526" s="24"/>
      <c r="BF1526" s="24"/>
      <c r="BG1526" s="135"/>
      <c r="BH1526" s="135"/>
      <c r="BI1526" s="314"/>
      <c r="BJ1526" s="314"/>
      <c r="BK1526" s="24"/>
      <c r="BL1526" s="24"/>
      <c r="BM1526" s="24"/>
      <c r="BN1526" s="24"/>
      <c r="BO1526" s="24"/>
      <c r="BP1526" s="24"/>
      <c r="BQ1526" s="24"/>
      <c r="BR1526" s="24"/>
      <c r="BS1526" s="24"/>
      <c r="BT1526" s="24"/>
      <c r="BU1526" s="24"/>
      <c r="BV1526" s="132"/>
      <c r="BW1526" s="132"/>
      <c r="BX1526" s="132"/>
      <c r="BY1526" s="132"/>
      <c r="BZ1526" s="132"/>
      <c r="CA1526" s="132"/>
      <c r="CB1526" s="132"/>
      <c r="CC1526" s="362"/>
      <c r="CD1526" s="22"/>
      <c r="CE1526" s="22"/>
      <c r="CF1526" s="22"/>
      <c r="CG1526" s="24"/>
      <c r="CH1526" s="24"/>
      <c r="CI1526" s="24"/>
      <c r="CJ1526" s="24"/>
    </row>
    <row r="1527" spans="1:88" ht="15" customHeight="1">
      <c r="A1527" s="18">
        <v>2021</v>
      </c>
      <c r="B1527" s="18" t="str">
        <f>+INDEX(BDD!F:F,MATCH(P1527,BDD!D:D,0))&amp;"-"&amp;INDEX(BDD!E:E,MATCH(P1527,BDD!D:D,0))</f>
        <v>O-S</v>
      </c>
      <c r="C1527" s="125" t="s">
        <v>484</v>
      </c>
      <c r="D1527" s="150" t="s">
        <v>92</v>
      </c>
      <c r="E1527" s="132" t="s">
        <v>1622</v>
      </c>
      <c r="F1527" s="24"/>
      <c r="G1527" s="346"/>
      <c r="H1527" s="125" t="s">
        <v>5864</v>
      </c>
      <c r="I1527" s="330"/>
      <c r="J1527" s="346"/>
      <c r="K1527" s="24"/>
      <c r="L1527" s="24"/>
      <c r="M1527" s="24"/>
      <c r="N1527" s="340"/>
      <c r="O1527" s="334"/>
      <c r="P1527" s="25" t="s">
        <v>392</v>
      </c>
      <c r="Q1527" s="127" t="s">
        <v>303</v>
      </c>
      <c r="R1527" s="232"/>
      <c r="S1527" s="89"/>
      <c r="T1527" s="36"/>
      <c r="U1527" s="125"/>
      <c r="V1527" s="147"/>
      <c r="W1527" s="129"/>
      <c r="X1527" s="88"/>
      <c r="Y1527" s="130"/>
      <c r="Z1527" s="133"/>
      <c r="AA1527" s="133"/>
      <c r="AB1527" s="241"/>
      <c r="AC1527" s="134"/>
      <c r="AD1527" s="134"/>
      <c r="AE1527" s="403">
        <f t="shared" si="85"/>
        <v>0</v>
      </c>
      <c r="AF1527" s="132"/>
      <c r="AG1527" s="130"/>
      <c r="AH1527" s="130"/>
      <c r="AI1527" s="130"/>
      <c r="AJ1527" s="130"/>
      <c r="AK1527" s="130"/>
      <c r="AL1527" s="135"/>
      <c r="AM1527" s="314"/>
      <c r="AN1527" s="26"/>
      <c r="AO1527" s="26"/>
      <c r="AP1527" s="26"/>
      <c r="AQ1527" s="26"/>
      <c r="AR1527" s="24"/>
      <c r="AS1527" s="24"/>
      <c r="AT1527" s="24"/>
      <c r="AU1527" s="418">
        <f t="shared" si="86"/>
        <v>1</v>
      </c>
      <c r="AV1527" s="418">
        <f t="shared" si="87"/>
        <v>1900</v>
      </c>
      <c r="AW1527" s="24"/>
      <c r="AX1527" s="24"/>
      <c r="AY1527" s="24"/>
      <c r="AZ1527" s="24"/>
      <c r="BA1527" s="24"/>
      <c r="BB1527" s="24"/>
      <c r="BC1527" s="135"/>
      <c r="BD1527" s="24"/>
      <c r="BE1527" s="24"/>
      <c r="BF1527" s="24"/>
      <c r="BG1527" s="135"/>
      <c r="BH1527" s="135"/>
      <c r="BI1527" s="314"/>
      <c r="BJ1527" s="314"/>
      <c r="BK1527" s="24"/>
      <c r="BL1527" s="24"/>
      <c r="BM1527" s="24"/>
      <c r="BN1527" s="24"/>
      <c r="BO1527" s="24"/>
      <c r="BP1527" s="24"/>
      <c r="BQ1527" s="24"/>
      <c r="BR1527" s="24"/>
      <c r="BS1527" s="24"/>
      <c r="BT1527" s="24"/>
      <c r="BU1527" s="24"/>
      <c r="BV1527" s="132"/>
      <c r="BW1527" s="132"/>
      <c r="BX1527" s="132"/>
      <c r="BY1527" s="132"/>
      <c r="BZ1527" s="132"/>
      <c r="CA1527" s="132"/>
      <c r="CB1527" s="132"/>
      <c r="CC1527" s="362"/>
      <c r="CD1527" s="22"/>
      <c r="CE1527" s="22"/>
      <c r="CF1527" s="22"/>
      <c r="CG1527" s="24"/>
      <c r="CH1527" s="24"/>
      <c r="CI1527" s="24"/>
      <c r="CJ1527" s="24"/>
    </row>
    <row r="1528" spans="1:88" ht="15" customHeight="1">
      <c r="A1528" s="18">
        <v>2021</v>
      </c>
      <c r="B1528" s="18" t="str">
        <f>+INDEX(BDD!F:F,MATCH(P1528,BDD!D:D,0))&amp;"-"&amp;INDEX(BDD!E:E,MATCH(P1528,BDD!D:D,0))</f>
        <v>S-C</v>
      </c>
      <c r="C1528" s="125" t="s">
        <v>484</v>
      </c>
      <c r="D1528" s="150" t="s">
        <v>77</v>
      </c>
      <c r="E1528" s="132"/>
      <c r="F1528" s="24"/>
      <c r="G1528" s="346">
        <v>8000001463</v>
      </c>
      <c r="H1528" s="125" t="s">
        <v>5865</v>
      </c>
      <c r="I1528" s="329"/>
      <c r="J1528" s="346">
        <v>8000001463</v>
      </c>
      <c r="K1528" s="24"/>
      <c r="L1528" s="24">
        <v>44427</v>
      </c>
      <c r="M1528" s="24">
        <v>44428</v>
      </c>
      <c r="N1528" s="340" t="s">
        <v>486</v>
      </c>
      <c r="O1528" s="334">
        <v>207580</v>
      </c>
      <c r="P1528" s="25" t="s">
        <v>241</v>
      </c>
      <c r="Q1528" s="127" t="s">
        <v>297</v>
      </c>
      <c r="R1528" s="232" t="s">
        <v>5737</v>
      </c>
      <c r="S1528" s="89">
        <v>44343</v>
      </c>
      <c r="T1528" s="36" t="s">
        <v>19</v>
      </c>
      <c r="U1528" s="125"/>
      <c r="V1528" s="147" t="s">
        <v>5866</v>
      </c>
      <c r="W1528" s="129"/>
      <c r="X1528" s="88" t="s">
        <v>944</v>
      </c>
      <c r="Y1528" s="130" t="s">
        <v>20</v>
      </c>
      <c r="Z1528" s="133" t="s">
        <v>72</v>
      </c>
      <c r="AA1528" s="133"/>
      <c r="AB1528" s="241">
        <v>408</v>
      </c>
      <c r="AC1528" s="134">
        <v>658</v>
      </c>
      <c r="AD1528" s="134"/>
      <c r="AE1528" s="403">
        <f t="shared" si="85"/>
        <v>268464</v>
      </c>
      <c r="AF1528" s="132">
        <v>17</v>
      </c>
      <c r="AG1528" s="130" t="s">
        <v>5</v>
      </c>
      <c r="AH1528" s="130"/>
      <c r="AI1528" s="130" t="s">
        <v>34</v>
      </c>
      <c r="AJ1528" s="130"/>
      <c r="AK1528" s="130"/>
      <c r="AL1528" s="135" t="s">
        <v>5739</v>
      </c>
      <c r="AM1528" s="314"/>
      <c r="AN1528" s="26"/>
      <c r="AO1528" s="26">
        <v>44404</v>
      </c>
      <c r="AP1528" s="26"/>
      <c r="AQ1528" s="26">
        <v>44421</v>
      </c>
      <c r="AR1528" s="41"/>
      <c r="AS1528" s="41"/>
      <c r="AT1528" s="24">
        <v>44427</v>
      </c>
      <c r="AU1528" s="418">
        <f t="shared" si="86"/>
        <v>8</v>
      </c>
      <c r="AV1528" s="418">
        <f t="shared" si="87"/>
        <v>2021</v>
      </c>
      <c r="AW1528" s="24"/>
      <c r="AX1528" s="24"/>
      <c r="AY1528" s="24" t="s">
        <v>4881</v>
      </c>
      <c r="AZ1528" s="24" t="s">
        <v>37</v>
      </c>
      <c r="BA1528" s="24"/>
      <c r="BB1528" s="24" t="s">
        <v>3291</v>
      </c>
      <c r="BC1528" s="135" t="s">
        <v>5867</v>
      </c>
      <c r="BD1528" s="24">
        <v>44375</v>
      </c>
      <c r="BE1528" s="24" t="s">
        <v>5356</v>
      </c>
      <c r="BF1528" s="24" t="s">
        <v>3276</v>
      </c>
      <c r="BG1528" s="135" t="s">
        <v>65</v>
      </c>
      <c r="BH1528" s="135"/>
      <c r="BI1528" s="314" t="s">
        <v>124</v>
      </c>
      <c r="BJ1528" s="314" t="s">
        <v>143</v>
      </c>
      <c r="BK1528" s="24"/>
      <c r="BL1528" s="24"/>
      <c r="BM1528" s="24"/>
      <c r="BN1528" s="24"/>
      <c r="BO1528" s="41"/>
      <c r="BP1528" s="41"/>
      <c r="BQ1528" s="41"/>
      <c r="BR1528" s="24"/>
      <c r="BS1528" s="41"/>
      <c r="BT1528" s="41"/>
      <c r="BU1528" s="41"/>
      <c r="BV1528" s="132" t="e">
        <f>IF(#REF!="COMPLETO","OK","PENDIENTES")</f>
        <v>#REF!</v>
      </c>
      <c r="BW1528" s="132"/>
      <c r="BX1528" s="132"/>
      <c r="BY1528" s="132"/>
      <c r="BZ1528" s="132"/>
      <c r="CA1528" s="132"/>
      <c r="CB1528" s="132"/>
      <c r="CC1528" s="269"/>
      <c r="CG1528" s="24" t="s">
        <v>105</v>
      </c>
      <c r="CH1528" s="24"/>
      <c r="CI1528" s="24"/>
      <c r="CJ1528" s="24"/>
    </row>
    <row r="1529" spans="1:88" ht="15" customHeight="1">
      <c r="A1529" s="18">
        <v>2021</v>
      </c>
      <c r="B1529" s="18" t="str">
        <f>+INDEX(BDD!F:F,MATCH(P1529,BDD!D:D,0))&amp;"-"&amp;INDEX(BDD!E:E,MATCH(P1529,BDD!D:D,0))</f>
        <v>S-C</v>
      </c>
      <c r="C1529" s="125" t="s">
        <v>484</v>
      </c>
      <c r="D1529" s="150" t="s">
        <v>77</v>
      </c>
      <c r="E1529" s="132"/>
      <c r="F1529" s="24"/>
      <c r="G1529" s="346">
        <v>8000001551</v>
      </c>
      <c r="H1529" s="125" t="s">
        <v>5868</v>
      </c>
      <c r="I1529" s="329"/>
      <c r="J1529" s="346">
        <v>8000001551</v>
      </c>
      <c r="K1529" s="24"/>
      <c r="L1529" s="24">
        <v>44459</v>
      </c>
      <c r="M1529" s="24">
        <v>44460</v>
      </c>
      <c r="N1529" s="340" t="s">
        <v>486</v>
      </c>
      <c r="O1529" s="334">
        <v>207580</v>
      </c>
      <c r="P1529" s="25" t="s">
        <v>241</v>
      </c>
      <c r="Q1529" s="127" t="s">
        <v>297</v>
      </c>
      <c r="R1529" s="232" t="s">
        <v>5737</v>
      </c>
      <c r="S1529" s="89">
        <v>44343</v>
      </c>
      <c r="T1529" s="36" t="s">
        <v>19</v>
      </c>
      <c r="U1529" s="125"/>
      <c r="V1529" s="147" t="s">
        <v>5869</v>
      </c>
      <c r="W1529" s="129"/>
      <c r="X1529" s="88">
        <v>44424</v>
      </c>
      <c r="Y1529" s="130" t="s">
        <v>20</v>
      </c>
      <c r="Z1529" s="133" t="s">
        <v>72</v>
      </c>
      <c r="AA1529" s="133"/>
      <c r="AB1529" s="241">
        <v>216</v>
      </c>
      <c r="AC1529" s="134">
        <v>658</v>
      </c>
      <c r="AD1529" s="134"/>
      <c r="AE1529" s="403">
        <f t="shared" si="85"/>
        <v>142128</v>
      </c>
      <c r="AF1529" s="132">
        <v>9</v>
      </c>
      <c r="AG1529" s="130" t="s">
        <v>5</v>
      </c>
      <c r="AH1529" s="130"/>
      <c r="AI1529" s="130" t="s">
        <v>34</v>
      </c>
      <c r="AJ1529" s="130"/>
      <c r="AK1529" s="130"/>
      <c r="AL1529" s="135" t="s">
        <v>5739</v>
      </c>
      <c r="AM1529" s="314"/>
      <c r="AN1529" s="26">
        <f>BL1529</f>
        <v>0</v>
      </c>
      <c r="AO1529" s="26">
        <v>44409</v>
      </c>
      <c r="AP1529" s="26">
        <f>AQ1529</f>
        <v>44449</v>
      </c>
      <c r="AQ1529" s="26">
        <v>44449</v>
      </c>
      <c r="AR1529" s="24">
        <f>AP1529+4</f>
        <v>44453</v>
      </c>
      <c r="AS1529" s="24"/>
      <c r="AT1529" s="24">
        <v>44457</v>
      </c>
      <c r="AU1529" s="418">
        <f t="shared" si="86"/>
        <v>9</v>
      </c>
      <c r="AV1529" s="418">
        <f t="shared" si="87"/>
        <v>2021</v>
      </c>
      <c r="AW1529" s="24"/>
      <c r="AX1529" s="24"/>
      <c r="AY1529" s="24" t="s">
        <v>4881</v>
      </c>
      <c r="AZ1529" s="24" t="s">
        <v>37</v>
      </c>
      <c r="BA1529" s="24"/>
      <c r="BB1529" s="24" t="s">
        <v>3291</v>
      </c>
      <c r="BC1529" s="135" t="s">
        <v>5870</v>
      </c>
      <c r="BD1529" s="24">
        <v>44405</v>
      </c>
      <c r="BE1529" s="24" t="s">
        <v>774</v>
      </c>
      <c r="BF1529" s="24" t="s">
        <v>5802</v>
      </c>
      <c r="BG1529" s="135" t="s">
        <v>29</v>
      </c>
      <c r="BH1529" s="135"/>
      <c r="BI1529" s="314" t="s">
        <v>124</v>
      </c>
      <c r="BJ1529" s="314" t="s">
        <v>148</v>
      </c>
      <c r="BK1529" s="24"/>
      <c r="BL1529" s="24"/>
      <c r="BM1529" s="24"/>
      <c r="BN1529" s="24"/>
      <c r="BO1529" s="24"/>
      <c r="BP1529" s="24"/>
      <c r="BQ1529" s="24"/>
      <c r="BR1529" s="24"/>
      <c r="BS1529" s="24"/>
      <c r="BT1529" s="24"/>
      <c r="BU1529" s="24"/>
      <c r="BV1529" s="132" t="e">
        <f>IF(#REF!="COMPLETO","OK","PENDIENTES")</f>
        <v>#REF!</v>
      </c>
      <c r="BW1529" s="132"/>
      <c r="BX1529" s="132"/>
      <c r="BY1529" s="132"/>
      <c r="BZ1529" s="132"/>
      <c r="CA1529" s="132"/>
      <c r="CB1529" s="132"/>
      <c r="CC1529" s="269"/>
      <c r="CG1529" s="24" t="s">
        <v>105</v>
      </c>
      <c r="CH1529" s="24"/>
      <c r="CI1529" s="24"/>
      <c r="CJ1529" s="24"/>
    </row>
    <row r="1530" spans="1:88" ht="15" customHeight="1">
      <c r="A1530" s="18">
        <v>2021</v>
      </c>
      <c r="B1530" s="18" t="str">
        <f>+INDEX(BDD!F:F,MATCH(P1530,BDD!D:D,0))&amp;"-"&amp;INDEX(BDD!E:E,MATCH(P1530,BDD!D:D,0))</f>
        <v>G-C</v>
      </c>
      <c r="C1530" s="125" t="s">
        <v>484</v>
      </c>
      <c r="D1530" s="150" t="s">
        <v>77</v>
      </c>
      <c r="E1530" s="132"/>
      <c r="F1530" s="24"/>
      <c r="G1530" s="346">
        <v>8000001425</v>
      </c>
      <c r="H1530" s="125" t="s">
        <v>5871</v>
      </c>
      <c r="I1530" s="329"/>
      <c r="J1530" s="346">
        <v>8000001425</v>
      </c>
      <c r="K1530" s="24"/>
      <c r="L1530" s="24"/>
      <c r="M1530" s="24"/>
      <c r="N1530" s="340" t="s">
        <v>486</v>
      </c>
      <c r="O1530" s="334">
        <v>206573</v>
      </c>
      <c r="P1530" s="25" t="s">
        <v>226</v>
      </c>
      <c r="Q1530" s="127" t="s">
        <v>291</v>
      </c>
      <c r="R1530" s="232" t="s">
        <v>5872</v>
      </c>
      <c r="S1530" s="89">
        <v>44354</v>
      </c>
      <c r="T1530" s="36">
        <v>150</v>
      </c>
      <c r="U1530" s="125" t="s">
        <v>118</v>
      </c>
      <c r="V1530" s="147" t="s">
        <v>5873</v>
      </c>
      <c r="W1530" s="129"/>
      <c r="X1530" s="88">
        <f t="shared" ref="X1530:X1537" si="89">+BD1530+T1530</f>
        <v>44519</v>
      </c>
      <c r="Y1530" s="130" t="s">
        <v>20</v>
      </c>
      <c r="Z1530" s="133" t="s">
        <v>60</v>
      </c>
      <c r="AA1530" s="133"/>
      <c r="AB1530" s="241">
        <v>800</v>
      </c>
      <c r="AC1530" s="134">
        <v>350.5</v>
      </c>
      <c r="AD1530" s="134"/>
      <c r="AE1530" s="403">
        <f t="shared" si="85"/>
        <v>280400</v>
      </c>
      <c r="AF1530" s="132"/>
      <c r="AG1530" s="130" t="s">
        <v>46</v>
      </c>
      <c r="AH1530" s="130"/>
      <c r="AI1530" s="130" t="s">
        <v>100</v>
      </c>
      <c r="AJ1530" s="130"/>
      <c r="AK1530" s="130"/>
      <c r="AL1530" s="135" t="s">
        <v>5484</v>
      </c>
      <c r="AM1530" s="314"/>
      <c r="AN1530" s="26"/>
      <c r="AO1530" s="26"/>
      <c r="AP1530" s="26"/>
      <c r="AQ1530" s="26">
        <v>44397</v>
      </c>
      <c r="AR1530" s="41"/>
      <c r="AS1530" s="41"/>
      <c r="AT1530" s="24">
        <v>44398</v>
      </c>
      <c r="AU1530" s="418">
        <f t="shared" si="86"/>
        <v>7</v>
      </c>
      <c r="AV1530" s="418">
        <f t="shared" si="87"/>
        <v>2021</v>
      </c>
      <c r="AW1530" s="24"/>
      <c r="AX1530" s="24"/>
      <c r="AY1530" s="24" t="s">
        <v>269</v>
      </c>
      <c r="AZ1530" s="24" t="s">
        <v>9</v>
      </c>
      <c r="BA1530" s="24"/>
      <c r="BB1530" s="24" t="s">
        <v>3264</v>
      </c>
      <c r="BC1530" s="135">
        <v>12</v>
      </c>
      <c r="BD1530" s="24">
        <v>44369</v>
      </c>
      <c r="BE1530" s="24" t="s">
        <v>5874</v>
      </c>
      <c r="BF1530" s="24" t="s">
        <v>5874</v>
      </c>
      <c r="BG1530" s="135" t="s">
        <v>52</v>
      </c>
      <c r="BH1530" s="135"/>
      <c r="BI1530" s="314" t="s">
        <v>117</v>
      </c>
      <c r="BJ1530" s="314" t="s">
        <v>143</v>
      </c>
      <c r="BK1530" s="24"/>
      <c r="BL1530" s="24"/>
      <c r="BM1530" s="24"/>
      <c r="BN1530" s="24"/>
      <c r="BO1530" s="41"/>
      <c r="BP1530" s="41"/>
      <c r="BQ1530" s="41"/>
      <c r="BR1530" s="24"/>
      <c r="BS1530" s="41"/>
      <c r="BT1530" s="41"/>
      <c r="BU1530" s="41"/>
      <c r="BV1530" s="132" t="e">
        <f>IF(#REF!="COMPLETO","OK","PENDIENTES")</f>
        <v>#REF!</v>
      </c>
      <c r="BW1530" s="132"/>
      <c r="BX1530" s="132"/>
      <c r="BY1530" s="132"/>
      <c r="BZ1530" s="132"/>
      <c r="CA1530" s="132"/>
      <c r="CB1530" s="132"/>
      <c r="CC1530" s="269"/>
      <c r="CG1530" s="24" t="s">
        <v>105</v>
      </c>
      <c r="CH1530" s="24"/>
      <c r="CI1530" s="24"/>
      <c r="CJ1530" s="24"/>
    </row>
    <row r="1531" spans="1:88" ht="15" customHeight="1">
      <c r="A1531" s="18">
        <v>2021</v>
      </c>
      <c r="B1531" s="18" t="str">
        <f>+INDEX(BDD!F:F,MATCH(P1531,BDD!D:D,0))&amp;"-"&amp;INDEX(BDD!E:E,MATCH(P1531,BDD!D:D,0))</f>
        <v>G-C</v>
      </c>
      <c r="C1531" s="125" t="s">
        <v>484</v>
      </c>
      <c r="D1531" s="150" t="s">
        <v>77</v>
      </c>
      <c r="E1531" s="132"/>
      <c r="F1531" s="24"/>
      <c r="G1531" s="346">
        <v>8000001429</v>
      </c>
      <c r="H1531" s="125" t="s">
        <v>5875</v>
      </c>
      <c r="I1531" s="329"/>
      <c r="J1531" s="346">
        <v>8000001429</v>
      </c>
      <c r="K1531" s="24"/>
      <c r="L1531" s="24"/>
      <c r="M1531" s="24"/>
      <c r="N1531" s="340" t="s">
        <v>486</v>
      </c>
      <c r="O1531" s="334">
        <v>206573</v>
      </c>
      <c r="P1531" s="25" t="s">
        <v>226</v>
      </c>
      <c r="Q1531" s="127" t="s">
        <v>291</v>
      </c>
      <c r="R1531" s="232" t="s">
        <v>5872</v>
      </c>
      <c r="S1531" s="89">
        <v>44354</v>
      </c>
      <c r="T1531" s="36">
        <v>150</v>
      </c>
      <c r="U1531" s="125" t="s">
        <v>118</v>
      </c>
      <c r="V1531" s="147" t="s">
        <v>5876</v>
      </c>
      <c r="W1531" s="129"/>
      <c r="X1531" s="88">
        <f t="shared" si="89"/>
        <v>44519</v>
      </c>
      <c r="Y1531" s="130" t="s">
        <v>20</v>
      </c>
      <c r="Z1531" s="133" t="s">
        <v>60</v>
      </c>
      <c r="AA1531" s="133"/>
      <c r="AB1531" s="241">
        <v>1900</v>
      </c>
      <c r="AC1531" s="134">
        <v>350.5</v>
      </c>
      <c r="AD1531" s="134"/>
      <c r="AE1531" s="403">
        <f t="shared" si="85"/>
        <v>665950</v>
      </c>
      <c r="AF1531" s="132"/>
      <c r="AG1531" s="130" t="s">
        <v>46</v>
      </c>
      <c r="AH1531" s="130"/>
      <c r="AI1531" s="130" t="s">
        <v>100</v>
      </c>
      <c r="AJ1531" s="130"/>
      <c r="AK1531" s="130"/>
      <c r="AL1531" s="135" t="s">
        <v>5484</v>
      </c>
      <c r="AM1531" s="314"/>
      <c r="AN1531" s="26"/>
      <c r="AO1531" s="26"/>
      <c r="AP1531" s="26"/>
      <c r="AQ1531" s="26">
        <v>44399</v>
      </c>
      <c r="AR1531" s="41"/>
      <c r="AS1531" s="41"/>
      <c r="AT1531" s="24">
        <v>44405</v>
      </c>
      <c r="AU1531" s="418">
        <f t="shared" si="86"/>
        <v>7</v>
      </c>
      <c r="AV1531" s="418">
        <f t="shared" si="87"/>
        <v>2021</v>
      </c>
      <c r="AW1531" s="24"/>
      <c r="AX1531" s="24"/>
      <c r="AY1531" s="24" t="s">
        <v>269</v>
      </c>
      <c r="AZ1531" s="24" t="s">
        <v>25</v>
      </c>
      <c r="BA1531" s="24"/>
      <c r="BB1531" s="24" t="s">
        <v>3264</v>
      </c>
      <c r="BC1531" s="135">
        <v>13</v>
      </c>
      <c r="BD1531" s="24">
        <v>44369</v>
      </c>
      <c r="BE1531" s="24" t="s">
        <v>5874</v>
      </c>
      <c r="BF1531" s="24" t="s">
        <v>5874</v>
      </c>
      <c r="BG1531" s="135" t="s">
        <v>52</v>
      </c>
      <c r="BH1531" s="135"/>
      <c r="BI1531" s="314" t="s">
        <v>117</v>
      </c>
      <c r="BJ1531" s="314" t="s">
        <v>143</v>
      </c>
      <c r="BK1531" s="24"/>
      <c r="BL1531" s="24"/>
      <c r="BM1531" s="24"/>
      <c r="BN1531" s="24"/>
      <c r="BO1531" s="41"/>
      <c r="BP1531" s="41"/>
      <c r="BQ1531" s="41"/>
      <c r="BR1531" s="24"/>
      <c r="BS1531" s="41"/>
      <c r="BT1531" s="41"/>
      <c r="BU1531" s="41"/>
      <c r="BV1531" s="132" t="e">
        <f>IF(#REF!="COMPLETO","OK","PENDIENTES")</f>
        <v>#REF!</v>
      </c>
      <c r="BW1531" s="132"/>
      <c r="BX1531" s="132"/>
      <c r="BY1531" s="132"/>
      <c r="BZ1531" s="132"/>
      <c r="CA1531" s="132"/>
      <c r="CB1531" s="132"/>
      <c r="CC1531" s="269"/>
      <c r="CG1531" s="24" t="s">
        <v>105</v>
      </c>
      <c r="CH1531" s="24"/>
      <c r="CI1531" s="24"/>
      <c r="CJ1531" s="24"/>
    </row>
    <row r="1532" spans="1:88" ht="15" customHeight="1">
      <c r="A1532" s="18">
        <v>2021</v>
      </c>
      <c r="B1532" s="18" t="str">
        <f>+INDEX(BDD!F:F,MATCH(P1532,BDD!D:D,0))&amp;"-"&amp;INDEX(BDD!E:E,MATCH(P1532,BDD!D:D,0))</f>
        <v>G-C</v>
      </c>
      <c r="C1532" s="125" t="s">
        <v>484</v>
      </c>
      <c r="D1532" s="150" t="s">
        <v>77</v>
      </c>
      <c r="E1532" s="132"/>
      <c r="F1532" s="24"/>
      <c r="G1532" s="346">
        <v>8000001436</v>
      </c>
      <c r="H1532" s="125" t="s">
        <v>5877</v>
      </c>
      <c r="I1532" s="329"/>
      <c r="J1532" s="346">
        <v>8000001436</v>
      </c>
      <c r="K1532" s="24"/>
      <c r="L1532" s="24">
        <v>44413</v>
      </c>
      <c r="M1532" s="24">
        <v>44419</v>
      </c>
      <c r="N1532" s="340" t="s">
        <v>486</v>
      </c>
      <c r="O1532" s="334">
        <v>206573</v>
      </c>
      <c r="P1532" s="25" t="s">
        <v>226</v>
      </c>
      <c r="Q1532" s="127" t="s">
        <v>291</v>
      </c>
      <c r="R1532" s="232" t="s">
        <v>5872</v>
      </c>
      <c r="S1532" s="89">
        <v>44354</v>
      </c>
      <c r="T1532" s="36">
        <v>150</v>
      </c>
      <c r="U1532" s="125" t="s">
        <v>118</v>
      </c>
      <c r="V1532" s="147" t="s">
        <v>5878</v>
      </c>
      <c r="W1532" s="129"/>
      <c r="X1532" s="88">
        <f t="shared" si="89"/>
        <v>44519</v>
      </c>
      <c r="Y1532" s="130" t="s">
        <v>20</v>
      </c>
      <c r="Z1532" s="133" t="s">
        <v>60</v>
      </c>
      <c r="AA1532" s="133"/>
      <c r="AB1532" s="241">
        <v>1300</v>
      </c>
      <c r="AC1532" s="134">
        <v>350.5</v>
      </c>
      <c r="AD1532" s="134"/>
      <c r="AE1532" s="403">
        <f t="shared" si="85"/>
        <v>455650</v>
      </c>
      <c r="AF1532" s="132"/>
      <c r="AG1532" s="130" t="s">
        <v>46</v>
      </c>
      <c r="AH1532" s="130"/>
      <c r="AI1532" s="130" t="s">
        <v>100</v>
      </c>
      <c r="AJ1532" s="130"/>
      <c r="AK1532" s="130"/>
      <c r="AL1532" s="135" t="s">
        <v>5484</v>
      </c>
      <c r="AM1532" s="314"/>
      <c r="AN1532" s="26"/>
      <c r="AO1532" s="26">
        <v>44369</v>
      </c>
      <c r="AP1532" s="26"/>
      <c r="AQ1532" s="26">
        <v>44407</v>
      </c>
      <c r="AR1532" s="41"/>
      <c r="AS1532" s="41"/>
      <c r="AT1532" s="24">
        <v>44411</v>
      </c>
      <c r="AU1532" s="418">
        <f t="shared" si="86"/>
        <v>8</v>
      </c>
      <c r="AV1532" s="418">
        <f t="shared" si="87"/>
        <v>2021</v>
      </c>
      <c r="AW1532" s="24"/>
      <c r="AX1532" s="24"/>
      <c r="AY1532" s="24" t="s">
        <v>269</v>
      </c>
      <c r="AZ1532" s="24" t="s">
        <v>37</v>
      </c>
      <c r="BA1532" s="24"/>
      <c r="BB1532" s="24" t="s">
        <v>3291</v>
      </c>
      <c r="BC1532" s="135">
        <v>14</v>
      </c>
      <c r="BD1532" s="24">
        <v>44369</v>
      </c>
      <c r="BE1532" s="24" t="s">
        <v>5874</v>
      </c>
      <c r="BF1532" s="24" t="s">
        <v>5874</v>
      </c>
      <c r="BG1532" s="135" t="s">
        <v>52</v>
      </c>
      <c r="BH1532" s="135"/>
      <c r="BI1532" s="314" t="s">
        <v>117</v>
      </c>
      <c r="BJ1532" s="314" t="s">
        <v>143</v>
      </c>
      <c r="BK1532" s="24"/>
      <c r="BL1532" s="24"/>
      <c r="BM1532" s="24"/>
      <c r="BN1532" s="24"/>
      <c r="BO1532" s="41"/>
      <c r="BP1532" s="41"/>
      <c r="BQ1532" s="41"/>
      <c r="BR1532" s="24"/>
      <c r="BS1532" s="41"/>
      <c r="BT1532" s="41"/>
      <c r="BU1532" s="41"/>
      <c r="BV1532" s="132" t="e">
        <f>IF(#REF!="COMPLETO","OK","PENDIENTES")</f>
        <v>#REF!</v>
      </c>
      <c r="BW1532" s="132"/>
      <c r="BX1532" s="132"/>
      <c r="BY1532" s="132"/>
      <c r="BZ1532" s="132"/>
      <c r="CA1532" s="132"/>
      <c r="CB1532" s="132"/>
      <c r="CC1532" s="269"/>
      <c r="CG1532" s="24" t="s">
        <v>105</v>
      </c>
      <c r="CH1532" s="24"/>
      <c r="CI1532" s="24"/>
      <c r="CJ1532" s="24"/>
    </row>
    <row r="1533" spans="1:88" ht="15" customHeight="1">
      <c r="A1533" s="18">
        <v>2021</v>
      </c>
      <c r="B1533" s="18" t="str">
        <f>+INDEX(BDD!F:F,MATCH(P1533,BDD!D:D,0))&amp;"-"&amp;INDEX(BDD!E:E,MATCH(P1533,BDD!D:D,0))</f>
        <v>G-C</v>
      </c>
      <c r="C1533" s="125" t="s">
        <v>484</v>
      </c>
      <c r="D1533" s="150" t="s">
        <v>77</v>
      </c>
      <c r="E1533" s="132"/>
      <c r="F1533" s="24"/>
      <c r="G1533" s="346">
        <v>8000001446</v>
      </c>
      <c r="H1533" s="125" t="s">
        <v>5879</v>
      </c>
      <c r="I1533" s="329"/>
      <c r="J1533" s="346">
        <v>8000001446</v>
      </c>
      <c r="K1533" s="24"/>
      <c r="L1533" s="24">
        <v>44413</v>
      </c>
      <c r="M1533" s="24">
        <v>44419</v>
      </c>
      <c r="N1533" s="340" t="s">
        <v>486</v>
      </c>
      <c r="O1533" s="334">
        <v>206573</v>
      </c>
      <c r="P1533" s="25" t="s">
        <v>226</v>
      </c>
      <c r="Q1533" s="127" t="s">
        <v>291</v>
      </c>
      <c r="R1533" s="232" t="s">
        <v>5872</v>
      </c>
      <c r="S1533" s="89">
        <v>44354</v>
      </c>
      <c r="T1533" s="36">
        <v>150</v>
      </c>
      <c r="U1533" s="125" t="s">
        <v>118</v>
      </c>
      <c r="V1533" s="147" t="s">
        <v>5880</v>
      </c>
      <c r="W1533" s="129"/>
      <c r="X1533" s="88">
        <f t="shared" si="89"/>
        <v>44519</v>
      </c>
      <c r="Y1533" s="130" t="s">
        <v>20</v>
      </c>
      <c r="Z1533" s="133" t="s">
        <v>60</v>
      </c>
      <c r="AA1533" s="133"/>
      <c r="AB1533" s="241">
        <v>1400</v>
      </c>
      <c r="AC1533" s="134">
        <v>350.5</v>
      </c>
      <c r="AD1533" s="134"/>
      <c r="AE1533" s="403">
        <f t="shared" si="85"/>
        <v>490700</v>
      </c>
      <c r="AF1533" s="132"/>
      <c r="AG1533" s="130" t="s">
        <v>46</v>
      </c>
      <c r="AH1533" s="130"/>
      <c r="AI1533" s="130" t="s">
        <v>100</v>
      </c>
      <c r="AJ1533" s="130"/>
      <c r="AK1533" s="130"/>
      <c r="AL1533" s="135" t="s">
        <v>5484</v>
      </c>
      <c r="AM1533" s="314"/>
      <c r="AN1533" s="26"/>
      <c r="AO1533" s="26">
        <v>44369</v>
      </c>
      <c r="AP1533" s="26"/>
      <c r="AQ1533" s="26">
        <v>44410</v>
      </c>
      <c r="AR1533" s="41"/>
      <c r="AS1533" s="41"/>
      <c r="AT1533" s="24">
        <v>44412</v>
      </c>
      <c r="AU1533" s="418">
        <f t="shared" si="86"/>
        <v>8</v>
      </c>
      <c r="AV1533" s="418">
        <f t="shared" si="87"/>
        <v>2021</v>
      </c>
      <c r="AW1533" s="24"/>
      <c r="AX1533" s="24"/>
      <c r="AY1533" s="24" t="s">
        <v>269</v>
      </c>
      <c r="AZ1533" s="24" t="s">
        <v>50</v>
      </c>
      <c r="BA1533" s="24"/>
      <c r="BB1533" s="24" t="s">
        <v>2956</v>
      </c>
      <c r="BC1533" s="135">
        <v>15</v>
      </c>
      <c r="BD1533" s="24">
        <v>44369</v>
      </c>
      <c r="BE1533" s="24" t="s">
        <v>5874</v>
      </c>
      <c r="BF1533" s="24" t="s">
        <v>5874</v>
      </c>
      <c r="BG1533" s="135" t="s">
        <v>52</v>
      </c>
      <c r="BH1533" s="135"/>
      <c r="BI1533" s="314" t="s">
        <v>117</v>
      </c>
      <c r="BJ1533" s="314" t="s">
        <v>143</v>
      </c>
      <c r="BK1533" s="24"/>
      <c r="BL1533" s="24"/>
      <c r="BM1533" s="24"/>
      <c r="BN1533" s="24"/>
      <c r="BO1533" s="41"/>
      <c r="BP1533" s="41"/>
      <c r="BQ1533" s="41"/>
      <c r="BR1533" s="24"/>
      <c r="BS1533" s="41"/>
      <c r="BT1533" s="41"/>
      <c r="BU1533" s="41"/>
      <c r="BV1533" s="132" t="e">
        <f>IF(#REF!="COMPLETO","OK","PENDIENTES")</f>
        <v>#REF!</v>
      </c>
      <c r="BW1533" s="132"/>
      <c r="BX1533" s="132"/>
      <c r="BY1533" s="132"/>
      <c r="BZ1533" s="132"/>
      <c r="CA1533" s="132"/>
      <c r="CB1533" s="132"/>
      <c r="CC1533" s="269"/>
      <c r="CG1533" s="24" t="s">
        <v>105</v>
      </c>
      <c r="CH1533" s="24"/>
      <c r="CI1533" s="24"/>
      <c r="CJ1533" s="24"/>
    </row>
    <row r="1534" spans="1:88" ht="15" customHeight="1">
      <c r="A1534" s="18">
        <v>2021</v>
      </c>
      <c r="B1534" s="18" t="str">
        <f>+INDEX(BDD!F:F,MATCH(P1534,BDD!D:D,0))&amp;"-"&amp;INDEX(BDD!E:E,MATCH(P1534,BDD!D:D,0))</f>
        <v>G-C</v>
      </c>
      <c r="C1534" s="125" t="s">
        <v>484</v>
      </c>
      <c r="D1534" s="150" t="s">
        <v>77</v>
      </c>
      <c r="E1534" s="132"/>
      <c r="F1534" s="28"/>
      <c r="G1534" s="346">
        <v>8000001453</v>
      </c>
      <c r="H1534" s="125" t="s">
        <v>5881</v>
      </c>
      <c r="I1534" s="329"/>
      <c r="J1534" s="346">
        <v>8000001453</v>
      </c>
      <c r="K1534" s="24"/>
      <c r="L1534" s="24">
        <v>44417</v>
      </c>
      <c r="M1534" s="24">
        <v>44420</v>
      </c>
      <c r="N1534" s="340" t="s">
        <v>486</v>
      </c>
      <c r="O1534" s="334">
        <v>206573</v>
      </c>
      <c r="P1534" s="25" t="s">
        <v>226</v>
      </c>
      <c r="Q1534" s="127" t="s">
        <v>291</v>
      </c>
      <c r="R1534" s="232" t="s">
        <v>5872</v>
      </c>
      <c r="S1534" s="89">
        <v>44354</v>
      </c>
      <c r="T1534" s="36">
        <v>150</v>
      </c>
      <c r="U1534" s="125" t="s">
        <v>118</v>
      </c>
      <c r="V1534" s="147" t="s">
        <v>5882</v>
      </c>
      <c r="W1534" s="129"/>
      <c r="X1534" s="88">
        <f t="shared" si="89"/>
        <v>44519</v>
      </c>
      <c r="Y1534" s="130" t="s">
        <v>20</v>
      </c>
      <c r="Z1534" s="133" t="s">
        <v>60</v>
      </c>
      <c r="AA1534" s="133"/>
      <c r="AB1534" s="241">
        <v>1000</v>
      </c>
      <c r="AC1534" s="134">
        <v>350.5</v>
      </c>
      <c r="AD1534" s="134"/>
      <c r="AE1534" s="403">
        <f t="shared" si="85"/>
        <v>350500</v>
      </c>
      <c r="AF1534" s="132"/>
      <c r="AG1534" s="130" t="s">
        <v>46</v>
      </c>
      <c r="AH1534" s="130"/>
      <c r="AI1534" s="130" t="s">
        <v>100</v>
      </c>
      <c r="AJ1534" s="130"/>
      <c r="AK1534" s="130"/>
      <c r="AL1534" s="135" t="s">
        <v>5484</v>
      </c>
      <c r="AM1534" s="314"/>
      <c r="AN1534" s="26"/>
      <c r="AO1534" s="26">
        <v>44369</v>
      </c>
      <c r="AP1534" s="26"/>
      <c r="AQ1534" s="26">
        <v>44413</v>
      </c>
      <c r="AR1534" s="41"/>
      <c r="AS1534" s="41"/>
      <c r="AT1534" s="28">
        <v>44415</v>
      </c>
      <c r="AU1534" s="418">
        <f t="shared" si="86"/>
        <v>8</v>
      </c>
      <c r="AV1534" s="418">
        <f t="shared" si="87"/>
        <v>2021</v>
      </c>
      <c r="AW1534" s="28"/>
      <c r="AX1534" s="28"/>
      <c r="AY1534" s="28" t="s">
        <v>269</v>
      </c>
      <c r="AZ1534" s="24" t="s">
        <v>62</v>
      </c>
      <c r="BA1534" s="24"/>
      <c r="BB1534" s="28" t="s">
        <v>3264</v>
      </c>
      <c r="BC1534" s="135">
        <v>16</v>
      </c>
      <c r="BD1534" s="24">
        <v>44369</v>
      </c>
      <c r="BE1534" s="24" t="s">
        <v>5874</v>
      </c>
      <c r="BF1534" s="24" t="s">
        <v>5874</v>
      </c>
      <c r="BG1534" s="135" t="s">
        <v>52</v>
      </c>
      <c r="BH1534" s="135"/>
      <c r="BI1534" s="314" t="s">
        <v>117</v>
      </c>
      <c r="BJ1534" s="314" t="s">
        <v>143</v>
      </c>
      <c r="BK1534" s="24"/>
      <c r="BL1534" s="24"/>
      <c r="BM1534" s="24"/>
      <c r="BN1534" s="24"/>
      <c r="BO1534" s="41"/>
      <c r="BP1534" s="41"/>
      <c r="BQ1534" s="41"/>
      <c r="BR1534" s="24"/>
      <c r="BS1534" s="41"/>
      <c r="BT1534" s="41"/>
      <c r="BU1534" s="41"/>
      <c r="BV1534" s="132" t="e">
        <f>IF(#REF!="COMPLETO","OK","PENDIENTES")</f>
        <v>#REF!</v>
      </c>
      <c r="BW1534" s="132"/>
      <c r="BX1534" s="132"/>
      <c r="BY1534" s="132"/>
      <c r="BZ1534" s="132"/>
      <c r="CA1534" s="132"/>
      <c r="CB1534" s="132"/>
      <c r="CC1534" s="269" t="s">
        <v>5883</v>
      </c>
      <c r="CG1534" s="28" t="s">
        <v>105</v>
      </c>
      <c r="CH1534" s="28"/>
      <c r="CI1534" s="28"/>
      <c r="CJ1534" s="28"/>
    </row>
    <row r="1535" spans="1:88" ht="15" customHeight="1">
      <c r="A1535" s="18">
        <v>2021</v>
      </c>
      <c r="B1535" s="18" t="str">
        <f>+INDEX(BDD!F:F,MATCH(P1535,BDD!D:D,0))&amp;"-"&amp;INDEX(BDD!E:E,MATCH(P1535,BDD!D:D,0))</f>
        <v>G-S</v>
      </c>
      <c r="C1535" s="125" t="s">
        <v>484</v>
      </c>
      <c r="D1535" s="150" t="s">
        <v>77</v>
      </c>
      <c r="E1535" s="132"/>
      <c r="F1535" s="24"/>
      <c r="G1535" s="346">
        <v>8000001430</v>
      </c>
      <c r="H1535" s="125" t="s">
        <v>5884</v>
      </c>
      <c r="I1535" s="329"/>
      <c r="J1535" s="346">
        <v>8000001430</v>
      </c>
      <c r="K1535" s="24"/>
      <c r="L1535" s="24"/>
      <c r="M1535" s="24"/>
      <c r="N1535" s="340" t="s">
        <v>486</v>
      </c>
      <c r="O1535" s="334">
        <v>206597</v>
      </c>
      <c r="P1535" s="25" t="s">
        <v>104</v>
      </c>
      <c r="Q1535" s="127" t="s">
        <v>285</v>
      </c>
      <c r="R1535" s="232" t="s">
        <v>5885</v>
      </c>
      <c r="S1535" s="89">
        <v>44357</v>
      </c>
      <c r="T1535" s="36">
        <v>30</v>
      </c>
      <c r="U1535" s="125" t="s">
        <v>118</v>
      </c>
      <c r="V1535" s="147" t="s">
        <v>5886</v>
      </c>
      <c r="W1535" s="129"/>
      <c r="X1535" s="88">
        <f t="shared" si="89"/>
        <v>44395</v>
      </c>
      <c r="Y1535" s="130" t="s">
        <v>20</v>
      </c>
      <c r="Z1535" s="133" t="s">
        <v>60</v>
      </c>
      <c r="AA1535" s="133"/>
      <c r="AB1535" s="241">
        <v>500</v>
      </c>
      <c r="AC1535" s="134">
        <v>432</v>
      </c>
      <c r="AD1535" s="134"/>
      <c r="AE1535" s="403">
        <f t="shared" si="85"/>
        <v>216000</v>
      </c>
      <c r="AF1535" s="132"/>
      <c r="AG1535" s="130" t="s">
        <v>46</v>
      </c>
      <c r="AH1535" s="130"/>
      <c r="AI1535" s="130" t="s">
        <v>100</v>
      </c>
      <c r="AJ1535" s="130"/>
      <c r="AK1535" s="130"/>
      <c r="AL1535" s="135" t="s">
        <v>5484</v>
      </c>
      <c r="AM1535" s="314"/>
      <c r="AN1535" s="26"/>
      <c r="AO1535" s="26"/>
      <c r="AP1535" s="26"/>
      <c r="AQ1535" s="26">
        <v>44399</v>
      </c>
      <c r="AR1535" s="24"/>
      <c r="AS1535" s="24"/>
      <c r="AT1535" s="24">
        <v>44405</v>
      </c>
      <c r="AU1535" s="418">
        <f t="shared" si="86"/>
        <v>7</v>
      </c>
      <c r="AV1535" s="418">
        <f t="shared" si="87"/>
        <v>2021</v>
      </c>
      <c r="AW1535" s="24"/>
      <c r="AX1535" s="24"/>
      <c r="AY1535" s="24" t="s">
        <v>281</v>
      </c>
      <c r="AZ1535" s="24" t="s">
        <v>25</v>
      </c>
      <c r="BA1535" s="24"/>
      <c r="BB1535" s="24" t="s">
        <v>3264</v>
      </c>
      <c r="BC1535" s="135" t="s">
        <v>5258</v>
      </c>
      <c r="BD1535" s="24">
        <v>44365</v>
      </c>
      <c r="BE1535" s="24" t="s">
        <v>5874</v>
      </c>
      <c r="BF1535" s="24" t="s">
        <v>5874</v>
      </c>
      <c r="BG1535" s="135" t="s">
        <v>52</v>
      </c>
      <c r="BH1535" s="135"/>
      <c r="BI1535" s="314" t="s">
        <v>117</v>
      </c>
      <c r="BJ1535" s="314" t="s">
        <v>143</v>
      </c>
      <c r="BK1535" s="24"/>
      <c r="BL1535" s="24"/>
      <c r="BM1535" s="24"/>
      <c r="BN1535" s="24"/>
      <c r="BO1535" s="24"/>
      <c r="BP1535" s="24"/>
      <c r="BQ1535" s="24"/>
      <c r="BR1535" s="24"/>
      <c r="BS1535" s="24"/>
      <c r="BT1535" s="24"/>
      <c r="BU1535" s="24"/>
      <c r="BV1535" s="132" t="e">
        <f>IF(#REF!="COMPLETO","OK","PENDIENTES")</f>
        <v>#REF!</v>
      </c>
      <c r="BW1535" s="132"/>
      <c r="BX1535" s="132"/>
      <c r="BY1535" s="132"/>
      <c r="BZ1535" s="132"/>
      <c r="CA1535" s="132"/>
      <c r="CB1535" s="132"/>
      <c r="CC1535" s="269"/>
      <c r="CG1535" s="24" t="s">
        <v>105</v>
      </c>
      <c r="CH1535" s="24"/>
      <c r="CI1535" s="24"/>
      <c r="CJ1535" s="24"/>
    </row>
    <row r="1536" spans="1:88" ht="15" customHeight="1">
      <c r="A1536" s="18">
        <v>2021</v>
      </c>
      <c r="B1536" s="18" t="str">
        <f>+INDEX(BDD!F:F,MATCH(P1536,BDD!D:D,0))&amp;"-"&amp;INDEX(BDD!E:E,MATCH(P1536,BDD!D:D,0))</f>
        <v>G-S</v>
      </c>
      <c r="C1536" s="125" t="s">
        <v>484</v>
      </c>
      <c r="D1536" s="150" t="s">
        <v>77</v>
      </c>
      <c r="E1536" s="132"/>
      <c r="F1536" s="24"/>
      <c r="G1536" s="346">
        <v>8000001448</v>
      </c>
      <c r="H1536" s="125" t="s">
        <v>5887</v>
      </c>
      <c r="I1536" s="329"/>
      <c r="J1536" s="346">
        <v>8000001448</v>
      </c>
      <c r="K1536" s="24"/>
      <c r="L1536" s="24">
        <v>44413</v>
      </c>
      <c r="M1536" s="24">
        <v>44420</v>
      </c>
      <c r="N1536" s="340" t="s">
        <v>486</v>
      </c>
      <c r="O1536" s="334">
        <v>206597</v>
      </c>
      <c r="P1536" s="25" t="s">
        <v>104</v>
      </c>
      <c r="Q1536" s="127" t="s">
        <v>285</v>
      </c>
      <c r="R1536" s="232" t="s">
        <v>5885</v>
      </c>
      <c r="S1536" s="89">
        <v>44357</v>
      </c>
      <c r="T1536" s="36">
        <v>30</v>
      </c>
      <c r="U1536" s="125" t="s">
        <v>118</v>
      </c>
      <c r="V1536" s="147" t="s">
        <v>5888</v>
      </c>
      <c r="W1536" s="129"/>
      <c r="X1536" s="88">
        <f t="shared" si="89"/>
        <v>44395</v>
      </c>
      <c r="Y1536" s="130" t="s">
        <v>20</v>
      </c>
      <c r="Z1536" s="133" t="s">
        <v>60</v>
      </c>
      <c r="AA1536" s="133"/>
      <c r="AB1536" s="241">
        <v>1650</v>
      </c>
      <c r="AC1536" s="134">
        <v>432</v>
      </c>
      <c r="AD1536" s="134"/>
      <c r="AE1536" s="403">
        <f t="shared" si="85"/>
        <v>712800</v>
      </c>
      <c r="AF1536" s="132"/>
      <c r="AG1536" s="130" t="s">
        <v>46</v>
      </c>
      <c r="AH1536" s="130"/>
      <c r="AI1536" s="130" t="s">
        <v>100</v>
      </c>
      <c r="AJ1536" s="130"/>
      <c r="AK1536" s="130"/>
      <c r="AL1536" s="135" t="s">
        <v>5484</v>
      </c>
      <c r="AM1536" s="314"/>
      <c r="AN1536" s="26"/>
      <c r="AO1536" s="26">
        <v>44365</v>
      </c>
      <c r="AP1536" s="26"/>
      <c r="AQ1536" s="26">
        <v>44407</v>
      </c>
      <c r="AR1536" s="24"/>
      <c r="AS1536" s="24"/>
      <c r="AT1536" s="24">
        <v>44411</v>
      </c>
      <c r="AU1536" s="418">
        <f t="shared" si="86"/>
        <v>8</v>
      </c>
      <c r="AV1536" s="418">
        <f t="shared" si="87"/>
        <v>2021</v>
      </c>
      <c r="AW1536" s="24"/>
      <c r="AX1536" s="24"/>
      <c r="AY1536" s="24" t="s">
        <v>281</v>
      </c>
      <c r="AZ1536" s="24" t="s">
        <v>37</v>
      </c>
      <c r="BA1536" s="24"/>
      <c r="BB1536" s="24" t="s">
        <v>3291</v>
      </c>
      <c r="BC1536" s="135" t="s">
        <v>5261</v>
      </c>
      <c r="BD1536" s="24">
        <v>44365</v>
      </c>
      <c r="BE1536" s="24" t="s">
        <v>5874</v>
      </c>
      <c r="BF1536" s="24" t="s">
        <v>5874</v>
      </c>
      <c r="BG1536" s="135" t="s">
        <v>52</v>
      </c>
      <c r="BH1536" s="135"/>
      <c r="BI1536" s="314" t="s">
        <v>117</v>
      </c>
      <c r="BJ1536" s="314" t="s">
        <v>143</v>
      </c>
      <c r="BK1536" s="24"/>
      <c r="BL1536" s="24"/>
      <c r="BM1536" s="24"/>
      <c r="BN1536" s="24"/>
      <c r="BO1536" s="24"/>
      <c r="BP1536" s="24"/>
      <c r="BQ1536" s="24"/>
      <c r="BR1536" s="24"/>
      <c r="BS1536" s="24"/>
      <c r="BT1536" s="24"/>
      <c r="BU1536" s="24"/>
      <c r="BV1536" s="132" t="e">
        <f>IF(#REF!="COMPLETO","OK","PENDIENTES")</f>
        <v>#REF!</v>
      </c>
      <c r="BW1536" s="132"/>
      <c r="BX1536" s="132"/>
      <c r="BY1536" s="132"/>
      <c r="BZ1536" s="132"/>
      <c r="CA1536" s="132"/>
      <c r="CB1536" s="132"/>
      <c r="CC1536" s="269"/>
      <c r="CG1536" s="24" t="s">
        <v>105</v>
      </c>
      <c r="CH1536" s="24"/>
      <c r="CI1536" s="24"/>
      <c r="CJ1536" s="24"/>
    </row>
    <row r="1537" spans="1:88" ht="15" customHeight="1">
      <c r="A1537" s="18">
        <v>2021</v>
      </c>
      <c r="B1537" s="18" t="str">
        <f>+INDEX(BDD!F:F,MATCH(P1537,BDD!D:D,0))&amp;"-"&amp;INDEX(BDD!E:E,MATCH(P1537,BDD!D:D,0))</f>
        <v>G-S</v>
      </c>
      <c r="C1537" s="125" t="s">
        <v>484</v>
      </c>
      <c r="D1537" s="150" t="s">
        <v>77</v>
      </c>
      <c r="E1537" s="132"/>
      <c r="F1537" s="28"/>
      <c r="G1537" s="346">
        <v>8000001449</v>
      </c>
      <c r="H1537" s="125" t="s">
        <v>5889</v>
      </c>
      <c r="I1537" s="329"/>
      <c r="J1537" s="346">
        <v>8000001449</v>
      </c>
      <c r="K1537" s="24"/>
      <c r="L1537" s="24">
        <v>44417</v>
      </c>
      <c r="M1537" s="24">
        <v>44420</v>
      </c>
      <c r="N1537" s="340" t="s">
        <v>486</v>
      </c>
      <c r="O1537" s="334">
        <v>206597</v>
      </c>
      <c r="P1537" s="25" t="s">
        <v>104</v>
      </c>
      <c r="Q1537" s="127" t="s">
        <v>285</v>
      </c>
      <c r="R1537" s="232" t="s">
        <v>5885</v>
      </c>
      <c r="S1537" s="89">
        <v>44357</v>
      </c>
      <c r="T1537" s="36">
        <v>30</v>
      </c>
      <c r="U1537" s="125" t="s">
        <v>118</v>
      </c>
      <c r="V1537" s="147" t="s">
        <v>5890</v>
      </c>
      <c r="W1537" s="129"/>
      <c r="X1537" s="88">
        <f t="shared" si="89"/>
        <v>44395</v>
      </c>
      <c r="Y1537" s="130" t="s">
        <v>20</v>
      </c>
      <c r="Z1537" s="133" t="s">
        <v>60</v>
      </c>
      <c r="AA1537" s="133"/>
      <c r="AB1537" s="241">
        <v>550</v>
      </c>
      <c r="AC1537" s="134">
        <v>432</v>
      </c>
      <c r="AD1537" s="134"/>
      <c r="AE1537" s="403">
        <f t="shared" si="85"/>
        <v>237600</v>
      </c>
      <c r="AF1537" s="132"/>
      <c r="AG1537" s="130" t="s">
        <v>46</v>
      </c>
      <c r="AH1537" s="130"/>
      <c r="AI1537" s="130" t="s">
        <v>100</v>
      </c>
      <c r="AJ1537" s="130"/>
      <c r="AK1537" s="130"/>
      <c r="AL1537" s="135" t="s">
        <v>5484</v>
      </c>
      <c r="AM1537" s="314"/>
      <c r="AN1537" s="26"/>
      <c r="AO1537" s="26">
        <v>44365</v>
      </c>
      <c r="AP1537" s="26"/>
      <c r="AQ1537" s="26">
        <v>44413</v>
      </c>
      <c r="AR1537" s="24"/>
      <c r="AS1537" s="24"/>
      <c r="AT1537" s="28">
        <v>44415</v>
      </c>
      <c r="AU1537" s="418">
        <f t="shared" si="86"/>
        <v>8</v>
      </c>
      <c r="AV1537" s="418">
        <f t="shared" si="87"/>
        <v>2021</v>
      </c>
      <c r="AW1537" s="28"/>
      <c r="AX1537" s="28"/>
      <c r="AY1537" s="28" t="s">
        <v>281</v>
      </c>
      <c r="AZ1537" s="24" t="s">
        <v>62</v>
      </c>
      <c r="BA1537" s="24"/>
      <c r="BB1537" s="28" t="s">
        <v>3264</v>
      </c>
      <c r="BC1537" s="135" t="s">
        <v>5264</v>
      </c>
      <c r="BD1537" s="24">
        <v>44365</v>
      </c>
      <c r="BE1537" s="24" t="s">
        <v>5874</v>
      </c>
      <c r="BF1537" s="24" t="s">
        <v>5874</v>
      </c>
      <c r="BG1537" s="135" t="s">
        <v>52</v>
      </c>
      <c r="BH1537" s="135"/>
      <c r="BI1537" s="314" t="s">
        <v>117</v>
      </c>
      <c r="BJ1537" s="314" t="s">
        <v>143</v>
      </c>
      <c r="BK1537" s="24"/>
      <c r="BL1537" s="24"/>
      <c r="BM1537" s="24"/>
      <c r="BN1537" s="24"/>
      <c r="BO1537" s="24"/>
      <c r="BP1537" s="24"/>
      <c r="BQ1537" s="24"/>
      <c r="BR1537" s="24"/>
      <c r="BS1537" s="24"/>
      <c r="BT1537" s="24"/>
      <c r="BU1537" s="24"/>
      <c r="BV1537" s="132" t="e">
        <f>IF(#REF!="COMPLETO","OK","PENDIENTES")</f>
        <v>#REF!</v>
      </c>
      <c r="BW1537" s="132"/>
      <c r="BX1537" s="132"/>
      <c r="BY1537" s="132"/>
      <c r="BZ1537" s="132"/>
      <c r="CA1537" s="132"/>
      <c r="CB1537" s="132"/>
      <c r="CC1537" s="269"/>
      <c r="CG1537" s="28" t="s">
        <v>105</v>
      </c>
      <c r="CH1537" s="28"/>
      <c r="CI1537" s="28"/>
      <c r="CJ1537" s="28"/>
    </row>
    <row r="1538" spans="1:88" ht="15" customHeight="1">
      <c r="A1538" s="18">
        <v>2021</v>
      </c>
      <c r="B1538" s="18" t="str">
        <f>+INDEX(BDD!F:F,MATCH(P1538,BDD!D:D,0))&amp;"-"&amp;INDEX(BDD!E:E,MATCH(P1538,BDD!D:D,0))</f>
        <v>G-S</v>
      </c>
      <c r="C1538" s="125" t="s">
        <v>484</v>
      </c>
      <c r="D1538" s="150" t="s">
        <v>77</v>
      </c>
      <c r="E1538" s="132"/>
      <c r="F1538" s="24"/>
      <c r="G1538" s="346">
        <v>8000001393</v>
      </c>
      <c r="H1538" s="125" t="s">
        <v>5891</v>
      </c>
      <c r="I1538" s="329"/>
      <c r="J1538" s="346">
        <v>8000001393</v>
      </c>
      <c r="K1538" s="24"/>
      <c r="L1538" s="24"/>
      <c r="M1538" s="24"/>
      <c r="N1538" s="340" t="s">
        <v>486</v>
      </c>
      <c r="O1538" s="334">
        <v>207951</v>
      </c>
      <c r="P1538" s="25" t="s">
        <v>354</v>
      </c>
      <c r="Q1538" s="127" t="s">
        <v>237</v>
      </c>
      <c r="R1538" s="232" t="s">
        <v>5892</v>
      </c>
      <c r="S1538" s="89">
        <v>44356</v>
      </c>
      <c r="T1538" s="36" t="s">
        <v>19</v>
      </c>
      <c r="U1538" s="125"/>
      <c r="V1538" s="147" t="s">
        <v>5893</v>
      </c>
      <c r="W1538" s="129"/>
      <c r="X1538" s="88" t="s">
        <v>944</v>
      </c>
      <c r="Y1538" s="130" t="s">
        <v>20</v>
      </c>
      <c r="Z1538" s="133" t="s">
        <v>60</v>
      </c>
      <c r="AA1538" s="133"/>
      <c r="AB1538" s="241">
        <v>880</v>
      </c>
      <c r="AC1538" s="134">
        <v>465</v>
      </c>
      <c r="AD1538" s="134"/>
      <c r="AE1538" s="403">
        <f t="shared" ref="AE1538:AE1601" si="90">AB1538*AC1538</f>
        <v>409200</v>
      </c>
      <c r="AF1538" s="132"/>
      <c r="AG1538" s="130" t="s">
        <v>46</v>
      </c>
      <c r="AH1538" s="130"/>
      <c r="AI1538" s="130" t="s">
        <v>100</v>
      </c>
      <c r="AJ1538" s="130"/>
      <c r="AK1538" s="130"/>
      <c r="AL1538" s="135" t="s">
        <v>5894</v>
      </c>
      <c r="AM1538" s="314"/>
      <c r="AN1538" s="26"/>
      <c r="AO1538" s="26"/>
      <c r="AP1538" s="26"/>
      <c r="AQ1538" s="26">
        <v>44379</v>
      </c>
      <c r="AR1538" s="41"/>
      <c r="AS1538" s="41"/>
      <c r="AT1538" s="24">
        <v>44380</v>
      </c>
      <c r="AU1538" s="418">
        <f t="shared" si="86"/>
        <v>7</v>
      </c>
      <c r="AV1538" s="418">
        <f t="shared" si="87"/>
        <v>2021</v>
      </c>
      <c r="AW1538" s="24"/>
      <c r="AX1538" s="24"/>
      <c r="AY1538" s="24" t="s">
        <v>205</v>
      </c>
      <c r="AZ1538" s="24" t="s">
        <v>9</v>
      </c>
      <c r="BA1538" s="24"/>
      <c r="BB1538" s="24" t="s">
        <v>3264</v>
      </c>
      <c r="BC1538" s="135">
        <v>11</v>
      </c>
      <c r="BD1538" s="24">
        <v>44344</v>
      </c>
      <c r="BE1538" s="24" t="s">
        <v>5895</v>
      </c>
      <c r="BF1538" s="24" t="s">
        <v>5895</v>
      </c>
      <c r="BG1538" s="135" t="s">
        <v>52</v>
      </c>
      <c r="BH1538" s="135"/>
      <c r="BI1538" s="314" t="s">
        <v>117</v>
      </c>
      <c r="BJ1538" s="314" t="s">
        <v>148</v>
      </c>
      <c r="BK1538" s="24"/>
      <c r="BL1538" s="24"/>
      <c r="BM1538" s="24"/>
      <c r="BN1538" s="24"/>
      <c r="BO1538" s="41"/>
      <c r="BP1538" s="41"/>
      <c r="BQ1538" s="41"/>
      <c r="BR1538" s="24"/>
      <c r="BS1538" s="41"/>
      <c r="BT1538" s="41"/>
      <c r="BU1538" s="41"/>
      <c r="BV1538" s="132" t="e">
        <f>IF(#REF!="COMPLETO","OK","PENDIENTES")</f>
        <v>#REF!</v>
      </c>
      <c r="BW1538" s="132"/>
      <c r="BX1538" s="132"/>
      <c r="BY1538" s="132"/>
      <c r="BZ1538" s="132"/>
      <c r="CA1538" s="132"/>
      <c r="CB1538" s="132"/>
      <c r="CC1538" s="269"/>
      <c r="CG1538" s="24" t="s">
        <v>105</v>
      </c>
      <c r="CH1538" s="24"/>
      <c r="CI1538" s="24"/>
      <c r="CJ1538" s="24"/>
    </row>
    <row r="1539" spans="1:88" ht="15" customHeight="1">
      <c r="A1539" s="18">
        <v>2021</v>
      </c>
      <c r="B1539" s="18" t="str">
        <f>+INDEX(BDD!F:F,MATCH(P1539,BDD!D:D,0))&amp;"-"&amp;INDEX(BDD!E:E,MATCH(P1539,BDD!D:D,0))</f>
        <v>G-S</v>
      </c>
      <c r="C1539" s="125" t="s">
        <v>484</v>
      </c>
      <c r="D1539" s="150" t="s">
        <v>77</v>
      </c>
      <c r="E1539" s="132"/>
      <c r="F1539" s="24"/>
      <c r="G1539" s="346">
        <v>8000001394</v>
      </c>
      <c r="H1539" s="125" t="s">
        <v>5896</v>
      </c>
      <c r="I1539" s="329"/>
      <c r="J1539" s="346">
        <v>8000001394</v>
      </c>
      <c r="K1539" s="24"/>
      <c r="L1539" s="24"/>
      <c r="M1539" s="24"/>
      <c r="N1539" s="340" t="s">
        <v>486</v>
      </c>
      <c r="O1539" s="334">
        <v>207951</v>
      </c>
      <c r="P1539" s="25" t="s">
        <v>354</v>
      </c>
      <c r="Q1539" s="127" t="s">
        <v>237</v>
      </c>
      <c r="R1539" s="232" t="s">
        <v>5897</v>
      </c>
      <c r="S1539" s="89">
        <v>44356</v>
      </c>
      <c r="T1539" s="36" t="s">
        <v>19</v>
      </c>
      <c r="U1539" s="125"/>
      <c r="V1539" s="147" t="s">
        <v>5898</v>
      </c>
      <c r="W1539" s="129"/>
      <c r="X1539" s="88" t="s">
        <v>944</v>
      </c>
      <c r="Y1539" s="130" t="s">
        <v>20</v>
      </c>
      <c r="Z1539" s="133" t="s">
        <v>60</v>
      </c>
      <c r="AA1539" s="133"/>
      <c r="AB1539" s="241">
        <v>1000</v>
      </c>
      <c r="AC1539" s="134">
        <v>465</v>
      </c>
      <c r="AD1539" s="134"/>
      <c r="AE1539" s="403">
        <f t="shared" si="90"/>
        <v>465000</v>
      </c>
      <c r="AF1539" s="132"/>
      <c r="AG1539" s="130" t="s">
        <v>46</v>
      </c>
      <c r="AH1539" s="130"/>
      <c r="AI1539" s="130" t="s">
        <v>100</v>
      </c>
      <c r="AJ1539" s="130"/>
      <c r="AK1539" s="130"/>
      <c r="AL1539" s="135" t="s">
        <v>5894</v>
      </c>
      <c r="AM1539" s="314"/>
      <c r="AN1539" s="26"/>
      <c r="AO1539" s="26"/>
      <c r="AP1539" s="26"/>
      <c r="AQ1539" s="26">
        <v>44379</v>
      </c>
      <c r="AR1539" s="41"/>
      <c r="AS1539" s="41"/>
      <c r="AT1539" s="24">
        <v>44380</v>
      </c>
      <c r="AU1539" s="418">
        <f t="shared" ref="AU1539:AU1602" si="91">MONTH(AT1539)</f>
        <v>7</v>
      </c>
      <c r="AV1539" s="418">
        <f t="shared" ref="AV1539:AV1602" si="92">YEAR(AT1539)</f>
        <v>2021</v>
      </c>
      <c r="AW1539" s="24"/>
      <c r="AX1539" s="24"/>
      <c r="AY1539" s="24" t="s">
        <v>205</v>
      </c>
      <c r="AZ1539" s="24" t="s">
        <v>9</v>
      </c>
      <c r="BA1539" s="24"/>
      <c r="BB1539" s="24" t="s">
        <v>3264</v>
      </c>
      <c r="BC1539" s="135">
        <v>9</v>
      </c>
      <c r="BD1539" s="24">
        <v>44344</v>
      </c>
      <c r="BE1539" s="24" t="s">
        <v>5895</v>
      </c>
      <c r="BF1539" s="24" t="s">
        <v>5895</v>
      </c>
      <c r="BG1539" s="135" t="s">
        <v>52</v>
      </c>
      <c r="BH1539" s="135"/>
      <c r="BI1539" s="314" t="s">
        <v>117</v>
      </c>
      <c r="BJ1539" s="314" t="s">
        <v>148</v>
      </c>
      <c r="BK1539" s="24"/>
      <c r="BL1539" s="24"/>
      <c r="BM1539" s="24"/>
      <c r="BN1539" s="24"/>
      <c r="BO1539" s="41"/>
      <c r="BP1539" s="41"/>
      <c r="BQ1539" s="41"/>
      <c r="BR1539" s="24"/>
      <c r="BS1539" s="41"/>
      <c r="BT1539" s="41"/>
      <c r="BU1539" s="41"/>
      <c r="BV1539" s="132" t="e">
        <f>IF(#REF!="COMPLETO","OK","PENDIENTES")</f>
        <v>#REF!</v>
      </c>
      <c r="BW1539" s="132"/>
      <c r="BX1539" s="132"/>
      <c r="BY1539" s="132"/>
      <c r="BZ1539" s="132"/>
      <c r="CA1539" s="132"/>
      <c r="CB1539" s="132"/>
      <c r="CC1539" s="269"/>
      <c r="CG1539" s="24" t="s">
        <v>105</v>
      </c>
      <c r="CH1539" s="24"/>
      <c r="CI1539" s="24"/>
      <c r="CJ1539" s="24"/>
    </row>
    <row r="1540" spans="1:88" ht="12.6" customHeight="1">
      <c r="A1540" s="18">
        <v>2021</v>
      </c>
      <c r="B1540" s="18" t="str">
        <f>+INDEX(BDD!F:F,MATCH(P1540,BDD!D:D,0))&amp;"-"&amp;INDEX(BDD!E:E,MATCH(P1540,BDD!D:D,0))</f>
        <v>G-S</v>
      </c>
      <c r="C1540" s="125" t="s">
        <v>484</v>
      </c>
      <c r="D1540" s="150" t="s">
        <v>77</v>
      </c>
      <c r="E1540" s="132"/>
      <c r="F1540" s="24"/>
      <c r="G1540" s="346">
        <v>8000001395</v>
      </c>
      <c r="H1540" s="125" t="s">
        <v>5899</v>
      </c>
      <c r="I1540" s="329"/>
      <c r="J1540" s="346">
        <v>8000001395</v>
      </c>
      <c r="K1540" s="24"/>
      <c r="L1540" s="24"/>
      <c r="M1540" s="24"/>
      <c r="N1540" s="340" t="s">
        <v>486</v>
      </c>
      <c r="O1540" s="334">
        <v>206569</v>
      </c>
      <c r="P1540" s="25" t="s">
        <v>142</v>
      </c>
      <c r="Q1540" s="127" t="s">
        <v>237</v>
      </c>
      <c r="R1540" s="232" t="s">
        <v>5900</v>
      </c>
      <c r="S1540" s="89">
        <v>44356</v>
      </c>
      <c r="T1540" s="36" t="s">
        <v>19</v>
      </c>
      <c r="U1540" s="125"/>
      <c r="V1540" s="147" t="s">
        <v>5901</v>
      </c>
      <c r="W1540" s="129"/>
      <c r="X1540" s="88">
        <v>44364</v>
      </c>
      <c r="Y1540" s="130" t="s">
        <v>20</v>
      </c>
      <c r="Z1540" s="133" t="s">
        <v>60</v>
      </c>
      <c r="AA1540" s="133"/>
      <c r="AB1540" s="241">
        <v>820.75</v>
      </c>
      <c r="AC1540" s="134">
        <v>640</v>
      </c>
      <c r="AD1540" s="134"/>
      <c r="AE1540" s="403">
        <f t="shared" si="90"/>
        <v>525280</v>
      </c>
      <c r="AF1540" s="132"/>
      <c r="AG1540" s="130" t="s">
        <v>46</v>
      </c>
      <c r="AH1540" s="130"/>
      <c r="AI1540" s="130" t="s">
        <v>100</v>
      </c>
      <c r="AJ1540" s="130"/>
      <c r="AK1540" s="130"/>
      <c r="AL1540" s="135" t="s">
        <v>5894</v>
      </c>
      <c r="AM1540" s="314"/>
      <c r="AN1540" s="26"/>
      <c r="AO1540" s="26"/>
      <c r="AP1540" s="26"/>
      <c r="AQ1540" s="26">
        <v>44379</v>
      </c>
      <c r="AR1540" s="24"/>
      <c r="AS1540" s="24"/>
      <c r="AT1540" s="24">
        <v>44381</v>
      </c>
      <c r="AU1540" s="418">
        <f t="shared" si="91"/>
        <v>7</v>
      </c>
      <c r="AV1540" s="418">
        <f t="shared" si="92"/>
        <v>2021</v>
      </c>
      <c r="AW1540" s="24"/>
      <c r="AX1540" s="24"/>
      <c r="AY1540" s="24" t="s">
        <v>205</v>
      </c>
      <c r="AZ1540" s="24" t="s">
        <v>9</v>
      </c>
      <c r="BA1540" s="24"/>
      <c r="BB1540" s="24" t="s">
        <v>3264</v>
      </c>
      <c r="BC1540" s="135" t="s">
        <v>5902</v>
      </c>
      <c r="BD1540" s="24">
        <v>44344</v>
      </c>
      <c r="BE1540" s="24" t="s">
        <v>5895</v>
      </c>
      <c r="BF1540" s="24" t="s">
        <v>5895</v>
      </c>
      <c r="BG1540" s="135" t="s">
        <v>52</v>
      </c>
      <c r="BH1540" s="135"/>
      <c r="BI1540" s="314" t="s">
        <v>117</v>
      </c>
      <c r="BJ1540" s="314" t="s">
        <v>148</v>
      </c>
      <c r="BK1540" s="24"/>
      <c r="BL1540" s="24"/>
      <c r="BM1540" s="24"/>
      <c r="BN1540" s="24"/>
      <c r="BO1540" s="24"/>
      <c r="BP1540" s="24"/>
      <c r="BQ1540" s="24"/>
      <c r="BR1540" s="24"/>
      <c r="BS1540" s="24"/>
      <c r="BT1540" s="24"/>
      <c r="BU1540" s="24"/>
      <c r="BV1540" s="132" t="e">
        <f>IF(#REF!="COMPLETO","OK","PENDIENTES")</f>
        <v>#REF!</v>
      </c>
      <c r="BW1540" s="132"/>
      <c r="BX1540" s="132"/>
      <c r="BY1540" s="132"/>
      <c r="BZ1540" s="132"/>
      <c r="CA1540" s="132"/>
      <c r="CB1540" s="132"/>
      <c r="CC1540" s="269"/>
      <c r="CG1540" s="24" t="s">
        <v>105</v>
      </c>
      <c r="CH1540" s="24"/>
      <c r="CI1540" s="24"/>
      <c r="CJ1540" s="24"/>
    </row>
    <row r="1541" spans="1:88" ht="15.6" customHeight="1">
      <c r="A1541" s="18">
        <v>2021</v>
      </c>
      <c r="B1541" s="18" t="str">
        <f>+INDEX(BDD!F:F,MATCH(P1541,BDD!D:D,0))&amp;"-"&amp;INDEX(BDD!E:E,MATCH(P1541,BDD!D:D,0))</f>
        <v>E-S</v>
      </c>
      <c r="C1541" s="125" t="s">
        <v>484</v>
      </c>
      <c r="D1541" s="150" t="s">
        <v>77</v>
      </c>
      <c r="E1541" s="132"/>
      <c r="F1541" s="24"/>
      <c r="G1541" s="346">
        <v>8000001360</v>
      </c>
      <c r="H1541" s="125" t="s">
        <v>5903</v>
      </c>
      <c r="I1541" s="329"/>
      <c r="J1541" s="346">
        <v>8000001360</v>
      </c>
      <c r="K1541" s="24"/>
      <c r="L1541" s="24">
        <v>44469</v>
      </c>
      <c r="M1541" s="24">
        <v>44470</v>
      </c>
      <c r="N1541" s="340" t="s">
        <v>486</v>
      </c>
      <c r="O1541" s="334">
        <v>207522</v>
      </c>
      <c r="P1541" s="25" t="s">
        <v>298</v>
      </c>
      <c r="Q1541" s="127" t="s">
        <v>183</v>
      </c>
      <c r="R1541" s="232" t="s">
        <v>5904</v>
      </c>
      <c r="S1541" s="89">
        <v>44370</v>
      </c>
      <c r="T1541" s="36" t="s">
        <v>19</v>
      </c>
      <c r="U1541" s="125"/>
      <c r="V1541" s="147" t="s">
        <v>5905</v>
      </c>
      <c r="W1541" s="129"/>
      <c r="X1541" s="88">
        <v>44424</v>
      </c>
      <c r="Y1541" s="130" t="s">
        <v>20</v>
      </c>
      <c r="Z1541" s="133" t="s">
        <v>60</v>
      </c>
      <c r="AA1541" s="133"/>
      <c r="AB1541" s="241">
        <v>179.87</v>
      </c>
      <c r="AC1541" s="134">
        <v>237</v>
      </c>
      <c r="AD1541" s="134"/>
      <c r="AE1541" s="403">
        <f t="shared" si="90"/>
        <v>42629.19</v>
      </c>
      <c r="AF1541" s="132">
        <v>7</v>
      </c>
      <c r="AG1541" s="130" t="s">
        <v>5</v>
      </c>
      <c r="AH1541" s="130"/>
      <c r="AI1541" s="130" t="s">
        <v>100</v>
      </c>
      <c r="AJ1541" s="130"/>
      <c r="AK1541" s="130"/>
      <c r="AL1541" s="135" t="s">
        <v>5906</v>
      </c>
      <c r="AM1541" s="314"/>
      <c r="AN1541" s="26">
        <f>BL1541</f>
        <v>0</v>
      </c>
      <c r="AO1541" s="26">
        <v>44416</v>
      </c>
      <c r="AP1541" s="26">
        <f>AQ1541</f>
        <v>44463</v>
      </c>
      <c r="AQ1541" s="26">
        <v>44463</v>
      </c>
      <c r="AR1541" s="24">
        <f>AP1541+4</f>
        <v>44467</v>
      </c>
      <c r="AS1541" s="24"/>
      <c r="AT1541" s="24">
        <v>44469</v>
      </c>
      <c r="AU1541" s="418">
        <f t="shared" si="91"/>
        <v>9</v>
      </c>
      <c r="AV1541" s="418">
        <f t="shared" si="92"/>
        <v>2021</v>
      </c>
      <c r="AW1541" s="24"/>
      <c r="AX1541" s="24"/>
      <c r="AY1541" s="24" t="s">
        <v>4781</v>
      </c>
      <c r="AZ1541" s="24" t="s">
        <v>9</v>
      </c>
      <c r="BA1541" s="24"/>
      <c r="BB1541" s="24" t="s">
        <v>3264</v>
      </c>
      <c r="BC1541" s="135" t="s">
        <v>5907</v>
      </c>
      <c r="BD1541" s="24">
        <v>44416</v>
      </c>
      <c r="BE1541" s="24" t="s">
        <v>4782</v>
      </c>
      <c r="BF1541" s="24" t="s">
        <v>5344</v>
      </c>
      <c r="BG1541" s="135" t="s">
        <v>65</v>
      </c>
      <c r="BH1541" s="135"/>
      <c r="BI1541" s="314" t="s">
        <v>124</v>
      </c>
      <c r="BJ1541" s="314" t="s">
        <v>143</v>
      </c>
      <c r="BK1541" s="24"/>
      <c r="BL1541" s="24"/>
      <c r="BM1541" s="24"/>
      <c r="BN1541" s="24"/>
      <c r="BO1541" s="24">
        <v>44468</v>
      </c>
      <c r="BP1541" s="24"/>
      <c r="BQ1541" s="24"/>
      <c r="BR1541" s="24"/>
      <c r="BS1541" s="24"/>
      <c r="BT1541" s="24"/>
      <c r="BU1541" s="24"/>
      <c r="BV1541" s="132" t="e">
        <f>IF(#REF!="COMPLETO","OK","PENDIENTES")</f>
        <v>#REF!</v>
      </c>
      <c r="BW1541" s="132"/>
      <c r="BX1541" s="132"/>
      <c r="BY1541" s="132"/>
      <c r="BZ1541" s="132"/>
      <c r="CA1541" s="132"/>
      <c r="CB1541" s="132"/>
      <c r="CC1541" s="269"/>
      <c r="CG1541" s="24" t="s">
        <v>105</v>
      </c>
      <c r="CH1541" s="24"/>
      <c r="CI1541" s="24"/>
      <c r="CJ1541" s="24"/>
    </row>
    <row r="1542" spans="1:88" ht="15.6" customHeight="1">
      <c r="A1542" s="18">
        <v>2021</v>
      </c>
      <c r="B1542" s="18" t="str">
        <f>+INDEX(BDD!F:F,MATCH(P1542,BDD!D:D,0))&amp;"-"&amp;INDEX(BDD!E:E,MATCH(P1542,BDD!D:D,0))</f>
        <v>E-S</v>
      </c>
      <c r="C1542" s="125" t="s">
        <v>484</v>
      </c>
      <c r="D1542" s="150" t="s">
        <v>77</v>
      </c>
      <c r="E1542" s="132"/>
      <c r="F1542" s="24"/>
      <c r="G1542" s="346">
        <v>8000001537</v>
      </c>
      <c r="H1542" s="125" t="s">
        <v>5908</v>
      </c>
      <c r="I1542" s="329"/>
      <c r="J1542" s="346">
        <v>8000001537</v>
      </c>
      <c r="K1542" s="24"/>
      <c r="L1542" s="24">
        <v>44455</v>
      </c>
      <c r="M1542" s="24">
        <v>44455</v>
      </c>
      <c r="N1542" s="340" t="s">
        <v>486</v>
      </c>
      <c r="O1542" s="334">
        <v>207522</v>
      </c>
      <c r="P1542" s="25" t="s">
        <v>298</v>
      </c>
      <c r="Q1542" s="127" t="s">
        <v>183</v>
      </c>
      <c r="R1542" s="232" t="s">
        <v>5909</v>
      </c>
      <c r="S1542" s="89">
        <v>44370</v>
      </c>
      <c r="T1542" s="36" t="s">
        <v>19</v>
      </c>
      <c r="U1542" s="125"/>
      <c r="V1542" s="147" t="s">
        <v>5910</v>
      </c>
      <c r="W1542" s="129"/>
      <c r="X1542" s="88">
        <v>44416</v>
      </c>
      <c r="Y1542" s="130" t="s">
        <v>20</v>
      </c>
      <c r="Z1542" s="133" t="s">
        <v>60</v>
      </c>
      <c r="AA1542" s="133"/>
      <c r="AB1542" s="241">
        <v>219.94</v>
      </c>
      <c r="AC1542" s="134">
        <v>228</v>
      </c>
      <c r="AD1542" s="134"/>
      <c r="AE1542" s="403">
        <f t="shared" si="90"/>
        <v>50146.32</v>
      </c>
      <c r="AF1542" s="132">
        <v>8</v>
      </c>
      <c r="AG1542" s="130" t="s">
        <v>5</v>
      </c>
      <c r="AH1542" s="130"/>
      <c r="AI1542" s="130" t="s">
        <v>100</v>
      </c>
      <c r="AJ1542" s="130"/>
      <c r="AK1542" s="130"/>
      <c r="AL1542" s="135" t="s">
        <v>5906</v>
      </c>
      <c r="AM1542" s="314"/>
      <c r="AN1542" s="26"/>
      <c r="AO1542" s="26">
        <v>44416</v>
      </c>
      <c r="AP1542" s="26"/>
      <c r="AQ1542" s="26">
        <v>44449</v>
      </c>
      <c r="AR1542" s="24"/>
      <c r="AS1542" s="24"/>
      <c r="AT1542" s="24">
        <v>44454</v>
      </c>
      <c r="AU1542" s="418">
        <f t="shared" si="91"/>
        <v>9</v>
      </c>
      <c r="AV1542" s="418">
        <f t="shared" si="92"/>
        <v>2021</v>
      </c>
      <c r="AW1542" s="24"/>
      <c r="AX1542" s="24"/>
      <c r="AY1542" s="24" t="s">
        <v>4781</v>
      </c>
      <c r="AZ1542" s="24" t="s">
        <v>37</v>
      </c>
      <c r="BA1542" s="24"/>
      <c r="BB1542" s="24" t="s">
        <v>3291</v>
      </c>
      <c r="BC1542" s="135" t="s">
        <v>5911</v>
      </c>
      <c r="BD1542" s="24">
        <v>44416</v>
      </c>
      <c r="BE1542" s="24" t="s">
        <v>4782</v>
      </c>
      <c r="BF1542" s="24" t="s">
        <v>5498</v>
      </c>
      <c r="BG1542" s="135" t="s">
        <v>65</v>
      </c>
      <c r="BH1542" s="135"/>
      <c r="BI1542" s="314" t="s">
        <v>124</v>
      </c>
      <c r="BJ1542" s="314" t="s">
        <v>143</v>
      </c>
      <c r="BK1542" s="24"/>
      <c r="BL1542" s="24"/>
      <c r="BM1542" s="24"/>
      <c r="BN1542" s="24"/>
      <c r="BO1542" s="24"/>
      <c r="BP1542" s="24"/>
      <c r="BQ1542" s="24"/>
      <c r="BR1542" s="24"/>
      <c r="BS1542" s="24"/>
      <c r="BT1542" s="24"/>
      <c r="BU1542" s="24"/>
      <c r="BV1542" s="132" t="e">
        <f>IF(#REF!="COMPLETO","OK","PENDIENTES")</f>
        <v>#REF!</v>
      </c>
      <c r="BW1542" s="132"/>
      <c r="BX1542" s="132"/>
      <c r="BY1542" s="132"/>
      <c r="BZ1542" s="132"/>
      <c r="CA1542" s="132"/>
      <c r="CB1542" s="132"/>
      <c r="CC1542" s="269" t="s">
        <v>5912</v>
      </c>
      <c r="CG1542" s="24" t="s">
        <v>105</v>
      </c>
      <c r="CH1542" s="24"/>
      <c r="CI1542" s="24"/>
      <c r="CJ1542" s="24"/>
    </row>
    <row r="1543" spans="1:88" ht="15" customHeight="1">
      <c r="A1543" s="18">
        <v>2021</v>
      </c>
      <c r="B1543" s="18" t="str">
        <f>+INDEX(BDD!F:F,MATCH(P1543,BDD!D:D,0))&amp;"-"&amp;INDEX(BDD!E:E,MATCH(P1543,BDD!D:D,0))</f>
        <v>T-S</v>
      </c>
      <c r="C1543" s="125" t="s">
        <v>484</v>
      </c>
      <c r="D1543" s="150" t="s">
        <v>77</v>
      </c>
      <c r="E1543" s="132"/>
      <c r="F1543" s="24"/>
      <c r="G1543" s="346">
        <v>8000001602</v>
      </c>
      <c r="H1543" s="125" t="s">
        <v>5913</v>
      </c>
      <c r="I1543" s="329"/>
      <c r="J1543" s="346">
        <v>8000001602</v>
      </c>
      <c r="K1543" s="24"/>
      <c r="L1543" s="24">
        <v>0</v>
      </c>
      <c r="M1543" s="24">
        <v>44511</v>
      </c>
      <c r="N1543" s="340" t="s">
        <v>486</v>
      </c>
      <c r="O1543" s="334">
        <v>203565</v>
      </c>
      <c r="P1543" s="25" t="s">
        <v>405</v>
      </c>
      <c r="Q1543" s="127" t="s">
        <v>303</v>
      </c>
      <c r="R1543" s="232" t="s">
        <v>5914</v>
      </c>
      <c r="S1543" s="89">
        <v>44364</v>
      </c>
      <c r="T1543" s="36" t="s">
        <v>19</v>
      </c>
      <c r="U1543" s="125"/>
      <c r="V1543" s="147" t="s">
        <v>5915</v>
      </c>
      <c r="W1543" s="129"/>
      <c r="X1543" s="88">
        <v>44486</v>
      </c>
      <c r="Y1543" s="130" t="s">
        <v>20</v>
      </c>
      <c r="Z1543" s="133" t="s">
        <v>60</v>
      </c>
      <c r="AA1543" s="133"/>
      <c r="AB1543" s="241">
        <v>17.34</v>
      </c>
      <c r="AC1543" s="134">
        <v>4901.9607839999999</v>
      </c>
      <c r="AD1543" s="134"/>
      <c r="AE1543" s="403">
        <f t="shared" si="90"/>
        <v>84999.999994559999</v>
      </c>
      <c r="AF1543" s="132">
        <v>1</v>
      </c>
      <c r="AG1543" s="130" t="s">
        <v>5</v>
      </c>
      <c r="AH1543" s="130"/>
      <c r="AI1543" s="256" t="s">
        <v>5916</v>
      </c>
      <c r="AJ1543" s="256"/>
      <c r="AK1543" s="256"/>
      <c r="AL1543" s="256" t="s">
        <v>5917</v>
      </c>
      <c r="AM1543" s="314"/>
      <c r="AN1543" s="26">
        <v>44466</v>
      </c>
      <c r="AO1543" s="26">
        <v>44466</v>
      </c>
      <c r="AP1543" s="26">
        <v>44490</v>
      </c>
      <c r="AQ1543" s="26">
        <v>44504</v>
      </c>
      <c r="AR1543" s="24">
        <f>AP1543+4</f>
        <v>44494</v>
      </c>
      <c r="AS1543" s="41"/>
      <c r="AT1543" s="24">
        <v>44509</v>
      </c>
      <c r="AU1543" s="418">
        <f t="shared" si="91"/>
        <v>11</v>
      </c>
      <c r="AV1543" s="418">
        <f t="shared" si="92"/>
        <v>2021</v>
      </c>
      <c r="AW1543" s="24"/>
      <c r="AX1543" s="24"/>
      <c r="AY1543" s="24" t="s">
        <v>5919</v>
      </c>
      <c r="AZ1543" s="24" t="s">
        <v>37</v>
      </c>
      <c r="BA1543" s="24"/>
      <c r="BB1543" s="24" t="s">
        <v>3291</v>
      </c>
      <c r="BC1543" s="135" t="s">
        <v>5918</v>
      </c>
      <c r="BD1543" s="24">
        <v>44477</v>
      </c>
      <c r="BE1543" s="24" t="s">
        <v>870</v>
      </c>
      <c r="BF1543" s="24" t="s">
        <v>870</v>
      </c>
      <c r="BG1543" s="135" t="s">
        <v>29</v>
      </c>
      <c r="BH1543" s="135"/>
      <c r="BI1543" s="314" t="s">
        <v>3</v>
      </c>
      <c r="BJ1543" s="314" t="s">
        <v>148</v>
      </c>
      <c r="BK1543" s="24"/>
      <c r="BL1543" s="24"/>
      <c r="BM1543" s="24"/>
      <c r="BN1543" s="24"/>
      <c r="BO1543" s="24"/>
      <c r="BP1543" s="24"/>
      <c r="BQ1543" s="24"/>
      <c r="BR1543" s="24"/>
      <c r="BS1543" s="24"/>
      <c r="BT1543" s="24"/>
      <c r="BU1543" s="24"/>
      <c r="BV1543" s="132" t="e">
        <f>IF(#REF!="COMPLETO","OK","PENDIENTE")</f>
        <v>#REF!</v>
      </c>
      <c r="BW1543" s="132"/>
      <c r="BX1543" s="132"/>
      <c r="BY1543" s="132"/>
      <c r="BZ1543" s="132"/>
      <c r="CA1543" s="132"/>
      <c r="CB1543" s="132"/>
      <c r="CC1543" s="269"/>
      <c r="CG1543" s="24" t="s">
        <v>105</v>
      </c>
      <c r="CH1543" s="24"/>
      <c r="CI1543" s="24"/>
      <c r="CJ1543" s="24"/>
    </row>
    <row r="1544" spans="1:88" ht="15" customHeight="1">
      <c r="A1544" s="18">
        <v>2021</v>
      </c>
      <c r="B1544" s="18" t="str">
        <f>+INDEX(BDD!F:F,MATCH(P1544,BDD!D:D,0))&amp;"-"&amp;INDEX(BDD!E:E,MATCH(P1544,BDD!D:D,0))</f>
        <v>T-S</v>
      </c>
      <c r="C1544" s="125" t="s">
        <v>484</v>
      </c>
      <c r="D1544" s="150" t="s">
        <v>77</v>
      </c>
      <c r="E1544" s="132"/>
      <c r="F1544" s="24"/>
      <c r="G1544" s="346">
        <v>8000001379</v>
      </c>
      <c r="H1544" s="125" t="s">
        <v>5920</v>
      </c>
      <c r="I1544" s="329"/>
      <c r="J1544" s="346">
        <v>8000001379</v>
      </c>
      <c r="K1544" s="24"/>
      <c r="L1544" s="24"/>
      <c r="M1544" s="24"/>
      <c r="N1544" s="340" t="s">
        <v>486</v>
      </c>
      <c r="O1544" s="334">
        <v>208067</v>
      </c>
      <c r="P1544" s="25" t="s">
        <v>383</v>
      </c>
      <c r="Q1544" s="127" t="s">
        <v>303</v>
      </c>
      <c r="R1544" s="232" t="s">
        <v>5778</v>
      </c>
      <c r="S1544" s="89" t="s">
        <v>5156</v>
      </c>
      <c r="T1544" s="36">
        <v>30</v>
      </c>
      <c r="U1544" s="125" t="s">
        <v>131</v>
      </c>
      <c r="V1544" s="147" t="s">
        <v>5921</v>
      </c>
      <c r="W1544" s="129"/>
      <c r="X1544" s="88">
        <f>+BD1544+T1544</f>
        <v>44402</v>
      </c>
      <c r="Y1544" s="130" t="s">
        <v>20</v>
      </c>
      <c r="Z1544" s="133" t="s">
        <v>60</v>
      </c>
      <c r="AA1544" s="133"/>
      <c r="AB1544" s="241">
        <v>486</v>
      </c>
      <c r="AC1544" s="134">
        <v>249</v>
      </c>
      <c r="AD1544" s="134"/>
      <c r="AE1544" s="403">
        <f t="shared" si="90"/>
        <v>121014</v>
      </c>
      <c r="AF1544" s="132">
        <v>18</v>
      </c>
      <c r="AG1544" s="130" t="s">
        <v>5</v>
      </c>
      <c r="AH1544" s="130"/>
      <c r="AI1544" s="130" t="s">
        <v>34</v>
      </c>
      <c r="AJ1544" s="130"/>
      <c r="AK1544" s="130"/>
      <c r="AL1544" s="135" t="s">
        <v>5484</v>
      </c>
      <c r="AM1544" s="314"/>
      <c r="AN1544" s="26"/>
      <c r="AO1544" s="26"/>
      <c r="AP1544" s="26"/>
      <c r="AQ1544" s="26">
        <v>44377</v>
      </c>
      <c r="AR1544" s="24"/>
      <c r="AS1544" s="24"/>
      <c r="AT1544" s="24">
        <v>44384</v>
      </c>
      <c r="AU1544" s="418">
        <f t="shared" si="91"/>
        <v>7</v>
      </c>
      <c r="AV1544" s="418">
        <f t="shared" si="92"/>
        <v>2021</v>
      </c>
      <c r="AW1544" s="24"/>
      <c r="AX1544" s="24"/>
      <c r="AY1544" s="24" t="s">
        <v>3415</v>
      </c>
      <c r="AZ1544" s="24" t="s">
        <v>9</v>
      </c>
      <c r="BA1544" s="24"/>
      <c r="BB1544" s="24" t="s">
        <v>3264</v>
      </c>
      <c r="BC1544" s="135" t="s">
        <v>5922</v>
      </c>
      <c r="BD1544" s="24">
        <v>44372</v>
      </c>
      <c r="BE1544" s="24" t="s">
        <v>1806</v>
      </c>
      <c r="BF1544" s="24" t="s">
        <v>1806</v>
      </c>
      <c r="BG1544" s="135" t="s">
        <v>29</v>
      </c>
      <c r="BH1544" s="135"/>
      <c r="BI1544" s="314" t="s">
        <v>124</v>
      </c>
      <c r="BJ1544" s="314" t="s">
        <v>148</v>
      </c>
      <c r="BK1544" s="24"/>
      <c r="BL1544" s="24"/>
      <c r="BM1544" s="24"/>
      <c r="BN1544" s="24"/>
      <c r="BO1544" s="24">
        <v>44397</v>
      </c>
      <c r="BP1544" s="24"/>
      <c r="BQ1544" s="24"/>
      <c r="BR1544" s="24"/>
      <c r="BS1544" s="24"/>
      <c r="BT1544" s="24"/>
      <c r="BU1544" s="24"/>
      <c r="BV1544" s="132" t="e">
        <f>IF(#REF!="COMPLETO","OK","PENDIENTES")</f>
        <v>#REF!</v>
      </c>
      <c r="BW1544" s="132"/>
      <c r="BX1544" s="132"/>
      <c r="BY1544" s="132"/>
      <c r="BZ1544" s="132"/>
      <c r="CA1544" s="132"/>
      <c r="CB1544" s="132"/>
      <c r="CC1544" s="269"/>
      <c r="CG1544" s="24" t="s">
        <v>105</v>
      </c>
      <c r="CH1544" s="24"/>
      <c r="CI1544" s="24"/>
      <c r="CJ1544" s="24"/>
    </row>
    <row r="1545" spans="1:88" ht="15" customHeight="1">
      <c r="A1545" s="18">
        <v>2021</v>
      </c>
      <c r="B1545" s="18" t="str">
        <f>+INDEX(BDD!F:F,MATCH(P1545,BDD!D:D,0))&amp;"-"&amp;INDEX(BDD!E:E,MATCH(P1545,BDD!D:D,0))</f>
        <v>T-S</v>
      </c>
      <c r="C1545" s="125" t="s">
        <v>484</v>
      </c>
      <c r="D1545" s="150" t="s">
        <v>77</v>
      </c>
      <c r="E1545" s="132"/>
      <c r="F1545" s="24"/>
      <c r="G1545" s="346">
        <v>8000001412</v>
      </c>
      <c r="H1545" s="125" t="s">
        <v>5923</v>
      </c>
      <c r="I1545" s="329"/>
      <c r="J1545" s="346">
        <v>8000001412</v>
      </c>
      <c r="K1545" s="24"/>
      <c r="L1545" s="24"/>
      <c r="M1545" s="24"/>
      <c r="N1545" s="340" t="s">
        <v>486</v>
      </c>
      <c r="O1545" s="334">
        <v>208067</v>
      </c>
      <c r="P1545" s="25" t="s">
        <v>383</v>
      </c>
      <c r="Q1545" s="127" t="s">
        <v>303</v>
      </c>
      <c r="R1545" s="232" t="s">
        <v>5778</v>
      </c>
      <c r="S1545" s="89" t="s">
        <v>5156</v>
      </c>
      <c r="T1545" s="36">
        <v>30</v>
      </c>
      <c r="U1545" s="125" t="s">
        <v>131</v>
      </c>
      <c r="V1545" s="147" t="s">
        <v>5921</v>
      </c>
      <c r="W1545" s="129"/>
      <c r="X1545" s="88">
        <v>44402</v>
      </c>
      <c r="Y1545" s="130" t="s">
        <v>20</v>
      </c>
      <c r="Z1545" s="133" t="s">
        <v>60</v>
      </c>
      <c r="AA1545" s="133"/>
      <c r="AB1545" s="241">
        <v>378</v>
      </c>
      <c r="AC1545" s="134">
        <v>249</v>
      </c>
      <c r="AD1545" s="134"/>
      <c r="AE1545" s="403">
        <f t="shared" si="90"/>
        <v>94122</v>
      </c>
      <c r="AF1545" s="132">
        <v>14</v>
      </c>
      <c r="AG1545" s="130" t="s">
        <v>5</v>
      </c>
      <c r="AH1545" s="130"/>
      <c r="AI1545" s="130" t="s">
        <v>34</v>
      </c>
      <c r="AJ1545" s="130"/>
      <c r="AK1545" s="130"/>
      <c r="AL1545" s="135" t="s">
        <v>5484</v>
      </c>
      <c r="AM1545" s="314"/>
      <c r="AN1545" s="26"/>
      <c r="AO1545" s="26"/>
      <c r="AP1545" s="26"/>
      <c r="AQ1545" s="26">
        <v>44384</v>
      </c>
      <c r="AR1545" s="24"/>
      <c r="AS1545" s="24"/>
      <c r="AT1545" s="24">
        <v>44392</v>
      </c>
      <c r="AU1545" s="418">
        <f t="shared" si="91"/>
        <v>7</v>
      </c>
      <c r="AV1545" s="418">
        <f t="shared" si="92"/>
        <v>2021</v>
      </c>
      <c r="AW1545" s="24"/>
      <c r="AX1545" s="24"/>
      <c r="AY1545" s="24" t="s">
        <v>3415</v>
      </c>
      <c r="AZ1545" s="24" t="s">
        <v>9</v>
      </c>
      <c r="BA1545" s="24"/>
      <c r="BB1545" s="24" t="s">
        <v>3264</v>
      </c>
      <c r="BC1545" s="135" t="s">
        <v>5924</v>
      </c>
      <c r="BD1545" s="24">
        <v>44377</v>
      </c>
      <c r="BE1545" s="24" t="s">
        <v>5130</v>
      </c>
      <c r="BF1545" s="24" t="s">
        <v>5130</v>
      </c>
      <c r="BG1545" s="135" t="s">
        <v>29</v>
      </c>
      <c r="BH1545" s="135"/>
      <c r="BI1545" s="314" t="s">
        <v>124</v>
      </c>
      <c r="BJ1545" s="314" t="s">
        <v>148</v>
      </c>
      <c r="BK1545" s="24"/>
      <c r="BL1545" s="24"/>
      <c r="BM1545" s="24"/>
      <c r="BN1545" s="24"/>
      <c r="BO1545" s="24">
        <v>44404</v>
      </c>
      <c r="BP1545" s="24"/>
      <c r="BQ1545" s="24"/>
      <c r="BR1545" s="24"/>
      <c r="BS1545" s="24"/>
      <c r="BT1545" s="24"/>
      <c r="BU1545" s="24"/>
      <c r="BV1545" s="132" t="e">
        <f>IF(#REF!="COMPLETO","OK","PENDIENTES")</f>
        <v>#REF!</v>
      </c>
      <c r="BW1545" s="132"/>
      <c r="BX1545" s="132"/>
      <c r="BY1545" s="132"/>
      <c r="BZ1545" s="132"/>
      <c r="CA1545" s="132"/>
      <c r="CB1545" s="132"/>
      <c r="CC1545" s="269"/>
      <c r="CG1545" s="24" t="s">
        <v>105</v>
      </c>
      <c r="CH1545" s="24"/>
      <c r="CI1545" s="24"/>
      <c r="CJ1545" s="24"/>
    </row>
    <row r="1546" spans="1:88" ht="15" customHeight="1">
      <c r="A1546" s="18">
        <v>2021</v>
      </c>
      <c r="B1546" s="18" t="str">
        <f>+INDEX(BDD!F:F,MATCH(P1546,BDD!D:D,0))&amp;"-"&amp;INDEX(BDD!E:E,MATCH(P1546,BDD!D:D,0))</f>
        <v>T-S</v>
      </c>
      <c r="C1546" s="125" t="s">
        <v>484</v>
      </c>
      <c r="D1546" s="150" t="s">
        <v>77</v>
      </c>
      <c r="E1546" s="132"/>
      <c r="F1546" s="24"/>
      <c r="G1546" s="346">
        <v>8000001388</v>
      </c>
      <c r="H1546" s="125" t="s">
        <v>5925</v>
      </c>
      <c r="I1546" s="329"/>
      <c r="J1546" s="346">
        <v>8000001388</v>
      </c>
      <c r="K1546" s="24"/>
      <c r="L1546" s="24"/>
      <c r="M1546" s="24"/>
      <c r="N1546" s="340" t="s">
        <v>486</v>
      </c>
      <c r="O1546" s="334">
        <v>208067</v>
      </c>
      <c r="P1546" s="25" t="s">
        <v>383</v>
      </c>
      <c r="Q1546" s="127" t="s">
        <v>303</v>
      </c>
      <c r="R1546" s="232" t="s">
        <v>5926</v>
      </c>
      <c r="S1546" s="89" t="s">
        <v>5574</v>
      </c>
      <c r="T1546" s="36" t="s">
        <v>19</v>
      </c>
      <c r="U1546" s="125"/>
      <c r="V1546" s="147" t="s">
        <v>5927</v>
      </c>
      <c r="W1546" s="129"/>
      <c r="X1546" s="88">
        <v>44382</v>
      </c>
      <c r="Y1546" s="130" t="s">
        <v>20</v>
      </c>
      <c r="Z1546" s="133" t="s">
        <v>60</v>
      </c>
      <c r="AA1546" s="133"/>
      <c r="AB1546" s="241">
        <v>297</v>
      </c>
      <c r="AC1546" s="134">
        <v>249</v>
      </c>
      <c r="AD1546" s="134"/>
      <c r="AE1546" s="403">
        <f t="shared" si="90"/>
        <v>73953</v>
      </c>
      <c r="AF1546" s="132">
        <v>11</v>
      </c>
      <c r="AG1546" s="130" t="s">
        <v>5</v>
      </c>
      <c r="AH1546" s="130"/>
      <c r="AI1546" s="130" t="s">
        <v>34</v>
      </c>
      <c r="AJ1546" s="130"/>
      <c r="AK1546" s="130"/>
      <c r="AL1546" s="135" t="s">
        <v>5484</v>
      </c>
      <c r="AM1546" s="314"/>
      <c r="AN1546" s="26"/>
      <c r="AO1546" s="26"/>
      <c r="AP1546" s="26"/>
      <c r="AQ1546" s="26">
        <v>44384</v>
      </c>
      <c r="AR1546" s="24"/>
      <c r="AS1546" s="24"/>
      <c r="AT1546" s="24">
        <v>44396</v>
      </c>
      <c r="AU1546" s="418">
        <f t="shared" si="91"/>
        <v>7</v>
      </c>
      <c r="AV1546" s="418">
        <f t="shared" si="92"/>
        <v>2021</v>
      </c>
      <c r="AW1546" s="24"/>
      <c r="AX1546" s="24"/>
      <c r="AY1546" s="24" t="s">
        <v>3415</v>
      </c>
      <c r="AZ1546" s="24" t="s">
        <v>9</v>
      </c>
      <c r="BA1546" s="24"/>
      <c r="BB1546" s="24" t="s">
        <v>3264</v>
      </c>
      <c r="BC1546" s="135" t="s">
        <v>5928</v>
      </c>
      <c r="BD1546" s="24">
        <v>44379</v>
      </c>
      <c r="BE1546" s="24" t="s">
        <v>5130</v>
      </c>
      <c r="BF1546" s="24" t="s">
        <v>5130</v>
      </c>
      <c r="BG1546" s="135" t="s">
        <v>64</v>
      </c>
      <c r="BH1546" s="135"/>
      <c r="BI1546" s="314" t="s">
        <v>124</v>
      </c>
      <c r="BJ1546" s="314" t="s">
        <v>138</v>
      </c>
      <c r="BK1546" s="24"/>
      <c r="BL1546" s="24"/>
      <c r="BM1546" s="24"/>
      <c r="BN1546" s="24"/>
      <c r="BO1546" s="24">
        <v>44404</v>
      </c>
      <c r="BP1546" s="24"/>
      <c r="BQ1546" s="24"/>
      <c r="BR1546" s="24"/>
      <c r="BS1546" s="24"/>
      <c r="BT1546" s="24"/>
      <c r="BU1546" s="24"/>
      <c r="BV1546" s="132" t="e">
        <f>IF(#REF!="COMPLETO","OK","PENDIENTES")</f>
        <v>#REF!</v>
      </c>
      <c r="BW1546" s="132"/>
      <c r="BX1546" s="132"/>
      <c r="BY1546" s="132"/>
      <c r="BZ1546" s="132"/>
      <c r="CA1546" s="132"/>
      <c r="CB1546" s="132"/>
      <c r="CC1546" s="269"/>
      <c r="CG1546" s="24" t="s">
        <v>105</v>
      </c>
      <c r="CH1546" s="24"/>
      <c r="CI1546" s="24"/>
      <c r="CJ1546" s="24"/>
    </row>
    <row r="1547" spans="1:88" ht="15" customHeight="1">
      <c r="A1547" s="18">
        <v>2021</v>
      </c>
      <c r="B1547" s="18" t="str">
        <f>+INDEX(BDD!F:F,MATCH(P1547,BDD!D:D,0))&amp;"-"&amp;INDEX(BDD!E:E,MATCH(P1547,BDD!D:D,0))</f>
        <v>T-S</v>
      </c>
      <c r="C1547" s="125" t="s">
        <v>484</v>
      </c>
      <c r="D1547" s="150" t="s">
        <v>77</v>
      </c>
      <c r="E1547" s="132"/>
      <c r="F1547" s="24"/>
      <c r="G1547" s="346">
        <v>8000001427</v>
      </c>
      <c r="H1547" s="125" t="s">
        <v>5929</v>
      </c>
      <c r="I1547" s="329"/>
      <c r="J1547" s="346">
        <v>8000001427</v>
      </c>
      <c r="K1547" s="24"/>
      <c r="L1547" s="24">
        <v>44420</v>
      </c>
      <c r="M1547" s="24">
        <v>44420</v>
      </c>
      <c r="N1547" s="340" t="s">
        <v>486</v>
      </c>
      <c r="O1547" s="334">
        <v>208067</v>
      </c>
      <c r="P1547" s="25" t="s">
        <v>383</v>
      </c>
      <c r="Q1547" s="127" t="s">
        <v>303</v>
      </c>
      <c r="R1547" s="232" t="s">
        <v>5930</v>
      </c>
      <c r="S1547" s="89" t="s">
        <v>5574</v>
      </c>
      <c r="T1547" s="36">
        <v>30</v>
      </c>
      <c r="U1547" s="125" t="s">
        <v>131</v>
      </c>
      <c r="V1547" s="147" t="s">
        <v>5931</v>
      </c>
      <c r="W1547" s="129"/>
      <c r="X1547" s="88">
        <v>44431</v>
      </c>
      <c r="Y1547" s="130" t="s">
        <v>20</v>
      </c>
      <c r="Z1547" s="133" t="s">
        <v>60</v>
      </c>
      <c r="AA1547" s="133"/>
      <c r="AB1547" s="241">
        <v>405</v>
      </c>
      <c r="AC1547" s="134">
        <v>269</v>
      </c>
      <c r="AD1547" s="134"/>
      <c r="AE1547" s="403">
        <f t="shared" si="90"/>
        <v>108945</v>
      </c>
      <c r="AF1547" s="132">
        <v>15</v>
      </c>
      <c r="AG1547" s="130" t="s">
        <v>5</v>
      </c>
      <c r="AH1547" s="130"/>
      <c r="AI1547" s="130" t="s">
        <v>34</v>
      </c>
      <c r="AJ1547" s="130"/>
      <c r="AK1547" s="130"/>
      <c r="AL1547" s="135" t="s">
        <v>5574</v>
      </c>
      <c r="AM1547" s="314"/>
      <c r="AN1547" s="26"/>
      <c r="AO1547" s="26">
        <v>44400</v>
      </c>
      <c r="AP1547" s="26"/>
      <c r="AQ1547" s="26">
        <v>44405</v>
      </c>
      <c r="AR1547" s="24"/>
      <c r="AS1547" s="24"/>
      <c r="AT1547" s="24">
        <v>44419</v>
      </c>
      <c r="AU1547" s="418">
        <f t="shared" si="91"/>
        <v>8</v>
      </c>
      <c r="AV1547" s="418">
        <f t="shared" si="92"/>
        <v>2021</v>
      </c>
      <c r="AW1547" s="24"/>
      <c r="AX1547" s="24"/>
      <c r="AY1547" s="24" t="s">
        <v>3415</v>
      </c>
      <c r="AZ1547" s="24" t="s">
        <v>9</v>
      </c>
      <c r="BA1547" s="24"/>
      <c r="BB1547" s="24" t="s">
        <v>3519</v>
      </c>
      <c r="BC1547" s="135" t="s">
        <v>5932</v>
      </c>
      <c r="BD1547" s="24">
        <v>44400</v>
      </c>
      <c r="BE1547" s="24" t="s">
        <v>1806</v>
      </c>
      <c r="BF1547" s="24" t="s">
        <v>1806</v>
      </c>
      <c r="BG1547" s="135" t="s">
        <v>29</v>
      </c>
      <c r="BH1547" s="135"/>
      <c r="BI1547" s="314" t="s">
        <v>124</v>
      </c>
      <c r="BJ1547" s="314" t="s">
        <v>148</v>
      </c>
      <c r="BK1547" s="24"/>
      <c r="BL1547" s="24"/>
      <c r="BM1547" s="24"/>
      <c r="BN1547" s="24"/>
      <c r="BO1547" s="24"/>
      <c r="BP1547" s="24"/>
      <c r="BQ1547" s="24"/>
      <c r="BR1547" s="24"/>
      <c r="BS1547" s="24"/>
      <c r="BT1547" s="24"/>
      <c r="BU1547" s="24"/>
      <c r="BV1547" s="132" t="e">
        <f>IF(#REF!="COMPLETO","OK","PENDIENTES")</f>
        <v>#REF!</v>
      </c>
      <c r="BW1547" s="132"/>
      <c r="BX1547" s="132"/>
      <c r="BY1547" s="132"/>
      <c r="BZ1547" s="132"/>
      <c r="CA1547" s="132"/>
      <c r="CB1547" s="132"/>
      <c r="CC1547" s="269"/>
      <c r="CG1547" s="24" t="s">
        <v>105</v>
      </c>
      <c r="CH1547" s="24"/>
      <c r="CI1547" s="24"/>
      <c r="CJ1547" s="24"/>
    </row>
    <row r="1548" spans="1:88" ht="15" customHeight="1">
      <c r="A1548" s="18">
        <v>2021</v>
      </c>
      <c r="B1548" s="18" t="str">
        <f>+INDEX(BDD!F:F,MATCH(P1548,BDD!D:D,0))&amp;"-"&amp;INDEX(BDD!E:E,MATCH(P1548,BDD!D:D,0))</f>
        <v>T-S</v>
      </c>
      <c r="C1548" s="125" t="s">
        <v>484</v>
      </c>
      <c r="D1548" s="150" t="s">
        <v>77</v>
      </c>
      <c r="E1548" s="132"/>
      <c r="F1548" s="24"/>
      <c r="G1548" s="346">
        <v>8000001432</v>
      </c>
      <c r="H1548" s="125" t="s">
        <v>5933</v>
      </c>
      <c r="I1548" s="329"/>
      <c r="J1548" s="346">
        <v>8000001432</v>
      </c>
      <c r="K1548" s="24"/>
      <c r="L1548" s="24">
        <v>44424</v>
      </c>
      <c r="M1548" s="24">
        <v>44426</v>
      </c>
      <c r="N1548" s="340" t="s">
        <v>486</v>
      </c>
      <c r="O1548" s="334">
        <v>208067</v>
      </c>
      <c r="P1548" s="25" t="s">
        <v>383</v>
      </c>
      <c r="Q1548" s="127" t="s">
        <v>303</v>
      </c>
      <c r="R1548" s="232" t="s">
        <v>5930</v>
      </c>
      <c r="S1548" s="89">
        <v>44362</v>
      </c>
      <c r="T1548" s="36">
        <v>30</v>
      </c>
      <c r="U1548" s="125" t="s">
        <v>131</v>
      </c>
      <c r="V1548" s="147" t="s">
        <v>5934</v>
      </c>
      <c r="W1548" s="129"/>
      <c r="X1548" s="88">
        <v>44431</v>
      </c>
      <c r="Y1548" s="130" t="s">
        <v>20</v>
      </c>
      <c r="Z1548" s="133" t="s">
        <v>60</v>
      </c>
      <c r="AA1548" s="133"/>
      <c r="AB1548" s="241">
        <v>162</v>
      </c>
      <c r="AC1548" s="134">
        <v>269</v>
      </c>
      <c r="AD1548" s="134"/>
      <c r="AE1548" s="403">
        <f t="shared" si="90"/>
        <v>43578</v>
      </c>
      <c r="AF1548" s="132">
        <v>6</v>
      </c>
      <c r="AG1548" s="130" t="s">
        <v>5</v>
      </c>
      <c r="AH1548" s="130"/>
      <c r="AI1548" s="130" t="s">
        <v>34</v>
      </c>
      <c r="AJ1548" s="130"/>
      <c r="AK1548" s="130"/>
      <c r="AL1548" s="135" t="s">
        <v>5574</v>
      </c>
      <c r="AM1548" s="314"/>
      <c r="AN1548" s="26"/>
      <c r="AO1548" s="26">
        <v>44407</v>
      </c>
      <c r="AP1548" s="26"/>
      <c r="AQ1548" s="26">
        <v>44412</v>
      </c>
      <c r="AR1548" s="24"/>
      <c r="AS1548" s="24"/>
      <c r="AT1548" s="24">
        <v>44424</v>
      </c>
      <c r="AU1548" s="418">
        <f t="shared" si="91"/>
        <v>8</v>
      </c>
      <c r="AV1548" s="418">
        <f t="shared" si="92"/>
        <v>2021</v>
      </c>
      <c r="AW1548" s="24"/>
      <c r="AX1548" s="24"/>
      <c r="AY1548" s="24" t="s">
        <v>3415</v>
      </c>
      <c r="AZ1548" s="24" t="s">
        <v>9</v>
      </c>
      <c r="BA1548" s="24"/>
      <c r="BB1548" s="24" t="s">
        <v>3264</v>
      </c>
      <c r="BC1548" s="135" t="s">
        <v>5935</v>
      </c>
      <c r="BD1548" s="24">
        <v>44407</v>
      </c>
      <c r="BE1548" s="24" t="s">
        <v>5130</v>
      </c>
      <c r="BF1548" s="24" t="s">
        <v>5130</v>
      </c>
      <c r="BG1548" s="135" t="s">
        <v>29</v>
      </c>
      <c r="BH1548" s="135"/>
      <c r="BI1548" s="314" t="s">
        <v>124</v>
      </c>
      <c r="BJ1548" s="314" t="s">
        <v>148</v>
      </c>
      <c r="BK1548" s="24"/>
      <c r="BL1548" s="24"/>
      <c r="BM1548" s="24"/>
      <c r="BN1548" s="24"/>
      <c r="BO1548" s="24"/>
      <c r="BP1548" s="24"/>
      <c r="BQ1548" s="24"/>
      <c r="BR1548" s="24"/>
      <c r="BS1548" s="24"/>
      <c r="BT1548" s="24"/>
      <c r="BU1548" s="24"/>
      <c r="BV1548" s="132" t="e">
        <f>IF(#REF!="COMPLETO","OK","PENDIENTES")</f>
        <v>#REF!</v>
      </c>
      <c r="BW1548" s="132"/>
      <c r="BX1548" s="132"/>
      <c r="BY1548" s="132"/>
      <c r="BZ1548" s="132"/>
      <c r="CA1548" s="132"/>
      <c r="CB1548" s="132"/>
      <c r="CC1548" s="269"/>
      <c r="CG1548" s="24" t="s">
        <v>105</v>
      </c>
      <c r="CH1548" s="24"/>
      <c r="CI1548" s="24"/>
      <c r="CJ1548" s="24"/>
    </row>
    <row r="1549" spans="1:88" ht="15" customHeight="1">
      <c r="A1549" s="18">
        <v>2021</v>
      </c>
      <c r="B1549" s="18" t="str">
        <f>+INDEX(BDD!F:F,MATCH(P1549,BDD!D:D,0))&amp;"-"&amp;INDEX(BDD!E:E,MATCH(P1549,BDD!D:D,0))</f>
        <v>T-S</v>
      </c>
      <c r="C1549" s="125" t="s">
        <v>484</v>
      </c>
      <c r="D1549" s="150" t="s">
        <v>77</v>
      </c>
      <c r="E1549" s="132"/>
      <c r="F1549" s="24"/>
      <c r="G1549" s="346">
        <v>8000001428</v>
      </c>
      <c r="H1549" s="125" t="s">
        <v>5936</v>
      </c>
      <c r="I1549" s="329"/>
      <c r="J1549" s="346">
        <v>8000001428</v>
      </c>
      <c r="K1549" s="24"/>
      <c r="L1549" s="24">
        <v>44424</v>
      </c>
      <c r="M1549" s="24">
        <v>44426</v>
      </c>
      <c r="N1549" s="340" t="s">
        <v>486</v>
      </c>
      <c r="O1549" s="334">
        <v>208067</v>
      </c>
      <c r="P1549" s="25" t="s">
        <v>383</v>
      </c>
      <c r="Q1549" s="127" t="s">
        <v>303</v>
      </c>
      <c r="R1549" s="232" t="s">
        <v>5937</v>
      </c>
      <c r="S1549" s="89">
        <v>44362</v>
      </c>
      <c r="T1549" s="36">
        <v>30</v>
      </c>
      <c r="U1549" s="125" t="s">
        <v>131</v>
      </c>
      <c r="V1549" s="147" t="s">
        <v>5938</v>
      </c>
      <c r="W1549" s="129"/>
      <c r="X1549" s="88">
        <v>44432</v>
      </c>
      <c r="Y1549" s="130" t="s">
        <v>20</v>
      </c>
      <c r="Z1549" s="133" t="s">
        <v>60</v>
      </c>
      <c r="AA1549" s="133"/>
      <c r="AB1549" s="241">
        <v>540</v>
      </c>
      <c r="AC1549" s="134">
        <v>269</v>
      </c>
      <c r="AD1549" s="134"/>
      <c r="AE1549" s="403">
        <f t="shared" si="90"/>
        <v>145260</v>
      </c>
      <c r="AF1549" s="132">
        <v>20</v>
      </c>
      <c r="AG1549" s="130" t="s">
        <v>5</v>
      </c>
      <c r="AH1549" s="130"/>
      <c r="AI1549" s="130" t="s">
        <v>34</v>
      </c>
      <c r="AJ1549" s="130"/>
      <c r="AK1549" s="130"/>
      <c r="AL1549" s="135" t="s">
        <v>5574</v>
      </c>
      <c r="AM1549" s="314"/>
      <c r="AN1549" s="26"/>
      <c r="AO1549" s="26">
        <v>44407</v>
      </c>
      <c r="AP1549" s="26"/>
      <c r="AQ1549" s="26">
        <v>44412</v>
      </c>
      <c r="AR1549" s="24"/>
      <c r="AS1549" s="24"/>
      <c r="AT1549" s="24">
        <v>44421</v>
      </c>
      <c r="AU1549" s="418">
        <f t="shared" si="91"/>
        <v>8</v>
      </c>
      <c r="AV1549" s="418">
        <f t="shared" si="92"/>
        <v>2021</v>
      </c>
      <c r="AW1549" s="24"/>
      <c r="AX1549" s="24"/>
      <c r="AY1549" s="24" t="s">
        <v>3415</v>
      </c>
      <c r="AZ1549" s="24" t="s">
        <v>9</v>
      </c>
      <c r="BA1549" s="24"/>
      <c r="BB1549" s="24" t="s">
        <v>3264</v>
      </c>
      <c r="BC1549" s="135" t="s">
        <v>5939</v>
      </c>
      <c r="BD1549" s="24">
        <v>44407</v>
      </c>
      <c r="BE1549" s="24" t="s">
        <v>5130</v>
      </c>
      <c r="BF1549" s="24" t="s">
        <v>5130</v>
      </c>
      <c r="BG1549" s="135" t="s">
        <v>64</v>
      </c>
      <c r="BH1549" s="135"/>
      <c r="BI1549" s="314" t="s">
        <v>124</v>
      </c>
      <c r="BJ1549" s="314" t="s">
        <v>148</v>
      </c>
      <c r="BK1549" s="24"/>
      <c r="BL1549" s="24"/>
      <c r="BM1549" s="24"/>
      <c r="BN1549" s="24"/>
      <c r="BO1549" s="24"/>
      <c r="BP1549" s="24"/>
      <c r="BQ1549" s="24"/>
      <c r="BR1549" s="24"/>
      <c r="BS1549" s="24"/>
      <c r="BT1549" s="24"/>
      <c r="BU1549" s="24"/>
      <c r="BV1549" s="132" t="e">
        <f>IF(#REF!="COMPLETO","OK","PENDIENTES")</f>
        <v>#REF!</v>
      </c>
      <c r="BW1549" s="132"/>
      <c r="BX1549" s="132"/>
      <c r="BY1549" s="132"/>
      <c r="BZ1549" s="132"/>
      <c r="CA1549" s="132"/>
      <c r="CB1549" s="132"/>
      <c r="CC1549" s="269"/>
      <c r="CG1549" s="24" t="s">
        <v>105</v>
      </c>
      <c r="CH1549" s="24"/>
      <c r="CI1549" s="24"/>
      <c r="CJ1549" s="24"/>
    </row>
    <row r="1550" spans="1:88" ht="15" customHeight="1">
      <c r="A1550" s="18">
        <v>2021</v>
      </c>
      <c r="B1550" s="18" t="str">
        <f>+INDEX(BDD!F:F,MATCH(P1550,BDD!D:D,0))&amp;"-"&amp;INDEX(BDD!E:E,MATCH(P1550,BDD!D:D,0))</f>
        <v>O-S</v>
      </c>
      <c r="C1550" s="125" t="s">
        <v>484</v>
      </c>
      <c r="D1550" s="150" t="s">
        <v>77</v>
      </c>
      <c r="E1550" s="132"/>
      <c r="F1550" s="24"/>
      <c r="G1550" s="346">
        <v>8000001597</v>
      </c>
      <c r="H1550" s="125" t="s">
        <v>5940</v>
      </c>
      <c r="I1550" s="329"/>
      <c r="J1550" s="346">
        <v>8000001597</v>
      </c>
      <c r="K1550" s="24"/>
      <c r="L1550" s="24">
        <v>44483</v>
      </c>
      <c r="M1550" s="24">
        <v>44487</v>
      </c>
      <c r="N1550" s="340" t="s">
        <v>486</v>
      </c>
      <c r="O1550" s="334">
        <v>203553</v>
      </c>
      <c r="P1550" s="25" t="s">
        <v>386</v>
      </c>
      <c r="Q1550" s="127" t="s">
        <v>303</v>
      </c>
      <c r="R1550" s="232" t="s">
        <v>5941</v>
      </c>
      <c r="S1550" s="89">
        <v>44362</v>
      </c>
      <c r="T1550" s="36" t="s">
        <v>19</v>
      </c>
      <c r="U1550" s="125"/>
      <c r="V1550" s="147" t="s">
        <v>5942</v>
      </c>
      <c r="W1550" s="129"/>
      <c r="X1550" s="88">
        <v>44478</v>
      </c>
      <c r="Y1550" s="130" t="s">
        <v>20</v>
      </c>
      <c r="Z1550" s="133" t="s">
        <v>60</v>
      </c>
      <c r="AA1550" s="133"/>
      <c r="AB1550" s="257">
        <v>107.74</v>
      </c>
      <c r="AC1550" s="134">
        <v>319.13</v>
      </c>
      <c r="AD1550" s="134"/>
      <c r="AE1550" s="403">
        <f t="shared" si="90"/>
        <v>34383.066200000001</v>
      </c>
      <c r="AF1550" s="132">
        <v>4</v>
      </c>
      <c r="AG1550" s="130" t="s">
        <v>5</v>
      </c>
      <c r="AH1550" s="130"/>
      <c r="AI1550" s="130" t="s">
        <v>100</v>
      </c>
      <c r="AJ1550" s="130"/>
      <c r="AK1550" s="130"/>
      <c r="AL1550" s="135" t="s">
        <v>5574</v>
      </c>
      <c r="AM1550" s="314"/>
      <c r="AN1550" s="26">
        <f>BL1550</f>
        <v>0</v>
      </c>
      <c r="AO1550" s="26">
        <v>44454</v>
      </c>
      <c r="AP1550" s="26">
        <f>AQ1550</f>
        <v>44474</v>
      </c>
      <c r="AQ1550" s="26">
        <v>44474</v>
      </c>
      <c r="AR1550" s="24">
        <f>AP1550+BO1550</f>
        <v>44474</v>
      </c>
      <c r="AS1550" s="24"/>
      <c r="AT1550" s="24">
        <v>44483</v>
      </c>
      <c r="AU1550" s="418">
        <f t="shared" si="91"/>
        <v>10</v>
      </c>
      <c r="AV1550" s="418">
        <f t="shared" si="92"/>
        <v>2021</v>
      </c>
      <c r="AW1550" s="24"/>
      <c r="AX1550" s="24"/>
      <c r="AY1550" s="24" t="s">
        <v>8</v>
      </c>
      <c r="AZ1550" s="24" t="s">
        <v>9</v>
      </c>
      <c r="BA1550" s="24"/>
      <c r="BB1550" s="24" t="s">
        <v>3264</v>
      </c>
      <c r="BC1550" s="135" t="s">
        <v>5943</v>
      </c>
      <c r="BD1550" s="24">
        <v>44456</v>
      </c>
      <c r="BE1550" s="24" t="s">
        <v>2329</v>
      </c>
      <c r="BF1550" s="24" t="s">
        <v>5944</v>
      </c>
      <c r="BG1550" s="135" t="s">
        <v>29</v>
      </c>
      <c r="BH1550" s="135"/>
      <c r="BI1550" s="314" t="s">
        <v>124</v>
      </c>
      <c r="BJ1550" s="314" t="s">
        <v>148</v>
      </c>
      <c r="BK1550" s="24"/>
      <c r="BL1550" s="24"/>
      <c r="BM1550" s="24"/>
      <c r="BN1550" s="24"/>
      <c r="BO1550" s="41"/>
      <c r="BP1550" s="41"/>
      <c r="BQ1550" s="41"/>
      <c r="BR1550" s="24"/>
      <c r="BS1550" s="41"/>
      <c r="BT1550" s="41"/>
      <c r="BU1550" s="41"/>
      <c r="BV1550" s="132" t="e">
        <f>IF(#REF!="COMPLETO","OK","PENDIENTES")</f>
        <v>#REF!</v>
      </c>
      <c r="BW1550" s="132"/>
      <c r="BX1550" s="132"/>
      <c r="BY1550" s="132"/>
      <c r="BZ1550" s="132"/>
      <c r="CA1550" s="132"/>
      <c r="CB1550" s="132"/>
      <c r="CC1550" s="269"/>
      <c r="CG1550" s="24" t="s">
        <v>105</v>
      </c>
      <c r="CH1550" s="24"/>
      <c r="CI1550" s="24"/>
      <c r="CJ1550" s="24"/>
    </row>
    <row r="1551" spans="1:88" ht="15" customHeight="1">
      <c r="A1551" s="18">
        <v>2021</v>
      </c>
      <c r="B1551" s="18" t="str">
        <f>+INDEX(BDD!F:F,MATCH(P1551,BDD!D:D,0))&amp;"-"&amp;INDEX(BDD!E:E,MATCH(P1551,BDD!D:D,0))</f>
        <v>T-S</v>
      </c>
      <c r="C1551" s="125" t="s">
        <v>484</v>
      </c>
      <c r="D1551" s="150" t="s">
        <v>77</v>
      </c>
      <c r="E1551" s="132"/>
      <c r="F1551" s="24"/>
      <c r="G1551" s="346">
        <v>8000001419</v>
      </c>
      <c r="H1551" s="125" t="s">
        <v>5945</v>
      </c>
      <c r="I1551" s="329"/>
      <c r="J1551" s="346">
        <v>8000001419</v>
      </c>
      <c r="K1551" s="24"/>
      <c r="L1551" s="24">
        <v>44414</v>
      </c>
      <c r="M1551" s="24">
        <v>44420</v>
      </c>
      <c r="N1551" s="340" t="s">
        <v>486</v>
      </c>
      <c r="O1551" s="334">
        <v>208067</v>
      </c>
      <c r="P1551" s="25" t="s">
        <v>383</v>
      </c>
      <c r="Q1551" s="127" t="s">
        <v>303</v>
      </c>
      <c r="R1551" s="232" t="s">
        <v>5946</v>
      </c>
      <c r="S1551" s="89" t="s">
        <v>5574</v>
      </c>
      <c r="T1551" s="36">
        <v>30</v>
      </c>
      <c r="U1551" s="125" t="s">
        <v>131</v>
      </c>
      <c r="V1551" s="147" t="s">
        <v>5947</v>
      </c>
      <c r="W1551" s="129"/>
      <c r="X1551" s="88">
        <v>44430</v>
      </c>
      <c r="Y1551" s="130" t="s">
        <v>20</v>
      </c>
      <c r="Z1551" s="133" t="s">
        <v>60</v>
      </c>
      <c r="AA1551" s="133"/>
      <c r="AB1551" s="241">
        <v>648</v>
      </c>
      <c r="AC1551" s="134">
        <v>269</v>
      </c>
      <c r="AD1551" s="134"/>
      <c r="AE1551" s="403">
        <f t="shared" si="90"/>
        <v>174312</v>
      </c>
      <c r="AF1551" s="132">
        <v>24</v>
      </c>
      <c r="AG1551" s="130" t="s">
        <v>5</v>
      </c>
      <c r="AH1551" s="130"/>
      <c r="AI1551" s="130" t="s">
        <v>34</v>
      </c>
      <c r="AJ1551" s="130"/>
      <c r="AK1551" s="130"/>
      <c r="AL1551" s="135" t="s">
        <v>5574</v>
      </c>
      <c r="AM1551" s="314"/>
      <c r="AN1551" s="26"/>
      <c r="AO1551" s="26">
        <v>44391</v>
      </c>
      <c r="AP1551" s="26"/>
      <c r="AQ1551" s="26">
        <v>44400</v>
      </c>
      <c r="AR1551" s="24"/>
      <c r="AS1551" s="24"/>
      <c r="AT1551" s="24">
        <v>44412</v>
      </c>
      <c r="AU1551" s="418">
        <f t="shared" si="91"/>
        <v>8</v>
      </c>
      <c r="AV1551" s="418">
        <f t="shared" si="92"/>
        <v>2021</v>
      </c>
      <c r="AW1551" s="24"/>
      <c r="AX1551" s="24"/>
      <c r="AY1551" s="24" t="s">
        <v>3415</v>
      </c>
      <c r="AZ1551" s="24" t="s">
        <v>37</v>
      </c>
      <c r="BA1551" s="24"/>
      <c r="BB1551" s="24" t="s">
        <v>3593</v>
      </c>
      <c r="BC1551" s="135" t="s">
        <v>5948</v>
      </c>
      <c r="BD1551" s="24">
        <v>44391</v>
      </c>
      <c r="BE1551" s="24" t="s">
        <v>814</v>
      </c>
      <c r="BF1551" s="24" t="s">
        <v>814</v>
      </c>
      <c r="BG1551" s="135" t="s">
        <v>64</v>
      </c>
      <c r="BH1551" s="135"/>
      <c r="BI1551" s="314" t="s">
        <v>124</v>
      </c>
      <c r="BJ1551" s="314" t="s">
        <v>138</v>
      </c>
      <c r="BK1551" s="24"/>
      <c r="BL1551" s="24"/>
      <c r="BM1551" s="24"/>
      <c r="BN1551" s="24"/>
      <c r="BO1551" s="24">
        <f>AQ1551+14</f>
        <v>44414</v>
      </c>
      <c r="BP1551" s="24"/>
      <c r="BQ1551" s="24"/>
      <c r="BR1551" s="24"/>
      <c r="BS1551" s="24"/>
      <c r="BT1551" s="24"/>
      <c r="BU1551" s="24"/>
      <c r="BV1551" s="132" t="e">
        <f>IF(#REF!="COMPLETO","OK","PENDIENTES")</f>
        <v>#REF!</v>
      </c>
      <c r="BW1551" s="132"/>
      <c r="BX1551" s="132"/>
      <c r="BY1551" s="132"/>
      <c r="BZ1551" s="132"/>
      <c r="CA1551" s="132"/>
      <c r="CB1551" s="132"/>
      <c r="CC1551" s="269"/>
      <c r="CG1551" s="24" t="s">
        <v>105</v>
      </c>
      <c r="CH1551" s="24"/>
      <c r="CI1551" s="24"/>
      <c r="CJ1551" s="24"/>
    </row>
    <row r="1552" spans="1:88" ht="15" customHeight="1">
      <c r="A1552" s="18">
        <v>2021</v>
      </c>
      <c r="B1552" s="18" t="str">
        <f>+INDEX(BDD!F:F,MATCH(P1552,BDD!D:D,0))&amp;"-"&amp;INDEX(BDD!E:E,MATCH(P1552,BDD!D:D,0))</f>
        <v>T-S</v>
      </c>
      <c r="C1552" s="125" t="s">
        <v>484</v>
      </c>
      <c r="D1552" s="150" t="s">
        <v>77</v>
      </c>
      <c r="E1552" s="132"/>
      <c r="F1552" s="24"/>
      <c r="G1552" s="346">
        <v>8000001433</v>
      </c>
      <c r="H1552" s="125" t="s">
        <v>5949</v>
      </c>
      <c r="I1552" s="329"/>
      <c r="J1552" s="346">
        <v>8000001433</v>
      </c>
      <c r="K1552" s="24"/>
      <c r="L1552" s="24">
        <v>44431</v>
      </c>
      <c r="M1552" s="24">
        <v>44431</v>
      </c>
      <c r="N1552" s="340" t="s">
        <v>486</v>
      </c>
      <c r="O1552" s="334">
        <v>208067</v>
      </c>
      <c r="P1552" s="25" t="s">
        <v>383</v>
      </c>
      <c r="Q1552" s="127" t="s">
        <v>303</v>
      </c>
      <c r="R1552" s="232" t="s">
        <v>5950</v>
      </c>
      <c r="S1552" s="89">
        <v>44362</v>
      </c>
      <c r="T1552" s="36">
        <v>30</v>
      </c>
      <c r="U1552" s="125" t="s">
        <v>131</v>
      </c>
      <c r="V1552" s="147" t="s">
        <v>5951</v>
      </c>
      <c r="W1552" s="129"/>
      <c r="X1552" s="88">
        <f>+T1552+BD1552</f>
        <v>44442</v>
      </c>
      <c r="Y1552" s="130" t="s">
        <v>20</v>
      </c>
      <c r="Z1552" s="133" t="s">
        <v>60</v>
      </c>
      <c r="AA1552" s="133"/>
      <c r="AB1552" s="241">
        <v>135</v>
      </c>
      <c r="AC1552" s="134">
        <v>269</v>
      </c>
      <c r="AD1552" s="134"/>
      <c r="AE1552" s="403">
        <f t="shared" si="90"/>
        <v>36315</v>
      </c>
      <c r="AF1552" s="132">
        <v>5</v>
      </c>
      <c r="AG1552" s="130" t="s">
        <v>5</v>
      </c>
      <c r="AH1552" s="130"/>
      <c r="AI1552" s="130" t="s">
        <v>34</v>
      </c>
      <c r="AJ1552" s="130"/>
      <c r="AK1552" s="130"/>
      <c r="AL1552" s="135" t="s">
        <v>5574</v>
      </c>
      <c r="AM1552" s="314"/>
      <c r="AN1552" s="26"/>
      <c r="AO1552" s="26">
        <v>44412</v>
      </c>
      <c r="AP1552" s="26"/>
      <c r="AQ1552" s="26">
        <v>44420</v>
      </c>
      <c r="AR1552" s="24"/>
      <c r="AS1552" s="24"/>
      <c r="AT1552" s="24">
        <v>44429</v>
      </c>
      <c r="AU1552" s="418">
        <f t="shared" si="91"/>
        <v>8</v>
      </c>
      <c r="AV1552" s="418">
        <f t="shared" si="92"/>
        <v>2021</v>
      </c>
      <c r="AW1552" s="24"/>
      <c r="AX1552" s="24"/>
      <c r="AY1552" s="24" t="s">
        <v>3415</v>
      </c>
      <c r="AZ1552" s="24" t="s">
        <v>37</v>
      </c>
      <c r="BA1552" s="24"/>
      <c r="BB1552" s="24" t="s">
        <v>3291</v>
      </c>
      <c r="BC1552" s="135" t="s">
        <v>5952</v>
      </c>
      <c r="BD1552" s="24">
        <v>44412</v>
      </c>
      <c r="BE1552" s="24" t="s">
        <v>579</v>
      </c>
      <c r="BF1552" s="24" t="s">
        <v>579</v>
      </c>
      <c r="BG1552" s="135" t="s">
        <v>64</v>
      </c>
      <c r="BH1552" s="135"/>
      <c r="BI1552" s="314" t="s">
        <v>124</v>
      </c>
      <c r="BJ1552" s="314" t="s">
        <v>138</v>
      </c>
      <c r="BK1552" s="24"/>
      <c r="BL1552" s="24"/>
      <c r="BM1552" s="24"/>
      <c r="BN1552" s="24"/>
      <c r="BO1552" s="24"/>
      <c r="BP1552" s="24"/>
      <c r="BQ1552" s="24"/>
      <c r="BR1552" s="24"/>
      <c r="BS1552" s="24"/>
      <c r="BT1552" s="24"/>
      <c r="BU1552" s="24"/>
      <c r="BV1552" s="132" t="e">
        <f>IF(#REF!="COMPLETO","OK","PENDIENTES")</f>
        <v>#REF!</v>
      </c>
      <c r="BW1552" s="132"/>
      <c r="BX1552" s="132"/>
      <c r="BY1552" s="132"/>
      <c r="BZ1552" s="132"/>
      <c r="CA1552" s="132"/>
      <c r="CB1552" s="132"/>
      <c r="CC1552" s="269"/>
      <c r="CG1552" s="24" t="s">
        <v>105</v>
      </c>
      <c r="CH1552" s="24"/>
      <c r="CI1552" s="24"/>
      <c r="CJ1552" s="24"/>
    </row>
    <row r="1553" spans="1:88" ht="15" customHeight="1">
      <c r="A1553" s="18">
        <v>2021</v>
      </c>
      <c r="B1553" s="18" t="str">
        <f>+INDEX(BDD!F:F,MATCH(P1553,BDD!D:D,0))&amp;"-"&amp;INDEX(BDD!E:E,MATCH(P1553,BDD!D:D,0))</f>
        <v>T-S</v>
      </c>
      <c r="C1553" s="125" t="s">
        <v>484</v>
      </c>
      <c r="D1553" s="150" t="s">
        <v>77</v>
      </c>
      <c r="E1553" s="132"/>
      <c r="F1553" s="24"/>
      <c r="G1553" s="346">
        <v>8000001434</v>
      </c>
      <c r="H1553" s="125" t="s">
        <v>5953</v>
      </c>
      <c r="I1553" s="329"/>
      <c r="J1553" s="346">
        <v>8000001434</v>
      </c>
      <c r="K1553" s="24"/>
      <c r="L1553" s="24">
        <v>44433</v>
      </c>
      <c r="M1553" s="24">
        <v>44433</v>
      </c>
      <c r="N1553" s="340" t="s">
        <v>486</v>
      </c>
      <c r="O1553" s="334">
        <v>208067</v>
      </c>
      <c r="P1553" s="25" t="s">
        <v>383</v>
      </c>
      <c r="Q1553" s="127" t="s">
        <v>303</v>
      </c>
      <c r="R1553" s="232" t="s">
        <v>5954</v>
      </c>
      <c r="S1553" s="89">
        <v>44362</v>
      </c>
      <c r="T1553" s="36">
        <v>30</v>
      </c>
      <c r="U1553" s="125" t="s">
        <v>131</v>
      </c>
      <c r="V1553" s="147" t="s">
        <v>5955</v>
      </c>
      <c r="W1553" s="129"/>
      <c r="X1553" s="88">
        <f>+T1553+BD1553</f>
        <v>44440</v>
      </c>
      <c r="Y1553" s="130" t="s">
        <v>20</v>
      </c>
      <c r="Z1553" s="133" t="s">
        <v>60</v>
      </c>
      <c r="AA1553" s="133"/>
      <c r="AB1553" s="241">
        <v>297</v>
      </c>
      <c r="AC1553" s="134">
        <v>269</v>
      </c>
      <c r="AD1553" s="134"/>
      <c r="AE1553" s="403">
        <f t="shared" si="90"/>
        <v>79893</v>
      </c>
      <c r="AF1553" s="132">
        <v>11</v>
      </c>
      <c r="AG1553" s="130" t="s">
        <v>5</v>
      </c>
      <c r="AH1553" s="130"/>
      <c r="AI1553" s="130" t="s">
        <v>34</v>
      </c>
      <c r="AJ1553" s="130"/>
      <c r="AK1553" s="130"/>
      <c r="AL1553" s="135" t="s">
        <v>5574</v>
      </c>
      <c r="AM1553" s="314"/>
      <c r="AN1553" s="26"/>
      <c r="AO1553" s="26">
        <v>44410</v>
      </c>
      <c r="AP1553" s="26"/>
      <c r="AQ1553" s="26">
        <v>44428</v>
      </c>
      <c r="AR1553" s="24"/>
      <c r="AS1553" s="24"/>
      <c r="AT1553" s="24">
        <v>44433</v>
      </c>
      <c r="AU1553" s="418">
        <f t="shared" si="91"/>
        <v>8</v>
      </c>
      <c r="AV1553" s="418">
        <f t="shared" si="92"/>
        <v>2021</v>
      </c>
      <c r="AW1553" s="24"/>
      <c r="AX1553" s="24"/>
      <c r="AY1553" s="24" t="s">
        <v>3415</v>
      </c>
      <c r="AZ1553" s="24" t="s">
        <v>37</v>
      </c>
      <c r="BA1553" s="24"/>
      <c r="BB1553" s="24" t="s">
        <v>3291</v>
      </c>
      <c r="BC1553" s="135" t="s">
        <v>5956</v>
      </c>
      <c r="BD1553" s="24">
        <v>44410</v>
      </c>
      <c r="BE1553" s="24" t="s">
        <v>5957</v>
      </c>
      <c r="BF1553" s="24" t="s">
        <v>5958</v>
      </c>
      <c r="BG1553" s="135" t="s">
        <v>14</v>
      </c>
      <c r="BH1553" s="135" t="s">
        <v>5367</v>
      </c>
      <c r="BI1553" s="314" t="s">
        <v>124</v>
      </c>
      <c r="BJ1553" s="314" t="s">
        <v>138</v>
      </c>
      <c r="BK1553" s="24"/>
      <c r="BL1553" s="24"/>
      <c r="BM1553" s="24"/>
      <c r="BN1553" s="24"/>
      <c r="BO1553" s="24"/>
      <c r="BP1553" s="24"/>
      <c r="BQ1553" s="24"/>
      <c r="BR1553" s="24"/>
      <c r="BS1553" s="24"/>
      <c r="BT1553" s="24"/>
      <c r="BU1553" s="24"/>
      <c r="BV1553" s="132" t="e">
        <f>IF(#REF!="COMPLETO","OK","PENDIENTES")</f>
        <v>#REF!</v>
      </c>
      <c r="BW1553" s="132"/>
      <c r="BX1553" s="132"/>
      <c r="BY1553" s="132"/>
      <c r="BZ1553" s="132"/>
      <c r="CA1553" s="132"/>
      <c r="CB1553" s="132"/>
      <c r="CC1553" s="269"/>
      <c r="CG1553" s="24" t="s">
        <v>105</v>
      </c>
      <c r="CH1553" s="24"/>
      <c r="CI1553" s="24"/>
      <c r="CJ1553" s="24"/>
    </row>
    <row r="1554" spans="1:88" ht="15" customHeight="1">
      <c r="A1554" s="18">
        <v>2021</v>
      </c>
      <c r="B1554" s="18" t="str">
        <f>+INDEX(BDD!F:F,MATCH(P1554,BDD!D:D,0))&amp;"-"&amp;INDEX(BDD!E:E,MATCH(P1554,BDD!D:D,0))</f>
        <v>T-S</v>
      </c>
      <c r="C1554" s="125" t="s">
        <v>484</v>
      </c>
      <c r="D1554" s="150" t="s">
        <v>77</v>
      </c>
      <c r="E1554" s="132"/>
      <c r="F1554" s="24"/>
      <c r="G1554" s="346">
        <v>8000001459</v>
      </c>
      <c r="H1554" s="125" t="s">
        <v>5959</v>
      </c>
      <c r="I1554" s="329"/>
      <c r="J1554" s="346">
        <v>8000001459</v>
      </c>
      <c r="K1554" s="24"/>
      <c r="L1554" s="24">
        <v>44434</v>
      </c>
      <c r="M1554" s="24">
        <v>44434</v>
      </c>
      <c r="N1554" s="340" t="s">
        <v>486</v>
      </c>
      <c r="O1554" s="334">
        <v>208067</v>
      </c>
      <c r="P1554" s="25" t="s">
        <v>383</v>
      </c>
      <c r="Q1554" s="127" t="s">
        <v>303</v>
      </c>
      <c r="R1554" s="232" t="s">
        <v>5960</v>
      </c>
      <c r="S1554" s="89">
        <v>44362</v>
      </c>
      <c r="T1554" s="36">
        <v>30</v>
      </c>
      <c r="U1554" s="125" t="s">
        <v>131</v>
      </c>
      <c r="V1554" s="147" t="s">
        <v>5961</v>
      </c>
      <c r="W1554" s="129"/>
      <c r="X1554" s="88">
        <f>+T1554+BD1554</f>
        <v>44449</v>
      </c>
      <c r="Y1554" s="130" t="s">
        <v>20</v>
      </c>
      <c r="Z1554" s="133" t="s">
        <v>60</v>
      </c>
      <c r="AA1554" s="133"/>
      <c r="AB1554" s="241">
        <v>129.6</v>
      </c>
      <c r="AC1554" s="134">
        <v>269</v>
      </c>
      <c r="AD1554" s="134"/>
      <c r="AE1554" s="403">
        <f t="shared" si="90"/>
        <v>34862.400000000001</v>
      </c>
      <c r="AF1554" s="132">
        <v>5</v>
      </c>
      <c r="AG1554" s="130" t="s">
        <v>5</v>
      </c>
      <c r="AH1554" s="130"/>
      <c r="AI1554" s="130" t="s">
        <v>34</v>
      </c>
      <c r="AJ1554" s="130"/>
      <c r="AK1554" s="130"/>
      <c r="AL1554" s="135" t="s">
        <v>5574</v>
      </c>
      <c r="AM1554" s="314"/>
      <c r="AN1554" s="26"/>
      <c r="AO1554" s="26">
        <v>44419</v>
      </c>
      <c r="AP1554" s="26"/>
      <c r="AQ1554" s="26">
        <v>44427</v>
      </c>
      <c r="AR1554" s="24"/>
      <c r="AS1554" s="24"/>
      <c r="AT1554" s="24">
        <v>44434</v>
      </c>
      <c r="AU1554" s="418">
        <f t="shared" si="91"/>
        <v>8</v>
      </c>
      <c r="AV1554" s="418">
        <f t="shared" si="92"/>
        <v>2021</v>
      </c>
      <c r="AW1554" s="24"/>
      <c r="AX1554" s="24"/>
      <c r="AY1554" s="24" t="s">
        <v>3415</v>
      </c>
      <c r="AZ1554" s="24" t="s">
        <v>37</v>
      </c>
      <c r="BA1554" s="24"/>
      <c r="BB1554" s="24" t="s">
        <v>3291</v>
      </c>
      <c r="BC1554" s="135" t="s">
        <v>5962</v>
      </c>
      <c r="BD1554" s="24">
        <v>44419</v>
      </c>
      <c r="BE1554" s="24" t="s">
        <v>2668</v>
      </c>
      <c r="BF1554" s="24" t="s">
        <v>2668</v>
      </c>
      <c r="BG1554" s="135" t="s">
        <v>64</v>
      </c>
      <c r="BH1554" s="135"/>
      <c r="BI1554" s="314" t="s">
        <v>124</v>
      </c>
      <c r="BJ1554" s="314" t="s">
        <v>138</v>
      </c>
      <c r="BK1554" s="24"/>
      <c r="BL1554" s="24"/>
      <c r="BM1554" s="24"/>
      <c r="BN1554" s="24"/>
      <c r="BO1554" s="24"/>
      <c r="BP1554" s="24"/>
      <c r="BQ1554" s="24"/>
      <c r="BR1554" s="24"/>
      <c r="BS1554" s="24"/>
      <c r="BT1554" s="24"/>
      <c r="BU1554" s="24"/>
      <c r="BV1554" s="132" t="e">
        <f>IF(#REF!="COMPLETO","OK","PENDIENTES")</f>
        <v>#REF!</v>
      </c>
      <c r="BW1554" s="132"/>
      <c r="BX1554" s="132"/>
      <c r="BY1554" s="132"/>
      <c r="BZ1554" s="132"/>
      <c r="CA1554" s="132"/>
      <c r="CB1554" s="132"/>
      <c r="CC1554" s="269"/>
      <c r="CG1554" s="24" t="s">
        <v>105</v>
      </c>
      <c r="CH1554" s="24"/>
      <c r="CI1554" s="24"/>
      <c r="CJ1554" s="24"/>
    </row>
    <row r="1555" spans="1:88" ht="15" customHeight="1">
      <c r="A1555" s="18">
        <v>2021</v>
      </c>
      <c r="B1555" s="18" t="str">
        <f>+INDEX(BDD!F:F,MATCH(P1555,BDD!D:D,0))&amp;"-"&amp;INDEX(BDD!E:E,MATCH(P1555,BDD!D:D,0))</f>
        <v>O-S</v>
      </c>
      <c r="C1555" s="125" t="s">
        <v>484</v>
      </c>
      <c r="D1555" s="150" t="s">
        <v>77</v>
      </c>
      <c r="E1555" s="132"/>
      <c r="F1555" s="24"/>
      <c r="G1555" s="346">
        <v>8000001600</v>
      </c>
      <c r="H1555" s="125" t="s">
        <v>5963</v>
      </c>
      <c r="I1555" s="329"/>
      <c r="J1555" s="346">
        <v>8000001600</v>
      </c>
      <c r="K1555" s="24"/>
      <c r="L1555" s="24">
        <v>44483</v>
      </c>
      <c r="M1555" s="24">
        <v>44484</v>
      </c>
      <c r="N1555" s="340" t="s">
        <v>486</v>
      </c>
      <c r="O1555" s="334">
        <v>203553</v>
      </c>
      <c r="P1555" s="25" t="s">
        <v>386</v>
      </c>
      <c r="Q1555" s="127" t="s">
        <v>303</v>
      </c>
      <c r="R1555" s="232" t="s">
        <v>5964</v>
      </c>
      <c r="S1555" s="89">
        <v>44362</v>
      </c>
      <c r="T1555" s="36" t="s">
        <v>19</v>
      </c>
      <c r="U1555" s="125"/>
      <c r="V1555" s="147" t="s">
        <v>5965</v>
      </c>
      <c r="W1555" s="129"/>
      <c r="X1555" s="88">
        <v>44479</v>
      </c>
      <c r="Y1555" s="130" t="s">
        <v>20</v>
      </c>
      <c r="Z1555" s="133" t="s">
        <v>60</v>
      </c>
      <c r="AA1555" s="133"/>
      <c r="AB1555" s="257">
        <v>215.52</v>
      </c>
      <c r="AC1555" s="134">
        <v>308.29000000000002</v>
      </c>
      <c r="AD1555" s="134"/>
      <c r="AE1555" s="403">
        <f t="shared" si="90"/>
        <v>66442.660800000012</v>
      </c>
      <c r="AF1555" s="132">
        <v>8</v>
      </c>
      <c r="AG1555" s="130" t="s">
        <v>5</v>
      </c>
      <c r="AH1555" s="130"/>
      <c r="AI1555" s="130" t="s">
        <v>100</v>
      </c>
      <c r="AJ1555" s="130"/>
      <c r="AK1555" s="130"/>
      <c r="AL1555" s="135" t="s">
        <v>5574</v>
      </c>
      <c r="AM1555" s="314"/>
      <c r="AN1555" s="26">
        <f>BL1555</f>
        <v>0</v>
      </c>
      <c r="AO1555" s="26">
        <v>44469</v>
      </c>
      <c r="AP1555" s="26">
        <f>AQ1555</f>
        <v>44479</v>
      </c>
      <c r="AQ1555" s="26">
        <v>44479</v>
      </c>
      <c r="AR1555" s="24">
        <f>AP1555+4</f>
        <v>44483</v>
      </c>
      <c r="AS1555" s="24"/>
      <c r="AT1555" s="24">
        <v>44484</v>
      </c>
      <c r="AU1555" s="418">
        <f t="shared" si="91"/>
        <v>10</v>
      </c>
      <c r="AV1555" s="418">
        <f t="shared" si="92"/>
        <v>2021</v>
      </c>
      <c r="AW1555" s="24"/>
      <c r="AX1555" s="24"/>
      <c r="AY1555" s="24" t="s">
        <v>8</v>
      </c>
      <c r="AZ1555" s="24" t="s">
        <v>37</v>
      </c>
      <c r="BA1555" s="24"/>
      <c r="BB1555" s="24" t="s">
        <v>3291</v>
      </c>
      <c r="BC1555" s="135" t="s">
        <v>5966</v>
      </c>
      <c r="BD1555" s="24">
        <v>44460</v>
      </c>
      <c r="BE1555" s="24" t="s">
        <v>814</v>
      </c>
      <c r="BF1555" s="24" t="s">
        <v>1806</v>
      </c>
      <c r="BG1555" s="135" t="s">
        <v>29</v>
      </c>
      <c r="BH1555" s="135"/>
      <c r="BI1555" s="314" t="s">
        <v>124</v>
      </c>
      <c r="BJ1555" s="314" t="s">
        <v>148</v>
      </c>
      <c r="BK1555" s="24"/>
      <c r="BL1555" s="24"/>
      <c r="BM1555" s="24"/>
      <c r="BN1555" s="24"/>
      <c r="BO1555" s="24"/>
      <c r="BP1555" s="24"/>
      <c r="BQ1555" s="24"/>
      <c r="BR1555" s="24"/>
      <c r="BS1555" s="24"/>
      <c r="BT1555" s="24"/>
      <c r="BU1555" s="24"/>
      <c r="BV1555" s="132" t="e">
        <f>IF(#REF!="COMPLETO","OK","PENDIENTES")</f>
        <v>#REF!</v>
      </c>
      <c r="BW1555" s="132"/>
      <c r="BX1555" s="132"/>
      <c r="BY1555" s="132"/>
      <c r="BZ1555" s="132"/>
      <c r="CA1555" s="132"/>
      <c r="CB1555" s="132"/>
      <c r="CC1555" s="269"/>
      <c r="CG1555" s="24" t="s">
        <v>105</v>
      </c>
      <c r="CH1555" s="24"/>
      <c r="CI1555" s="24"/>
      <c r="CJ1555" s="24"/>
    </row>
    <row r="1556" spans="1:88" ht="15" customHeight="1">
      <c r="A1556" s="18">
        <v>2021</v>
      </c>
      <c r="B1556" s="18" t="str">
        <f>+INDEX(BDD!F:F,MATCH(P1556,BDD!D:D,0))&amp;"-"&amp;INDEX(BDD!E:E,MATCH(P1556,BDD!D:D,0))</f>
        <v>O-S</v>
      </c>
      <c r="C1556" s="125" t="s">
        <v>484</v>
      </c>
      <c r="D1556" s="150" t="s">
        <v>20</v>
      </c>
      <c r="E1556" s="132" t="s">
        <v>1622</v>
      </c>
      <c r="F1556" s="24"/>
      <c r="G1556" s="346"/>
      <c r="H1556" s="125" t="s">
        <v>5967</v>
      </c>
      <c r="I1556" s="329"/>
      <c r="J1556" s="346"/>
      <c r="K1556" s="24"/>
      <c r="L1556" s="24"/>
      <c r="M1556" s="24"/>
      <c r="N1556" s="340"/>
      <c r="O1556" s="334"/>
      <c r="P1556" s="25" t="s">
        <v>386</v>
      </c>
      <c r="Q1556" s="127" t="s">
        <v>303</v>
      </c>
      <c r="R1556" s="232"/>
      <c r="S1556" s="89"/>
      <c r="T1556" s="36"/>
      <c r="U1556" s="125"/>
      <c r="V1556" s="147"/>
      <c r="W1556" s="129"/>
      <c r="X1556" s="88"/>
      <c r="Y1556" s="130"/>
      <c r="Z1556" s="133"/>
      <c r="AA1556" s="133"/>
      <c r="AB1556" s="241"/>
      <c r="AC1556" s="134"/>
      <c r="AD1556" s="134"/>
      <c r="AE1556" s="403">
        <f t="shared" si="90"/>
        <v>0</v>
      </c>
      <c r="AF1556" s="132"/>
      <c r="AG1556" s="130"/>
      <c r="AH1556" s="130"/>
      <c r="AI1556" s="130"/>
      <c r="AJ1556" s="130"/>
      <c r="AK1556" s="130"/>
      <c r="AL1556" s="135"/>
      <c r="AM1556" s="314"/>
      <c r="AN1556" s="26"/>
      <c r="AO1556" s="26"/>
      <c r="AP1556" s="26"/>
      <c r="AQ1556" s="26"/>
      <c r="AR1556" s="24"/>
      <c r="AS1556" s="24"/>
      <c r="AT1556" s="24"/>
      <c r="AU1556" s="418">
        <f t="shared" si="91"/>
        <v>1</v>
      </c>
      <c r="AV1556" s="418">
        <f t="shared" si="92"/>
        <v>1900</v>
      </c>
      <c r="AW1556" s="24"/>
      <c r="AX1556" s="24"/>
      <c r="AY1556" s="24"/>
      <c r="AZ1556" s="24"/>
      <c r="BA1556" s="24"/>
      <c r="BB1556" s="24"/>
      <c r="BC1556" s="135"/>
      <c r="BD1556" s="24"/>
      <c r="BE1556" s="24"/>
      <c r="BF1556" s="24"/>
      <c r="BG1556" s="135"/>
      <c r="BH1556" s="135"/>
      <c r="BI1556" s="314"/>
      <c r="BJ1556" s="314"/>
      <c r="BK1556" s="24"/>
      <c r="BL1556" s="24"/>
      <c r="BM1556" s="24"/>
      <c r="BN1556" s="24"/>
      <c r="BO1556" s="24"/>
      <c r="BP1556" s="24"/>
      <c r="BQ1556" s="24"/>
      <c r="BR1556" s="24"/>
      <c r="BS1556" s="24"/>
      <c r="BT1556" s="24"/>
      <c r="BU1556" s="24"/>
      <c r="BV1556" s="132"/>
      <c r="BW1556" s="132"/>
      <c r="BX1556" s="132"/>
      <c r="BY1556" s="132"/>
      <c r="BZ1556" s="132"/>
      <c r="CA1556" s="132"/>
      <c r="CB1556" s="132"/>
      <c r="CC1556" s="362"/>
      <c r="CD1556" s="22"/>
      <c r="CE1556" s="22"/>
      <c r="CF1556" s="22"/>
      <c r="CG1556" s="24"/>
      <c r="CH1556" s="24"/>
      <c r="CI1556" s="24"/>
      <c r="CJ1556" s="24"/>
    </row>
    <row r="1557" spans="1:88" ht="15" customHeight="1">
      <c r="A1557" s="18">
        <v>2021</v>
      </c>
      <c r="B1557" s="18" t="str">
        <f>+INDEX(BDD!F:F,MATCH(P1557,BDD!D:D,0))&amp;"-"&amp;INDEX(BDD!E:E,MATCH(P1557,BDD!D:D,0))</f>
        <v>S-S</v>
      </c>
      <c r="C1557" s="125" t="s">
        <v>484</v>
      </c>
      <c r="D1557" s="150" t="s">
        <v>20</v>
      </c>
      <c r="E1557" s="132" t="s">
        <v>1622</v>
      </c>
      <c r="F1557" s="24"/>
      <c r="G1557" s="346"/>
      <c r="H1557" s="125" t="s">
        <v>5968</v>
      </c>
      <c r="I1557" s="329"/>
      <c r="J1557" s="346"/>
      <c r="K1557" s="24"/>
      <c r="L1557" s="24"/>
      <c r="M1557" s="24"/>
      <c r="N1557" s="340"/>
      <c r="O1557" s="334"/>
      <c r="P1557" s="125" t="s">
        <v>344</v>
      </c>
      <c r="Q1557" s="127" t="s">
        <v>3266</v>
      </c>
      <c r="R1557" s="232"/>
      <c r="S1557" s="89"/>
      <c r="T1557" s="36"/>
      <c r="U1557" s="125"/>
      <c r="V1557" s="147"/>
      <c r="W1557" s="129"/>
      <c r="X1557" s="88"/>
      <c r="Y1557" s="130"/>
      <c r="Z1557" s="133"/>
      <c r="AA1557" s="133"/>
      <c r="AB1557" s="241"/>
      <c r="AC1557" s="134"/>
      <c r="AD1557" s="134"/>
      <c r="AE1557" s="403">
        <f t="shared" si="90"/>
        <v>0</v>
      </c>
      <c r="AF1557" s="132"/>
      <c r="AG1557" s="130"/>
      <c r="AH1557" s="130"/>
      <c r="AI1557" s="130"/>
      <c r="AJ1557" s="130"/>
      <c r="AK1557" s="130"/>
      <c r="AL1557" s="135"/>
      <c r="AM1557" s="314"/>
      <c r="AN1557" s="26"/>
      <c r="AO1557" s="26"/>
      <c r="AP1557" s="26"/>
      <c r="AQ1557" s="26"/>
      <c r="AR1557" s="24"/>
      <c r="AS1557" s="24"/>
      <c r="AT1557" s="24"/>
      <c r="AU1557" s="418">
        <f t="shared" si="91"/>
        <v>1</v>
      </c>
      <c r="AV1557" s="418">
        <f t="shared" si="92"/>
        <v>1900</v>
      </c>
      <c r="AW1557" s="24"/>
      <c r="AX1557" s="24"/>
      <c r="AY1557" s="24"/>
      <c r="AZ1557" s="24"/>
      <c r="BA1557" s="24"/>
      <c r="BB1557" s="24"/>
      <c r="BC1557" s="135"/>
      <c r="BD1557" s="24"/>
      <c r="BE1557" s="24"/>
      <c r="BF1557" s="24"/>
      <c r="BG1557" s="135"/>
      <c r="BH1557" s="135"/>
      <c r="BI1557" s="314"/>
      <c r="BJ1557" s="314"/>
      <c r="BK1557" s="24"/>
      <c r="BL1557" s="24"/>
      <c r="BM1557" s="24"/>
      <c r="BN1557" s="24"/>
      <c r="BO1557" s="24"/>
      <c r="BP1557" s="24"/>
      <c r="BQ1557" s="24"/>
      <c r="BR1557" s="24"/>
      <c r="BS1557" s="24"/>
      <c r="BT1557" s="24"/>
      <c r="BU1557" s="24"/>
      <c r="BV1557" s="132"/>
      <c r="BW1557" s="132"/>
      <c r="BX1557" s="132"/>
      <c r="BY1557" s="132"/>
      <c r="BZ1557" s="132"/>
      <c r="CA1557" s="132"/>
      <c r="CB1557" s="132"/>
      <c r="CC1557" s="362"/>
      <c r="CD1557" s="22"/>
      <c r="CE1557" s="22"/>
      <c r="CF1557" s="22"/>
      <c r="CG1557" s="24"/>
      <c r="CH1557" s="24"/>
      <c r="CI1557" s="24"/>
      <c r="CJ1557" s="24"/>
    </row>
    <row r="1558" spans="1:88" ht="15" customHeight="1">
      <c r="A1558" s="18">
        <v>2021</v>
      </c>
      <c r="B1558" s="18" t="str">
        <f>+INDEX(BDD!F:F,MATCH(P1558,BDD!D:D,0))&amp;"-"&amp;INDEX(BDD!E:E,MATCH(P1558,BDD!D:D,0))</f>
        <v>S-S</v>
      </c>
      <c r="C1558" s="125" t="s">
        <v>484</v>
      </c>
      <c r="D1558" s="150" t="s">
        <v>77</v>
      </c>
      <c r="E1558" s="132" t="s">
        <v>51</v>
      </c>
      <c r="F1558" s="24"/>
      <c r="G1558" s="346">
        <v>8000001391</v>
      </c>
      <c r="H1558" s="125" t="s">
        <v>5969</v>
      </c>
      <c r="I1558" s="329"/>
      <c r="J1558" s="346">
        <v>8000001391</v>
      </c>
      <c r="K1558" s="24"/>
      <c r="L1558" s="24">
        <v>0</v>
      </c>
      <c r="M1558" s="24">
        <v>44532</v>
      </c>
      <c r="N1558" s="340" t="s">
        <v>486</v>
      </c>
      <c r="O1558" s="334">
        <v>207579</v>
      </c>
      <c r="P1558" s="25" t="s">
        <v>238</v>
      </c>
      <c r="Q1558" s="127" t="s">
        <v>110</v>
      </c>
      <c r="R1558" s="232" t="s">
        <v>5970</v>
      </c>
      <c r="S1558" s="89">
        <v>44399</v>
      </c>
      <c r="T1558" s="36">
        <v>90</v>
      </c>
      <c r="U1558" s="125" t="s">
        <v>118</v>
      </c>
      <c r="V1558" s="232" t="s">
        <v>5970</v>
      </c>
      <c r="W1558" s="151"/>
      <c r="X1558" s="88">
        <f>+BD1558+T1558</f>
        <v>44580</v>
      </c>
      <c r="Y1558" s="130" t="s">
        <v>20</v>
      </c>
      <c r="Z1558" s="133" t="s">
        <v>60</v>
      </c>
      <c r="AA1558" s="133"/>
      <c r="AB1558" s="241">
        <v>300</v>
      </c>
      <c r="AC1558" s="134">
        <v>382</v>
      </c>
      <c r="AD1558" s="134"/>
      <c r="AE1558" s="403">
        <f t="shared" si="90"/>
        <v>114600</v>
      </c>
      <c r="AF1558" s="132"/>
      <c r="AG1558" s="130" t="s">
        <v>58</v>
      </c>
      <c r="AH1558" s="130"/>
      <c r="AI1558" s="130" t="s">
        <v>34</v>
      </c>
      <c r="AJ1558" s="130"/>
      <c r="AK1558" s="130"/>
      <c r="AL1558" s="135" t="s">
        <v>5917</v>
      </c>
      <c r="AM1558" s="314"/>
      <c r="AN1558" s="26">
        <f>BL1558</f>
        <v>0</v>
      </c>
      <c r="AO1558" s="26">
        <v>44490</v>
      </c>
      <c r="AP1558" s="26">
        <v>44524</v>
      </c>
      <c r="AQ1558" s="26">
        <v>44525</v>
      </c>
      <c r="AR1558" s="24">
        <f>AQ1558+5</f>
        <v>44530</v>
      </c>
      <c r="AS1558" s="24"/>
      <c r="AT1558" s="24">
        <v>44540</v>
      </c>
      <c r="AU1558" s="418">
        <f t="shared" si="91"/>
        <v>12</v>
      </c>
      <c r="AV1558" s="418">
        <f t="shared" si="92"/>
        <v>2021</v>
      </c>
      <c r="AW1558" s="24"/>
      <c r="AX1558" s="24"/>
      <c r="AY1558" s="24" t="s">
        <v>3199</v>
      </c>
      <c r="AZ1558" s="24" t="s">
        <v>50</v>
      </c>
      <c r="BA1558" s="24"/>
      <c r="BB1558" s="24" t="s">
        <v>2956</v>
      </c>
      <c r="BC1558" s="135" t="s">
        <v>5971</v>
      </c>
      <c r="BD1558" s="24">
        <v>44490</v>
      </c>
      <c r="BE1558" s="24" t="s">
        <v>5972</v>
      </c>
      <c r="BF1558" s="24" t="s">
        <v>5972</v>
      </c>
      <c r="BG1558" s="135" t="s">
        <v>52</v>
      </c>
      <c r="BH1558" s="135"/>
      <c r="BI1558" s="314" t="s">
        <v>3</v>
      </c>
      <c r="BJ1558" s="314" t="s">
        <v>143</v>
      </c>
      <c r="BK1558" s="24"/>
      <c r="BL1558" s="24"/>
      <c r="BM1558" s="24"/>
      <c r="BN1558" s="24"/>
      <c r="BO1558" s="24"/>
      <c r="BP1558" s="24"/>
      <c r="BQ1558" s="24"/>
      <c r="BR1558" s="24"/>
      <c r="BS1558" s="24"/>
      <c r="BT1558" s="24"/>
      <c r="BU1558" s="24"/>
      <c r="BV1558" s="132" t="e">
        <f>IF(#REF!="COMPLETO","OK","PENDIENTE")</f>
        <v>#REF!</v>
      </c>
      <c r="BW1558" s="132"/>
      <c r="BX1558" s="132"/>
      <c r="BY1558" s="132"/>
      <c r="BZ1558" s="132"/>
      <c r="CA1558" s="132"/>
      <c r="CB1558" s="132"/>
      <c r="CC1558" s="269"/>
      <c r="CG1558" s="24" t="s">
        <v>105</v>
      </c>
      <c r="CH1558" s="24"/>
      <c r="CI1558" s="24"/>
      <c r="CJ1558" s="24"/>
    </row>
    <row r="1559" spans="1:88" ht="15" customHeight="1">
      <c r="A1559" s="18">
        <v>2021</v>
      </c>
      <c r="B1559" s="18" t="str">
        <f>+INDEX(BDD!F:F,MATCH(P1559,BDD!D:D,0))&amp;"-"&amp;INDEX(BDD!E:E,MATCH(P1559,BDD!D:D,0))</f>
        <v>T-S</v>
      </c>
      <c r="C1559" s="125" t="s">
        <v>484</v>
      </c>
      <c r="D1559" s="150" t="s">
        <v>77</v>
      </c>
      <c r="E1559" s="132"/>
      <c r="F1559" s="24"/>
      <c r="G1559" s="346">
        <v>8000001400</v>
      </c>
      <c r="H1559" s="125" t="s">
        <v>5973</v>
      </c>
      <c r="I1559" s="329"/>
      <c r="J1559" s="346">
        <v>8000001400</v>
      </c>
      <c r="K1559" s="24"/>
      <c r="L1559" s="24">
        <v>44417</v>
      </c>
      <c r="M1559" s="24">
        <v>44420</v>
      </c>
      <c r="N1559" s="340" t="s">
        <v>486</v>
      </c>
      <c r="O1559" s="334">
        <v>208067</v>
      </c>
      <c r="P1559" s="25" t="s">
        <v>383</v>
      </c>
      <c r="Q1559" s="127" t="s">
        <v>303</v>
      </c>
      <c r="R1559" s="232" t="s">
        <v>5974</v>
      </c>
      <c r="S1559" s="89" t="s">
        <v>5574</v>
      </c>
      <c r="T1559" s="36">
        <v>30</v>
      </c>
      <c r="U1559" s="125" t="s">
        <v>131</v>
      </c>
      <c r="V1559" s="147" t="s">
        <v>5975</v>
      </c>
      <c r="W1559" s="129"/>
      <c r="X1559" s="88">
        <f>+BD1559+T1559</f>
        <v>44409</v>
      </c>
      <c r="Y1559" s="130" t="s">
        <v>20</v>
      </c>
      <c r="Z1559" s="133" t="s">
        <v>60</v>
      </c>
      <c r="AA1559" s="133"/>
      <c r="AB1559" s="241">
        <v>81</v>
      </c>
      <c r="AC1559" s="134">
        <v>249</v>
      </c>
      <c r="AD1559" s="134"/>
      <c r="AE1559" s="403">
        <f t="shared" si="90"/>
        <v>20169</v>
      </c>
      <c r="AF1559" s="132">
        <v>3</v>
      </c>
      <c r="AG1559" s="130" t="s">
        <v>5</v>
      </c>
      <c r="AH1559" s="130"/>
      <c r="AI1559" s="130" t="s">
        <v>34</v>
      </c>
      <c r="AJ1559" s="130"/>
      <c r="AK1559" s="130"/>
      <c r="AL1559" s="135" t="s">
        <v>5484</v>
      </c>
      <c r="AM1559" s="314"/>
      <c r="AN1559" s="26"/>
      <c r="AO1559" s="26">
        <v>44379</v>
      </c>
      <c r="AP1559" s="26"/>
      <c r="AQ1559" s="26">
        <v>44411</v>
      </c>
      <c r="AR1559" s="24"/>
      <c r="AS1559" s="24"/>
      <c r="AT1559" s="24">
        <v>44415</v>
      </c>
      <c r="AU1559" s="418">
        <f t="shared" si="91"/>
        <v>8</v>
      </c>
      <c r="AV1559" s="418">
        <f t="shared" si="92"/>
        <v>2021</v>
      </c>
      <c r="AW1559" s="24"/>
      <c r="AX1559" s="24"/>
      <c r="AY1559" s="24" t="s">
        <v>3415</v>
      </c>
      <c r="AZ1559" s="24" t="s">
        <v>62</v>
      </c>
      <c r="BA1559" s="24"/>
      <c r="BB1559" s="24" t="s">
        <v>3264</v>
      </c>
      <c r="BC1559" s="135" t="s">
        <v>5976</v>
      </c>
      <c r="BD1559" s="24">
        <v>44379</v>
      </c>
      <c r="BE1559" s="24" t="s">
        <v>5130</v>
      </c>
      <c r="BF1559" s="24" t="s">
        <v>1938</v>
      </c>
      <c r="BG1559" s="135" t="s">
        <v>29</v>
      </c>
      <c r="BH1559" s="135"/>
      <c r="BI1559" s="314" t="s">
        <v>124</v>
      </c>
      <c r="BJ1559" s="314" t="s">
        <v>148</v>
      </c>
      <c r="BK1559" s="24"/>
      <c r="BL1559" s="24"/>
      <c r="BM1559" s="24"/>
      <c r="BN1559" s="24"/>
      <c r="BO1559" s="24">
        <v>44430</v>
      </c>
      <c r="BP1559" s="24"/>
      <c r="BQ1559" s="24"/>
      <c r="BR1559" s="24"/>
      <c r="BS1559" s="24"/>
      <c r="BT1559" s="24"/>
      <c r="BU1559" s="24"/>
      <c r="BV1559" s="132" t="e">
        <f>IF(#REF!="COMPLETO","OK","PENDIENTES")</f>
        <v>#REF!</v>
      </c>
      <c r="BW1559" s="132"/>
      <c r="BX1559" s="132"/>
      <c r="BY1559" s="132"/>
      <c r="BZ1559" s="132"/>
      <c r="CA1559" s="132"/>
      <c r="CB1559" s="132"/>
      <c r="CC1559" s="269"/>
      <c r="CG1559" s="24" t="s">
        <v>105</v>
      </c>
      <c r="CH1559" s="24"/>
      <c r="CI1559" s="24"/>
      <c r="CJ1559" s="24"/>
    </row>
    <row r="1560" spans="1:88" ht="15" customHeight="1">
      <c r="A1560" s="18">
        <v>2021</v>
      </c>
      <c r="B1560" s="18" t="str">
        <f>+INDEX(BDD!F:F,MATCH(P1560,BDD!D:D,0))&amp;"-"&amp;INDEX(BDD!E:E,MATCH(P1560,BDD!D:D,0))</f>
        <v>S-P</v>
      </c>
      <c r="C1560" s="125" t="s">
        <v>484</v>
      </c>
      <c r="D1560" s="150" t="s">
        <v>77</v>
      </c>
      <c r="E1560" s="132"/>
      <c r="F1560" s="24"/>
      <c r="G1560" s="346">
        <v>8000001573</v>
      </c>
      <c r="H1560" s="125" t="s">
        <v>5977</v>
      </c>
      <c r="I1560" s="329"/>
      <c r="J1560" s="346">
        <v>8000001573</v>
      </c>
      <c r="K1560" s="24"/>
      <c r="L1560" s="24">
        <v>44483</v>
      </c>
      <c r="M1560" s="24">
        <v>44490</v>
      </c>
      <c r="N1560" s="340" t="s">
        <v>486</v>
      </c>
      <c r="O1560" s="334">
        <v>208510</v>
      </c>
      <c r="P1560" s="25" t="s">
        <v>2</v>
      </c>
      <c r="Q1560" s="127" t="s">
        <v>3266</v>
      </c>
      <c r="R1560" s="232" t="s">
        <v>5978</v>
      </c>
      <c r="S1560" s="89">
        <v>44386</v>
      </c>
      <c r="T1560" s="36" t="s">
        <v>19</v>
      </c>
      <c r="U1560" s="125"/>
      <c r="V1560" s="147" t="s">
        <v>5979</v>
      </c>
      <c r="W1560" s="129"/>
      <c r="X1560" s="88" t="s">
        <v>944</v>
      </c>
      <c r="Y1560" s="130" t="s">
        <v>20</v>
      </c>
      <c r="Z1560" s="133" t="s">
        <v>81</v>
      </c>
      <c r="AA1560" s="133"/>
      <c r="AB1560" s="241">
        <v>133</v>
      </c>
      <c r="AC1560" s="134">
        <v>1516</v>
      </c>
      <c r="AD1560" s="134"/>
      <c r="AE1560" s="403">
        <f t="shared" si="90"/>
        <v>201628</v>
      </c>
      <c r="AF1560" s="132">
        <v>5</v>
      </c>
      <c r="AG1560" s="130" t="s">
        <v>5</v>
      </c>
      <c r="AH1560" s="130"/>
      <c r="AI1560" s="130" t="s">
        <v>5633</v>
      </c>
      <c r="AJ1560" s="130"/>
      <c r="AK1560" s="130"/>
      <c r="AL1560" s="135" t="s">
        <v>5574</v>
      </c>
      <c r="AM1560" s="314"/>
      <c r="AN1560" s="26">
        <v>44436</v>
      </c>
      <c r="AO1560" s="26">
        <v>44436</v>
      </c>
      <c r="AP1560" s="26">
        <v>44477</v>
      </c>
      <c r="AQ1560" s="26">
        <v>44484</v>
      </c>
      <c r="AR1560" s="24">
        <f>AP1560+4</f>
        <v>44481</v>
      </c>
      <c r="AS1560" s="24"/>
      <c r="AT1560" s="24">
        <v>44488</v>
      </c>
      <c r="AU1560" s="418">
        <f t="shared" si="91"/>
        <v>10</v>
      </c>
      <c r="AV1560" s="418">
        <f t="shared" si="92"/>
        <v>2021</v>
      </c>
      <c r="AW1560" s="24"/>
      <c r="AX1560" s="24"/>
      <c r="AY1560" s="24" t="s">
        <v>149</v>
      </c>
      <c r="AZ1560" s="24" t="s">
        <v>9</v>
      </c>
      <c r="BA1560" s="24"/>
      <c r="BB1560" s="24" t="s">
        <v>2956</v>
      </c>
      <c r="BC1560" s="135" t="s">
        <v>5980</v>
      </c>
      <c r="BD1560" s="24">
        <v>44436</v>
      </c>
      <c r="BE1560" s="24" t="s">
        <v>5981</v>
      </c>
      <c r="BF1560" s="24" t="s">
        <v>994</v>
      </c>
      <c r="BG1560" s="135" t="s">
        <v>65</v>
      </c>
      <c r="BH1560" s="135"/>
      <c r="BI1560" s="314" t="s">
        <v>124</v>
      </c>
      <c r="BJ1560" s="314" t="s">
        <v>148</v>
      </c>
      <c r="BK1560" s="24"/>
      <c r="BL1560" s="24"/>
      <c r="BM1560" s="24"/>
      <c r="BN1560" s="24"/>
      <c r="BO1560" s="24"/>
      <c r="BP1560" s="24"/>
      <c r="BQ1560" s="24"/>
      <c r="BR1560" s="24"/>
      <c r="BS1560" s="24"/>
      <c r="BT1560" s="24"/>
      <c r="BU1560" s="24"/>
      <c r="BV1560" s="132" t="e">
        <f>IF(#REF!="COMPLETO","OK","PENDIENTES")</f>
        <v>#REF!</v>
      </c>
      <c r="BW1560" s="132"/>
      <c r="BX1560" s="132"/>
      <c r="BY1560" s="132"/>
      <c r="BZ1560" s="132"/>
      <c r="CA1560" s="132"/>
      <c r="CB1560" s="132"/>
      <c r="CC1560" s="269"/>
      <c r="CG1560" s="24" t="s">
        <v>105</v>
      </c>
      <c r="CH1560" s="24"/>
      <c r="CI1560" s="24"/>
      <c r="CJ1560" s="24"/>
    </row>
    <row r="1561" spans="1:88" ht="15" customHeight="1">
      <c r="A1561" s="18">
        <v>2021</v>
      </c>
      <c r="B1561" s="18" t="str">
        <f>+INDEX(BDD!F:F,MATCH(P1561,BDD!D:D,0))&amp;"-"&amp;INDEX(BDD!E:E,MATCH(P1561,BDD!D:D,0))</f>
        <v>S-P</v>
      </c>
      <c r="C1561" s="125" t="s">
        <v>484</v>
      </c>
      <c r="D1561" s="150" t="s">
        <v>77</v>
      </c>
      <c r="E1561" s="132"/>
      <c r="F1561" s="24"/>
      <c r="G1561" s="346">
        <v>8000001574</v>
      </c>
      <c r="H1561" s="125" t="s">
        <v>5982</v>
      </c>
      <c r="I1561" s="329"/>
      <c r="J1561" s="346">
        <v>8000001574</v>
      </c>
      <c r="K1561" s="24"/>
      <c r="L1561" s="24">
        <v>44494</v>
      </c>
      <c r="M1561" s="24">
        <v>44499</v>
      </c>
      <c r="N1561" s="340" t="s">
        <v>486</v>
      </c>
      <c r="O1561" s="334">
        <v>208510</v>
      </c>
      <c r="P1561" s="25" t="s">
        <v>2</v>
      </c>
      <c r="Q1561" s="127" t="s">
        <v>3266</v>
      </c>
      <c r="R1561" s="232" t="s">
        <v>5978</v>
      </c>
      <c r="S1561" s="89">
        <v>44386</v>
      </c>
      <c r="T1561" s="36" t="s">
        <v>19</v>
      </c>
      <c r="U1561" s="125"/>
      <c r="V1561" s="147" t="s">
        <v>5983</v>
      </c>
      <c r="W1561" s="129"/>
      <c r="X1561" s="88" t="s">
        <v>944</v>
      </c>
      <c r="Y1561" s="130" t="s">
        <v>20</v>
      </c>
      <c r="Z1561" s="133" t="s">
        <v>81</v>
      </c>
      <c r="AA1561" s="133"/>
      <c r="AB1561" s="241">
        <v>159.6</v>
      </c>
      <c r="AC1561" s="134">
        <v>1516</v>
      </c>
      <c r="AD1561" s="134"/>
      <c r="AE1561" s="403">
        <f t="shared" si="90"/>
        <v>241953.6</v>
      </c>
      <c r="AF1561" s="132">
        <v>6</v>
      </c>
      <c r="AG1561" s="130" t="s">
        <v>5</v>
      </c>
      <c r="AH1561" s="130"/>
      <c r="AI1561" s="130" t="s">
        <v>5633</v>
      </c>
      <c r="AJ1561" s="130"/>
      <c r="AK1561" s="130"/>
      <c r="AL1561" s="135" t="s">
        <v>5574</v>
      </c>
      <c r="AM1561" s="314"/>
      <c r="AN1561" s="26">
        <v>44437</v>
      </c>
      <c r="AO1561" s="26">
        <v>44437</v>
      </c>
      <c r="AP1561" s="26">
        <v>44479</v>
      </c>
      <c r="AQ1561" s="26">
        <v>44491</v>
      </c>
      <c r="AR1561" s="24">
        <f>AP1561+4</f>
        <v>44483</v>
      </c>
      <c r="AS1561" s="24"/>
      <c r="AT1561" s="24">
        <v>44498</v>
      </c>
      <c r="AU1561" s="418">
        <f t="shared" si="91"/>
        <v>10</v>
      </c>
      <c r="AV1561" s="418">
        <f t="shared" si="92"/>
        <v>2021</v>
      </c>
      <c r="AW1561" s="24"/>
      <c r="AX1561" s="24"/>
      <c r="AY1561" s="24" t="s">
        <v>149</v>
      </c>
      <c r="AZ1561" s="24" t="s">
        <v>9</v>
      </c>
      <c r="BA1561" s="24"/>
      <c r="BB1561" s="24" t="s">
        <v>3264</v>
      </c>
      <c r="BC1561" s="135" t="s">
        <v>5984</v>
      </c>
      <c r="BD1561" s="24">
        <v>44439</v>
      </c>
      <c r="BE1561" s="24" t="s">
        <v>2960</v>
      </c>
      <c r="BF1561" s="24" t="s">
        <v>5344</v>
      </c>
      <c r="BG1561" s="276" t="s">
        <v>14</v>
      </c>
      <c r="BH1561" s="135" t="s">
        <v>5367</v>
      </c>
      <c r="BI1561" s="314" t="s">
        <v>124</v>
      </c>
      <c r="BJ1561" s="314" t="s">
        <v>148</v>
      </c>
      <c r="BK1561" s="24"/>
      <c r="BL1561" s="24"/>
      <c r="BM1561" s="24"/>
      <c r="BN1561" s="24"/>
      <c r="BO1561" s="24"/>
      <c r="BP1561" s="24"/>
      <c r="BQ1561" s="24"/>
      <c r="BR1561" s="24"/>
      <c r="BS1561" s="24"/>
      <c r="BT1561" s="24"/>
      <c r="BU1561" s="24"/>
      <c r="BV1561" s="132" t="e">
        <f>IF(#REF!="COMPLETO","OK","PENDIENTES")</f>
        <v>#REF!</v>
      </c>
      <c r="BW1561" s="132"/>
      <c r="BX1561" s="132"/>
      <c r="BY1561" s="132"/>
      <c r="BZ1561" s="132"/>
      <c r="CA1561" s="132"/>
      <c r="CB1561" s="132"/>
      <c r="CC1561" s="269"/>
      <c r="CG1561" s="24" t="s">
        <v>105</v>
      </c>
      <c r="CH1561" s="24"/>
      <c r="CI1561" s="24"/>
      <c r="CJ1561" s="24"/>
    </row>
    <row r="1562" spans="1:88" ht="15" customHeight="1">
      <c r="A1562" s="18">
        <v>2021</v>
      </c>
      <c r="B1562" s="18" t="str">
        <f>+INDEX(BDD!F:F,MATCH(P1562,BDD!D:D,0))&amp;"-"&amp;INDEX(BDD!E:E,MATCH(P1562,BDD!D:D,0))</f>
        <v>S-P</v>
      </c>
      <c r="C1562" s="125" t="s">
        <v>484</v>
      </c>
      <c r="D1562" s="150" t="s">
        <v>20</v>
      </c>
      <c r="E1562" s="132" t="s">
        <v>1622</v>
      </c>
      <c r="F1562" s="24"/>
      <c r="G1562" s="346"/>
      <c r="H1562" s="125" t="s">
        <v>5985</v>
      </c>
      <c r="I1562" s="329"/>
      <c r="J1562" s="346"/>
      <c r="K1562" s="24"/>
      <c r="L1562" s="24"/>
      <c r="M1562" s="24"/>
      <c r="N1562" s="340"/>
      <c r="O1562" s="334"/>
      <c r="P1562" s="25" t="s">
        <v>2</v>
      </c>
      <c r="Q1562" s="127" t="s">
        <v>3266</v>
      </c>
      <c r="R1562" s="232"/>
      <c r="S1562" s="89"/>
      <c r="T1562" s="36"/>
      <c r="U1562" s="125"/>
      <c r="V1562" s="147"/>
      <c r="W1562" s="129"/>
      <c r="X1562" s="88"/>
      <c r="Y1562" s="130"/>
      <c r="Z1562" s="133"/>
      <c r="AA1562" s="133"/>
      <c r="AB1562" s="241"/>
      <c r="AC1562" s="134"/>
      <c r="AD1562" s="134"/>
      <c r="AE1562" s="403">
        <f t="shared" si="90"/>
        <v>0</v>
      </c>
      <c r="AF1562" s="132"/>
      <c r="AG1562" s="130"/>
      <c r="AH1562" s="130"/>
      <c r="AI1562" s="130"/>
      <c r="AJ1562" s="130"/>
      <c r="AK1562" s="130"/>
      <c r="AL1562" s="135"/>
      <c r="AM1562" s="314"/>
      <c r="AN1562" s="26"/>
      <c r="AO1562" s="26"/>
      <c r="AP1562" s="26"/>
      <c r="AQ1562" s="26"/>
      <c r="AR1562" s="24"/>
      <c r="AS1562" s="24"/>
      <c r="AT1562" s="24"/>
      <c r="AU1562" s="418">
        <f t="shared" si="91"/>
        <v>1</v>
      </c>
      <c r="AV1562" s="418">
        <f t="shared" si="92"/>
        <v>1900</v>
      </c>
      <c r="AW1562" s="24"/>
      <c r="AX1562" s="24"/>
      <c r="AY1562" s="24"/>
      <c r="AZ1562" s="24"/>
      <c r="BA1562" s="24"/>
      <c r="BB1562" s="24"/>
      <c r="BC1562" s="135"/>
      <c r="BD1562" s="24"/>
      <c r="BE1562" s="24"/>
      <c r="BF1562" s="24"/>
      <c r="BG1562" s="276"/>
      <c r="BH1562" s="276"/>
      <c r="BI1562" s="314"/>
      <c r="BJ1562" s="314"/>
      <c r="BK1562" s="24"/>
      <c r="BL1562" s="24"/>
      <c r="BM1562" s="24"/>
      <c r="BN1562" s="24"/>
      <c r="BO1562" s="24"/>
      <c r="BP1562" s="24"/>
      <c r="BQ1562" s="24"/>
      <c r="BR1562" s="24"/>
      <c r="BS1562" s="24"/>
      <c r="BT1562" s="24"/>
      <c r="BU1562" s="24"/>
      <c r="BV1562" s="132"/>
      <c r="BW1562" s="132"/>
      <c r="BX1562" s="132"/>
      <c r="BY1562" s="132"/>
      <c r="BZ1562" s="132"/>
      <c r="CA1562" s="132"/>
      <c r="CB1562" s="132"/>
      <c r="CC1562" s="362"/>
      <c r="CD1562" s="22"/>
      <c r="CE1562" s="22"/>
      <c r="CF1562" s="22"/>
      <c r="CG1562" s="24"/>
      <c r="CH1562" s="24"/>
      <c r="CI1562" s="24"/>
      <c r="CJ1562" s="24"/>
    </row>
    <row r="1563" spans="1:88" ht="15" customHeight="1">
      <c r="A1563" s="18">
        <v>2021</v>
      </c>
      <c r="B1563" s="18" t="str">
        <f>+INDEX(BDD!F:F,MATCH(P1563,BDD!D:D,0))&amp;"-"&amp;INDEX(BDD!E:E,MATCH(P1563,BDD!D:D,0))</f>
        <v>S-P</v>
      </c>
      <c r="C1563" s="125" t="s">
        <v>484</v>
      </c>
      <c r="D1563" s="150" t="s">
        <v>20</v>
      </c>
      <c r="E1563" s="132" t="s">
        <v>1622</v>
      </c>
      <c r="F1563" s="24"/>
      <c r="G1563" s="346"/>
      <c r="H1563" s="125" t="s">
        <v>5986</v>
      </c>
      <c r="I1563" s="329"/>
      <c r="J1563" s="346"/>
      <c r="K1563" s="24"/>
      <c r="L1563" s="24"/>
      <c r="M1563" s="24"/>
      <c r="N1563" s="340"/>
      <c r="O1563" s="334"/>
      <c r="P1563" s="25" t="s">
        <v>2</v>
      </c>
      <c r="Q1563" s="127" t="s">
        <v>3266</v>
      </c>
      <c r="R1563" s="232"/>
      <c r="S1563" s="89"/>
      <c r="T1563" s="36"/>
      <c r="U1563" s="125"/>
      <c r="V1563" s="147"/>
      <c r="W1563" s="129"/>
      <c r="X1563" s="88"/>
      <c r="Y1563" s="130"/>
      <c r="Z1563" s="133"/>
      <c r="AA1563" s="133"/>
      <c r="AB1563" s="241"/>
      <c r="AC1563" s="134"/>
      <c r="AD1563" s="134"/>
      <c r="AE1563" s="403">
        <f t="shared" si="90"/>
        <v>0</v>
      </c>
      <c r="AF1563" s="132"/>
      <c r="AG1563" s="130"/>
      <c r="AH1563" s="130"/>
      <c r="AI1563" s="130"/>
      <c r="AJ1563" s="130"/>
      <c r="AK1563" s="130"/>
      <c r="AL1563" s="135"/>
      <c r="AM1563" s="314"/>
      <c r="AN1563" s="26"/>
      <c r="AO1563" s="26"/>
      <c r="AP1563" s="26"/>
      <c r="AQ1563" s="26"/>
      <c r="AR1563" s="24"/>
      <c r="AS1563" s="24"/>
      <c r="AT1563" s="24"/>
      <c r="AU1563" s="418">
        <f t="shared" si="91"/>
        <v>1</v>
      </c>
      <c r="AV1563" s="418">
        <f t="shared" si="92"/>
        <v>1900</v>
      </c>
      <c r="AW1563" s="24"/>
      <c r="AX1563" s="24"/>
      <c r="AY1563" s="24"/>
      <c r="AZ1563" s="24"/>
      <c r="BA1563" s="24"/>
      <c r="BB1563" s="24"/>
      <c r="BC1563" s="135"/>
      <c r="BD1563" s="24"/>
      <c r="BE1563" s="24"/>
      <c r="BF1563" s="24"/>
      <c r="BG1563" s="276"/>
      <c r="BH1563" s="276"/>
      <c r="BI1563" s="314"/>
      <c r="BJ1563" s="314"/>
      <c r="BK1563" s="24"/>
      <c r="BL1563" s="24"/>
      <c r="BM1563" s="24"/>
      <c r="BN1563" s="24"/>
      <c r="BO1563" s="24"/>
      <c r="BP1563" s="24"/>
      <c r="BQ1563" s="24"/>
      <c r="BR1563" s="24"/>
      <c r="BS1563" s="24"/>
      <c r="BT1563" s="24"/>
      <c r="BU1563" s="24"/>
      <c r="BV1563" s="132"/>
      <c r="BW1563" s="132"/>
      <c r="BX1563" s="132"/>
      <c r="BY1563" s="132"/>
      <c r="BZ1563" s="132"/>
      <c r="CA1563" s="132"/>
      <c r="CB1563" s="132"/>
      <c r="CC1563" s="362"/>
      <c r="CD1563" s="22"/>
      <c r="CE1563" s="22"/>
      <c r="CF1563" s="22"/>
      <c r="CG1563" s="24"/>
      <c r="CH1563" s="24"/>
      <c r="CI1563" s="24"/>
      <c r="CJ1563" s="24"/>
    </row>
    <row r="1564" spans="1:88" ht="15" customHeight="1">
      <c r="A1564" s="18">
        <v>2021</v>
      </c>
      <c r="B1564" s="18" t="str">
        <f>+INDEX(BDD!F:F,MATCH(P1564,BDD!D:D,0))&amp;"-"&amp;INDEX(BDD!E:E,MATCH(P1564,BDD!D:D,0))</f>
        <v>S-P</v>
      </c>
      <c r="C1564" s="125" t="s">
        <v>484</v>
      </c>
      <c r="D1564" s="150" t="s">
        <v>20</v>
      </c>
      <c r="E1564" s="132" t="s">
        <v>1622</v>
      </c>
      <c r="F1564" s="24"/>
      <c r="G1564" s="346"/>
      <c r="H1564" s="125" t="s">
        <v>5987</v>
      </c>
      <c r="I1564" s="329"/>
      <c r="J1564" s="346"/>
      <c r="K1564" s="24"/>
      <c r="L1564" s="24"/>
      <c r="M1564" s="24"/>
      <c r="N1564" s="340"/>
      <c r="O1564" s="334"/>
      <c r="P1564" s="25" t="s">
        <v>2</v>
      </c>
      <c r="Q1564" s="127" t="s">
        <v>3266</v>
      </c>
      <c r="R1564" s="232"/>
      <c r="S1564" s="89"/>
      <c r="T1564" s="36"/>
      <c r="U1564" s="125"/>
      <c r="V1564" s="147"/>
      <c r="W1564" s="129"/>
      <c r="X1564" s="88"/>
      <c r="Y1564" s="130"/>
      <c r="Z1564" s="133"/>
      <c r="AA1564" s="133"/>
      <c r="AB1564" s="241"/>
      <c r="AC1564" s="134"/>
      <c r="AD1564" s="134"/>
      <c r="AE1564" s="403">
        <f t="shared" si="90"/>
        <v>0</v>
      </c>
      <c r="AF1564" s="132"/>
      <c r="AG1564" s="130"/>
      <c r="AH1564" s="130"/>
      <c r="AI1564" s="130"/>
      <c r="AJ1564" s="130"/>
      <c r="AK1564" s="130"/>
      <c r="AL1564" s="135"/>
      <c r="AM1564" s="314"/>
      <c r="AN1564" s="26"/>
      <c r="AO1564" s="26"/>
      <c r="AP1564" s="26"/>
      <c r="AQ1564" s="26"/>
      <c r="AR1564" s="24"/>
      <c r="AS1564" s="24"/>
      <c r="AT1564" s="24"/>
      <c r="AU1564" s="418">
        <f t="shared" si="91"/>
        <v>1</v>
      </c>
      <c r="AV1564" s="418">
        <f t="shared" si="92"/>
        <v>1900</v>
      </c>
      <c r="AW1564" s="24"/>
      <c r="AX1564" s="24"/>
      <c r="AY1564" s="24"/>
      <c r="AZ1564" s="24"/>
      <c r="BA1564" s="24"/>
      <c r="BB1564" s="24"/>
      <c r="BC1564" s="135"/>
      <c r="BD1564" s="24"/>
      <c r="BE1564" s="24"/>
      <c r="BF1564" s="24"/>
      <c r="BG1564" s="276"/>
      <c r="BH1564" s="276"/>
      <c r="BI1564" s="314"/>
      <c r="BJ1564" s="314"/>
      <c r="BK1564" s="24"/>
      <c r="BL1564" s="24"/>
      <c r="BM1564" s="24"/>
      <c r="BN1564" s="24"/>
      <c r="BO1564" s="24"/>
      <c r="BP1564" s="24"/>
      <c r="BQ1564" s="24"/>
      <c r="BR1564" s="24"/>
      <c r="BS1564" s="24"/>
      <c r="BT1564" s="24"/>
      <c r="BU1564" s="24"/>
      <c r="BV1564" s="132"/>
      <c r="BW1564" s="132"/>
      <c r="BX1564" s="132"/>
      <c r="BY1564" s="132"/>
      <c r="BZ1564" s="132"/>
      <c r="CA1564" s="132"/>
      <c r="CB1564" s="132"/>
      <c r="CC1564" s="362"/>
      <c r="CD1564" s="22"/>
      <c r="CE1564" s="22"/>
      <c r="CF1564" s="22"/>
      <c r="CG1564" s="24"/>
      <c r="CH1564" s="24"/>
      <c r="CI1564" s="24"/>
      <c r="CJ1564" s="24"/>
    </row>
    <row r="1565" spans="1:88" ht="15" customHeight="1">
      <c r="A1565" s="18">
        <v>2021</v>
      </c>
      <c r="B1565" s="18" t="str">
        <f>+INDEX(BDD!F:F,MATCH(P1565,BDD!D:D,0))&amp;"-"&amp;INDEX(BDD!E:E,MATCH(P1565,BDD!D:D,0))</f>
        <v>S-P</v>
      </c>
      <c r="C1565" s="125" t="s">
        <v>484</v>
      </c>
      <c r="D1565" s="150" t="s">
        <v>77</v>
      </c>
      <c r="E1565" s="132"/>
      <c r="F1565" s="24"/>
      <c r="G1565" s="346">
        <v>8000001402</v>
      </c>
      <c r="H1565" s="125" t="s">
        <v>5988</v>
      </c>
      <c r="I1565" s="329"/>
      <c r="J1565" s="346">
        <v>8000001402</v>
      </c>
      <c r="K1565" s="24"/>
      <c r="L1565" s="24">
        <v>44469</v>
      </c>
      <c r="M1565" s="24">
        <v>44469</v>
      </c>
      <c r="N1565" s="340" t="s">
        <v>486</v>
      </c>
      <c r="O1565" s="334">
        <v>208510</v>
      </c>
      <c r="P1565" s="25" t="s">
        <v>2</v>
      </c>
      <c r="Q1565" s="127" t="s">
        <v>3266</v>
      </c>
      <c r="R1565" s="232" t="s">
        <v>5989</v>
      </c>
      <c r="S1565" s="89">
        <v>44386</v>
      </c>
      <c r="T1565" s="36" t="s">
        <v>19</v>
      </c>
      <c r="U1565" s="125"/>
      <c r="V1565" s="147" t="s">
        <v>5990</v>
      </c>
      <c r="W1565" s="129"/>
      <c r="X1565" s="88">
        <v>44425</v>
      </c>
      <c r="Y1565" s="130" t="s">
        <v>20</v>
      </c>
      <c r="Z1565" s="133" t="s">
        <v>81</v>
      </c>
      <c r="AA1565" s="133"/>
      <c r="AB1565" s="241">
        <v>133</v>
      </c>
      <c r="AC1565" s="134">
        <v>1497</v>
      </c>
      <c r="AD1565" s="134"/>
      <c r="AE1565" s="403">
        <f t="shared" si="90"/>
        <v>199101</v>
      </c>
      <c r="AF1565" s="132">
        <v>5</v>
      </c>
      <c r="AG1565" s="130" t="s">
        <v>5</v>
      </c>
      <c r="AH1565" s="130"/>
      <c r="AI1565" s="130" t="s">
        <v>5633</v>
      </c>
      <c r="AJ1565" s="130"/>
      <c r="AK1565" s="130"/>
      <c r="AL1565" s="135" t="s">
        <v>5574</v>
      </c>
      <c r="AM1565" s="314"/>
      <c r="AN1565" s="26">
        <f>BL1565</f>
        <v>0</v>
      </c>
      <c r="AO1565" s="26">
        <v>44401</v>
      </c>
      <c r="AP1565" s="26">
        <f>AQ1565</f>
        <v>44461</v>
      </c>
      <c r="AQ1565" s="26">
        <v>44461</v>
      </c>
      <c r="AR1565" s="24">
        <f>AP1565+4</f>
        <v>44465</v>
      </c>
      <c r="AS1565" s="24"/>
      <c r="AT1565" s="24">
        <v>44467</v>
      </c>
      <c r="AU1565" s="418">
        <f t="shared" si="91"/>
        <v>9</v>
      </c>
      <c r="AV1565" s="418">
        <f t="shared" si="92"/>
        <v>2021</v>
      </c>
      <c r="AW1565" s="24"/>
      <c r="AX1565" s="24"/>
      <c r="AY1565" s="24" t="s">
        <v>149</v>
      </c>
      <c r="AZ1565" s="24" t="s">
        <v>37</v>
      </c>
      <c r="BA1565" s="24"/>
      <c r="BB1565" s="24" t="s">
        <v>3291</v>
      </c>
      <c r="BC1565" s="132">
        <v>155100083211</v>
      </c>
      <c r="BD1565" s="24">
        <v>44401</v>
      </c>
      <c r="BE1565" s="24" t="s">
        <v>5519</v>
      </c>
      <c r="BF1565" s="24" t="s">
        <v>5991</v>
      </c>
      <c r="BG1565" s="276" t="s">
        <v>53</v>
      </c>
      <c r="BH1565" s="276"/>
      <c r="BI1565" s="314" t="s">
        <v>124</v>
      </c>
      <c r="BJ1565" s="314" t="s">
        <v>148</v>
      </c>
      <c r="BK1565" s="24"/>
      <c r="BL1565" s="24"/>
      <c r="BM1565" s="24"/>
      <c r="BN1565" s="24"/>
      <c r="BO1565" s="24"/>
      <c r="BP1565" s="24"/>
      <c r="BQ1565" s="24"/>
      <c r="BR1565" s="24"/>
      <c r="BS1565" s="24"/>
      <c r="BT1565" s="24"/>
      <c r="BU1565" s="24"/>
      <c r="BV1565" s="132" t="e">
        <f>IF(#REF!="COMPLETO","OK","PENDIENTES")</f>
        <v>#REF!</v>
      </c>
      <c r="BW1565" s="132"/>
      <c r="BX1565" s="132"/>
      <c r="BY1565" s="132"/>
      <c r="BZ1565" s="132"/>
      <c r="CA1565" s="132"/>
      <c r="CB1565" s="132"/>
      <c r="CC1565" s="269"/>
      <c r="CG1565" s="24" t="s">
        <v>105</v>
      </c>
      <c r="CH1565" s="24"/>
      <c r="CI1565" s="24"/>
      <c r="CJ1565" s="24"/>
    </row>
    <row r="1566" spans="1:88" ht="15" customHeight="1">
      <c r="A1566" s="18">
        <v>2021</v>
      </c>
      <c r="B1566" s="18" t="str">
        <f>+INDEX(BDD!F:F,MATCH(P1566,BDD!D:D,0))&amp;"-"&amp;INDEX(BDD!E:E,MATCH(P1566,BDD!D:D,0))</f>
        <v>S-P</v>
      </c>
      <c r="C1566" s="125" t="s">
        <v>484</v>
      </c>
      <c r="D1566" s="150" t="s">
        <v>20</v>
      </c>
      <c r="E1566" s="132" t="s">
        <v>1622</v>
      </c>
      <c r="F1566" s="24"/>
      <c r="G1566" s="346"/>
      <c r="H1566" s="125" t="s">
        <v>5992</v>
      </c>
      <c r="I1566" s="329"/>
      <c r="J1566" s="346"/>
      <c r="K1566" s="24"/>
      <c r="L1566" s="24"/>
      <c r="M1566" s="24"/>
      <c r="N1566" s="340"/>
      <c r="O1566" s="334"/>
      <c r="P1566" s="25" t="s">
        <v>2</v>
      </c>
      <c r="Q1566" s="127" t="s">
        <v>3266</v>
      </c>
      <c r="R1566" s="232"/>
      <c r="S1566" s="89"/>
      <c r="T1566" s="36"/>
      <c r="U1566" s="125"/>
      <c r="V1566" s="147"/>
      <c r="W1566" s="129"/>
      <c r="X1566" s="88"/>
      <c r="Y1566" s="130"/>
      <c r="Z1566" s="133"/>
      <c r="AA1566" s="133"/>
      <c r="AB1566" s="241"/>
      <c r="AC1566" s="134"/>
      <c r="AD1566" s="134"/>
      <c r="AE1566" s="403">
        <f t="shared" si="90"/>
        <v>0</v>
      </c>
      <c r="AF1566" s="132"/>
      <c r="AG1566" s="130"/>
      <c r="AH1566" s="130"/>
      <c r="AI1566" s="130"/>
      <c r="AJ1566" s="130"/>
      <c r="AK1566" s="130"/>
      <c r="AL1566" s="135"/>
      <c r="AM1566" s="314"/>
      <c r="AN1566" s="26"/>
      <c r="AO1566" s="26"/>
      <c r="AP1566" s="26"/>
      <c r="AQ1566" s="26"/>
      <c r="AR1566" s="24"/>
      <c r="AS1566" s="24"/>
      <c r="AT1566" s="24"/>
      <c r="AU1566" s="418">
        <f t="shared" si="91"/>
        <v>1</v>
      </c>
      <c r="AV1566" s="418">
        <f t="shared" si="92"/>
        <v>1900</v>
      </c>
      <c r="AW1566" s="24"/>
      <c r="AX1566" s="24"/>
      <c r="AY1566" s="24"/>
      <c r="AZ1566" s="24"/>
      <c r="BA1566" s="24"/>
      <c r="BB1566" s="24"/>
      <c r="BC1566" s="135"/>
      <c r="BD1566" s="24"/>
      <c r="BE1566" s="24"/>
      <c r="BF1566" s="24"/>
      <c r="BG1566" s="276"/>
      <c r="BH1566" s="276"/>
      <c r="BI1566" s="314"/>
      <c r="BJ1566" s="314"/>
      <c r="BK1566" s="24"/>
      <c r="BL1566" s="24"/>
      <c r="BM1566" s="24"/>
      <c r="BN1566" s="24"/>
      <c r="BO1566" s="24"/>
      <c r="BP1566" s="24"/>
      <c r="BQ1566" s="24"/>
      <c r="BR1566" s="24"/>
      <c r="BS1566" s="24"/>
      <c r="BT1566" s="24"/>
      <c r="BU1566" s="24"/>
      <c r="BV1566" s="132"/>
      <c r="BW1566" s="132"/>
      <c r="BX1566" s="132"/>
      <c r="BY1566" s="132"/>
      <c r="BZ1566" s="132"/>
      <c r="CA1566" s="132"/>
      <c r="CB1566" s="132"/>
      <c r="CC1566" s="362"/>
      <c r="CD1566" s="22"/>
      <c r="CE1566" s="22"/>
      <c r="CF1566" s="22"/>
      <c r="CG1566" s="24"/>
      <c r="CH1566" s="24"/>
      <c r="CI1566" s="24"/>
      <c r="CJ1566" s="24"/>
    </row>
    <row r="1567" spans="1:88" ht="15" customHeight="1">
      <c r="A1567" s="18">
        <v>2021</v>
      </c>
      <c r="B1567" s="18" t="str">
        <f>+INDEX(BDD!F:F,MATCH(P1567,BDD!D:D,0))&amp;"-"&amp;INDEX(BDD!E:E,MATCH(P1567,BDD!D:D,0))</f>
        <v>S-P</v>
      </c>
      <c r="C1567" s="125" t="s">
        <v>484</v>
      </c>
      <c r="D1567" s="150" t="s">
        <v>77</v>
      </c>
      <c r="E1567" s="132"/>
      <c r="F1567" s="24"/>
      <c r="G1567" s="346">
        <v>8000001584</v>
      </c>
      <c r="H1567" s="125" t="s">
        <v>5993</v>
      </c>
      <c r="I1567" s="329"/>
      <c r="J1567" s="346">
        <v>8000001584</v>
      </c>
      <c r="K1567" s="24"/>
      <c r="L1567" s="24">
        <v>44485</v>
      </c>
      <c r="M1567" s="24">
        <v>44483</v>
      </c>
      <c r="N1567" s="340" t="s">
        <v>486</v>
      </c>
      <c r="O1567" s="334">
        <v>208510</v>
      </c>
      <c r="P1567" s="25" t="s">
        <v>2</v>
      </c>
      <c r="Q1567" s="127" t="s">
        <v>3266</v>
      </c>
      <c r="R1567" s="232" t="s">
        <v>5989</v>
      </c>
      <c r="S1567" s="89">
        <v>44386</v>
      </c>
      <c r="T1567" s="36" t="s">
        <v>19</v>
      </c>
      <c r="U1567" s="125"/>
      <c r="V1567" s="147" t="s">
        <v>5994</v>
      </c>
      <c r="W1567" s="129"/>
      <c r="X1567" s="88">
        <v>44425</v>
      </c>
      <c r="Y1567" s="130" t="s">
        <v>20</v>
      </c>
      <c r="Z1567" s="133" t="s">
        <v>81</v>
      </c>
      <c r="AA1567" s="133"/>
      <c r="AB1567" s="241">
        <v>133</v>
      </c>
      <c r="AC1567" s="134">
        <v>1497</v>
      </c>
      <c r="AD1567" s="134"/>
      <c r="AE1567" s="403">
        <f t="shared" si="90"/>
        <v>199101</v>
      </c>
      <c r="AF1567" s="132">
        <v>5</v>
      </c>
      <c r="AG1567" s="130" t="s">
        <v>5</v>
      </c>
      <c r="AH1567" s="130"/>
      <c r="AI1567" s="130" t="s">
        <v>5633</v>
      </c>
      <c r="AJ1567" s="130"/>
      <c r="AK1567" s="130"/>
      <c r="AL1567" s="135" t="s">
        <v>5917</v>
      </c>
      <c r="AM1567" s="314"/>
      <c r="AN1567" s="26">
        <f>BL1567</f>
        <v>0</v>
      </c>
      <c r="AO1567" s="26">
        <v>44416</v>
      </c>
      <c r="AP1567" s="26">
        <f>AQ1567</f>
        <v>44477</v>
      </c>
      <c r="AQ1567" s="26">
        <v>44477</v>
      </c>
      <c r="AR1567" s="24">
        <f>AP1567+4</f>
        <v>44481</v>
      </c>
      <c r="AS1567" s="24"/>
      <c r="AT1567" s="24">
        <v>44484</v>
      </c>
      <c r="AU1567" s="418">
        <f t="shared" si="91"/>
        <v>10</v>
      </c>
      <c r="AV1567" s="418">
        <f t="shared" si="92"/>
        <v>2021</v>
      </c>
      <c r="AW1567" s="24"/>
      <c r="AX1567" s="24"/>
      <c r="AY1567" s="24" t="s">
        <v>149</v>
      </c>
      <c r="AZ1567" s="24" t="s">
        <v>37</v>
      </c>
      <c r="BA1567" s="24"/>
      <c r="BB1567" s="24" t="s">
        <v>3291</v>
      </c>
      <c r="BC1567" s="132" t="s">
        <v>5995</v>
      </c>
      <c r="BD1567" s="24">
        <v>44416</v>
      </c>
      <c r="BE1567" s="24" t="s">
        <v>5996</v>
      </c>
      <c r="BF1567" s="24" t="s">
        <v>5997</v>
      </c>
      <c r="BG1567" s="276" t="s">
        <v>53</v>
      </c>
      <c r="BH1567" s="276"/>
      <c r="BI1567" s="314" t="s">
        <v>124</v>
      </c>
      <c r="BJ1567" s="314" t="s">
        <v>148</v>
      </c>
      <c r="BK1567" s="24"/>
      <c r="BL1567" s="24"/>
      <c r="BM1567" s="24"/>
      <c r="BN1567" s="24"/>
      <c r="BO1567" s="24"/>
      <c r="BP1567" s="24"/>
      <c r="BQ1567" s="24"/>
      <c r="BR1567" s="24"/>
      <c r="BS1567" s="24"/>
      <c r="BT1567" s="24"/>
      <c r="BU1567" s="24"/>
      <c r="BV1567" s="132" t="e">
        <f>IF(#REF!="COMPLETO","OK","PENDIENTES")</f>
        <v>#REF!</v>
      </c>
      <c r="BW1567" s="132"/>
      <c r="BX1567" s="132"/>
      <c r="BY1567" s="132"/>
      <c r="BZ1567" s="132"/>
      <c r="CA1567" s="132"/>
      <c r="CB1567" s="132"/>
      <c r="CC1567" s="269"/>
      <c r="CG1567" s="24" t="s">
        <v>105</v>
      </c>
      <c r="CH1567" s="24"/>
      <c r="CI1567" s="24"/>
      <c r="CJ1567" s="24"/>
    </row>
    <row r="1568" spans="1:88" ht="15" customHeight="1">
      <c r="A1568" s="18">
        <v>2021</v>
      </c>
      <c r="B1568" s="18" t="str">
        <f>+INDEX(BDD!F:F,MATCH(P1568,BDD!D:D,0))&amp;"-"&amp;INDEX(BDD!E:E,MATCH(P1568,BDD!D:D,0))</f>
        <v>S-P</v>
      </c>
      <c r="C1568" s="125" t="s">
        <v>484</v>
      </c>
      <c r="D1568" s="150" t="s">
        <v>20</v>
      </c>
      <c r="E1568" s="132" t="s">
        <v>1622</v>
      </c>
      <c r="F1568" s="24"/>
      <c r="G1568" s="346"/>
      <c r="H1568" s="125" t="s">
        <v>5998</v>
      </c>
      <c r="I1568" s="329"/>
      <c r="J1568" s="346"/>
      <c r="K1568" s="24"/>
      <c r="L1568" s="24"/>
      <c r="M1568" s="24"/>
      <c r="N1568" s="340"/>
      <c r="O1568" s="334"/>
      <c r="P1568" s="25" t="s">
        <v>2</v>
      </c>
      <c r="Q1568" s="127" t="s">
        <v>3266</v>
      </c>
      <c r="R1568" s="232"/>
      <c r="S1568" s="89"/>
      <c r="T1568" s="36"/>
      <c r="U1568" s="125"/>
      <c r="V1568" s="147"/>
      <c r="W1568" s="129"/>
      <c r="X1568" s="88"/>
      <c r="Y1568" s="130"/>
      <c r="Z1568" s="133"/>
      <c r="AA1568" s="133"/>
      <c r="AB1568" s="241"/>
      <c r="AC1568" s="134"/>
      <c r="AD1568" s="134"/>
      <c r="AE1568" s="403">
        <f t="shared" si="90"/>
        <v>0</v>
      </c>
      <c r="AF1568" s="132"/>
      <c r="AG1568" s="130"/>
      <c r="AH1568" s="130"/>
      <c r="AI1568" s="130"/>
      <c r="AJ1568" s="130"/>
      <c r="AK1568" s="130"/>
      <c r="AL1568" s="135"/>
      <c r="AM1568" s="314"/>
      <c r="AN1568" s="26"/>
      <c r="AO1568" s="26"/>
      <c r="AP1568" s="26"/>
      <c r="AQ1568" s="26"/>
      <c r="AR1568" s="24"/>
      <c r="AS1568" s="24"/>
      <c r="AT1568" s="24"/>
      <c r="AU1568" s="418">
        <f t="shared" si="91"/>
        <v>1</v>
      </c>
      <c r="AV1568" s="418">
        <f t="shared" si="92"/>
        <v>1900</v>
      </c>
      <c r="AW1568" s="24"/>
      <c r="AX1568" s="24"/>
      <c r="AY1568" s="24"/>
      <c r="AZ1568" s="24"/>
      <c r="BA1568" s="24"/>
      <c r="BB1568" s="24"/>
      <c r="BC1568" s="135"/>
      <c r="BD1568" s="24"/>
      <c r="BE1568" s="24"/>
      <c r="BF1568" s="24"/>
      <c r="BG1568" s="135"/>
      <c r="BH1568" s="135"/>
      <c r="BI1568" s="314"/>
      <c r="BJ1568" s="314"/>
      <c r="BK1568" s="24"/>
      <c r="BL1568" s="24"/>
      <c r="BM1568" s="24"/>
      <c r="BN1568" s="24"/>
      <c r="BO1568" s="24"/>
      <c r="BP1568" s="24"/>
      <c r="BQ1568" s="24"/>
      <c r="BR1568" s="24"/>
      <c r="BS1568" s="24"/>
      <c r="BT1568" s="24"/>
      <c r="BU1568" s="24"/>
      <c r="BV1568" s="132"/>
      <c r="BW1568" s="132"/>
      <c r="BX1568" s="132"/>
      <c r="BY1568" s="132"/>
      <c r="BZ1568" s="132"/>
      <c r="CA1568" s="132"/>
      <c r="CB1568" s="132"/>
      <c r="CC1568" s="362"/>
      <c r="CD1568" s="22"/>
      <c r="CE1568" s="22"/>
      <c r="CF1568" s="22"/>
      <c r="CG1568" s="24"/>
      <c r="CH1568" s="24"/>
      <c r="CI1568" s="24"/>
      <c r="CJ1568" s="24"/>
    </row>
    <row r="1569" spans="1:88" ht="15" customHeight="1">
      <c r="A1569" s="18">
        <v>2021</v>
      </c>
      <c r="B1569" s="18" t="str">
        <f>+INDEX(BDD!F:F,MATCH(P1569,BDD!D:D,0))&amp;"-"&amp;INDEX(BDD!E:E,MATCH(P1569,BDD!D:D,0))</f>
        <v>S-C</v>
      </c>
      <c r="C1569" s="125" t="s">
        <v>484</v>
      </c>
      <c r="D1569" s="150" t="s">
        <v>77</v>
      </c>
      <c r="E1569" s="132"/>
      <c r="F1569" s="24"/>
      <c r="G1569" s="346">
        <v>8000001404</v>
      </c>
      <c r="H1569" s="125" t="s">
        <v>5999</v>
      </c>
      <c r="I1569" s="329"/>
      <c r="J1569" s="346">
        <v>8000001404</v>
      </c>
      <c r="K1569" s="24"/>
      <c r="L1569" s="24">
        <v>44613</v>
      </c>
      <c r="M1569" s="24">
        <v>44613</v>
      </c>
      <c r="N1569" s="340" t="s">
        <v>486</v>
      </c>
      <c r="O1569" s="334">
        <v>206623</v>
      </c>
      <c r="P1569" s="25" t="s">
        <v>241</v>
      </c>
      <c r="Q1569" s="127" t="s">
        <v>6000</v>
      </c>
      <c r="R1569" s="232" t="s">
        <v>544</v>
      </c>
      <c r="S1569" s="89">
        <v>44385</v>
      </c>
      <c r="T1569" s="36">
        <v>30</v>
      </c>
      <c r="U1569" s="125" t="s">
        <v>118</v>
      </c>
      <c r="V1569" s="147" t="s">
        <v>6001</v>
      </c>
      <c r="W1569" s="129"/>
      <c r="X1569" s="88">
        <v>44635</v>
      </c>
      <c r="Y1569" s="130" t="s">
        <v>20</v>
      </c>
      <c r="Z1569" s="133" t="s">
        <v>72</v>
      </c>
      <c r="AA1569" s="133"/>
      <c r="AB1569" s="241">
        <v>124.5</v>
      </c>
      <c r="AC1569" s="134">
        <v>795</v>
      </c>
      <c r="AD1569" s="134"/>
      <c r="AE1569" s="403">
        <f t="shared" si="90"/>
        <v>98977.5</v>
      </c>
      <c r="AF1569" s="132">
        <v>5</v>
      </c>
      <c r="AG1569" s="130" t="s">
        <v>33</v>
      </c>
      <c r="AH1569" s="130"/>
      <c r="AI1569" s="130" t="s">
        <v>6002</v>
      </c>
      <c r="AJ1569" s="130"/>
      <c r="AK1569" s="130"/>
      <c r="AL1569" s="135" t="s">
        <v>5917</v>
      </c>
      <c r="AM1569" s="314"/>
      <c r="AN1569" s="26">
        <v>44530</v>
      </c>
      <c r="AO1569" s="26">
        <v>44602</v>
      </c>
      <c r="AP1569" s="26">
        <v>44570</v>
      </c>
      <c r="AQ1569" s="26">
        <v>44603</v>
      </c>
      <c r="AR1569" s="24">
        <v>44621</v>
      </c>
      <c r="AS1569" s="24"/>
      <c r="AT1569" s="24">
        <v>44603</v>
      </c>
      <c r="AU1569" s="418">
        <f t="shared" si="91"/>
        <v>2</v>
      </c>
      <c r="AV1569" s="418">
        <f t="shared" si="92"/>
        <v>2022</v>
      </c>
      <c r="AW1569" s="24"/>
      <c r="AX1569" s="24"/>
      <c r="AY1569" s="24" t="s">
        <v>181</v>
      </c>
      <c r="AZ1569" s="24" t="s">
        <v>62</v>
      </c>
      <c r="BA1569" s="24"/>
      <c r="BB1569" s="24" t="s">
        <v>3264</v>
      </c>
      <c r="BC1569" s="132">
        <v>7610</v>
      </c>
      <c r="BD1569" s="24">
        <v>44578</v>
      </c>
      <c r="BE1569" s="24" t="s">
        <v>6003</v>
      </c>
      <c r="BF1569" s="24" t="s">
        <v>6003</v>
      </c>
      <c r="BG1569" s="135" t="s">
        <v>6004</v>
      </c>
      <c r="BH1569" s="135"/>
      <c r="BI1569" s="314" t="s">
        <v>117</v>
      </c>
      <c r="BJ1569" s="314" t="s">
        <v>143</v>
      </c>
      <c r="BK1569" s="24"/>
      <c r="BL1569" s="24"/>
      <c r="BM1569" s="24"/>
      <c r="BN1569" s="24"/>
      <c r="BO1569" s="24"/>
      <c r="BP1569" s="24"/>
      <c r="BQ1569" s="24" t="s">
        <v>6005</v>
      </c>
      <c r="BR1569" s="24">
        <v>44601</v>
      </c>
      <c r="BS1569" s="24" t="s">
        <v>38</v>
      </c>
      <c r="BT1569" s="24" t="s">
        <v>11</v>
      </c>
      <c r="BU1569" s="24"/>
      <c r="BV1569" s="132" t="e">
        <f>IF(#REF!="COMPLETO","OK","PENDIENTE")</f>
        <v>#REF!</v>
      </c>
      <c r="BW1569" s="132"/>
      <c r="BX1569" s="132"/>
      <c r="BY1569" s="132"/>
      <c r="BZ1569" s="132"/>
      <c r="CA1569" s="132"/>
      <c r="CB1569" s="132"/>
      <c r="CC1569" s="269"/>
      <c r="CG1569" s="24" t="s">
        <v>105</v>
      </c>
      <c r="CH1569" s="24"/>
      <c r="CI1569" s="24"/>
      <c r="CJ1569" s="24"/>
    </row>
    <row r="1570" spans="1:88" ht="15" customHeight="1">
      <c r="A1570" s="18">
        <v>2021</v>
      </c>
      <c r="B1570" s="18" t="str">
        <f>+INDEX(BDD!F:F,MATCH(P1570,BDD!D:D,0))&amp;"-"&amp;INDEX(BDD!E:E,MATCH(P1570,BDD!D:D,0))</f>
        <v>S-C</v>
      </c>
      <c r="C1570" s="125" t="s">
        <v>484</v>
      </c>
      <c r="D1570" s="150" t="s">
        <v>77</v>
      </c>
      <c r="E1570" s="132"/>
      <c r="F1570" s="24"/>
      <c r="G1570" s="346">
        <v>8000001849</v>
      </c>
      <c r="H1570" s="125" t="s">
        <v>6006</v>
      </c>
      <c r="I1570" s="329"/>
      <c r="J1570" s="346">
        <v>8000001849</v>
      </c>
      <c r="K1570" s="24"/>
      <c r="L1570" s="24">
        <v>44613</v>
      </c>
      <c r="M1570" s="24">
        <v>44613</v>
      </c>
      <c r="N1570" s="340" t="s">
        <v>486</v>
      </c>
      <c r="O1570" s="334">
        <v>206623</v>
      </c>
      <c r="P1570" s="25" t="s">
        <v>241</v>
      </c>
      <c r="Q1570" s="127" t="s">
        <v>6000</v>
      </c>
      <c r="R1570" s="232" t="s">
        <v>544</v>
      </c>
      <c r="S1570" s="89">
        <v>44385</v>
      </c>
      <c r="T1570" s="36">
        <v>30</v>
      </c>
      <c r="U1570" s="125" t="s">
        <v>118</v>
      </c>
      <c r="V1570" s="147" t="s">
        <v>6007</v>
      </c>
      <c r="W1570" s="129"/>
      <c r="X1570" s="88">
        <v>44635</v>
      </c>
      <c r="Y1570" s="130" t="s">
        <v>20</v>
      </c>
      <c r="Z1570" s="133" t="s">
        <v>72</v>
      </c>
      <c r="AA1570" s="133"/>
      <c r="AB1570" s="241">
        <v>124.5</v>
      </c>
      <c r="AC1570" s="134">
        <v>795</v>
      </c>
      <c r="AD1570" s="134"/>
      <c r="AE1570" s="403">
        <f t="shared" si="90"/>
        <v>98977.5</v>
      </c>
      <c r="AF1570" s="132">
        <v>5</v>
      </c>
      <c r="AG1570" s="130" t="s">
        <v>33</v>
      </c>
      <c r="AH1570" s="130"/>
      <c r="AI1570" s="130" t="s">
        <v>6002</v>
      </c>
      <c r="AJ1570" s="130"/>
      <c r="AK1570" s="130"/>
      <c r="AL1570" s="135" t="s">
        <v>5917</v>
      </c>
      <c r="AM1570" s="314"/>
      <c r="AN1570" s="26">
        <v>44530</v>
      </c>
      <c r="AO1570" s="26">
        <v>44607</v>
      </c>
      <c r="AP1570" s="26">
        <v>44570</v>
      </c>
      <c r="AQ1570" s="26">
        <v>44608</v>
      </c>
      <c r="AR1570" s="24">
        <v>44623</v>
      </c>
      <c r="AS1570" s="24"/>
      <c r="AT1570" s="24">
        <v>44608</v>
      </c>
      <c r="AU1570" s="418">
        <f t="shared" si="91"/>
        <v>2</v>
      </c>
      <c r="AV1570" s="418">
        <f t="shared" si="92"/>
        <v>2022</v>
      </c>
      <c r="AW1570" s="24"/>
      <c r="AX1570" s="24"/>
      <c r="AY1570" s="24" t="s">
        <v>181</v>
      </c>
      <c r="AZ1570" s="24" t="s">
        <v>62</v>
      </c>
      <c r="BA1570" s="24"/>
      <c r="BB1570" s="24" t="s">
        <v>3264</v>
      </c>
      <c r="BC1570" s="132">
        <v>7613</v>
      </c>
      <c r="BD1570" s="24">
        <v>44578</v>
      </c>
      <c r="BE1570" s="24" t="s">
        <v>6003</v>
      </c>
      <c r="BF1570" s="24" t="s">
        <v>6003</v>
      </c>
      <c r="BG1570" s="135" t="s">
        <v>6004</v>
      </c>
      <c r="BH1570" s="135"/>
      <c r="BI1570" s="314" t="s">
        <v>117</v>
      </c>
      <c r="BJ1570" s="314" t="s">
        <v>143</v>
      </c>
      <c r="BK1570" s="24"/>
      <c r="BL1570" s="24"/>
      <c r="BM1570" s="24"/>
      <c r="BN1570" s="24"/>
      <c r="BO1570" s="24"/>
      <c r="BP1570" s="24"/>
      <c r="BQ1570" s="24" t="s">
        <v>6008</v>
      </c>
      <c r="BR1570" s="24">
        <v>44606</v>
      </c>
      <c r="BS1570" s="24" t="s">
        <v>38</v>
      </c>
      <c r="BT1570" s="24" t="s">
        <v>39</v>
      </c>
      <c r="BU1570" s="24"/>
      <c r="BV1570" s="132" t="e">
        <f>IF(#REF!="COMPLETO","OK","PENDIENTE")</f>
        <v>#REF!</v>
      </c>
      <c r="BW1570" s="132"/>
      <c r="BX1570" s="132"/>
      <c r="BY1570" s="132"/>
      <c r="BZ1570" s="132"/>
      <c r="CA1570" s="132"/>
      <c r="CB1570" s="132"/>
      <c r="CC1570" s="269"/>
      <c r="CG1570" s="24" t="s">
        <v>105</v>
      </c>
      <c r="CH1570" s="24"/>
      <c r="CI1570" s="24"/>
      <c r="CJ1570" s="24"/>
    </row>
    <row r="1571" spans="1:88" ht="15" customHeight="1">
      <c r="A1571" s="18">
        <v>2021</v>
      </c>
      <c r="B1571" s="18" t="str">
        <f>+INDEX(BDD!F:F,MATCH(P1571,BDD!D:D,0))&amp;"-"&amp;INDEX(BDD!E:E,MATCH(P1571,BDD!D:D,0))</f>
        <v>S-C</v>
      </c>
      <c r="C1571" s="125" t="s">
        <v>484</v>
      </c>
      <c r="D1571" s="150" t="s">
        <v>77</v>
      </c>
      <c r="E1571" s="132"/>
      <c r="F1571" s="24"/>
      <c r="G1571" s="346">
        <v>8000001850</v>
      </c>
      <c r="H1571" s="125" t="s">
        <v>6009</v>
      </c>
      <c r="I1571" s="329"/>
      <c r="J1571" s="346">
        <v>8000001850</v>
      </c>
      <c r="K1571" s="24"/>
      <c r="L1571" s="24">
        <v>44615</v>
      </c>
      <c r="M1571" s="24">
        <v>44615</v>
      </c>
      <c r="N1571" s="340" t="s">
        <v>486</v>
      </c>
      <c r="O1571" s="334">
        <v>206623</v>
      </c>
      <c r="P1571" s="25" t="s">
        <v>241</v>
      </c>
      <c r="Q1571" s="127" t="s">
        <v>6000</v>
      </c>
      <c r="R1571" s="232" t="s">
        <v>544</v>
      </c>
      <c r="S1571" s="89">
        <v>44385</v>
      </c>
      <c r="T1571" s="36">
        <v>30</v>
      </c>
      <c r="U1571" s="125" t="s">
        <v>118</v>
      </c>
      <c r="V1571" s="147" t="s">
        <v>6010</v>
      </c>
      <c r="W1571" s="129"/>
      <c r="X1571" s="88">
        <v>44655</v>
      </c>
      <c r="Y1571" s="130" t="s">
        <v>20</v>
      </c>
      <c r="Z1571" s="133" t="s">
        <v>72</v>
      </c>
      <c r="AA1571" s="133"/>
      <c r="AB1571" s="241">
        <v>124.5</v>
      </c>
      <c r="AC1571" s="134">
        <v>795</v>
      </c>
      <c r="AD1571" s="134"/>
      <c r="AE1571" s="403">
        <f t="shared" si="90"/>
        <v>98977.5</v>
      </c>
      <c r="AF1571" s="132">
        <v>5</v>
      </c>
      <c r="AG1571" s="130" t="s">
        <v>33</v>
      </c>
      <c r="AH1571" s="130"/>
      <c r="AI1571" s="130" t="s">
        <v>6002</v>
      </c>
      <c r="AJ1571" s="130"/>
      <c r="AK1571" s="130"/>
      <c r="AL1571" s="135" t="s">
        <v>5917</v>
      </c>
      <c r="AM1571" s="314"/>
      <c r="AN1571" s="26">
        <v>44530</v>
      </c>
      <c r="AO1571" s="26">
        <v>44608</v>
      </c>
      <c r="AP1571" s="26">
        <v>44570</v>
      </c>
      <c r="AQ1571" s="26">
        <v>44609</v>
      </c>
      <c r="AR1571" s="24">
        <v>44621</v>
      </c>
      <c r="AS1571" s="24"/>
      <c r="AT1571" s="24">
        <v>44609</v>
      </c>
      <c r="AU1571" s="418">
        <f t="shared" si="91"/>
        <v>2</v>
      </c>
      <c r="AV1571" s="418">
        <f t="shared" si="92"/>
        <v>2022</v>
      </c>
      <c r="AW1571" s="24"/>
      <c r="AX1571" s="24"/>
      <c r="AY1571" s="24" t="s">
        <v>181</v>
      </c>
      <c r="AZ1571" s="24" t="s">
        <v>62</v>
      </c>
      <c r="BA1571" s="24"/>
      <c r="BB1571" s="24" t="s">
        <v>3264</v>
      </c>
      <c r="BC1571" s="132">
        <v>7671</v>
      </c>
      <c r="BD1571" s="24">
        <v>44595</v>
      </c>
      <c r="BE1571" s="24" t="s">
        <v>6003</v>
      </c>
      <c r="BF1571" s="24" t="s">
        <v>6003</v>
      </c>
      <c r="BG1571" s="135" t="s">
        <v>6004</v>
      </c>
      <c r="BH1571" s="135"/>
      <c r="BI1571" s="314" t="s">
        <v>117</v>
      </c>
      <c r="BJ1571" s="314" t="s">
        <v>143</v>
      </c>
      <c r="BK1571" s="24"/>
      <c r="BL1571" s="24"/>
      <c r="BM1571" s="24"/>
      <c r="BN1571" s="24"/>
      <c r="BO1571" s="24"/>
      <c r="BP1571" s="24"/>
      <c r="BQ1571" s="24" t="s">
        <v>6011</v>
      </c>
      <c r="BR1571" s="24">
        <v>44608</v>
      </c>
      <c r="BS1571" s="24" t="s">
        <v>38</v>
      </c>
      <c r="BT1571" s="24" t="s">
        <v>11</v>
      </c>
      <c r="BU1571" s="24"/>
      <c r="BV1571" s="132" t="e">
        <f>IF(#REF!="COMPLETO","OK","PENDIENTE")</f>
        <v>#REF!</v>
      </c>
      <c r="BW1571" s="132"/>
      <c r="BX1571" s="132"/>
      <c r="BY1571" s="132"/>
      <c r="BZ1571" s="132"/>
      <c r="CA1571" s="132"/>
      <c r="CB1571" s="132"/>
      <c r="CC1571" s="269"/>
      <c r="CG1571" s="24" t="s">
        <v>105</v>
      </c>
      <c r="CH1571" s="24"/>
      <c r="CI1571" s="24"/>
      <c r="CJ1571" s="24"/>
    </row>
    <row r="1572" spans="1:88" ht="15" customHeight="1">
      <c r="A1572" s="18">
        <v>2021</v>
      </c>
      <c r="B1572" s="18" t="str">
        <f>+INDEX(BDD!F:F,MATCH(P1572,BDD!D:D,0))&amp;"-"&amp;INDEX(BDD!E:E,MATCH(P1572,BDD!D:D,0))</f>
        <v>S-C</v>
      </c>
      <c r="C1572" s="125" t="s">
        <v>484</v>
      </c>
      <c r="D1572" s="150" t="s">
        <v>77</v>
      </c>
      <c r="E1572" s="132"/>
      <c r="F1572" s="24"/>
      <c r="G1572" s="346">
        <v>8000001853</v>
      </c>
      <c r="H1572" s="125" t="s">
        <v>6012</v>
      </c>
      <c r="I1572" s="329"/>
      <c r="J1572" s="346">
        <v>8000001853</v>
      </c>
      <c r="K1572" s="24"/>
      <c r="L1572" s="24">
        <v>44615</v>
      </c>
      <c r="M1572" s="24">
        <v>44615</v>
      </c>
      <c r="N1572" s="340" t="s">
        <v>486</v>
      </c>
      <c r="O1572" s="334">
        <v>206623</v>
      </c>
      <c r="P1572" s="25" t="s">
        <v>241</v>
      </c>
      <c r="Q1572" s="127" t="s">
        <v>6000</v>
      </c>
      <c r="R1572" s="232" t="s">
        <v>544</v>
      </c>
      <c r="S1572" s="89">
        <v>44385</v>
      </c>
      <c r="T1572" s="36">
        <v>30</v>
      </c>
      <c r="U1572" s="125" t="s">
        <v>118</v>
      </c>
      <c r="V1572" s="147" t="s">
        <v>6013</v>
      </c>
      <c r="W1572" s="129"/>
      <c r="X1572" s="88">
        <v>44655</v>
      </c>
      <c r="Y1572" s="130" t="s">
        <v>20</v>
      </c>
      <c r="Z1572" s="133" t="s">
        <v>60</v>
      </c>
      <c r="AA1572" s="133"/>
      <c r="AB1572" s="241">
        <v>99.6</v>
      </c>
      <c r="AC1572" s="134">
        <v>795</v>
      </c>
      <c r="AD1572" s="134"/>
      <c r="AE1572" s="403">
        <f t="shared" si="90"/>
        <v>79182</v>
      </c>
      <c r="AF1572" s="132">
        <v>4</v>
      </c>
      <c r="AG1572" s="130" t="s">
        <v>33</v>
      </c>
      <c r="AH1572" s="130"/>
      <c r="AI1572" s="130" t="s">
        <v>6002</v>
      </c>
      <c r="AJ1572" s="130"/>
      <c r="AK1572" s="130"/>
      <c r="AL1572" s="135" t="s">
        <v>5917</v>
      </c>
      <c r="AM1572" s="314"/>
      <c r="AN1572" s="26">
        <v>44530</v>
      </c>
      <c r="AO1572" s="26">
        <v>44610</v>
      </c>
      <c r="AP1572" s="26">
        <v>44570</v>
      </c>
      <c r="AQ1572" s="26">
        <v>44611</v>
      </c>
      <c r="AR1572" s="24">
        <v>44631</v>
      </c>
      <c r="AS1572" s="24"/>
      <c r="AT1572" s="24">
        <v>44611</v>
      </c>
      <c r="AU1572" s="418">
        <f t="shared" si="91"/>
        <v>2</v>
      </c>
      <c r="AV1572" s="418">
        <f t="shared" si="92"/>
        <v>2022</v>
      </c>
      <c r="AW1572" s="24"/>
      <c r="AX1572" s="24"/>
      <c r="AY1572" s="24" t="s">
        <v>181</v>
      </c>
      <c r="AZ1572" s="24" t="s">
        <v>62</v>
      </c>
      <c r="BA1572" s="24"/>
      <c r="BB1572" s="24" t="s">
        <v>3264</v>
      </c>
      <c r="BC1572" s="132">
        <v>7673</v>
      </c>
      <c r="BD1572" s="24">
        <v>44595</v>
      </c>
      <c r="BE1572" s="24" t="s">
        <v>6003</v>
      </c>
      <c r="BF1572" s="24" t="s">
        <v>6003</v>
      </c>
      <c r="BG1572" s="135" t="s">
        <v>6004</v>
      </c>
      <c r="BH1572" s="135"/>
      <c r="BI1572" s="314" t="s">
        <v>117</v>
      </c>
      <c r="BJ1572" s="314" t="s">
        <v>143</v>
      </c>
      <c r="BK1572" s="24"/>
      <c r="BL1572" s="24"/>
      <c r="BM1572" s="24"/>
      <c r="BN1572" s="24"/>
      <c r="BO1572" s="24"/>
      <c r="BP1572" s="24"/>
      <c r="BQ1572" s="24" t="s">
        <v>6014</v>
      </c>
      <c r="BR1572" s="24">
        <v>44610</v>
      </c>
      <c r="BS1572" s="24" t="s">
        <v>38</v>
      </c>
      <c r="BT1572" s="24" t="s">
        <v>11</v>
      </c>
      <c r="BU1572" s="24"/>
      <c r="BV1572" s="132" t="e">
        <f>IF(#REF!="COMPLETO","OK","PENDIENTE")</f>
        <v>#REF!</v>
      </c>
      <c r="BW1572" s="132"/>
      <c r="BX1572" s="132"/>
      <c r="BY1572" s="132"/>
      <c r="BZ1572" s="132"/>
      <c r="CA1572" s="132"/>
      <c r="CB1572" s="132"/>
      <c r="CC1572" s="269"/>
      <c r="CG1572" s="24" t="s">
        <v>105</v>
      </c>
      <c r="CH1572" s="24"/>
      <c r="CI1572" s="24"/>
      <c r="CJ1572" s="24"/>
    </row>
    <row r="1573" spans="1:88" ht="15" customHeight="1">
      <c r="A1573" s="18">
        <v>2021</v>
      </c>
      <c r="B1573" s="18" t="str">
        <f>+INDEX(BDD!F:F,MATCH(P1573,BDD!D:D,0))&amp;"-"&amp;INDEX(BDD!E:E,MATCH(P1573,BDD!D:D,0))</f>
        <v>S-C</v>
      </c>
      <c r="C1573" s="125" t="s">
        <v>484</v>
      </c>
      <c r="D1573" s="150" t="s">
        <v>77</v>
      </c>
      <c r="E1573" s="132"/>
      <c r="F1573" s="24"/>
      <c r="G1573" s="346">
        <v>8000001854</v>
      </c>
      <c r="H1573" s="125" t="s">
        <v>6015</v>
      </c>
      <c r="I1573" s="329"/>
      <c r="J1573" s="346">
        <v>8000001854</v>
      </c>
      <c r="K1573" s="24"/>
      <c r="L1573" s="24">
        <v>44615</v>
      </c>
      <c r="M1573" s="24">
        <v>44615</v>
      </c>
      <c r="N1573" s="340" t="s">
        <v>486</v>
      </c>
      <c r="O1573" s="334">
        <v>206623</v>
      </c>
      <c r="P1573" s="25" t="s">
        <v>241</v>
      </c>
      <c r="Q1573" s="127" t="s">
        <v>6000</v>
      </c>
      <c r="R1573" s="232" t="s">
        <v>544</v>
      </c>
      <c r="S1573" s="89">
        <v>44385</v>
      </c>
      <c r="T1573" s="36">
        <v>30</v>
      </c>
      <c r="U1573" s="125" t="s">
        <v>118</v>
      </c>
      <c r="V1573" s="147" t="s">
        <v>6013</v>
      </c>
      <c r="W1573" s="129"/>
      <c r="X1573" s="88">
        <v>44655</v>
      </c>
      <c r="Y1573" s="130" t="s">
        <v>20</v>
      </c>
      <c r="Z1573" s="133" t="s">
        <v>60</v>
      </c>
      <c r="AA1573" s="133"/>
      <c r="AB1573" s="241">
        <v>24.9</v>
      </c>
      <c r="AC1573" s="134">
        <v>795</v>
      </c>
      <c r="AD1573" s="134"/>
      <c r="AE1573" s="403">
        <f t="shared" si="90"/>
        <v>19795.5</v>
      </c>
      <c r="AF1573" s="132">
        <v>1</v>
      </c>
      <c r="AG1573" s="130" t="s">
        <v>33</v>
      </c>
      <c r="AH1573" s="130"/>
      <c r="AI1573" s="130" t="s">
        <v>6002</v>
      </c>
      <c r="AJ1573" s="130"/>
      <c r="AK1573" s="130"/>
      <c r="AL1573" s="135" t="s">
        <v>5917</v>
      </c>
      <c r="AM1573" s="314"/>
      <c r="AN1573" s="26">
        <f>BL1573</f>
        <v>0</v>
      </c>
      <c r="AO1573" s="26">
        <v>44613</v>
      </c>
      <c r="AP1573" s="26">
        <f>AQ1573</f>
        <v>44614</v>
      </c>
      <c r="AQ1573" s="26">
        <v>44614</v>
      </c>
      <c r="AR1573" s="24">
        <v>44631</v>
      </c>
      <c r="AS1573" s="24"/>
      <c r="AT1573" s="24">
        <v>44614</v>
      </c>
      <c r="AU1573" s="418">
        <f t="shared" si="91"/>
        <v>2</v>
      </c>
      <c r="AV1573" s="418">
        <f t="shared" si="92"/>
        <v>2022</v>
      </c>
      <c r="AW1573" s="24"/>
      <c r="AX1573" s="24"/>
      <c r="AY1573" s="24" t="s">
        <v>181</v>
      </c>
      <c r="AZ1573" s="24" t="s">
        <v>62</v>
      </c>
      <c r="BA1573" s="24"/>
      <c r="BB1573" s="24" t="s">
        <v>3264</v>
      </c>
      <c r="BC1573" s="132">
        <v>7674</v>
      </c>
      <c r="BD1573" s="24">
        <v>44612</v>
      </c>
      <c r="BE1573" s="24" t="s">
        <v>6003</v>
      </c>
      <c r="BF1573" s="24" t="s">
        <v>6003</v>
      </c>
      <c r="BG1573" s="135" t="s">
        <v>6004</v>
      </c>
      <c r="BH1573" s="135"/>
      <c r="BI1573" s="314" t="s">
        <v>117</v>
      </c>
      <c r="BJ1573" s="314" t="s">
        <v>143</v>
      </c>
      <c r="BK1573" s="24"/>
      <c r="BL1573" s="24"/>
      <c r="BM1573" s="24"/>
      <c r="BN1573" s="24"/>
      <c r="BO1573" s="24"/>
      <c r="BP1573" s="24"/>
      <c r="BQ1573" s="24" t="s">
        <v>6016</v>
      </c>
      <c r="BR1573" s="24">
        <v>44613</v>
      </c>
      <c r="BS1573" s="24" t="s">
        <v>38</v>
      </c>
      <c r="BT1573" s="24" t="s">
        <v>11</v>
      </c>
      <c r="BU1573" s="24"/>
      <c r="BV1573" s="132" t="e">
        <f>IF(#REF!="COMPLETO","OK","PENDIENTE")</f>
        <v>#REF!</v>
      </c>
      <c r="BW1573" s="132"/>
      <c r="BX1573" s="132"/>
      <c r="BY1573" s="132"/>
      <c r="BZ1573" s="132"/>
      <c r="CA1573" s="132"/>
      <c r="CB1573" s="132"/>
      <c r="CC1573" s="269"/>
      <c r="CG1573" s="24" t="s">
        <v>105</v>
      </c>
      <c r="CH1573" s="24"/>
      <c r="CI1573" s="24"/>
      <c r="CJ1573" s="24"/>
    </row>
    <row r="1574" spans="1:88" ht="15" customHeight="1">
      <c r="A1574" s="18">
        <v>2021</v>
      </c>
      <c r="B1574" s="18" t="str">
        <f>+INDEX(BDD!F:F,MATCH(P1574,BDD!D:D,0))&amp;"-"&amp;INDEX(BDD!E:E,MATCH(P1574,BDD!D:D,0))</f>
        <v>S-C</v>
      </c>
      <c r="C1574" s="125" t="s">
        <v>484</v>
      </c>
      <c r="D1574" s="150" t="s">
        <v>77</v>
      </c>
      <c r="E1574" s="132"/>
      <c r="F1574" s="24"/>
      <c r="G1574" s="346">
        <v>8000001859</v>
      </c>
      <c r="H1574" s="125" t="s">
        <v>6017</v>
      </c>
      <c r="I1574" s="329"/>
      <c r="J1574" s="346">
        <v>8000001859</v>
      </c>
      <c r="K1574" s="24"/>
      <c r="L1574" s="24">
        <v>44620</v>
      </c>
      <c r="M1574" s="24">
        <v>44620</v>
      </c>
      <c r="N1574" s="340" t="s">
        <v>486</v>
      </c>
      <c r="O1574" s="334">
        <v>206623</v>
      </c>
      <c r="P1574" s="25" t="s">
        <v>241</v>
      </c>
      <c r="Q1574" s="127" t="s">
        <v>6000</v>
      </c>
      <c r="R1574" s="232" t="s">
        <v>544</v>
      </c>
      <c r="S1574" s="89">
        <v>44385</v>
      </c>
      <c r="T1574" s="36">
        <v>30</v>
      </c>
      <c r="U1574" s="125" t="s">
        <v>118</v>
      </c>
      <c r="V1574" s="147" t="s">
        <v>6018</v>
      </c>
      <c r="W1574" s="129"/>
      <c r="X1574" s="88">
        <v>44655</v>
      </c>
      <c r="Y1574" s="130" t="s">
        <v>20</v>
      </c>
      <c r="Z1574" s="133" t="s">
        <v>60</v>
      </c>
      <c r="AA1574" s="133"/>
      <c r="AB1574" s="241">
        <v>74.7</v>
      </c>
      <c r="AC1574" s="134">
        <v>795</v>
      </c>
      <c r="AD1574" s="134"/>
      <c r="AE1574" s="403">
        <f t="shared" si="90"/>
        <v>59386.5</v>
      </c>
      <c r="AF1574" s="132">
        <v>3</v>
      </c>
      <c r="AG1574" s="130" t="s">
        <v>33</v>
      </c>
      <c r="AH1574" s="130"/>
      <c r="AI1574" s="130" t="s">
        <v>6002</v>
      </c>
      <c r="AJ1574" s="130"/>
      <c r="AK1574" s="130"/>
      <c r="AL1574" s="135" t="s">
        <v>5917</v>
      </c>
      <c r="AM1574" s="314"/>
      <c r="AN1574" s="26">
        <f>BL1574</f>
        <v>0</v>
      </c>
      <c r="AO1574" s="26">
        <v>44617</v>
      </c>
      <c r="AP1574" s="26">
        <f>AQ1574</f>
        <v>44618</v>
      </c>
      <c r="AQ1574" s="26">
        <v>44618</v>
      </c>
      <c r="AR1574" s="24">
        <v>44638</v>
      </c>
      <c r="AS1574" s="24"/>
      <c r="AT1574" s="24">
        <v>44618</v>
      </c>
      <c r="AU1574" s="418">
        <f t="shared" si="91"/>
        <v>2</v>
      </c>
      <c r="AV1574" s="418">
        <f t="shared" si="92"/>
        <v>2022</v>
      </c>
      <c r="AW1574" s="24"/>
      <c r="AX1574" s="24"/>
      <c r="AY1574" s="24" t="s">
        <v>181</v>
      </c>
      <c r="AZ1574" s="24" t="s">
        <v>62</v>
      </c>
      <c r="BA1574" s="24"/>
      <c r="BB1574" s="24" t="s">
        <v>3264</v>
      </c>
      <c r="BC1574" s="132">
        <v>7675</v>
      </c>
      <c r="BD1574" s="24">
        <v>44595</v>
      </c>
      <c r="BE1574" s="24" t="s">
        <v>6003</v>
      </c>
      <c r="BF1574" s="24" t="s">
        <v>6003</v>
      </c>
      <c r="BG1574" s="135" t="s">
        <v>6004</v>
      </c>
      <c r="BH1574" s="135"/>
      <c r="BI1574" s="314" t="s">
        <v>117</v>
      </c>
      <c r="BJ1574" s="314" t="s">
        <v>143</v>
      </c>
      <c r="BK1574" s="24"/>
      <c r="BL1574" s="24"/>
      <c r="BM1574" s="24"/>
      <c r="BN1574" s="24"/>
      <c r="BO1574" s="24"/>
      <c r="BP1574" s="24"/>
      <c r="BQ1574" s="24" t="s">
        <v>6019</v>
      </c>
      <c r="BR1574" s="24">
        <v>44616</v>
      </c>
      <c r="BS1574" s="24" t="s">
        <v>38</v>
      </c>
      <c r="BT1574" s="24" t="s">
        <v>11</v>
      </c>
      <c r="BU1574" s="24"/>
      <c r="BV1574" s="132" t="e">
        <f>IF(#REF!="COMPLETO","OK","PENDIENTE")</f>
        <v>#REF!</v>
      </c>
      <c r="BW1574" s="132"/>
      <c r="BX1574" s="132"/>
      <c r="BY1574" s="132"/>
      <c r="BZ1574" s="132"/>
      <c r="CA1574" s="132"/>
      <c r="CB1574" s="132"/>
      <c r="CC1574" s="269"/>
      <c r="CG1574" s="24" t="s">
        <v>105</v>
      </c>
      <c r="CH1574" s="24"/>
      <c r="CI1574" s="24"/>
      <c r="CJ1574" s="24"/>
    </row>
    <row r="1575" spans="1:88" ht="15" customHeight="1">
      <c r="A1575" s="18">
        <v>2021</v>
      </c>
      <c r="B1575" s="18"/>
      <c r="C1575" s="125" t="s">
        <v>484</v>
      </c>
      <c r="D1575" s="150" t="s">
        <v>77</v>
      </c>
      <c r="E1575" s="132"/>
      <c r="F1575" s="24"/>
      <c r="G1575" s="346">
        <v>8000001403</v>
      </c>
      <c r="H1575" s="125" t="s">
        <v>6020</v>
      </c>
      <c r="I1575" s="329"/>
      <c r="J1575" s="346">
        <v>8000001403</v>
      </c>
      <c r="K1575" s="24"/>
      <c r="L1575" s="24"/>
      <c r="M1575" s="24"/>
      <c r="N1575" s="340" t="s">
        <v>486</v>
      </c>
      <c r="O1575" s="334">
        <v>203683</v>
      </c>
      <c r="P1575" s="25" t="s">
        <v>6021</v>
      </c>
      <c r="Q1575" s="127" t="s">
        <v>297</v>
      </c>
      <c r="R1575" s="232" t="s">
        <v>944</v>
      </c>
      <c r="S1575" s="89" t="s">
        <v>944</v>
      </c>
      <c r="T1575" s="36" t="s">
        <v>6022</v>
      </c>
      <c r="U1575" s="125" t="s">
        <v>6023</v>
      </c>
      <c r="V1575" s="147" t="s">
        <v>944</v>
      </c>
      <c r="W1575" s="129"/>
      <c r="X1575" s="88"/>
      <c r="Y1575" s="130" t="s">
        <v>944</v>
      </c>
      <c r="Z1575" s="133" t="s">
        <v>72</v>
      </c>
      <c r="AA1575" s="133"/>
      <c r="AB1575" s="241">
        <v>3</v>
      </c>
      <c r="AC1575" s="134">
        <v>0</v>
      </c>
      <c r="AD1575" s="134"/>
      <c r="AE1575" s="403">
        <f t="shared" si="90"/>
        <v>0</v>
      </c>
      <c r="AF1575" s="132"/>
      <c r="AG1575" s="130"/>
      <c r="AH1575" s="130"/>
      <c r="AI1575" s="130" t="s">
        <v>6024</v>
      </c>
      <c r="AJ1575" s="130"/>
      <c r="AK1575" s="130"/>
      <c r="AL1575" s="135" t="s">
        <v>944</v>
      </c>
      <c r="AM1575" s="314"/>
      <c r="AN1575" s="26"/>
      <c r="AO1575" s="26" t="s">
        <v>944</v>
      </c>
      <c r="AP1575" s="26"/>
      <c r="AQ1575" s="26" t="s">
        <v>944</v>
      </c>
      <c r="AR1575" s="24"/>
      <c r="AS1575" s="24"/>
      <c r="AT1575" s="24">
        <v>44389</v>
      </c>
      <c r="AU1575" s="418">
        <f t="shared" si="91"/>
        <v>7</v>
      </c>
      <c r="AV1575" s="418">
        <f t="shared" si="92"/>
        <v>2021</v>
      </c>
      <c r="AW1575" s="24"/>
      <c r="AX1575" s="24"/>
      <c r="AY1575" s="24" t="s">
        <v>944</v>
      </c>
      <c r="AZ1575" s="24" t="s">
        <v>25</v>
      </c>
      <c r="BA1575" s="24"/>
      <c r="BB1575" s="24" t="s">
        <v>3264</v>
      </c>
      <c r="BC1575" s="24" t="s">
        <v>944</v>
      </c>
      <c r="BD1575" s="24" t="s">
        <v>944</v>
      </c>
      <c r="BE1575" s="24" t="s">
        <v>944</v>
      </c>
      <c r="BF1575" s="24" t="s">
        <v>944</v>
      </c>
      <c r="BG1575" s="24" t="s">
        <v>944</v>
      </c>
      <c r="BH1575" s="24"/>
      <c r="BI1575" s="314" t="s">
        <v>117</v>
      </c>
      <c r="BJ1575" s="314" t="s">
        <v>143</v>
      </c>
      <c r="BK1575" s="24"/>
      <c r="BL1575" s="24"/>
      <c r="BM1575" s="24"/>
      <c r="BN1575" s="24"/>
      <c r="BO1575" s="24" t="s">
        <v>944</v>
      </c>
      <c r="BP1575" s="24"/>
      <c r="BQ1575" s="24"/>
      <c r="BR1575" s="24"/>
      <c r="BS1575" s="24"/>
      <c r="BT1575" s="24"/>
      <c r="BU1575" s="24"/>
      <c r="BV1575" s="132" t="e">
        <f>IF(#REF!="COMPLETO","OK","PENDIENTES")</f>
        <v>#REF!</v>
      </c>
      <c r="BW1575" s="132"/>
      <c r="BX1575" s="132"/>
      <c r="BY1575" s="132"/>
      <c r="BZ1575" s="132"/>
      <c r="CA1575" s="132"/>
      <c r="CB1575" s="132"/>
      <c r="CC1575" s="269"/>
      <c r="CG1575" s="24" t="s">
        <v>944</v>
      </c>
      <c r="CH1575" s="24"/>
      <c r="CI1575" s="24"/>
      <c r="CJ1575" s="24"/>
    </row>
    <row r="1576" spans="1:88" ht="15" customHeight="1">
      <c r="A1576" s="18">
        <v>2021</v>
      </c>
      <c r="B1576" s="18" t="str">
        <f>+INDEX(BDD!F:F,MATCH(P1576,BDD!D:D,0))&amp;"-"&amp;INDEX(BDD!E:E,MATCH(P1576,BDD!D:D,0))</f>
        <v>S-S</v>
      </c>
      <c r="C1576" s="360" t="s">
        <v>484</v>
      </c>
      <c r="D1576" s="150" t="s">
        <v>77</v>
      </c>
      <c r="E1576" s="132"/>
      <c r="F1576" s="24"/>
      <c r="G1576" s="346">
        <v>8000001655</v>
      </c>
      <c r="H1576" s="18" t="s">
        <v>6025</v>
      </c>
      <c r="I1576" s="329"/>
      <c r="J1576" s="346">
        <v>8000001655</v>
      </c>
      <c r="K1576" s="24"/>
      <c r="L1576" s="24">
        <v>44620</v>
      </c>
      <c r="M1576" s="24">
        <v>44620</v>
      </c>
      <c r="N1576" s="340" t="s">
        <v>486</v>
      </c>
      <c r="O1576" s="334">
        <v>206713</v>
      </c>
      <c r="P1576" s="25" t="s">
        <v>340</v>
      </c>
      <c r="Q1576" s="127" t="s">
        <v>297</v>
      </c>
      <c r="R1576" s="232" t="s">
        <v>6026</v>
      </c>
      <c r="S1576" s="89">
        <v>44384</v>
      </c>
      <c r="T1576" s="36">
        <v>90</v>
      </c>
      <c r="U1576" s="125" t="s">
        <v>118</v>
      </c>
      <c r="V1576" s="232" t="s">
        <v>6027</v>
      </c>
      <c r="W1576" s="151"/>
      <c r="X1576" s="88">
        <v>44631</v>
      </c>
      <c r="Y1576" s="232" t="s">
        <v>20</v>
      </c>
      <c r="Z1576" s="133" t="s">
        <v>60</v>
      </c>
      <c r="AA1576" s="133" t="s">
        <v>6028</v>
      </c>
      <c r="AB1576" s="241">
        <v>5000.3999999999996</v>
      </c>
      <c r="AC1576" s="134">
        <v>785.18</v>
      </c>
      <c r="AD1576" s="134">
        <v>234.79</v>
      </c>
      <c r="AE1576" s="403">
        <f t="shared" si="90"/>
        <v>3926214.0719999997</v>
      </c>
      <c r="AF1576" s="132"/>
      <c r="AG1576" s="232" t="s">
        <v>58</v>
      </c>
      <c r="AH1576" s="232"/>
      <c r="AI1576" s="130" t="s">
        <v>6029</v>
      </c>
      <c r="AJ1576" s="130"/>
      <c r="AK1576" s="130"/>
      <c r="AL1576" s="135" t="s">
        <v>6030</v>
      </c>
      <c r="AM1576" s="314"/>
      <c r="AN1576" s="26">
        <f>BL1576</f>
        <v>0</v>
      </c>
      <c r="AO1576" s="26">
        <v>44541</v>
      </c>
      <c r="AP1576" s="26" t="e">
        <f>#REF!+48</f>
        <v>#REF!</v>
      </c>
      <c r="AQ1576" s="26">
        <v>44599</v>
      </c>
      <c r="AR1576" s="24">
        <f>AQ1576+10</f>
        <v>44609</v>
      </c>
      <c r="AS1576" s="24"/>
      <c r="AT1576" s="24">
        <v>44625</v>
      </c>
      <c r="AU1576" s="418">
        <f t="shared" si="91"/>
        <v>3</v>
      </c>
      <c r="AV1576" s="418">
        <f t="shared" si="92"/>
        <v>2022</v>
      </c>
      <c r="AW1576" s="24"/>
      <c r="AX1576" s="135"/>
      <c r="AY1576" s="135" t="s">
        <v>6032</v>
      </c>
      <c r="AZ1576" s="24" t="s">
        <v>37</v>
      </c>
      <c r="BA1576" s="24"/>
      <c r="BB1576" s="24" t="s">
        <v>3291</v>
      </c>
      <c r="BC1576" s="135" t="s">
        <v>6031</v>
      </c>
      <c r="BD1576" s="24">
        <v>44541</v>
      </c>
      <c r="BE1576" s="24" t="s">
        <v>6033</v>
      </c>
      <c r="BF1576" s="24" t="s">
        <v>6033</v>
      </c>
      <c r="BG1576" s="135" t="s">
        <v>52</v>
      </c>
      <c r="BH1576" s="135"/>
      <c r="BI1576" s="314" t="s">
        <v>3</v>
      </c>
      <c r="BJ1576" s="314" t="s">
        <v>143</v>
      </c>
      <c r="BK1576" s="24"/>
      <c r="BL1576" s="24"/>
      <c r="BM1576" s="24"/>
      <c r="BN1576" s="24"/>
      <c r="BO1576" s="41"/>
      <c r="BP1576" s="41"/>
      <c r="BQ1576" s="41" t="s">
        <v>6034</v>
      </c>
      <c r="BR1576" s="24">
        <v>44594</v>
      </c>
      <c r="BS1576" s="41" t="s">
        <v>38</v>
      </c>
      <c r="BT1576" s="41" t="s">
        <v>11</v>
      </c>
      <c r="BU1576" s="41"/>
      <c r="BV1576" s="132" t="e">
        <f>IF(#REF!="COMPLETO","OK","PENDIENTE")</f>
        <v>#REF!</v>
      </c>
      <c r="BW1576" s="132"/>
      <c r="BX1576" s="132"/>
      <c r="BY1576" s="132"/>
      <c r="BZ1576" s="132"/>
      <c r="CA1576" s="132"/>
      <c r="CB1576" s="132"/>
      <c r="CC1576" s="269" t="s">
        <v>6035</v>
      </c>
      <c r="CG1576" s="24" t="s">
        <v>105</v>
      </c>
      <c r="CH1576" s="24"/>
      <c r="CI1576" s="24"/>
      <c r="CJ1576" s="24"/>
    </row>
    <row r="1577" spans="1:88" ht="15" customHeight="1">
      <c r="A1577" s="18">
        <v>2021</v>
      </c>
      <c r="B1577" s="18" t="str">
        <f>+INDEX(BDD!F:F,MATCH(P1577,BDD!D:D,0))&amp;"-"&amp;INDEX(BDD!E:E,MATCH(P1577,BDD!D:D,0))</f>
        <v>S-S</v>
      </c>
      <c r="C1577" s="360" t="s">
        <v>484</v>
      </c>
      <c r="D1577" s="150" t="s">
        <v>20</v>
      </c>
      <c r="E1577" s="132" t="s">
        <v>1622</v>
      </c>
      <c r="F1577" s="24"/>
      <c r="G1577" s="346"/>
      <c r="H1577" s="18" t="s">
        <v>6036</v>
      </c>
      <c r="I1577" s="329"/>
      <c r="J1577" s="346"/>
      <c r="K1577" s="24"/>
      <c r="L1577" s="24"/>
      <c r="M1577" s="24"/>
      <c r="N1577" s="340"/>
      <c r="O1577" s="334"/>
      <c r="P1577" s="25" t="s">
        <v>340</v>
      </c>
      <c r="Q1577" s="127" t="s">
        <v>297</v>
      </c>
      <c r="R1577" s="232"/>
      <c r="S1577" s="89"/>
      <c r="T1577" s="36"/>
      <c r="U1577" s="125"/>
      <c r="V1577" s="147"/>
      <c r="W1577" s="129"/>
      <c r="X1577" s="88"/>
      <c r="Y1577" s="130"/>
      <c r="Z1577" s="133"/>
      <c r="AA1577" s="133"/>
      <c r="AB1577" s="241"/>
      <c r="AC1577" s="134"/>
      <c r="AD1577" s="134"/>
      <c r="AE1577" s="403">
        <f t="shared" si="90"/>
        <v>0</v>
      </c>
      <c r="AF1577" s="132"/>
      <c r="AG1577" s="130"/>
      <c r="AH1577" s="130"/>
      <c r="AI1577" s="130"/>
      <c r="AJ1577" s="130"/>
      <c r="AK1577" s="130"/>
      <c r="AL1577" s="135"/>
      <c r="AM1577" s="314"/>
      <c r="AN1577" s="26"/>
      <c r="AO1577" s="26"/>
      <c r="AP1577" s="26"/>
      <c r="AQ1577" s="26"/>
      <c r="AR1577" s="24"/>
      <c r="AS1577" s="24"/>
      <c r="AT1577" s="24"/>
      <c r="AU1577" s="418">
        <f t="shared" si="91"/>
        <v>1</v>
      </c>
      <c r="AV1577" s="418">
        <f t="shared" si="92"/>
        <v>1900</v>
      </c>
      <c r="AW1577" s="24"/>
      <c r="AX1577" s="24"/>
      <c r="AY1577" s="24"/>
      <c r="AZ1577" s="24"/>
      <c r="BA1577" s="24"/>
      <c r="BB1577" s="24"/>
      <c r="BC1577" s="135"/>
      <c r="BD1577" s="24"/>
      <c r="BE1577" s="24"/>
      <c r="BF1577" s="24"/>
      <c r="BG1577" s="135"/>
      <c r="BH1577" s="135"/>
      <c r="BI1577" s="314"/>
      <c r="BJ1577" s="314"/>
      <c r="BK1577" s="24"/>
      <c r="BL1577" s="24"/>
      <c r="BM1577" s="24"/>
      <c r="BN1577" s="24"/>
      <c r="BO1577" s="24"/>
      <c r="BP1577" s="24"/>
      <c r="BQ1577" s="24"/>
      <c r="BR1577" s="24"/>
      <c r="BS1577" s="24"/>
      <c r="BT1577" s="24"/>
      <c r="BU1577" s="24"/>
      <c r="BV1577" s="132"/>
      <c r="BW1577" s="132"/>
      <c r="BX1577" s="132"/>
      <c r="BY1577" s="132"/>
      <c r="BZ1577" s="132"/>
      <c r="CA1577" s="132"/>
      <c r="CB1577" s="132"/>
      <c r="CC1577" s="362"/>
      <c r="CD1577" s="22"/>
      <c r="CE1577" s="22"/>
      <c r="CF1577" s="22"/>
      <c r="CG1577" s="24"/>
      <c r="CH1577" s="24"/>
      <c r="CI1577" s="24"/>
      <c r="CJ1577" s="24"/>
    </row>
    <row r="1578" spans="1:88" ht="15" customHeight="1">
      <c r="A1578" s="18">
        <v>2021</v>
      </c>
      <c r="B1578" s="18" t="str">
        <f>+INDEX(BDD!F:F,MATCH(P1578,BDD!D:D,0))&amp;"-"&amp;INDEX(BDD!E:E,MATCH(P1578,BDD!D:D,0))</f>
        <v>S-C</v>
      </c>
      <c r="C1578" s="360" t="s">
        <v>484</v>
      </c>
      <c r="D1578" s="150" t="s">
        <v>77</v>
      </c>
      <c r="E1578" s="132"/>
      <c r="F1578" s="24"/>
      <c r="G1578" s="346">
        <v>8000001407</v>
      </c>
      <c r="H1578" s="18" t="s">
        <v>6037</v>
      </c>
      <c r="I1578" s="329"/>
      <c r="J1578" s="346">
        <v>8000001407</v>
      </c>
      <c r="K1578" s="24"/>
      <c r="L1578" s="24">
        <v>0</v>
      </c>
      <c r="M1578" s="24">
        <v>44553</v>
      </c>
      <c r="N1578" s="340" t="s">
        <v>486</v>
      </c>
      <c r="O1578" s="334">
        <v>207580</v>
      </c>
      <c r="P1578" s="25" t="s">
        <v>241</v>
      </c>
      <c r="Q1578" s="127" t="s">
        <v>297</v>
      </c>
      <c r="R1578" s="232" t="s">
        <v>6038</v>
      </c>
      <c r="S1578" s="89">
        <v>44393</v>
      </c>
      <c r="T1578" s="36" t="s">
        <v>19</v>
      </c>
      <c r="U1578" s="125"/>
      <c r="V1578" s="147" t="s">
        <v>6039</v>
      </c>
      <c r="W1578" s="129"/>
      <c r="X1578" s="88">
        <v>44496</v>
      </c>
      <c r="Y1578" s="130" t="s">
        <v>20</v>
      </c>
      <c r="Z1578" s="133" t="s">
        <v>72</v>
      </c>
      <c r="AA1578" s="133"/>
      <c r="AB1578" s="241">
        <v>528</v>
      </c>
      <c r="AC1578" s="134">
        <v>756</v>
      </c>
      <c r="AD1578" s="134"/>
      <c r="AE1578" s="403">
        <f t="shared" si="90"/>
        <v>399168</v>
      </c>
      <c r="AF1578" s="132">
        <f>AB1578/24</f>
        <v>22</v>
      </c>
      <c r="AG1578" s="130" t="s">
        <v>5</v>
      </c>
      <c r="AH1578" s="130"/>
      <c r="AI1578" s="130" t="s">
        <v>34</v>
      </c>
      <c r="AJ1578" s="130"/>
      <c r="AK1578" s="130"/>
      <c r="AL1578" s="135" t="s">
        <v>6040</v>
      </c>
      <c r="AM1578" s="314"/>
      <c r="AN1578" s="26">
        <f>BL1578</f>
        <v>0</v>
      </c>
      <c r="AO1578" s="26">
        <v>44489</v>
      </c>
      <c r="AP1578" s="26">
        <f>AQ1578</f>
        <v>44544</v>
      </c>
      <c r="AQ1578" s="26">
        <v>44544</v>
      </c>
      <c r="AR1578" s="24">
        <v>44574</v>
      </c>
      <c r="AS1578" s="24"/>
      <c r="AT1578" s="24">
        <v>44553</v>
      </c>
      <c r="AU1578" s="418">
        <f t="shared" si="91"/>
        <v>12</v>
      </c>
      <c r="AV1578" s="418">
        <f t="shared" si="92"/>
        <v>2021</v>
      </c>
      <c r="AW1578" s="24"/>
      <c r="AX1578" s="24"/>
      <c r="AY1578" s="24" t="s">
        <v>4881</v>
      </c>
      <c r="AZ1578" s="24" t="s">
        <v>9</v>
      </c>
      <c r="BA1578" s="24"/>
      <c r="BB1578" s="24" t="s">
        <v>3264</v>
      </c>
      <c r="BC1578" s="135" t="s">
        <v>6041</v>
      </c>
      <c r="BD1578" s="24">
        <v>44489</v>
      </c>
      <c r="BE1578" s="24" t="s">
        <v>756</v>
      </c>
      <c r="BF1578" s="24" t="s">
        <v>5944</v>
      </c>
      <c r="BG1578" s="135" t="s">
        <v>29</v>
      </c>
      <c r="BH1578" s="135"/>
      <c r="BI1578" s="314" t="s">
        <v>3</v>
      </c>
      <c r="BJ1578" s="314" t="s">
        <v>143</v>
      </c>
      <c r="BK1578" s="24"/>
      <c r="BL1578" s="24"/>
      <c r="BM1578" s="24"/>
      <c r="BN1578" s="24"/>
      <c r="BO1578" s="24">
        <f>AQ1578+14</f>
        <v>44558</v>
      </c>
      <c r="BP1578" s="24"/>
      <c r="BQ1578" s="24"/>
      <c r="BR1578" s="24"/>
      <c r="BS1578" s="24"/>
      <c r="BT1578" s="24"/>
      <c r="BU1578" s="24"/>
      <c r="BV1578" s="132" t="e">
        <f>IF(#REF!="COMPLETO","OK","PENDIENTE")</f>
        <v>#REF!</v>
      </c>
      <c r="BW1578" s="132"/>
      <c r="BX1578" s="132"/>
      <c r="BY1578" s="132"/>
      <c r="BZ1578" s="132"/>
      <c r="CA1578" s="132"/>
      <c r="CB1578" s="132"/>
      <c r="CC1578" s="269"/>
      <c r="CG1578" s="24" t="s">
        <v>105</v>
      </c>
      <c r="CH1578" s="24"/>
      <c r="CI1578" s="24"/>
      <c r="CJ1578" s="24"/>
    </row>
    <row r="1579" spans="1:88" ht="15" customHeight="1">
      <c r="A1579" s="18">
        <v>2021</v>
      </c>
      <c r="B1579" s="18" t="str">
        <f>+INDEX(BDD!F:F,MATCH(P1579,BDD!D:D,0))&amp;"-"&amp;INDEX(BDD!E:E,MATCH(P1579,BDD!D:D,0))</f>
        <v>G-S</v>
      </c>
      <c r="C1579" s="360" t="s">
        <v>484</v>
      </c>
      <c r="D1579" s="150" t="s">
        <v>77</v>
      </c>
      <c r="E1579" s="132"/>
      <c r="F1579" s="24"/>
      <c r="G1579" s="346">
        <v>8000001530</v>
      </c>
      <c r="H1579" s="18" t="s">
        <v>6042</v>
      </c>
      <c r="I1579" s="329"/>
      <c r="J1579" s="346">
        <v>8000001530</v>
      </c>
      <c r="K1579" s="24"/>
      <c r="L1579" s="24">
        <v>44449</v>
      </c>
      <c r="M1579" s="24">
        <v>44455</v>
      </c>
      <c r="N1579" s="340" t="s">
        <v>486</v>
      </c>
      <c r="O1579" s="334">
        <v>207951</v>
      </c>
      <c r="P1579" s="25" t="s">
        <v>354</v>
      </c>
      <c r="Q1579" s="127" t="s">
        <v>294</v>
      </c>
      <c r="R1579" s="232" t="s">
        <v>6043</v>
      </c>
      <c r="S1579" s="89">
        <v>44391</v>
      </c>
      <c r="T1579" s="36">
        <v>150</v>
      </c>
      <c r="U1579" s="125" t="s">
        <v>118</v>
      </c>
      <c r="V1579" s="147" t="s">
        <v>6044</v>
      </c>
      <c r="W1579" s="129"/>
      <c r="X1579" s="88">
        <f t="shared" ref="X1579:X1585" si="93">+BD1579+T1579</f>
        <v>44576</v>
      </c>
      <c r="Y1579" s="130" t="s">
        <v>20</v>
      </c>
      <c r="Z1579" s="133" t="s">
        <v>60</v>
      </c>
      <c r="AA1579" s="133"/>
      <c r="AB1579" s="241">
        <v>770</v>
      </c>
      <c r="AC1579" s="134">
        <v>539.79999999999995</v>
      </c>
      <c r="AD1579" s="134"/>
      <c r="AE1579" s="403">
        <f t="shared" si="90"/>
        <v>415645.99999999994</v>
      </c>
      <c r="AF1579" s="132"/>
      <c r="AG1579" s="130" t="s">
        <v>46</v>
      </c>
      <c r="AH1579" s="130"/>
      <c r="AI1579" s="130" t="s">
        <v>100</v>
      </c>
      <c r="AJ1579" s="130"/>
      <c r="AK1579" s="130"/>
      <c r="AL1579" s="135" t="s">
        <v>6045</v>
      </c>
      <c r="AM1579" s="314"/>
      <c r="AN1579" s="26"/>
      <c r="AO1579" s="26">
        <v>44427</v>
      </c>
      <c r="AP1579" s="26"/>
      <c r="AQ1579" s="26">
        <v>44451</v>
      </c>
      <c r="AR1579" s="24"/>
      <c r="AS1579" s="24"/>
      <c r="AT1579" s="24">
        <v>44455</v>
      </c>
      <c r="AU1579" s="418">
        <f t="shared" si="91"/>
        <v>9</v>
      </c>
      <c r="AV1579" s="418">
        <f t="shared" si="92"/>
        <v>2021</v>
      </c>
      <c r="AW1579" s="24"/>
      <c r="AX1579" s="24"/>
      <c r="AY1579" s="24" t="s">
        <v>6046</v>
      </c>
      <c r="AZ1579" s="24" t="s">
        <v>9</v>
      </c>
      <c r="BA1579" s="24"/>
      <c r="BB1579" s="24" t="s">
        <v>3264</v>
      </c>
      <c r="BC1579" s="135">
        <v>6</v>
      </c>
      <c r="BD1579" s="24">
        <v>44426</v>
      </c>
      <c r="BE1579" s="24" t="s">
        <v>6047</v>
      </c>
      <c r="BF1579" s="24" t="s">
        <v>6047</v>
      </c>
      <c r="BG1579" s="135" t="s">
        <v>52</v>
      </c>
      <c r="BH1579" s="135"/>
      <c r="BI1579" s="314" t="s">
        <v>117</v>
      </c>
      <c r="BJ1579" s="314" t="s">
        <v>143</v>
      </c>
      <c r="BK1579" s="24"/>
      <c r="BL1579" s="24"/>
      <c r="BM1579" s="24"/>
      <c r="BN1579" s="24"/>
      <c r="BO1579" s="24"/>
      <c r="BP1579" s="24"/>
      <c r="BQ1579" s="24"/>
      <c r="BR1579" s="24"/>
      <c r="BS1579" s="24"/>
      <c r="BT1579" s="24"/>
      <c r="BU1579" s="24"/>
      <c r="BV1579" s="132" t="e">
        <f>IF(#REF!="COMPLETO","OK","PENDIENTES")</f>
        <v>#REF!</v>
      </c>
      <c r="BW1579" s="132"/>
      <c r="BX1579" s="132"/>
      <c r="BY1579" s="132"/>
      <c r="BZ1579" s="132"/>
      <c r="CA1579" s="132"/>
      <c r="CB1579" s="132"/>
      <c r="CC1579" s="269"/>
      <c r="CG1579" s="24" t="s">
        <v>105</v>
      </c>
      <c r="CH1579" s="24"/>
      <c r="CI1579" s="24"/>
      <c r="CJ1579" s="24"/>
    </row>
    <row r="1580" spans="1:88" ht="15" customHeight="1">
      <c r="A1580" s="18">
        <v>2021</v>
      </c>
      <c r="B1580" s="18" t="str">
        <f>+INDEX(BDD!F:F,MATCH(P1580,BDD!D:D,0))&amp;"-"&amp;INDEX(BDD!E:E,MATCH(P1580,BDD!D:D,0))</f>
        <v>G-S</v>
      </c>
      <c r="C1580" s="360" t="s">
        <v>484</v>
      </c>
      <c r="D1580" s="150" t="s">
        <v>77</v>
      </c>
      <c r="E1580" s="132"/>
      <c r="F1580" s="24"/>
      <c r="G1580" s="346">
        <v>8000001594</v>
      </c>
      <c r="H1580" s="18" t="s">
        <v>6048</v>
      </c>
      <c r="I1580" s="329"/>
      <c r="J1580" s="346">
        <v>8000001594</v>
      </c>
      <c r="K1580" s="24"/>
      <c r="L1580" s="24">
        <v>44449</v>
      </c>
      <c r="M1580" s="24">
        <v>44449</v>
      </c>
      <c r="N1580" s="340" t="s">
        <v>486</v>
      </c>
      <c r="O1580" s="334">
        <v>207951</v>
      </c>
      <c r="P1580" s="25" t="s">
        <v>354</v>
      </c>
      <c r="Q1580" s="127" t="s">
        <v>294</v>
      </c>
      <c r="R1580" s="232" t="s">
        <v>6043</v>
      </c>
      <c r="S1580" s="89">
        <v>44391</v>
      </c>
      <c r="T1580" s="36">
        <v>150</v>
      </c>
      <c r="U1580" s="125" t="s">
        <v>118</v>
      </c>
      <c r="V1580" s="147" t="s">
        <v>6049</v>
      </c>
      <c r="W1580" s="129"/>
      <c r="X1580" s="88">
        <f t="shared" si="93"/>
        <v>44576</v>
      </c>
      <c r="Y1580" s="130" t="s">
        <v>20</v>
      </c>
      <c r="Z1580" s="133" t="s">
        <v>60</v>
      </c>
      <c r="AA1580" s="133"/>
      <c r="AB1580" s="241">
        <v>1960</v>
      </c>
      <c r="AC1580" s="134">
        <v>539.79999999999995</v>
      </c>
      <c r="AD1580" s="134"/>
      <c r="AE1580" s="403">
        <f t="shared" si="90"/>
        <v>1058008</v>
      </c>
      <c r="AF1580" s="132"/>
      <c r="AG1580" s="130" t="s">
        <v>46</v>
      </c>
      <c r="AH1580" s="130"/>
      <c r="AI1580" s="130" t="s">
        <v>100</v>
      </c>
      <c r="AJ1580" s="130"/>
      <c r="AK1580" s="130"/>
      <c r="AL1580" s="135" t="s">
        <v>6045</v>
      </c>
      <c r="AM1580" s="314"/>
      <c r="AN1580" s="26"/>
      <c r="AO1580" s="26">
        <v>44427</v>
      </c>
      <c r="AP1580" s="26"/>
      <c r="AQ1580" s="26">
        <v>44466</v>
      </c>
      <c r="AR1580" s="24"/>
      <c r="AS1580" s="24"/>
      <c r="AT1580" s="24">
        <v>44469</v>
      </c>
      <c r="AU1580" s="418">
        <f t="shared" si="91"/>
        <v>9</v>
      </c>
      <c r="AV1580" s="418">
        <f t="shared" si="92"/>
        <v>2021</v>
      </c>
      <c r="AW1580" s="24"/>
      <c r="AX1580" s="24"/>
      <c r="AY1580" s="24" t="s">
        <v>6046</v>
      </c>
      <c r="AZ1580" s="24" t="s">
        <v>37</v>
      </c>
      <c r="BA1580" s="24"/>
      <c r="BB1580" s="24" t="s">
        <v>3291</v>
      </c>
      <c r="BC1580" s="135">
        <v>7</v>
      </c>
      <c r="BD1580" s="24">
        <v>44426</v>
      </c>
      <c r="BE1580" s="24" t="s">
        <v>6047</v>
      </c>
      <c r="BF1580" s="24" t="s">
        <v>6047</v>
      </c>
      <c r="BG1580" s="135" t="s">
        <v>52</v>
      </c>
      <c r="BH1580" s="135"/>
      <c r="BI1580" s="314" t="s">
        <v>124</v>
      </c>
      <c r="BJ1580" s="314" t="s">
        <v>143</v>
      </c>
      <c r="BK1580" s="24"/>
      <c r="BL1580" s="24"/>
      <c r="BM1580" s="24"/>
      <c r="BN1580" s="24"/>
      <c r="BO1580" s="24"/>
      <c r="BP1580" s="24"/>
      <c r="BQ1580" s="24"/>
      <c r="BR1580" s="24"/>
      <c r="BS1580" s="24"/>
      <c r="BT1580" s="24"/>
      <c r="BU1580" s="24"/>
      <c r="BV1580" s="132" t="e">
        <f>IF(#REF!="COMPLETO","OK","PENDIENTES")</f>
        <v>#REF!</v>
      </c>
      <c r="BW1580" s="132"/>
      <c r="BX1580" s="132"/>
      <c r="BY1580" s="132"/>
      <c r="BZ1580" s="132"/>
      <c r="CA1580" s="132"/>
      <c r="CB1580" s="132"/>
      <c r="CC1580" s="269" t="s">
        <v>6050</v>
      </c>
      <c r="CG1580" s="24" t="s">
        <v>105</v>
      </c>
      <c r="CH1580" s="24"/>
      <c r="CI1580" s="24"/>
      <c r="CJ1580" s="24"/>
    </row>
    <row r="1581" spans="1:88" ht="15.6" customHeight="1">
      <c r="A1581" s="18">
        <v>2021</v>
      </c>
      <c r="B1581" s="18" t="str">
        <f>+INDEX(BDD!F:F,MATCH(P1581,BDD!D:D,0))&amp;"-"&amp;INDEX(BDD!E:E,MATCH(P1581,BDD!D:D,0))</f>
        <v>G-S</v>
      </c>
      <c r="C1581" s="360" t="s">
        <v>484</v>
      </c>
      <c r="D1581" s="150" t="s">
        <v>77</v>
      </c>
      <c r="E1581" s="132"/>
      <c r="F1581" s="24"/>
      <c r="G1581" s="346">
        <v>8000001591</v>
      </c>
      <c r="H1581" s="18" t="s">
        <v>6051</v>
      </c>
      <c r="I1581" s="329"/>
      <c r="J1581" s="346">
        <v>8000001591</v>
      </c>
      <c r="K1581" s="24"/>
      <c r="L1581" s="24">
        <v>44480</v>
      </c>
      <c r="M1581" s="24">
        <v>44481</v>
      </c>
      <c r="N1581" s="340" t="s">
        <v>486</v>
      </c>
      <c r="O1581" s="334">
        <v>207951</v>
      </c>
      <c r="P1581" s="25" t="s">
        <v>354</v>
      </c>
      <c r="Q1581" s="127" t="s">
        <v>294</v>
      </c>
      <c r="R1581" s="232" t="s">
        <v>6043</v>
      </c>
      <c r="S1581" s="89">
        <v>44391</v>
      </c>
      <c r="T1581" s="36">
        <v>150</v>
      </c>
      <c r="U1581" s="125" t="s">
        <v>118</v>
      </c>
      <c r="V1581" s="147" t="s">
        <v>6052</v>
      </c>
      <c r="W1581" s="129"/>
      <c r="X1581" s="88">
        <f t="shared" si="93"/>
        <v>44576</v>
      </c>
      <c r="Y1581" s="130" t="s">
        <v>20</v>
      </c>
      <c r="Z1581" s="133" t="s">
        <v>60</v>
      </c>
      <c r="AA1581" s="133"/>
      <c r="AB1581" s="241">
        <v>1170</v>
      </c>
      <c r="AC1581" s="134">
        <v>539.79999999999995</v>
      </c>
      <c r="AD1581" s="134"/>
      <c r="AE1581" s="403">
        <f t="shared" si="90"/>
        <v>631566</v>
      </c>
      <c r="AF1581" s="132"/>
      <c r="AG1581" s="130" t="s">
        <v>46</v>
      </c>
      <c r="AH1581" s="130"/>
      <c r="AI1581" s="130" t="s">
        <v>100</v>
      </c>
      <c r="AJ1581" s="130"/>
      <c r="AK1581" s="130"/>
      <c r="AL1581" s="135" t="s">
        <v>6045</v>
      </c>
      <c r="AM1581" s="314"/>
      <c r="AN1581" s="26">
        <f>BL1581</f>
        <v>0</v>
      </c>
      <c r="AO1581" s="26">
        <v>44427</v>
      </c>
      <c r="AP1581" s="26">
        <f>AQ1581</f>
        <v>44472</v>
      </c>
      <c r="AQ1581" s="26">
        <v>44472</v>
      </c>
      <c r="AR1581" s="24">
        <f>AP1581+1</f>
        <v>44473</v>
      </c>
      <c r="AS1581" s="24"/>
      <c r="AT1581" s="24">
        <v>44477</v>
      </c>
      <c r="AU1581" s="418">
        <f t="shared" si="91"/>
        <v>10</v>
      </c>
      <c r="AV1581" s="418">
        <f t="shared" si="92"/>
        <v>2021</v>
      </c>
      <c r="AW1581" s="24"/>
      <c r="AX1581" s="24"/>
      <c r="AY1581" s="24" t="s">
        <v>6046</v>
      </c>
      <c r="AZ1581" s="24" t="s">
        <v>62</v>
      </c>
      <c r="BA1581" s="24"/>
      <c r="BB1581" s="24" t="s">
        <v>3264</v>
      </c>
      <c r="BC1581" s="135">
        <v>8</v>
      </c>
      <c r="BD1581" s="24">
        <v>44426</v>
      </c>
      <c r="BE1581" s="24" t="s">
        <v>6047</v>
      </c>
      <c r="BF1581" s="24" t="s">
        <v>6047</v>
      </c>
      <c r="BG1581" s="135" t="s">
        <v>52</v>
      </c>
      <c r="BH1581" s="135"/>
      <c r="BI1581" s="314" t="s">
        <v>124</v>
      </c>
      <c r="BJ1581" s="314" t="s">
        <v>143</v>
      </c>
      <c r="BK1581" s="24"/>
      <c r="BL1581" s="24"/>
      <c r="BM1581" s="24"/>
      <c r="BN1581" s="24"/>
      <c r="BO1581" s="24"/>
      <c r="BP1581" s="24"/>
      <c r="BQ1581" s="24"/>
      <c r="BR1581" s="24"/>
      <c r="BS1581" s="24"/>
      <c r="BT1581" s="24"/>
      <c r="BU1581" s="24"/>
      <c r="BV1581" s="132" t="e">
        <f>IF(#REF!="COMPLETO","OK","PENDIENTES")</f>
        <v>#REF!</v>
      </c>
      <c r="BW1581" s="132"/>
      <c r="BX1581" s="132"/>
      <c r="BY1581" s="132"/>
      <c r="BZ1581" s="132"/>
      <c r="CA1581" s="132"/>
      <c r="CB1581" s="132"/>
      <c r="CC1581" s="269"/>
      <c r="CG1581" s="24" t="s">
        <v>105</v>
      </c>
      <c r="CH1581" s="24"/>
      <c r="CI1581" s="24"/>
      <c r="CJ1581" s="24"/>
    </row>
    <row r="1582" spans="1:88" ht="15" customHeight="1">
      <c r="A1582" s="18">
        <v>2021</v>
      </c>
      <c r="B1582" s="18" t="str">
        <f>+INDEX(BDD!F:F,MATCH(P1582,BDD!D:D,0))&amp;"-"&amp;INDEX(BDD!E:E,MATCH(P1582,BDD!D:D,0))</f>
        <v>S-S</v>
      </c>
      <c r="C1582" s="360" t="s">
        <v>484</v>
      </c>
      <c r="D1582" s="150" t="s">
        <v>77</v>
      </c>
      <c r="E1582" s="132"/>
      <c r="F1582" s="24"/>
      <c r="G1582" s="346">
        <v>8000001409</v>
      </c>
      <c r="H1582" s="18" t="s">
        <v>6053</v>
      </c>
      <c r="I1582" s="329"/>
      <c r="J1582" s="346">
        <v>8000001409</v>
      </c>
      <c r="K1582" s="24"/>
      <c r="L1582" s="24">
        <v>0</v>
      </c>
      <c r="M1582" s="24">
        <v>44532</v>
      </c>
      <c r="N1582" s="340" t="s">
        <v>486</v>
      </c>
      <c r="O1582" s="334">
        <v>206914</v>
      </c>
      <c r="P1582" s="25" t="s">
        <v>335</v>
      </c>
      <c r="Q1582" s="127" t="s">
        <v>264</v>
      </c>
      <c r="R1582" s="232" t="s">
        <v>6054</v>
      </c>
      <c r="S1582" s="89">
        <v>44457</v>
      </c>
      <c r="T1582" s="36">
        <v>90</v>
      </c>
      <c r="U1582" s="125" t="s">
        <v>118</v>
      </c>
      <c r="V1582" s="232" t="s">
        <v>6054</v>
      </c>
      <c r="W1582" s="151"/>
      <c r="X1582" s="88">
        <f t="shared" si="93"/>
        <v>44580</v>
      </c>
      <c r="Y1582" s="130" t="s">
        <v>20</v>
      </c>
      <c r="Z1582" s="133" t="s">
        <v>60</v>
      </c>
      <c r="AA1582" s="133"/>
      <c r="AB1582" s="241">
        <v>1200</v>
      </c>
      <c r="AC1582" s="134">
        <v>195</v>
      </c>
      <c r="AD1582" s="134"/>
      <c r="AE1582" s="403">
        <f t="shared" si="90"/>
        <v>234000</v>
      </c>
      <c r="AF1582" s="132"/>
      <c r="AG1582" s="130" t="s">
        <v>58</v>
      </c>
      <c r="AH1582" s="130"/>
      <c r="AI1582" s="130" t="s">
        <v>34</v>
      </c>
      <c r="AJ1582" s="130"/>
      <c r="AK1582" s="130"/>
      <c r="AL1582" s="135" t="s">
        <v>6055</v>
      </c>
      <c r="AM1582" s="314"/>
      <c r="AN1582" s="26">
        <f>BL1582</f>
        <v>0</v>
      </c>
      <c r="AO1582" s="26">
        <v>44490</v>
      </c>
      <c r="AP1582" s="26">
        <v>44524</v>
      </c>
      <c r="AQ1582" s="26">
        <v>44525</v>
      </c>
      <c r="AR1582" s="24">
        <f>AQ1582+5</f>
        <v>44530</v>
      </c>
      <c r="AS1582" s="24"/>
      <c r="AT1582" s="24">
        <v>44540</v>
      </c>
      <c r="AU1582" s="418">
        <f t="shared" si="91"/>
        <v>12</v>
      </c>
      <c r="AV1582" s="418">
        <f t="shared" si="92"/>
        <v>2021</v>
      </c>
      <c r="AW1582" s="24"/>
      <c r="AX1582" s="24"/>
      <c r="AY1582" s="24" t="s">
        <v>311</v>
      </c>
      <c r="AZ1582" s="24" t="s">
        <v>50</v>
      </c>
      <c r="BA1582" s="24"/>
      <c r="BB1582" s="24" t="s">
        <v>2956</v>
      </c>
      <c r="BC1582" s="135" t="s">
        <v>6056</v>
      </c>
      <c r="BD1582" s="24">
        <v>44490</v>
      </c>
      <c r="BE1582" s="24" t="s">
        <v>5972</v>
      </c>
      <c r="BF1582" s="24" t="s">
        <v>5972</v>
      </c>
      <c r="BG1582" s="135" t="s">
        <v>52</v>
      </c>
      <c r="BH1582" s="135"/>
      <c r="BI1582" s="314" t="s">
        <v>3</v>
      </c>
      <c r="BJ1582" s="314" t="s">
        <v>143</v>
      </c>
      <c r="BK1582" s="24"/>
      <c r="BL1582" s="24"/>
      <c r="BM1582" s="24"/>
      <c r="BN1582" s="24"/>
      <c r="BO1582" s="24"/>
      <c r="BP1582" s="24"/>
      <c r="BQ1582" s="24"/>
      <c r="BR1582" s="24"/>
      <c r="BS1582" s="24"/>
      <c r="BT1582" s="24"/>
      <c r="BU1582" s="24"/>
      <c r="BV1582" s="132" t="e">
        <f>IF(#REF!="COMPLETO","OK","PENDIENTE")</f>
        <v>#REF!</v>
      </c>
      <c r="BW1582" s="132"/>
      <c r="BX1582" s="132"/>
      <c r="BY1582" s="132"/>
      <c r="BZ1582" s="132"/>
      <c r="CA1582" s="132"/>
      <c r="CB1582" s="132"/>
      <c r="CC1582" s="269"/>
      <c r="CG1582" s="24" t="s">
        <v>105</v>
      </c>
      <c r="CH1582" s="24"/>
      <c r="CI1582" s="24"/>
      <c r="CJ1582" s="24"/>
    </row>
    <row r="1583" spans="1:88" ht="15" customHeight="1">
      <c r="A1583" s="18">
        <v>2021</v>
      </c>
      <c r="B1583" s="18" t="s">
        <v>6057</v>
      </c>
      <c r="C1583" s="360" t="s">
        <v>484</v>
      </c>
      <c r="D1583" s="150" t="s">
        <v>77</v>
      </c>
      <c r="E1583" s="132"/>
      <c r="F1583" s="24"/>
      <c r="G1583" s="346">
        <v>8000001762</v>
      </c>
      <c r="H1583" s="18" t="s">
        <v>6058</v>
      </c>
      <c r="I1583" s="329"/>
      <c r="J1583" s="346">
        <v>8000001762</v>
      </c>
      <c r="K1583" s="24"/>
      <c r="L1583" s="24">
        <v>0</v>
      </c>
      <c r="M1583" s="24">
        <v>44532</v>
      </c>
      <c r="N1583" s="340" t="s">
        <v>486</v>
      </c>
      <c r="O1583" s="334">
        <v>206914</v>
      </c>
      <c r="P1583" s="25" t="s">
        <v>335</v>
      </c>
      <c r="Q1583" s="127" t="s">
        <v>264</v>
      </c>
      <c r="R1583" s="232" t="s">
        <v>6054</v>
      </c>
      <c r="S1583" s="89">
        <v>44457</v>
      </c>
      <c r="T1583" s="36">
        <v>90</v>
      </c>
      <c r="U1583" s="125" t="s">
        <v>118</v>
      </c>
      <c r="V1583" s="232" t="s">
        <v>6054</v>
      </c>
      <c r="W1583" s="151"/>
      <c r="X1583" s="88">
        <f t="shared" si="93"/>
        <v>44580</v>
      </c>
      <c r="Y1583" s="130" t="s">
        <v>20</v>
      </c>
      <c r="Z1583" s="133" t="s">
        <v>60</v>
      </c>
      <c r="AA1583" s="133"/>
      <c r="AB1583" s="241">
        <v>210</v>
      </c>
      <c r="AC1583" s="134">
        <v>249</v>
      </c>
      <c r="AD1583" s="134"/>
      <c r="AE1583" s="403">
        <f t="shared" si="90"/>
        <v>52290</v>
      </c>
      <c r="AF1583" s="132"/>
      <c r="AG1583" s="130" t="s">
        <v>58</v>
      </c>
      <c r="AH1583" s="130"/>
      <c r="AI1583" s="130" t="s">
        <v>34</v>
      </c>
      <c r="AJ1583" s="130"/>
      <c r="AK1583" s="130"/>
      <c r="AL1583" s="135" t="s">
        <v>6055</v>
      </c>
      <c r="AM1583" s="314"/>
      <c r="AN1583" s="26">
        <f>BL1583</f>
        <v>0</v>
      </c>
      <c r="AO1583" s="26">
        <v>44490</v>
      </c>
      <c r="AP1583" s="26">
        <v>44524</v>
      </c>
      <c r="AQ1583" s="26">
        <v>44525</v>
      </c>
      <c r="AR1583" s="24">
        <f>AQ1583+5</f>
        <v>44530</v>
      </c>
      <c r="AS1583" s="24"/>
      <c r="AT1583" s="24">
        <v>44540</v>
      </c>
      <c r="AU1583" s="418">
        <f t="shared" si="91"/>
        <v>12</v>
      </c>
      <c r="AV1583" s="418">
        <f t="shared" si="92"/>
        <v>2021</v>
      </c>
      <c r="AW1583" s="24"/>
      <c r="AX1583" s="24"/>
      <c r="AY1583" s="24" t="s">
        <v>311</v>
      </c>
      <c r="AZ1583" s="24" t="s">
        <v>50</v>
      </c>
      <c r="BA1583" s="24"/>
      <c r="BB1583" s="24" t="s">
        <v>2956</v>
      </c>
      <c r="BC1583" s="135" t="s">
        <v>6056</v>
      </c>
      <c r="BD1583" s="24">
        <v>44490</v>
      </c>
      <c r="BE1583" s="24" t="s">
        <v>5972</v>
      </c>
      <c r="BF1583" s="24" t="s">
        <v>5972</v>
      </c>
      <c r="BG1583" s="135" t="s">
        <v>52</v>
      </c>
      <c r="BH1583" s="135"/>
      <c r="BI1583" s="314" t="s">
        <v>3</v>
      </c>
      <c r="BJ1583" s="314" t="s">
        <v>143</v>
      </c>
      <c r="BK1583" s="24"/>
      <c r="BL1583" s="24"/>
      <c r="BM1583" s="24"/>
      <c r="BN1583" s="24"/>
      <c r="BO1583" s="24"/>
      <c r="BP1583" s="24"/>
      <c r="BQ1583" s="24"/>
      <c r="BR1583" s="24"/>
      <c r="BS1583" s="24"/>
      <c r="BT1583" s="24"/>
      <c r="BU1583" s="24"/>
      <c r="BV1583" s="132" t="e">
        <f>IF(#REF!="COMPLETO","OK","PENDIENTE")</f>
        <v>#REF!</v>
      </c>
      <c r="BW1583" s="132"/>
      <c r="BX1583" s="132"/>
      <c r="BY1583" s="132"/>
      <c r="BZ1583" s="132"/>
      <c r="CA1583" s="132"/>
      <c r="CB1583" s="132"/>
      <c r="CC1583" s="269" t="s">
        <v>6059</v>
      </c>
      <c r="CG1583" s="24" t="s">
        <v>105</v>
      </c>
      <c r="CH1583" s="24"/>
      <c r="CI1583" s="24"/>
      <c r="CJ1583" s="24"/>
    </row>
    <row r="1584" spans="1:88" ht="15" customHeight="1">
      <c r="A1584" s="18">
        <v>2021</v>
      </c>
      <c r="B1584" s="18" t="str">
        <f>+INDEX(BDD!F:F,MATCH(P1584,BDD!D:D,0))&amp;"-"&amp;INDEX(BDD!E:E,MATCH(P1584,BDD!D:D,0))</f>
        <v>G-S</v>
      </c>
      <c r="C1584" s="360" t="s">
        <v>484</v>
      </c>
      <c r="D1584" s="150" t="s">
        <v>77</v>
      </c>
      <c r="E1584" s="132"/>
      <c r="F1584" s="24"/>
      <c r="G1584" s="346">
        <v>8000001713</v>
      </c>
      <c r="H1584" s="18" t="s">
        <v>6060</v>
      </c>
      <c r="I1584" s="329"/>
      <c r="J1584" s="346">
        <v>8000001713</v>
      </c>
      <c r="K1584" s="24"/>
      <c r="L1584" s="24">
        <v>0</v>
      </c>
      <c r="M1584" s="24">
        <v>44517</v>
      </c>
      <c r="N1584" s="340" t="s">
        <v>486</v>
      </c>
      <c r="O1584" s="334">
        <v>209979</v>
      </c>
      <c r="P1584" s="25" t="s">
        <v>339</v>
      </c>
      <c r="Q1584" s="127" t="s">
        <v>210</v>
      </c>
      <c r="R1584" s="232" t="s">
        <v>6061</v>
      </c>
      <c r="S1584" s="89">
        <v>44400</v>
      </c>
      <c r="T1584" s="36">
        <v>120</v>
      </c>
      <c r="U1584" s="125" t="s">
        <v>118</v>
      </c>
      <c r="V1584" s="147" t="s">
        <v>6062</v>
      </c>
      <c r="W1584" s="129"/>
      <c r="X1584" s="88">
        <f t="shared" si="93"/>
        <v>44600</v>
      </c>
      <c r="Y1584" s="130" t="s">
        <v>20</v>
      </c>
      <c r="Z1584" s="133" t="s">
        <v>72</v>
      </c>
      <c r="AA1584" s="133"/>
      <c r="AB1584" s="241">
        <v>392.08199999999999</v>
      </c>
      <c r="AC1584" s="134">
        <v>700</v>
      </c>
      <c r="AD1584" s="134"/>
      <c r="AE1584" s="403">
        <f t="shared" si="90"/>
        <v>274457.40000000002</v>
      </c>
      <c r="AF1584" s="132">
        <v>14</v>
      </c>
      <c r="AG1584" s="130" t="s">
        <v>5</v>
      </c>
      <c r="AH1584" s="130"/>
      <c r="AI1584" s="130" t="s">
        <v>100</v>
      </c>
      <c r="AJ1584" s="130"/>
      <c r="AK1584" s="130"/>
      <c r="AL1584" s="135" t="s">
        <v>6063</v>
      </c>
      <c r="AM1584" s="314"/>
      <c r="AN1584" s="26">
        <f>BL1584</f>
        <v>0</v>
      </c>
      <c r="AO1584" s="26">
        <v>44475</v>
      </c>
      <c r="AP1584" s="26">
        <f>AQ1584</f>
        <v>44504</v>
      </c>
      <c r="AQ1584" s="26">
        <v>44504</v>
      </c>
      <c r="AR1584" s="24">
        <f>AP1584+4</f>
        <v>44508</v>
      </c>
      <c r="AS1584" s="41"/>
      <c r="AT1584" s="24">
        <v>44515</v>
      </c>
      <c r="AU1584" s="418">
        <f t="shared" si="91"/>
        <v>11</v>
      </c>
      <c r="AV1584" s="418">
        <f t="shared" si="92"/>
        <v>2021</v>
      </c>
      <c r="AW1584" s="24"/>
      <c r="AX1584" s="24"/>
      <c r="AY1584" s="24" t="s">
        <v>162</v>
      </c>
      <c r="AZ1584" s="24" t="s">
        <v>37</v>
      </c>
      <c r="BA1584" s="24"/>
      <c r="BB1584" s="24" t="s">
        <v>3291</v>
      </c>
      <c r="BC1584" s="135" t="s">
        <v>6064</v>
      </c>
      <c r="BD1584" s="24">
        <v>44480</v>
      </c>
      <c r="BE1584" s="24" t="s">
        <v>870</v>
      </c>
      <c r="BF1584" s="24" t="s">
        <v>870</v>
      </c>
      <c r="BG1584" s="135" t="s">
        <v>64</v>
      </c>
      <c r="BH1584" s="135"/>
      <c r="BI1584" s="314" t="s">
        <v>3</v>
      </c>
      <c r="BJ1584" s="314" t="s">
        <v>138</v>
      </c>
      <c r="BK1584" s="24"/>
      <c r="BL1584" s="24"/>
      <c r="BM1584" s="24"/>
      <c r="BN1584" s="24"/>
      <c r="BO1584" s="24"/>
      <c r="BP1584" s="24"/>
      <c r="BQ1584" s="24"/>
      <c r="BR1584" s="24"/>
      <c r="BS1584" s="24"/>
      <c r="BT1584" s="24"/>
      <c r="BU1584" s="24"/>
      <c r="BV1584" s="132" t="e">
        <f>IF(#REF!="COMPLETO","OK","PENDIENTE")</f>
        <v>#REF!</v>
      </c>
      <c r="BW1584" s="132"/>
      <c r="BX1584" s="132"/>
      <c r="BY1584" s="132"/>
      <c r="BZ1584" s="132"/>
      <c r="CA1584" s="132"/>
      <c r="CB1584" s="132"/>
      <c r="CC1584" s="269"/>
      <c r="CG1584" s="24" t="s">
        <v>105</v>
      </c>
      <c r="CH1584" s="24"/>
      <c r="CI1584" s="24"/>
      <c r="CJ1584" s="24"/>
    </row>
    <row r="1585" spans="1:88" ht="15" customHeight="1">
      <c r="A1585" s="18">
        <v>2021</v>
      </c>
      <c r="B1585" s="18" t="str">
        <f>+INDEX(BDD!F:F,MATCH(P1585,BDD!D:D,0))&amp;"-"&amp;INDEX(BDD!E:E,MATCH(P1585,BDD!D:D,0))</f>
        <v>S-P</v>
      </c>
      <c r="C1585" s="360" t="s">
        <v>484</v>
      </c>
      <c r="D1585" s="150" t="s">
        <v>77</v>
      </c>
      <c r="E1585" s="132"/>
      <c r="F1585" s="24"/>
      <c r="G1585" s="346">
        <v>8000001416</v>
      </c>
      <c r="H1585" s="18" t="s">
        <v>6065</v>
      </c>
      <c r="I1585" s="329"/>
      <c r="J1585" s="346">
        <v>8000001416</v>
      </c>
      <c r="K1585" s="24"/>
      <c r="L1585" s="24">
        <v>0</v>
      </c>
      <c r="M1585" s="24">
        <v>44529</v>
      </c>
      <c r="N1585" s="340" t="s">
        <v>486</v>
      </c>
      <c r="O1585" s="334">
        <v>207499</v>
      </c>
      <c r="P1585" s="25" t="s">
        <v>343</v>
      </c>
      <c r="Q1585" s="127" t="s">
        <v>297</v>
      </c>
      <c r="R1585" s="232" t="s">
        <v>6066</v>
      </c>
      <c r="S1585" s="89">
        <v>44400</v>
      </c>
      <c r="T1585" s="36">
        <v>90</v>
      </c>
      <c r="U1585" s="125" t="s">
        <v>118</v>
      </c>
      <c r="V1585" s="147" t="s">
        <v>6067</v>
      </c>
      <c r="W1585" s="129"/>
      <c r="X1585" s="88">
        <f t="shared" si="93"/>
        <v>44554</v>
      </c>
      <c r="Y1585" s="130" t="s">
        <v>20</v>
      </c>
      <c r="Z1585" s="133" t="s">
        <v>60</v>
      </c>
      <c r="AA1585" s="133"/>
      <c r="AB1585" s="241">
        <v>350</v>
      </c>
      <c r="AC1585" s="134">
        <f>765</f>
        <v>765</v>
      </c>
      <c r="AD1585" s="134"/>
      <c r="AE1585" s="403">
        <f t="shared" si="90"/>
        <v>267750</v>
      </c>
      <c r="AF1585" s="132"/>
      <c r="AG1585" s="130" t="s">
        <v>58</v>
      </c>
      <c r="AH1585" s="130"/>
      <c r="AI1585" s="130" t="s">
        <v>34</v>
      </c>
      <c r="AJ1585" s="130"/>
      <c r="AK1585" s="130"/>
      <c r="AL1585" s="135" t="s">
        <v>6068</v>
      </c>
      <c r="AM1585" s="314"/>
      <c r="AN1585" s="26">
        <v>44464</v>
      </c>
      <c r="AO1585" s="26">
        <v>44466</v>
      </c>
      <c r="AP1585" s="26">
        <v>44512</v>
      </c>
      <c r="AQ1585" s="26">
        <v>44514</v>
      </c>
      <c r="AR1585" s="24">
        <v>44521</v>
      </c>
      <c r="AS1585" s="24"/>
      <c r="AT1585" s="24">
        <v>44526</v>
      </c>
      <c r="AU1585" s="418">
        <f t="shared" si="91"/>
        <v>11</v>
      </c>
      <c r="AV1585" s="418">
        <f t="shared" si="92"/>
        <v>2021</v>
      </c>
      <c r="AW1585" s="24"/>
      <c r="AX1585" s="24"/>
      <c r="AY1585" s="24" t="s">
        <v>3199</v>
      </c>
      <c r="AZ1585" s="24" t="s">
        <v>37</v>
      </c>
      <c r="BA1585" s="24"/>
      <c r="BB1585" s="24" t="s">
        <v>5564</v>
      </c>
      <c r="BC1585" s="135" t="s">
        <v>6069</v>
      </c>
      <c r="BD1585" s="24">
        <v>44464</v>
      </c>
      <c r="BE1585" s="24" t="s">
        <v>6070</v>
      </c>
      <c r="BF1585" s="24" t="s">
        <v>6070</v>
      </c>
      <c r="BG1585" s="135" t="s">
        <v>52</v>
      </c>
      <c r="BH1585" s="135"/>
      <c r="BI1585" s="314" t="s">
        <v>3</v>
      </c>
      <c r="BJ1585" s="314" t="s">
        <v>143</v>
      </c>
      <c r="BK1585" s="24"/>
      <c r="BL1585" s="24"/>
      <c r="BM1585" s="24"/>
      <c r="BN1585" s="24"/>
      <c r="BO1585" s="24"/>
      <c r="BP1585" s="24"/>
      <c r="BQ1585" s="24"/>
      <c r="BR1585" s="24"/>
      <c r="BS1585" s="24"/>
      <c r="BT1585" s="24"/>
      <c r="BU1585" s="24"/>
      <c r="BV1585" s="132" t="e">
        <f>IF(#REF!="COMPLETO","OK","PENDIENTES")</f>
        <v>#REF!</v>
      </c>
      <c r="BW1585" s="132"/>
      <c r="BX1585" s="132"/>
      <c r="BY1585" s="132"/>
      <c r="BZ1585" s="132"/>
      <c r="CA1585" s="132"/>
      <c r="CB1585" s="132"/>
      <c r="CC1585" s="269"/>
      <c r="CG1585" s="24" t="s">
        <v>105</v>
      </c>
      <c r="CH1585" s="24"/>
      <c r="CI1585" s="24"/>
      <c r="CJ1585" s="24"/>
    </row>
    <row r="1586" spans="1:88" ht="15" customHeight="1">
      <c r="A1586" s="18">
        <v>2021</v>
      </c>
      <c r="B1586" s="18" t="str">
        <f>+INDEX(BDD!F:F,MATCH(P1586,BDD!D:D,0))&amp;"-"&amp;INDEX(BDD!E:E,MATCH(P1586,BDD!D:D,0))</f>
        <v>S-S</v>
      </c>
      <c r="C1586" s="360" t="s">
        <v>484</v>
      </c>
      <c r="D1586" s="150" t="s">
        <v>77</v>
      </c>
      <c r="E1586" s="132"/>
      <c r="F1586" s="24"/>
      <c r="G1586" s="346">
        <v>8000001417</v>
      </c>
      <c r="H1586" s="18" t="s">
        <v>6071</v>
      </c>
      <c r="I1586" s="329"/>
      <c r="J1586" s="346">
        <v>8000001417</v>
      </c>
      <c r="K1586" s="24"/>
      <c r="L1586" s="24">
        <v>0</v>
      </c>
      <c r="M1586" s="24">
        <v>44533</v>
      </c>
      <c r="N1586" s="340" t="s">
        <v>486</v>
      </c>
      <c r="O1586" s="334">
        <v>205257</v>
      </c>
      <c r="P1586" s="25" t="s">
        <v>344</v>
      </c>
      <c r="Q1586" s="127" t="s">
        <v>133</v>
      </c>
      <c r="R1586" s="232" t="s">
        <v>6072</v>
      </c>
      <c r="S1586" s="89">
        <v>44398</v>
      </c>
      <c r="T1586" s="36" t="s">
        <v>19</v>
      </c>
      <c r="U1586" s="125"/>
      <c r="V1586" s="147" t="s">
        <v>6073</v>
      </c>
      <c r="W1586" s="129"/>
      <c r="X1586" s="88">
        <v>44503</v>
      </c>
      <c r="Y1586" s="130" t="s">
        <v>20</v>
      </c>
      <c r="Z1586" s="133" t="s">
        <v>81</v>
      </c>
      <c r="AA1586" s="133"/>
      <c r="AB1586" s="241">
        <v>65</v>
      </c>
      <c r="AC1586" s="134">
        <v>209</v>
      </c>
      <c r="AD1586" s="134"/>
      <c r="AE1586" s="403">
        <f t="shared" si="90"/>
        <v>13585</v>
      </c>
      <c r="AF1586" s="132"/>
      <c r="AG1586" s="130" t="s">
        <v>58</v>
      </c>
      <c r="AH1586" s="130"/>
      <c r="AI1586" s="130" t="s">
        <v>34</v>
      </c>
      <c r="AJ1586" s="130"/>
      <c r="AK1586" s="130"/>
      <c r="AL1586" s="135" t="s">
        <v>6074</v>
      </c>
      <c r="AM1586" s="314"/>
      <c r="AN1586" s="26">
        <v>44465</v>
      </c>
      <c r="AO1586" s="26">
        <v>44465</v>
      </c>
      <c r="AP1586" s="26">
        <f t="shared" ref="AP1586:AP1591" si="94">AQ1586</f>
        <v>44525</v>
      </c>
      <c r="AQ1586" s="26">
        <v>44525</v>
      </c>
      <c r="AR1586" s="24">
        <f>AQ1586+10</f>
        <v>44535</v>
      </c>
      <c r="AS1586" s="24"/>
      <c r="AT1586" s="24">
        <v>44531</v>
      </c>
      <c r="AU1586" s="418">
        <f t="shared" si="91"/>
        <v>12</v>
      </c>
      <c r="AV1586" s="418">
        <f t="shared" si="92"/>
        <v>2021</v>
      </c>
      <c r="AW1586" s="24"/>
      <c r="AX1586" s="24"/>
      <c r="AY1586" s="24" t="s">
        <v>311</v>
      </c>
      <c r="AZ1586" s="24" t="s">
        <v>37</v>
      </c>
      <c r="BA1586" s="24"/>
      <c r="BB1586" s="24" t="s">
        <v>3291</v>
      </c>
      <c r="BC1586" s="135" t="s">
        <v>6075</v>
      </c>
      <c r="BD1586" s="24">
        <v>44483</v>
      </c>
      <c r="BE1586" s="24" t="s">
        <v>6076</v>
      </c>
      <c r="BF1586" s="24" t="s">
        <v>6076</v>
      </c>
      <c r="BG1586" s="135" t="s">
        <v>52</v>
      </c>
      <c r="BH1586" s="135"/>
      <c r="BI1586" s="314" t="s">
        <v>3</v>
      </c>
      <c r="BJ1586" s="314"/>
      <c r="BK1586" s="24"/>
      <c r="BL1586" s="24"/>
      <c r="BM1586" s="24"/>
      <c r="BN1586" s="24"/>
      <c r="BO1586" s="41"/>
      <c r="BP1586" s="41"/>
      <c r="BQ1586" s="41"/>
      <c r="BR1586" s="24"/>
      <c r="BS1586" s="41"/>
      <c r="BT1586" s="41"/>
      <c r="BU1586" s="41"/>
      <c r="BV1586" s="132" t="e">
        <f>IF(#REF!="COMPLETO","OK","PENDIENTE")</f>
        <v>#REF!</v>
      </c>
      <c r="BW1586" s="132"/>
      <c r="BX1586" s="132"/>
      <c r="BY1586" s="132"/>
      <c r="BZ1586" s="132"/>
      <c r="CA1586" s="132"/>
      <c r="CB1586" s="132"/>
      <c r="CC1586" s="269"/>
      <c r="CG1586" s="24" t="s">
        <v>105</v>
      </c>
      <c r="CH1586" s="24"/>
      <c r="CI1586" s="24"/>
      <c r="CJ1586" s="24"/>
    </row>
    <row r="1587" spans="1:88" ht="15" customHeight="1">
      <c r="A1587" s="18">
        <v>2021</v>
      </c>
      <c r="B1587" s="18" t="str">
        <f>+INDEX(BDD!F:F,MATCH(P1587,BDD!D:D,0))&amp;"-"&amp;INDEX(BDD!E:E,MATCH(P1587,BDD!D:D,0))</f>
        <v>S-S</v>
      </c>
      <c r="C1587" s="360" t="s">
        <v>484</v>
      </c>
      <c r="D1587" s="150" t="s">
        <v>77</v>
      </c>
      <c r="E1587" s="132"/>
      <c r="F1587" s="24"/>
      <c r="G1587" s="346">
        <v>8000001418</v>
      </c>
      <c r="H1587" s="18" t="s">
        <v>6077</v>
      </c>
      <c r="I1587" s="329"/>
      <c r="J1587" s="346">
        <v>8000001418</v>
      </c>
      <c r="K1587" s="24"/>
      <c r="L1587" s="24">
        <v>44479</v>
      </c>
      <c r="M1587" s="24">
        <v>44480</v>
      </c>
      <c r="N1587" s="340" t="s">
        <v>486</v>
      </c>
      <c r="O1587" s="334">
        <v>205257</v>
      </c>
      <c r="P1587" s="25" t="s">
        <v>344</v>
      </c>
      <c r="Q1587" s="127" t="s">
        <v>133</v>
      </c>
      <c r="R1587" s="232" t="s">
        <v>6078</v>
      </c>
      <c r="S1587" s="89">
        <v>44398</v>
      </c>
      <c r="T1587" s="36" t="s">
        <v>19</v>
      </c>
      <c r="U1587" s="125"/>
      <c r="V1587" s="147" t="s">
        <v>6079</v>
      </c>
      <c r="W1587" s="129"/>
      <c r="X1587" s="88" t="s">
        <v>944</v>
      </c>
      <c r="Y1587" s="130" t="s">
        <v>20</v>
      </c>
      <c r="Z1587" s="133" t="s">
        <v>81</v>
      </c>
      <c r="AA1587" s="133"/>
      <c r="AB1587" s="241">
        <v>65</v>
      </c>
      <c r="AC1587" s="134">
        <v>239</v>
      </c>
      <c r="AD1587" s="134"/>
      <c r="AE1587" s="403">
        <f t="shared" si="90"/>
        <v>15535</v>
      </c>
      <c r="AF1587" s="132"/>
      <c r="AG1587" s="130" t="s">
        <v>58</v>
      </c>
      <c r="AH1587" s="130"/>
      <c r="AI1587" s="130" t="s">
        <v>34</v>
      </c>
      <c r="AJ1587" s="130"/>
      <c r="AK1587" s="130"/>
      <c r="AL1587" s="135" t="s">
        <v>6080</v>
      </c>
      <c r="AM1587" s="314"/>
      <c r="AN1587" s="26">
        <f>BL1587</f>
        <v>0</v>
      </c>
      <c r="AO1587" s="26">
        <v>44438</v>
      </c>
      <c r="AP1587" s="26">
        <f t="shared" si="94"/>
        <v>44468</v>
      </c>
      <c r="AQ1587" s="26">
        <v>44468</v>
      </c>
      <c r="AR1587" s="24">
        <f>AP1587+7</f>
        <v>44475</v>
      </c>
      <c r="AS1587" s="24"/>
      <c r="AT1587" s="24">
        <v>44472</v>
      </c>
      <c r="AU1587" s="418">
        <f t="shared" si="91"/>
        <v>10</v>
      </c>
      <c r="AV1587" s="418">
        <f t="shared" si="92"/>
        <v>2021</v>
      </c>
      <c r="AW1587" s="24"/>
      <c r="AX1587" s="24"/>
      <c r="AY1587" s="24" t="s">
        <v>311</v>
      </c>
      <c r="AZ1587" s="24" t="s">
        <v>9</v>
      </c>
      <c r="BA1587" s="24"/>
      <c r="BB1587" s="24" t="s">
        <v>2956</v>
      </c>
      <c r="BC1587" s="135" t="s">
        <v>6081</v>
      </c>
      <c r="BD1587" s="24">
        <v>44439</v>
      </c>
      <c r="BE1587" s="24" t="s">
        <v>5406</v>
      </c>
      <c r="BF1587" s="24" t="s">
        <v>5406</v>
      </c>
      <c r="BG1587" s="135" t="s">
        <v>52</v>
      </c>
      <c r="BH1587" s="135"/>
      <c r="BI1587" s="314" t="s">
        <v>124</v>
      </c>
      <c r="BJ1587" s="314" t="s">
        <v>148</v>
      </c>
      <c r="BK1587" s="24"/>
      <c r="BL1587" s="24"/>
      <c r="BM1587" s="24"/>
      <c r="BN1587" s="24"/>
      <c r="BO1587" s="41"/>
      <c r="BP1587" s="41"/>
      <c r="BQ1587" s="41"/>
      <c r="BR1587" s="24"/>
      <c r="BS1587" s="41"/>
      <c r="BT1587" s="41"/>
      <c r="BU1587" s="41"/>
      <c r="BV1587" s="132" t="e">
        <f>IF(#REF!="COMPLETO","OK","PENDIENTES")</f>
        <v>#REF!</v>
      </c>
      <c r="BW1587" s="132"/>
      <c r="BX1587" s="132"/>
      <c r="BY1587" s="132"/>
      <c r="BZ1587" s="132"/>
      <c r="CA1587" s="132"/>
      <c r="CB1587" s="132"/>
      <c r="CC1587" s="269"/>
      <c r="CG1587" s="24" t="s">
        <v>105</v>
      </c>
      <c r="CH1587" s="24"/>
      <c r="CI1587" s="24"/>
      <c r="CJ1587" s="24"/>
    </row>
    <row r="1588" spans="1:88" ht="14.65" customHeight="1">
      <c r="A1588" s="18">
        <v>2021</v>
      </c>
      <c r="B1588" s="18" t="str">
        <f>+INDEX(BDD!F:F,MATCH(P1588,BDD!D:D,0))&amp;"-"&amp;INDEX(BDD!E:E,MATCH(P1588,BDD!D:D,0))</f>
        <v>S-C</v>
      </c>
      <c r="C1588" s="360" t="s">
        <v>484</v>
      </c>
      <c r="D1588" s="150" t="s">
        <v>77</v>
      </c>
      <c r="E1588" s="132"/>
      <c r="F1588" s="24"/>
      <c r="G1588" s="346">
        <v>8000001420</v>
      </c>
      <c r="H1588" s="18" t="s">
        <v>6082</v>
      </c>
      <c r="I1588" s="329"/>
      <c r="J1588" s="346">
        <v>8000001420</v>
      </c>
      <c r="K1588" s="24"/>
      <c r="L1588" s="24">
        <v>0</v>
      </c>
      <c r="M1588" s="24">
        <v>44518</v>
      </c>
      <c r="N1588" s="340" t="s">
        <v>486</v>
      </c>
      <c r="O1588" s="334">
        <v>207580</v>
      </c>
      <c r="P1588" s="25" t="s">
        <v>241</v>
      </c>
      <c r="Q1588" s="127" t="s">
        <v>297</v>
      </c>
      <c r="R1588" s="232" t="s">
        <v>6083</v>
      </c>
      <c r="S1588" s="89">
        <v>44400</v>
      </c>
      <c r="T1588" s="36" t="s">
        <v>19</v>
      </c>
      <c r="U1588" s="125"/>
      <c r="V1588" s="147" t="s">
        <v>6084</v>
      </c>
      <c r="W1588" s="129"/>
      <c r="X1588" s="88">
        <v>44476</v>
      </c>
      <c r="Y1588" s="130" t="s">
        <v>20</v>
      </c>
      <c r="Z1588" s="133" t="s">
        <v>72</v>
      </c>
      <c r="AA1588" s="133"/>
      <c r="AB1588" s="241">
        <v>360</v>
      </c>
      <c r="AC1588" s="177">
        <v>766</v>
      </c>
      <c r="AD1588" s="177"/>
      <c r="AE1588" s="403">
        <f t="shared" si="90"/>
        <v>275760</v>
      </c>
      <c r="AF1588" s="132">
        <v>15</v>
      </c>
      <c r="AG1588" s="130" t="s">
        <v>5</v>
      </c>
      <c r="AH1588" s="130"/>
      <c r="AI1588" s="130" t="s">
        <v>34</v>
      </c>
      <c r="AJ1588" s="130"/>
      <c r="AK1588" s="130"/>
      <c r="AL1588" s="135" t="s">
        <v>6085</v>
      </c>
      <c r="AM1588" s="314"/>
      <c r="AN1588" s="26">
        <f>BL1588</f>
        <v>0</v>
      </c>
      <c r="AO1588" s="26">
        <v>44473</v>
      </c>
      <c r="AP1588" s="26">
        <f t="shared" si="94"/>
        <v>44511</v>
      </c>
      <c r="AQ1588" s="26">
        <v>44511</v>
      </c>
      <c r="AR1588" s="24">
        <v>44523</v>
      </c>
      <c r="AS1588" s="24"/>
      <c r="AT1588" s="24">
        <v>44517</v>
      </c>
      <c r="AU1588" s="418">
        <f t="shared" si="91"/>
        <v>11</v>
      </c>
      <c r="AV1588" s="418">
        <f t="shared" si="92"/>
        <v>2021</v>
      </c>
      <c r="AW1588" s="24"/>
      <c r="AX1588" s="24"/>
      <c r="AY1588" s="24" t="s">
        <v>4881</v>
      </c>
      <c r="AZ1588" s="24" t="s">
        <v>37</v>
      </c>
      <c r="BA1588" s="24"/>
      <c r="BB1588" s="24" t="s">
        <v>3291</v>
      </c>
      <c r="BC1588" s="135" t="s">
        <v>6086</v>
      </c>
      <c r="BD1588" s="24">
        <v>44472</v>
      </c>
      <c r="BE1588" s="24" t="s">
        <v>931</v>
      </c>
      <c r="BF1588" s="24" t="s">
        <v>5802</v>
      </c>
      <c r="BG1588" s="135" t="s">
        <v>29</v>
      </c>
      <c r="BH1588" s="135"/>
      <c r="BI1588" s="314" t="s">
        <v>124</v>
      </c>
      <c r="BJ1588" s="314" t="s">
        <v>143</v>
      </c>
      <c r="BK1588" s="24"/>
      <c r="BL1588" s="24"/>
      <c r="BM1588" s="24"/>
      <c r="BN1588" s="24"/>
      <c r="BO1588" s="24"/>
      <c r="BP1588" s="24"/>
      <c r="BQ1588" s="24"/>
      <c r="BR1588" s="24"/>
      <c r="BS1588" s="24"/>
      <c r="BT1588" s="24"/>
      <c r="BU1588" s="24"/>
      <c r="BV1588" s="132" t="s">
        <v>6087</v>
      </c>
      <c r="BW1588" s="132"/>
      <c r="BX1588" s="132"/>
      <c r="BY1588" s="132"/>
      <c r="BZ1588" s="132"/>
      <c r="CA1588" s="132"/>
      <c r="CB1588" s="132"/>
      <c r="CC1588" s="269"/>
      <c r="CG1588" s="24" t="s">
        <v>105</v>
      </c>
      <c r="CH1588" s="24"/>
      <c r="CI1588" s="24"/>
      <c r="CJ1588" s="24"/>
    </row>
    <row r="1589" spans="1:88" ht="15" customHeight="1">
      <c r="A1589" s="18">
        <v>2021</v>
      </c>
      <c r="B1589" s="18" t="str">
        <f>+INDEX(BDD!F:F,MATCH(P1589,BDD!D:D,0))&amp;"-"&amp;INDEX(BDD!E:E,MATCH(P1589,BDD!D:D,0))</f>
        <v>S-C</v>
      </c>
      <c r="C1589" s="360" t="s">
        <v>484</v>
      </c>
      <c r="D1589" s="150" t="s">
        <v>77</v>
      </c>
      <c r="E1589" s="132"/>
      <c r="F1589" s="24"/>
      <c r="G1589" s="346">
        <v>8000001708</v>
      </c>
      <c r="H1589" s="18" t="s">
        <v>6088</v>
      </c>
      <c r="I1589" s="329"/>
      <c r="J1589" s="346">
        <v>8000001708</v>
      </c>
      <c r="K1589" s="24"/>
      <c r="L1589" s="24">
        <v>0</v>
      </c>
      <c r="M1589" s="24">
        <v>44525</v>
      </c>
      <c r="N1589" s="340" t="s">
        <v>486</v>
      </c>
      <c r="O1589" s="334">
        <v>207580</v>
      </c>
      <c r="P1589" s="25" t="s">
        <v>241</v>
      </c>
      <c r="Q1589" s="127" t="s">
        <v>297</v>
      </c>
      <c r="R1589" s="232" t="s">
        <v>6089</v>
      </c>
      <c r="S1589" s="89">
        <v>44400</v>
      </c>
      <c r="T1589" s="36" t="s">
        <v>19</v>
      </c>
      <c r="U1589" s="125"/>
      <c r="V1589" s="147" t="s">
        <v>6090</v>
      </c>
      <c r="W1589" s="129"/>
      <c r="X1589" s="88">
        <v>44476</v>
      </c>
      <c r="Y1589" s="130" t="s">
        <v>20</v>
      </c>
      <c r="Z1589" s="133" t="s">
        <v>72</v>
      </c>
      <c r="AA1589" s="133"/>
      <c r="AB1589" s="241">
        <v>360</v>
      </c>
      <c r="AC1589" s="177">
        <v>771</v>
      </c>
      <c r="AD1589" s="177"/>
      <c r="AE1589" s="403">
        <f t="shared" si="90"/>
        <v>277560</v>
      </c>
      <c r="AF1589" s="132">
        <v>15</v>
      </c>
      <c r="AG1589" s="130" t="s">
        <v>5</v>
      </c>
      <c r="AH1589" s="130"/>
      <c r="AI1589" s="130" t="s">
        <v>34</v>
      </c>
      <c r="AJ1589" s="130"/>
      <c r="AK1589" s="130"/>
      <c r="AL1589" s="135" t="s">
        <v>6085</v>
      </c>
      <c r="AM1589" s="314"/>
      <c r="AN1589" s="26">
        <f>BL1589</f>
        <v>0</v>
      </c>
      <c r="AO1589" s="26">
        <v>44473</v>
      </c>
      <c r="AP1589" s="26">
        <f t="shared" si="94"/>
        <v>44516</v>
      </c>
      <c r="AQ1589" s="26">
        <v>44516</v>
      </c>
      <c r="AR1589" s="24">
        <v>44532</v>
      </c>
      <c r="AS1589" s="24"/>
      <c r="AT1589" s="24">
        <v>44522</v>
      </c>
      <c r="AU1589" s="418">
        <f t="shared" si="91"/>
        <v>11</v>
      </c>
      <c r="AV1589" s="418">
        <f t="shared" si="92"/>
        <v>2021</v>
      </c>
      <c r="AW1589" s="24"/>
      <c r="AX1589" s="24"/>
      <c r="AY1589" s="24" t="s">
        <v>4881</v>
      </c>
      <c r="AZ1589" s="24" t="s">
        <v>9</v>
      </c>
      <c r="BA1589" s="24"/>
      <c r="BB1589" s="24" t="s">
        <v>3264</v>
      </c>
      <c r="BC1589" s="135" t="s">
        <v>6091</v>
      </c>
      <c r="BD1589" s="24">
        <v>44473</v>
      </c>
      <c r="BE1589" s="24" t="s">
        <v>5802</v>
      </c>
      <c r="BF1589" s="24" t="s">
        <v>5944</v>
      </c>
      <c r="BG1589" s="135" t="s">
        <v>29</v>
      </c>
      <c r="BH1589" s="135"/>
      <c r="BI1589" s="314" t="s">
        <v>3</v>
      </c>
      <c r="BJ1589" s="314" t="s">
        <v>143</v>
      </c>
      <c r="BK1589" s="24"/>
      <c r="BL1589" s="24"/>
      <c r="BM1589" s="24"/>
      <c r="BN1589" s="24"/>
      <c r="BO1589" s="24">
        <f>AQ1589+14</f>
        <v>44530</v>
      </c>
      <c r="BP1589" s="24"/>
      <c r="BQ1589" s="24"/>
      <c r="BR1589" s="24"/>
      <c r="BS1589" s="24"/>
      <c r="BT1589" s="24"/>
      <c r="BU1589" s="24"/>
      <c r="BV1589" s="132" t="e">
        <f>IF(#REF!="COMPLETO","OK","PENDIENTE")</f>
        <v>#REF!</v>
      </c>
      <c r="BW1589" s="132"/>
      <c r="BX1589" s="132"/>
      <c r="BY1589" s="132"/>
      <c r="BZ1589" s="132"/>
      <c r="CA1589" s="132"/>
      <c r="CB1589" s="132"/>
      <c r="CC1589" s="269"/>
      <c r="CG1589" s="24" t="s">
        <v>105</v>
      </c>
      <c r="CH1589" s="24"/>
      <c r="CI1589" s="24"/>
      <c r="CJ1589" s="24"/>
    </row>
    <row r="1590" spans="1:88" ht="15" customHeight="1">
      <c r="A1590" s="18">
        <v>2021</v>
      </c>
      <c r="B1590" s="18" t="str">
        <f>+INDEX(BDD!F:F,MATCH(P1590,BDD!D:D,0))&amp;"-"&amp;INDEX(BDD!E:E,MATCH(P1590,BDD!D:D,0))</f>
        <v>S-C</v>
      </c>
      <c r="C1590" s="360" t="s">
        <v>484</v>
      </c>
      <c r="D1590" s="150" t="s">
        <v>77</v>
      </c>
      <c r="E1590" s="132"/>
      <c r="F1590" s="24"/>
      <c r="G1590" s="346">
        <v>8000001742</v>
      </c>
      <c r="H1590" s="18" t="s">
        <v>6092</v>
      </c>
      <c r="I1590" s="329"/>
      <c r="J1590" s="346">
        <v>8000001742</v>
      </c>
      <c r="K1590" s="24"/>
      <c r="L1590" s="24">
        <v>0</v>
      </c>
      <c r="M1590" s="24">
        <v>44525</v>
      </c>
      <c r="N1590" s="340" t="s">
        <v>486</v>
      </c>
      <c r="O1590" s="334">
        <v>207580</v>
      </c>
      <c r="P1590" s="25" t="s">
        <v>241</v>
      </c>
      <c r="Q1590" s="127" t="s">
        <v>297</v>
      </c>
      <c r="R1590" s="232" t="s">
        <v>6083</v>
      </c>
      <c r="S1590" s="89">
        <v>44400</v>
      </c>
      <c r="T1590" s="36" t="s">
        <v>19</v>
      </c>
      <c r="U1590" s="125"/>
      <c r="V1590" s="147" t="s">
        <v>6093</v>
      </c>
      <c r="W1590" s="129"/>
      <c r="X1590" s="88">
        <v>44484</v>
      </c>
      <c r="Y1590" s="130" t="s">
        <v>20</v>
      </c>
      <c r="Z1590" s="133" t="s">
        <v>72</v>
      </c>
      <c r="AA1590" s="133"/>
      <c r="AB1590" s="241">
        <v>384</v>
      </c>
      <c r="AC1590" s="177">
        <v>766</v>
      </c>
      <c r="AD1590" s="177"/>
      <c r="AE1590" s="403">
        <f t="shared" si="90"/>
        <v>294144</v>
      </c>
      <c r="AF1590" s="132">
        <v>16</v>
      </c>
      <c r="AG1590" s="130" t="s">
        <v>5</v>
      </c>
      <c r="AH1590" s="130"/>
      <c r="AI1590" s="130" t="s">
        <v>34</v>
      </c>
      <c r="AJ1590" s="130"/>
      <c r="AK1590" s="130"/>
      <c r="AL1590" s="135" t="s">
        <v>6085</v>
      </c>
      <c r="AM1590" s="314"/>
      <c r="AN1590" s="26">
        <f>BL1590</f>
        <v>0</v>
      </c>
      <c r="AO1590" s="26">
        <v>44493</v>
      </c>
      <c r="AP1590" s="26">
        <f t="shared" si="94"/>
        <v>44520</v>
      </c>
      <c r="AQ1590" s="26">
        <v>44520</v>
      </c>
      <c r="AR1590" s="24">
        <v>44533</v>
      </c>
      <c r="AS1590" s="24"/>
      <c r="AT1590" s="24">
        <v>44524</v>
      </c>
      <c r="AU1590" s="418">
        <f t="shared" si="91"/>
        <v>11</v>
      </c>
      <c r="AV1590" s="418">
        <f t="shared" si="92"/>
        <v>2021</v>
      </c>
      <c r="AW1590" s="24"/>
      <c r="AX1590" s="24"/>
      <c r="AY1590" s="24" t="s">
        <v>4881</v>
      </c>
      <c r="AZ1590" s="24" t="s">
        <v>37</v>
      </c>
      <c r="BA1590" s="24"/>
      <c r="BB1590" s="24" t="s">
        <v>2956</v>
      </c>
      <c r="BC1590" s="135" t="s">
        <v>6094</v>
      </c>
      <c r="BD1590" s="24">
        <v>44479</v>
      </c>
      <c r="BE1590" s="24" t="s">
        <v>774</v>
      </c>
      <c r="BF1590" s="24" t="s">
        <v>6095</v>
      </c>
      <c r="BG1590" s="135" t="s">
        <v>29</v>
      </c>
      <c r="BH1590" s="135"/>
      <c r="BI1590" s="314" t="s">
        <v>3</v>
      </c>
      <c r="BJ1590" s="314" t="s">
        <v>143</v>
      </c>
      <c r="BK1590" s="24"/>
      <c r="BL1590" s="24"/>
      <c r="BM1590" s="24"/>
      <c r="BN1590" s="24"/>
      <c r="BO1590" s="24">
        <f>AQ1590+14</f>
        <v>44534</v>
      </c>
      <c r="BP1590" s="24"/>
      <c r="BQ1590" s="24"/>
      <c r="BR1590" s="24"/>
      <c r="BS1590" s="24"/>
      <c r="BT1590" s="24"/>
      <c r="BU1590" s="24"/>
      <c r="BV1590" s="132" t="e">
        <f>IF(#REF!="COMPLETO","OK","PENDIENTE")</f>
        <v>#REF!</v>
      </c>
      <c r="BW1590" s="132"/>
      <c r="BX1590" s="132"/>
      <c r="BY1590" s="132"/>
      <c r="BZ1590" s="132"/>
      <c r="CA1590" s="132"/>
      <c r="CB1590" s="132"/>
      <c r="CC1590" s="269"/>
      <c r="CG1590" s="24" t="s">
        <v>105</v>
      </c>
      <c r="CH1590" s="24"/>
      <c r="CI1590" s="24"/>
      <c r="CJ1590" s="24"/>
    </row>
    <row r="1591" spans="1:88" ht="15" customHeight="1">
      <c r="A1591" s="18">
        <v>2021</v>
      </c>
      <c r="B1591" s="18" t="str">
        <f>+INDEX(BDD!F:F,MATCH(P1591,BDD!D:D,0))&amp;"-"&amp;INDEX(BDD!E:E,MATCH(P1591,BDD!D:D,0))</f>
        <v>S-C</v>
      </c>
      <c r="C1591" s="360" t="s">
        <v>484</v>
      </c>
      <c r="D1591" s="150" t="s">
        <v>77</v>
      </c>
      <c r="E1591" s="132"/>
      <c r="F1591" s="24"/>
      <c r="G1591" s="346">
        <v>8000001421</v>
      </c>
      <c r="H1591" s="18" t="s">
        <v>6096</v>
      </c>
      <c r="I1591" s="329"/>
      <c r="J1591" s="346">
        <v>8000001421</v>
      </c>
      <c r="K1591" s="24"/>
      <c r="L1591" s="24"/>
      <c r="M1591" s="24"/>
      <c r="N1591" s="340" t="s">
        <v>486</v>
      </c>
      <c r="O1591" s="334">
        <v>207580</v>
      </c>
      <c r="P1591" s="25" t="s">
        <v>241</v>
      </c>
      <c r="Q1591" s="127" t="s">
        <v>297</v>
      </c>
      <c r="R1591" s="232" t="s">
        <v>6089</v>
      </c>
      <c r="S1591" s="89">
        <v>44400</v>
      </c>
      <c r="T1591" s="36" t="s">
        <v>19</v>
      </c>
      <c r="U1591" s="125"/>
      <c r="V1591" s="147" t="s">
        <v>6097</v>
      </c>
      <c r="W1591" s="129"/>
      <c r="X1591" s="88">
        <v>44484</v>
      </c>
      <c r="Y1591" s="130" t="s">
        <v>20</v>
      </c>
      <c r="Z1591" s="133" t="s">
        <v>72</v>
      </c>
      <c r="AA1591" s="133"/>
      <c r="AB1591" s="241">
        <v>408</v>
      </c>
      <c r="AC1591" s="177">
        <v>771</v>
      </c>
      <c r="AD1591" s="177"/>
      <c r="AE1591" s="403">
        <f t="shared" si="90"/>
        <v>314568</v>
      </c>
      <c r="AF1591" s="132">
        <v>17</v>
      </c>
      <c r="AG1591" s="130" t="s">
        <v>5</v>
      </c>
      <c r="AH1591" s="130"/>
      <c r="AI1591" s="130" t="s">
        <v>34</v>
      </c>
      <c r="AJ1591" s="130"/>
      <c r="AK1591" s="130"/>
      <c r="AL1591" s="135" t="s">
        <v>6085</v>
      </c>
      <c r="AM1591" s="314"/>
      <c r="AN1591" s="26">
        <f>BL1591</f>
        <v>0</v>
      </c>
      <c r="AO1591" s="26">
        <v>44493</v>
      </c>
      <c r="AP1591" s="26">
        <f t="shared" si="94"/>
        <v>44523</v>
      </c>
      <c r="AQ1591" s="26">
        <v>44523</v>
      </c>
      <c r="AR1591" s="24">
        <f>AQ1591+4</f>
        <v>44527</v>
      </c>
      <c r="AS1591" s="24"/>
      <c r="AT1591" s="24">
        <v>44529</v>
      </c>
      <c r="AU1591" s="418">
        <f t="shared" si="91"/>
        <v>11</v>
      </c>
      <c r="AV1591" s="418">
        <f t="shared" si="92"/>
        <v>2021</v>
      </c>
      <c r="AW1591" s="24"/>
      <c r="AX1591" s="24"/>
      <c r="AY1591" s="24" t="s">
        <v>4881</v>
      </c>
      <c r="AZ1591" s="24" t="s">
        <v>9</v>
      </c>
      <c r="BA1591" s="24"/>
      <c r="BB1591" s="24" t="s">
        <v>3264</v>
      </c>
      <c r="BC1591" s="135" t="s">
        <v>6098</v>
      </c>
      <c r="BD1591" s="24">
        <v>44479</v>
      </c>
      <c r="BE1591" s="24" t="s">
        <v>6095</v>
      </c>
      <c r="BF1591" s="24" t="s">
        <v>947</v>
      </c>
      <c r="BG1591" s="135" t="s">
        <v>29</v>
      </c>
      <c r="BH1591" s="135"/>
      <c r="BI1591" s="314" t="s">
        <v>3</v>
      </c>
      <c r="BJ1591" s="314" t="s">
        <v>143</v>
      </c>
      <c r="BK1591" s="24"/>
      <c r="BL1591" s="24"/>
      <c r="BM1591" s="24"/>
      <c r="BN1591" s="24"/>
      <c r="BO1591" s="24">
        <f>AQ1591+14</f>
        <v>44537</v>
      </c>
      <c r="BP1591" s="24"/>
      <c r="BQ1591" s="24"/>
      <c r="BR1591" s="24"/>
      <c r="BS1591" s="24"/>
      <c r="BT1591" s="24"/>
      <c r="BU1591" s="24"/>
      <c r="BV1591" s="132" t="e">
        <f>IF(#REF!="COMPLETO","OK","PENDIENTE")</f>
        <v>#REF!</v>
      </c>
      <c r="BW1591" s="132"/>
      <c r="BX1591" s="132"/>
      <c r="BY1591" s="132"/>
      <c r="BZ1591" s="132"/>
      <c r="CA1591" s="132"/>
      <c r="CB1591" s="132"/>
      <c r="CC1591" s="269"/>
      <c r="CG1591" s="24" t="s">
        <v>105</v>
      </c>
      <c r="CH1591" s="24"/>
      <c r="CI1591" s="24"/>
      <c r="CJ1591" s="24"/>
    </row>
    <row r="1592" spans="1:88" ht="14.65" customHeight="1">
      <c r="A1592" s="18">
        <v>2021</v>
      </c>
      <c r="B1592" s="18" t="str">
        <f>+INDEX(BDD!F:F,MATCH(P1592,BDD!D:D,0))&amp;"-"&amp;INDEX(BDD!E:E,MATCH(P1592,BDD!D:D,0))</f>
        <v>S-P</v>
      </c>
      <c r="C1592" s="360" t="s">
        <v>484</v>
      </c>
      <c r="D1592" s="150" t="s">
        <v>77</v>
      </c>
      <c r="E1592" s="132"/>
      <c r="F1592" s="24"/>
      <c r="G1592" s="346">
        <v>8000001439</v>
      </c>
      <c r="H1592" s="18" t="s">
        <v>6099</v>
      </c>
      <c r="I1592" s="329"/>
      <c r="J1592" s="346">
        <v>8000001439</v>
      </c>
      <c r="K1592" s="24"/>
      <c r="L1592" s="24">
        <v>0</v>
      </c>
      <c r="M1592" s="24">
        <v>44509</v>
      </c>
      <c r="N1592" s="340" t="s">
        <v>486</v>
      </c>
      <c r="O1592" s="334">
        <v>208510</v>
      </c>
      <c r="P1592" s="25" t="s">
        <v>2</v>
      </c>
      <c r="Q1592" s="127" t="s">
        <v>297</v>
      </c>
      <c r="R1592" s="232" t="s">
        <v>6100</v>
      </c>
      <c r="S1592" s="89">
        <v>44415</v>
      </c>
      <c r="T1592" s="36">
        <v>90</v>
      </c>
      <c r="U1592" s="125" t="s">
        <v>118</v>
      </c>
      <c r="V1592" s="147" t="s">
        <v>6101</v>
      </c>
      <c r="W1592" s="129"/>
      <c r="X1592" s="88">
        <f>+T1592+BD1592</f>
        <v>44538</v>
      </c>
      <c r="Y1592" s="130" t="s">
        <v>20</v>
      </c>
      <c r="Z1592" s="133" t="s">
        <v>72</v>
      </c>
      <c r="AA1592" s="133"/>
      <c r="AB1592" s="241">
        <v>425.6</v>
      </c>
      <c r="AC1592" s="134">
        <v>1680</v>
      </c>
      <c r="AD1592" s="134"/>
      <c r="AE1592" s="403">
        <f t="shared" si="90"/>
        <v>715008</v>
      </c>
      <c r="AF1592" s="132">
        <v>16</v>
      </c>
      <c r="AG1592" s="130" t="s">
        <v>5</v>
      </c>
      <c r="AH1592" s="130"/>
      <c r="AI1592" s="130" t="s">
        <v>5633</v>
      </c>
      <c r="AJ1592" s="130"/>
      <c r="AK1592" s="130"/>
      <c r="AL1592" s="135" t="s">
        <v>6102</v>
      </c>
      <c r="AM1592" s="314"/>
      <c r="AN1592" s="26">
        <v>44452</v>
      </c>
      <c r="AO1592" s="26">
        <v>44448</v>
      </c>
      <c r="AP1592" s="26">
        <v>44485</v>
      </c>
      <c r="AQ1592" s="26">
        <v>44495</v>
      </c>
      <c r="AR1592" s="24">
        <f>AP1592+4</f>
        <v>44489</v>
      </c>
      <c r="AS1592" s="24"/>
      <c r="AT1592" s="24">
        <v>44505</v>
      </c>
      <c r="AU1592" s="418">
        <f t="shared" si="91"/>
        <v>11</v>
      </c>
      <c r="AV1592" s="418">
        <f t="shared" si="92"/>
        <v>2021</v>
      </c>
      <c r="AW1592" s="24"/>
      <c r="AX1592" s="28"/>
      <c r="AY1592" s="28" t="s">
        <v>254</v>
      </c>
      <c r="AZ1592" s="24" t="s">
        <v>37</v>
      </c>
      <c r="BA1592" s="24"/>
      <c r="BB1592" s="24" t="s">
        <v>3291</v>
      </c>
      <c r="BC1592" s="132" t="s">
        <v>6103</v>
      </c>
      <c r="BD1592" s="24">
        <v>44448</v>
      </c>
      <c r="BE1592" s="24" t="s">
        <v>6104</v>
      </c>
      <c r="BF1592" s="24" t="s">
        <v>6105</v>
      </c>
      <c r="BG1592" s="135" t="s">
        <v>53</v>
      </c>
      <c r="BH1592" s="135"/>
      <c r="BI1592" s="314" t="s">
        <v>3</v>
      </c>
      <c r="BJ1592" s="314" t="s">
        <v>148</v>
      </c>
      <c r="BK1592" s="24"/>
      <c r="BL1592" s="24"/>
      <c r="BM1592" s="24"/>
      <c r="BN1592" s="24"/>
      <c r="BO1592" s="24"/>
      <c r="BP1592" s="24"/>
      <c r="BQ1592" s="24"/>
      <c r="BR1592" s="24"/>
      <c r="BS1592" s="24"/>
      <c r="BT1592" s="24"/>
      <c r="BU1592" s="24"/>
      <c r="BV1592" s="132" t="e">
        <f>IF(#REF!="COMPLETO","OK","PENDIENTES")</f>
        <v>#REF!</v>
      </c>
      <c r="BW1592" s="132"/>
      <c r="BX1592" s="132"/>
      <c r="BY1592" s="132"/>
      <c r="BZ1592" s="132"/>
      <c r="CA1592" s="132"/>
      <c r="CB1592" s="132"/>
      <c r="CC1592" s="269"/>
      <c r="CG1592" s="24" t="s">
        <v>105</v>
      </c>
      <c r="CH1592" s="24"/>
      <c r="CI1592" s="24"/>
      <c r="CJ1592" s="24"/>
    </row>
    <row r="1593" spans="1:88" ht="15" customHeight="1">
      <c r="A1593" s="18">
        <v>2021</v>
      </c>
      <c r="B1593" s="18" t="str">
        <f>+INDEX(BDD!F:F,MATCH(P1593,BDD!D:D,0))&amp;"-"&amp;INDEX(BDD!E:E,MATCH(P1593,BDD!D:D,0))</f>
        <v>S-P</v>
      </c>
      <c r="C1593" s="360" t="s">
        <v>484</v>
      </c>
      <c r="D1593" s="150" t="s">
        <v>77</v>
      </c>
      <c r="E1593" s="132"/>
      <c r="F1593" s="24"/>
      <c r="G1593" s="346">
        <v>8000001440</v>
      </c>
      <c r="H1593" s="18" t="s">
        <v>6106</v>
      </c>
      <c r="I1593" s="329"/>
      <c r="J1593" s="346">
        <v>8000001440</v>
      </c>
      <c r="K1593" s="24"/>
      <c r="L1593" s="24">
        <v>0</v>
      </c>
      <c r="M1593" s="24">
        <v>44505</v>
      </c>
      <c r="N1593" s="340" t="s">
        <v>486</v>
      </c>
      <c r="O1593" s="334">
        <v>208510</v>
      </c>
      <c r="P1593" s="25" t="s">
        <v>2</v>
      </c>
      <c r="Q1593" s="127" t="s">
        <v>297</v>
      </c>
      <c r="R1593" s="232" t="s">
        <v>6107</v>
      </c>
      <c r="S1593" s="89">
        <v>44415</v>
      </c>
      <c r="T1593" s="36">
        <v>90</v>
      </c>
      <c r="U1593" s="125" t="s">
        <v>118</v>
      </c>
      <c r="V1593" s="147" t="s">
        <v>6108</v>
      </c>
      <c r="W1593" s="129"/>
      <c r="X1593" s="88">
        <f>+BD1593+T1593</f>
        <v>44537</v>
      </c>
      <c r="Y1593" s="130" t="s">
        <v>20</v>
      </c>
      <c r="Z1593" s="133" t="s">
        <v>72</v>
      </c>
      <c r="AA1593" s="133"/>
      <c r="AB1593" s="241">
        <v>133</v>
      </c>
      <c r="AC1593" s="134">
        <v>1691</v>
      </c>
      <c r="AD1593" s="134"/>
      <c r="AE1593" s="403">
        <f t="shared" si="90"/>
        <v>224903</v>
      </c>
      <c r="AF1593" s="132">
        <v>5</v>
      </c>
      <c r="AG1593" s="130" t="s">
        <v>5</v>
      </c>
      <c r="AH1593" s="130"/>
      <c r="AI1593" s="130" t="s">
        <v>5633</v>
      </c>
      <c r="AJ1593" s="130"/>
      <c r="AK1593" s="130"/>
      <c r="AL1593" s="135" t="s">
        <v>6102</v>
      </c>
      <c r="AM1593" s="314"/>
      <c r="AN1593" s="26">
        <f>BL1593</f>
        <v>0</v>
      </c>
      <c r="AO1593" s="26">
        <v>44447</v>
      </c>
      <c r="AP1593" s="26">
        <v>44495</v>
      </c>
      <c r="AQ1593" s="26">
        <v>44498</v>
      </c>
      <c r="AR1593" s="24">
        <f>AP1593+4</f>
        <v>44499</v>
      </c>
      <c r="AS1593" s="24"/>
      <c r="AT1593" s="24">
        <v>44503</v>
      </c>
      <c r="AU1593" s="418">
        <f t="shared" si="91"/>
        <v>11</v>
      </c>
      <c r="AV1593" s="418">
        <f t="shared" si="92"/>
        <v>2021</v>
      </c>
      <c r="AW1593" s="24"/>
      <c r="AX1593" s="24"/>
      <c r="AY1593" s="24" t="s">
        <v>308</v>
      </c>
      <c r="AZ1593" s="24" t="s">
        <v>9</v>
      </c>
      <c r="BA1593" s="24"/>
      <c r="BB1593" s="24" t="s">
        <v>3264</v>
      </c>
      <c r="BC1593" s="135" t="s">
        <v>6109</v>
      </c>
      <c r="BD1593" s="24">
        <v>44447</v>
      </c>
      <c r="BE1593" s="24" t="s">
        <v>6110</v>
      </c>
      <c r="BF1593" s="24" t="s">
        <v>994</v>
      </c>
      <c r="BG1593" s="135" t="s">
        <v>65</v>
      </c>
      <c r="BH1593" s="135"/>
      <c r="BI1593" s="314" t="s">
        <v>3</v>
      </c>
      <c r="BJ1593" s="314" t="s">
        <v>143</v>
      </c>
      <c r="BK1593" s="24"/>
      <c r="BL1593" s="24"/>
      <c r="BM1593" s="24"/>
      <c r="BN1593" s="24"/>
      <c r="BO1593" s="24"/>
      <c r="BP1593" s="24"/>
      <c r="BQ1593" s="24"/>
      <c r="BR1593" s="24"/>
      <c r="BS1593" s="24"/>
      <c r="BT1593" s="24"/>
      <c r="BU1593" s="24"/>
      <c r="BV1593" s="132" t="e">
        <f>IF(#REF!="COMPLETO","OK","PENDIENTES")</f>
        <v>#REF!</v>
      </c>
      <c r="BW1593" s="132"/>
      <c r="BX1593" s="132"/>
      <c r="BY1593" s="132"/>
      <c r="BZ1593" s="132"/>
      <c r="CA1593" s="132"/>
      <c r="CB1593" s="132"/>
      <c r="CC1593" s="269"/>
      <c r="CG1593" s="24" t="s">
        <v>105</v>
      </c>
      <c r="CH1593" s="24"/>
      <c r="CI1593" s="24"/>
      <c r="CJ1593" s="24"/>
    </row>
    <row r="1594" spans="1:88" ht="15" customHeight="1">
      <c r="A1594" s="18">
        <v>2021</v>
      </c>
      <c r="B1594" s="18" t="str">
        <f>+INDEX(BDD!F:F,MATCH(P1594,BDD!D:D,0))&amp;"-"&amp;INDEX(BDD!E:E,MATCH(P1594,BDD!D:D,0))</f>
        <v>S-P</v>
      </c>
      <c r="C1594" s="360" t="s">
        <v>484</v>
      </c>
      <c r="D1594" s="150" t="s">
        <v>77</v>
      </c>
      <c r="E1594" s="132"/>
      <c r="F1594" s="24"/>
      <c r="G1594" s="346">
        <v>8000001576</v>
      </c>
      <c r="H1594" s="18" t="s">
        <v>6111</v>
      </c>
      <c r="I1594" s="329"/>
      <c r="J1594" s="346">
        <v>8000001576</v>
      </c>
      <c r="K1594" s="24"/>
      <c r="L1594" s="24">
        <v>0</v>
      </c>
      <c r="M1594" s="24">
        <v>44506</v>
      </c>
      <c r="N1594" s="340" t="s">
        <v>486</v>
      </c>
      <c r="O1594" s="334">
        <v>208510</v>
      </c>
      <c r="P1594" s="25" t="s">
        <v>2</v>
      </c>
      <c r="Q1594" s="127" t="s">
        <v>297</v>
      </c>
      <c r="R1594" s="232" t="s">
        <v>6107</v>
      </c>
      <c r="S1594" s="89">
        <v>44415</v>
      </c>
      <c r="T1594" s="36">
        <v>90</v>
      </c>
      <c r="U1594" s="125" t="s">
        <v>118</v>
      </c>
      <c r="V1594" s="147" t="s">
        <v>6112</v>
      </c>
      <c r="W1594" s="129"/>
      <c r="X1594" s="88">
        <f>+BD1594+T1594</f>
        <v>44537</v>
      </c>
      <c r="Y1594" s="130" t="s">
        <v>20</v>
      </c>
      <c r="Z1594" s="133" t="s">
        <v>72</v>
      </c>
      <c r="AA1594" s="133"/>
      <c r="AB1594" s="241">
        <v>79.8</v>
      </c>
      <c r="AC1594" s="134">
        <v>1691</v>
      </c>
      <c r="AD1594" s="134"/>
      <c r="AE1594" s="403">
        <f t="shared" si="90"/>
        <v>134941.79999999999</v>
      </c>
      <c r="AF1594" s="132">
        <v>3</v>
      </c>
      <c r="AG1594" s="130" t="s">
        <v>5</v>
      </c>
      <c r="AH1594" s="130"/>
      <c r="AI1594" s="130" t="s">
        <v>5633</v>
      </c>
      <c r="AJ1594" s="130"/>
      <c r="AK1594" s="130"/>
      <c r="AL1594" s="135" t="s">
        <v>6102</v>
      </c>
      <c r="AM1594" s="314"/>
      <c r="AN1594" s="26">
        <f>BL1594</f>
        <v>0</v>
      </c>
      <c r="AO1594" s="26">
        <v>44447</v>
      </c>
      <c r="AP1594" s="26">
        <v>44495</v>
      </c>
      <c r="AQ1594" s="26">
        <v>44498</v>
      </c>
      <c r="AR1594" s="24">
        <f>AP1594+4</f>
        <v>44499</v>
      </c>
      <c r="AS1594" s="24"/>
      <c r="AT1594" s="24">
        <v>44504</v>
      </c>
      <c r="AU1594" s="418">
        <f t="shared" si="91"/>
        <v>11</v>
      </c>
      <c r="AV1594" s="418">
        <f t="shared" si="92"/>
        <v>2021</v>
      </c>
      <c r="AW1594" s="24"/>
      <c r="AX1594" s="24"/>
      <c r="AY1594" s="24" t="s">
        <v>308</v>
      </c>
      <c r="AZ1594" s="24" t="s">
        <v>9</v>
      </c>
      <c r="BA1594" s="24"/>
      <c r="BB1594" s="24" t="s">
        <v>3264</v>
      </c>
      <c r="BC1594" s="135" t="s">
        <v>6113</v>
      </c>
      <c r="BD1594" s="24">
        <v>44447</v>
      </c>
      <c r="BE1594" s="24" t="s">
        <v>6110</v>
      </c>
      <c r="BF1594" s="24" t="s">
        <v>994</v>
      </c>
      <c r="BG1594" s="135" t="s">
        <v>65</v>
      </c>
      <c r="BH1594" s="135"/>
      <c r="BI1594" s="314" t="s">
        <v>3</v>
      </c>
      <c r="BJ1594" s="314" t="s">
        <v>143</v>
      </c>
      <c r="BK1594" s="24"/>
      <c r="BL1594" s="24"/>
      <c r="BM1594" s="24"/>
      <c r="BN1594" s="24"/>
      <c r="BO1594" s="24"/>
      <c r="BP1594" s="24"/>
      <c r="BQ1594" s="24"/>
      <c r="BR1594" s="24"/>
      <c r="BS1594" s="24"/>
      <c r="BT1594" s="24"/>
      <c r="BU1594" s="24"/>
      <c r="BV1594" s="132" t="e">
        <f>IF(#REF!="COMPLETO","OK","PENDIENTES")</f>
        <v>#REF!</v>
      </c>
      <c r="BW1594" s="132"/>
      <c r="BX1594" s="132"/>
      <c r="BY1594" s="132"/>
      <c r="BZ1594" s="132"/>
      <c r="CA1594" s="132"/>
      <c r="CB1594" s="132"/>
      <c r="CC1594" s="269"/>
      <c r="CG1594" s="24" t="s">
        <v>105</v>
      </c>
      <c r="CH1594" s="24"/>
      <c r="CI1594" s="24"/>
      <c r="CJ1594" s="24"/>
    </row>
    <row r="1595" spans="1:88" ht="15" customHeight="1">
      <c r="A1595" s="18">
        <v>2021</v>
      </c>
      <c r="B1595" s="18" t="str">
        <f>+INDEX(BDD!F:F,MATCH(P1595,BDD!D:D,0))&amp;"-"&amp;INDEX(BDD!E:E,MATCH(P1595,BDD!D:D,0))</f>
        <v>S-P</v>
      </c>
      <c r="C1595" s="360" t="s">
        <v>484</v>
      </c>
      <c r="D1595" s="150" t="s">
        <v>77</v>
      </c>
      <c r="E1595" s="132"/>
      <c r="F1595" s="24"/>
      <c r="G1595" s="346">
        <v>8000001577</v>
      </c>
      <c r="H1595" s="18" t="s">
        <v>6114</v>
      </c>
      <c r="I1595" s="329"/>
      <c r="J1595" s="346">
        <v>8000001577</v>
      </c>
      <c r="K1595" s="24"/>
      <c r="L1595" s="24">
        <v>0</v>
      </c>
      <c r="M1595" s="24">
        <v>44506</v>
      </c>
      <c r="N1595" s="340" t="s">
        <v>486</v>
      </c>
      <c r="O1595" s="334">
        <v>208510</v>
      </c>
      <c r="P1595" s="25" t="s">
        <v>2</v>
      </c>
      <c r="Q1595" s="127" t="s">
        <v>297</v>
      </c>
      <c r="R1595" s="232" t="s">
        <v>6107</v>
      </c>
      <c r="S1595" s="89">
        <v>44415</v>
      </c>
      <c r="T1595" s="36">
        <v>90</v>
      </c>
      <c r="U1595" s="125" t="s">
        <v>118</v>
      </c>
      <c r="V1595" s="147" t="s">
        <v>6115</v>
      </c>
      <c r="W1595" s="129"/>
      <c r="X1595" s="88">
        <f>+BD1595+T1595</f>
        <v>44537</v>
      </c>
      <c r="Y1595" s="130" t="s">
        <v>20</v>
      </c>
      <c r="Z1595" s="133" t="s">
        <v>72</v>
      </c>
      <c r="AA1595" s="133"/>
      <c r="AB1595" s="241">
        <v>79.8</v>
      </c>
      <c r="AC1595" s="134">
        <v>1691</v>
      </c>
      <c r="AD1595" s="134"/>
      <c r="AE1595" s="403">
        <f t="shared" si="90"/>
        <v>134941.79999999999</v>
      </c>
      <c r="AF1595" s="132">
        <v>3</v>
      </c>
      <c r="AG1595" s="130" t="s">
        <v>5</v>
      </c>
      <c r="AH1595" s="130"/>
      <c r="AI1595" s="130" t="s">
        <v>5633</v>
      </c>
      <c r="AJ1595" s="130"/>
      <c r="AK1595" s="130"/>
      <c r="AL1595" s="135" t="s">
        <v>6102</v>
      </c>
      <c r="AM1595" s="314"/>
      <c r="AN1595" s="26">
        <f>BL1595</f>
        <v>0</v>
      </c>
      <c r="AO1595" s="26">
        <v>44447</v>
      </c>
      <c r="AP1595" s="26">
        <v>44495</v>
      </c>
      <c r="AQ1595" s="26">
        <v>44498</v>
      </c>
      <c r="AR1595" s="24">
        <f>AP1595+4</f>
        <v>44499</v>
      </c>
      <c r="AS1595" s="24"/>
      <c r="AT1595" s="24">
        <v>44504</v>
      </c>
      <c r="AU1595" s="418">
        <f t="shared" si="91"/>
        <v>11</v>
      </c>
      <c r="AV1595" s="418">
        <f t="shared" si="92"/>
        <v>2021</v>
      </c>
      <c r="AW1595" s="24"/>
      <c r="AX1595" s="24"/>
      <c r="AY1595" s="24" t="s">
        <v>308</v>
      </c>
      <c r="AZ1595" s="24" t="s">
        <v>9</v>
      </c>
      <c r="BA1595" s="24"/>
      <c r="BB1595" s="24" t="s">
        <v>3264</v>
      </c>
      <c r="BC1595" s="135" t="s">
        <v>6116</v>
      </c>
      <c r="BD1595" s="24">
        <v>44447</v>
      </c>
      <c r="BE1595" s="24" t="s">
        <v>6110</v>
      </c>
      <c r="BF1595" s="24" t="s">
        <v>994</v>
      </c>
      <c r="BG1595" s="135" t="s">
        <v>65</v>
      </c>
      <c r="BH1595" s="135"/>
      <c r="BI1595" s="314" t="s">
        <v>3</v>
      </c>
      <c r="BJ1595" s="314" t="s">
        <v>143</v>
      </c>
      <c r="BK1595" s="24"/>
      <c r="BL1595" s="24"/>
      <c r="BM1595" s="24"/>
      <c r="BN1595" s="24"/>
      <c r="BO1595" s="24"/>
      <c r="BP1595" s="24"/>
      <c r="BQ1595" s="24"/>
      <c r="BR1595" s="24"/>
      <c r="BS1595" s="24"/>
      <c r="BT1595" s="24"/>
      <c r="BU1595" s="24"/>
      <c r="BV1595" s="132" t="e">
        <f>IF(#REF!="COMPLETO","OK","PENDIENTES")</f>
        <v>#REF!</v>
      </c>
      <c r="BW1595" s="132"/>
      <c r="BX1595" s="132"/>
      <c r="BY1595" s="132"/>
      <c r="BZ1595" s="132"/>
      <c r="CA1595" s="132"/>
      <c r="CB1595" s="132"/>
      <c r="CC1595" s="269"/>
      <c r="CG1595" s="24" t="s">
        <v>105</v>
      </c>
      <c r="CH1595" s="24"/>
      <c r="CI1595" s="24"/>
      <c r="CJ1595" s="24"/>
    </row>
    <row r="1596" spans="1:88" ht="15" customHeight="1">
      <c r="A1596" s="18">
        <v>2021</v>
      </c>
      <c r="B1596" s="18" t="str">
        <f>+INDEX(BDD!F:F,MATCH(P1596,BDD!D:D,0))&amp;"-"&amp;INDEX(BDD!E:E,MATCH(P1596,BDD!D:D,0))</f>
        <v>S-P</v>
      </c>
      <c r="C1596" s="360" t="s">
        <v>484</v>
      </c>
      <c r="D1596" s="150" t="s">
        <v>77</v>
      </c>
      <c r="E1596" s="132"/>
      <c r="F1596" s="24"/>
      <c r="G1596" s="346">
        <v>8000001794</v>
      </c>
      <c r="H1596" s="18" t="s">
        <v>6117</v>
      </c>
      <c r="I1596" s="329"/>
      <c r="J1596" s="346">
        <v>8000001794</v>
      </c>
      <c r="K1596" s="24"/>
      <c r="L1596" s="24">
        <v>44626</v>
      </c>
      <c r="M1596" s="24">
        <v>44630</v>
      </c>
      <c r="N1596" s="340" t="s">
        <v>486</v>
      </c>
      <c r="O1596" s="334">
        <v>208510</v>
      </c>
      <c r="P1596" s="25" t="s">
        <v>2</v>
      </c>
      <c r="Q1596" s="127" t="s">
        <v>297</v>
      </c>
      <c r="R1596" s="232" t="s">
        <v>6107</v>
      </c>
      <c r="S1596" s="89">
        <v>44415</v>
      </c>
      <c r="T1596" s="36">
        <v>90</v>
      </c>
      <c r="U1596" s="125" t="s">
        <v>118</v>
      </c>
      <c r="V1596" s="147" t="s">
        <v>6118</v>
      </c>
      <c r="W1596" s="129"/>
      <c r="X1596" s="88">
        <f>+T1596+BD1596</f>
        <v>44637</v>
      </c>
      <c r="Y1596" s="130" t="s">
        <v>20</v>
      </c>
      <c r="Z1596" s="133" t="s">
        <v>72</v>
      </c>
      <c r="AA1596" s="133"/>
      <c r="AB1596" s="241">
        <v>79.8</v>
      </c>
      <c r="AC1596" s="134">
        <v>1691</v>
      </c>
      <c r="AD1596" s="134"/>
      <c r="AE1596" s="403">
        <f t="shared" si="90"/>
        <v>134941.79999999999</v>
      </c>
      <c r="AF1596" s="132">
        <v>3</v>
      </c>
      <c r="AG1596" s="130" t="s">
        <v>5</v>
      </c>
      <c r="AH1596" s="130"/>
      <c r="AI1596" s="130" t="s">
        <v>5633</v>
      </c>
      <c r="AJ1596" s="130"/>
      <c r="AK1596" s="130"/>
      <c r="AL1596" s="135" t="s">
        <v>6102</v>
      </c>
      <c r="AM1596" s="314"/>
      <c r="AN1596" s="26">
        <v>44499</v>
      </c>
      <c r="AO1596" s="26">
        <v>44547</v>
      </c>
      <c r="AP1596" s="26" t="e">
        <f>+#REF!+35</f>
        <v>#REF!</v>
      </c>
      <c r="AQ1596" s="26">
        <v>44622</v>
      </c>
      <c r="AR1596" s="24">
        <f>AQ1596+4</f>
        <v>44626</v>
      </c>
      <c r="AS1596" s="24"/>
      <c r="AT1596" s="24">
        <v>44628</v>
      </c>
      <c r="AU1596" s="418">
        <f t="shared" si="91"/>
        <v>3</v>
      </c>
      <c r="AV1596" s="418">
        <f t="shared" si="92"/>
        <v>2022</v>
      </c>
      <c r="AW1596" s="24"/>
      <c r="AX1596" s="135" t="s">
        <v>5402</v>
      </c>
      <c r="AY1596" s="135" t="s">
        <v>149</v>
      </c>
      <c r="AZ1596" s="24" t="s">
        <v>37</v>
      </c>
      <c r="BA1596" s="24" t="s">
        <v>6121</v>
      </c>
      <c r="BB1596" s="24" t="s">
        <v>3291</v>
      </c>
      <c r="BC1596" s="232" t="s">
        <v>6119</v>
      </c>
      <c r="BD1596" s="24">
        <v>44547</v>
      </c>
      <c r="BE1596" s="24" t="s">
        <v>6120</v>
      </c>
      <c r="BF1596" s="24" t="s">
        <v>5997</v>
      </c>
      <c r="BG1596" s="135" t="s">
        <v>53</v>
      </c>
      <c r="BH1596" s="135" t="s">
        <v>6122</v>
      </c>
      <c r="BI1596" s="314" t="s">
        <v>3</v>
      </c>
      <c r="BJ1596" s="314" t="s">
        <v>148</v>
      </c>
      <c r="BK1596" s="24"/>
      <c r="BL1596" s="24"/>
      <c r="BM1596" s="24"/>
      <c r="BN1596" s="24"/>
      <c r="BO1596" s="24">
        <f>AQ1596+20</f>
        <v>44642</v>
      </c>
      <c r="BP1596" s="24"/>
      <c r="BQ1596" s="24" t="s">
        <v>6123</v>
      </c>
      <c r="BR1596" s="24">
        <v>44618</v>
      </c>
      <c r="BS1596" s="24" t="s">
        <v>26</v>
      </c>
      <c r="BT1596" s="24" t="s">
        <v>11</v>
      </c>
      <c r="BU1596" s="24"/>
      <c r="BV1596" s="132" t="e">
        <f>IF(#REF!="COMPLETO","OK","PENDIENTE")</f>
        <v>#REF!</v>
      </c>
      <c r="BW1596" s="132"/>
      <c r="BX1596" s="132"/>
      <c r="BY1596" s="132"/>
      <c r="BZ1596" s="132"/>
      <c r="CA1596" s="132"/>
      <c r="CB1596" s="132"/>
      <c r="CC1596" s="269"/>
      <c r="CG1596" s="24" t="s">
        <v>105</v>
      </c>
      <c r="CH1596" s="24"/>
      <c r="CI1596" s="24"/>
      <c r="CJ1596" s="24"/>
    </row>
    <row r="1597" spans="1:88" ht="15" customHeight="1">
      <c r="A1597" s="18">
        <v>2021</v>
      </c>
      <c r="B1597" s="18" t="str">
        <f>+INDEX(BDD!F:F,MATCH(P1597,BDD!D:D,0))&amp;"-"&amp;INDEX(BDD!E:E,MATCH(P1597,BDD!D:D,0))</f>
        <v>S-P</v>
      </c>
      <c r="C1597" s="360" t="s">
        <v>484</v>
      </c>
      <c r="D1597" s="150" t="s">
        <v>77</v>
      </c>
      <c r="E1597" s="132"/>
      <c r="F1597" s="24"/>
      <c r="G1597" s="346">
        <v>8000001656</v>
      </c>
      <c r="H1597" s="18" t="s">
        <v>6124</v>
      </c>
      <c r="I1597" s="329"/>
      <c r="J1597" s="346">
        <v>8000001656</v>
      </c>
      <c r="K1597" s="24"/>
      <c r="L1597" s="24">
        <v>44626</v>
      </c>
      <c r="M1597" s="24">
        <v>44628</v>
      </c>
      <c r="N1597" s="340" t="s">
        <v>486</v>
      </c>
      <c r="O1597" s="334">
        <v>208510</v>
      </c>
      <c r="P1597" s="25" t="s">
        <v>2</v>
      </c>
      <c r="Q1597" s="127" t="s">
        <v>297</v>
      </c>
      <c r="R1597" s="232" t="s">
        <v>6107</v>
      </c>
      <c r="S1597" s="89">
        <v>44415</v>
      </c>
      <c r="T1597" s="36">
        <v>90</v>
      </c>
      <c r="U1597" s="125" t="s">
        <v>118</v>
      </c>
      <c r="V1597" s="147" t="s">
        <v>6125</v>
      </c>
      <c r="W1597" s="129"/>
      <c r="X1597" s="88">
        <f>+T1597+BD1597</f>
        <v>44637</v>
      </c>
      <c r="Y1597" s="130" t="s">
        <v>20</v>
      </c>
      <c r="Z1597" s="133" t="s">
        <v>72</v>
      </c>
      <c r="AA1597" s="133"/>
      <c r="AB1597" s="241">
        <v>106.4</v>
      </c>
      <c r="AC1597" s="134">
        <v>1691</v>
      </c>
      <c r="AD1597" s="134"/>
      <c r="AE1597" s="403">
        <f t="shared" si="90"/>
        <v>179922.40000000002</v>
      </c>
      <c r="AF1597" s="132">
        <v>4</v>
      </c>
      <c r="AG1597" s="130" t="s">
        <v>5</v>
      </c>
      <c r="AH1597" s="130"/>
      <c r="AI1597" s="130" t="s">
        <v>5633</v>
      </c>
      <c r="AJ1597" s="130"/>
      <c r="AK1597" s="130"/>
      <c r="AL1597" s="135" t="s">
        <v>6102</v>
      </c>
      <c r="AM1597" s="314"/>
      <c r="AN1597" s="26">
        <v>44499</v>
      </c>
      <c r="AO1597" s="26">
        <v>44547</v>
      </c>
      <c r="AP1597" s="26" t="e">
        <f>+#REF!+35</f>
        <v>#REF!</v>
      </c>
      <c r="AQ1597" s="26">
        <v>44622</v>
      </c>
      <c r="AR1597" s="24">
        <f>AQ1597+4</f>
        <v>44626</v>
      </c>
      <c r="AS1597" s="24"/>
      <c r="AT1597" s="24">
        <v>44627</v>
      </c>
      <c r="AU1597" s="418">
        <f t="shared" si="91"/>
        <v>3</v>
      </c>
      <c r="AV1597" s="418">
        <f t="shared" si="92"/>
        <v>2022</v>
      </c>
      <c r="AW1597" s="24"/>
      <c r="AX1597" s="135"/>
      <c r="AY1597" s="135" t="s">
        <v>149</v>
      </c>
      <c r="AZ1597" s="24" t="s">
        <v>37</v>
      </c>
      <c r="BA1597" s="24"/>
      <c r="BB1597" s="24" t="s">
        <v>3291</v>
      </c>
      <c r="BC1597" s="232" t="s">
        <v>6126</v>
      </c>
      <c r="BD1597" s="24">
        <v>44547</v>
      </c>
      <c r="BE1597" s="24" t="s">
        <v>6120</v>
      </c>
      <c r="BF1597" s="24" t="s">
        <v>5997</v>
      </c>
      <c r="BG1597" s="135" t="s">
        <v>53</v>
      </c>
      <c r="BH1597" s="135"/>
      <c r="BI1597" s="314" t="s">
        <v>3</v>
      </c>
      <c r="BJ1597" s="314" t="s">
        <v>148</v>
      </c>
      <c r="BK1597" s="24"/>
      <c r="BL1597" s="24"/>
      <c r="BM1597" s="24"/>
      <c r="BN1597" s="24"/>
      <c r="BO1597" s="24">
        <f>AQ1597+20</f>
        <v>44642</v>
      </c>
      <c r="BP1597" s="24"/>
      <c r="BQ1597" s="24" t="s">
        <v>6127</v>
      </c>
      <c r="BR1597" s="24">
        <v>44618</v>
      </c>
      <c r="BS1597" s="24" t="s">
        <v>26</v>
      </c>
      <c r="BT1597" s="24" t="s">
        <v>11</v>
      </c>
      <c r="BU1597" s="24"/>
      <c r="BV1597" s="132" t="e">
        <f>IF(#REF!="COMPLETO","OK","PENDIENTE")</f>
        <v>#REF!</v>
      </c>
      <c r="BW1597" s="132"/>
      <c r="BX1597" s="132"/>
      <c r="BY1597" s="132"/>
      <c r="BZ1597" s="132"/>
      <c r="CA1597" s="132"/>
      <c r="CB1597" s="132"/>
      <c r="CC1597" s="269"/>
      <c r="CG1597" s="24" t="s">
        <v>105</v>
      </c>
      <c r="CH1597" s="24"/>
      <c r="CI1597" s="24"/>
      <c r="CJ1597" s="24"/>
    </row>
    <row r="1598" spans="1:88" ht="15" customHeight="1">
      <c r="A1598" s="18">
        <v>2021</v>
      </c>
      <c r="B1598" s="18" t="str">
        <f>+INDEX(BDD!F:F,MATCH(P1598,BDD!D:D,0))&amp;"-"&amp;INDEX(BDD!E:E,MATCH(P1598,BDD!D:D,0))</f>
        <v>S-S</v>
      </c>
      <c r="C1598" s="360" t="s">
        <v>484</v>
      </c>
      <c r="D1598" s="150" t="s">
        <v>77</v>
      </c>
      <c r="E1598" s="132"/>
      <c r="F1598" s="24"/>
      <c r="G1598" s="346">
        <v>8000001441</v>
      </c>
      <c r="H1598" s="18" t="s">
        <v>6128</v>
      </c>
      <c r="I1598" s="329"/>
      <c r="J1598" s="346">
        <v>8000001441</v>
      </c>
      <c r="K1598" s="24"/>
      <c r="L1598" s="24">
        <v>0</v>
      </c>
      <c r="M1598" s="24">
        <v>44532</v>
      </c>
      <c r="N1598" s="340" t="s">
        <v>486</v>
      </c>
      <c r="O1598" s="334">
        <v>206966</v>
      </c>
      <c r="P1598" s="25" t="s">
        <v>152</v>
      </c>
      <c r="Q1598" s="127" t="s">
        <v>6129</v>
      </c>
      <c r="R1598" s="232" t="s">
        <v>6130</v>
      </c>
      <c r="S1598" s="89">
        <v>44440</v>
      </c>
      <c r="T1598" s="36">
        <v>90</v>
      </c>
      <c r="U1598" s="125" t="s">
        <v>118</v>
      </c>
      <c r="V1598" s="147" t="s">
        <v>6131</v>
      </c>
      <c r="W1598" s="129"/>
      <c r="X1598" s="88">
        <f>+BD1598+T1598</f>
        <v>44579</v>
      </c>
      <c r="Y1598" s="130" t="s">
        <v>20</v>
      </c>
      <c r="Z1598" s="133" t="s">
        <v>81</v>
      </c>
      <c r="AA1598" s="133"/>
      <c r="AB1598" s="241">
        <v>450</v>
      </c>
      <c r="AC1598" s="134">
        <v>1040</v>
      </c>
      <c r="AD1598" s="134"/>
      <c r="AE1598" s="403">
        <f t="shared" si="90"/>
        <v>468000</v>
      </c>
      <c r="AF1598" s="132"/>
      <c r="AG1598" s="130" t="s">
        <v>58</v>
      </c>
      <c r="AH1598" s="130"/>
      <c r="AI1598" s="130" t="s">
        <v>34</v>
      </c>
      <c r="AJ1598" s="130"/>
      <c r="AK1598" s="130"/>
      <c r="AL1598" s="135" t="s">
        <v>6074</v>
      </c>
      <c r="AM1598" s="314"/>
      <c r="AN1598" s="26">
        <f>BL1598</f>
        <v>0</v>
      </c>
      <c r="AO1598" s="26">
        <v>44490</v>
      </c>
      <c r="AP1598" s="26">
        <v>44524</v>
      </c>
      <c r="AQ1598" s="26">
        <v>44525</v>
      </c>
      <c r="AR1598" s="24">
        <f>AQ1598+5</f>
        <v>44530</v>
      </c>
      <c r="AS1598" s="24"/>
      <c r="AT1598" s="24">
        <v>44540</v>
      </c>
      <c r="AU1598" s="418">
        <f t="shared" si="91"/>
        <v>12</v>
      </c>
      <c r="AV1598" s="418">
        <f t="shared" si="92"/>
        <v>2021</v>
      </c>
      <c r="AW1598" s="24"/>
      <c r="AX1598" s="24"/>
      <c r="AY1598" s="24" t="s">
        <v>311</v>
      </c>
      <c r="AZ1598" s="24" t="s">
        <v>50</v>
      </c>
      <c r="BA1598" s="24"/>
      <c r="BB1598" s="24" t="s">
        <v>2956</v>
      </c>
      <c r="BC1598" s="135" t="s">
        <v>6132</v>
      </c>
      <c r="BD1598" s="24">
        <v>44489</v>
      </c>
      <c r="BE1598" s="24" t="s">
        <v>5972</v>
      </c>
      <c r="BF1598" s="24" t="s">
        <v>5972</v>
      </c>
      <c r="BG1598" s="135" t="s">
        <v>52</v>
      </c>
      <c r="BH1598" s="135"/>
      <c r="BI1598" s="314" t="s">
        <v>3</v>
      </c>
      <c r="BJ1598" s="314" t="s">
        <v>148</v>
      </c>
      <c r="BK1598" s="24"/>
      <c r="BL1598" s="24"/>
      <c r="BM1598" s="24"/>
      <c r="BN1598" s="24"/>
      <c r="BO1598" s="24"/>
      <c r="BP1598" s="24"/>
      <c r="BQ1598" s="24"/>
      <c r="BR1598" s="24"/>
      <c r="BS1598" s="24"/>
      <c r="BT1598" s="24"/>
      <c r="BU1598" s="24"/>
      <c r="BV1598" s="132" t="e">
        <f>IF(#REF!="COMPLETO","OK","PENDIENTE")</f>
        <v>#REF!</v>
      </c>
      <c r="BW1598" s="132"/>
      <c r="BX1598" s="132"/>
      <c r="BY1598" s="132"/>
      <c r="BZ1598" s="132"/>
      <c r="CA1598" s="132"/>
      <c r="CB1598" s="132"/>
      <c r="CC1598" s="269"/>
      <c r="CG1598" s="24" t="s">
        <v>105</v>
      </c>
      <c r="CH1598" s="24"/>
      <c r="CI1598" s="24"/>
      <c r="CJ1598" s="24"/>
    </row>
    <row r="1599" spans="1:88" ht="15" customHeight="1">
      <c r="A1599" s="18">
        <v>2021</v>
      </c>
      <c r="B1599" s="18" t="str">
        <f>+INDEX(BDD!F:F,MATCH(P1599,BDD!D:D,0))&amp;"-"&amp;INDEX(BDD!E:E,MATCH(P1599,BDD!D:D,0))</f>
        <v>S-S</v>
      </c>
      <c r="C1599" s="360" t="s">
        <v>484</v>
      </c>
      <c r="D1599" s="150" t="s">
        <v>77</v>
      </c>
      <c r="E1599" s="132"/>
      <c r="F1599" s="24"/>
      <c r="G1599" s="346">
        <v>8000001445</v>
      </c>
      <c r="H1599" s="18" t="s">
        <v>6133</v>
      </c>
      <c r="I1599" s="329"/>
      <c r="J1599" s="346">
        <v>8000001445</v>
      </c>
      <c r="K1599" s="24"/>
      <c r="L1599" s="24">
        <v>0</v>
      </c>
      <c r="M1599" s="24">
        <v>44532</v>
      </c>
      <c r="N1599" s="340" t="s">
        <v>486</v>
      </c>
      <c r="O1599" s="334">
        <v>206966</v>
      </c>
      <c r="P1599" s="25" t="s">
        <v>152</v>
      </c>
      <c r="Q1599" s="127" t="s">
        <v>6129</v>
      </c>
      <c r="R1599" s="232" t="s">
        <v>6134</v>
      </c>
      <c r="S1599" s="89">
        <v>44418</v>
      </c>
      <c r="T1599" s="36">
        <v>90</v>
      </c>
      <c r="U1599" s="125" t="s">
        <v>118</v>
      </c>
      <c r="V1599" s="147" t="s">
        <v>6135</v>
      </c>
      <c r="W1599" s="129"/>
      <c r="X1599" s="88">
        <f>+BD1599+T1599</f>
        <v>44579</v>
      </c>
      <c r="Y1599" s="130" t="s">
        <v>20</v>
      </c>
      <c r="Z1599" s="133" t="s">
        <v>81</v>
      </c>
      <c r="AA1599" s="133"/>
      <c r="AB1599" s="241">
        <v>100</v>
      </c>
      <c r="AC1599" s="134">
        <v>1060</v>
      </c>
      <c r="AD1599" s="134"/>
      <c r="AE1599" s="403">
        <f t="shared" si="90"/>
        <v>106000</v>
      </c>
      <c r="AF1599" s="132"/>
      <c r="AG1599" s="130" t="s">
        <v>58</v>
      </c>
      <c r="AH1599" s="130"/>
      <c r="AI1599" s="130" t="s">
        <v>34</v>
      </c>
      <c r="AJ1599" s="130"/>
      <c r="AK1599" s="130"/>
      <c r="AL1599" s="135" t="s">
        <v>6074</v>
      </c>
      <c r="AM1599" s="314"/>
      <c r="AN1599" s="26">
        <f>BL1599</f>
        <v>0</v>
      </c>
      <c r="AO1599" s="26">
        <v>44490</v>
      </c>
      <c r="AP1599" s="26">
        <v>44524</v>
      </c>
      <c r="AQ1599" s="26">
        <v>44525</v>
      </c>
      <c r="AR1599" s="24">
        <f>AQ1599+5</f>
        <v>44530</v>
      </c>
      <c r="AS1599" s="24"/>
      <c r="AT1599" s="24">
        <v>44540</v>
      </c>
      <c r="AU1599" s="418">
        <f t="shared" si="91"/>
        <v>12</v>
      </c>
      <c r="AV1599" s="418">
        <f t="shared" si="92"/>
        <v>2021</v>
      </c>
      <c r="AW1599" s="24"/>
      <c r="AX1599" s="24"/>
      <c r="AY1599" s="24" t="s">
        <v>311</v>
      </c>
      <c r="AZ1599" s="24" t="s">
        <v>50</v>
      </c>
      <c r="BA1599" s="24"/>
      <c r="BB1599" s="24" t="s">
        <v>2956</v>
      </c>
      <c r="BC1599" s="135" t="s">
        <v>6136</v>
      </c>
      <c r="BD1599" s="24">
        <v>44489</v>
      </c>
      <c r="BE1599" s="24" t="s">
        <v>5972</v>
      </c>
      <c r="BF1599" s="24" t="s">
        <v>5972</v>
      </c>
      <c r="BG1599" s="135" t="s">
        <v>52</v>
      </c>
      <c r="BH1599" s="135"/>
      <c r="BI1599" s="314" t="s">
        <v>3</v>
      </c>
      <c r="BJ1599" s="314" t="s">
        <v>148</v>
      </c>
      <c r="BK1599" s="24"/>
      <c r="BL1599" s="24"/>
      <c r="BM1599" s="24"/>
      <c r="BN1599" s="24"/>
      <c r="BO1599" s="24"/>
      <c r="BP1599" s="24"/>
      <c r="BQ1599" s="24"/>
      <c r="BR1599" s="24"/>
      <c r="BS1599" s="24"/>
      <c r="BT1599" s="24"/>
      <c r="BU1599" s="24"/>
      <c r="BV1599" s="132" t="e">
        <f>IF(#REF!="COMPLETO","OK","PENDIENTE")</f>
        <v>#REF!</v>
      </c>
      <c r="BW1599" s="132"/>
      <c r="BX1599" s="132"/>
      <c r="BY1599" s="132"/>
      <c r="BZ1599" s="132"/>
      <c r="CA1599" s="132"/>
      <c r="CB1599" s="132"/>
      <c r="CC1599" s="269"/>
      <c r="CG1599" s="24" t="s">
        <v>105</v>
      </c>
      <c r="CH1599" s="24"/>
      <c r="CI1599" s="24"/>
      <c r="CJ1599" s="24"/>
    </row>
    <row r="1600" spans="1:88" ht="13.9" customHeight="1">
      <c r="A1600" s="18">
        <v>2021</v>
      </c>
      <c r="B1600" s="18" t="str">
        <f>+INDEX(BDD!F:F,MATCH(P1600,BDD!D:D,0))&amp;"-"&amp;INDEX(BDD!E:E,MATCH(P1600,BDD!D:D,0))</f>
        <v>S-S</v>
      </c>
      <c r="C1600" s="360" t="s">
        <v>484</v>
      </c>
      <c r="D1600" s="150" t="s">
        <v>77</v>
      </c>
      <c r="E1600" s="132" t="s">
        <v>51</v>
      </c>
      <c r="F1600" s="24"/>
      <c r="G1600" s="346">
        <v>8000001442</v>
      </c>
      <c r="H1600" s="18" t="s">
        <v>6137</v>
      </c>
      <c r="I1600" s="329"/>
      <c r="J1600" s="346">
        <v>8000001442</v>
      </c>
      <c r="K1600" s="24"/>
      <c r="L1600" s="24">
        <v>44479</v>
      </c>
      <c r="M1600" s="24">
        <v>44480</v>
      </c>
      <c r="N1600" s="340" t="s">
        <v>486</v>
      </c>
      <c r="O1600" s="334">
        <v>207579</v>
      </c>
      <c r="P1600" s="25" t="s">
        <v>238</v>
      </c>
      <c r="Q1600" s="127" t="s">
        <v>6129</v>
      </c>
      <c r="R1600" s="232" t="s">
        <v>6138</v>
      </c>
      <c r="S1600" s="89">
        <v>44414</v>
      </c>
      <c r="T1600" s="36">
        <v>90</v>
      </c>
      <c r="U1600" s="125" t="s">
        <v>118</v>
      </c>
      <c r="V1600" s="147" t="s">
        <v>6138</v>
      </c>
      <c r="W1600" s="129"/>
      <c r="X1600" s="88">
        <f>BD1600+90</f>
        <v>44529</v>
      </c>
      <c r="Y1600" s="130" t="s">
        <v>20</v>
      </c>
      <c r="Z1600" s="133" t="s">
        <v>81</v>
      </c>
      <c r="AA1600" s="133"/>
      <c r="AB1600" s="241">
        <v>200</v>
      </c>
      <c r="AC1600" s="134">
        <v>395</v>
      </c>
      <c r="AD1600" s="134"/>
      <c r="AE1600" s="403">
        <f t="shared" si="90"/>
        <v>79000</v>
      </c>
      <c r="AF1600" s="132"/>
      <c r="AG1600" s="130" t="s">
        <v>58</v>
      </c>
      <c r="AH1600" s="130"/>
      <c r="AI1600" s="130" t="s">
        <v>34</v>
      </c>
      <c r="AJ1600" s="130"/>
      <c r="AK1600" s="130"/>
      <c r="AL1600" s="135" t="s">
        <v>6102</v>
      </c>
      <c r="AM1600" s="314"/>
      <c r="AN1600" s="26">
        <v>44438</v>
      </c>
      <c r="AO1600" s="26">
        <v>44438</v>
      </c>
      <c r="AP1600" s="26">
        <f>AQ1600</f>
        <v>44468</v>
      </c>
      <c r="AQ1600" s="26">
        <v>44468</v>
      </c>
      <c r="AR1600" s="24">
        <f>AP1600+7</f>
        <v>44475</v>
      </c>
      <c r="AS1600" s="24"/>
      <c r="AT1600" s="24">
        <v>44470</v>
      </c>
      <c r="AU1600" s="418">
        <f t="shared" si="91"/>
        <v>10</v>
      </c>
      <c r="AV1600" s="418">
        <f t="shared" si="92"/>
        <v>2021</v>
      </c>
      <c r="AW1600" s="24"/>
      <c r="AX1600" s="24"/>
      <c r="AY1600" s="24" t="s">
        <v>311</v>
      </c>
      <c r="AZ1600" s="24" t="s">
        <v>9</v>
      </c>
      <c r="BA1600" s="24"/>
      <c r="BB1600" s="24" t="s">
        <v>2956</v>
      </c>
      <c r="BC1600" s="135" t="s">
        <v>6139</v>
      </c>
      <c r="BD1600" s="24">
        <v>44439</v>
      </c>
      <c r="BE1600" s="24" t="s">
        <v>6140</v>
      </c>
      <c r="BF1600" s="24" t="s">
        <v>6140</v>
      </c>
      <c r="BG1600" s="135" t="s">
        <v>52</v>
      </c>
      <c r="BH1600" s="135"/>
      <c r="BI1600" s="314" t="s">
        <v>124</v>
      </c>
      <c r="BJ1600" s="314" t="s">
        <v>143</v>
      </c>
      <c r="BK1600" s="24"/>
      <c r="BL1600" s="24"/>
      <c r="BM1600" s="24"/>
      <c r="BN1600" s="24"/>
      <c r="BO1600" s="24"/>
      <c r="BP1600" s="24"/>
      <c r="BQ1600" s="24"/>
      <c r="BR1600" s="24"/>
      <c r="BS1600" s="24"/>
      <c r="BT1600" s="24"/>
      <c r="BU1600" s="24"/>
      <c r="BV1600" s="132" t="e">
        <f>IF(#REF!="COMPLETO","OK","PENDIENTES")</f>
        <v>#REF!</v>
      </c>
      <c r="BW1600" s="132"/>
      <c r="BX1600" s="132"/>
      <c r="BY1600" s="132"/>
      <c r="BZ1600" s="132"/>
      <c r="CA1600" s="132"/>
      <c r="CB1600" s="132"/>
      <c r="CC1600" s="269"/>
      <c r="CG1600" s="24" t="s">
        <v>105</v>
      </c>
      <c r="CH1600" s="24"/>
      <c r="CI1600" s="24"/>
      <c r="CJ1600" s="24"/>
    </row>
    <row r="1601" spans="1:88" ht="15" customHeight="1">
      <c r="A1601" s="18">
        <v>2021</v>
      </c>
      <c r="B1601" s="18" t="str">
        <f>+INDEX(BDD!F:F,MATCH(P1601,BDD!D:D,0))&amp;"-"&amp;INDEX(BDD!E:E,MATCH(P1601,BDD!D:D,0))</f>
        <v>S-S</v>
      </c>
      <c r="C1601" s="360" t="s">
        <v>484</v>
      </c>
      <c r="D1601" s="150" t="s">
        <v>77</v>
      </c>
      <c r="E1601" s="132" t="s">
        <v>51</v>
      </c>
      <c r="F1601" s="24"/>
      <c r="G1601" s="346">
        <v>8000001443</v>
      </c>
      <c r="H1601" s="18" t="s">
        <v>6141</v>
      </c>
      <c r="I1601" s="329"/>
      <c r="J1601" s="346">
        <v>8000001443</v>
      </c>
      <c r="K1601" s="24"/>
      <c r="L1601" s="24">
        <v>0</v>
      </c>
      <c r="M1601" s="24">
        <v>44532</v>
      </c>
      <c r="N1601" s="340" t="s">
        <v>486</v>
      </c>
      <c r="O1601" s="334">
        <v>207579</v>
      </c>
      <c r="P1601" s="25" t="s">
        <v>238</v>
      </c>
      <c r="Q1601" s="127" t="s">
        <v>6129</v>
      </c>
      <c r="R1601" s="232" t="s">
        <v>6142</v>
      </c>
      <c r="S1601" s="89">
        <v>44414</v>
      </c>
      <c r="T1601" s="36">
        <v>90</v>
      </c>
      <c r="U1601" s="125" t="s">
        <v>118</v>
      </c>
      <c r="V1601" s="147" t="s">
        <v>6143</v>
      </c>
      <c r="W1601" s="129"/>
      <c r="X1601" s="88">
        <f>+BD1601+T1601</f>
        <v>44579</v>
      </c>
      <c r="Y1601" s="130" t="s">
        <v>20</v>
      </c>
      <c r="Z1601" s="133" t="s">
        <v>81</v>
      </c>
      <c r="AA1601" s="133"/>
      <c r="AB1601" s="241">
        <v>175</v>
      </c>
      <c r="AC1601" s="134">
        <v>395</v>
      </c>
      <c r="AD1601" s="134"/>
      <c r="AE1601" s="403">
        <f t="shared" si="90"/>
        <v>69125</v>
      </c>
      <c r="AF1601" s="132"/>
      <c r="AG1601" s="130" t="s">
        <v>58</v>
      </c>
      <c r="AH1601" s="130"/>
      <c r="AI1601" s="130" t="s">
        <v>34</v>
      </c>
      <c r="AJ1601" s="130"/>
      <c r="AK1601" s="130"/>
      <c r="AL1601" s="135" t="s">
        <v>6074</v>
      </c>
      <c r="AM1601" s="314"/>
      <c r="AN1601" s="26">
        <f>BL1601</f>
        <v>0</v>
      </c>
      <c r="AO1601" s="26">
        <v>44490</v>
      </c>
      <c r="AP1601" s="26">
        <v>44524</v>
      </c>
      <c r="AQ1601" s="26">
        <v>44525</v>
      </c>
      <c r="AR1601" s="24">
        <f>AQ1601+5</f>
        <v>44530</v>
      </c>
      <c r="AS1601" s="24"/>
      <c r="AT1601" s="24">
        <v>44540</v>
      </c>
      <c r="AU1601" s="418">
        <f t="shared" si="91"/>
        <v>12</v>
      </c>
      <c r="AV1601" s="418">
        <f t="shared" si="92"/>
        <v>2021</v>
      </c>
      <c r="AW1601" s="24"/>
      <c r="AX1601" s="24"/>
      <c r="AY1601" s="24" t="s">
        <v>311</v>
      </c>
      <c r="AZ1601" s="24" t="s">
        <v>50</v>
      </c>
      <c r="BA1601" s="24"/>
      <c r="BB1601" s="24" t="s">
        <v>2956</v>
      </c>
      <c r="BC1601" s="135" t="s">
        <v>6144</v>
      </c>
      <c r="BD1601" s="24">
        <v>44489</v>
      </c>
      <c r="BE1601" s="24" t="s">
        <v>5972</v>
      </c>
      <c r="BF1601" s="24" t="s">
        <v>5972</v>
      </c>
      <c r="BG1601" s="135" t="s">
        <v>52</v>
      </c>
      <c r="BH1601" s="135"/>
      <c r="BI1601" s="314" t="s">
        <v>3</v>
      </c>
      <c r="BJ1601" s="314" t="s">
        <v>148</v>
      </c>
      <c r="BK1601" s="24"/>
      <c r="BL1601" s="24"/>
      <c r="BM1601" s="24"/>
      <c r="BN1601" s="24"/>
      <c r="BO1601" s="24"/>
      <c r="BP1601" s="24"/>
      <c r="BQ1601" s="24"/>
      <c r="BR1601" s="24"/>
      <c r="BS1601" s="24"/>
      <c r="BT1601" s="24"/>
      <c r="BU1601" s="24"/>
      <c r="BV1601" s="132" t="e">
        <f>IF(#REF!="COMPLETO","OK","PENDIENTE")</f>
        <v>#REF!</v>
      </c>
      <c r="BW1601" s="132"/>
      <c r="BX1601" s="132"/>
      <c r="BY1601" s="132"/>
      <c r="BZ1601" s="132"/>
      <c r="CA1601" s="132"/>
      <c r="CB1601" s="132"/>
      <c r="CC1601" s="269"/>
      <c r="CG1601" s="24" t="s">
        <v>105</v>
      </c>
      <c r="CH1601" s="24"/>
      <c r="CI1601" s="24"/>
      <c r="CJ1601" s="24"/>
    </row>
    <row r="1602" spans="1:88" ht="15" customHeight="1">
      <c r="A1602" s="18">
        <v>2021</v>
      </c>
      <c r="B1602" s="18" t="str">
        <f>+INDEX(BDD!F:F,MATCH(P1602,BDD!D:D,0))&amp;"-"&amp;INDEX(BDD!E:E,MATCH(P1602,BDD!D:D,0))</f>
        <v>S-S</v>
      </c>
      <c r="C1602" s="360" t="s">
        <v>484</v>
      </c>
      <c r="D1602" s="150" t="s">
        <v>20</v>
      </c>
      <c r="E1602" s="132" t="s">
        <v>1622</v>
      </c>
      <c r="F1602" s="24"/>
      <c r="G1602" s="346"/>
      <c r="H1602" s="18" t="s">
        <v>6145</v>
      </c>
      <c r="I1602" s="329"/>
      <c r="J1602" s="346"/>
      <c r="K1602" s="24"/>
      <c r="L1602" s="24"/>
      <c r="M1602" s="24"/>
      <c r="N1602" s="340"/>
      <c r="O1602" s="334"/>
      <c r="P1602" s="125" t="s">
        <v>340</v>
      </c>
      <c r="Q1602" s="127" t="s">
        <v>297</v>
      </c>
      <c r="R1602" s="232"/>
      <c r="S1602" s="89"/>
      <c r="T1602" s="36"/>
      <c r="U1602" s="125"/>
      <c r="V1602" s="147"/>
      <c r="W1602" s="129"/>
      <c r="X1602" s="88"/>
      <c r="Y1602" s="130"/>
      <c r="Z1602" s="133"/>
      <c r="AA1602" s="133"/>
      <c r="AB1602" s="241"/>
      <c r="AC1602" s="134"/>
      <c r="AD1602" s="134"/>
      <c r="AE1602" s="403">
        <f t="shared" ref="AE1602:AE1665" si="95">AB1602*AC1602</f>
        <v>0</v>
      </c>
      <c r="AF1602" s="132"/>
      <c r="AG1602" s="130"/>
      <c r="AH1602" s="130"/>
      <c r="AI1602" s="130"/>
      <c r="AJ1602" s="130"/>
      <c r="AK1602" s="130"/>
      <c r="AL1602" s="135"/>
      <c r="AM1602" s="314"/>
      <c r="AN1602" s="26"/>
      <c r="AO1602" s="26"/>
      <c r="AP1602" s="26"/>
      <c r="AQ1602" s="26"/>
      <c r="AR1602" s="24"/>
      <c r="AS1602" s="24"/>
      <c r="AT1602" s="24"/>
      <c r="AU1602" s="418">
        <f t="shared" si="91"/>
        <v>1</v>
      </c>
      <c r="AV1602" s="418">
        <f t="shared" si="92"/>
        <v>1900</v>
      </c>
      <c r="AW1602" s="24"/>
      <c r="AX1602" s="24"/>
      <c r="AY1602" s="24"/>
      <c r="AZ1602" s="24"/>
      <c r="BA1602" s="24"/>
      <c r="BB1602" s="24"/>
      <c r="BC1602" s="135"/>
      <c r="BD1602" s="24"/>
      <c r="BE1602" s="24"/>
      <c r="BF1602" s="24"/>
      <c r="BG1602" s="135"/>
      <c r="BH1602" s="135"/>
      <c r="BI1602" s="314"/>
      <c r="BJ1602" s="314"/>
      <c r="BK1602" s="24"/>
      <c r="BL1602" s="24"/>
      <c r="BM1602" s="24"/>
      <c r="BN1602" s="24"/>
      <c r="BO1602" s="24"/>
      <c r="BP1602" s="24"/>
      <c r="BQ1602" s="24"/>
      <c r="BR1602" s="24"/>
      <c r="BS1602" s="24"/>
      <c r="BT1602" s="24"/>
      <c r="BU1602" s="24"/>
      <c r="BV1602" s="132"/>
      <c r="BW1602" s="132"/>
      <c r="BX1602" s="132"/>
      <c r="BY1602" s="132"/>
      <c r="BZ1602" s="132"/>
      <c r="CA1602" s="132"/>
      <c r="CB1602" s="132"/>
      <c r="CC1602" s="269"/>
      <c r="CD1602" s="22"/>
      <c r="CE1602" s="22"/>
      <c r="CF1602" s="22"/>
      <c r="CG1602" s="24"/>
      <c r="CH1602" s="24"/>
      <c r="CI1602" s="24"/>
      <c r="CJ1602" s="24"/>
    </row>
    <row r="1603" spans="1:88" ht="15" customHeight="1">
      <c r="A1603" s="18">
        <v>2021</v>
      </c>
      <c r="B1603" s="18" t="str">
        <f>+INDEX(BDD!F:F,MATCH(P1603,BDD!D:D,0))&amp;"-"&amp;INDEX(BDD!E:E,MATCH(P1603,BDD!D:D,0))</f>
        <v>T-S</v>
      </c>
      <c r="C1603" s="360" t="s">
        <v>484</v>
      </c>
      <c r="D1603" s="150" t="s">
        <v>77</v>
      </c>
      <c r="E1603" s="132"/>
      <c r="F1603" s="24"/>
      <c r="G1603" s="346">
        <v>8000001529</v>
      </c>
      <c r="H1603" s="18" t="s">
        <v>6146</v>
      </c>
      <c r="I1603" s="329"/>
      <c r="J1603" s="346">
        <v>8000001529</v>
      </c>
      <c r="K1603" s="24"/>
      <c r="L1603" s="24">
        <v>44454</v>
      </c>
      <c r="M1603" s="24">
        <v>44454</v>
      </c>
      <c r="N1603" s="340" t="s">
        <v>486</v>
      </c>
      <c r="O1603" s="334">
        <v>208067</v>
      </c>
      <c r="P1603" s="25" t="s">
        <v>383</v>
      </c>
      <c r="Q1603" s="127" t="s">
        <v>303</v>
      </c>
      <c r="R1603" s="232" t="s">
        <v>6147</v>
      </c>
      <c r="S1603" s="89">
        <v>44392</v>
      </c>
      <c r="T1603" s="36">
        <v>30</v>
      </c>
      <c r="U1603" s="125" t="s">
        <v>131</v>
      </c>
      <c r="V1603" s="147" t="s">
        <v>6148</v>
      </c>
      <c r="W1603" s="129"/>
      <c r="X1603" s="88">
        <f>+T1603+BD1603</f>
        <v>44450</v>
      </c>
      <c r="Y1603" s="130" t="s">
        <v>20</v>
      </c>
      <c r="Z1603" s="133" t="s">
        <v>60</v>
      </c>
      <c r="AA1603" s="133"/>
      <c r="AB1603" s="241">
        <v>540</v>
      </c>
      <c r="AC1603" s="134">
        <v>269</v>
      </c>
      <c r="AD1603" s="134"/>
      <c r="AE1603" s="403">
        <f t="shared" si="95"/>
        <v>145260</v>
      </c>
      <c r="AF1603" s="132">
        <v>20</v>
      </c>
      <c r="AG1603" s="130" t="s">
        <v>5</v>
      </c>
      <c r="AH1603" s="130"/>
      <c r="AI1603" s="130" t="s">
        <v>34</v>
      </c>
      <c r="AJ1603" s="130"/>
      <c r="AK1603" s="130"/>
      <c r="AL1603" s="256" t="s">
        <v>5917</v>
      </c>
      <c r="AM1603" s="314"/>
      <c r="AN1603" s="26"/>
      <c r="AO1603" s="26">
        <v>44421</v>
      </c>
      <c r="AP1603" s="26"/>
      <c r="AQ1603" s="26">
        <v>44440</v>
      </c>
      <c r="AR1603" s="24"/>
      <c r="AS1603" s="24"/>
      <c r="AT1603" s="24">
        <v>44449</v>
      </c>
      <c r="AU1603" s="418">
        <f t="shared" ref="AU1603:AU1666" si="96">MONTH(AT1603)</f>
        <v>9</v>
      </c>
      <c r="AV1603" s="418">
        <f t="shared" ref="AV1603:AV1666" si="97">YEAR(AT1603)</f>
        <v>2021</v>
      </c>
      <c r="AW1603" s="24"/>
      <c r="AX1603" s="24"/>
      <c r="AY1603" s="24" t="s">
        <v>3415</v>
      </c>
      <c r="AZ1603" s="24" t="s">
        <v>9</v>
      </c>
      <c r="BA1603" s="24"/>
      <c r="BB1603" s="24" t="s">
        <v>3519</v>
      </c>
      <c r="BC1603" s="135" t="s">
        <v>6149</v>
      </c>
      <c r="BD1603" s="24">
        <v>44420</v>
      </c>
      <c r="BE1603" s="24" t="s">
        <v>5195</v>
      </c>
      <c r="BF1603" s="24" t="s">
        <v>5195</v>
      </c>
      <c r="BG1603" s="135" t="s">
        <v>64</v>
      </c>
      <c r="BH1603" s="135"/>
      <c r="BI1603" s="314" t="s">
        <v>124</v>
      </c>
      <c r="BJ1603" s="314" t="s">
        <v>138</v>
      </c>
      <c r="BK1603" s="24"/>
      <c r="BL1603" s="24"/>
      <c r="BM1603" s="24"/>
      <c r="BN1603" s="24"/>
      <c r="BO1603" s="24"/>
      <c r="BP1603" s="24"/>
      <c r="BQ1603" s="24"/>
      <c r="BR1603" s="24"/>
      <c r="BS1603" s="24"/>
      <c r="BT1603" s="24"/>
      <c r="BU1603" s="24"/>
      <c r="BV1603" s="132" t="e">
        <f>IF(#REF!="COMPLETO","OK","PENDIENTES")</f>
        <v>#REF!</v>
      </c>
      <c r="BW1603" s="132"/>
      <c r="BX1603" s="132"/>
      <c r="BY1603" s="132"/>
      <c r="BZ1603" s="132"/>
      <c r="CA1603" s="132"/>
      <c r="CB1603" s="132"/>
      <c r="CC1603" s="269"/>
      <c r="CG1603" s="24" t="s">
        <v>105</v>
      </c>
      <c r="CH1603" s="24"/>
      <c r="CI1603" s="24"/>
      <c r="CJ1603" s="24"/>
    </row>
    <row r="1604" spans="1:88" ht="15" customHeight="1">
      <c r="A1604" s="18">
        <v>2021</v>
      </c>
      <c r="B1604" s="18" t="str">
        <f>+INDEX(BDD!F:F,MATCH(P1604,BDD!D:D,0))&amp;"-"&amp;INDEX(BDD!E:E,MATCH(P1604,BDD!D:D,0))</f>
        <v>O-S</v>
      </c>
      <c r="C1604" s="360" t="s">
        <v>484</v>
      </c>
      <c r="D1604" s="150" t="s">
        <v>77</v>
      </c>
      <c r="E1604" s="132"/>
      <c r="F1604" s="24"/>
      <c r="G1604" s="346">
        <v>8000001499</v>
      </c>
      <c r="H1604" s="18" t="s">
        <v>6150</v>
      </c>
      <c r="I1604" s="329"/>
      <c r="J1604" s="346">
        <v>8000001499</v>
      </c>
      <c r="K1604" s="24"/>
      <c r="L1604" s="24">
        <v>44442</v>
      </c>
      <c r="M1604" s="24">
        <v>44442</v>
      </c>
      <c r="N1604" s="340" t="s">
        <v>486</v>
      </c>
      <c r="O1604" s="334">
        <v>203555</v>
      </c>
      <c r="P1604" s="25" t="s">
        <v>398</v>
      </c>
      <c r="Q1604" s="127" t="s">
        <v>303</v>
      </c>
      <c r="R1604" s="232" t="s">
        <v>6151</v>
      </c>
      <c r="S1604" s="89">
        <v>44392</v>
      </c>
      <c r="T1604" s="36" t="s">
        <v>19</v>
      </c>
      <c r="U1604" s="125"/>
      <c r="V1604" s="147" t="s">
        <v>6152</v>
      </c>
      <c r="W1604" s="129"/>
      <c r="X1604" s="88">
        <v>44445</v>
      </c>
      <c r="Y1604" s="130" t="s">
        <v>20</v>
      </c>
      <c r="Z1604" s="133" t="s">
        <v>60</v>
      </c>
      <c r="AA1604" s="133"/>
      <c r="AB1604" s="241">
        <v>270</v>
      </c>
      <c r="AC1604" s="134">
        <v>341</v>
      </c>
      <c r="AD1604" s="134"/>
      <c r="AE1604" s="403">
        <f t="shared" si="95"/>
        <v>92070</v>
      </c>
      <c r="AF1604" s="132">
        <v>9</v>
      </c>
      <c r="AG1604" s="130" t="s">
        <v>5</v>
      </c>
      <c r="AH1604" s="130"/>
      <c r="AI1604" s="130" t="s">
        <v>34</v>
      </c>
      <c r="AJ1604" s="130"/>
      <c r="AK1604" s="130"/>
      <c r="AL1604" s="256" t="s">
        <v>5917</v>
      </c>
      <c r="AM1604" s="314"/>
      <c r="AN1604" s="26"/>
      <c r="AO1604" s="26">
        <v>44421</v>
      </c>
      <c r="AP1604" s="26"/>
      <c r="AQ1604" s="26">
        <v>44440</v>
      </c>
      <c r="AR1604" s="24"/>
      <c r="AS1604" s="24"/>
      <c r="AT1604" s="24">
        <v>44445</v>
      </c>
      <c r="AU1604" s="418">
        <f t="shared" si="96"/>
        <v>9</v>
      </c>
      <c r="AV1604" s="418">
        <f t="shared" si="97"/>
        <v>2021</v>
      </c>
      <c r="AW1604" s="24"/>
      <c r="AX1604" s="24"/>
      <c r="AY1604" s="24" t="s">
        <v>3415</v>
      </c>
      <c r="AZ1604" s="24" t="s">
        <v>9</v>
      </c>
      <c r="BA1604" s="24"/>
      <c r="BB1604" s="24" t="s">
        <v>3264</v>
      </c>
      <c r="BC1604" s="135" t="s">
        <v>6153</v>
      </c>
      <c r="BD1604" s="24">
        <v>44420</v>
      </c>
      <c r="BE1604" s="24" t="s">
        <v>5130</v>
      </c>
      <c r="BF1604" s="24" t="s">
        <v>5195</v>
      </c>
      <c r="BG1604" s="135" t="s">
        <v>64</v>
      </c>
      <c r="BH1604" s="135"/>
      <c r="BI1604" s="314" t="s">
        <v>124</v>
      </c>
      <c r="BJ1604" s="314" t="s">
        <v>148</v>
      </c>
      <c r="BK1604" s="24"/>
      <c r="BL1604" s="24"/>
      <c r="BM1604" s="24"/>
      <c r="BN1604" s="24"/>
      <c r="BO1604" s="24">
        <v>44445</v>
      </c>
      <c r="BP1604" s="24"/>
      <c r="BQ1604" s="24"/>
      <c r="BR1604" s="24"/>
      <c r="BS1604" s="24"/>
      <c r="BT1604" s="24"/>
      <c r="BU1604" s="24"/>
      <c r="BV1604" s="132" t="e">
        <f>IF(#REF!="COMPLETO","OK","PENDIENTES")</f>
        <v>#REF!</v>
      </c>
      <c r="BW1604" s="132"/>
      <c r="BX1604" s="132"/>
      <c r="BY1604" s="132"/>
      <c r="BZ1604" s="132"/>
      <c r="CA1604" s="132"/>
      <c r="CB1604" s="132"/>
      <c r="CC1604" s="269" t="s">
        <v>6154</v>
      </c>
      <c r="CG1604" s="24" t="s">
        <v>105</v>
      </c>
      <c r="CH1604" s="24"/>
      <c r="CI1604" s="24"/>
      <c r="CJ1604" s="24"/>
    </row>
    <row r="1605" spans="1:88" ht="15" customHeight="1">
      <c r="A1605" s="18">
        <v>2021</v>
      </c>
      <c r="B1605" s="18" t="str">
        <f>+INDEX(BDD!F:F,MATCH(P1605,BDD!D:D,0))&amp;"-"&amp;INDEX(BDD!E:E,MATCH(P1605,BDD!D:D,0))</f>
        <v>O-S</v>
      </c>
      <c r="C1605" s="360" t="s">
        <v>484</v>
      </c>
      <c r="D1605" s="150" t="s">
        <v>77</v>
      </c>
      <c r="E1605" s="132"/>
      <c r="F1605" s="24"/>
      <c r="G1605" s="346">
        <v>8000001497</v>
      </c>
      <c r="H1605" s="18" t="s">
        <v>6155</v>
      </c>
      <c r="I1605" s="329"/>
      <c r="J1605" s="346">
        <v>8000001497</v>
      </c>
      <c r="K1605" s="24"/>
      <c r="L1605" s="24">
        <v>44435</v>
      </c>
      <c r="M1605" s="24">
        <v>44435</v>
      </c>
      <c r="N1605" s="340" t="s">
        <v>486</v>
      </c>
      <c r="O1605" s="334">
        <v>203555</v>
      </c>
      <c r="P1605" s="25" t="s">
        <v>398</v>
      </c>
      <c r="Q1605" s="127" t="s">
        <v>303</v>
      </c>
      <c r="R1605" s="232" t="s">
        <v>6151</v>
      </c>
      <c r="S1605" s="89">
        <v>44392</v>
      </c>
      <c r="T1605" s="36" t="s">
        <v>19</v>
      </c>
      <c r="U1605" s="125"/>
      <c r="V1605" s="147" t="s">
        <v>6152</v>
      </c>
      <c r="W1605" s="129"/>
      <c r="X1605" s="88">
        <v>44445</v>
      </c>
      <c r="Y1605" s="130" t="s">
        <v>20</v>
      </c>
      <c r="Z1605" s="133" t="s">
        <v>60</v>
      </c>
      <c r="AA1605" s="133"/>
      <c r="AB1605" s="241">
        <v>27</v>
      </c>
      <c r="AC1605" s="134">
        <v>341</v>
      </c>
      <c r="AD1605" s="134"/>
      <c r="AE1605" s="403">
        <f t="shared" si="95"/>
        <v>9207</v>
      </c>
      <c r="AF1605" s="132">
        <v>1</v>
      </c>
      <c r="AG1605" s="130" t="s">
        <v>5</v>
      </c>
      <c r="AH1605" s="130"/>
      <c r="AI1605" s="130" t="s">
        <v>34</v>
      </c>
      <c r="AJ1605" s="130"/>
      <c r="AK1605" s="130"/>
      <c r="AL1605" s="135" t="s">
        <v>6156</v>
      </c>
      <c r="AM1605" s="314"/>
      <c r="AN1605" s="26"/>
      <c r="AO1605" s="26">
        <v>44428</v>
      </c>
      <c r="AP1605" s="26"/>
      <c r="AQ1605" s="26">
        <v>44432</v>
      </c>
      <c r="AR1605" s="24"/>
      <c r="AS1605" s="24"/>
      <c r="AT1605" s="24">
        <v>44435</v>
      </c>
      <c r="AU1605" s="418">
        <f t="shared" si="96"/>
        <v>8</v>
      </c>
      <c r="AV1605" s="418">
        <f t="shared" si="97"/>
        <v>2021</v>
      </c>
      <c r="AW1605" s="24"/>
      <c r="AX1605" s="24"/>
      <c r="AY1605" s="24" t="s">
        <v>3415</v>
      </c>
      <c r="AZ1605" s="24" t="s">
        <v>9</v>
      </c>
      <c r="BA1605" s="24"/>
      <c r="BB1605" s="24" t="s">
        <v>3264</v>
      </c>
      <c r="BC1605" s="135" t="s">
        <v>6157</v>
      </c>
      <c r="BD1605" s="24">
        <v>44428</v>
      </c>
      <c r="BE1605" s="24" t="s">
        <v>5130</v>
      </c>
      <c r="BF1605" s="24" t="s">
        <v>1806</v>
      </c>
      <c r="BG1605" s="135" t="s">
        <v>64</v>
      </c>
      <c r="BH1605" s="135"/>
      <c r="BI1605" s="314" t="s">
        <v>124</v>
      </c>
      <c r="BJ1605" s="314" t="s">
        <v>148</v>
      </c>
      <c r="BK1605" s="24"/>
      <c r="BL1605" s="24"/>
      <c r="BM1605" s="24"/>
      <c r="BN1605" s="24"/>
      <c r="BO1605" s="24"/>
      <c r="BP1605" s="24"/>
      <c r="BQ1605" s="24"/>
      <c r="BR1605" s="24"/>
      <c r="BS1605" s="24"/>
      <c r="BT1605" s="24"/>
      <c r="BU1605" s="24"/>
      <c r="BV1605" s="132" t="e">
        <f>IF(#REF!="COMPLETO","OK","PENDIENTES")</f>
        <v>#REF!</v>
      </c>
      <c r="BW1605" s="132"/>
      <c r="BX1605" s="132"/>
      <c r="BY1605" s="132"/>
      <c r="BZ1605" s="132"/>
      <c r="CA1605" s="132"/>
      <c r="CB1605" s="132"/>
      <c r="CC1605" s="269" t="s">
        <v>6158</v>
      </c>
      <c r="CG1605" s="24" t="s">
        <v>105</v>
      </c>
      <c r="CH1605" s="24"/>
      <c r="CI1605" s="24"/>
      <c r="CJ1605" s="24"/>
    </row>
    <row r="1606" spans="1:88" ht="15" customHeight="1">
      <c r="A1606" s="18">
        <v>2021</v>
      </c>
      <c r="B1606" s="18"/>
      <c r="C1606" s="360" t="s">
        <v>484</v>
      </c>
      <c r="D1606" s="150" t="s">
        <v>77</v>
      </c>
      <c r="E1606" s="132"/>
      <c r="F1606" s="24"/>
      <c r="G1606" s="346">
        <v>8000001483</v>
      </c>
      <c r="H1606" s="18" t="s">
        <v>6159</v>
      </c>
      <c r="I1606" s="329"/>
      <c r="J1606" s="346">
        <v>8000001483</v>
      </c>
      <c r="K1606" s="24"/>
      <c r="L1606" s="24">
        <v>44434</v>
      </c>
      <c r="M1606" s="24">
        <v>44434</v>
      </c>
      <c r="N1606" s="340" t="s">
        <v>486</v>
      </c>
      <c r="O1606" s="334">
        <v>203568</v>
      </c>
      <c r="P1606" s="25" t="s">
        <v>6160</v>
      </c>
      <c r="Q1606" s="127" t="s">
        <v>303</v>
      </c>
      <c r="R1606" s="232" t="s">
        <v>944</v>
      </c>
      <c r="S1606" s="89" t="s">
        <v>944</v>
      </c>
      <c r="T1606" s="36" t="s">
        <v>6022</v>
      </c>
      <c r="U1606" s="125" t="s">
        <v>6023</v>
      </c>
      <c r="V1606" s="147" t="s">
        <v>6161</v>
      </c>
      <c r="W1606" s="129"/>
      <c r="X1606" s="88" t="s">
        <v>944</v>
      </c>
      <c r="Y1606" s="147" t="s">
        <v>944</v>
      </c>
      <c r="Z1606" s="133" t="s">
        <v>60</v>
      </c>
      <c r="AA1606" s="133"/>
      <c r="AB1606" s="241">
        <v>5.4</v>
      </c>
      <c r="AC1606" s="134">
        <v>0</v>
      </c>
      <c r="AD1606" s="134"/>
      <c r="AE1606" s="403">
        <f t="shared" si="95"/>
        <v>0</v>
      </c>
      <c r="AF1606" s="132"/>
      <c r="AG1606" s="130" t="s">
        <v>5</v>
      </c>
      <c r="AH1606" s="147"/>
      <c r="AI1606" s="130" t="s">
        <v>47</v>
      </c>
      <c r="AJ1606" s="130"/>
      <c r="AK1606" s="130"/>
      <c r="AL1606" s="135" t="s">
        <v>5574</v>
      </c>
      <c r="AM1606" s="314"/>
      <c r="AN1606" s="26"/>
      <c r="AO1606" s="26">
        <v>44419</v>
      </c>
      <c r="AP1606" s="26"/>
      <c r="AQ1606" s="26">
        <v>44427</v>
      </c>
      <c r="AR1606" s="24"/>
      <c r="AS1606" s="24"/>
      <c r="AT1606" s="24">
        <v>44434</v>
      </c>
      <c r="AU1606" s="418">
        <f t="shared" si="96"/>
        <v>8</v>
      </c>
      <c r="AV1606" s="418">
        <f t="shared" si="97"/>
        <v>2021</v>
      </c>
      <c r="AW1606" s="24"/>
      <c r="AX1606" s="24"/>
      <c r="AY1606" s="24" t="s">
        <v>3415</v>
      </c>
      <c r="AZ1606" s="24" t="s">
        <v>37</v>
      </c>
      <c r="BA1606" s="24"/>
      <c r="BB1606" s="24" t="s">
        <v>3291</v>
      </c>
      <c r="BC1606" s="135" t="s">
        <v>5962</v>
      </c>
      <c r="BD1606" s="24">
        <v>44419</v>
      </c>
      <c r="BE1606" s="24" t="s">
        <v>2668</v>
      </c>
      <c r="BF1606" s="24" t="s">
        <v>2668</v>
      </c>
      <c r="BG1606" s="135" t="s">
        <v>64</v>
      </c>
      <c r="BH1606" s="135"/>
      <c r="BI1606" s="314" t="s">
        <v>117</v>
      </c>
      <c r="BJ1606" s="314" t="s">
        <v>148</v>
      </c>
      <c r="BK1606" s="24"/>
      <c r="BL1606" s="24"/>
      <c r="BM1606" s="24"/>
      <c r="BN1606" s="24"/>
      <c r="BO1606" s="24" t="s">
        <v>944</v>
      </c>
      <c r="BP1606" s="24"/>
      <c r="BQ1606" s="24"/>
      <c r="BR1606" s="24"/>
      <c r="BS1606" s="24"/>
      <c r="BT1606" s="24"/>
      <c r="BU1606" s="24"/>
      <c r="BV1606" s="132" t="s">
        <v>6087</v>
      </c>
      <c r="BW1606" s="132"/>
      <c r="BX1606" s="132"/>
      <c r="BY1606" s="132"/>
      <c r="BZ1606" s="132"/>
      <c r="CA1606" s="132"/>
      <c r="CB1606" s="132"/>
      <c r="CC1606" s="269"/>
      <c r="CG1606" s="24" t="s">
        <v>105</v>
      </c>
      <c r="CH1606" s="24"/>
      <c r="CI1606" s="24"/>
      <c r="CJ1606" s="24"/>
    </row>
    <row r="1607" spans="1:88" ht="15" customHeight="1">
      <c r="A1607" s="18">
        <v>2021</v>
      </c>
      <c r="B1607" s="18" t="str">
        <f>+INDEX(BDD!F:F,MATCH(P1607,BDD!D:D,0))&amp;"-"&amp;INDEX(BDD!E:E,MATCH(P1607,BDD!D:D,0))</f>
        <v>G-S</v>
      </c>
      <c r="C1607" s="360" t="s">
        <v>484</v>
      </c>
      <c r="D1607" s="150" t="s">
        <v>77</v>
      </c>
      <c r="E1607" s="132"/>
      <c r="F1607" s="24"/>
      <c r="G1607" s="346">
        <v>8000001707</v>
      </c>
      <c r="H1607" s="18" t="s">
        <v>6162</v>
      </c>
      <c r="I1607" s="329"/>
      <c r="J1607" s="346">
        <v>8000001707</v>
      </c>
      <c r="K1607" s="24"/>
      <c r="L1607" s="24">
        <v>0</v>
      </c>
      <c r="M1607" s="24">
        <v>44523</v>
      </c>
      <c r="N1607" s="340" t="s">
        <v>486</v>
      </c>
      <c r="O1607" s="334">
        <v>206569</v>
      </c>
      <c r="P1607" s="25" t="s">
        <v>142</v>
      </c>
      <c r="Q1607" s="127" t="s">
        <v>237</v>
      </c>
      <c r="R1607" s="232" t="s">
        <v>6163</v>
      </c>
      <c r="S1607" s="89">
        <v>44428</v>
      </c>
      <c r="T1607" s="36" t="s">
        <v>19</v>
      </c>
      <c r="U1607" s="125"/>
      <c r="V1607" s="147" t="s">
        <v>6164</v>
      </c>
      <c r="W1607" s="129"/>
      <c r="X1607" s="88">
        <f>+BD1607+18</f>
        <v>44463</v>
      </c>
      <c r="Y1607" s="130" t="s">
        <v>20</v>
      </c>
      <c r="Z1607" s="133" t="s">
        <v>60</v>
      </c>
      <c r="AA1607" s="133"/>
      <c r="AB1607" s="241">
        <v>900</v>
      </c>
      <c r="AC1607" s="134">
        <v>705</v>
      </c>
      <c r="AD1607" s="134"/>
      <c r="AE1607" s="403">
        <f t="shared" si="95"/>
        <v>634500</v>
      </c>
      <c r="AF1607" s="132"/>
      <c r="AG1607" s="130" t="s">
        <v>46</v>
      </c>
      <c r="AH1607" s="130"/>
      <c r="AI1607" s="130" t="s">
        <v>100</v>
      </c>
      <c r="AJ1607" s="130"/>
      <c r="AK1607" s="130"/>
      <c r="AL1607" s="135" t="s">
        <v>6165</v>
      </c>
      <c r="AM1607" s="314"/>
      <c r="AN1607" s="26">
        <f>BL1607</f>
        <v>0</v>
      </c>
      <c r="AO1607" s="26">
        <v>44464</v>
      </c>
      <c r="AP1607" s="26">
        <f>AQ1607</f>
        <v>44509</v>
      </c>
      <c r="AQ1607" s="26">
        <v>44509</v>
      </c>
      <c r="AR1607" s="24">
        <f>AP1607+10</f>
        <v>44519</v>
      </c>
      <c r="AS1607" s="24"/>
      <c r="AT1607" s="24">
        <v>44521</v>
      </c>
      <c r="AU1607" s="418">
        <f t="shared" si="96"/>
        <v>11</v>
      </c>
      <c r="AV1607" s="418">
        <f t="shared" si="97"/>
        <v>2021</v>
      </c>
      <c r="AW1607" s="24"/>
      <c r="AX1607" s="24"/>
      <c r="AY1607" s="24" t="s">
        <v>315</v>
      </c>
      <c r="AZ1607" s="24" t="s">
        <v>25</v>
      </c>
      <c r="BA1607" s="24"/>
      <c r="BB1607" s="24" t="s">
        <v>3264</v>
      </c>
      <c r="BC1607" s="135" t="s">
        <v>6166</v>
      </c>
      <c r="BD1607" s="24">
        <v>44445</v>
      </c>
      <c r="BE1607" s="24" t="s">
        <v>6167</v>
      </c>
      <c r="BF1607" s="24" t="s">
        <v>6167</v>
      </c>
      <c r="BG1607" s="135" t="s">
        <v>52</v>
      </c>
      <c r="BH1607" s="135"/>
      <c r="BI1607" s="314" t="s">
        <v>3</v>
      </c>
      <c r="BJ1607" s="314" t="s">
        <v>148</v>
      </c>
      <c r="BK1607" s="24"/>
      <c r="BL1607" s="24"/>
      <c r="BM1607" s="24"/>
      <c r="BN1607" s="24"/>
      <c r="BO1607" s="24"/>
      <c r="BP1607" s="24"/>
      <c r="BQ1607" s="24"/>
      <c r="BR1607" s="24"/>
      <c r="BS1607" s="24"/>
      <c r="BT1607" s="24"/>
      <c r="BU1607" s="24"/>
      <c r="BV1607" s="132" t="e">
        <f>IF(#REF!="COMPLETO","OK","PENDIENTE")</f>
        <v>#REF!</v>
      </c>
      <c r="BW1607" s="132"/>
      <c r="BX1607" s="132"/>
      <c r="BY1607" s="132"/>
      <c r="BZ1607" s="132"/>
      <c r="CA1607" s="132"/>
      <c r="CB1607" s="132"/>
      <c r="CC1607" s="269" t="s">
        <v>6168</v>
      </c>
      <c r="CG1607" s="24" t="s">
        <v>105</v>
      </c>
      <c r="CH1607" s="24"/>
      <c r="CI1607" s="24"/>
      <c r="CJ1607" s="24"/>
    </row>
    <row r="1608" spans="1:88" ht="15" customHeight="1">
      <c r="A1608" s="18">
        <v>2021</v>
      </c>
      <c r="B1608" s="18" t="str">
        <f>+INDEX(BDD!F:F,MATCH(P1608,BDD!D:D,0))&amp;"-"&amp;INDEX(BDD!E:E,MATCH(P1608,BDD!D:D,0))</f>
        <v>T-S</v>
      </c>
      <c r="C1608" s="360" t="s">
        <v>484</v>
      </c>
      <c r="D1608" s="150" t="s">
        <v>77</v>
      </c>
      <c r="E1608" s="132"/>
      <c r="F1608" s="24"/>
      <c r="G1608" s="346">
        <v>8000001466</v>
      </c>
      <c r="H1608" s="18" t="s">
        <v>6169</v>
      </c>
      <c r="I1608" s="329"/>
      <c r="J1608" s="346">
        <v>8000001466</v>
      </c>
      <c r="K1608" s="24"/>
      <c r="L1608" s="24">
        <v>0</v>
      </c>
      <c r="M1608" s="24">
        <v>44517</v>
      </c>
      <c r="N1608" s="340" t="s">
        <v>486</v>
      </c>
      <c r="O1608" s="334">
        <v>203924</v>
      </c>
      <c r="P1608" s="25" t="s">
        <v>393</v>
      </c>
      <c r="Q1608" s="127" t="s">
        <v>303</v>
      </c>
      <c r="R1608" s="232" t="s">
        <v>6170</v>
      </c>
      <c r="S1608" s="89">
        <v>44392</v>
      </c>
      <c r="T1608" s="36" t="s">
        <v>19</v>
      </c>
      <c r="U1608" s="125"/>
      <c r="V1608" s="147" t="s">
        <v>6171</v>
      </c>
      <c r="W1608" s="129"/>
      <c r="X1608" s="88">
        <v>44494</v>
      </c>
      <c r="Y1608" s="130" t="s">
        <v>20</v>
      </c>
      <c r="Z1608" s="133" t="s">
        <v>60</v>
      </c>
      <c r="AA1608" s="133"/>
      <c r="AB1608" s="241">
        <v>8</v>
      </c>
      <c r="AC1608" s="134">
        <v>5560</v>
      </c>
      <c r="AD1608" s="134"/>
      <c r="AE1608" s="403">
        <f t="shared" si="95"/>
        <v>44480</v>
      </c>
      <c r="AF1608" s="132">
        <v>1</v>
      </c>
      <c r="AG1608" s="130" t="s">
        <v>5</v>
      </c>
      <c r="AH1608" s="130"/>
      <c r="AI1608" s="130" t="s">
        <v>3619</v>
      </c>
      <c r="AJ1608" s="130"/>
      <c r="AK1608" s="130"/>
      <c r="AL1608" s="256" t="s">
        <v>5917</v>
      </c>
      <c r="AM1608" s="314"/>
      <c r="AN1608" s="26">
        <v>44469</v>
      </c>
      <c r="AO1608" s="26">
        <v>44483</v>
      </c>
      <c r="AP1608" s="26">
        <v>44504</v>
      </c>
      <c r="AQ1608" s="26">
        <v>44511</v>
      </c>
      <c r="AR1608" s="24">
        <f>AP1608+4</f>
        <v>44508</v>
      </c>
      <c r="AS1608" s="24"/>
      <c r="AT1608" s="24">
        <v>44516</v>
      </c>
      <c r="AU1608" s="418">
        <f t="shared" si="96"/>
        <v>11</v>
      </c>
      <c r="AV1608" s="418">
        <f t="shared" si="97"/>
        <v>2021</v>
      </c>
      <c r="AW1608" s="24"/>
      <c r="AX1608" s="28"/>
      <c r="AY1608" s="28" t="s">
        <v>3981</v>
      </c>
      <c r="AZ1608" s="24" t="s">
        <v>37</v>
      </c>
      <c r="BA1608" s="24"/>
      <c r="BB1608" s="24" t="s">
        <v>3291</v>
      </c>
      <c r="BC1608" s="135" t="s">
        <v>6172</v>
      </c>
      <c r="BD1608" s="24">
        <v>44468</v>
      </c>
      <c r="BE1608" s="24" t="s">
        <v>6173</v>
      </c>
      <c r="BF1608" s="24" t="s">
        <v>6174</v>
      </c>
      <c r="BG1608" s="135" t="s">
        <v>29</v>
      </c>
      <c r="BH1608" s="135"/>
      <c r="BI1608" s="314" t="s">
        <v>3</v>
      </c>
      <c r="BJ1608" s="314" t="s">
        <v>148</v>
      </c>
      <c r="BK1608" s="24"/>
      <c r="BL1608" s="24"/>
      <c r="BM1608" s="24"/>
      <c r="BN1608" s="24"/>
      <c r="BO1608" s="24"/>
      <c r="BP1608" s="24"/>
      <c r="BQ1608" s="24"/>
      <c r="BR1608" s="24"/>
      <c r="BS1608" s="24"/>
      <c r="BT1608" s="24"/>
      <c r="BU1608" s="24"/>
      <c r="BV1608" s="132" t="e">
        <f>IF(#REF!="COMPLETO","OK","PENDIENTE")</f>
        <v>#REF!</v>
      </c>
      <c r="BW1608" s="132"/>
      <c r="BX1608" s="132"/>
      <c r="BY1608" s="132"/>
      <c r="BZ1608" s="132"/>
      <c r="CA1608" s="132"/>
      <c r="CB1608" s="132"/>
      <c r="CC1608" s="269"/>
      <c r="CG1608" s="24" t="s">
        <v>105</v>
      </c>
      <c r="CH1608" s="24"/>
      <c r="CI1608" s="24"/>
      <c r="CJ1608" s="24"/>
    </row>
    <row r="1609" spans="1:88" ht="15" customHeight="1">
      <c r="A1609" s="18">
        <v>2021</v>
      </c>
      <c r="B1609" s="18" t="str">
        <f>+INDEX(BDD!F:F,MATCH(P1609,BDD!D:D,0))&amp;"-"&amp;INDEX(BDD!E:E,MATCH(P1609,BDD!D:D,0))</f>
        <v>T-S</v>
      </c>
      <c r="C1609" s="360" t="s">
        <v>484</v>
      </c>
      <c r="D1609" s="150" t="s">
        <v>77</v>
      </c>
      <c r="E1609" s="132"/>
      <c r="F1609" s="24"/>
      <c r="G1609" s="346">
        <v>8000001468</v>
      </c>
      <c r="H1609" s="18" t="s">
        <v>6175</v>
      </c>
      <c r="I1609" s="329"/>
      <c r="J1609" s="346">
        <v>8000001468</v>
      </c>
      <c r="K1609" s="24"/>
      <c r="L1609" s="24">
        <v>0</v>
      </c>
      <c r="M1609" s="24">
        <v>44512</v>
      </c>
      <c r="N1609" s="340" t="s">
        <v>486</v>
      </c>
      <c r="O1609" s="334">
        <v>203924</v>
      </c>
      <c r="P1609" s="25" t="s">
        <v>393</v>
      </c>
      <c r="Q1609" s="127" t="s">
        <v>303</v>
      </c>
      <c r="R1609" s="232" t="s">
        <v>6176</v>
      </c>
      <c r="S1609" s="89">
        <v>44392</v>
      </c>
      <c r="T1609" s="36" t="s">
        <v>19</v>
      </c>
      <c r="U1609" s="125"/>
      <c r="V1609" s="147" t="s">
        <v>6177</v>
      </c>
      <c r="W1609" s="129"/>
      <c r="X1609" s="88">
        <v>44494</v>
      </c>
      <c r="Y1609" s="130" t="s">
        <v>20</v>
      </c>
      <c r="Z1609" s="133" t="s">
        <v>60</v>
      </c>
      <c r="AA1609" s="133"/>
      <c r="AB1609" s="241">
        <v>16</v>
      </c>
      <c r="AC1609" s="134">
        <v>5500</v>
      </c>
      <c r="AD1609" s="134"/>
      <c r="AE1609" s="403">
        <f t="shared" si="95"/>
        <v>88000</v>
      </c>
      <c r="AF1609" s="132">
        <v>1</v>
      </c>
      <c r="AG1609" s="130" t="s">
        <v>21</v>
      </c>
      <c r="AH1609" s="130"/>
      <c r="AI1609" s="130" t="s">
        <v>3619</v>
      </c>
      <c r="AJ1609" s="130"/>
      <c r="AK1609" s="130"/>
      <c r="AL1609" s="256" t="s">
        <v>5917</v>
      </c>
      <c r="AM1609" s="314"/>
      <c r="AN1609" s="26">
        <f>BL1609</f>
        <v>0</v>
      </c>
      <c r="AO1609" s="26">
        <v>44475</v>
      </c>
      <c r="AP1609" s="26">
        <f>AQ1609</f>
        <v>44504</v>
      </c>
      <c r="AQ1609" s="26">
        <v>44504</v>
      </c>
      <c r="AR1609" s="24">
        <f>AP1609+4</f>
        <v>44508</v>
      </c>
      <c r="AS1609" s="24"/>
      <c r="AT1609" s="24">
        <v>44510</v>
      </c>
      <c r="AU1609" s="418">
        <f t="shared" si="96"/>
        <v>11</v>
      </c>
      <c r="AV1609" s="418">
        <f t="shared" si="97"/>
        <v>2021</v>
      </c>
      <c r="AW1609" s="24"/>
      <c r="AX1609" s="24"/>
      <c r="AY1609" s="24" t="s">
        <v>3981</v>
      </c>
      <c r="AZ1609" s="24" t="s">
        <v>37</v>
      </c>
      <c r="BA1609" s="24"/>
      <c r="BB1609" s="24" t="s">
        <v>3291</v>
      </c>
      <c r="BC1609" s="135" t="s">
        <v>6178</v>
      </c>
      <c r="BD1609" s="24">
        <v>44476</v>
      </c>
      <c r="BE1609" s="24" t="s">
        <v>870</v>
      </c>
      <c r="BF1609" s="24" t="s">
        <v>870</v>
      </c>
      <c r="BG1609" s="135" t="s">
        <v>29</v>
      </c>
      <c r="BH1609" s="135"/>
      <c r="BI1609" s="314" t="s">
        <v>3</v>
      </c>
      <c r="BJ1609" s="314" t="s">
        <v>148</v>
      </c>
      <c r="BK1609" s="24"/>
      <c r="BL1609" s="24"/>
      <c r="BM1609" s="24"/>
      <c r="BN1609" s="24"/>
      <c r="BO1609" s="24"/>
      <c r="BP1609" s="24"/>
      <c r="BQ1609" s="24"/>
      <c r="BR1609" s="24"/>
      <c r="BS1609" s="24"/>
      <c r="BT1609" s="24"/>
      <c r="BU1609" s="24"/>
      <c r="BV1609" s="132" t="e">
        <f>IF(#REF!="COMPLETO","OK","PENDIENTE")</f>
        <v>#REF!</v>
      </c>
      <c r="BW1609" s="132"/>
      <c r="BX1609" s="132"/>
      <c r="BY1609" s="132"/>
      <c r="BZ1609" s="132"/>
      <c r="CA1609" s="132"/>
      <c r="CB1609" s="132"/>
      <c r="CC1609" s="269"/>
      <c r="CG1609" s="24" t="s">
        <v>105</v>
      </c>
      <c r="CH1609" s="24"/>
      <c r="CI1609" s="24"/>
      <c r="CJ1609" s="24"/>
    </row>
    <row r="1610" spans="1:88" ht="15" customHeight="1">
      <c r="A1610" s="18">
        <v>2021</v>
      </c>
      <c r="B1610" s="18" t="str">
        <f>+INDEX(BDD!F:F,MATCH(P1610,BDD!D:D,0))&amp;"-"&amp;INDEX(BDD!E:E,MATCH(P1610,BDD!D:D,0))</f>
        <v>T-S</v>
      </c>
      <c r="C1610" s="360" t="s">
        <v>484</v>
      </c>
      <c r="D1610" s="150" t="s">
        <v>77</v>
      </c>
      <c r="E1610" s="132"/>
      <c r="F1610" s="24"/>
      <c r="G1610" s="346">
        <v>8000001469</v>
      </c>
      <c r="H1610" s="18" t="s">
        <v>6179</v>
      </c>
      <c r="I1610" s="329"/>
      <c r="J1610" s="346">
        <v>8000001469</v>
      </c>
      <c r="K1610" s="24"/>
      <c r="L1610" s="24">
        <v>44445</v>
      </c>
      <c r="M1610" s="24">
        <v>44449</v>
      </c>
      <c r="N1610" s="340" t="s">
        <v>486</v>
      </c>
      <c r="O1610" s="334">
        <v>208067</v>
      </c>
      <c r="P1610" s="25" t="s">
        <v>383</v>
      </c>
      <c r="Q1610" s="127" t="s">
        <v>303</v>
      </c>
      <c r="R1610" s="232" t="s">
        <v>6180</v>
      </c>
      <c r="S1610" s="89">
        <v>44392</v>
      </c>
      <c r="T1610" s="36">
        <v>30</v>
      </c>
      <c r="U1610" s="125" t="s">
        <v>131</v>
      </c>
      <c r="V1610" s="147" t="s">
        <v>6181</v>
      </c>
      <c r="W1610" s="129"/>
      <c r="X1610" s="88">
        <f>+T1610+BD1610</f>
        <v>44456</v>
      </c>
      <c r="Y1610" s="130" t="s">
        <v>20</v>
      </c>
      <c r="Z1610" s="133" t="s">
        <v>60</v>
      </c>
      <c r="AA1610" s="133"/>
      <c r="AB1610" s="241">
        <v>270</v>
      </c>
      <c r="AC1610" s="134">
        <v>269</v>
      </c>
      <c r="AD1610" s="134"/>
      <c r="AE1610" s="403">
        <f t="shared" si="95"/>
        <v>72630</v>
      </c>
      <c r="AF1610" s="132">
        <v>10</v>
      </c>
      <c r="AG1610" s="130" t="s">
        <v>5</v>
      </c>
      <c r="AH1610" s="130"/>
      <c r="AI1610" s="130" t="s">
        <v>34</v>
      </c>
      <c r="AJ1610" s="130"/>
      <c r="AK1610" s="130"/>
      <c r="AL1610" s="256" t="s">
        <v>5917</v>
      </c>
      <c r="AM1610" s="314"/>
      <c r="AN1610" s="26"/>
      <c r="AO1610" s="26">
        <v>44426</v>
      </c>
      <c r="AP1610" s="26"/>
      <c r="AQ1610" s="26">
        <v>44434</v>
      </c>
      <c r="AR1610" s="24"/>
      <c r="AS1610" s="24"/>
      <c r="AT1610" s="24">
        <v>44447</v>
      </c>
      <c r="AU1610" s="418">
        <f t="shared" si="96"/>
        <v>9</v>
      </c>
      <c r="AV1610" s="418">
        <f t="shared" si="97"/>
        <v>2021</v>
      </c>
      <c r="AW1610" s="24"/>
      <c r="AX1610" s="24"/>
      <c r="AY1610" s="24" t="s">
        <v>3415</v>
      </c>
      <c r="AZ1610" s="24" t="s">
        <v>37</v>
      </c>
      <c r="BA1610" s="24"/>
      <c r="BB1610" s="24" t="s">
        <v>3291</v>
      </c>
      <c r="BC1610" s="135" t="s">
        <v>6182</v>
      </c>
      <c r="BD1610" s="24">
        <v>44426</v>
      </c>
      <c r="BE1610" s="24" t="s">
        <v>5438</v>
      </c>
      <c r="BF1610" s="24" t="s">
        <v>5438</v>
      </c>
      <c r="BG1610" s="135" t="s">
        <v>64</v>
      </c>
      <c r="BH1610" s="135"/>
      <c r="BI1610" s="314" t="s">
        <v>124</v>
      </c>
      <c r="BJ1610" s="314" t="s">
        <v>138</v>
      </c>
      <c r="BK1610" s="24"/>
      <c r="BL1610" s="24"/>
      <c r="BM1610" s="24"/>
      <c r="BN1610" s="24"/>
      <c r="BO1610" s="24"/>
      <c r="BP1610" s="24"/>
      <c r="BQ1610" s="24"/>
      <c r="BR1610" s="24"/>
      <c r="BS1610" s="24"/>
      <c r="BT1610" s="24"/>
      <c r="BU1610" s="24"/>
      <c r="BV1610" s="132" t="e">
        <f>IF(#REF!="COMPLETO","OK","PENDIENTES")</f>
        <v>#REF!</v>
      </c>
      <c r="BW1610" s="132"/>
      <c r="BX1610" s="132"/>
      <c r="BY1610" s="132"/>
      <c r="BZ1610" s="132"/>
      <c r="CA1610" s="132"/>
      <c r="CB1610" s="132"/>
      <c r="CC1610" s="269"/>
      <c r="CG1610" s="24" t="s">
        <v>105</v>
      </c>
      <c r="CH1610" s="24"/>
      <c r="CI1610" s="24"/>
      <c r="CJ1610" s="24"/>
    </row>
    <row r="1611" spans="1:88" ht="15" customHeight="1">
      <c r="A1611" s="18">
        <v>2021</v>
      </c>
      <c r="B1611" s="18" t="str">
        <f>+INDEX(BDD!F:F,MATCH(P1611,BDD!D:D,0))&amp;"-"&amp;INDEX(BDD!E:E,MATCH(P1611,BDD!D:D,0))</f>
        <v>T-S</v>
      </c>
      <c r="C1611" s="360" t="s">
        <v>484</v>
      </c>
      <c r="D1611" s="150" t="s">
        <v>77</v>
      </c>
      <c r="E1611" s="132"/>
      <c r="F1611" s="24"/>
      <c r="G1611" s="346">
        <v>8000001491</v>
      </c>
      <c r="H1611" s="18" t="s">
        <v>6183</v>
      </c>
      <c r="I1611" s="329"/>
      <c r="J1611" s="346">
        <v>8000001491</v>
      </c>
      <c r="K1611" s="24"/>
      <c r="L1611" s="24">
        <v>44442</v>
      </c>
      <c r="M1611" s="24">
        <v>44447</v>
      </c>
      <c r="N1611" s="340" t="s">
        <v>486</v>
      </c>
      <c r="O1611" s="334">
        <v>208067</v>
      </c>
      <c r="P1611" s="25" t="s">
        <v>383</v>
      </c>
      <c r="Q1611" s="127" t="s">
        <v>303</v>
      </c>
      <c r="R1611" s="232" t="s">
        <v>6184</v>
      </c>
      <c r="S1611" s="89">
        <v>44392</v>
      </c>
      <c r="T1611" s="36">
        <v>30</v>
      </c>
      <c r="U1611" s="125" t="s">
        <v>131</v>
      </c>
      <c r="V1611" s="147" t="s">
        <v>6185</v>
      </c>
      <c r="W1611" s="129"/>
      <c r="X1611" s="88">
        <v>44462</v>
      </c>
      <c r="Y1611" s="130" t="s">
        <v>20</v>
      </c>
      <c r="Z1611" s="133" t="s">
        <v>60</v>
      </c>
      <c r="AA1611" s="133"/>
      <c r="AB1611" s="241">
        <v>621</v>
      </c>
      <c r="AC1611" s="134">
        <v>269</v>
      </c>
      <c r="AD1611" s="134"/>
      <c r="AE1611" s="403">
        <f t="shared" si="95"/>
        <v>167049</v>
      </c>
      <c r="AF1611" s="132">
        <v>23</v>
      </c>
      <c r="AG1611" s="130" t="s">
        <v>5</v>
      </c>
      <c r="AH1611" s="130"/>
      <c r="AI1611" s="130" t="s">
        <v>34</v>
      </c>
      <c r="AJ1611" s="130"/>
      <c r="AK1611" s="130"/>
      <c r="AL1611" s="256" t="s">
        <v>5917</v>
      </c>
      <c r="AM1611" s="314"/>
      <c r="AN1611" s="26"/>
      <c r="AO1611" s="26">
        <v>44427</v>
      </c>
      <c r="AP1611" s="26"/>
      <c r="AQ1611" s="26">
        <v>44432</v>
      </c>
      <c r="AR1611" s="24"/>
      <c r="AS1611" s="24"/>
      <c r="AT1611" s="24">
        <v>44447</v>
      </c>
      <c r="AU1611" s="418">
        <f t="shared" si="96"/>
        <v>9</v>
      </c>
      <c r="AV1611" s="418">
        <f t="shared" si="97"/>
        <v>2021</v>
      </c>
      <c r="AW1611" s="24"/>
      <c r="AX1611" s="24"/>
      <c r="AY1611" s="24" t="s">
        <v>3415</v>
      </c>
      <c r="AZ1611" s="24" t="s">
        <v>9</v>
      </c>
      <c r="BA1611" s="24"/>
      <c r="BB1611" s="24" t="s">
        <v>3264</v>
      </c>
      <c r="BC1611" s="135" t="s">
        <v>6186</v>
      </c>
      <c r="BD1611" s="24">
        <v>44427</v>
      </c>
      <c r="BE1611" s="24" t="s">
        <v>1806</v>
      </c>
      <c r="BF1611" s="24" t="s">
        <v>1806</v>
      </c>
      <c r="BG1611" s="135" t="s">
        <v>64</v>
      </c>
      <c r="BH1611" s="135"/>
      <c r="BI1611" s="314" t="s">
        <v>124</v>
      </c>
      <c r="BJ1611" s="314" t="s">
        <v>138</v>
      </c>
      <c r="BK1611" s="24"/>
      <c r="BL1611" s="24"/>
      <c r="BM1611" s="24"/>
      <c r="BN1611" s="24"/>
      <c r="BO1611" s="24"/>
      <c r="BP1611" s="24"/>
      <c r="BQ1611" s="24"/>
      <c r="BR1611" s="24"/>
      <c r="BS1611" s="24"/>
      <c r="BT1611" s="24"/>
      <c r="BU1611" s="24"/>
      <c r="BV1611" s="132" t="e">
        <f>IF(#REF!="COMPLETO","OK","PENDIENTES")</f>
        <v>#REF!</v>
      </c>
      <c r="BW1611" s="132"/>
      <c r="BX1611" s="132"/>
      <c r="BY1611" s="132"/>
      <c r="BZ1611" s="132"/>
      <c r="CA1611" s="132"/>
      <c r="CB1611" s="132"/>
      <c r="CC1611" s="269"/>
      <c r="CG1611" s="24" t="s">
        <v>105</v>
      </c>
      <c r="CH1611" s="24"/>
      <c r="CI1611" s="24"/>
      <c r="CJ1611" s="24"/>
    </row>
    <row r="1612" spans="1:88" ht="15" customHeight="1">
      <c r="A1612" s="18">
        <v>2021</v>
      </c>
      <c r="B1612" s="18" t="str">
        <f>+INDEX(BDD!F:F,MATCH(P1612,BDD!D:D,0))&amp;"-"&amp;INDEX(BDD!E:E,MATCH(P1612,BDD!D:D,0))</f>
        <v>T-S</v>
      </c>
      <c r="C1612" s="360" t="s">
        <v>484</v>
      </c>
      <c r="D1612" s="150" t="s">
        <v>77</v>
      </c>
      <c r="E1612" s="132"/>
      <c r="F1612" s="24"/>
      <c r="G1612" s="346">
        <v>8000001474</v>
      </c>
      <c r="H1612" s="18" t="s">
        <v>6187</v>
      </c>
      <c r="I1612" s="329"/>
      <c r="J1612" s="346">
        <v>8000001474</v>
      </c>
      <c r="K1612" s="24"/>
      <c r="L1612" s="24">
        <v>0</v>
      </c>
      <c r="M1612" s="24">
        <v>44512</v>
      </c>
      <c r="N1612" s="340" t="s">
        <v>486</v>
      </c>
      <c r="O1612" s="334">
        <v>208072</v>
      </c>
      <c r="P1612" s="25" t="s">
        <v>385</v>
      </c>
      <c r="Q1612" s="127" t="s">
        <v>303</v>
      </c>
      <c r="R1612" s="232" t="s">
        <v>6188</v>
      </c>
      <c r="S1612" s="89">
        <v>44392</v>
      </c>
      <c r="T1612" s="36" t="s">
        <v>19</v>
      </c>
      <c r="U1612" s="125"/>
      <c r="V1612" s="147" t="s">
        <v>6189</v>
      </c>
      <c r="W1612" s="129"/>
      <c r="X1612" s="88">
        <v>44501</v>
      </c>
      <c r="Y1612" s="130" t="s">
        <v>20</v>
      </c>
      <c r="Z1612" s="133" t="s">
        <v>60</v>
      </c>
      <c r="AA1612" s="133"/>
      <c r="AB1612" s="241">
        <v>6.4</v>
      </c>
      <c r="AC1612" s="134">
        <v>10000</v>
      </c>
      <c r="AD1612" s="134"/>
      <c r="AE1612" s="403">
        <f t="shared" si="95"/>
        <v>64000</v>
      </c>
      <c r="AF1612" s="132"/>
      <c r="AG1612" s="130" t="s">
        <v>21</v>
      </c>
      <c r="AH1612" s="130"/>
      <c r="AI1612" s="130" t="s">
        <v>3619</v>
      </c>
      <c r="AJ1612" s="130"/>
      <c r="AK1612" s="130"/>
      <c r="AL1612" s="256" t="s">
        <v>5917</v>
      </c>
      <c r="AM1612" s="314"/>
      <c r="AN1612" s="26">
        <f>BL1612</f>
        <v>0</v>
      </c>
      <c r="AO1612" s="26">
        <v>44475</v>
      </c>
      <c r="AP1612" s="26">
        <v>44504</v>
      </c>
      <c r="AQ1612" s="26">
        <v>44504</v>
      </c>
      <c r="AR1612" s="24">
        <f>AP1612+4</f>
        <v>44508</v>
      </c>
      <c r="AS1612" s="41"/>
      <c r="AT1612" s="24">
        <v>44510</v>
      </c>
      <c r="AU1612" s="418">
        <f t="shared" si="96"/>
        <v>11</v>
      </c>
      <c r="AV1612" s="418">
        <f t="shared" si="97"/>
        <v>2021</v>
      </c>
      <c r="AW1612" s="24"/>
      <c r="AX1612" s="24"/>
      <c r="AY1612" s="24" t="s">
        <v>3981</v>
      </c>
      <c r="AZ1612" s="24" t="s">
        <v>37</v>
      </c>
      <c r="BA1612" s="24"/>
      <c r="BB1612" s="24" t="s">
        <v>3291</v>
      </c>
      <c r="BC1612" s="135" t="s">
        <v>6190</v>
      </c>
      <c r="BD1612" s="24">
        <v>44476</v>
      </c>
      <c r="BE1612" s="24" t="s">
        <v>870</v>
      </c>
      <c r="BF1612" s="24" t="s">
        <v>870</v>
      </c>
      <c r="BG1612" s="135" t="s">
        <v>29</v>
      </c>
      <c r="BH1612" s="135"/>
      <c r="BI1612" s="314" t="s">
        <v>3</v>
      </c>
      <c r="BJ1612" s="314" t="s">
        <v>138</v>
      </c>
      <c r="BK1612" s="24"/>
      <c r="BL1612" s="24"/>
      <c r="BM1612" s="24"/>
      <c r="BN1612" s="24"/>
      <c r="BO1612" s="24"/>
      <c r="BP1612" s="24"/>
      <c r="BQ1612" s="24"/>
      <c r="BR1612" s="24"/>
      <c r="BS1612" s="24"/>
      <c r="BT1612" s="24"/>
      <c r="BU1612" s="24"/>
      <c r="BV1612" s="132" t="e">
        <f>IF(#REF!="COMPLETO","OK","PENDIENTE")</f>
        <v>#REF!</v>
      </c>
      <c r="BW1612" s="132"/>
      <c r="BX1612" s="132"/>
      <c r="BY1612" s="132"/>
      <c r="BZ1612" s="132"/>
      <c r="CA1612" s="132"/>
      <c r="CB1612" s="132"/>
      <c r="CC1612" s="269"/>
      <c r="CG1612" s="24" t="s">
        <v>105</v>
      </c>
      <c r="CH1612" s="24"/>
      <c r="CI1612" s="24"/>
      <c r="CJ1612" s="24"/>
    </row>
    <row r="1613" spans="1:88" ht="15" customHeight="1">
      <c r="A1613" s="18">
        <v>2021</v>
      </c>
      <c r="B1613" s="18" t="s">
        <v>6191</v>
      </c>
      <c r="C1613" s="360" t="s">
        <v>484</v>
      </c>
      <c r="D1613" s="150" t="s">
        <v>77</v>
      </c>
      <c r="E1613" s="132"/>
      <c r="F1613" s="24"/>
      <c r="G1613" s="346">
        <v>8000001711</v>
      </c>
      <c r="H1613" s="18" t="s">
        <v>6192</v>
      </c>
      <c r="I1613" s="329"/>
      <c r="J1613" s="346">
        <v>8000001711</v>
      </c>
      <c r="K1613" s="24"/>
      <c r="L1613" s="24">
        <v>0</v>
      </c>
      <c r="M1613" s="24">
        <v>44546</v>
      </c>
      <c r="N1613" s="340" t="s">
        <v>486</v>
      </c>
      <c r="O1613" s="334">
        <v>208072</v>
      </c>
      <c r="P1613" s="25" t="s">
        <v>385</v>
      </c>
      <c r="Q1613" s="127" t="s">
        <v>303</v>
      </c>
      <c r="R1613" s="232" t="s">
        <v>6193</v>
      </c>
      <c r="S1613" s="89">
        <v>44392</v>
      </c>
      <c r="T1613" s="36" t="s">
        <v>19</v>
      </c>
      <c r="U1613" s="125"/>
      <c r="V1613" s="147" t="s">
        <v>6194</v>
      </c>
      <c r="W1613" s="129"/>
      <c r="X1613" s="88">
        <v>44528</v>
      </c>
      <c r="Y1613" s="130" t="s">
        <v>20</v>
      </c>
      <c r="Z1613" s="133" t="s">
        <v>60</v>
      </c>
      <c r="AA1613" s="133"/>
      <c r="AB1613" s="241">
        <v>9.6</v>
      </c>
      <c r="AC1613" s="134">
        <v>10000</v>
      </c>
      <c r="AD1613" s="134"/>
      <c r="AE1613" s="403">
        <f t="shared" si="95"/>
        <v>96000</v>
      </c>
      <c r="AF1613" s="132" t="s">
        <v>944</v>
      </c>
      <c r="AG1613" s="130" t="s">
        <v>21</v>
      </c>
      <c r="AH1613" s="130"/>
      <c r="AI1613" s="130" t="s">
        <v>3619</v>
      </c>
      <c r="AJ1613" s="130"/>
      <c r="AK1613" s="130"/>
      <c r="AL1613" s="256" t="s">
        <v>5917</v>
      </c>
      <c r="AM1613" s="314"/>
      <c r="AN1613" s="26">
        <f>BL1613</f>
        <v>0</v>
      </c>
      <c r="AO1613" s="26">
        <v>44512</v>
      </c>
      <c r="AP1613" s="26">
        <f>AQ1613</f>
        <v>44539</v>
      </c>
      <c r="AQ1613" s="26">
        <v>44539</v>
      </c>
      <c r="AR1613" s="24">
        <f>AQ1613+4</f>
        <v>44543</v>
      </c>
      <c r="AS1613" s="41"/>
      <c r="AT1613" s="24">
        <v>44544</v>
      </c>
      <c r="AU1613" s="418">
        <f t="shared" si="96"/>
        <v>12</v>
      </c>
      <c r="AV1613" s="418">
        <f t="shared" si="97"/>
        <v>2021</v>
      </c>
      <c r="AW1613" s="24"/>
      <c r="AX1613" s="24"/>
      <c r="AY1613" s="24" t="s">
        <v>3981</v>
      </c>
      <c r="AZ1613" s="24" t="s">
        <v>37</v>
      </c>
      <c r="BA1613" s="24"/>
      <c r="BB1613" s="24" t="s">
        <v>3291</v>
      </c>
      <c r="BC1613" s="135" t="s">
        <v>6195</v>
      </c>
      <c r="BD1613" s="24">
        <v>44510</v>
      </c>
      <c r="BE1613" s="24" t="s">
        <v>2329</v>
      </c>
      <c r="BF1613" s="24" t="s">
        <v>2329</v>
      </c>
      <c r="BG1613" s="135" t="s">
        <v>29</v>
      </c>
      <c r="BH1613" s="135"/>
      <c r="BI1613" s="314" t="s">
        <v>3</v>
      </c>
      <c r="BJ1613" s="314" t="s">
        <v>143</v>
      </c>
      <c r="BK1613" s="24"/>
      <c r="BL1613" s="24"/>
      <c r="BM1613" s="24"/>
      <c r="BN1613" s="24"/>
      <c r="BO1613" s="24">
        <v>44552</v>
      </c>
      <c r="BP1613" s="24"/>
      <c r="BQ1613" s="24"/>
      <c r="BR1613" s="24"/>
      <c r="BS1613" s="24"/>
      <c r="BT1613" s="24"/>
      <c r="BU1613" s="24"/>
      <c r="BV1613" s="132" t="e">
        <f>IF(#REF!="COMPLETO","OK","PENDIENTE")</f>
        <v>#REF!</v>
      </c>
      <c r="BW1613" s="132"/>
      <c r="BX1613" s="132"/>
      <c r="BY1613" s="132"/>
      <c r="BZ1613" s="132"/>
      <c r="CA1613" s="132"/>
      <c r="CB1613" s="132"/>
      <c r="CC1613" s="269"/>
      <c r="CG1613" s="24" t="s">
        <v>105</v>
      </c>
      <c r="CH1613" s="24"/>
      <c r="CI1613" s="24"/>
      <c r="CJ1613" s="24"/>
    </row>
    <row r="1614" spans="1:88" ht="15" customHeight="1">
      <c r="A1614" s="18">
        <v>2021</v>
      </c>
      <c r="B1614" s="18" t="str">
        <f>+INDEX(BDD!F:F,MATCH(P1614,BDD!D:D,0))&amp;"-"&amp;INDEX(BDD!E:E,MATCH(P1614,BDD!D:D,0))</f>
        <v>E-S</v>
      </c>
      <c r="C1614" s="360" t="s">
        <v>484</v>
      </c>
      <c r="D1614" s="150" t="s">
        <v>77</v>
      </c>
      <c r="E1614" s="132"/>
      <c r="F1614" s="24"/>
      <c r="G1614" s="346">
        <v>8000001475</v>
      </c>
      <c r="H1614" s="18" t="s">
        <v>6196</v>
      </c>
      <c r="I1614" s="329"/>
      <c r="J1614" s="346">
        <v>8000001475</v>
      </c>
      <c r="K1614" s="24"/>
      <c r="L1614" s="24">
        <v>44495</v>
      </c>
      <c r="M1614" s="24">
        <v>44499</v>
      </c>
      <c r="N1614" s="340" t="s">
        <v>486</v>
      </c>
      <c r="O1614" s="334">
        <v>205972</v>
      </c>
      <c r="P1614" s="25" t="s">
        <v>91</v>
      </c>
      <c r="Q1614" s="127" t="s">
        <v>219</v>
      </c>
      <c r="R1614" s="232" t="s">
        <v>544</v>
      </c>
      <c r="S1614" s="89">
        <v>44433</v>
      </c>
      <c r="T1614" s="36" t="s">
        <v>19</v>
      </c>
      <c r="U1614" s="125"/>
      <c r="V1614" s="147" t="s">
        <v>6197</v>
      </c>
      <c r="W1614" s="129"/>
      <c r="X1614" s="88">
        <v>44454</v>
      </c>
      <c r="Y1614" s="130" t="s">
        <v>20</v>
      </c>
      <c r="Z1614" s="133" t="s">
        <v>81</v>
      </c>
      <c r="AA1614" s="133"/>
      <c r="AB1614" s="241">
        <v>2</v>
      </c>
      <c r="AC1614" s="134">
        <v>4320</v>
      </c>
      <c r="AD1614" s="134"/>
      <c r="AE1614" s="403">
        <f t="shared" si="95"/>
        <v>8640</v>
      </c>
      <c r="AF1614" s="132">
        <v>1</v>
      </c>
      <c r="AG1614" s="130" t="s">
        <v>21</v>
      </c>
      <c r="AH1614" s="130"/>
      <c r="AI1614" s="130" t="s">
        <v>22</v>
      </c>
      <c r="AJ1614" s="130"/>
      <c r="AK1614" s="130"/>
      <c r="AL1614" s="135" t="s">
        <v>6165</v>
      </c>
      <c r="AM1614" s="314"/>
      <c r="AN1614" s="26">
        <f>BL1614</f>
        <v>0</v>
      </c>
      <c r="AO1614" s="26">
        <v>44465</v>
      </c>
      <c r="AP1614" s="26">
        <f>AQ1614</f>
        <v>44490</v>
      </c>
      <c r="AQ1614" s="26">
        <v>44490</v>
      </c>
      <c r="AR1614" s="24">
        <f>AP1614+4</f>
        <v>44494</v>
      </c>
      <c r="AS1614" s="24"/>
      <c r="AT1614" s="24">
        <v>44498</v>
      </c>
      <c r="AU1614" s="418">
        <f t="shared" si="96"/>
        <v>10</v>
      </c>
      <c r="AV1614" s="418">
        <f t="shared" si="97"/>
        <v>2021</v>
      </c>
      <c r="AW1614" s="24"/>
      <c r="AX1614" s="24"/>
      <c r="AY1614" s="24" t="s">
        <v>102</v>
      </c>
      <c r="AZ1614" s="24" t="s">
        <v>37</v>
      </c>
      <c r="BA1614" s="24"/>
      <c r="BB1614" s="24" t="s">
        <v>2956</v>
      </c>
      <c r="BC1614" s="232" t="s">
        <v>6198</v>
      </c>
      <c r="BD1614" s="24">
        <v>44464</v>
      </c>
      <c r="BE1614" s="24" t="s">
        <v>4037</v>
      </c>
      <c r="BF1614" s="24" t="s">
        <v>4037</v>
      </c>
      <c r="BG1614" s="135" t="s">
        <v>3430</v>
      </c>
      <c r="BH1614" s="135"/>
      <c r="BI1614" s="314" t="s">
        <v>117</v>
      </c>
      <c r="BJ1614" s="314" t="s">
        <v>143</v>
      </c>
      <c r="BK1614" s="24"/>
      <c r="BL1614" s="24"/>
      <c r="BM1614" s="24"/>
      <c r="BN1614" s="24"/>
      <c r="BO1614" s="24"/>
      <c r="BP1614" s="24"/>
      <c r="BQ1614" s="24"/>
      <c r="BR1614" s="24"/>
      <c r="BS1614" s="24"/>
      <c r="BT1614" s="24"/>
      <c r="BU1614" s="24"/>
      <c r="BV1614" s="132" t="e">
        <f>IF(#REF!="COMPLETO","OK","PENDIENTES")</f>
        <v>#REF!</v>
      </c>
      <c r="BW1614" s="132"/>
      <c r="BX1614" s="132"/>
      <c r="BY1614" s="132"/>
      <c r="BZ1614" s="132"/>
      <c r="CA1614" s="132"/>
      <c r="CB1614" s="132"/>
      <c r="CC1614" s="269"/>
      <c r="CG1614" s="24" t="s">
        <v>105</v>
      </c>
      <c r="CH1614" s="24"/>
      <c r="CI1614" s="24"/>
      <c r="CJ1614" s="24"/>
    </row>
    <row r="1615" spans="1:88" ht="15" customHeight="1">
      <c r="A1615" s="18">
        <v>2021</v>
      </c>
      <c r="B1615" s="18" t="str">
        <f>+INDEX(BDD!F:F,MATCH(P1615,BDD!D:D,0))&amp;"-"&amp;INDEX(BDD!E:E,MATCH(P1615,BDD!D:D,0))</f>
        <v>O-S</v>
      </c>
      <c r="C1615" s="360" t="s">
        <v>484</v>
      </c>
      <c r="D1615" s="150" t="s">
        <v>77</v>
      </c>
      <c r="E1615" s="132"/>
      <c r="F1615" s="24"/>
      <c r="G1615" s="346">
        <v>8000001603</v>
      </c>
      <c r="H1615" s="18" t="s">
        <v>6199</v>
      </c>
      <c r="I1615" s="329"/>
      <c r="J1615" s="346">
        <v>8000001603</v>
      </c>
      <c r="K1615" s="24"/>
      <c r="L1615" s="24">
        <v>44494</v>
      </c>
      <c r="M1615" s="24">
        <v>44491</v>
      </c>
      <c r="N1615" s="340" t="s">
        <v>486</v>
      </c>
      <c r="O1615" s="334">
        <v>203553</v>
      </c>
      <c r="P1615" s="25" t="s">
        <v>386</v>
      </c>
      <c r="Q1615" s="127" t="s">
        <v>303</v>
      </c>
      <c r="R1615" s="232" t="s">
        <v>6200</v>
      </c>
      <c r="S1615" s="89">
        <v>44392</v>
      </c>
      <c r="T1615" s="36" t="s">
        <v>19</v>
      </c>
      <c r="U1615" s="125"/>
      <c r="V1615" s="147" t="s">
        <v>6201</v>
      </c>
      <c r="W1615" s="129"/>
      <c r="X1615" s="88">
        <v>44486</v>
      </c>
      <c r="Y1615" s="130" t="s">
        <v>20</v>
      </c>
      <c r="Z1615" s="133" t="s">
        <v>60</v>
      </c>
      <c r="AA1615" s="133"/>
      <c r="AB1615" s="241">
        <v>214.1</v>
      </c>
      <c r="AC1615" s="134">
        <v>319.41000000000003</v>
      </c>
      <c r="AD1615" s="134"/>
      <c r="AE1615" s="403">
        <f t="shared" si="95"/>
        <v>68385.680999999997</v>
      </c>
      <c r="AF1615" s="132">
        <v>8</v>
      </c>
      <c r="AG1615" s="130" t="s">
        <v>5</v>
      </c>
      <c r="AH1615" s="130"/>
      <c r="AI1615" s="130" t="s">
        <v>100</v>
      </c>
      <c r="AJ1615" s="130"/>
      <c r="AK1615" s="130"/>
      <c r="AL1615" s="256" t="s">
        <v>5917</v>
      </c>
      <c r="AM1615" s="314"/>
      <c r="AN1615" s="26">
        <v>44453</v>
      </c>
      <c r="AO1615" s="26">
        <v>44461</v>
      </c>
      <c r="AP1615" s="26">
        <v>44455</v>
      </c>
      <c r="AQ1615" s="26">
        <v>44489</v>
      </c>
      <c r="AR1615" s="24">
        <f>AP1615+4</f>
        <v>44459</v>
      </c>
      <c r="AS1615" s="24"/>
      <c r="AT1615" s="24">
        <v>44492</v>
      </c>
      <c r="AU1615" s="418">
        <f t="shared" si="96"/>
        <v>10</v>
      </c>
      <c r="AV1615" s="418">
        <f t="shared" si="97"/>
        <v>2021</v>
      </c>
      <c r="AW1615" s="24"/>
      <c r="AX1615" s="24"/>
      <c r="AY1615" s="24" t="s">
        <v>4072</v>
      </c>
      <c r="AZ1615" s="24" t="s">
        <v>9</v>
      </c>
      <c r="BA1615" s="24"/>
      <c r="BB1615" s="24" t="s">
        <v>3264</v>
      </c>
      <c r="BC1615" s="135" t="s">
        <v>6202</v>
      </c>
      <c r="BD1615" s="24">
        <v>44449</v>
      </c>
      <c r="BE1615" s="24" t="s">
        <v>2668</v>
      </c>
      <c r="BF1615" s="24" t="s">
        <v>5944</v>
      </c>
      <c r="BG1615" s="135" t="s">
        <v>64</v>
      </c>
      <c r="BH1615" s="135"/>
      <c r="BI1615" s="314" t="s">
        <v>124</v>
      </c>
      <c r="BJ1615" s="314" t="s">
        <v>138</v>
      </c>
      <c r="BK1615" s="24"/>
      <c r="BL1615" s="24"/>
      <c r="BM1615" s="24"/>
      <c r="BN1615" s="24"/>
      <c r="BO1615" s="41"/>
      <c r="BP1615" s="41"/>
      <c r="BQ1615" s="41"/>
      <c r="BR1615" s="24"/>
      <c r="BS1615" s="41"/>
      <c r="BT1615" s="41"/>
      <c r="BU1615" s="41"/>
      <c r="BV1615" s="132" t="e">
        <f>IF(#REF!="COMPLETO","OK","PENDIENTES")</f>
        <v>#REF!</v>
      </c>
      <c r="BW1615" s="132"/>
      <c r="BX1615" s="132"/>
      <c r="BY1615" s="132"/>
      <c r="BZ1615" s="132"/>
      <c r="CA1615" s="132"/>
      <c r="CB1615" s="132"/>
      <c r="CC1615" s="269" t="s">
        <v>6203</v>
      </c>
      <c r="CG1615" s="24" t="s">
        <v>105</v>
      </c>
      <c r="CH1615" s="24"/>
      <c r="CI1615" s="24"/>
      <c r="CJ1615" s="24"/>
    </row>
    <row r="1616" spans="1:88" ht="15" customHeight="1">
      <c r="A1616" s="18">
        <v>2021</v>
      </c>
      <c r="B1616" s="18" t="str">
        <f>+INDEX(BDD!F:F,MATCH(P1616,BDD!D:D,0))&amp;"-"&amp;INDEX(BDD!E:E,MATCH(P1616,BDD!D:D,0))</f>
        <v>O-S</v>
      </c>
      <c r="C1616" s="360" t="s">
        <v>484</v>
      </c>
      <c r="D1616" s="150" t="s">
        <v>77</v>
      </c>
      <c r="E1616" s="132"/>
      <c r="F1616" s="24"/>
      <c r="G1616" s="346">
        <v>8000001604</v>
      </c>
      <c r="H1616" s="18" t="s">
        <v>6204</v>
      </c>
      <c r="I1616" s="329"/>
      <c r="J1616" s="346">
        <v>8000001604</v>
      </c>
      <c r="K1616" s="24"/>
      <c r="L1616" s="24">
        <v>44487</v>
      </c>
      <c r="M1616" s="24">
        <v>44491</v>
      </c>
      <c r="N1616" s="340" t="s">
        <v>486</v>
      </c>
      <c r="O1616" s="334">
        <v>203553</v>
      </c>
      <c r="P1616" s="25" t="s">
        <v>386</v>
      </c>
      <c r="Q1616" s="127" t="s">
        <v>303</v>
      </c>
      <c r="R1616" s="232" t="s">
        <v>6205</v>
      </c>
      <c r="S1616" s="89">
        <v>44392</v>
      </c>
      <c r="T1616" s="36" t="s">
        <v>19</v>
      </c>
      <c r="U1616" s="125"/>
      <c r="V1616" s="147" t="s">
        <v>6206</v>
      </c>
      <c r="W1616" s="129"/>
      <c r="X1616" s="88">
        <v>44484</v>
      </c>
      <c r="Y1616" s="130" t="s">
        <v>20</v>
      </c>
      <c r="Z1616" s="133" t="s">
        <v>60</v>
      </c>
      <c r="AA1616" s="133"/>
      <c r="AB1616" s="241">
        <v>161.19999999999999</v>
      </c>
      <c r="AC1616" s="134">
        <v>319.24</v>
      </c>
      <c r="AD1616" s="134"/>
      <c r="AE1616" s="403">
        <f t="shared" si="95"/>
        <v>51461.487999999998</v>
      </c>
      <c r="AF1616" s="132">
        <v>6</v>
      </c>
      <c r="AG1616" s="130" t="s">
        <v>5</v>
      </c>
      <c r="AH1616" s="130"/>
      <c r="AI1616" s="130" t="s">
        <v>100</v>
      </c>
      <c r="AJ1616" s="130"/>
      <c r="AK1616" s="130"/>
      <c r="AL1616" s="256" t="s">
        <v>5917</v>
      </c>
      <c r="AM1616" s="314"/>
      <c r="AN1616" s="26">
        <v>44442</v>
      </c>
      <c r="AO1616" s="26">
        <v>44454</v>
      </c>
      <c r="AP1616" s="26">
        <v>44484</v>
      </c>
      <c r="AQ1616" s="26">
        <v>44483</v>
      </c>
      <c r="AR1616" s="24">
        <f>AP1616+4</f>
        <v>44488</v>
      </c>
      <c r="AS1616" s="24"/>
      <c r="AT1616" s="24">
        <v>44489</v>
      </c>
      <c r="AU1616" s="418">
        <f t="shared" si="96"/>
        <v>10</v>
      </c>
      <c r="AV1616" s="418">
        <f t="shared" si="97"/>
        <v>2021</v>
      </c>
      <c r="AW1616" s="24"/>
      <c r="AX1616" s="24"/>
      <c r="AY1616" s="24" t="s">
        <v>4072</v>
      </c>
      <c r="AZ1616" s="24" t="s">
        <v>37</v>
      </c>
      <c r="BA1616" s="24"/>
      <c r="BB1616" s="24" t="s">
        <v>3291</v>
      </c>
      <c r="BC1616" s="135" t="s">
        <v>6207</v>
      </c>
      <c r="BD1616" s="24">
        <v>44442</v>
      </c>
      <c r="BE1616" s="24" t="s">
        <v>4079</v>
      </c>
      <c r="BF1616" s="24" t="s">
        <v>579</v>
      </c>
      <c r="BG1616" s="135" t="s">
        <v>64</v>
      </c>
      <c r="BH1616" s="135"/>
      <c r="BI1616" s="314" t="s">
        <v>124</v>
      </c>
      <c r="BJ1616" s="314" t="s">
        <v>138</v>
      </c>
      <c r="BK1616" s="24"/>
      <c r="BL1616" s="24"/>
      <c r="BM1616" s="24"/>
      <c r="BN1616" s="24"/>
      <c r="BO1616" s="24"/>
      <c r="BP1616" s="24"/>
      <c r="BQ1616" s="24"/>
      <c r="BR1616" s="24"/>
      <c r="BS1616" s="24"/>
      <c r="BT1616" s="24"/>
      <c r="BU1616" s="24"/>
      <c r="BV1616" s="132" t="e">
        <f>IF(#REF!="COMPLETO","OK","PENDIENTES")</f>
        <v>#REF!</v>
      </c>
      <c r="BW1616" s="132"/>
      <c r="BX1616" s="132"/>
      <c r="BY1616" s="132"/>
      <c r="BZ1616" s="132"/>
      <c r="CA1616" s="132"/>
      <c r="CB1616" s="132"/>
      <c r="CC1616" s="269"/>
      <c r="CG1616" s="24" t="s">
        <v>105</v>
      </c>
      <c r="CH1616" s="24"/>
      <c r="CI1616" s="24"/>
      <c r="CJ1616" s="24"/>
    </row>
    <row r="1617" spans="1:88" ht="15" customHeight="1">
      <c r="A1617" s="18">
        <v>2021</v>
      </c>
      <c r="B1617" s="18" t="str">
        <f>+INDEX(BDD!F:F,MATCH(P1617,BDD!D:D,0))&amp;"-"&amp;INDEX(BDD!E:E,MATCH(P1617,BDD!D:D,0))</f>
        <v>O-S</v>
      </c>
      <c r="C1617" s="360" t="s">
        <v>484</v>
      </c>
      <c r="D1617" s="150" t="s">
        <v>77</v>
      </c>
      <c r="E1617" s="132"/>
      <c r="F1617" s="24"/>
      <c r="G1617" s="346">
        <v>8000001668</v>
      </c>
      <c r="H1617" s="18" t="s">
        <v>6208</v>
      </c>
      <c r="I1617" s="329"/>
      <c r="J1617" s="346">
        <v>8000001668</v>
      </c>
      <c r="K1617" s="24"/>
      <c r="L1617" s="24">
        <v>44621</v>
      </c>
      <c r="M1617" s="24">
        <v>44621</v>
      </c>
      <c r="N1617" s="340" t="s">
        <v>486</v>
      </c>
      <c r="O1617" s="334">
        <v>203553</v>
      </c>
      <c r="P1617" s="25" t="s">
        <v>386</v>
      </c>
      <c r="Q1617" s="127" t="s">
        <v>303</v>
      </c>
      <c r="R1617" s="232" t="s">
        <v>6209</v>
      </c>
      <c r="S1617" s="89">
        <v>44454</v>
      </c>
      <c r="T1617" s="36" t="s">
        <v>19</v>
      </c>
      <c r="U1617" s="125"/>
      <c r="V1617" s="147" t="s">
        <v>6210</v>
      </c>
      <c r="W1617" s="129"/>
      <c r="X1617" s="88">
        <v>44620</v>
      </c>
      <c r="Y1617" s="130" t="s">
        <v>20</v>
      </c>
      <c r="Z1617" s="133" t="s">
        <v>60</v>
      </c>
      <c r="AA1617" s="133"/>
      <c r="AB1617" s="241">
        <v>107.82</v>
      </c>
      <c r="AC1617" s="134">
        <v>523.57000000000005</v>
      </c>
      <c r="AD1617" s="134"/>
      <c r="AE1617" s="403">
        <f t="shared" si="95"/>
        <v>56451.3174</v>
      </c>
      <c r="AF1617" s="132">
        <v>4</v>
      </c>
      <c r="AG1617" s="130" t="s">
        <v>5</v>
      </c>
      <c r="AH1617" s="130"/>
      <c r="AI1617" s="130" t="s">
        <v>100</v>
      </c>
      <c r="AJ1617" s="130"/>
      <c r="AK1617" s="130"/>
      <c r="AL1617" s="135" t="s">
        <v>6211</v>
      </c>
      <c r="AM1617" s="314"/>
      <c r="AN1617" s="26">
        <f>BL1617</f>
        <v>0</v>
      </c>
      <c r="AO1617" s="26">
        <v>44597</v>
      </c>
      <c r="AP1617" s="26">
        <f>AQ1617</f>
        <v>44616</v>
      </c>
      <c r="AQ1617" s="26">
        <v>44616</v>
      </c>
      <c r="AR1617" s="24">
        <f>AQ1617+4</f>
        <v>44620</v>
      </c>
      <c r="AS1617" s="24"/>
      <c r="AT1617" s="24">
        <v>44622</v>
      </c>
      <c r="AU1617" s="418">
        <f t="shared" si="96"/>
        <v>3</v>
      </c>
      <c r="AV1617" s="418">
        <f t="shared" si="97"/>
        <v>2022</v>
      </c>
      <c r="AW1617" s="24"/>
      <c r="AX1617" s="41"/>
      <c r="AY1617" s="41" t="s">
        <v>8</v>
      </c>
      <c r="AZ1617" s="24" t="s">
        <v>37</v>
      </c>
      <c r="BA1617" s="24"/>
      <c r="BB1617" s="24" t="s">
        <v>3291</v>
      </c>
      <c r="BC1617" s="128" t="s">
        <v>6212</v>
      </c>
      <c r="BD1617" s="24">
        <v>44597</v>
      </c>
      <c r="BE1617" s="24" t="s">
        <v>2668</v>
      </c>
      <c r="BF1617" s="24" t="s">
        <v>2668</v>
      </c>
      <c r="BG1617" s="132" t="s">
        <v>29</v>
      </c>
      <c r="BH1617" s="132"/>
      <c r="BI1617" s="314" t="s">
        <v>3</v>
      </c>
      <c r="BJ1617" s="314" t="s">
        <v>148</v>
      </c>
      <c r="BK1617" s="24"/>
      <c r="BL1617" s="24"/>
      <c r="BM1617" s="24"/>
      <c r="BN1617" s="24"/>
      <c r="BO1617" s="24">
        <f>AQ1617+14</f>
        <v>44630</v>
      </c>
      <c r="BP1617" s="24"/>
      <c r="BQ1617" s="24" t="s">
        <v>6213</v>
      </c>
      <c r="BR1617" s="24">
        <v>44616</v>
      </c>
      <c r="BS1617" s="24" t="s">
        <v>26</v>
      </c>
      <c r="BT1617" s="24" t="s">
        <v>11</v>
      </c>
      <c r="BU1617" s="24"/>
      <c r="BV1617" s="132" t="e">
        <f>IF(#REF!="COMPLETO","OK","PENDIENTE")</f>
        <v>#REF!</v>
      </c>
      <c r="BW1617" s="132"/>
      <c r="BX1617" s="132"/>
      <c r="BY1617" s="132"/>
      <c r="BZ1617" s="132"/>
      <c r="CA1617" s="132"/>
      <c r="CB1617" s="132"/>
      <c r="CC1617" s="269"/>
      <c r="CG1617" s="24" t="s">
        <v>105</v>
      </c>
      <c r="CH1617" s="24"/>
      <c r="CI1617" s="24"/>
      <c r="CJ1617" s="24"/>
    </row>
    <row r="1618" spans="1:88" ht="15" customHeight="1">
      <c r="A1618" s="18">
        <v>2021</v>
      </c>
      <c r="B1618" s="18" t="str">
        <f>+INDEX(BDD!F:F,MATCH(P1618,BDD!D:D,0))&amp;"-"&amp;INDEX(BDD!E:E,MATCH(P1618,BDD!D:D,0))</f>
        <v>O-S</v>
      </c>
      <c r="C1618" s="360" t="s">
        <v>484</v>
      </c>
      <c r="D1618" s="150" t="s">
        <v>77</v>
      </c>
      <c r="E1618" s="132"/>
      <c r="F1618" s="24"/>
      <c r="G1618" s="346">
        <v>8000001669</v>
      </c>
      <c r="H1618" s="18" t="s">
        <v>6214</v>
      </c>
      <c r="I1618" s="329"/>
      <c r="J1618" s="346">
        <v>8000001669</v>
      </c>
      <c r="K1618" s="24"/>
      <c r="L1618" s="24">
        <v>44657</v>
      </c>
      <c r="M1618" s="24">
        <v>44657</v>
      </c>
      <c r="N1618" s="340" t="s">
        <v>486</v>
      </c>
      <c r="O1618" s="334">
        <v>203553</v>
      </c>
      <c r="P1618" s="25" t="s">
        <v>386</v>
      </c>
      <c r="Q1618" s="127" t="s">
        <v>303</v>
      </c>
      <c r="R1618" s="232" t="s">
        <v>6215</v>
      </c>
      <c r="S1618" s="89">
        <v>44423</v>
      </c>
      <c r="T1618" s="36" t="s">
        <v>19</v>
      </c>
      <c r="U1618" s="125"/>
      <c r="V1618" s="147" t="s">
        <v>6216</v>
      </c>
      <c r="W1618" s="129"/>
      <c r="X1618" s="88">
        <v>44639</v>
      </c>
      <c r="Y1618" s="130" t="s">
        <v>20</v>
      </c>
      <c r="Z1618" s="133" t="s">
        <v>60</v>
      </c>
      <c r="AA1618" s="133" t="s">
        <v>944</v>
      </c>
      <c r="AB1618" s="257">
        <v>26.98</v>
      </c>
      <c r="AC1618" s="134">
        <v>650.17999999999995</v>
      </c>
      <c r="AD1618" s="134"/>
      <c r="AE1618" s="403">
        <f t="shared" si="95"/>
        <v>17541.856400000001</v>
      </c>
      <c r="AF1618" s="132">
        <v>1</v>
      </c>
      <c r="AG1618" s="130" t="s">
        <v>5</v>
      </c>
      <c r="AH1618" s="130"/>
      <c r="AI1618" s="130" t="s">
        <v>100</v>
      </c>
      <c r="AJ1618" s="130" t="s">
        <v>944</v>
      </c>
      <c r="AK1618" s="130" t="s">
        <v>5634</v>
      </c>
      <c r="AL1618" s="135" t="s">
        <v>6211</v>
      </c>
      <c r="AM1618" s="314"/>
      <c r="AN1618" s="26">
        <f>BL1618</f>
        <v>0</v>
      </c>
      <c r="AO1618" s="26">
        <v>44597</v>
      </c>
      <c r="AP1618" s="26">
        <f>AQ1618</f>
        <v>44654</v>
      </c>
      <c r="AQ1618" s="26">
        <v>44654</v>
      </c>
      <c r="AR1618" s="24">
        <f>AQ1618+3</f>
        <v>44657</v>
      </c>
      <c r="AS1618" s="24"/>
      <c r="AT1618" s="24">
        <v>44657</v>
      </c>
      <c r="AU1618" s="418">
        <f t="shared" si="96"/>
        <v>4</v>
      </c>
      <c r="AV1618" s="418">
        <f t="shared" si="97"/>
        <v>2022</v>
      </c>
      <c r="AW1618" s="24"/>
      <c r="AX1618" s="24" t="s">
        <v>6218</v>
      </c>
      <c r="AY1618" s="24" t="s">
        <v>8</v>
      </c>
      <c r="AZ1618" s="24" t="s">
        <v>62</v>
      </c>
      <c r="BA1618" s="24"/>
      <c r="BB1618" s="24" t="s">
        <v>3264</v>
      </c>
      <c r="BC1618" s="232" t="s">
        <v>6217</v>
      </c>
      <c r="BD1618" s="24">
        <v>44597</v>
      </c>
      <c r="BE1618" s="24" t="s">
        <v>5944</v>
      </c>
      <c r="BF1618" s="24" t="s">
        <v>1938</v>
      </c>
      <c r="BG1618" s="135" t="s">
        <v>29</v>
      </c>
      <c r="BH1618" s="135" t="s">
        <v>6219</v>
      </c>
      <c r="BI1618" s="314" t="s">
        <v>3</v>
      </c>
      <c r="BJ1618" s="314" t="s">
        <v>148</v>
      </c>
      <c r="BK1618" s="24"/>
      <c r="BL1618" s="24"/>
      <c r="BM1618" s="24"/>
      <c r="BN1618" s="24"/>
      <c r="BO1618" s="24">
        <f>AQ1618+15</f>
        <v>44669</v>
      </c>
      <c r="BP1618" s="24"/>
      <c r="BQ1618" s="24" t="s">
        <v>6220</v>
      </c>
      <c r="BR1618" s="24">
        <v>44650</v>
      </c>
      <c r="BS1618" s="24" t="s">
        <v>38</v>
      </c>
      <c r="BT1618" s="24" t="s">
        <v>11</v>
      </c>
      <c r="BU1618" s="24"/>
      <c r="BV1618" s="132" t="e">
        <f>IF(#REF!="COMPLETO","OK","PENDIENTE")</f>
        <v>#REF!</v>
      </c>
      <c r="BW1618" s="132"/>
      <c r="BX1618" s="132"/>
      <c r="BY1618" s="132"/>
      <c r="BZ1618" s="132"/>
      <c r="CA1618" s="132"/>
      <c r="CB1618" s="132"/>
      <c r="CC1618" s="294" t="s">
        <v>6221</v>
      </c>
      <c r="CG1618" s="24" t="s">
        <v>105</v>
      </c>
      <c r="CH1618" s="24"/>
      <c r="CI1618" s="24"/>
      <c r="CJ1618" s="24"/>
    </row>
    <row r="1619" spans="1:88" ht="15" customHeight="1">
      <c r="A1619" s="18">
        <v>2021</v>
      </c>
      <c r="B1619" s="18" t="str">
        <f>+INDEX(BDD!F:F,MATCH(P1619,BDD!D:D,0))&amp;"-"&amp;INDEX(BDD!E:E,MATCH(P1619,BDD!D:D,0))</f>
        <v>T-S</v>
      </c>
      <c r="C1619" s="360" t="s">
        <v>484</v>
      </c>
      <c r="D1619" s="150" t="s">
        <v>77</v>
      </c>
      <c r="E1619" s="132"/>
      <c r="F1619" s="24"/>
      <c r="G1619" s="346">
        <v>8000001539</v>
      </c>
      <c r="H1619" s="18" t="s">
        <v>6222</v>
      </c>
      <c r="I1619" s="329"/>
      <c r="J1619" s="346">
        <v>8000001539</v>
      </c>
      <c r="K1619" s="24"/>
      <c r="L1619" s="24">
        <v>44469</v>
      </c>
      <c r="M1619" s="24">
        <v>44470</v>
      </c>
      <c r="N1619" s="340" t="s">
        <v>486</v>
      </c>
      <c r="O1619" s="334">
        <v>208067</v>
      </c>
      <c r="P1619" s="25" t="s">
        <v>383</v>
      </c>
      <c r="Q1619" s="127" t="s">
        <v>303</v>
      </c>
      <c r="R1619" s="232" t="s">
        <v>6223</v>
      </c>
      <c r="S1619" s="89">
        <v>44392</v>
      </c>
      <c r="T1619" s="36">
        <v>30</v>
      </c>
      <c r="U1619" s="125" t="s">
        <v>131</v>
      </c>
      <c r="V1619" s="147" t="s">
        <v>6224</v>
      </c>
      <c r="W1619" s="129"/>
      <c r="X1619" s="88">
        <f>+BD1619+T1619</f>
        <v>44483</v>
      </c>
      <c r="Y1619" s="130" t="s">
        <v>20</v>
      </c>
      <c r="Z1619" s="133" t="s">
        <v>60</v>
      </c>
      <c r="AA1619" s="133"/>
      <c r="AB1619" s="241">
        <v>270</v>
      </c>
      <c r="AC1619" s="134">
        <v>296.06</v>
      </c>
      <c r="AD1619" s="134"/>
      <c r="AE1619" s="403">
        <f t="shared" si="95"/>
        <v>79936.2</v>
      </c>
      <c r="AF1619" s="132">
        <v>10</v>
      </c>
      <c r="AG1619" s="130" t="s">
        <v>5</v>
      </c>
      <c r="AH1619" s="130"/>
      <c r="AI1619" s="130" t="s">
        <v>34</v>
      </c>
      <c r="AJ1619" s="130"/>
      <c r="AK1619" s="130"/>
      <c r="AL1619" s="256" t="s">
        <v>5917</v>
      </c>
      <c r="AM1619" s="314"/>
      <c r="AN1619" s="26">
        <f>BL1619</f>
        <v>0</v>
      </c>
      <c r="AO1619" s="26">
        <v>44453</v>
      </c>
      <c r="AP1619" s="26">
        <f>AQ1619</f>
        <v>44462</v>
      </c>
      <c r="AQ1619" s="26">
        <v>44462</v>
      </c>
      <c r="AR1619" s="24">
        <f>AP1619+4</f>
        <v>44466</v>
      </c>
      <c r="AS1619" s="24"/>
      <c r="AT1619" s="24">
        <v>44469</v>
      </c>
      <c r="AU1619" s="418">
        <f t="shared" si="96"/>
        <v>9</v>
      </c>
      <c r="AV1619" s="418">
        <f t="shared" si="97"/>
        <v>2021</v>
      </c>
      <c r="AW1619" s="24"/>
      <c r="AX1619" s="24"/>
      <c r="AY1619" s="24" t="s">
        <v>3415</v>
      </c>
      <c r="AZ1619" s="24" t="s">
        <v>37</v>
      </c>
      <c r="BA1619" s="24"/>
      <c r="BB1619" s="24" t="s">
        <v>3291</v>
      </c>
      <c r="BC1619" s="128" t="s">
        <v>6225</v>
      </c>
      <c r="BD1619" s="24">
        <v>44453</v>
      </c>
      <c r="BE1619" s="24" t="s">
        <v>3098</v>
      </c>
      <c r="BF1619" s="24" t="s">
        <v>3098</v>
      </c>
      <c r="BG1619" s="135" t="s">
        <v>64</v>
      </c>
      <c r="BH1619" s="135"/>
      <c r="BI1619" s="314" t="s">
        <v>124</v>
      </c>
      <c r="BJ1619" s="314" t="s">
        <v>138</v>
      </c>
      <c r="BK1619" s="24"/>
      <c r="BL1619" s="24"/>
      <c r="BM1619" s="24"/>
      <c r="BN1619" s="24"/>
      <c r="BO1619" s="24"/>
      <c r="BP1619" s="24"/>
      <c r="BQ1619" s="24"/>
      <c r="BR1619" s="24"/>
      <c r="BS1619" s="24"/>
      <c r="BT1619" s="24"/>
      <c r="BU1619" s="24"/>
      <c r="BV1619" s="132" t="e">
        <f>IF(#REF!="COMPLETO","OK","PENDIENTES")</f>
        <v>#REF!</v>
      </c>
      <c r="BW1619" s="132"/>
      <c r="BX1619" s="132"/>
      <c r="BY1619" s="132"/>
      <c r="BZ1619" s="132"/>
      <c r="CA1619" s="132"/>
      <c r="CB1619" s="132"/>
      <c r="CC1619" s="269"/>
      <c r="CG1619" s="24" t="s">
        <v>105</v>
      </c>
      <c r="CH1619" s="24"/>
      <c r="CI1619" s="24"/>
      <c r="CJ1619" s="24"/>
    </row>
    <row r="1620" spans="1:88" ht="15" customHeight="1">
      <c r="A1620" s="18">
        <v>2021</v>
      </c>
      <c r="B1620" s="18" t="str">
        <f>+INDEX(BDD!F:F,MATCH(P1620,BDD!D:D,0))&amp;"-"&amp;INDEX(BDD!E:E,MATCH(P1620,BDD!D:D,0))</f>
        <v>T-S</v>
      </c>
      <c r="C1620" s="360" t="s">
        <v>484</v>
      </c>
      <c r="D1620" s="150" t="s">
        <v>77</v>
      </c>
      <c r="E1620" s="132"/>
      <c r="F1620" s="24"/>
      <c r="G1620" s="346">
        <v>8000001472</v>
      </c>
      <c r="H1620" s="18" t="s">
        <v>6226</v>
      </c>
      <c r="I1620" s="329"/>
      <c r="J1620" s="346">
        <v>8000001472</v>
      </c>
      <c r="K1620" s="24"/>
      <c r="L1620" s="24">
        <v>44453</v>
      </c>
      <c r="M1620" s="24">
        <v>44456</v>
      </c>
      <c r="N1620" s="340" t="s">
        <v>486</v>
      </c>
      <c r="O1620" s="334">
        <v>208067</v>
      </c>
      <c r="P1620" s="25" t="s">
        <v>383</v>
      </c>
      <c r="Q1620" s="127" t="s">
        <v>303</v>
      </c>
      <c r="R1620" s="232" t="s">
        <v>6227</v>
      </c>
      <c r="S1620" s="89">
        <v>44392</v>
      </c>
      <c r="T1620" s="36">
        <v>30</v>
      </c>
      <c r="U1620" s="125" t="s">
        <v>131</v>
      </c>
      <c r="V1620" s="147" t="s">
        <v>6228</v>
      </c>
      <c r="W1620" s="129"/>
      <c r="X1620" s="88">
        <v>44464</v>
      </c>
      <c r="Y1620" s="130" t="s">
        <v>20</v>
      </c>
      <c r="Z1620" s="133" t="s">
        <v>60</v>
      </c>
      <c r="AA1620" s="133"/>
      <c r="AB1620" s="241">
        <v>54</v>
      </c>
      <c r="AC1620" s="134">
        <v>271.08</v>
      </c>
      <c r="AD1620" s="134"/>
      <c r="AE1620" s="403">
        <f t="shared" si="95"/>
        <v>14638.32</v>
      </c>
      <c r="AF1620" s="132">
        <v>2</v>
      </c>
      <c r="AG1620" s="130" t="s">
        <v>5</v>
      </c>
      <c r="AH1620" s="130"/>
      <c r="AI1620" s="130" t="s">
        <v>34</v>
      </c>
      <c r="AJ1620" s="130"/>
      <c r="AK1620" s="130"/>
      <c r="AL1620" s="256" t="s">
        <v>5917</v>
      </c>
      <c r="AM1620" s="314"/>
      <c r="AN1620" s="26"/>
      <c r="AO1620" s="26">
        <v>44428</v>
      </c>
      <c r="AP1620" s="26"/>
      <c r="AQ1620" s="26">
        <v>44443</v>
      </c>
      <c r="AR1620" s="41"/>
      <c r="AS1620" s="41"/>
      <c r="AT1620" s="24">
        <v>44448</v>
      </c>
      <c r="AU1620" s="418">
        <f t="shared" si="96"/>
        <v>9</v>
      </c>
      <c r="AV1620" s="418">
        <f t="shared" si="97"/>
        <v>2021</v>
      </c>
      <c r="AW1620" s="24"/>
      <c r="AX1620" s="24"/>
      <c r="AY1620" s="24" t="s">
        <v>3415</v>
      </c>
      <c r="AZ1620" s="24" t="s">
        <v>62</v>
      </c>
      <c r="BA1620" s="24"/>
      <c r="BB1620" s="24" t="s">
        <v>3264</v>
      </c>
      <c r="BC1620" s="128" t="s">
        <v>6229</v>
      </c>
      <c r="BD1620" s="24">
        <v>44428</v>
      </c>
      <c r="BE1620" s="24" t="s">
        <v>1806</v>
      </c>
      <c r="BF1620" s="24" t="s">
        <v>1938</v>
      </c>
      <c r="BG1620" s="135" t="s">
        <v>29</v>
      </c>
      <c r="BH1620" s="135"/>
      <c r="BI1620" s="314" t="s">
        <v>124</v>
      </c>
      <c r="BJ1620" s="314" t="s">
        <v>148</v>
      </c>
      <c r="BK1620" s="24"/>
      <c r="BL1620" s="24"/>
      <c r="BM1620" s="24"/>
      <c r="BN1620" s="24"/>
      <c r="BO1620" s="41"/>
      <c r="BP1620" s="41"/>
      <c r="BQ1620" s="41"/>
      <c r="BR1620" s="24"/>
      <c r="BS1620" s="41"/>
      <c r="BT1620" s="41"/>
      <c r="BU1620" s="41"/>
      <c r="BV1620" s="132" t="e">
        <f>IF(#REF!="COMPLETO","OK","PENDIENTES")</f>
        <v>#REF!</v>
      </c>
      <c r="BW1620" s="132"/>
      <c r="BX1620" s="132"/>
      <c r="BY1620" s="132"/>
      <c r="BZ1620" s="132"/>
      <c r="CA1620" s="132"/>
      <c r="CB1620" s="132"/>
      <c r="CC1620" s="269"/>
      <c r="CG1620" s="24" t="s">
        <v>105</v>
      </c>
      <c r="CH1620" s="24"/>
      <c r="CI1620" s="24"/>
      <c r="CJ1620" s="24"/>
    </row>
    <row r="1621" spans="1:88" ht="15" customHeight="1">
      <c r="A1621" s="18">
        <v>2021</v>
      </c>
      <c r="B1621" s="18" t="str">
        <f>+INDEX(BDD!F:F,MATCH(P1621,BDD!D:D,0))&amp;"-"&amp;INDEX(BDD!E:E,MATCH(P1621,BDD!D:D,0))</f>
        <v>T-S</v>
      </c>
      <c r="C1621" s="360" t="s">
        <v>484</v>
      </c>
      <c r="D1621" s="150" t="s">
        <v>77</v>
      </c>
      <c r="E1621" s="132"/>
      <c r="F1621" s="24"/>
      <c r="G1621" s="346">
        <v>8000001513</v>
      </c>
      <c r="H1621" s="18" t="s">
        <v>6230</v>
      </c>
      <c r="I1621" s="329"/>
      <c r="J1621" s="346">
        <v>8000001513</v>
      </c>
      <c r="K1621" s="24"/>
      <c r="L1621" s="24">
        <v>44445</v>
      </c>
      <c r="M1621" s="24">
        <v>44446</v>
      </c>
      <c r="N1621" s="340" t="s">
        <v>486</v>
      </c>
      <c r="O1621" s="334">
        <v>208067</v>
      </c>
      <c r="P1621" s="25" t="s">
        <v>383</v>
      </c>
      <c r="Q1621" s="127" t="s">
        <v>303</v>
      </c>
      <c r="R1621" s="232" t="s">
        <v>6231</v>
      </c>
      <c r="S1621" s="89">
        <v>44392</v>
      </c>
      <c r="T1621" s="36">
        <v>30</v>
      </c>
      <c r="U1621" s="125" t="s">
        <v>131</v>
      </c>
      <c r="V1621" s="147" t="s">
        <v>6232</v>
      </c>
      <c r="W1621" s="129"/>
      <c r="X1621" s="88">
        <f>+T1621+BD1621</f>
        <v>44461</v>
      </c>
      <c r="Y1621" s="130" t="s">
        <v>20</v>
      </c>
      <c r="Z1621" s="133" t="s">
        <v>60</v>
      </c>
      <c r="AA1621" s="133"/>
      <c r="AB1621" s="241">
        <v>135</v>
      </c>
      <c r="AC1621" s="134">
        <v>269</v>
      </c>
      <c r="AD1621" s="134"/>
      <c r="AE1621" s="403">
        <f t="shared" si="95"/>
        <v>36315</v>
      </c>
      <c r="AF1621" s="132">
        <v>5</v>
      </c>
      <c r="AG1621" s="130" t="s">
        <v>5</v>
      </c>
      <c r="AH1621" s="130"/>
      <c r="AI1621" s="130" t="s">
        <v>34</v>
      </c>
      <c r="AJ1621" s="130"/>
      <c r="AK1621" s="130"/>
      <c r="AL1621" s="256" t="s">
        <v>5917</v>
      </c>
      <c r="AM1621" s="314"/>
      <c r="AN1621" s="26"/>
      <c r="AO1621" s="26">
        <v>44431</v>
      </c>
      <c r="AP1621" s="26"/>
      <c r="AQ1621" s="26">
        <v>44439</v>
      </c>
      <c r="AR1621" s="24"/>
      <c r="AS1621" s="24"/>
      <c r="AT1621" s="24">
        <v>44442</v>
      </c>
      <c r="AU1621" s="418">
        <f t="shared" si="96"/>
        <v>9</v>
      </c>
      <c r="AV1621" s="418">
        <f t="shared" si="97"/>
        <v>2021</v>
      </c>
      <c r="AW1621" s="24"/>
      <c r="AX1621" s="24"/>
      <c r="AY1621" s="24" t="s">
        <v>3415</v>
      </c>
      <c r="AZ1621" s="24" t="s">
        <v>37</v>
      </c>
      <c r="BA1621" s="24"/>
      <c r="BB1621" s="24" t="s">
        <v>2956</v>
      </c>
      <c r="BC1621" s="128" t="s">
        <v>6233</v>
      </c>
      <c r="BD1621" s="24">
        <v>44431</v>
      </c>
      <c r="BE1621" s="24" t="s">
        <v>4714</v>
      </c>
      <c r="BF1621" s="24" t="s">
        <v>4714</v>
      </c>
      <c r="BG1621" s="135" t="s">
        <v>41</v>
      </c>
      <c r="BH1621" s="135"/>
      <c r="BI1621" s="314" t="s">
        <v>124</v>
      </c>
      <c r="BJ1621" s="314" t="s">
        <v>148</v>
      </c>
      <c r="BK1621" s="24"/>
      <c r="BL1621" s="24"/>
      <c r="BM1621" s="24"/>
      <c r="BN1621" s="24"/>
      <c r="BO1621" s="24"/>
      <c r="BP1621" s="24"/>
      <c r="BQ1621" s="24"/>
      <c r="BR1621" s="24"/>
      <c r="BS1621" s="24"/>
      <c r="BT1621" s="24"/>
      <c r="BU1621" s="24"/>
      <c r="BV1621" s="132" t="e">
        <f>IF(#REF!="COMPLETO","OK","PENDIENTES")</f>
        <v>#REF!</v>
      </c>
      <c r="BW1621" s="132"/>
      <c r="BX1621" s="132"/>
      <c r="BY1621" s="132"/>
      <c r="BZ1621" s="132"/>
      <c r="CA1621" s="132"/>
      <c r="CB1621" s="132"/>
      <c r="CC1621" s="269" t="s">
        <v>6234</v>
      </c>
      <c r="CG1621" s="24" t="s">
        <v>105</v>
      </c>
      <c r="CH1621" s="24"/>
      <c r="CI1621" s="24"/>
      <c r="CJ1621" s="24"/>
    </row>
    <row r="1622" spans="1:88" ht="15" customHeight="1">
      <c r="A1622" s="18">
        <v>2021</v>
      </c>
      <c r="B1622" s="18" t="str">
        <f>+INDEX(BDD!F:F,MATCH(P1622,BDD!D:D,0))&amp;"-"&amp;INDEX(BDD!E:E,MATCH(P1622,BDD!D:D,0))</f>
        <v>T-S</v>
      </c>
      <c r="C1622" s="360" t="s">
        <v>484</v>
      </c>
      <c r="D1622" s="150" t="s">
        <v>77</v>
      </c>
      <c r="E1622" s="132"/>
      <c r="F1622" s="24"/>
      <c r="G1622" s="346">
        <v>8000001478</v>
      </c>
      <c r="H1622" s="18" t="s">
        <v>6235</v>
      </c>
      <c r="I1622" s="329"/>
      <c r="J1622" s="346">
        <v>8000001478</v>
      </c>
      <c r="K1622" s="24"/>
      <c r="L1622" s="24">
        <v>44453</v>
      </c>
      <c r="M1622" s="24">
        <v>44454</v>
      </c>
      <c r="N1622" s="340" t="s">
        <v>486</v>
      </c>
      <c r="O1622" s="334">
        <v>208067</v>
      </c>
      <c r="P1622" s="25" t="s">
        <v>383</v>
      </c>
      <c r="Q1622" s="127" t="s">
        <v>303</v>
      </c>
      <c r="R1622" s="232" t="s">
        <v>6236</v>
      </c>
      <c r="S1622" s="89">
        <v>44392</v>
      </c>
      <c r="T1622" s="36">
        <v>30</v>
      </c>
      <c r="U1622" s="125" t="s">
        <v>131</v>
      </c>
      <c r="V1622" s="147" t="s">
        <v>6237</v>
      </c>
      <c r="W1622" s="129"/>
      <c r="X1622" s="88">
        <v>44465</v>
      </c>
      <c r="Y1622" s="130" t="s">
        <v>20</v>
      </c>
      <c r="Z1622" s="133" t="s">
        <v>60</v>
      </c>
      <c r="AA1622" s="133"/>
      <c r="AB1622" s="241">
        <v>135</v>
      </c>
      <c r="AC1622" s="134">
        <v>269</v>
      </c>
      <c r="AD1622" s="134"/>
      <c r="AE1622" s="403">
        <f t="shared" si="95"/>
        <v>36315</v>
      </c>
      <c r="AF1622" s="132">
        <v>5</v>
      </c>
      <c r="AG1622" s="130" t="s">
        <v>5</v>
      </c>
      <c r="AH1622" s="130"/>
      <c r="AI1622" s="130" t="s">
        <v>34</v>
      </c>
      <c r="AJ1622" s="130"/>
      <c r="AK1622" s="130"/>
      <c r="AL1622" s="256" t="s">
        <v>5917</v>
      </c>
      <c r="AM1622" s="314"/>
      <c r="AN1622" s="26"/>
      <c r="AO1622" s="26">
        <v>44433</v>
      </c>
      <c r="AP1622" s="26"/>
      <c r="AQ1622" s="26">
        <v>44441</v>
      </c>
      <c r="AR1622" s="24"/>
      <c r="AS1622" s="24"/>
      <c r="AT1622" s="24">
        <v>44449</v>
      </c>
      <c r="AU1622" s="418">
        <f t="shared" si="96"/>
        <v>9</v>
      </c>
      <c r="AV1622" s="418">
        <f t="shared" si="97"/>
        <v>2021</v>
      </c>
      <c r="AW1622" s="24"/>
      <c r="AX1622" s="24"/>
      <c r="AY1622" s="24" t="s">
        <v>3415</v>
      </c>
      <c r="AZ1622" s="24" t="s">
        <v>37</v>
      </c>
      <c r="BA1622" s="24"/>
      <c r="BB1622" s="24" t="s">
        <v>2956</v>
      </c>
      <c r="BC1622" s="128" t="s">
        <v>6238</v>
      </c>
      <c r="BD1622" s="24">
        <v>44433</v>
      </c>
      <c r="BE1622" s="24" t="s">
        <v>870</v>
      </c>
      <c r="BF1622" s="24" t="s">
        <v>870</v>
      </c>
      <c r="BG1622" s="135" t="s">
        <v>64</v>
      </c>
      <c r="BH1622" s="135"/>
      <c r="BI1622" s="314" t="s">
        <v>124</v>
      </c>
      <c r="BJ1622" s="314" t="s">
        <v>138</v>
      </c>
      <c r="BK1622" s="24"/>
      <c r="BL1622" s="24"/>
      <c r="BM1622" s="24"/>
      <c r="BN1622" s="24"/>
      <c r="BO1622" s="24"/>
      <c r="BP1622" s="24"/>
      <c r="BQ1622" s="24"/>
      <c r="BR1622" s="24"/>
      <c r="BS1622" s="24"/>
      <c r="BT1622" s="24"/>
      <c r="BU1622" s="24"/>
      <c r="BV1622" s="132" t="e">
        <f>IF(#REF!="COMPLETO","OK","PENDIENTES")</f>
        <v>#REF!</v>
      </c>
      <c r="BW1622" s="132"/>
      <c r="BX1622" s="132"/>
      <c r="BY1622" s="132"/>
      <c r="BZ1622" s="132"/>
      <c r="CA1622" s="132"/>
      <c r="CB1622" s="132"/>
      <c r="CC1622" s="269"/>
      <c r="CG1622" s="24" t="s">
        <v>105</v>
      </c>
      <c r="CH1622" s="24"/>
      <c r="CI1622" s="24"/>
      <c r="CJ1622" s="24"/>
    </row>
    <row r="1623" spans="1:88" ht="15" customHeight="1">
      <c r="A1623" s="18">
        <v>2021</v>
      </c>
      <c r="B1623" s="18" t="str">
        <f>+INDEX(BDD!F:F,MATCH(P1623,BDD!D:D,0))&amp;"-"&amp;INDEX(BDD!E:E,MATCH(P1623,BDD!D:D,0))</f>
        <v>T-S</v>
      </c>
      <c r="C1623" s="360" t="s">
        <v>484</v>
      </c>
      <c r="D1623" s="150" t="s">
        <v>77</v>
      </c>
      <c r="E1623" s="132"/>
      <c r="F1623" s="24"/>
      <c r="G1623" s="346">
        <v>8000001502</v>
      </c>
      <c r="H1623" s="18" t="s">
        <v>6239</v>
      </c>
      <c r="I1623" s="329"/>
      <c r="J1623" s="346">
        <v>8000001502</v>
      </c>
      <c r="K1623" s="24"/>
      <c r="L1623" s="24">
        <v>44459</v>
      </c>
      <c r="M1623" s="24">
        <v>44461</v>
      </c>
      <c r="N1623" s="340" t="s">
        <v>486</v>
      </c>
      <c r="O1623" s="334">
        <v>208067</v>
      </c>
      <c r="P1623" s="25" t="s">
        <v>383</v>
      </c>
      <c r="Q1623" s="127" t="s">
        <v>303</v>
      </c>
      <c r="R1623" s="232" t="s">
        <v>6240</v>
      </c>
      <c r="S1623" s="89">
        <v>44392</v>
      </c>
      <c r="T1623" s="36">
        <v>30</v>
      </c>
      <c r="U1623" s="125" t="s">
        <v>131</v>
      </c>
      <c r="V1623" s="147" t="s">
        <v>6241</v>
      </c>
      <c r="W1623" s="129"/>
      <c r="X1623" s="88">
        <v>44469</v>
      </c>
      <c r="Y1623" s="130" t="s">
        <v>20</v>
      </c>
      <c r="Z1623" s="133" t="s">
        <v>60</v>
      </c>
      <c r="AA1623" s="133"/>
      <c r="AB1623" s="241">
        <v>270</v>
      </c>
      <c r="AC1623" s="134">
        <v>269</v>
      </c>
      <c r="AD1623" s="134"/>
      <c r="AE1623" s="403">
        <f t="shared" si="95"/>
        <v>72630</v>
      </c>
      <c r="AF1623" s="132">
        <v>10</v>
      </c>
      <c r="AG1623" s="130" t="s">
        <v>5</v>
      </c>
      <c r="AH1623" s="130"/>
      <c r="AI1623" s="130" t="s">
        <v>34</v>
      </c>
      <c r="AJ1623" s="130"/>
      <c r="AK1623" s="130"/>
      <c r="AL1623" s="256" t="s">
        <v>5917</v>
      </c>
      <c r="AM1623" s="314"/>
      <c r="AN1623" s="26"/>
      <c r="AO1623" s="26">
        <v>44440</v>
      </c>
      <c r="AP1623" s="26"/>
      <c r="AQ1623" s="26">
        <v>44449</v>
      </c>
      <c r="AR1623" s="24"/>
      <c r="AS1623" s="24"/>
      <c r="AT1623" s="24">
        <v>44460</v>
      </c>
      <c r="AU1623" s="418">
        <f t="shared" si="96"/>
        <v>9</v>
      </c>
      <c r="AV1623" s="418">
        <f t="shared" si="97"/>
        <v>2021</v>
      </c>
      <c r="AW1623" s="24"/>
      <c r="AX1623" s="24"/>
      <c r="AY1623" s="24" t="s">
        <v>3415</v>
      </c>
      <c r="AZ1623" s="24" t="s">
        <v>37</v>
      </c>
      <c r="BA1623" s="24"/>
      <c r="BB1623" s="24" t="s">
        <v>3291</v>
      </c>
      <c r="BC1623" s="128" t="s">
        <v>6242</v>
      </c>
      <c r="BD1623" s="24">
        <v>44440</v>
      </c>
      <c r="BE1623" s="24" t="s">
        <v>5802</v>
      </c>
      <c r="BF1623" s="24" t="s">
        <v>5802</v>
      </c>
      <c r="BG1623" s="135" t="s">
        <v>64</v>
      </c>
      <c r="BH1623" s="135"/>
      <c r="BI1623" s="314" t="s">
        <v>124</v>
      </c>
      <c r="BJ1623" s="314" t="s">
        <v>138</v>
      </c>
      <c r="BK1623" s="24"/>
      <c r="BL1623" s="24"/>
      <c r="BM1623" s="24"/>
      <c r="BN1623" s="24"/>
      <c r="BO1623" s="24"/>
      <c r="BP1623" s="24"/>
      <c r="BQ1623" s="24"/>
      <c r="BR1623" s="24"/>
      <c r="BS1623" s="24"/>
      <c r="BT1623" s="24"/>
      <c r="BU1623" s="24"/>
      <c r="BV1623" s="132" t="e">
        <f>IF(#REF!="COMPLETO","OK","PENDIENTES")</f>
        <v>#REF!</v>
      </c>
      <c r="BW1623" s="132"/>
      <c r="BX1623" s="132"/>
      <c r="BY1623" s="132"/>
      <c r="BZ1623" s="132"/>
      <c r="CA1623" s="132"/>
      <c r="CB1623" s="132"/>
      <c r="CC1623" s="269"/>
      <c r="CG1623" s="24" t="s">
        <v>105</v>
      </c>
      <c r="CH1623" s="24"/>
      <c r="CI1623" s="24"/>
      <c r="CJ1623" s="24"/>
    </row>
    <row r="1624" spans="1:88" ht="15" customHeight="1">
      <c r="A1624" s="18">
        <v>2021</v>
      </c>
      <c r="B1624" s="18" t="str">
        <f>+INDEX(BDD!F:F,MATCH(P1624,BDD!D:D,0))&amp;"-"&amp;INDEX(BDD!E:E,MATCH(P1624,BDD!D:D,0))</f>
        <v>T-S</v>
      </c>
      <c r="C1624" s="360" t="s">
        <v>484</v>
      </c>
      <c r="D1624" s="150" t="s">
        <v>77</v>
      </c>
      <c r="E1624" s="132"/>
      <c r="F1624" s="24"/>
      <c r="G1624" s="346">
        <v>8000001527</v>
      </c>
      <c r="H1624" s="18" t="s">
        <v>6243</v>
      </c>
      <c r="I1624" s="329"/>
      <c r="J1624" s="346">
        <v>8000001527</v>
      </c>
      <c r="K1624" s="24"/>
      <c r="L1624" s="24">
        <v>44459</v>
      </c>
      <c r="M1624" s="24">
        <v>44461</v>
      </c>
      <c r="N1624" s="340" t="s">
        <v>486</v>
      </c>
      <c r="O1624" s="334">
        <v>208067</v>
      </c>
      <c r="P1624" s="25" t="s">
        <v>383</v>
      </c>
      <c r="Q1624" s="127" t="s">
        <v>303</v>
      </c>
      <c r="R1624" s="232" t="s">
        <v>6244</v>
      </c>
      <c r="S1624" s="89">
        <v>44423</v>
      </c>
      <c r="T1624" s="36">
        <v>30</v>
      </c>
      <c r="U1624" s="125" t="s">
        <v>131</v>
      </c>
      <c r="V1624" s="147" t="s">
        <v>6245</v>
      </c>
      <c r="W1624" s="129"/>
      <c r="X1624" s="88">
        <v>44483</v>
      </c>
      <c r="Y1624" s="130" t="s">
        <v>20</v>
      </c>
      <c r="Z1624" s="133" t="s">
        <v>60</v>
      </c>
      <c r="AA1624" s="133"/>
      <c r="AB1624" s="241">
        <v>270</v>
      </c>
      <c r="AC1624" s="134">
        <v>296.06</v>
      </c>
      <c r="AD1624" s="134"/>
      <c r="AE1624" s="403">
        <f t="shared" si="95"/>
        <v>79936.2</v>
      </c>
      <c r="AF1624" s="132">
        <v>10</v>
      </c>
      <c r="AG1624" s="130" t="s">
        <v>5</v>
      </c>
      <c r="AH1624" s="130"/>
      <c r="AI1624" s="130" t="s">
        <v>34</v>
      </c>
      <c r="AJ1624" s="130"/>
      <c r="AK1624" s="130"/>
      <c r="AL1624" s="135" t="s">
        <v>6211</v>
      </c>
      <c r="AM1624" s="314"/>
      <c r="AN1624" s="26"/>
      <c r="AO1624" s="26">
        <v>44449</v>
      </c>
      <c r="AP1624" s="26"/>
      <c r="AQ1624" s="26">
        <v>44454</v>
      </c>
      <c r="AR1624" s="24"/>
      <c r="AS1624" s="24"/>
      <c r="AT1624" s="24">
        <v>44460</v>
      </c>
      <c r="AU1624" s="418">
        <f t="shared" si="96"/>
        <v>9</v>
      </c>
      <c r="AV1624" s="418">
        <f t="shared" si="97"/>
        <v>2021</v>
      </c>
      <c r="AW1624" s="24"/>
      <c r="AX1624" s="24"/>
      <c r="AY1624" s="24" t="s">
        <v>3415</v>
      </c>
      <c r="AZ1624" s="24" t="s">
        <v>9</v>
      </c>
      <c r="BA1624" s="24"/>
      <c r="BB1624" s="24" t="s">
        <v>3264</v>
      </c>
      <c r="BC1624" s="128" t="s">
        <v>6246</v>
      </c>
      <c r="BD1624" s="24">
        <v>44449</v>
      </c>
      <c r="BE1624" s="24" t="s">
        <v>947</v>
      </c>
      <c r="BF1624" s="24" t="s">
        <v>947</v>
      </c>
      <c r="BG1624" s="135" t="s">
        <v>64</v>
      </c>
      <c r="BH1624" s="135"/>
      <c r="BI1624" s="314" t="s">
        <v>124</v>
      </c>
      <c r="BJ1624" s="314" t="s">
        <v>138</v>
      </c>
      <c r="BK1624" s="24"/>
      <c r="BL1624" s="24"/>
      <c r="BM1624" s="24"/>
      <c r="BN1624" s="24"/>
      <c r="BO1624" s="24"/>
      <c r="BP1624" s="24"/>
      <c r="BQ1624" s="24"/>
      <c r="BR1624" s="24"/>
      <c r="BS1624" s="24"/>
      <c r="BT1624" s="24"/>
      <c r="BU1624" s="24"/>
      <c r="BV1624" s="132" t="e">
        <f>IF(#REF!="COMPLETO","OK","PENDIENTES")</f>
        <v>#REF!</v>
      </c>
      <c r="BW1624" s="132"/>
      <c r="BX1624" s="132"/>
      <c r="BY1624" s="132"/>
      <c r="BZ1624" s="132"/>
      <c r="CA1624" s="132"/>
      <c r="CB1624" s="132"/>
      <c r="CC1624" s="269"/>
      <c r="CG1624" s="24" t="s">
        <v>105</v>
      </c>
      <c r="CH1624" s="24"/>
      <c r="CI1624" s="24"/>
      <c r="CJ1624" s="24"/>
    </row>
    <row r="1625" spans="1:88" ht="15" customHeight="1">
      <c r="A1625" s="18">
        <v>2021</v>
      </c>
      <c r="B1625" s="18" t="str">
        <f>+INDEX(BDD!F:F,MATCH(P1625,BDD!D:D,0))&amp;"-"&amp;INDEX(BDD!E:E,MATCH(P1625,BDD!D:D,0))</f>
        <v>T-S</v>
      </c>
      <c r="C1625" s="360" t="s">
        <v>484</v>
      </c>
      <c r="D1625" s="150" t="s">
        <v>77</v>
      </c>
      <c r="E1625" s="132"/>
      <c r="F1625" s="24"/>
      <c r="G1625" s="346">
        <v>8000001564</v>
      </c>
      <c r="H1625" s="18" t="s">
        <v>6247</v>
      </c>
      <c r="I1625" s="329"/>
      <c r="J1625" s="346">
        <v>8000001564</v>
      </c>
      <c r="K1625" s="24"/>
      <c r="L1625" s="24">
        <v>44481</v>
      </c>
      <c r="M1625" s="24">
        <v>44482</v>
      </c>
      <c r="N1625" s="340" t="s">
        <v>486</v>
      </c>
      <c r="O1625" s="334">
        <v>208067</v>
      </c>
      <c r="P1625" s="25" t="s">
        <v>383</v>
      </c>
      <c r="Q1625" s="127" t="s">
        <v>303</v>
      </c>
      <c r="R1625" s="232" t="s">
        <v>6248</v>
      </c>
      <c r="S1625" s="89">
        <v>44423</v>
      </c>
      <c r="T1625" s="36">
        <v>30</v>
      </c>
      <c r="U1625" s="125" t="s">
        <v>131</v>
      </c>
      <c r="V1625" s="147" t="s">
        <v>6249</v>
      </c>
      <c r="W1625" s="129"/>
      <c r="X1625" s="88">
        <v>44499</v>
      </c>
      <c r="Y1625" s="130" t="s">
        <v>20</v>
      </c>
      <c r="Z1625" s="133" t="s">
        <v>60</v>
      </c>
      <c r="AA1625" s="133"/>
      <c r="AB1625" s="241">
        <v>270</v>
      </c>
      <c r="AC1625" s="134">
        <v>296.06</v>
      </c>
      <c r="AD1625" s="134"/>
      <c r="AE1625" s="403">
        <f t="shared" si="95"/>
        <v>79936.2</v>
      </c>
      <c r="AF1625" s="132">
        <v>10</v>
      </c>
      <c r="AG1625" s="130" t="s">
        <v>5</v>
      </c>
      <c r="AH1625" s="130"/>
      <c r="AI1625" s="130" t="s">
        <v>34</v>
      </c>
      <c r="AJ1625" s="130"/>
      <c r="AK1625" s="130"/>
      <c r="AL1625" s="135" t="s">
        <v>6211</v>
      </c>
      <c r="AM1625" s="314"/>
      <c r="AN1625" s="26">
        <f>BL1625</f>
        <v>0</v>
      </c>
      <c r="AO1625" s="26">
        <v>44463</v>
      </c>
      <c r="AP1625" s="26">
        <f>AQ1625</f>
        <v>44468</v>
      </c>
      <c r="AQ1625" s="26">
        <v>44468</v>
      </c>
      <c r="AR1625" s="24">
        <f>AP1625+4</f>
        <v>44472</v>
      </c>
      <c r="AS1625" s="24"/>
      <c r="AT1625" s="24">
        <v>44480</v>
      </c>
      <c r="AU1625" s="418">
        <f t="shared" si="96"/>
        <v>10</v>
      </c>
      <c r="AV1625" s="418">
        <f t="shared" si="97"/>
        <v>2021</v>
      </c>
      <c r="AW1625" s="24"/>
      <c r="AX1625" s="24"/>
      <c r="AY1625" s="24" t="s">
        <v>3415</v>
      </c>
      <c r="AZ1625" s="24" t="s">
        <v>9</v>
      </c>
      <c r="BA1625" s="24"/>
      <c r="BB1625" s="24" t="s">
        <v>3519</v>
      </c>
      <c r="BC1625" s="128" t="s">
        <v>6250</v>
      </c>
      <c r="BD1625" s="24">
        <v>44463</v>
      </c>
      <c r="BE1625" s="24" t="s">
        <v>947</v>
      </c>
      <c r="BF1625" s="24" t="s">
        <v>947</v>
      </c>
      <c r="BG1625" s="135" t="s">
        <v>29</v>
      </c>
      <c r="BH1625" s="135"/>
      <c r="BI1625" s="314" t="s">
        <v>124</v>
      </c>
      <c r="BJ1625" s="314" t="s">
        <v>138</v>
      </c>
      <c r="BK1625" s="24"/>
      <c r="BL1625" s="24"/>
      <c r="BM1625" s="24"/>
      <c r="BN1625" s="24"/>
      <c r="BO1625" s="24"/>
      <c r="BP1625" s="24"/>
      <c r="BQ1625" s="24"/>
      <c r="BR1625" s="24"/>
      <c r="BS1625" s="24"/>
      <c r="BT1625" s="24"/>
      <c r="BU1625" s="24"/>
      <c r="BV1625" s="132" t="e">
        <f>IF(#REF!="COMPLETO","OK","PENDIENTES")</f>
        <v>#REF!</v>
      </c>
      <c r="BW1625" s="132"/>
      <c r="BX1625" s="132"/>
      <c r="BY1625" s="132"/>
      <c r="BZ1625" s="132"/>
      <c r="CA1625" s="132"/>
      <c r="CB1625" s="132"/>
      <c r="CC1625" s="269"/>
      <c r="CG1625" s="24" t="s">
        <v>105</v>
      </c>
      <c r="CH1625" s="24"/>
      <c r="CI1625" s="24"/>
      <c r="CJ1625" s="24"/>
    </row>
    <row r="1626" spans="1:88" ht="15" customHeight="1">
      <c r="A1626" s="18">
        <v>2021</v>
      </c>
      <c r="B1626" s="18" t="str">
        <f>+INDEX(BDD!F:F,MATCH(P1626,BDD!D:D,0))&amp;"-"&amp;INDEX(BDD!E:E,MATCH(P1626,BDD!D:D,0))</f>
        <v>T-S</v>
      </c>
      <c r="C1626" s="360" t="s">
        <v>484</v>
      </c>
      <c r="D1626" s="150" t="s">
        <v>77</v>
      </c>
      <c r="E1626" s="132"/>
      <c r="F1626" s="24"/>
      <c r="G1626" s="346">
        <v>8000001542</v>
      </c>
      <c r="H1626" s="18" t="s">
        <v>6251</v>
      </c>
      <c r="I1626" s="329"/>
      <c r="J1626" s="346">
        <v>8000001542</v>
      </c>
      <c r="K1626" s="24"/>
      <c r="L1626" s="24">
        <v>44469</v>
      </c>
      <c r="M1626" s="24">
        <v>44469</v>
      </c>
      <c r="N1626" s="340" t="s">
        <v>486</v>
      </c>
      <c r="O1626" s="334">
        <v>208067</v>
      </c>
      <c r="P1626" s="25" t="s">
        <v>383</v>
      </c>
      <c r="Q1626" s="127" t="s">
        <v>303</v>
      </c>
      <c r="R1626" s="232" t="s">
        <v>6252</v>
      </c>
      <c r="S1626" s="89">
        <v>44423</v>
      </c>
      <c r="T1626" s="36">
        <v>30</v>
      </c>
      <c r="U1626" s="125" t="s">
        <v>131</v>
      </c>
      <c r="V1626" s="147" t="s">
        <v>6253</v>
      </c>
      <c r="W1626" s="129"/>
      <c r="X1626" s="88">
        <f>+BD1626+T1626</f>
        <v>44487</v>
      </c>
      <c r="Y1626" s="130" t="s">
        <v>20</v>
      </c>
      <c r="Z1626" s="133" t="s">
        <v>60</v>
      </c>
      <c r="AA1626" s="133"/>
      <c r="AB1626" s="241">
        <v>270</v>
      </c>
      <c r="AC1626" s="134">
        <v>296.06</v>
      </c>
      <c r="AD1626" s="134"/>
      <c r="AE1626" s="403">
        <f t="shared" si="95"/>
        <v>79936.2</v>
      </c>
      <c r="AF1626" s="132">
        <v>10</v>
      </c>
      <c r="AG1626" s="130" t="s">
        <v>5</v>
      </c>
      <c r="AH1626" s="130"/>
      <c r="AI1626" s="130" t="s">
        <v>34</v>
      </c>
      <c r="AJ1626" s="130"/>
      <c r="AK1626" s="130"/>
      <c r="AL1626" s="135" t="s">
        <v>6211</v>
      </c>
      <c r="AM1626" s="314"/>
      <c r="AN1626" s="26"/>
      <c r="AO1626" s="26">
        <v>44457</v>
      </c>
      <c r="AP1626" s="26"/>
      <c r="AQ1626" s="26">
        <v>44461</v>
      </c>
      <c r="AR1626" s="24"/>
      <c r="AS1626" s="24"/>
      <c r="AT1626" s="24">
        <v>44466</v>
      </c>
      <c r="AU1626" s="418">
        <f t="shared" si="96"/>
        <v>9</v>
      </c>
      <c r="AV1626" s="418">
        <f t="shared" si="97"/>
        <v>2021</v>
      </c>
      <c r="AW1626" s="24"/>
      <c r="AX1626" s="24"/>
      <c r="AY1626" s="24" t="s">
        <v>3415</v>
      </c>
      <c r="AZ1626" s="24" t="s">
        <v>9</v>
      </c>
      <c r="BA1626" s="24"/>
      <c r="BB1626" s="24" t="s">
        <v>3264</v>
      </c>
      <c r="BC1626" s="128" t="s">
        <v>6254</v>
      </c>
      <c r="BD1626" s="24">
        <v>44457</v>
      </c>
      <c r="BE1626" s="24" t="s">
        <v>5944</v>
      </c>
      <c r="BF1626" s="24" t="s">
        <v>5944</v>
      </c>
      <c r="BG1626" s="135" t="s">
        <v>64</v>
      </c>
      <c r="BH1626" s="135"/>
      <c r="BI1626" s="314" t="s">
        <v>124</v>
      </c>
      <c r="BJ1626" s="314" t="s">
        <v>138</v>
      </c>
      <c r="BK1626" s="24"/>
      <c r="BL1626" s="24"/>
      <c r="BM1626" s="24"/>
      <c r="BN1626" s="24"/>
      <c r="BO1626" s="24">
        <v>44481</v>
      </c>
      <c r="BP1626" s="24"/>
      <c r="BQ1626" s="24"/>
      <c r="BR1626" s="24"/>
      <c r="BS1626" s="24"/>
      <c r="BT1626" s="24"/>
      <c r="BU1626" s="24"/>
      <c r="BV1626" s="132" t="e">
        <f>IF(#REF!="COMPLETO","OK","PENDIENTES")</f>
        <v>#REF!</v>
      </c>
      <c r="BW1626" s="132"/>
      <c r="BX1626" s="132"/>
      <c r="BY1626" s="132"/>
      <c r="BZ1626" s="132"/>
      <c r="CA1626" s="132"/>
      <c r="CB1626" s="132"/>
      <c r="CC1626" s="269"/>
      <c r="CG1626" s="24" t="s">
        <v>105</v>
      </c>
      <c r="CH1626" s="24"/>
      <c r="CI1626" s="24"/>
      <c r="CJ1626" s="24"/>
    </row>
    <row r="1627" spans="1:88" ht="15" customHeight="1">
      <c r="A1627" s="18">
        <v>2021</v>
      </c>
      <c r="B1627" s="18" t="str">
        <f>+INDEX(BDD!F:F,MATCH(P1627,BDD!D:D,0))&amp;"-"&amp;INDEX(BDD!E:E,MATCH(P1627,BDD!D:D,0))</f>
        <v>T-S</v>
      </c>
      <c r="C1627" s="360" t="s">
        <v>484</v>
      </c>
      <c r="D1627" s="150" t="s">
        <v>77</v>
      </c>
      <c r="E1627" s="132"/>
      <c r="F1627" s="24"/>
      <c r="G1627" s="346">
        <v>8000001610</v>
      </c>
      <c r="H1627" s="18" t="s">
        <v>6255</v>
      </c>
      <c r="I1627" s="329"/>
      <c r="J1627" s="346">
        <v>8000001610</v>
      </c>
      <c r="K1627" s="24"/>
      <c r="L1627" s="24">
        <v>44473</v>
      </c>
      <c r="M1627" s="24">
        <v>44473</v>
      </c>
      <c r="N1627" s="340" t="s">
        <v>486</v>
      </c>
      <c r="O1627" s="334">
        <v>208067</v>
      </c>
      <c r="P1627" s="25" t="s">
        <v>383</v>
      </c>
      <c r="Q1627" s="127" t="s">
        <v>303</v>
      </c>
      <c r="R1627" s="232" t="s">
        <v>6256</v>
      </c>
      <c r="S1627" s="89">
        <v>44423</v>
      </c>
      <c r="T1627" s="36">
        <v>30</v>
      </c>
      <c r="U1627" s="125" t="s">
        <v>131</v>
      </c>
      <c r="V1627" s="147" t="s">
        <v>6257</v>
      </c>
      <c r="W1627" s="129"/>
      <c r="X1627" s="88">
        <f>+BD1627+T1627</f>
        <v>44487</v>
      </c>
      <c r="Y1627" s="130" t="s">
        <v>20</v>
      </c>
      <c r="Z1627" s="133" t="s">
        <v>60</v>
      </c>
      <c r="AA1627" s="133"/>
      <c r="AB1627" s="241">
        <v>270</v>
      </c>
      <c r="AC1627" s="134">
        <v>296.06</v>
      </c>
      <c r="AD1627" s="134"/>
      <c r="AE1627" s="403">
        <f t="shared" si="95"/>
        <v>79936.2</v>
      </c>
      <c r="AF1627" s="132">
        <v>10</v>
      </c>
      <c r="AG1627" s="130" t="s">
        <v>5</v>
      </c>
      <c r="AH1627" s="130"/>
      <c r="AI1627" s="130" t="s">
        <v>34</v>
      </c>
      <c r="AJ1627" s="130"/>
      <c r="AK1627" s="130"/>
      <c r="AL1627" s="135" t="s">
        <v>6211</v>
      </c>
      <c r="AM1627" s="314"/>
      <c r="AN1627" s="26">
        <f>BL1627</f>
        <v>0</v>
      </c>
      <c r="AO1627" s="26">
        <v>44457</v>
      </c>
      <c r="AP1627" s="26">
        <v>44461</v>
      </c>
      <c r="AQ1627" s="26">
        <v>44461</v>
      </c>
      <c r="AR1627" s="24">
        <f t="shared" ref="AR1627:AR1634" si="98">AP1627+4</f>
        <v>44465</v>
      </c>
      <c r="AS1627" s="24"/>
      <c r="AT1627" s="24">
        <v>44476</v>
      </c>
      <c r="AU1627" s="418">
        <f t="shared" si="96"/>
        <v>10</v>
      </c>
      <c r="AV1627" s="418">
        <f t="shared" si="97"/>
        <v>2021</v>
      </c>
      <c r="AW1627" s="24"/>
      <c r="AX1627" s="24"/>
      <c r="AY1627" s="24" t="s">
        <v>3415</v>
      </c>
      <c r="AZ1627" s="24" t="s">
        <v>9</v>
      </c>
      <c r="BA1627" s="24"/>
      <c r="BB1627" s="24" t="s">
        <v>3519</v>
      </c>
      <c r="BC1627" s="128" t="s">
        <v>6258</v>
      </c>
      <c r="BD1627" s="24">
        <v>44457</v>
      </c>
      <c r="BE1627" s="24" t="s">
        <v>6259</v>
      </c>
      <c r="BF1627" s="24" t="s">
        <v>5944</v>
      </c>
      <c r="BG1627" s="135" t="s">
        <v>64</v>
      </c>
      <c r="BH1627" s="135"/>
      <c r="BI1627" s="314" t="s">
        <v>124</v>
      </c>
      <c r="BJ1627" s="314" t="s">
        <v>138</v>
      </c>
      <c r="BK1627" s="24"/>
      <c r="BL1627" s="24"/>
      <c r="BM1627" s="24"/>
      <c r="BN1627" s="24"/>
      <c r="BO1627" s="24">
        <v>44481</v>
      </c>
      <c r="BP1627" s="24"/>
      <c r="BQ1627" s="24"/>
      <c r="BR1627" s="24"/>
      <c r="BS1627" s="24"/>
      <c r="BT1627" s="24"/>
      <c r="BU1627" s="24"/>
      <c r="BV1627" s="132" t="e">
        <f>IF(#REF!="COMPLETO","OK","PENDIENTES")</f>
        <v>#REF!</v>
      </c>
      <c r="BW1627" s="132"/>
      <c r="BX1627" s="132"/>
      <c r="BY1627" s="132"/>
      <c r="BZ1627" s="132"/>
      <c r="CA1627" s="132"/>
      <c r="CB1627" s="132"/>
      <c r="CC1627" s="269" t="s">
        <v>6260</v>
      </c>
      <c r="CG1627" s="24" t="s">
        <v>105</v>
      </c>
      <c r="CH1627" s="24"/>
      <c r="CI1627" s="24"/>
      <c r="CJ1627" s="24"/>
    </row>
    <row r="1628" spans="1:88" ht="15" customHeight="1">
      <c r="A1628" s="18">
        <v>2021</v>
      </c>
      <c r="B1628" s="18" t="str">
        <f>+INDEX(BDD!F:F,MATCH(P1628,BDD!D:D,0))&amp;"-"&amp;INDEX(BDD!E:E,MATCH(P1628,BDD!D:D,0))</f>
        <v>T-S</v>
      </c>
      <c r="C1628" s="360" t="s">
        <v>484</v>
      </c>
      <c r="D1628" s="150" t="s">
        <v>77</v>
      </c>
      <c r="E1628" s="132"/>
      <c r="F1628" s="24"/>
      <c r="G1628" s="346">
        <v>8000001540</v>
      </c>
      <c r="H1628" s="18" t="s">
        <v>6261</v>
      </c>
      <c r="I1628" s="329"/>
      <c r="J1628" s="346">
        <v>8000001540</v>
      </c>
      <c r="K1628" s="24"/>
      <c r="L1628" s="24">
        <v>44474</v>
      </c>
      <c r="M1628" s="24">
        <v>44478</v>
      </c>
      <c r="N1628" s="340" t="s">
        <v>486</v>
      </c>
      <c r="O1628" s="334">
        <v>208067</v>
      </c>
      <c r="P1628" s="25" t="s">
        <v>383</v>
      </c>
      <c r="Q1628" s="127" t="s">
        <v>303</v>
      </c>
      <c r="R1628" s="232" t="s">
        <v>6262</v>
      </c>
      <c r="S1628" s="89">
        <v>44392</v>
      </c>
      <c r="T1628" s="36">
        <v>30</v>
      </c>
      <c r="U1628" s="125" t="s">
        <v>131</v>
      </c>
      <c r="V1628" s="147" t="s">
        <v>6263</v>
      </c>
      <c r="W1628" s="129"/>
      <c r="X1628" s="88">
        <f>+BD1628+T1628</f>
        <v>44483</v>
      </c>
      <c r="Y1628" s="130" t="s">
        <v>20</v>
      </c>
      <c r="Z1628" s="133" t="s">
        <v>60</v>
      </c>
      <c r="AA1628" s="133"/>
      <c r="AB1628" s="241">
        <v>270</v>
      </c>
      <c r="AC1628" s="134">
        <v>296.06</v>
      </c>
      <c r="AD1628" s="134"/>
      <c r="AE1628" s="403">
        <f t="shared" si="95"/>
        <v>79936.2</v>
      </c>
      <c r="AF1628" s="132">
        <v>10</v>
      </c>
      <c r="AG1628" s="130" t="s">
        <v>5</v>
      </c>
      <c r="AH1628" s="130"/>
      <c r="AI1628" s="130" t="s">
        <v>34</v>
      </c>
      <c r="AJ1628" s="130"/>
      <c r="AK1628" s="130"/>
      <c r="AL1628" s="256" t="s">
        <v>5917</v>
      </c>
      <c r="AM1628" s="314"/>
      <c r="AN1628" s="26">
        <f>BL1628</f>
        <v>0</v>
      </c>
      <c r="AO1628" s="26">
        <v>44453</v>
      </c>
      <c r="AP1628" s="26">
        <f>AQ1628</f>
        <v>44462</v>
      </c>
      <c r="AQ1628" s="26">
        <v>44462</v>
      </c>
      <c r="AR1628" s="24">
        <f t="shared" si="98"/>
        <v>44466</v>
      </c>
      <c r="AS1628" s="24"/>
      <c r="AT1628" s="24">
        <v>44473</v>
      </c>
      <c r="AU1628" s="418">
        <f t="shared" si="96"/>
        <v>10</v>
      </c>
      <c r="AV1628" s="418">
        <f t="shared" si="97"/>
        <v>2021</v>
      </c>
      <c r="AW1628" s="24"/>
      <c r="AX1628" s="24"/>
      <c r="AY1628" s="24" t="s">
        <v>3415</v>
      </c>
      <c r="AZ1628" s="24" t="s">
        <v>37</v>
      </c>
      <c r="BA1628" s="24"/>
      <c r="BB1628" s="24" t="s">
        <v>3291</v>
      </c>
      <c r="BC1628" s="128" t="s">
        <v>6264</v>
      </c>
      <c r="BD1628" s="24">
        <v>44453</v>
      </c>
      <c r="BE1628" s="24" t="s">
        <v>3098</v>
      </c>
      <c r="BF1628" s="24" t="s">
        <v>3098</v>
      </c>
      <c r="BG1628" s="135" t="s">
        <v>64</v>
      </c>
      <c r="BH1628" s="135"/>
      <c r="BI1628" s="314" t="s">
        <v>124</v>
      </c>
      <c r="BJ1628" s="314" t="s">
        <v>138</v>
      </c>
      <c r="BK1628" s="24"/>
      <c r="BL1628" s="24"/>
      <c r="BM1628" s="24"/>
      <c r="BN1628" s="24"/>
      <c r="BO1628" s="24"/>
      <c r="BP1628" s="24"/>
      <c r="BQ1628" s="24"/>
      <c r="BR1628" s="24"/>
      <c r="BS1628" s="24"/>
      <c r="BT1628" s="24"/>
      <c r="BU1628" s="24"/>
      <c r="BV1628" s="132" t="e">
        <f>IF(#REF!="COMPLETO","OK","PENDIENTES")</f>
        <v>#REF!</v>
      </c>
      <c r="BW1628" s="132"/>
      <c r="BX1628" s="132"/>
      <c r="BY1628" s="132"/>
      <c r="BZ1628" s="132"/>
      <c r="CA1628" s="132"/>
      <c r="CB1628" s="132"/>
      <c r="CC1628" s="269"/>
      <c r="CG1628" s="24" t="s">
        <v>105</v>
      </c>
      <c r="CH1628" s="24"/>
      <c r="CI1628" s="24"/>
      <c r="CJ1628" s="24"/>
    </row>
    <row r="1629" spans="1:88" ht="15" customHeight="1">
      <c r="A1629" s="18">
        <v>2021</v>
      </c>
      <c r="B1629" s="18" t="str">
        <f>+INDEX(BDD!F:F,MATCH(P1629,BDD!D:D,0))&amp;"-"&amp;INDEX(BDD!E:E,MATCH(P1629,BDD!D:D,0))</f>
        <v>T-S</v>
      </c>
      <c r="C1629" s="360" t="s">
        <v>484</v>
      </c>
      <c r="D1629" s="150" t="s">
        <v>77</v>
      </c>
      <c r="E1629" s="132"/>
      <c r="F1629" s="24"/>
      <c r="G1629" s="346">
        <v>8000001570</v>
      </c>
      <c r="H1629" s="18" t="s">
        <v>6265</v>
      </c>
      <c r="I1629" s="329"/>
      <c r="J1629" s="346">
        <v>8000001570</v>
      </c>
      <c r="K1629" s="24"/>
      <c r="L1629" s="24">
        <v>44487</v>
      </c>
      <c r="M1629" s="24">
        <v>44487</v>
      </c>
      <c r="N1629" s="340" t="s">
        <v>486</v>
      </c>
      <c r="O1629" s="334">
        <v>208067</v>
      </c>
      <c r="P1629" s="25" t="s">
        <v>383</v>
      </c>
      <c r="Q1629" s="127" t="s">
        <v>303</v>
      </c>
      <c r="R1629" s="232" t="s">
        <v>6266</v>
      </c>
      <c r="S1629" s="89">
        <v>44423</v>
      </c>
      <c r="T1629" s="36">
        <v>30</v>
      </c>
      <c r="U1629" s="125" t="s">
        <v>131</v>
      </c>
      <c r="V1629" s="147" t="s">
        <v>6267</v>
      </c>
      <c r="W1629" s="129"/>
      <c r="X1629" s="88">
        <v>44499</v>
      </c>
      <c r="Y1629" s="130" t="s">
        <v>20</v>
      </c>
      <c r="Z1629" s="133" t="s">
        <v>60</v>
      </c>
      <c r="AA1629" s="133"/>
      <c r="AB1629" s="241">
        <v>351</v>
      </c>
      <c r="AC1629" s="134">
        <v>296.06</v>
      </c>
      <c r="AD1629" s="134"/>
      <c r="AE1629" s="403">
        <f t="shared" si="95"/>
        <v>103917.06</v>
      </c>
      <c r="AF1629" s="132">
        <v>13</v>
      </c>
      <c r="AG1629" s="130" t="s">
        <v>5</v>
      </c>
      <c r="AH1629" s="130"/>
      <c r="AI1629" s="130" t="s">
        <v>34</v>
      </c>
      <c r="AJ1629" s="130"/>
      <c r="AK1629" s="130"/>
      <c r="AL1629" s="135" t="s">
        <v>6211</v>
      </c>
      <c r="AM1629" s="314"/>
      <c r="AN1629" s="26">
        <v>44468</v>
      </c>
      <c r="AO1629" s="26">
        <v>44468</v>
      </c>
      <c r="AP1629" s="26">
        <v>44474</v>
      </c>
      <c r="AQ1629" s="26">
        <v>44477</v>
      </c>
      <c r="AR1629" s="24">
        <f t="shared" si="98"/>
        <v>44478</v>
      </c>
      <c r="AS1629" s="24"/>
      <c r="AT1629" s="24">
        <v>44491</v>
      </c>
      <c r="AU1629" s="418">
        <f t="shared" si="96"/>
        <v>10</v>
      </c>
      <c r="AV1629" s="418">
        <f t="shared" si="97"/>
        <v>2021</v>
      </c>
      <c r="AW1629" s="24"/>
      <c r="AX1629" s="24"/>
      <c r="AY1629" s="24" t="s">
        <v>3415</v>
      </c>
      <c r="AZ1629" s="24" t="s">
        <v>37</v>
      </c>
      <c r="BA1629" s="24"/>
      <c r="BB1629" s="24" t="s">
        <v>3291</v>
      </c>
      <c r="BC1629" s="128" t="s">
        <v>6268</v>
      </c>
      <c r="BD1629" s="24">
        <v>44468</v>
      </c>
      <c r="BE1629" s="24" t="s">
        <v>6269</v>
      </c>
      <c r="BF1629" s="24" t="s">
        <v>2329</v>
      </c>
      <c r="BG1629" s="135" t="s">
        <v>64</v>
      </c>
      <c r="BH1629" s="135"/>
      <c r="BI1629" s="314" t="s">
        <v>124</v>
      </c>
      <c r="BJ1629" s="314" t="s">
        <v>138</v>
      </c>
      <c r="BK1629" s="24"/>
      <c r="BL1629" s="24"/>
      <c r="BM1629" s="24"/>
      <c r="BN1629" s="24"/>
      <c r="BO1629" s="24"/>
      <c r="BP1629" s="24"/>
      <c r="BQ1629" s="24"/>
      <c r="BR1629" s="24"/>
      <c r="BS1629" s="24"/>
      <c r="BT1629" s="24"/>
      <c r="BU1629" s="24"/>
      <c r="BV1629" s="132" t="e">
        <f>IF(#REF!="COMPLETO","OK","PENDIENTES")</f>
        <v>#REF!</v>
      </c>
      <c r="BW1629" s="132"/>
      <c r="BX1629" s="132"/>
      <c r="BY1629" s="132"/>
      <c r="BZ1629" s="132"/>
      <c r="CA1629" s="132"/>
      <c r="CB1629" s="132"/>
      <c r="CC1629" s="269"/>
      <c r="CG1629" s="24" t="s">
        <v>105</v>
      </c>
      <c r="CH1629" s="24"/>
      <c r="CI1629" s="24"/>
      <c r="CJ1629" s="24"/>
    </row>
    <row r="1630" spans="1:88" ht="15" customHeight="1">
      <c r="A1630" s="18">
        <v>2021</v>
      </c>
      <c r="B1630" s="18" t="str">
        <f>+INDEX(BDD!F:F,MATCH(P1630,BDD!D:D,0))&amp;"-"&amp;INDEX(BDD!E:E,MATCH(P1630,BDD!D:D,0))</f>
        <v>T-S</v>
      </c>
      <c r="C1630" s="360" t="s">
        <v>484</v>
      </c>
      <c r="D1630" s="150" t="s">
        <v>77</v>
      </c>
      <c r="E1630" s="132"/>
      <c r="F1630" s="24"/>
      <c r="G1630" s="346">
        <v>8000001569</v>
      </c>
      <c r="H1630" s="18" t="s">
        <v>6270</v>
      </c>
      <c r="I1630" s="329"/>
      <c r="J1630" s="346">
        <v>8000001569</v>
      </c>
      <c r="K1630" s="24"/>
      <c r="L1630" s="24">
        <v>44481</v>
      </c>
      <c r="M1630" s="24">
        <v>44481</v>
      </c>
      <c r="N1630" s="340" t="s">
        <v>486</v>
      </c>
      <c r="O1630" s="334">
        <v>208067</v>
      </c>
      <c r="P1630" s="25" t="s">
        <v>383</v>
      </c>
      <c r="Q1630" s="127" t="s">
        <v>303</v>
      </c>
      <c r="R1630" s="232" t="s">
        <v>6271</v>
      </c>
      <c r="S1630" s="89">
        <v>44423</v>
      </c>
      <c r="T1630" s="36">
        <v>30</v>
      </c>
      <c r="U1630" s="125" t="s">
        <v>131</v>
      </c>
      <c r="V1630" s="147" t="s">
        <v>6272</v>
      </c>
      <c r="W1630" s="129"/>
      <c r="X1630" s="88">
        <v>44499</v>
      </c>
      <c r="Y1630" s="130" t="s">
        <v>20</v>
      </c>
      <c r="Z1630" s="133" t="s">
        <v>60</v>
      </c>
      <c r="AA1630" s="133"/>
      <c r="AB1630" s="241">
        <v>297</v>
      </c>
      <c r="AC1630" s="134">
        <v>296.06</v>
      </c>
      <c r="AD1630" s="134"/>
      <c r="AE1630" s="403">
        <f t="shared" si="95"/>
        <v>87929.82</v>
      </c>
      <c r="AF1630" s="132">
        <v>11</v>
      </c>
      <c r="AG1630" s="130" t="s">
        <v>5</v>
      </c>
      <c r="AH1630" s="130"/>
      <c r="AI1630" s="130" t="s">
        <v>34</v>
      </c>
      <c r="AJ1630" s="130"/>
      <c r="AK1630" s="130"/>
      <c r="AL1630" s="135" t="s">
        <v>6211</v>
      </c>
      <c r="AM1630" s="314"/>
      <c r="AN1630" s="26">
        <v>44455</v>
      </c>
      <c r="AO1630" s="26">
        <v>44455</v>
      </c>
      <c r="AP1630" s="26">
        <v>44470</v>
      </c>
      <c r="AQ1630" s="26">
        <v>44470</v>
      </c>
      <c r="AR1630" s="24">
        <f t="shared" si="98"/>
        <v>44474</v>
      </c>
      <c r="AS1630" s="24"/>
      <c r="AT1630" s="24">
        <v>44475</v>
      </c>
      <c r="AU1630" s="418">
        <f t="shared" si="96"/>
        <v>10</v>
      </c>
      <c r="AV1630" s="418">
        <f t="shared" si="97"/>
        <v>2021</v>
      </c>
      <c r="AW1630" s="24"/>
      <c r="AX1630" s="24"/>
      <c r="AY1630" s="24" t="s">
        <v>3415</v>
      </c>
      <c r="AZ1630" s="24" t="s">
        <v>37</v>
      </c>
      <c r="BA1630" s="24"/>
      <c r="BB1630" s="24" t="s">
        <v>3291</v>
      </c>
      <c r="BC1630" s="128" t="s">
        <v>6273</v>
      </c>
      <c r="BD1630" s="24">
        <v>44462</v>
      </c>
      <c r="BE1630" s="24" t="s">
        <v>4776</v>
      </c>
      <c r="BF1630" s="24" t="s">
        <v>4776</v>
      </c>
      <c r="BG1630" s="135" t="s">
        <v>41</v>
      </c>
      <c r="BH1630" s="135"/>
      <c r="BI1630" s="314" t="s">
        <v>124</v>
      </c>
      <c r="BJ1630" s="314" t="s">
        <v>138</v>
      </c>
      <c r="BK1630" s="24"/>
      <c r="BL1630" s="24"/>
      <c r="BM1630" s="24"/>
      <c r="BN1630" s="24"/>
      <c r="BO1630" s="24"/>
      <c r="BP1630" s="24"/>
      <c r="BQ1630" s="24"/>
      <c r="BR1630" s="24"/>
      <c r="BS1630" s="24"/>
      <c r="BT1630" s="24"/>
      <c r="BU1630" s="24"/>
      <c r="BV1630" s="132" t="e">
        <f>IF(#REF!="COMPLETO","OK","PENDIENTES")</f>
        <v>#REF!</v>
      </c>
      <c r="BW1630" s="132"/>
      <c r="BX1630" s="132"/>
      <c r="BY1630" s="132"/>
      <c r="BZ1630" s="132"/>
      <c r="CA1630" s="132"/>
      <c r="CB1630" s="132"/>
      <c r="CC1630" s="269"/>
      <c r="CG1630" s="24" t="s">
        <v>105</v>
      </c>
      <c r="CH1630" s="24"/>
      <c r="CI1630" s="24"/>
      <c r="CJ1630" s="24"/>
    </row>
    <row r="1631" spans="1:88" ht="15" customHeight="1">
      <c r="A1631" s="18">
        <v>2021</v>
      </c>
      <c r="B1631" s="18" t="str">
        <f>+INDEX(BDD!F:F,MATCH(P1631,BDD!D:D,0))&amp;"-"&amp;INDEX(BDD!E:E,MATCH(P1631,BDD!D:D,0))</f>
        <v>T-S</v>
      </c>
      <c r="C1631" s="360" t="s">
        <v>484</v>
      </c>
      <c r="D1631" s="150" t="s">
        <v>77</v>
      </c>
      <c r="E1631" s="132"/>
      <c r="F1631" s="24"/>
      <c r="G1631" s="346">
        <v>8000001666</v>
      </c>
      <c r="H1631" s="18" t="s">
        <v>6274</v>
      </c>
      <c r="I1631" s="329"/>
      <c r="J1631" s="346">
        <v>8000001666</v>
      </c>
      <c r="K1631" s="24"/>
      <c r="L1631" s="24">
        <v>44484</v>
      </c>
      <c r="M1631" s="24">
        <v>44487</v>
      </c>
      <c r="N1631" s="340" t="s">
        <v>486</v>
      </c>
      <c r="O1631" s="334">
        <v>208067</v>
      </c>
      <c r="P1631" s="25" t="s">
        <v>383</v>
      </c>
      <c r="Q1631" s="127" t="s">
        <v>303</v>
      </c>
      <c r="R1631" s="232" t="s">
        <v>6275</v>
      </c>
      <c r="S1631" s="89">
        <v>44423</v>
      </c>
      <c r="T1631" s="36">
        <v>30</v>
      </c>
      <c r="U1631" s="125" t="s">
        <v>131</v>
      </c>
      <c r="V1631" s="147" t="s">
        <v>6276</v>
      </c>
      <c r="W1631" s="129"/>
      <c r="X1631" s="88">
        <v>44499</v>
      </c>
      <c r="Y1631" s="130" t="s">
        <v>20</v>
      </c>
      <c r="Z1631" s="133" t="s">
        <v>60</v>
      </c>
      <c r="AA1631" s="133"/>
      <c r="AB1631" s="241">
        <v>270</v>
      </c>
      <c r="AC1631" s="134">
        <v>296.06</v>
      </c>
      <c r="AD1631" s="134"/>
      <c r="AE1631" s="403">
        <f t="shared" si="95"/>
        <v>79936.2</v>
      </c>
      <c r="AF1631" s="132">
        <v>10</v>
      </c>
      <c r="AG1631" s="130" t="s">
        <v>5</v>
      </c>
      <c r="AH1631" s="130"/>
      <c r="AI1631" s="130" t="s">
        <v>34</v>
      </c>
      <c r="AJ1631" s="130"/>
      <c r="AK1631" s="130"/>
      <c r="AL1631" s="135" t="s">
        <v>6211</v>
      </c>
      <c r="AM1631" s="314"/>
      <c r="AN1631" s="26">
        <v>44468</v>
      </c>
      <c r="AO1631" s="26">
        <v>44468</v>
      </c>
      <c r="AP1631" s="26">
        <v>44474</v>
      </c>
      <c r="AQ1631" s="26">
        <v>44477</v>
      </c>
      <c r="AR1631" s="24">
        <f t="shared" si="98"/>
        <v>44478</v>
      </c>
      <c r="AS1631" s="24"/>
      <c r="AT1631" s="24">
        <v>44487</v>
      </c>
      <c r="AU1631" s="418">
        <f t="shared" si="96"/>
        <v>10</v>
      </c>
      <c r="AV1631" s="418">
        <f t="shared" si="97"/>
        <v>2021</v>
      </c>
      <c r="AW1631" s="24"/>
      <c r="AX1631" s="24"/>
      <c r="AY1631" s="24" t="s">
        <v>3415</v>
      </c>
      <c r="AZ1631" s="24" t="s">
        <v>37</v>
      </c>
      <c r="BA1631" s="24"/>
      <c r="BB1631" s="24" t="s">
        <v>2956</v>
      </c>
      <c r="BC1631" s="128" t="s">
        <v>6277</v>
      </c>
      <c r="BD1631" s="24">
        <v>44468</v>
      </c>
      <c r="BE1631" s="24" t="s">
        <v>6269</v>
      </c>
      <c r="BF1631" s="24" t="s">
        <v>6269</v>
      </c>
      <c r="BG1631" s="135" t="s">
        <v>64</v>
      </c>
      <c r="BH1631" s="135"/>
      <c r="BI1631" s="314" t="s">
        <v>124</v>
      </c>
      <c r="BJ1631" s="314" t="s">
        <v>138</v>
      </c>
      <c r="BK1631" s="24"/>
      <c r="BL1631" s="24"/>
      <c r="BM1631" s="24"/>
      <c r="BN1631" s="24"/>
      <c r="BO1631" s="24"/>
      <c r="BP1631" s="24"/>
      <c r="BQ1631" s="24"/>
      <c r="BR1631" s="24"/>
      <c r="BS1631" s="24"/>
      <c r="BT1631" s="24"/>
      <c r="BU1631" s="24"/>
      <c r="BV1631" s="132" t="e">
        <f>IF(#REF!="COMPLETO","OK","PENDIENTES")</f>
        <v>#REF!</v>
      </c>
      <c r="BW1631" s="132"/>
      <c r="BX1631" s="132"/>
      <c r="BY1631" s="132"/>
      <c r="BZ1631" s="132"/>
      <c r="CA1631" s="132"/>
      <c r="CB1631" s="132"/>
      <c r="CC1631" s="269" t="s">
        <v>6278</v>
      </c>
      <c r="CG1631" s="24" t="s">
        <v>105</v>
      </c>
      <c r="CH1631" s="24"/>
      <c r="CI1631" s="24"/>
      <c r="CJ1631" s="24"/>
    </row>
    <row r="1632" spans="1:88" ht="15" customHeight="1">
      <c r="A1632" s="18">
        <v>2021</v>
      </c>
      <c r="B1632" s="18" t="str">
        <f>+INDEX(BDD!F:F,MATCH(P1632,BDD!D:D,0))&amp;"-"&amp;INDEX(BDD!E:E,MATCH(P1632,BDD!D:D,0))</f>
        <v>T-S</v>
      </c>
      <c r="C1632" s="360" t="s">
        <v>484</v>
      </c>
      <c r="D1632" s="150" t="s">
        <v>77</v>
      </c>
      <c r="E1632" s="132"/>
      <c r="F1632" s="24"/>
      <c r="G1632" s="346">
        <v>8000001572</v>
      </c>
      <c r="H1632" s="18" t="s">
        <v>6279</v>
      </c>
      <c r="I1632" s="329"/>
      <c r="J1632" s="346">
        <v>8000001572</v>
      </c>
      <c r="K1632" s="24"/>
      <c r="L1632" s="24">
        <v>44483</v>
      </c>
      <c r="M1632" s="24">
        <v>44486</v>
      </c>
      <c r="N1632" s="340" t="s">
        <v>486</v>
      </c>
      <c r="O1632" s="334">
        <v>208067</v>
      </c>
      <c r="P1632" s="25" t="s">
        <v>383</v>
      </c>
      <c r="Q1632" s="127" t="s">
        <v>303</v>
      </c>
      <c r="R1632" s="232" t="s">
        <v>6280</v>
      </c>
      <c r="S1632" s="89">
        <v>44423</v>
      </c>
      <c r="T1632" s="36">
        <v>30</v>
      </c>
      <c r="U1632" s="125" t="s">
        <v>131</v>
      </c>
      <c r="V1632" s="147" t="s">
        <v>6281</v>
      </c>
      <c r="W1632" s="129"/>
      <c r="X1632" s="88">
        <v>44499</v>
      </c>
      <c r="Y1632" s="130" t="s">
        <v>20</v>
      </c>
      <c r="Z1632" s="133" t="s">
        <v>60</v>
      </c>
      <c r="AA1632" s="133"/>
      <c r="AB1632" s="241">
        <v>351</v>
      </c>
      <c r="AC1632" s="134">
        <v>296.06</v>
      </c>
      <c r="AD1632" s="134"/>
      <c r="AE1632" s="403">
        <f t="shared" si="95"/>
        <v>103917.06</v>
      </c>
      <c r="AF1632" s="132">
        <v>13</v>
      </c>
      <c r="AG1632" s="130" t="s">
        <v>5</v>
      </c>
      <c r="AH1632" s="130"/>
      <c r="AI1632" s="130" t="s">
        <v>34</v>
      </c>
      <c r="AJ1632" s="130"/>
      <c r="AK1632" s="130"/>
      <c r="AL1632" s="135" t="s">
        <v>6211</v>
      </c>
      <c r="AM1632" s="314"/>
      <c r="AN1632" s="26">
        <v>44468</v>
      </c>
      <c r="AO1632" s="26">
        <v>44468</v>
      </c>
      <c r="AP1632" s="26">
        <v>44470</v>
      </c>
      <c r="AQ1632" s="26">
        <v>44477</v>
      </c>
      <c r="AR1632" s="24">
        <f t="shared" si="98"/>
        <v>44474</v>
      </c>
      <c r="AS1632" s="24"/>
      <c r="AT1632" s="24">
        <v>44483</v>
      </c>
      <c r="AU1632" s="418">
        <f t="shared" si="96"/>
        <v>10</v>
      </c>
      <c r="AV1632" s="418">
        <f t="shared" si="97"/>
        <v>2021</v>
      </c>
      <c r="AW1632" s="24"/>
      <c r="AX1632" s="24"/>
      <c r="AY1632" s="24" t="s">
        <v>3415</v>
      </c>
      <c r="AZ1632" s="24" t="s">
        <v>37</v>
      </c>
      <c r="BA1632" s="24"/>
      <c r="BB1632" s="24" t="s">
        <v>2956</v>
      </c>
      <c r="BC1632" s="128" t="s">
        <v>6282</v>
      </c>
      <c r="BD1632" s="24">
        <v>44468</v>
      </c>
      <c r="BE1632" s="24" t="s">
        <v>6269</v>
      </c>
      <c r="BF1632" s="24" t="s">
        <v>6269</v>
      </c>
      <c r="BG1632" s="135" t="s">
        <v>64</v>
      </c>
      <c r="BH1632" s="135"/>
      <c r="BI1632" s="314" t="s">
        <v>124</v>
      </c>
      <c r="BJ1632" s="314" t="s">
        <v>138</v>
      </c>
      <c r="BK1632" s="24"/>
      <c r="BL1632" s="24"/>
      <c r="BM1632" s="24"/>
      <c r="BN1632" s="24"/>
      <c r="BO1632" s="24"/>
      <c r="BP1632" s="24"/>
      <c r="BQ1632" s="24"/>
      <c r="BR1632" s="24"/>
      <c r="BS1632" s="24"/>
      <c r="BT1632" s="24"/>
      <c r="BU1632" s="24"/>
      <c r="BV1632" s="132" t="e">
        <f>IF(#REF!="COMPLETO","OK","PENDIENTES")</f>
        <v>#REF!</v>
      </c>
      <c r="BW1632" s="132"/>
      <c r="BX1632" s="132"/>
      <c r="BY1632" s="132"/>
      <c r="BZ1632" s="132"/>
      <c r="CA1632" s="132"/>
      <c r="CB1632" s="132"/>
      <c r="CC1632" s="269"/>
      <c r="CG1632" s="24" t="s">
        <v>105</v>
      </c>
      <c r="CH1632" s="24"/>
      <c r="CI1632" s="24"/>
      <c r="CJ1632" s="24"/>
    </row>
    <row r="1633" spans="1:88" ht="15" customHeight="1">
      <c r="A1633" s="18">
        <v>2021</v>
      </c>
      <c r="B1633" s="18" t="str">
        <f>+INDEX(BDD!F:F,MATCH(P1633,BDD!D:D,0))&amp;"-"&amp;INDEX(BDD!E:E,MATCH(P1633,BDD!D:D,0))</f>
        <v>T-S</v>
      </c>
      <c r="C1633" s="360" t="s">
        <v>484</v>
      </c>
      <c r="D1633" s="150" t="s">
        <v>77</v>
      </c>
      <c r="E1633" s="132"/>
      <c r="F1633" s="24"/>
      <c r="G1633" s="346">
        <v>8000001598</v>
      </c>
      <c r="H1633" s="18" t="s">
        <v>6283</v>
      </c>
      <c r="I1633" s="329"/>
      <c r="J1633" s="346">
        <v>8000001598</v>
      </c>
      <c r="K1633" s="24"/>
      <c r="L1633" s="24">
        <v>44496</v>
      </c>
      <c r="M1633" s="24">
        <v>44496</v>
      </c>
      <c r="N1633" s="340" t="s">
        <v>486</v>
      </c>
      <c r="O1633" s="334">
        <v>208067</v>
      </c>
      <c r="P1633" s="25" t="s">
        <v>383</v>
      </c>
      <c r="Q1633" s="127" t="s">
        <v>303</v>
      </c>
      <c r="R1633" s="232" t="s">
        <v>6284</v>
      </c>
      <c r="S1633" s="89">
        <v>44423</v>
      </c>
      <c r="T1633" s="36">
        <v>30</v>
      </c>
      <c r="U1633" s="125" t="s">
        <v>131</v>
      </c>
      <c r="V1633" s="147" t="s">
        <v>6285</v>
      </c>
      <c r="W1633" s="129"/>
      <c r="X1633" s="88">
        <v>44506</v>
      </c>
      <c r="Y1633" s="130" t="s">
        <v>20</v>
      </c>
      <c r="Z1633" s="133" t="s">
        <v>60</v>
      </c>
      <c r="AA1633" s="133"/>
      <c r="AB1633" s="241">
        <v>108</v>
      </c>
      <c r="AC1633" s="134">
        <v>296.06</v>
      </c>
      <c r="AD1633" s="134"/>
      <c r="AE1633" s="403">
        <f t="shared" si="95"/>
        <v>31974.48</v>
      </c>
      <c r="AF1633" s="132">
        <v>4</v>
      </c>
      <c r="AG1633" s="130" t="s">
        <v>5</v>
      </c>
      <c r="AH1633" s="130"/>
      <c r="AI1633" s="130" t="s">
        <v>34</v>
      </c>
      <c r="AJ1633" s="130"/>
      <c r="AK1633" s="130"/>
      <c r="AL1633" s="135" t="s">
        <v>6211</v>
      </c>
      <c r="AM1633" s="314"/>
      <c r="AN1633" s="26">
        <f>BL1633</f>
        <v>0</v>
      </c>
      <c r="AO1633" s="26">
        <v>44475</v>
      </c>
      <c r="AP1633" s="26">
        <f>AQ1633</f>
        <v>44483</v>
      </c>
      <c r="AQ1633" s="26">
        <v>44483</v>
      </c>
      <c r="AR1633" s="24">
        <f t="shared" si="98"/>
        <v>44487</v>
      </c>
      <c r="AS1633" s="24"/>
      <c r="AT1633" s="24">
        <v>44495</v>
      </c>
      <c r="AU1633" s="418">
        <f t="shared" si="96"/>
        <v>10</v>
      </c>
      <c r="AV1633" s="418">
        <f t="shared" si="97"/>
        <v>2021</v>
      </c>
      <c r="AW1633" s="24"/>
      <c r="AX1633" s="24"/>
      <c r="AY1633" s="24" t="s">
        <v>3415</v>
      </c>
      <c r="AZ1633" s="24" t="s">
        <v>37</v>
      </c>
      <c r="BA1633" s="24"/>
      <c r="BB1633" s="24" t="s">
        <v>3291</v>
      </c>
      <c r="BC1633" s="128" t="s">
        <v>6286</v>
      </c>
      <c r="BD1633" s="24">
        <v>44477</v>
      </c>
      <c r="BE1633" s="24" t="s">
        <v>579</v>
      </c>
      <c r="BF1633" s="24" t="s">
        <v>579</v>
      </c>
      <c r="BG1633" s="135" t="s">
        <v>64</v>
      </c>
      <c r="BH1633" s="135"/>
      <c r="BI1633" s="314" t="s">
        <v>124</v>
      </c>
      <c r="BJ1633" s="314" t="s">
        <v>138</v>
      </c>
      <c r="BK1633" s="24"/>
      <c r="BL1633" s="24"/>
      <c r="BM1633" s="24"/>
      <c r="BN1633" s="24"/>
      <c r="BO1633" s="24"/>
      <c r="BP1633" s="24"/>
      <c r="BQ1633" s="24"/>
      <c r="BR1633" s="24"/>
      <c r="BS1633" s="24"/>
      <c r="BT1633" s="24"/>
      <c r="BU1633" s="24"/>
      <c r="BV1633" s="132" t="e">
        <f>IF(#REF!="COMPLETO","OK","PENDIENTES")</f>
        <v>#REF!</v>
      </c>
      <c r="BW1633" s="132"/>
      <c r="BX1633" s="132"/>
      <c r="BY1633" s="132"/>
      <c r="BZ1633" s="132"/>
      <c r="CA1633" s="132"/>
      <c r="CB1633" s="132"/>
      <c r="CC1633" s="269"/>
      <c r="CG1633" s="24" t="s">
        <v>105</v>
      </c>
      <c r="CH1633" s="24"/>
      <c r="CI1633" s="24"/>
      <c r="CJ1633" s="24"/>
    </row>
    <row r="1634" spans="1:88" ht="15" customHeight="1">
      <c r="A1634" s="18">
        <v>2021</v>
      </c>
      <c r="B1634" s="18" t="str">
        <f>+INDEX(BDD!F:F,MATCH(P1634,BDD!D:D,0))&amp;"-"&amp;INDEX(BDD!E:E,MATCH(P1634,BDD!D:D,0))</f>
        <v>T-S</v>
      </c>
      <c r="C1634" s="360" t="s">
        <v>484</v>
      </c>
      <c r="D1634" s="150" t="s">
        <v>77</v>
      </c>
      <c r="E1634" s="132"/>
      <c r="F1634" s="24"/>
      <c r="G1634" s="346">
        <v>8000001480</v>
      </c>
      <c r="H1634" s="18" t="s">
        <v>6287</v>
      </c>
      <c r="I1634" s="329"/>
      <c r="J1634" s="346">
        <v>8000001480</v>
      </c>
      <c r="K1634" s="24"/>
      <c r="L1634" s="24">
        <v>0</v>
      </c>
      <c r="M1634" s="24">
        <v>44512</v>
      </c>
      <c r="N1634" s="340" t="s">
        <v>486</v>
      </c>
      <c r="O1634" s="334">
        <v>206689</v>
      </c>
      <c r="P1634" s="25" t="s">
        <v>400</v>
      </c>
      <c r="Q1634" s="127" t="s">
        <v>303</v>
      </c>
      <c r="R1634" s="232" t="s">
        <v>6188</v>
      </c>
      <c r="S1634" s="89">
        <v>44362</v>
      </c>
      <c r="T1634" s="36" t="s">
        <v>19</v>
      </c>
      <c r="U1634" s="125"/>
      <c r="V1634" s="147" t="s">
        <v>6288</v>
      </c>
      <c r="W1634" s="129"/>
      <c r="X1634" s="88">
        <v>44501</v>
      </c>
      <c r="Y1634" s="130" t="s">
        <v>20</v>
      </c>
      <c r="Z1634" s="133" t="s">
        <v>60</v>
      </c>
      <c r="AA1634" s="133"/>
      <c r="AB1634" s="241">
        <v>3.2</v>
      </c>
      <c r="AC1634" s="134">
        <v>8600</v>
      </c>
      <c r="AD1634" s="134"/>
      <c r="AE1634" s="403">
        <f t="shared" si="95"/>
        <v>27520</v>
      </c>
      <c r="AF1634" s="132"/>
      <c r="AG1634" s="130" t="s">
        <v>21</v>
      </c>
      <c r="AH1634" s="130"/>
      <c r="AI1634" s="130" t="s">
        <v>3619</v>
      </c>
      <c r="AJ1634" s="130"/>
      <c r="AK1634" s="130"/>
      <c r="AL1634" s="256" t="s">
        <v>5917</v>
      </c>
      <c r="AM1634" s="314"/>
      <c r="AN1634" s="26">
        <f>BL1634</f>
        <v>0</v>
      </c>
      <c r="AO1634" s="26">
        <v>44475</v>
      </c>
      <c r="AP1634" s="26">
        <f>AQ1634</f>
        <v>44504</v>
      </c>
      <c r="AQ1634" s="26">
        <v>44504</v>
      </c>
      <c r="AR1634" s="24">
        <f t="shared" si="98"/>
        <v>44508</v>
      </c>
      <c r="AS1634" s="41"/>
      <c r="AT1634" s="24">
        <v>44510</v>
      </c>
      <c r="AU1634" s="418">
        <f t="shared" si="96"/>
        <v>11</v>
      </c>
      <c r="AV1634" s="418">
        <f t="shared" si="97"/>
        <v>2021</v>
      </c>
      <c r="AW1634" s="24"/>
      <c r="AX1634" s="24"/>
      <c r="AY1634" s="24" t="s">
        <v>3981</v>
      </c>
      <c r="AZ1634" s="24" t="s">
        <v>37</v>
      </c>
      <c r="BA1634" s="24"/>
      <c r="BB1634" s="24" t="s">
        <v>3291</v>
      </c>
      <c r="BC1634" s="128" t="s">
        <v>6190</v>
      </c>
      <c r="BD1634" s="24">
        <v>44476</v>
      </c>
      <c r="BE1634" s="24" t="s">
        <v>870</v>
      </c>
      <c r="BF1634" s="24" t="s">
        <v>870</v>
      </c>
      <c r="BG1634" s="135" t="s">
        <v>29</v>
      </c>
      <c r="BH1634" s="135"/>
      <c r="BI1634" s="314" t="s">
        <v>3</v>
      </c>
      <c r="BJ1634" s="314" t="s">
        <v>138</v>
      </c>
      <c r="BK1634" s="24"/>
      <c r="BL1634" s="24"/>
      <c r="BM1634" s="24"/>
      <c r="BN1634" s="24"/>
      <c r="BO1634" s="24"/>
      <c r="BP1634" s="24"/>
      <c r="BQ1634" s="24"/>
      <c r="BR1634" s="24"/>
      <c r="BS1634" s="24"/>
      <c r="BT1634" s="24"/>
      <c r="BU1634" s="24"/>
      <c r="BV1634" s="132" t="e">
        <f>IF(#REF!="COMPLETO","OK","PENDIENTE")</f>
        <v>#REF!</v>
      </c>
      <c r="BW1634" s="132"/>
      <c r="BX1634" s="132"/>
      <c r="BY1634" s="132"/>
      <c r="BZ1634" s="132"/>
      <c r="CA1634" s="132"/>
      <c r="CB1634" s="132"/>
      <c r="CC1634" s="269"/>
      <c r="CG1634" s="24" t="s">
        <v>105</v>
      </c>
      <c r="CH1634" s="24"/>
      <c r="CI1634" s="24"/>
      <c r="CJ1634" s="24"/>
    </row>
    <row r="1635" spans="1:88" ht="15" customHeight="1">
      <c r="A1635" s="18">
        <v>2021</v>
      </c>
      <c r="B1635" s="18" t="str">
        <f>+INDEX(BDD!F:F,MATCH(P1635,BDD!D:D,0))&amp;"-"&amp;INDEX(BDD!E:E,MATCH(P1635,BDD!D:D,0))</f>
        <v>T-S</v>
      </c>
      <c r="C1635" s="360" t="s">
        <v>484</v>
      </c>
      <c r="D1635" s="150" t="s">
        <v>77</v>
      </c>
      <c r="E1635" s="132"/>
      <c r="F1635" s="24"/>
      <c r="G1635" s="346">
        <v>8000001481</v>
      </c>
      <c r="H1635" s="18" t="s">
        <v>6289</v>
      </c>
      <c r="I1635" s="329"/>
      <c r="J1635" s="346">
        <v>8000001481</v>
      </c>
      <c r="K1635" s="24"/>
      <c r="L1635" s="24">
        <v>0</v>
      </c>
      <c r="M1635" s="24">
        <v>44546</v>
      </c>
      <c r="N1635" s="340" t="s">
        <v>486</v>
      </c>
      <c r="O1635" s="334">
        <v>206688</v>
      </c>
      <c r="P1635" s="25" t="s">
        <v>402</v>
      </c>
      <c r="Q1635" s="127" t="s">
        <v>303</v>
      </c>
      <c r="R1635" s="232" t="s">
        <v>6193</v>
      </c>
      <c r="S1635" s="89">
        <v>44392</v>
      </c>
      <c r="T1635" s="36" t="s">
        <v>19</v>
      </c>
      <c r="U1635" s="125"/>
      <c r="V1635" s="147" t="s">
        <v>6290</v>
      </c>
      <c r="W1635" s="129"/>
      <c r="X1635" s="88">
        <v>44528</v>
      </c>
      <c r="Y1635" s="130" t="s">
        <v>20</v>
      </c>
      <c r="Z1635" s="133" t="s">
        <v>60</v>
      </c>
      <c r="AA1635" s="133"/>
      <c r="AB1635" s="241">
        <v>2.8</v>
      </c>
      <c r="AC1635" s="134">
        <v>7200</v>
      </c>
      <c r="AD1635" s="134"/>
      <c r="AE1635" s="403">
        <f t="shared" si="95"/>
        <v>20160</v>
      </c>
      <c r="AF1635" s="132" t="s">
        <v>944</v>
      </c>
      <c r="AG1635" s="130" t="s">
        <v>21</v>
      </c>
      <c r="AH1635" s="130"/>
      <c r="AI1635" s="130" t="s">
        <v>3619</v>
      </c>
      <c r="AJ1635" s="130"/>
      <c r="AK1635" s="130"/>
      <c r="AL1635" s="256" t="s">
        <v>5917</v>
      </c>
      <c r="AM1635" s="314"/>
      <c r="AN1635" s="26">
        <f>BL1635</f>
        <v>0</v>
      </c>
      <c r="AO1635" s="26">
        <v>44512</v>
      </c>
      <c r="AP1635" s="26">
        <f>AQ1635</f>
        <v>44539</v>
      </c>
      <c r="AQ1635" s="26">
        <v>44539</v>
      </c>
      <c r="AR1635" s="24">
        <f>AQ1635+4</f>
        <v>44543</v>
      </c>
      <c r="AS1635" s="41"/>
      <c r="AT1635" s="24">
        <v>44544</v>
      </c>
      <c r="AU1635" s="418">
        <f t="shared" si="96"/>
        <v>12</v>
      </c>
      <c r="AV1635" s="418">
        <f t="shared" si="97"/>
        <v>2021</v>
      </c>
      <c r="AW1635" s="24"/>
      <c r="AX1635" s="24"/>
      <c r="AY1635" s="24" t="s">
        <v>3981</v>
      </c>
      <c r="AZ1635" s="24" t="s">
        <v>37</v>
      </c>
      <c r="BA1635" s="24"/>
      <c r="BB1635" s="24" t="s">
        <v>3291</v>
      </c>
      <c r="BC1635" s="128" t="s">
        <v>6195</v>
      </c>
      <c r="BD1635" s="24">
        <v>44510</v>
      </c>
      <c r="BE1635" s="24" t="s">
        <v>2329</v>
      </c>
      <c r="BF1635" s="24" t="s">
        <v>2329</v>
      </c>
      <c r="BG1635" s="135" t="s">
        <v>29</v>
      </c>
      <c r="BH1635" s="135"/>
      <c r="BI1635" s="314" t="s">
        <v>3</v>
      </c>
      <c r="BJ1635" s="314" t="s">
        <v>143</v>
      </c>
      <c r="BK1635" s="24"/>
      <c r="BL1635" s="24"/>
      <c r="BM1635" s="24"/>
      <c r="BN1635" s="24"/>
      <c r="BO1635" s="24">
        <v>44552</v>
      </c>
      <c r="BP1635" s="24"/>
      <c r="BQ1635" s="24"/>
      <c r="BR1635" s="24"/>
      <c r="BS1635" s="24"/>
      <c r="BT1635" s="24"/>
      <c r="BU1635" s="24"/>
      <c r="BV1635" s="132" t="e">
        <f>IF(#REF!="COMPLETO","OK","PENDIENTE")</f>
        <v>#REF!</v>
      </c>
      <c r="BW1635" s="132"/>
      <c r="BX1635" s="132"/>
      <c r="BY1635" s="132"/>
      <c r="BZ1635" s="132"/>
      <c r="CA1635" s="132"/>
      <c r="CB1635" s="132"/>
      <c r="CC1635" s="269"/>
      <c r="CG1635" s="24" t="s">
        <v>105</v>
      </c>
      <c r="CH1635" s="24"/>
      <c r="CI1635" s="24"/>
      <c r="CJ1635" s="24"/>
    </row>
    <row r="1636" spans="1:88" ht="15" customHeight="1">
      <c r="A1636" s="18">
        <v>2021</v>
      </c>
      <c r="B1636" s="18" t="str">
        <f>+INDEX(BDD!F:F,MATCH(P1636,BDD!D:D,0))&amp;"-"&amp;INDEX(BDD!E:E,MATCH(P1636,BDD!D:D,0))</f>
        <v>T-S</v>
      </c>
      <c r="C1636" s="360" t="s">
        <v>484</v>
      </c>
      <c r="D1636" s="150" t="s">
        <v>77</v>
      </c>
      <c r="E1636" s="132"/>
      <c r="F1636" s="24"/>
      <c r="G1636" s="346">
        <v>8000001482</v>
      </c>
      <c r="H1636" s="18" t="s">
        <v>6291</v>
      </c>
      <c r="I1636" s="329"/>
      <c r="J1636" s="346">
        <v>8000001482</v>
      </c>
      <c r="K1636" s="24"/>
      <c r="L1636" s="24">
        <v>0</v>
      </c>
      <c r="M1636" s="24">
        <v>44512</v>
      </c>
      <c r="N1636" s="340" t="s">
        <v>486</v>
      </c>
      <c r="O1636" s="334">
        <v>206687</v>
      </c>
      <c r="P1636" s="25" t="s">
        <v>403</v>
      </c>
      <c r="Q1636" s="127" t="s">
        <v>303</v>
      </c>
      <c r="R1636" s="400" t="s">
        <v>6292</v>
      </c>
      <c r="S1636" s="89">
        <v>44362</v>
      </c>
      <c r="T1636" s="36" t="s">
        <v>19</v>
      </c>
      <c r="U1636" s="125"/>
      <c r="V1636" s="147" t="s">
        <v>6293</v>
      </c>
      <c r="W1636" s="129"/>
      <c r="X1636" s="88">
        <v>44505</v>
      </c>
      <c r="Y1636" s="130" t="s">
        <v>20</v>
      </c>
      <c r="Z1636" s="133" t="s">
        <v>60</v>
      </c>
      <c r="AA1636" s="133"/>
      <c r="AB1636" s="241">
        <v>6.4</v>
      </c>
      <c r="AC1636" s="134">
        <v>8000</v>
      </c>
      <c r="AD1636" s="134"/>
      <c r="AE1636" s="403">
        <f t="shared" si="95"/>
        <v>51200</v>
      </c>
      <c r="AF1636" s="132"/>
      <c r="AG1636" s="130" t="s">
        <v>21</v>
      </c>
      <c r="AH1636" s="130"/>
      <c r="AI1636" s="130" t="s">
        <v>3619</v>
      </c>
      <c r="AJ1636" s="130"/>
      <c r="AK1636" s="130"/>
      <c r="AL1636" s="256" t="s">
        <v>5917</v>
      </c>
      <c r="AM1636" s="314"/>
      <c r="AN1636" s="26">
        <f>BL1636</f>
        <v>0</v>
      </c>
      <c r="AO1636" s="26">
        <v>44475</v>
      </c>
      <c r="AP1636" s="26">
        <f>AQ1636</f>
        <v>44504</v>
      </c>
      <c r="AQ1636" s="26">
        <v>44504</v>
      </c>
      <c r="AR1636" s="24">
        <f>AP1636+4</f>
        <v>44508</v>
      </c>
      <c r="AS1636" s="41"/>
      <c r="AT1636" s="24">
        <v>44510</v>
      </c>
      <c r="AU1636" s="418">
        <f t="shared" si="96"/>
        <v>11</v>
      </c>
      <c r="AV1636" s="418">
        <f t="shared" si="97"/>
        <v>2021</v>
      </c>
      <c r="AW1636" s="24"/>
      <c r="AX1636" s="24"/>
      <c r="AY1636" s="24" t="s">
        <v>3981</v>
      </c>
      <c r="AZ1636" s="24" t="s">
        <v>37</v>
      </c>
      <c r="BA1636" s="24"/>
      <c r="BB1636" s="24" t="s">
        <v>3291</v>
      </c>
      <c r="BC1636" s="128" t="s">
        <v>6190</v>
      </c>
      <c r="BD1636" s="24">
        <v>44476</v>
      </c>
      <c r="BE1636" s="24" t="s">
        <v>870</v>
      </c>
      <c r="BF1636" s="24" t="s">
        <v>870</v>
      </c>
      <c r="BG1636" s="135" t="s">
        <v>29</v>
      </c>
      <c r="BH1636" s="135"/>
      <c r="BI1636" s="314" t="s">
        <v>3</v>
      </c>
      <c r="BJ1636" s="314" t="s">
        <v>138</v>
      </c>
      <c r="BK1636" s="24"/>
      <c r="BL1636" s="24"/>
      <c r="BM1636" s="24"/>
      <c r="BN1636" s="24"/>
      <c r="BO1636" s="24"/>
      <c r="BP1636" s="24"/>
      <c r="BQ1636" s="24"/>
      <c r="BR1636" s="24"/>
      <c r="BS1636" s="24"/>
      <c r="BT1636" s="24"/>
      <c r="BU1636" s="24"/>
      <c r="BV1636" s="132" t="e">
        <f>IF(#REF!="COMPLETO","OK","PENDIENTE")</f>
        <v>#REF!</v>
      </c>
      <c r="BW1636" s="132"/>
      <c r="BX1636" s="132"/>
      <c r="BY1636" s="132"/>
      <c r="BZ1636" s="132"/>
      <c r="CA1636" s="132"/>
      <c r="CB1636" s="132"/>
      <c r="CC1636" s="269"/>
      <c r="CG1636" s="24" t="s">
        <v>105</v>
      </c>
      <c r="CH1636" s="24"/>
      <c r="CI1636" s="24"/>
      <c r="CJ1636" s="24"/>
    </row>
    <row r="1637" spans="1:88" ht="15" customHeight="1">
      <c r="A1637" s="18">
        <v>2021</v>
      </c>
      <c r="B1637" s="18" t="s">
        <v>6191</v>
      </c>
      <c r="C1637" s="360" t="s">
        <v>484</v>
      </c>
      <c r="D1637" s="150" t="s">
        <v>77</v>
      </c>
      <c r="E1637" s="132"/>
      <c r="F1637" s="24"/>
      <c r="G1637" s="346">
        <v>8000001712</v>
      </c>
      <c r="H1637" s="18" t="s">
        <v>6294</v>
      </c>
      <c r="I1637" s="329"/>
      <c r="J1637" s="346">
        <v>8000001712</v>
      </c>
      <c r="K1637" s="24"/>
      <c r="L1637" s="24">
        <v>0</v>
      </c>
      <c r="M1637" s="24">
        <v>44546</v>
      </c>
      <c r="N1637" s="340" t="s">
        <v>486</v>
      </c>
      <c r="O1637" s="334">
        <v>206687</v>
      </c>
      <c r="P1637" s="25" t="s">
        <v>403</v>
      </c>
      <c r="Q1637" s="127" t="s">
        <v>303</v>
      </c>
      <c r="R1637" s="232" t="s">
        <v>6193</v>
      </c>
      <c r="S1637" s="89">
        <v>44392</v>
      </c>
      <c r="T1637" s="36" t="s">
        <v>19</v>
      </c>
      <c r="U1637" s="125"/>
      <c r="V1637" s="147" t="s">
        <v>6295</v>
      </c>
      <c r="W1637" s="129"/>
      <c r="X1637" s="88">
        <v>44528</v>
      </c>
      <c r="Y1637" s="130" t="s">
        <v>20</v>
      </c>
      <c r="Z1637" s="133" t="s">
        <v>60</v>
      </c>
      <c r="AA1637" s="133"/>
      <c r="AB1637" s="241">
        <v>3.6</v>
      </c>
      <c r="AC1637" s="134">
        <v>8000</v>
      </c>
      <c r="AD1637" s="134"/>
      <c r="AE1637" s="403">
        <f t="shared" si="95"/>
        <v>28800</v>
      </c>
      <c r="AF1637" s="132" t="s">
        <v>944</v>
      </c>
      <c r="AG1637" s="130" t="s">
        <v>21</v>
      </c>
      <c r="AH1637" s="130"/>
      <c r="AI1637" s="130" t="s">
        <v>3619</v>
      </c>
      <c r="AJ1637" s="130"/>
      <c r="AK1637" s="130"/>
      <c r="AL1637" s="256" t="s">
        <v>5917</v>
      </c>
      <c r="AM1637" s="314"/>
      <c r="AN1637" s="26">
        <f>BL1637</f>
        <v>0</v>
      </c>
      <c r="AO1637" s="26">
        <v>44510</v>
      </c>
      <c r="AP1637" s="26">
        <f>AQ1637</f>
        <v>44539</v>
      </c>
      <c r="AQ1637" s="26">
        <v>44539</v>
      </c>
      <c r="AR1637" s="24">
        <f>AQ1637+4</f>
        <v>44543</v>
      </c>
      <c r="AS1637" s="24"/>
      <c r="AT1637" s="24">
        <v>44544</v>
      </c>
      <c r="AU1637" s="418">
        <f t="shared" si="96"/>
        <v>12</v>
      </c>
      <c r="AV1637" s="418">
        <f t="shared" si="97"/>
        <v>2021</v>
      </c>
      <c r="AW1637" s="24"/>
      <c r="AX1637" s="24"/>
      <c r="AY1637" s="24" t="s">
        <v>3981</v>
      </c>
      <c r="AZ1637" s="24" t="s">
        <v>37</v>
      </c>
      <c r="BA1637" s="24"/>
      <c r="BB1637" s="24" t="s">
        <v>3291</v>
      </c>
      <c r="BC1637" s="128" t="s">
        <v>6195</v>
      </c>
      <c r="BD1637" s="24">
        <v>44510</v>
      </c>
      <c r="BE1637" s="24" t="s">
        <v>2329</v>
      </c>
      <c r="BF1637" s="24" t="s">
        <v>2329</v>
      </c>
      <c r="BG1637" s="135" t="s">
        <v>29</v>
      </c>
      <c r="BH1637" s="135"/>
      <c r="BI1637" s="314" t="s">
        <v>3</v>
      </c>
      <c r="BJ1637" s="314" t="s">
        <v>143</v>
      </c>
      <c r="BK1637" s="24"/>
      <c r="BL1637" s="24"/>
      <c r="BM1637" s="24"/>
      <c r="BN1637" s="24"/>
      <c r="BO1637" s="24">
        <v>44552</v>
      </c>
      <c r="BP1637" s="24"/>
      <c r="BQ1637" s="24"/>
      <c r="BR1637" s="24"/>
      <c r="BS1637" s="24"/>
      <c r="BT1637" s="24"/>
      <c r="BU1637" s="24"/>
      <c r="BV1637" s="132" t="e">
        <f>IF(#REF!="COMPLETO","OK","PENDIENTE")</f>
        <v>#REF!</v>
      </c>
      <c r="BW1637" s="132"/>
      <c r="BX1637" s="132"/>
      <c r="BY1637" s="132"/>
      <c r="BZ1637" s="132"/>
      <c r="CA1637" s="132"/>
      <c r="CB1637" s="132"/>
      <c r="CC1637" s="269"/>
      <c r="CG1637" s="24" t="s">
        <v>105</v>
      </c>
      <c r="CH1637" s="24"/>
      <c r="CI1637" s="24"/>
      <c r="CJ1637" s="24"/>
    </row>
    <row r="1638" spans="1:88" ht="15" customHeight="1">
      <c r="A1638" s="18">
        <v>2021</v>
      </c>
      <c r="B1638" s="18" t="str">
        <f>+INDEX(BDD!F:F,MATCH(P1638,BDD!D:D,0))&amp;"-"&amp;INDEX(BDD!E:E,MATCH(P1638,BDD!D:D,0))</f>
        <v>T-S</v>
      </c>
      <c r="C1638" s="360" t="s">
        <v>484</v>
      </c>
      <c r="D1638" s="150" t="s">
        <v>77</v>
      </c>
      <c r="E1638" s="132"/>
      <c r="F1638" s="24"/>
      <c r="G1638" s="346">
        <v>8000001605</v>
      </c>
      <c r="H1638" s="18" t="s">
        <v>6296</v>
      </c>
      <c r="I1638" s="329"/>
      <c r="J1638" s="346">
        <v>8000001605</v>
      </c>
      <c r="K1638" s="24"/>
      <c r="L1638" s="24">
        <v>0</v>
      </c>
      <c r="M1638" s="24">
        <v>44511</v>
      </c>
      <c r="N1638" s="340" t="s">
        <v>486</v>
      </c>
      <c r="O1638" s="334">
        <v>203562</v>
      </c>
      <c r="P1638" s="25" t="s">
        <v>404</v>
      </c>
      <c r="Q1638" s="127" t="s">
        <v>303</v>
      </c>
      <c r="R1638" s="232" t="s">
        <v>6297</v>
      </c>
      <c r="S1638" s="89">
        <v>44362</v>
      </c>
      <c r="T1638" s="36" t="s">
        <v>19</v>
      </c>
      <c r="U1638" s="125"/>
      <c r="V1638" s="147" t="s">
        <v>6298</v>
      </c>
      <c r="W1638" s="129"/>
      <c r="X1638" s="88">
        <v>44486</v>
      </c>
      <c r="Y1638" s="130" t="s">
        <v>20</v>
      </c>
      <c r="Z1638" s="133" t="s">
        <v>60</v>
      </c>
      <c r="AA1638" s="133"/>
      <c r="AB1638" s="241">
        <v>19.474</v>
      </c>
      <c r="AC1638" s="134">
        <v>2937.2496000000001</v>
      </c>
      <c r="AD1638" s="134"/>
      <c r="AE1638" s="403">
        <f t="shared" si="95"/>
        <v>57199.998710400003</v>
      </c>
      <c r="AF1638" s="132">
        <v>1</v>
      </c>
      <c r="AG1638" s="130" t="s">
        <v>21</v>
      </c>
      <c r="AH1638" s="130"/>
      <c r="AI1638" s="130" t="s">
        <v>6299</v>
      </c>
      <c r="AJ1638" s="130"/>
      <c r="AK1638" s="130"/>
      <c r="AL1638" s="256" t="s">
        <v>5917</v>
      </c>
      <c r="AM1638" s="314"/>
      <c r="AN1638" s="26">
        <v>44466</v>
      </c>
      <c r="AO1638" s="26">
        <v>44477</v>
      </c>
      <c r="AP1638" s="26">
        <v>44490</v>
      </c>
      <c r="AQ1638" s="26">
        <v>44504</v>
      </c>
      <c r="AR1638" s="24">
        <f>AP1638+4</f>
        <v>44494</v>
      </c>
      <c r="AS1638" s="41"/>
      <c r="AT1638" s="24">
        <v>44509</v>
      </c>
      <c r="AU1638" s="418">
        <f t="shared" si="96"/>
        <v>11</v>
      </c>
      <c r="AV1638" s="418">
        <f t="shared" si="97"/>
        <v>2021</v>
      </c>
      <c r="AW1638" s="24"/>
      <c r="AX1638" s="24"/>
      <c r="AY1638" s="24" t="s">
        <v>5919</v>
      </c>
      <c r="AZ1638" s="24" t="s">
        <v>37</v>
      </c>
      <c r="BA1638" s="24"/>
      <c r="BB1638" s="24" t="s">
        <v>3291</v>
      </c>
      <c r="BC1638" s="128" t="s">
        <v>6300</v>
      </c>
      <c r="BD1638" s="24">
        <v>44477</v>
      </c>
      <c r="BE1638" s="24" t="s">
        <v>6301</v>
      </c>
      <c r="BF1638" s="24" t="s">
        <v>6301</v>
      </c>
      <c r="BG1638" s="135" t="s">
        <v>29</v>
      </c>
      <c r="BH1638" s="135"/>
      <c r="BI1638" s="314" t="s">
        <v>3</v>
      </c>
      <c r="BJ1638" s="314" t="s">
        <v>148</v>
      </c>
      <c r="BK1638" s="24"/>
      <c r="BL1638" s="24"/>
      <c r="BM1638" s="24"/>
      <c r="BN1638" s="24"/>
      <c r="BO1638" s="24"/>
      <c r="BP1638" s="24"/>
      <c r="BQ1638" s="24"/>
      <c r="BR1638" s="24"/>
      <c r="BS1638" s="24"/>
      <c r="BT1638" s="24"/>
      <c r="BU1638" s="24"/>
      <c r="BV1638" s="132" t="e">
        <f>IF(#REF!="COMPLETO","OK","PENDIENTE")</f>
        <v>#REF!</v>
      </c>
      <c r="BW1638" s="132"/>
      <c r="BX1638" s="132"/>
      <c r="BY1638" s="132"/>
      <c r="BZ1638" s="132"/>
      <c r="CA1638" s="132"/>
      <c r="CB1638" s="132"/>
      <c r="CC1638" s="269"/>
      <c r="CG1638" s="24" t="s">
        <v>105</v>
      </c>
      <c r="CH1638" s="24"/>
      <c r="CI1638" s="24"/>
      <c r="CJ1638" s="24"/>
    </row>
    <row r="1639" spans="1:88" ht="15" customHeight="1">
      <c r="A1639" s="18">
        <v>2021</v>
      </c>
      <c r="B1639" s="18" t="str">
        <f>+INDEX(BDD!F:F,MATCH(P1639,BDD!D:D,0))&amp;"-"&amp;INDEX(BDD!E:E,MATCH(P1639,BDD!D:D,0))</f>
        <v>E-S</v>
      </c>
      <c r="C1639" s="360" t="s">
        <v>484</v>
      </c>
      <c r="D1639" s="150" t="s">
        <v>77</v>
      </c>
      <c r="E1639" s="132"/>
      <c r="F1639" s="24"/>
      <c r="G1639" s="346">
        <v>8000001503</v>
      </c>
      <c r="H1639" s="18" t="s">
        <v>6302</v>
      </c>
      <c r="I1639" s="329"/>
      <c r="J1639" s="346">
        <v>8000001503</v>
      </c>
      <c r="K1639" s="24"/>
      <c r="L1639" s="24">
        <v>0</v>
      </c>
      <c r="M1639" s="24">
        <v>44540</v>
      </c>
      <c r="N1639" s="340" t="s">
        <v>486</v>
      </c>
      <c r="O1639" s="334">
        <v>203620</v>
      </c>
      <c r="P1639" s="25" t="s">
        <v>348</v>
      </c>
      <c r="Q1639" s="127" t="s">
        <v>297</v>
      </c>
      <c r="R1639" s="232" t="s">
        <v>6303</v>
      </c>
      <c r="S1639" s="89">
        <v>44441</v>
      </c>
      <c r="T1639" s="36">
        <v>90</v>
      </c>
      <c r="U1639" s="125" t="s">
        <v>118</v>
      </c>
      <c r="V1639" s="147" t="s">
        <v>6304</v>
      </c>
      <c r="W1639" s="129"/>
      <c r="X1639" s="88">
        <v>44584</v>
      </c>
      <c r="Y1639" s="130" t="s">
        <v>20</v>
      </c>
      <c r="Z1639" s="133" t="s">
        <v>72</v>
      </c>
      <c r="AA1639" s="133"/>
      <c r="AB1639" s="241">
        <v>24.65</v>
      </c>
      <c r="AC1639" s="134">
        <v>1059</v>
      </c>
      <c r="AD1639" s="134"/>
      <c r="AE1639" s="403">
        <f t="shared" si="95"/>
        <v>26104.35</v>
      </c>
      <c r="AF1639" s="132">
        <f>AB1639/24</f>
        <v>1.0270833333333333</v>
      </c>
      <c r="AG1639" s="130" t="s">
        <v>5</v>
      </c>
      <c r="AH1639" s="130"/>
      <c r="AI1639" s="130" t="s">
        <v>106</v>
      </c>
      <c r="AJ1639" s="130"/>
      <c r="AK1639" s="130"/>
      <c r="AL1639" s="135" t="s">
        <v>6305</v>
      </c>
      <c r="AM1639" s="314"/>
      <c r="AN1639" s="26">
        <f>BL1639</f>
        <v>0</v>
      </c>
      <c r="AO1639" s="26">
        <v>44494</v>
      </c>
      <c r="AP1639" s="26">
        <f>AQ1639</f>
        <v>44534</v>
      </c>
      <c r="AQ1639" s="26">
        <v>44534</v>
      </c>
      <c r="AR1639" s="24">
        <f>AQ1639+4</f>
        <v>44538</v>
      </c>
      <c r="AS1639" s="24"/>
      <c r="AT1639" s="24">
        <v>44537</v>
      </c>
      <c r="AU1639" s="418">
        <f t="shared" si="96"/>
        <v>12</v>
      </c>
      <c r="AV1639" s="418">
        <f t="shared" si="97"/>
        <v>2021</v>
      </c>
      <c r="AW1639" s="24"/>
      <c r="AX1639" s="24"/>
      <c r="AY1639" s="24" t="s">
        <v>212</v>
      </c>
      <c r="AZ1639" s="24" t="s">
        <v>37</v>
      </c>
      <c r="BA1639" s="24"/>
      <c r="BB1639" s="24" t="s">
        <v>3291</v>
      </c>
      <c r="BC1639" s="128" t="s">
        <v>6306</v>
      </c>
      <c r="BD1639" s="24">
        <v>44494</v>
      </c>
      <c r="BE1639" s="24" t="s">
        <v>6307</v>
      </c>
      <c r="BF1639" s="24" t="s">
        <v>6308</v>
      </c>
      <c r="BG1639" s="135" t="s">
        <v>14</v>
      </c>
      <c r="BH1639" s="135" t="s">
        <v>5367</v>
      </c>
      <c r="BI1639" s="314" t="s">
        <v>3</v>
      </c>
      <c r="BJ1639" s="314" t="s">
        <v>143</v>
      </c>
      <c r="BK1639" s="24"/>
      <c r="BL1639" s="24"/>
      <c r="BM1639" s="24"/>
      <c r="BN1639" s="24"/>
      <c r="BO1639" s="24">
        <f>AQ1639+5</f>
        <v>44539</v>
      </c>
      <c r="BP1639" s="24"/>
      <c r="BQ1639" s="24"/>
      <c r="BR1639" s="24"/>
      <c r="BS1639" s="24"/>
      <c r="BT1639" s="24"/>
      <c r="BU1639" s="24"/>
      <c r="BV1639" s="132" t="e">
        <f>IF(#REF!="COMPLETO","OK","PENDIENTE")</f>
        <v>#REF!</v>
      </c>
      <c r="BW1639" s="132"/>
      <c r="BX1639" s="132"/>
      <c r="BY1639" s="132"/>
      <c r="BZ1639" s="132"/>
      <c r="CA1639" s="132"/>
      <c r="CB1639" s="132"/>
      <c r="CC1639" s="269"/>
      <c r="CG1639" s="24" t="s">
        <v>105</v>
      </c>
      <c r="CH1639" s="24"/>
      <c r="CI1639" s="24"/>
      <c r="CJ1639" s="24"/>
    </row>
    <row r="1640" spans="1:88" ht="15" customHeight="1">
      <c r="A1640" s="18">
        <v>2021</v>
      </c>
      <c r="B1640" s="18" t="str">
        <f>+INDEX(BDD!F:F,MATCH(P1640,BDD!D:D,0))&amp;"-"&amp;INDEX(BDD!E:E,MATCH(P1640,BDD!D:D,0))</f>
        <v>S-P</v>
      </c>
      <c r="C1640" s="360" t="s">
        <v>484</v>
      </c>
      <c r="D1640" s="150" t="s">
        <v>77</v>
      </c>
      <c r="E1640" s="132"/>
      <c r="F1640" s="24"/>
      <c r="G1640" s="346">
        <v>8000001505</v>
      </c>
      <c r="H1640" s="18" t="s">
        <v>6309</v>
      </c>
      <c r="I1640" s="329" t="s">
        <v>8104</v>
      </c>
      <c r="J1640" s="346">
        <v>8000001505</v>
      </c>
      <c r="K1640" s="24"/>
      <c r="L1640" s="24">
        <v>0</v>
      </c>
      <c r="M1640" s="24">
        <v>44533</v>
      </c>
      <c r="N1640" s="340" t="s">
        <v>486</v>
      </c>
      <c r="O1640" s="334">
        <v>203646</v>
      </c>
      <c r="P1640" s="25" t="s">
        <v>2</v>
      </c>
      <c r="Q1640" s="127" t="s">
        <v>237</v>
      </c>
      <c r="R1640" s="232" t="s">
        <v>6310</v>
      </c>
      <c r="S1640" s="89">
        <v>44446</v>
      </c>
      <c r="T1640" s="36">
        <v>90</v>
      </c>
      <c r="U1640" s="125" t="s">
        <v>118</v>
      </c>
      <c r="V1640" s="147" t="s">
        <v>6311</v>
      </c>
      <c r="W1640" s="129"/>
      <c r="X1640" s="88">
        <f>+BD1640+T1640</f>
        <v>44597</v>
      </c>
      <c r="Y1640" s="130" t="s">
        <v>20</v>
      </c>
      <c r="Z1640" s="133" t="s">
        <v>60</v>
      </c>
      <c r="AA1640" s="133"/>
      <c r="AB1640" s="241">
        <v>108.8</v>
      </c>
      <c r="AC1640" s="134">
        <v>1557</v>
      </c>
      <c r="AD1640" s="134"/>
      <c r="AE1640" s="403">
        <f t="shared" si="95"/>
        <v>169401.60000000001</v>
      </c>
      <c r="AF1640" s="132">
        <v>4</v>
      </c>
      <c r="AG1640" s="130" t="s">
        <v>5</v>
      </c>
      <c r="AH1640" s="130"/>
      <c r="AI1640" s="130" t="s">
        <v>106</v>
      </c>
      <c r="AJ1640" s="130"/>
      <c r="AK1640" s="130"/>
      <c r="AL1640" s="135" t="s">
        <v>6312</v>
      </c>
      <c r="AM1640" s="314"/>
      <c r="AN1640" s="26">
        <v>44500</v>
      </c>
      <c r="AO1640" s="26">
        <v>44507</v>
      </c>
      <c r="AP1640" s="26">
        <f>AQ1640</f>
        <v>44530</v>
      </c>
      <c r="AQ1640" s="26">
        <v>44530</v>
      </c>
      <c r="AR1640" s="24">
        <f>AQ1640+4</f>
        <v>44534</v>
      </c>
      <c r="AS1640" s="24"/>
      <c r="AT1640" s="24">
        <v>44534</v>
      </c>
      <c r="AU1640" s="418">
        <f t="shared" si="96"/>
        <v>12</v>
      </c>
      <c r="AV1640" s="418">
        <f t="shared" si="97"/>
        <v>2021</v>
      </c>
      <c r="AW1640" s="24"/>
      <c r="AX1640" s="24"/>
      <c r="AY1640" s="24" t="s">
        <v>302</v>
      </c>
      <c r="AZ1640" s="24" t="s">
        <v>9</v>
      </c>
      <c r="BA1640" s="24"/>
      <c r="BB1640" s="24" t="s">
        <v>3264</v>
      </c>
      <c r="BC1640" s="128" t="s">
        <v>6313</v>
      </c>
      <c r="BD1640" s="24">
        <v>44507</v>
      </c>
      <c r="BE1640" s="24" t="s">
        <v>6314</v>
      </c>
      <c r="BF1640" s="24" t="s">
        <v>5944</v>
      </c>
      <c r="BG1640" s="135" t="s">
        <v>29</v>
      </c>
      <c r="BH1640" s="135"/>
      <c r="BI1640" s="314" t="s">
        <v>3</v>
      </c>
      <c r="BJ1640" s="314" t="s">
        <v>148</v>
      </c>
      <c r="BK1640" s="24"/>
      <c r="BL1640" s="24"/>
      <c r="BM1640" s="24"/>
      <c r="BN1640" s="24"/>
      <c r="BO1640" s="24">
        <f>AQ1640+13</f>
        <v>44543</v>
      </c>
      <c r="BP1640" s="24"/>
      <c r="BQ1640" s="24"/>
      <c r="BR1640" s="24"/>
      <c r="BS1640" s="24"/>
      <c r="BT1640" s="24"/>
      <c r="BU1640" s="24"/>
      <c r="BV1640" s="132" t="e">
        <f>IF(#REF!="COMPLETO","OK","PENDIENTE")</f>
        <v>#REF!</v>
      </c>
      <c r="BW1640" s="132"/>
      <c r="BX1640" s="132"/>
      <c r="BY1640" s="132"/>
      <c r="BZ1640" s="132"/>
      <c r="CA1640" s="132"/>
      <c r="CB1640" s="132"/>
      <c r="CC1640" s="269"/>
      <c r="CG1640" s="24" t="s">
        <v>105</v>
      </c>
      <c r="CH1640" s="24"/>
      <c r="CI1640" s="24"/>
      <c r="CJ1640" s="24"/>
    </row>
    <row r="1641" spans="1:88" ht="15" customHeight="1">
      <c r="A1641" s="18">
        <v>2021</v>
      </c>
      <c r="B1641" s="18" t="str">
        <f>+INDEX(BDD!F:F,MATCH(P1641,BDD!D:D,0))&amp;"-"&amp;INDEX(BDD!E:E,MATCH(P1641,BDD!D:D,0))</f>
        <v>S-P</v>
      </c>
      <c r="C1641" s="360" t="s">
        <v>484</v>
      </c>
      <c r="D1641" s="150" t="s">
        <v>77</v>
      </c>
      <c r="E1641" s="132"/>
      <c r="F1641" s="24"/>
      <c r="G1641" s="346">
        <v>8000001506</v>
      </c>
      <c r="H1641" s="18" t="s">
        <v>6315</v>
      </c>
      <c r="I1641" s="329"/>
      <c r="J1641" s="346">
        <v>8000001506</v>
      </c>
      <c r="K1641" s="24"/>
      <c r="L1641" s="24">
        <v>0</v>
      </c>
      <c r="M1641" s="24">
        <v>44513</v>
      </c>
      <c r="N1641" s="340" t="s">
        <v>486</v>
      </c>
      <c r="O1641" s="334">
        <v>206766</v>
      </c>
      <c r="P1641" s="25" t="s">
        <v>2</v>
      </c>
      <c r="Q1641" s="127" t="s">
        <v>237</v>
      </c>
      <c r="R1641" s="232" t="s">
        <v>6316</v>
      </c>
      <c r="S1641" s="89">
        <v>44446</v>
      </c>
      <c r="T1641" s="36">
        <v>90</v>
      </c>
      <c r="U1641" s="125" t="s">
        <v>118</v>
      </c>
      <c r="V1641" s="147" t="s">
        <v>6317</v>
      </c>
      <c r="W1641" s="129"/>
      <c r="X1641" s="88">
        <v>44572</v>
      </c>
      <c r="Y1641" s="130" t="s">
        <v>20</v>
      </c>
      <c r="Z1641" s="133" t="s">
        <v>60</v>
      </c>
      <c r="AA1641" s="133"/>
      <c r="AB1641" s="241">
        <v>408</v>
      </c>
      <c r="AC1641" s="134">
        <v>1546</v>
      </c>
      <c r="AD1641" s="134"/>
      <c r="AE1641" s="403">
        <f t="shared" si="95"/>
        <v>630768</v>
      </c>
      <c r="AF1641" s="132">
        <v>17</v>
      </c>
      <c r="AG1641" s="130" t="s">
        <v>5</v>
      </c>
      <c r="AH1641" s="130"/>
      <c r="AI1641" s="130" t="s">
        <v>47</v>
      </c>
      <c r="AJ1641" s="130"/>
      <c r="AK1641" s="130"/>
      <c r="AL1641" s="135" t="s">
        <v>6312</v>
      </c>
      <c r="AM1641" s="314"/>
      <c r="AN1641" s="26">
        <v>44500</v>
      </c>
      <c r="AO1641" s="26">
        <v>44482</v>
      </c>
      <c r="AP1641" s="26">
        <f>AQ1641</f>
        <v>44505</v>
      </c>
      <c r="AQ1641" s="26">
        <v>44505</v>
      </c>
      <c r="AR1641" s="24">
        <f>AP1641+4</f>
        <v>44509</v>
      </c>
      <c r="AS1641" s="24"/>
      <c r="AT1641" s="24">
        <v>44511</v>
      </c>
      <c r="AU1641" s="418">
        <f t="shared" si="96"/>
        <v>11</v>
      </c>
      <c r="AV1641" s="418">
        <f t="shared" si="97"/>
        <v>2021</v>
      </c>
      <c r="AW1641" s="24"/>
      <c r="AX1641" s="24"/>
      <c r="AY1641" s="24" t="s">
        <v>302</v>
      </c>
      <c r="AZ1641" s="24" t="s">
        <v>9</v>
      </c>
      <c r="BA1641" s="24"/>
      <c r="BB1641" s="24" t="s">
        <v>3264</v>
      </c>
      <c r="BC1641" s="128" t="s">
        <v>6318</v>
      </c>
      <c r="BD1641" s="24">
        <v>44483</v>
      </c>
      <c r="BE1641" s="24" t="s">
        <v>6319</v>
      </c>
      <c r="BF1641" s="24" t="s">
        <v>5344</v>
      </c>
      <c r="BG1641" s="135" t="s">
        <v>41</v>
      </c>
      <c r="BH1641" s="135"/>
      <c r="BI1641" s="314" t="s">
        <v>3</v>
      </c>
      <c r="BJ1641" s="314" t="s">
        <v>148</v>
      </c>
      <c r="BK1641" s="24"/>
      <c r="BL1641" s="24"/>
      <c r="BM1641" s="24"/>
      <c r="BN1641" s="24"/>
      <c r="BO1641" s="24"/>
      <c r="BP1641" s="24"/>
      <c r="BQ1641" s="24"/>
      <c r="BR1641" s="24"/>
      <c r="BS1641" s="24"/>
      <c r="BT1641" s="24"/>
      <c r="BU1641" s="24"/>
      <c r="BV1641" s="132" t="e">
        <f>IF(#REF!="COMPLETO","OK","PENDIENTE")</f>
        <v>#REF!</v>
      </c>
      <c r="BW1641" s="132"/>
      <c r="BX1641" s="132"/>
      <c r="BY1641" s="132"/>
      <c r="BZ1641" s="132"/>
      <c r="CA1641" s="132"/>
      <c r="CB1641" s="132"/>
      <c r="CC1641" s="269"/>
      <c r="CG1641" s="24" t="s">
        <v>105</v>
      </c>
      <c r="CH1641" s="24"/>
      <c r="CI1641" s="24"/>
      <c r="CJ1641" s="24"/>
    </row>
    <row r="1642" spans="1:88" ht="15" customHeight="1">
      <c r="A1642" s="18">
        <v>2021</v>
      </c>
      <c r="B1642" s="18" t="str">
        <f>+INDEX(BDD!F:F,MATCH(P1642,BDD!D:D,0))&amp;"-"&amp;INDEX(BDD!E:E,MATCH(P1642,BDD!D:D,0))</f>
        <v>S-C</v>
      </c>
      <c r="C1642" s="360" t="s">
        <v>484</v>
      </c>
      <c r="D1642" s="150" t="s">
        <v>20</v>
      </c>
      <c r="E1642" s="132" t="s">
        <v>1622</v>
      </c>
      <c r="F1642" s="24"/>
      <c r="G1642" s="346"/>
      <c r="H1642" s="18" t="s">
        <v>6320</v>
      </c>
      <c r="I1642" s="329"/>
      <c r="J1642" s="346"/>
      <c r="K1642" s="24"/>
      <c r="L1642" s="24"/>
      <c r="M1642" s="24"/>
      <c r="N1642" s="340"/>
      <c r="O1642" s="334"/>
      <c r="P1642" s="25" t="s">
        <v>241</v>
      </c>
      <c r="Q1642" s="127" t="s">
        <v>110</v>
      </c>
      <c r="R1642" s="232"/>
      <c r="S1642" s="89"/>
      <c r="T1642" s="36"/>
      <c r="U1642" s="125"/>
      <c r="V1642" s="147"/>
      <c r="W1642" s="129"/>
      <c r="X1642" s="88"/>
      <c r="Y1642" s="130"/>
      <c r="Z1642" s="133"/>
      <c r="AA1642" s="133"/>
      <c r="AB1642" s="241"/>
      <c r="AC1642" s="134"/>
      <c r="AD1642" s="134"/>
      <c r="AE1642" s="403">
        <f t="shared" si="95"/>
        <v>0</v>
      </c>
      <c r="AF1642" s="132"/>
      <c r="AG1642" s="130"/>
      <c r="AH1642" s="130"/>
      <c r="AI1642" s="130"/>
      <c r="AJ1642" s="130"/>
      <c r="AK1642" s="130"/>
      <c r="AL1642" s="135"/>
      <c r="AM1642" s="314"/>
      <c r="AN1642" s="26"/>
      <c r="AO1642" s="26"/>
      <c r="AP1642" s="26"/>
      <c r="AQ1642" s="26"/>
      <c r="AR1642" s="24"/>
      <c r="AS1642" s="24"/>
      <c r="AT1642" s="24"/>
      <c r="AU1642" s="418">
        <f t="shared" si="96"/>
        <v>1</v>
      </c>
      <c r="AV1642" s="418">
        <f t="shared" si="97"/>
        <v>1900</v>
      </c>
      <c r="AW1642" s="24"/>
      <c r="AX1642" s="24"/>
      <c r="AY1642" s="24"/>
      <c r="AZ1642" s="24"/>
      <c r="BA1642" s="24"/>
      <c r="BB1642" s="24"/>
      <c r="BC1642" s="128"/>
      <c r="BD1642" s="24"/>
      <c r="BE1642" s="24"/>
      <c r="BF1642" s="24"/>
      <c r="BG1642" s="135"/>
      <c r="BH1642" s="135"/>
      <c r="BI1642" s="314"/>
      <c r="BJ1642" s="314"/>
      <c r="BK1642" s="24"/>
      <c r="BL1642" s="24"/>
      <c r="BM1642" s="24"/>
      <c r="BN1642" s="24"/>
      <c r="BO1642" s="24"/>
      <c r="BP1642" s="24"/>
      <c r="BQ1642" s="24"/>
      <c r="BR1642" s="24"/>
      <c r="BS1642" s="24"/>
      <c r="BT1642" s="24"/>
      <c r="BU1642" s="24"/>
      <c r="BV1642" s="132"/>
      <c r="BW1642" s="132"/>
      <c r="BX1642" s="132"/>
      <c r="BY1642" s="132"/>
      <c r="BZ1642" s="132"/>
      <c r="CA1642" s="132"/>
      <c r="CB1642" s="132"/>
      <c r="CC1642" s="362"/>
      <c r="CD1642" s="22"/>
      <c r="CE1642" s="22"/>
      <c r="CF1642" s="22"/>
      <c r="CG1642" s="24"/>
      <c r="CH1642" s="24"/>
      <c r="CI1642" s="24"/>
      <c r="CJ1642" s="24"/>
    </row>
    <row r="1643" spans="1:88" ht="15" customHeight="1">
      <c r="A1643" s="18">
        <v>2021</v>
      </c>
      <c r="B1643" s="18" t="str">
        <f>+INDEX(BDD!F:F,MATCH(P1643,BDD!D:D,0))&amp;"-"&amp;INDEX(BDD!E:E,MATCH(P1643,BDD!D:D,0))</f>
        <v>S-C</v>
      </c>
      <c r="C1643" s="360" t="s">
        <v>484</v>
      </c>
      <c r="D1643" s="150" t="s">
        <v>20</v>
      </c>
      <c r="E1643" s="132" t="s">
        <v>1622</v>
      </c>
      <c r="F1643" s="24"/>
      <c r="G1643" s="346"/>
      <c r="H1643" s="18" t="s">
        <v>6321</v>
      </c>
      <c r="I1643" s="329"/>
      <c r="J1643" s="346"/>
      <c r="K1643" s="24"/>
      <c r="L1643" s="24"/>
      <c r="M1643" s="24"/>
      <c r="N1643" s="340"/>
      <c r="O1643" s="334"/>
      <c r="P1643" s="25" t="s">
        <v>241</v>
      </c>
      <c r="Q1643" s="127" t="s">
        <v>110</v>
      </c>
      <c r="R1643" s="232"/>
      <c r="S1643" s="89"/>
      <c r="T1643" s="36"/>
      <c r="U1643" s="125"/>
      <c r="V1643" s="147"/>
      <c r="W1643" s="129"/>
      <c r="X1643" s="88"/>
      <c r="Y1643" s="130"/>
      <c r="Z1643" s="133"/>
      <c r="AA1643" s="133"/>
      <c r="AB1643" s="241"/>
      <c r="AC1643" s="134"/>
      <c r="AD1643" s="134"/>
      <c r="AE1643" s="403">
        <f t="shared" si="95"/>
        <v>0</v>
      </c>
      <c r="AF1643" s="132"/>
      <c r="AG1643" s="130"/>
      <c r="AH1643" s="130"/>
      <c r="AI1643" s="130"/>
      <c r="AJ1643" s="130"/>
      <c r="AK1643" s="130"/>
      <c r="AL1643" s="135"/>
      <c r="AM1643" s="314"/>
      <c r="AN1643" s="26"/>
      <c r="AO1643" s="26"/>
      <c r="AP1643" s="26"/>
      <c r="AQ1643" s="26"/>
      <c r="AR1643" s="24"/>
      <c r="AS1643" s="24"/>
      <c r="AT1643" s="24"/>
      <c r="AU1643" s="418">
        <f t="shared" si="96"/>
        <v>1</v>
      </c>
      <c r="AV1643" s="418">
        <f t="shared" si="97"/>
        <v>1900</v>
      </c>
      <c r="AW1643" s="24"/>
      <c r="AX1643" s="24"/>
      <c r="AY1643" s="24"/>
      <c r="AZ1643" s="24"/>
      <c r="BA1643" s="24"/>
      <c r="BB1643" s="24"/>
      <c r="BC1643" s="128"/>
      <c r="BD1643" s="24"/>
      <c r="BE1643" s="24"/>
      <c r="BF1643" s="24"/>
      <c r="BG1643" s="135"/>
      <c r="BH1643" s="135"/>
      <c r="BI1643" s="314"/>
      <c r="BJ1643" s="314"/>
      <c r="BK1643" s="24"/>
      <c r="BL1643" s="24"/>
      <c r="BM1643" s="24"/>
      <c r="BN1643" s="24"/>
      <c r="BO1643" s="24"/>
      <c r="BP1643" s="24"/>
      <c r="BQ1643" s="24"/>
      <c r="BR1643" s="24"/>
      <c r="BS1643" s="24"/>
      <c r="BT1643" s="24"/>
      <c r="BU1643" s="24"/>
      <c r="BV1643" s="132"/>
      <c r="BW1643" s="132"/>
      <c r="BX1643" s="132"/>
      <c r="BY1643" s="132"/>
      <c r="BZ1643" s="132"/>
      <c r="CA1643" s="132"/>
      <c r="CB1643" s="132"/>
      <c r="CC1643" s="362"/>
      <c r="CD1643" s="22"/>
      <c r="CE1643" s="22"/>
      <c r="CF1643" s="22"/>
      <c r="CG1643" s="24"/>
      <c r="CH1643" s="24"/>
      <c r="CI1643" s="24"/>
      <c r="CJ1643" s="24"/>
    </row>
    <row r="1644" spans="1:88" ht="15" customHeight="1">
      <c r="A1644" s="18">
        <v>2021</v>
      </c>
      <c r="B1644" s="18" t="str">
        <f>+INDEX(BDD!F:F,MATCH(P1644,BDD!D:D,0))&amp;"-"&amp;INDEX(BDD!E:E,MATCH(P1644,BDD!D:D,0))</f>
        <v>S-P</v>
      </c>
      <c r="C1644" s="360" t="s">
        <v>484</v>
      </c>
      <c r="D1644" s="150" t="s">
        <v>77</v>
      </c>
      <c r="E1644" s="132"/>
      <c r="F1644" s="24"/>
      <c r="G1644" s="346">
        <v>8000001509</v>
      </c>
      <c r="H1644" s="18" t="s">
        <v>6322</v>
      </c>
      <c r="I1644" s="329" t="s">
        <v>6323</v>
      </c>
      <c r="J1644" s="346">
        <v>8000001509</v>
      </c>
      <c r="K1644" s="24"/>
      <c r="L1644" s="24">
        <v>44671</v>
      </c>
      <c r="M1644" s="24">
        <v>44683</v>
      </c>
      <c r="N1644" s="340" t="s">
        <v>486</v>
      </c>
      <c r="O1644" s="334">
        <v>207499</v>
      </c>
      <c r="P1644" s="406" t="s">
        <v>343</v>
      </c>
      <c r="Q1644" s="407" t="s">
        <v>297</v>
      </c>
      <c r="R1644" s="232" t="s">
        <v>6324</v>
      </c>
      <c r="S1644" s="89">
        <v>44453</v>
      </c>
      <c r="T1644" s="36">
        <v>90</v>
      </c>
      <c r="U1644" s="125" t="s">
        <v>118</v>
      </c>
      <c r="V1644" s="147" t="s">
        <v>6325</v>
      </c>
      <c r="W1644" s="88">
        <v>44584</v>
      </c>
      <c r="X1644" s="88">
        <v>44674</v>
      </c>
      <c r="Y1644" s="130" t="s">
        <v>20</v>
      </c>
      <c r="Z1644" s="133" t="s">
        <v>60</v>
      </c>
      <c r="AA1644" s="133" t="s">
        <v>6326</v>
      </c>
      <c r="AB1644" s="408">
        <v>133.375</v>
      </c>
      <c r="AC1644" s="409">
        <v>768</v>
      </c>
      <c r="AD1644" s="409">
        <v>120</v>
      </c>
      <c r="AE1644" s="403">
        <f t="shared" si="95"/>
        <v>102432</v>
      </c>
      <c r="AF1644" s="410"/>
      <c r="AG1644" s="130" t="s">
        <v>58</v>
      </c>
      <c r="AH1644" s="130" t="s">
        <v>944</v>
      </c>
      <c r="AI1644" s="130" t="s">
        <v>34</v>
      </c>
      <c r="AJ1644" s="274">
        <v>1.2450000000000001</v>
      </c>
      <c r="AK1644" s="130" t="s">
        <v>5400</v>
      </c>
      <c r="AL1644" s="411" t="s">
        <v>6312</v>
      </c>
      <c r="AM1644" s="410"/>
      <c r="AN1644" s="385">
        <f>BL1644</f>
        <v>0</v>
      </c>
      <c r="AO1644" s="385">
        <v>44591</v>
      </c>
      <c r="AP1644" s="385">
        <f>AQ1644</f>
        <v>44656</v>
      </c>
      <c r="AQ1644" s="385">
        <v>44656</v>
      </c>
      <c r="AR1644" s="412">
        <f>AQ1644+10</f>
        <v>44666</v>
      </c>
      <c r="AS1644" s="412">
        <v>44680</v>
      </c>
      <c r="AT1644" s="412">
        <v>44684</v>
      </c>
      <c r="AU1644" s="418">
        <f t="shared" si="96"/>
        <v>5</v>
      </c>
      <c r="AV1644" s="418">
        <f t="shared" si="97"/>
        <v>2022</v>
      </c>
      <c r="AW1644" s="412"/>
      <c r="AX1644" s="412"/>
      <c r="AY1644" s="412" t="s">
        <v>5402</v>
      </c>
      <c r="AZ1644" s="412" t="s">
        <v>37</v>
      </c>
      <c r="BA1644" s="412" t="s">
        <v>6329</v>
      </c>
      <c r="BB1644" s="412" t="s">
        <v>3291</v>
      </c>
      <c r="BC1644" s="413" t="s">
        <v>6327</v>
      </c>
      <c r="BD1644" s="412">
        <v>44584</v>
      </c>
      <c r="BE1644" s="412" t="s">
        <v>6328</v>
      </c>
      <c r="BF1644" s="412" t="s">
        <v>6328</v>
      </c>
      <c r="BG1644" s="135" t="s">
        <v>52</v>
      </c>
      <c r="BH1644" s="135" t="s">
        <v>6330</v>
      </c>
      <c r="BI1644" s="314" t="s">
        <v>3</v>
      </c>
      <c r="BJ1644" s="314"/>
      <c r="BK1644" s="24"/>
      <c r="BL1644" s="24"/>
      <c r="BM1644" s="24"/>
      <c r="BN1644" s="24"/>
      <c r="BO1644" s="41"/>
      <c r="BP1644" s="41"/>
      <c r="BQ1644" s="41" t="s">
        <v>6331</v>
      </c>
      <c r="BR1644" s="24">
        <v>44652</v>
      </c>
      <c r="BS1644" s="41" t="s">
        <v>38</v>
      </c>
      <c r="BT1644" s="41" t="s">
        <v>11</v>
      </c>
      <c r="BU1644" s="41"/>
      <c r="BV1644" s="132" t="s">
        <v>6087</v>
      </c>
      <c r="BW1644" s="132"/>
      <c r="BX1644" s="132"/>
      <c r="BY1644" s="132"/>
      <c r="BZ1644" s="132"/>
      <c r="CA1644" s="132"/>
      <c r="CB1644" s="132"/>
      <c r="CC1644" s="269"/>
      <c r="CG1644" s="24" t="s">
        <v>105</v>
      </c>
      <c r="CH1644" s="24"/>
      <c r="CI1644" s="24"/>
      <c r="CJ1644" s="24"/>
    </row>
    <row r="1645" spans="1:88" ht="15" customHeight="1">
      <c r="A1645" s="18">
        <v>2021</v>
      </c>
      <c r="B1645" s="18" t="str">
        <f>+INDEX(BDD!F:F,MATCH(P1645,BDD!D:D,0))&amp;"-"&amp;INDEX(BDD!E:E,MATCH(P1645,BDD!D:D,0))</f>
        <v>G-S</v>
      </c>
      <c r="C1645" s="360" t="s">
        <v>484</v>
      </c>
      <c r="D1645" s="150" t="s">
        <v>77</v>
      </c>
      <c r="E1645" s="132"/>
      <c r="F1645" s="24"/>
      <c r="G1645" s="346">
        <v>8000001636</v>
      </c>
      <c r="H1645" s="18" t="s">
        <v>6332</v>
      </c>
      <c r="I1645" s="329"/>
      <c r="J1645" s="346">
        <v>8000001636</v>
      </c>
      <c r="K1645" s="24"/>
      <c r="L1645" s="24">
        <v>0</v>
      </c>
      <c r="M1645" s="24">
        <v>44546</v>
      </c>
      <c r="N1645" s="340" t="s">
        <v>486</v>
      </c>
      <c r="O1645" s="334">
        <v>203616</v>
      </c>
      <c r="P1645" s="25" t="s">
        <v>357</v>
      </c>
      <c r="Q1645" s="127" t="s">
        <v>273</v>
      </c>
      <c r="R1645" s="232" t="s">
        <v>6333</v>
      </c>
      <c r="S1645" s="89">
        <v>44442</v>
      </c>
      <c r="T1645" s="36" t="s">
        <v>19</v>
      </c>
      <c r="U1645" s="125"/>
      <c r="V1645" s="147" t="s">
        <v>6334</v>
      </c>
      <c r="W1645" s="129"/>
      <c r="X1645" s="88">
        <v>44512</v>
      </c>
      <c r="Y1645" s="130" t="s">
        <v>20</v>
      </c>
      <c r="Z1645" s="133" t="s">
        <v>60</v>
      </c>
      <c r="AA1645" s="133"/>
      <c r="AB1645" s="241">
        <v>1750</v>
      </c>
      <c r="AC1645" s="134">
        <v>286</v>
      </c>
      <c r="AD1645" s="134">
        <v>81.25</v>
      </c>
      <c r="AE1645" s="403">
        <f t="shared" si="95"/>
        <v>500500</v>
      </c>
      <c r="AF1645" s="132"/>
      <c r="AG1645" s="130" t="s">
        <v>46</v>
      </c>
      <c r="AH1645" s="130"/>
      <c r="AI1645" s="130" t="s">
        <v>100</v>
      </c>
      <c r="AJ1645" s="130"/>
      <c r="AK1645" s="130"/>
      <c r="AL1645" s="135" t="s">
        <v>6335</v>
      </c>
      <c r="AM1645" s="314"/>
      <c r="AN1645" s="26">
        <v>44491</v>
      </c>
      <c r="AO1645" s="26">
        <v>44518</v>
      </c>
      <c r="AP1645" s="26" t="e">
        <f>+#REF!+35</f>
        <v>#REF!</v>
      </c>
      <c r="AQ1645" s="26">
        <v>44550</v>
      </c>
      <c r="AR1645" s="24">
        <f>AQ1645+2</f>
        <v>44552</v>
      </c>
      <c r="AS1645" s="24"/>
      <c r="AT1645" s="24">
        <v>44552</v>
      </c>
      <c r="AU1645" s="418">
        <f t="shared" si="96"/>
        <v>12</v>
      </c>
      <c r="AV1645" s="418">
        <f t="shared" si="97"/>
        <v>2021</v>
      </c>
      <c r="AW1645" s="24"/>
      <c r="AX1645" s="24"/>
      <c r="AY1645" s="24" t="s">
        <v>230</v>
      </c>
      <c r="AZ1645" s="24" t="s">
        <v>9</v>
      </c>
      <c r="BA1645" s="24"/>
      <c r="BB1645" s="24" t="s">
        <v>3519</v>
      </c>
      <c r="BC1645" s="128" t="s">
        <v>6336</v>
      </c>
      <c r="BD1645" s="24">
        <v>44501</v>
      </c>
      <c r="BE1645" s="24" t="s">
        <v>6337</v>
      </c>
      <c r="BF1645" s="24" t="s">
        <v>6337</v>
      </c>
      <c r="BG1645" s="135" t="s">
        <v>52</v>
      </c>
      <c r="BH1645" s="135"/>
      <c r="BI1645" s="314" t="s">
        <v>3</v>
      </c>
      <c r="BJ1645" s="314"/>
      <c r="BK1645" s="24"/>
      <c r="BL1645" s="24"/>
      <c r="BM1645" s="24"/>
      <c r="BN1645" s="24"/>
      <c r="BO1645" s="24"/>
      <c r="BP1645" s="24"/>
      <c r="BQ1645" s="24"/>
      <c r="BR1645" s="24"/>
      <c r="BS1645" s="24"/>
      <c r="BT1645" s="24"/>
      <c r="BU1645" s="24"/>
      <c r="BV1645" s="132" t="e">
        <f>IF(#REF!="COMPLETO","OK","PENDIENTE")</f>
        <v>#REF!</v>
      </c>
      <c r="BW1645" s="132"/>
      <c r="BX1645" s="132"/>
      <c r="BY1645" s="132"/>
      <c r="BZ1645" s="132"/>
      <c r="CA1645" s="132"/>
      <c r="CB1645" s="132"/>
      <c r="CC1645" s="269"/>
      <c r="CG1645" s="24" t="s">
        <v>105</v>
      </c>
      <c r="CH1645" s="24"/>
      <c r="CI1645" s="24"/>
      <c r="CJ1645" s="24"/>
    </row>
    <row r="1646" spans="1:88" ht="15" customHeight="1">
      <c r="A1646" s="18">
        <v>2021</v>
      </c>
      <c r="B1646" s="18" t="s">
        <v>6338</v>
      </c>
      <c r="C1646" s="360" t="s">
        <v>484</v>
      </c>
      <c r="D1646" s="150" t="s">
        <v>77</v>
      </c>
      <c r="E1646" s="132"/>
      <c r="F1646" s="132"/>
      <c r="G1646" s="346">
        <v>8000001637</v>
      </c>
      <c r="H1646" s="18" t="s">
        <v>6339</v>
      </c>
      <c r="I1646" s="329"/>
      <c r="J1646" s="346">
        <v>8000001637</v>
      </c>
      <c r="K1646" s="24"/>
      <c r="L1646" s="24">
        <v>0</v>
      </c>
      <c r="M1646" s="24">
        <v>44558</v>
      </c>
      <c r="N1646" s="340" t="s">
        <v>486</v>
      </c>
      <c r="O1646" s="334">
        <v>203616</v>
      </c>
      <c r="P1646" s="25" t="s">
        <v>357</v>
      </c>
      <c r="Q1646" s="127" t="s">
        <v>273</v>
      </c>
      <c r="R1646" s="232" t="s">
        <v>6333</v>
      </c>
      <c r="S1646" s="89">
        <v>44442</v>
      </c>
      <c r="T1646" s="36" t="s">
        <v>19</v>
      </c>
      <c r="U1646" s="125"/>
      <c r="V1646" s="147" t="s">
        <v>6340</v>
      </c>
      <c r="W1646" s="129"/>
      <c r="X1646" s="88">
        <v>44512</v>
      </c>
      <c r="Y1646" s="130" t="s">
        <v>20</v>
      </c>
      <c r="Z1646" s="133" t="s">
        <v>60</v>
      </c>
      <c r="AA1646" s="133"/>
      <c r="AB1646" s="241">
        <v>2300</v>
      </c>
      <c r="AC1646" s="134">
        <v>286</v>
      </c>
      <c r="AD1646" s="134">
        <v>81.25</v>
      </c>
      <c r="AE1646" s="403">
        <f t="shared" si="95"/>
        <v>657800</v>
      </c>
      <c r="AF1646" s="132"/>
      <c r="AG1646" s="130" t="s">
        <v>46</v>
      </c>
      <c r="AH1646" s="130"/>
      <c r="AI1646" s="130" t="s">
        <v>100</v>
      </c>
      <c r="AJ1646" s="130"/>
      <c r="AK1646" s="130"/>
      <c r="AL1646" s="135" t="s">
        <v>6335</v>
      </c>
      <c r="AM1646" s="314"/>
      <c r="AN1646" s="26">
        <v>44491</v>
      </c>
      <c r="AO1646" s="26">
        <v>44518</v>
      </c>
      <c r="AP1646" s="26" t="e">
        <f>+AP1645+2</f>
        <v>#REF!</v>
      </c>
      <c r="AQ1646" s="26">
        <v>44555</v>
      </c>
      <c r="AR1646" s="24">
        <f>AQ1646+2</f>
        <v>44557</v>
      </c>
      <c r="AS1646" s="24"/>
      <c r="AT1646" s="24">
        <v>44556</v>
      </c>
      <c r="AU1646" s="418">
        <f t="shared" si="96"/>
        <v>12</v>
      </c>
      <c r="AV1646" s="418">
        <f t="shared" si="97"/>
        <v>2021</v>
      </c>
      <c r="AW1646" s="24"/>
      <c r="AX1646" s="24"/>
      <c r="AY1646" s="24" t="s">
        <v>230</v>
      </c>
      <c r="AZ1646" s="24" t="s">
        <v>25</v>
      </c>
      <c r="BA1646" s="24"/>
      <c r="BB1646" s="24" t="s">
        <v>3264</v>
      </c>
      <c r="BC1646" s="128" t="s">
        <v>6341</v>
      </c>
      <c r="BD1646" s="24">
        <v>44501</v>
      </c>
      <c r="BE1646" s="24" t="s">
        <v>6337</v>
      </c>
      <c r="BF1646" s="24" t="s">
        <v>6337</v>
      </c>
      <c r="BG1646" s="135" t="s">
        <v>52</v>
      </c>
      <c r="BH1646" s="135"/>
      <c r="BI1646" s="314" t="s">
        <v>3</v>
      </c>
      <c r="BJ1646" s="314"/>
      <c r="BK1646" s="24"/>
      <c r="BL1646" s="24"/>
      <c r="BM1646" s="24"/>
      <c r="BN1646" s="24"/>
      <c r="BO1646" s="24"/>
      <c r="BP1646" s="24"/>
      <c r="BQ1646" s="24"/>
      <c r="BR1646" s="24"/>
      <c r="BS1646" s="24"/>
      <c r="BT1646" s="24"/>
      <c r="BU1646" s="24"/>
      <c r="BV1646" s="132" t="e">
        <f>IF(#REF!="COMPLETO","OK","PENDIENTE")</f>
        <v>#REF!</v>
      </c>
      <c r="BW1646" s="132"/>
      <c r="BX1646" s="132"/>
      <c r="BY1646" s="132"/>
      <c r="BZ1646" s="132"/>
      <c r="CA1646" s="132"/>
      <c r="CB1646" s="132"/>
      <c r="CC1646" s="269"/>
      <c r="CG1646" s="132" t="s">
        <v>105</v>
      </c>
      <c r="CH1646" s="132"/>
      <c r="CI1646" s="24"/>
      <c r="CJ1646" s="24"/>
    </row>
    <row r="1647" spans="1:88" ht="15" customHeight="1">
      <c r="A1647" s="18">
        <v>2021</v>
      </c>
      <c r="B1647" s="18" t="s">
        <v>6338</v>
      </c>
      <c r="C1647" s="360" t="s">
        <v>484</v>
      </c>
      <c r="D1647" s="150" t="s">
        <v>77</v>
      </c>
      <c r="E1647" s="132"/>
      <c r="F1647" s="135"/>
      <c r="G1647" s="346">
        <v>8000001514</v>
      </c>
      <c r="H1647" s="18" t="s">
        <v>6342</v>
      </c>
      <c r="I1647" s="329"/>
      <c r="J1647" s="346">
        <v>8000001514</v>
      </c>
      <c r="K1647" s="24"/>
      <c r="L1647" s="24">
        <v>0</v>
      </c>
      <c r="M1647" s="24">
        <v>44560</v>
      </c>
      <c r="N1647" s="340" t="s">
        <v>486</v>
      </c>
      <c r="O1647" s="334">
        <v>203616</v>
      </c>
      <c r="P1647" s="25" t="s">
        <v>357</v>
      </c>
      <c r="Q1647" s="127" t="s">
        <v>273</v>
      </c>
      <c r="R1647" s="232" t="s">
        <v>6333</v>
      </c>
      <c r="S1647" s="89">
        <v>44442</v>
      </c>
      <c r="T1647" s="36" t="s">
        <v>19</v>
      </c>
      <c r="U1647" s="125"/>
      <c r="V1647" s="147" t="s">
        <v>6343</v>
      </c>
      <c r="W1647" s="129"/>
      <c r="X1647" s="88">
        <v>44512</v>
      </c>
      <c r="Y1647" s="130" t="s">
        <v>20</v>
      </c>
      <c r="Z1647" s="133" t="s">
        <v>60</v>
      </c>
      <c r="AA1647" s="133"/>
      <c r="AB1647" s="241">
        <v>950</v>
      </c>
      <c r="AC1647" s="134">
        <v>286</v>
      </c>
      <c r="AD1647" s="134">
        <v>81.25</v>
      </c>
      <c r="AE1647" s="403">
        <f t="shared" si="95"/>
        <v>271700</v>
      </c>
      <c r="AF1647" s="132"/>
      <c r="AG1647" s="130" t="s">
        <v>46</v>
      </c>
      <c r="AH1647" s="130"/>
      <c r="AI1647" s="130" t="s">
        <v>100</v>
      </c>
      <c r="AJ1647" s="130"/>
      <c r="AK1647" s="130"/>
      <c r="AL1647" s="135" t="s">
        <v>6335</v>
      </c>
      <c r="AM1647" s="314"/>
      <c r="AN1647" s="26">
        <v>44491</v>
      </c>
      <c r="AO1647" s="26">
        <v>44518</v>
      </c>
      <c r="AP1647" s="26" t="e">
        <f>+AP1646+2</f>
        <v>#REF!</v>
      </c>
      <c r="AQ1647" s="26">
        <v>44558</v>
      </c>
      <c r="AR1647" s="24">
        <f>AQ1647+3</f>
        <v>44561</v>
      </c>
      <c r="AS1647" s="24"/>
      <c r="AT1647" s="24">
        <v>44559</v>
      </c>
      <c r="AU1647" s="418">
        <f t="shared" si="96"/>
        <v>12</v>
      </c>
      <c r="AV1647" s="418">
        <f t="shared" si="97"/>
        <v>2021</v>
      </c>
      <c r="AW1647" s="24"/>
      <c r="AX1647" s="24"/>
      <c r="AY1647" s="24" t="s">
        <v>230</v>
      </c>
      <c r="AZ1647" s="24" t="s">
        <v>37</v>
      </c>
      <c r="BA1647" s="24"/>
      <c r="BB1647" s="135" t="s">
        <v>3593</v>
      </c>
      <c r="BC1647" s="128" t="s">
        <v>6344</v>
      </c>
      <c r="BD1647" s="24">
        <v>44501</v>
      </c>
      <c r="BE1647" s="24" t="s">
        <v>6337</v>
      </c>
      <c r="BF1647" s="24" t="s">
        <v>6337</v>
      </c>
      <c r="BG1647" s="135" t="s">
        <v>52</v>
      </c>
      <c r="BH1647" s="135"/>
      <c r="BI1647" s="314" t="s">
        <v>3</v>
      </c>
      <c r="BJ1647" s="314"/>
      <c r="BK1647" s="24"/>
      <c r="BL1647" s="24"/>
      <c r="BM1647" s="24"/>
      <c r="BN1647" s="24"/>
      <c r="BO1647" s="24"/>
      <c r="BP1647" s="24"/>
      <c r="BQ1647" s="24"/>
      <c r="BR1647" s="24"/>
      <c r="BS1647" s="24"/>
      <c r="BT1647" s="24"/>
      <c r="BU1647" s="24"/>
      <c r="BV1647" s="132" t="e">
        <f>IF(#REF!="COMPLETO","OK","PENDIENTE")</f>
        <v>#REF!</v>
      </c>
      <c r="BW1647" s="132"/>
      <c r="BX1647" s="132"/>
      <c r="BY1647" s="132"/>
      <c r="BZ1647" s="132"/>
      <c r="CA1647" s="132"/>
      <c r="CB1647" s="132"/>
      <c r="CC1647" s="269"/>
      <c r="CG1647" s="135" t="s">
        <v>105</v>
      </c>
      <c r="CH1647" s="135"/>
      <c r="CI1647" s="24"/>
      <c r="CJ1647" s="24"/>
    </row>
    <row r="1648" spans="1:88" ht="15" customHeight="1">
      <c r="A1648" s="18">
        <v>2021</v>
      </c>
      <c r="B1648" s="18" t="s">
        <v>6338</v>
      </c>
      <c r="C1648" s="360" t="s">
        <v>484</v>
      </c>
      <c r="D1648" s="150" t="s">
        <v>77</v>
      </c>
      <c r="E1648" s="132"/>
      <c r="F1648" s="135"/>
      <c r="G1648" s="346">
        <v>8000001638</v>
      </c>
      <c r="H1648" s="18" t="s">
        <v>6345</v>
      </c>
      <c r="I1648" s="329"/>
      <c r="J1648" s="346">
        <v>8000001638</v>
      </c>
      <c r="K1648" s="24"/>
      <c r="L1648" s="24">
        <v>44565</v>
      </c>
      <c r="M1648" s="24">
        <v>44565</v>
      </c>
      <c r="N1648" s="340" t="s">
        <v>486</v>
      </c>
      <c r="O1648" s="334">
        <v>203616</v>
      </c>
      <c r="P1648" s="25" t="s">
        <v>357</v>
      </c>
      <c r="Q1648" s="127" t="s">
        <v>273</v>
      </c>
      <c r="R1648" s="232" t="s">
        <v>6333</v>
      </c>
      <c r="S1648" s="89">
        <v>44442</v>
      </c>
      <c r="T1648" s="36" t="s">
        <v>19</v>
      </c>
      <c r="U1648" s="125"/>
      <c r="V1648" s="147" t="s">
        <v>6346</v>
      </c>
      <c r="W1648" s="129"/>
      <c r="X1648" s="88">
        <v>44512</v>
      </c>
      <c r="Y1648" s="130" t="s">
        <v>20</v>
      </c>
      <c r="Z1648" s="133" t="s">
        <v>60</v>
      </c>
      <c r="AA1648" s="133"/>
      <c r="AB1648" s="241">
        <v>400</v>
      </c>
      <c r="AC1648" s="134">
        <v>286</v>
      </c>
      <c r="AD1648" s="134">
        <v>81.25</v>
      </c>
      <c r="AE1648" s="403">
        <f t="shared" si="95"/>
        <v>114400</v>
      </c>
      <c r="AF1648" s="132"/>
      <c r="AG1648" s="130" t="s">
        <v>46</v>
      </c>
      <c r="AH1648" s="130"/>
      <c r="AI1648" s="130" t="s">
        <v>100</v>
      </c>
      <c r="AJ1648" s="130"/>
      <c r="AK1648" s="130"/>
      <c r="AL1648" s="135" t="s">
        <v>6335</v>
      </c>
      <c r="AM1648" s="314"/>
      <c r="AN1648" s="26">
        <v>44491</v>
      </c>
      <c r="AO1648" s="26">
        <v>44518</v>
      </c>
      <c r="AP1648" s="26">
        <f>AQ1648</f>
        <v>44562</v>
      </c>
      <c r="AQ1648" s="26">
        <v>44562</v>
      </c>
      <c r="AR1648" s="24">
        <f>AQ1648+1</f>
        <v>44563</v>
      </c>
      <c r="AS1648" s="24"/>
      <c r="AT1648" s="24">
        <v>44563</v>
      </c>
      <c r="AU1648" s="418">
        <f t="shared" si="96"/>
        <v>1</v>
      </c>
      <c r="AV1648" s="418">
        <f t="shared" si="97"/>
        <v>2022</v>
      </c>
      <c r="AW1648" s="24"/>
      <c r="AX1648" s="24"/>
      <c r="AY1648" s="24" t="s">
        <v>230</v>
      </c>
      <c r="AZ1648" s="24" t="s">
        <v>62</v>
      </c>
      <c r="BA1648" s="24"/>
      <c r="BB1648" s="24" t="s">
        <v>3264</v>
      </c>
      <c r="BC1648" s="128" t="s">
        <v>6347</v>
      </c>
      <c r="BD1648" s="24">
        <v>44501</v>
      </c>
      <c r="BE1648" s="24" t="s">
        <v>6337</v>
      </c>
      <c r="BF1648" s="24" t="s">
        <v>6337</v>
      </c>
      <c r="BG1648" s="135" t="s">
        <v>52</v>
      </c>
      <c r="BH1648" s="135"/>
      <c r="BI1648" s="314" t="s">
        <v>3</v>
      </c>
      <c r="BJ1648" s="314"/>
      <c r="BK1648" s="24"/>
      <c r="BL1648" s="24"/>
      <c r="BM1648" s="24"/>
      <c r="BN1648" s="24"/>
      <c r="BO1648" s="24"/>
      <c r="BP1648" s="24"/>
      <c r="BQ1648" s="24"/>
      <c r="BR1648" s="24"/>
      <c r="BS1648" s="24"/>
      <c r="BT1648" s="24"/>
      <c r="BU1648" s="24"/>
      <c r="BV1648" s="132" t="e">
        <f>IF(#REF!="COMPLETO","OK","PENDIENTE")</f>
        <v>#REF!</v>
      </c>
      <c r="BW1648" s="132"/>
      <c r="BX1648" s="132"/>
      <c r="BY1648" s="132"/>
      <c r="BZ1648" s="132"/>
      <c r="CA1648" s="132"/>
      <c r="CB1648" s="132"/>
      <c r="CC1648" s="269"/>
      <c r="CG1648" s="135" t="s">
        <v>105</v>
      </c>
      <c r="CH1648" s="135"/>
      <c r="CI1648" s="24"/>
      <c r="CJ1648" s="24"/>
    </row>
    <row r="1649" spans="1:88" ht="15" customHeight="1">
      <c r="A1649" s="18">
        <v>2021</v>
      </c>
      <c r="B1649" s="18" t="str">
        <f>+INDEX(BDD!F:F,MATCH(P1649,BDD!D:D,0))&amp;"-"&amp;INDEX(BDD!E:E,MATCH(P1649,BDD!D:D,0))</f>
        <v>G-S</v>
      </c>
      <c r="C1649" s="360" t="s">
        <v>484</v>
      </c>
      <c r="D1649" s="150" t="s">
        <v>77</v>
      </c>
      <c r="E1649" s="132"/>
      <c r="F1649" s="24"/>
      <c r="G1649" s="346">
        <v>8000001639</v>
      </c>
      <c r="H1649" s="18" t="s">
        <v>6348</v>
      </c>
      <c r="I1649" s="329"/>
      <c r="J1649" s="346">
        <v>8000001639</v>
      </c>
      <c r="K1649" s="24"/>
      <c r="L1649" s="24">
        <v>0</v>
      </c>
      <c r="M1649" s="24">
        <v>44553</v>
      </c>
      <c r="N1649" s="340" t="s">
        <v>486</v>
      </c>
      <c r="O1649" s="334">
        <v>206569</v>
      </c>
      <c r="P1649" s="25" t="s">
        <v>142</v>
      </c>
      <c r="Q1649" s="127" t="s">
        <v>273</v>
      </c>
      <c r="R1649" s="232" t="s">
        <v>6333</v>
      </c>
      <c r="S1649" s="89">
        <v>44442</v>
      </c>
      <c r="T1649" s="36">
        <v>120</v>
      </c>
      <c r="U1649" s="125" t="s">
        <v>118</v>
      </c>
      <c r="V1649" s="147" t="s">
        <v>6349</v>
      </c>
      <c r="W1649" s="129"/>
      <c r="X1649" s="88">
        <v>44622</v>
      </c>
      <c r="Y1649" s="130" t="s">
        <v>20</v>
      </c>
      <c r="Z1649" s="133" t="s">
        <v>60</v>
      </c>
      <c r="AA1649" s="133"/>
      <c r="AB1649" s="241">
        <v>400</v>
      </c>
      <c r="AC1649" s="134">
        <v>727.01</v>
      </c>
      <c r="AD1649" s="134">
        <v>81.25</v>
      </c>
      <c r="AE1649" s="403">
        <f t="shared" si="95"/>
        <v>290804</v>
      </c>
      <c r="AF1649" s="132"/>
      <c r="AG1649" s="130" t="s">
        <v>46</v>
      </c>
      <c r="AH1649" s="130"/>
      <c r="AI1649" s="130" t="s">
        <v>100</v>
      </c>
      <c r="AJ1649" s="130"/>
      <c r="AK1649" s="130"/>
      <c r="AL1649" s="135" t="s">
        <v>6335</v>
      </c>
      <c r="AM1649" s="314"/>
      <c r="AN1649" s="26">
        <v>44491</v>
      </c>
      <c r="AO1649" s="26">
        <v>44518</v>
      </c>
      <c r="AP1649" s="26" t="e">
        <f>+#REF!+35</f>
        <v>#REF!</v>
      </c>
      <c r="AQ1649" s="26">
        <v>44550</v>
      </c>
      <c r="AR1649" s="24">
        <f>AQ1649+2</f>
        <v>44552</v>
      </c>
      <c r="AS1649" s="24"/>
      <c r="AT1649" s="24">
        <v>44552</v>
      </c>
      <c r="AU1649" s="418">
        <f t="shared" si="96"/>
        <v>12</v>
      </c>
      <c r="AV1649" s="418">
        <f t="shared" si="97"/>
        <v>2021</v>
      </c>
      <c r="AW1649" s="24"/>
      <c r="AX1649" s="24"/>
      <c r="AY1649" s="24" t="s">
        <v>230</v>
      </c>
      <c r="AZ1649" s="24" t="s">
        <v>9</v>
      </c>
      <c r="BA1649" s="24"/>
      <c r="BB1649" s="24" t="s">
        <v>2956</v>
      </c>
      <c r="BC1649" s="128" t="s">
        <v>6350</v>
      </c>
      <c r="BD1649" s="24">
        <v>44502</v>
      </c>
      <c r="BE1649" s="24" t="s">
        <v>6337</v>
      </c>
      <c r="BF1649" s="24" t="s">
        <v>6337</v>
      </c>
      <c r="BG1649" s="135" t="s">
        <v>52</v>
      </c>
      <c r="BH1649" s="135"/>
      <c r="BI1649" s="314" t="s">
        <v>3</v>
      </c>
      <c r="BJ1649" s="314"/>
      <c r="BK1649" s="24"/>
      <c r="BL1649" s="24"/>
      <c r="BM1649" s="24"/>
      <c r="BN1649" s="24"/>
      <c r="BO1649" s="24"/>
      <c r="BP1649" s="24"/>
      <c r="BQ1649" s="24"/>
      <c r="BR1649" s="24"/>
      <c r="BS1649" s="24"/>
      <c r="BT1649" s="24"/>
      <c r="BU1649" s="24"/>
      <c r="BV1649" s="132" t="e">
        <f>IF(#REF!="COMPLETO","OK","PENDIENTE")</f>
        <v>#REF!</v>
      </c>
      <c r="BW1649" s="132"/>
      <c r="BX1649" s="132"/>
      <c r="BY1649" s="132"/>
      <c r="BZ1649" s="132"/>
      <c r="CA1649" s="132"/>
      <c r="CB1649" s="132"/>
      <c r="CC1649" s="269"/>
      <c r="CG1649" s="24" t="s">
        <v>105</v>
      </c>
      <c r="CH1649" s="24"/>
      <c r="CI1649" s="24"/>
      <c r="CJ1649" s="24"/>
    </row>
    <row r="1650" spans="1:88" ht="15" customHeight="1">
      <c r="A1650" s="18">
        <v>2021</v>
      </c>
      <c r="B1650" s="18" t="s">
        <v>6338</v>
      </c>
      <c r="C1650" s="360" t="s">
        <v>484</v>
      </c>
      <c r="D1650" s="150" t="s">
        <v>77</v>
      </c>
      <c r="E1650" s="132"/>
      <c r="F1650" s="24"/>
      <c r="G1650" s="346">
        <v>8000001686</v>
      </c>
      <c r="H1650" s="18" t="s">
        <v>6351</v>
      </c>
      <c r="I1650" s="329"/>
      <c r="J1650" s="346">
        <v>8000001686</v>
      </c>
      <c r="K1650" s="24"/>
      <c r="L1650" s="24">
        <v>0</v>
      </c>
      <c r="M1650" s="24">
        <v>44558</v>
      </c>
      <c r="N1650" s="340" t="s">
        <v>486</v>
      </c>
      <c r="O1650" s="334">
        <v>206569</v>
      </c>
      <c r="P1650" s="25" t="s">
        <v>142</v>
      </c>
      <c r="Q1650" s="127" t="s">
        <v>273</v>
      </c>
      <c r="R1650" s="232" t="s">
        <v>6333</v>
      </c>
      <c r="S1650" s="89">
        <v>44442</v>
      </c>
      <c r="T1650" s="36">
        <v>120</v>
      </c>
      <c r="U1650" s="125" t="s">
        <v>118</v>
      </c>
      <c r="V1650" s="147" t="s">
        <v>6352</v>
      </c>
      <c r="W1650" s="129"/>
      <c r="X1650" s="88">
        <v>44622</v>
      </c>
      <c r="Y1650" s="130" t="s">
        <v>20</v>
      </c>
      <c r="Z1650" s="133" t="s">
        <v>60</v>
      </c>
      <c r="AA1650" s="133"/>
      <c r="AB1650" s="241">
        <v>300</v>
      </c>
      <c r="AC1650" s="134">
        <v>727.01</v>
      </c>
      <c r="AD1650" s="134">
        <v>81.25</v>
      </c>
      <c r="AE1650" s="403">
        <f t="shared" si="95"/>
        <v>218103</v>
      </c>
      <c r="AF1650" s="24"/>
      <c r="AG1650" s="130" t="s">
        <v>46</v>
      </c>
      <c r="AH1650" s="130"/>
      <c r="AI1650" s="130" t="s">
        <v>100</v>
      </c>
      <c r="AJ1650" s="130"/>
      <c r="AK1650" s="130"/>
      <c r="AL1650" s="135" t="s">
        <v>6335</v>
      </c>
      <c r="AM1650" s="314"/>
      <c r="AN1650" s="26">
        <v>44491</v>
      </c>
      <c r="AO1650" s="26">
        <v>44518</v>
      </c>
      <c r="AP1650" s="26" t="e">
        <f>+AP1649+2</f>
        <v>#REF!</v>
      </c>
      <c r="AQ1650" s="26">
        <v>44555</v>
      </c>
      <c r="AR1650" s="24">
        <f>AQ1650+2</f>
        <v>44557</v>
      </c>
      <c r="AS1650" s="24"/>
      <c r="AT1650" s="24">
        <v>44555</v>
      </c>
      <c r="AU1650" s="418">
        <f t="shared" si="96"/>
        <v>12</v>
      </c>
      <c r="AV1650" s="418">
        <f t="shared" si="97"/>
        <v>2021</v>
      </c>
      <c r="AW1650" s="24"/>
      <c r="AX1650" s="24"/>
      <c r="AY1650" s="24" t="s">
        <v>230</v>
      </c>
      <c r="AZ1650" s="24" t="s">
        <v>25</v>
      </c>
      <c r="BA1650" s="24"/>
      <c r="BB1650" s="24" t="s">
        <v>3264</v>
      </c>
      <c r="BC1650" s="128" t="s">
        <v>6353</v>
      </c>
      <c r="BD1650" s="24">
        <v>44502</v>
      </c>
      <c r="BE1650" s="24" t="s">
        <v>6337</v>
      </c>
      <c r="BF1650" s="24" t="s">
        <v>6337</v>
      </c>
      <c r="BG1650" s="135" t="s">
        <v>52</v>
      </c>
      <c r="BH1650" s="135"/>
      <c r="BI1650" s="314" t="s">
        <v>3</v>
      </c>
      <c r="BJ1650" s="314"/>
      <c r="BK1650" s="24"/>
      <c r="BL1650" s="24"/>
      <c r="BM1650" s="24"/>
      <c r="BN1650" s="24"/>
      <c r="BO1650" s="24"/>
      <c r="BP1650" s="24"/>
      <c r="BQ1650" s="24"/>
      <c r="BR1650" s="24"/>
      <c r="BS1650" s="24"/>
      <c r="BT1650" s="24"/>
      <c r="BU1650" s="24"/>
      <c r="BV1650" s="132" t="e">
        <f>IF(#REF!="COMPLETO","OK","PENDIENTE")</f>
        <v>#REF!</v>
      </c>
      <c r="BW1650" s="132"/>
      <c r="BX1650" s="132"/>
      <c r="BY1650" s="132"/>
      <c r="BZ1650" s="132"/>
      <c r="CA1650" s="132"/>
      <c r="CB1650" s="132"/>
      <c r="CC1650" s="269"/>
      <c r="CG1650" s="24" t="s">
        <v>105</v>
      </c>
      <c r="CH1650" s="24"/>
      <c r="CI1650" s="24"/>
      <c r="CJ1650" s="24"/>
    </row>
    <row r="1651" spans="1:88" ht="15" customHeight="1">
      <c r="A1651" s="18">
        <v>2021</v>
      </c>
      <c r="B1651" s="18" t="s">
        <v>6338</v>
      </c>
      <c r="C1651" s="360" t="s">
        <v>484</v>
      </c>
      <c r="D1651" s="150" t="s">
        <v>77</v>
      </c>
      <c r="E1651" s="132"/>
      <c r="F1651" s="132"/>
      <c r="G1651" s="346">
        <v>8000001515</v>
      </c>
      <c r="H1651" s="18" t="s">
        <v>6354</v>
      </c>
      <c r="I1651" s="329"/>
      <c r="J1651" s="346">
        <v>8000001515</v>
      </c>
      <c r="K1651" s="24"/>
      <c r="L1651" s="24">
        <v>0</v>
      </c>
      <c r="M1651" s="24">
        <v>44560</v>
      </c>
      <c r="N1651" s="340" t="s">
        <v>486</v>
      </c>
      <c r="O1651" s="334">
        <v>206569</v>
      </c>
      <c r="P1651" s="25" t="s">
        <v>142</v>
      </c>
      <c r="Q1651" s="127" t="s">
        <v>273</v>
      </c>
      <c r="R1651" s="232" t="s">
        <v>6333</v>
      </c>
      <c r="S1651" s="89">
        <v>44442</v>
      </c>
      <c r="T1651" s="36">
        <v>120</v>
      </c>
      <c r="U1651" s="125" t="s">
        <v>118</v>
      </c>
      <c r="V1651" s="147" t="s">
        <v>6355</v>
      </c>
      <c r="W1651" s="129"/>
      <c r="X1651" s="88">
        <v>44622</v>
      </c>
      <c r="Y1651" s="130" t="s">
        <v>20</v>
      </c>
      <c r="Z1651" s="133" t="s">
        <v>60</v>
      </c>
      <c r="AA1651" s="133"/>
      <c r="AB1651" s="241">
        <v>2400</v>
      </c>
      <c r="AC1651" s="134">
        <v>727.01</v>
      </c>
      <c r="AD1651" s="134">
        <v>81.25</v>
      </c>
      <c r="AE1651" s="403">
        <f t="shared" si="95"/>
        <v>1744824</v>
      </c>
      <c r="AF1651" s="132"/>
      <c r="AG1651" s="130" t="s">
        <v>46</v>
      </c>
      <c r="AH1651" s="130"/>
      <c r="AI1651" s="130" t="s">
        <v>100</v>
      </c>
      <c r="AJ1651" s="130"/>
      <c r="AK1651" s="130"/>
      <c r="AL1651" s="135" t="s">
        <v>6335</v>
      </c>
      <c r="AM1651" s="314"/>
      <c r="AN1651" s="26">
        <v>44491</v>
      </c>
      <c r="AO1651" s="26">
        <v>44518</v>
      </c>
      <c r="AP1651" s="26" t="e">
        <f>+AP1650+2</f>
        <v>#REF!</v>
      </c>
      <c r="AQ1651" s="26">
        <v>44558</v>
      </c>
      <c r="AR1651" s="24">
        <f>AQ1651+3</f>
        <v>44561</v>
      </c>
      <c r="AS1651" s="24"/>
      <c r="AT1651" s="24">
        <v>44559</v>
      </c>
      <c r="AU1651" s="418">
        <f t="shared" si="96"/>
        <v>12</v>
      </c>
      <c r="AV1651" s="418">
        <f t="shared" si="97"/>
        <v>2021</v>
      </c>
      <c r="AW1651" s="24"/>
      <c r="AX1651" s="24"/>
      <c r="AY1651" s="24" t="s">
        <v>230</v>
      </c>
      <c r="AZ1651" s="24" t="s">
        <v>37</v>
      </c>
      <c r="BA1651" s="24"/>
      <c r="BB1651" s="135" t="s">
        <v>3593</v>
      </c>
      <c r="BC1651" s="128" t="s">
        <v>6356</v>
      </c>
      <c r="BD1651" s="24">
        <v>44502</v>
      </c>
      <c r="BE1651" s="24" t="s">
        <v>6337</v>
      </c>
      <c r="BF1651" s="24" t="s">
        <v>6337</v>
      </c>
      <c r="BG1651" s="135" t="s">
        <v>52</v>
      </c>
      <c r="BH1651" s="135"/>
      <c r="BI1651" s="314" t="s">
        <v>3</v>
      </c>
      <c r="BJ1651" s="314"/>
      <c r="BK1651" s="24"/>
      <c r="BL1651" s="24"/>
      <c r="BM1651" s="24"/>
      <c r="BN1651" s="24"/>
      <c r="BO1651" s="24"/>
      <c r="BP1651" s="24"/>
      <c r="BQ1651" s="24"/>
      <c r="BR1651" s="24"/>
      <c r="BS1651" s="24"/>
      <c r="BT1651" s="24"/>
      <c r="BU1651" s="24"/>
      <c r="BV1651" s="132" t="e">
        <f>IF(#REF!="COMPLETO","OK","PENDIENTE")</f>
        <v>#REF!</v>
      </c>
      <c r="BW1651" s="132"/>
      <c r="BX1651" s="132"/>
      <c r="BY1651" s="132"/>
      <c r="BZ1651" s="132"/>
      <c r="CA1651" s="132"/>
      <c r="CB1651" s="132"/>
      <c r="CC1651" s="269"/>
      <c r="CG1651" s="132" t="s">
        <v>105</v>
      </c>
      <c r="CH1651" s="132"/>
      <c r="CI1651" s="24"/>
      <c r="CJ1651" s="24"/>
    </row>
    <row r="1652" spans="1:88" ht="15" customHeight="1">
      <c r="A1652" s="18">
        <v>2021</v>
      </c>
      <c r="B1652" s="18" t="s">
        <v>6338</v>
      </c>
      <c r="C1652" s="360" t="s">
        <v>484</v>
      </c>
      <c r="D1652" s="150" t="s">
        <v>77</v>
      </c>
      <c r="E1652" s="132"/>
      <c r="F1652" s="135"/>
      <c r="G1652" s="346">
        <v>8000001751</v>
      </c>
      <c r="H1652" s="18" t="s">
        <v>6357</v>
      </c>
      <c r="I1652" s="329"/>
      <c r="J1652" s="346">
        <v>8000001751</v>
      </c>
      <c r="K1652" s="24"/>
      <c r="L1652" s="24">
        <v>44566</v>
      </c>
      <c r="M1652" s="24">
        <v>44566</v>
      </c>
      <c r="N1652" s="340" t="s">
        <v>486</v>
      </c>
      <c r="O1652" s="334">
        <v>206569</v>
      </c>
      <c r="P1652" s="25" t="s">
        <v>142</v>
      </c>
      <c r="Q1652" s="127" t="s">
        <v>273</v>
      </c>
      <c r="R1652" s="232" t="s">
        <v>6333</v>
      </c>
      <c r="S1652" s="89">
        <v>44442</v>
      </c>
      <c r="T1652" s="36">
        <v>120</v>
      </c>
      <c r="U1652" s="125" t="s">
        <v>118</v>
      </c>
      <c r="V1652" s="147" t="s">
        <v>6358</v>
      </c>
      <c r="W1652" s="129"/>
      <c r="X1652" s="88">
        <v>44622</v>
      </c>
      <c r="Y1652" s="130" t="s">
        <v>20</v>
      </c>
      <c r="Z1652" s="133" t="s">
        <v>60</v>
      </c>
      <c r="AA1652" s="133"/>
      <c r="AB1652" s="241">
        <v>1000</v>
      </c>
      <c r="AC1652" s="134">
        <v>727.01</v>
      </c>
      <c r="AD1652" s="134">
        <v>81.25</v>
      </c>
      <c r="AE1652" s="403">
        <f t="shared" si="95"/>
        <v>727010</v>
      </c>
      <c r="AF1652" s="132"/>
      <c r="AG1652" s="130" t="s">
        <v>46</v>
      </c>
      <c r="AH1652" s="130"/>
      <c r="AI1652" s="130" t="s">
        <v>100</v>
      </c>
      <c r="AJ1652" s="130"/>
      <c r="AK1652" s="130"/>
      <c r="AL1652" s="135" t="s">
        <v>6335</v>
      </c>
      <c r="AM1652" s="314"/>
      <c r="AN1652" s="26">
        <v>44491</v>
      </c>
      <c r="AO1652" s="26">
        <v>44518</v>
      </c>
      <c r="AP1652" s="26">
        <f>AQ1652</f>
        <v>44562</v>
      </c>
      <c r="AQ1652" s="26">
        <v>44562</v>
      </c>
      <c r="AR1652" s="24">
        <f>AQ1652+1</f>
        <v>44563</v>
      </c>
      <c r="AS1652" s="24"/>
      <c r="AT1652" s="24">
        <f>+AQ1652+2</f>
        <v>44564</v>
      </c>
      <c r="AU1652" s="418">
        <f t="shared" si="96"/>
        <v>1</v>
      </c>
      <c r="AV1652" s="418">
        <f t="shared" si="97"/>
        <v>2022</v>
      </c>
      <c r="AW1652" s="24"/>
      <c r="AX1652" s="24"/>
      <c r="AY1652" s="24" t="s">
        <v>230</v>
      </c>
      <c r="AZ1652" s="24" t="s">
        <v>62</v>
      </c>
      <c r="BA1652" s="24"/>
      <c r="BB1652" s="24" t="s">
        <v>3264</v>
      </c>
      <c r="BC1652" s="128" t="s">
        <v>6359</v>
      </c>
      <c r="BD1652" s="24">
        <v>44502</v>
      </c>
      <c r="BE1652" s="24" t="s">
        <v>6337</v>
      </c>
      <c r="BF1652" s="24" t="s">
        <v>6337</v>
      </c>
      <c r="BG1652" s="135" t="s">
        <v>52</v>
      </c>
      <c r="BH1652" s="135"/>
      <c r="BI1652" s="314" t="s">
        <v>3</v>
      </c>
      <c r="BJ1652" s="314"/>
      <c r="BK1652" s="24"/>
      <c r="BL1652" s="24"/>
      <c r="BM1652" s="24"/>
      <c r="BN1652" s="24"/>
      <c r="BO1652" s="24"/>
      <c r="BP1652" s="24"/>
      <c r="BQ1652" s="24"/>
      <c r="BR1652" s="24"/>
      <c r="BS1652" s="24"/>
      <c r="BT1652" s="24"/>
      <c r="BU1652" s="24"/>
      <c r="BV1652" s="132" t="e">
        <f>IF(#REF!="COMPLETO","OK","PENDIENTE")</f>
        <v>#REF!</v>
      </c>
      <c r="BW1652" s="132"/>
      <c r="BX1652" s="132"/>
      <c r="BY1652" s="132"/>
      <c r="BZ1652" s="132"/>
      <c r="CA1652" s="132"/>
      <c r="CB1652" s="132"/>
      <c r="CC1652" s="269" t="s">
        <v>6360</v>
      </c>
      <c r="CG1652" s="135" t="s">
        <v>105</v>
      </c>
      <c r="CH1652" s="135"/>
      <c r="CI1652" s="24"/>
      <c r="CJ1652" s="24"/>
    </row>
    <row r="1653" spans="1:88" ht="15" customHeight="1">
      <c r="A1653" s="18">
        <v>2021</v>
      </c>
      <c r="B1653" s="18" t="s">
        <v>6338</v>
      </c>
      <c r="C1653" s="360" t="s">
        <v>484</v>
      </c>
      <c r="D1653" s="150" t="s">
        <v>77</v>
      </c>
      <c r="E1653" s="132"/>
      <c r="F1653" s="135"/>
      <c r="G1653" s="346">
        <v>8000001687</v>
      </c>
      <c r="H1653" s="18" t="s">
        <v>6361</v>
      </c>
      <c r="I1653" s="329"/>
      <c r="J1653" s="346">
        <v>8000001687</v>
      </c>
      <c r="K1653" s="24"/>
      <c r="L1653" s="24">
        <v>44566</v>
      </c>
      <c r="M1653" s="24">
        <v>44566</v>
      </c>
      <c r="N1653" s="340" t="s">
        <v>486</v>
      </c>
      <c r="O1653" s="334">
        <v>206569</v>
      </c>
      <c r="P1653" s="25" t="s">
        <v>142</v>
      </c>
      <c r="Q1653" s="127" t="s">
        <v>273</v>
      </c>
      <c r="R1653" s="232" t="s">
        <v>6333</v>
      </c>
      <c r="S1653" s="89">
        <v>44442</v>
      </c>
      <c r="T1653" s="36">
        <v>120</v>
      </c>
      <c r="U1653" s="125" t="s">
        <v>118</v>
      </c>
      <c r="V1653" s="147" t="s">
        <v>6362</v>
      </c>
      <c r="W1653" s="129"/>
      <c r="X1653" s="88">
        <v>44638</v>
      </c>
      <c r="Y1653" s="130" t="s">
        <v>20</v>
      </c>
      <c r="Z1653" s="133" t="s">
        <v>60</v>
      </c>
      <c r="AA1653" s="133"/>
      <c r="AB1653" s="241">
        <v>576.69000000000005</v>
      </c>
      <c r="AC1653" s="134">
        <v>727.01</v>
      </c>
      <c r="AD1653" s="134">
        <v>81.25</v>
      </c>
      <c r="AE1653" s="403">
        <f t="shared" si="95"/>
        <v>419259.39690000005</v>
      </c>
      <c r="AF1653" s="132"/>
      <c r="AG1653" s="130" t="s">
        <v>46</v>
      </c>
      <c r="AH1653" s="130"/>
      <c r="AI1653" s="130" t="s">
        <v>100</v>
      </c>
      <c r="AJ1653" s="130"/>
      <c r="AK1653" s="130"/>
      <c r="AL1653" s="135" t="s">
        <v>6335</v>
      </c>
      <c r="AM1653" s="314"/>
      <c r="AN1653" s="26">
        <v>44491</v>
      </c>
      <c r="AO1653" s="26">
        <v>44518</v>
      </c>
      <c r="AP1653" s="26">
        <f>AQ1653</f>
        <v>44562</v>
      </c>
      <c r="AQ1653" s="26">
        <v>44562</v>
      </c>
      <c r="AR1653" s="24">
        <f>AQ1653+1</f>
        <v>44563</v>
      </c>
      <c r="AS1653" s="24"/>
      <c r="AT1653" s="24">
        <f>+AQ1653+2</f>
        <v>44564</v>
      </c>
      <c r="AU1653" s="418">
        <f t="shared" si="96"/>
        <v>1</v>
      </c>
      <c r="AV1653" s="418">
        <f t="shared" si="97"/>
        <v>2022</v>
      </c>
      <c r="AW1653" s="24"/>
      <c r="AX1653" s="24"/>
      <c r="AY1653" s="24" t="s">
        <v>6364</v>
      </c>
      <c r="AZ1653" s="24" t="s">
        <v>62</v>
      </c>
      <c r="BA1653" s="24"/>
      <c r="BB1653" s="24" t="s">
        <v>3264</v>
      </c>
      <c r="BC1653" s="128" t="s">
        <v>6363</v>
      </c>
      <c r="BD1653" s="24">
        <v>44518</v>
      </c>
      <c r="BE1653" s="24" t="s">
        <v>6337</v>
      </c>
      <c r="BF1653" s="24" t="s">
        <v>6337</v>
      </c>
      <c r="BG1653" s="135" t="s">
        <v>52</v>
      </c>
      <c r="BH1653" s="135"/>
      <c r="BI1653" s="314" t="s">
        <v>3</v>
      </c>
      <c r="BJ1653" s="314"/>
      <c r="BK1653" s="24"/>
      <c r="BL1653" s="24"/>
      <c r="BM1653" s="24"/>
      <c r="BN1653" s="24"/>
      <c r="BO1653" s="24"/>
      <c r="BP1653" s="24"/>
      <c r="BQ1653" s="24"/>
      <c r="BR1653" s="24"/>
      <c r="BS1653" s="24"/>
      <c r="BT1653" s="24"/>
      <c r="BU1653" s="24"/>
      <c r="BV1653" s="132" t="e">
        <f>IF(#REF!="COMPLETO","OK","PENDIENTE")</f>
        <v>#REF!</v>
      </c>
      <c r="BW1653" s="132"/>
      <c r="BX1653" s="132"/>
      <c r="BY1653" s="132"/>
      <c r="BZ1653" s="132"/>
      <c r="CA1653" s="132"/>
      <c r="CB1653" s="132"/>
      <c r="CC1653" s="269"/>
      <c r="CG1653" s="135" t="s">
        <v>105</v>
      </c>
      <c r="CH1653" s="135"/>
      <c r="CI1653" s="24"/>
      <c r="CJ1653" s="24"/>
    </row>
    <row r="1654" spans="1:88" ht="15.6" customHeight="1">
      <c r="A1654" s="18">
        <v>2021</v>
      </c>
      <c r="B1654" s="18" t="s">
        <v>6338</v>
      </c>
      <c r="C1654" s="360" t="s">
        <v>484</v>
      </c>
      <c r="D1654" s="150" t="s">
        <v>77</v>
      </c>
      <c r="E1654" s="132"/>
      <c r="F1654" s="135"/>
      <c r="G1654" s="346">
        <v>8000001752</v>
      </c>
      <c r="H1654" s="18" t="s">
        <v>6365</v>
      </c>
      <c r="I1654" s="329"/>
      <c r="J1654" s="346">
        <v>8000001752</v>
      </c>
      <c r="K1654" s="24"/>
      <c r="L1654" s="24">
        <v>44566</v>
      </c>
      <c r="M1654" s="24">
        <v>44566</v>
      </c>
      <c r="N1654" s="340" t="s">
        <v>486</v>
      </c>
      <c r="O1654" s="334">
        <v>206569</v>
      </c>
      <c r="P1654" s="25" t="s">
        <v>142</v>
      </c>
      <c r="Q1654" s="127" t="s">
        <v>273</v>
      </c>
      <c r="R1654" s="232" t="s">
        <v>6333</v>
      </c>
      <c r="S1654" s="89">
        <v>44442</v>
      </c>
      <c r="T1654" s="36" t="s">
        <v>19</v>
      </c>
      <c r="U1654" s="125"/>
      <c r="V1654" s="147" t="s">
        <v>6366</v>
      </c>
      <c r="W1654" s="129"/>
      <c r="X1654" s="88">
        <v>44530</v>
      </c>
      <c r="Y1654" s="130" t="s">
        <v>20</v>
      </c>
      <c r="Z1654" s="133" t="s">
        <v>60</v>
      </c>
      <c r="AA1654" s="133"/>
      <c r="AB1654" s="241">
        <v>2523.31</v>
      </c>
      <c r="AC1654" s="134">
        <v>720</v>
      </c>
      <c r="AD1654" s="134">
        <v>81.25</v>
      </c>
      <c r="AE1654" s="403">
        <f t="shared" si="95"/>
        <v>1816783.2</v>
      </c>
      <c r="AF1654" s="132"/>
      <c r="AG1654" s="130" t="s">
        <v>46</v>
      </c>
      <c r="AH1654" s="130"/>
      <c r="AI1654" s="130" t="s">
        <v>100</v>
      </c>
      <c r="AJ1654" s="130"/>
      <c r="AK1654" s="130"/>
      <c r="AL1654" s="135" t="s">
        <v>6335</v>
      </c>
      <c r="AM1654" s="314"/>
      <c r="AN1654" s="26">
        <v>44491</v>
      </c>
      <c r="AO1654" s="26">
        <v>44518</v>
      </c>
      <c r="AP1654" s="26">
        <f>AQ1654</f>
        <v>44562</v>
      </c>
      <c r="AQ1654" s="26">
        <v>44562</v>
      </c>
      <c r="AR1654" s="24">
        <f>AQ1654+1</f>
        <v>44563</v>
      </c>
      <c r="AS1654" s="24"/>
      <c r="AT1654" s="24">
        <f>+AQ1654+2</f>
        <v>44564</v>
      </c>
      <c r="AU1654" s="418">
        <f t="shared" si="96"/>
        <v>1</v>
      </c>
      <c r="AV1654" s="418">
        <f t="shared" si="97"/>
        <v>2022</v>
      </c>
      <c r="AW1654" s="24"/>
      <c r="AX1654" s="24"/>
      <c r="AY1654" s="24" t="s">
        <v>6364</v>
      </c>
      <c r="AZ1654" s="24" t="s">
        <v>62</v>
      </c>
      <c r="BA1654" s="24"/>
      <c r="BB1654" s="24" t="s">
        <v>3264</v>
      </c>
      <c r="BC1654" s="128" t="s">
        <v>6367</v>
      </c>
      <c r="BD1654" s="24">
        <v>44518</v>
      </c>
      <c r="BE1654" s="24" t="s">
        <v>6337</v>
      </c>
      <c r="BF1654" s="24" t="s">
        <v>6337</v>
      </c>
      <c r="BG1654" s="135" t="s">
        <v>52</v>
      </c>
      <c r="BH1654" s="135"/>
      <c r="BI1654" s="314" t="s">
        <v>3</v>
      </c>
      <c r="BJ1654" s="314"/>
      <c r="BK1654" s="24"/>
      <c r="BL1654" s="24"/>
      <c r="BM1654" s="24"/>
      <c r="BN1654" s="24"/>
      <c r="BO1654" s="24"/>
      <c r="BP1654" s="24"/>
      <c r="BQ1654" s="24"/>
      <c r="BR1654" s="24"/>
      <c r="BS1654" s="24"/>
      <c r="BT1654" s="24"/>
      <c r="BU1654" s="24"/>
      <c r="BV1654" s="132" t="e">
        <f>IF(#REF!="COMPLETO","OK","PENDIENTE")</f>
        <v>#REF!</v>
      </c>
      <c r="BW1654" s="132"/>
      <c r="BX1654" s="132"/>
      <c r="BY1654" s="132"/>
      <c r="BZ1654" s="132"/>
      <c r="CA1654" s="132"/>
      <c r="CB1654" s="132"/>
      <c r="CC1654" s="269"/>
      <c r="CG1654" s="135" t="s">
        <v>105</v>
      </c>
      <c r="CH1654" s="135"/>
      <c r="CI1654" s="24"/>
      <c r="CJ1654" s="24"/>
    </row>
    <row r="1655" spans="1:88" ht="15" customHeight="1">
      <c r="A1655" s="18">
        <v>2021</v>
      </c>
      <c r="B1655" s="18" t="str">
        <f>+INDEX(BDD!F:F,MATCH(P1655,BDD!D:D,0))&amp;"-"&amp;INDEX(BDD!E:E,MATCH(P1655,BDD!D:D,0))</f>
        <v>G-S</v>
      </c>
      <c r="C1655" s="360" t="s">
        <v>484</v>
      </c>
      <c r="D1655" s="150" t="s">
        <v>20</v>
      </c>
      <c r="E1655" s="132" t="s">
        <v>1622</v>
      </c>
      <c r="F1655" s="24"/>
      <c r="G1655" s="346"/>
      <c r="H1655" s="18" t="s">
        <v>6368</v>
      </c>
      <c r="I1655" s="329"/>
      <c r="J1655" s="346"/>
      <c r="K1655" s="24"/>
      <c r="L1655" s="24"/>
      <c r="M1655" s="24"/>
      <c r="N1655" s="340"/>
      <c r="O1655" s="334"/>
      <c r="P1655" s="25" t="s">
        <v>353</v>
      </c>
      <c r="Q1655" s="127" t="s">
        <v>273</v>
      </c>
      <c r="R1655" s="232"/>
      <c r="S1655" s="89"/>
      <c r="T1655" s="36"/>
      <c r="U1655" s="125"/>
      <c r="V1655" s="147"/>
      <c r="W1655" s="129"/>
      <c r="X1655" s="88"/>
      <c r="Y1655" s="130"/>
      <c r="Z1655" s="133"/>
      <c r="AA1655" s="133"/>
      <c r="AB1655" s="241"/>
      <c r="AC1655" s="134"/>
      <c r="AD1655" s="134"/>
      <c r="AE1655" s="403">
        <f t="shared" si="95"/>
        <v>0</v>
      </c>
      <c r="AF1655" s="132"/>
      <c r="AG1655" s="130"/>
      <c r="AH1655" s="130"/>
      <c r="AI1655" s="130"/>
      <c r="AJ1655" s="130"/>
      <c r="AK1655" s="130"/>
      <c r="AL1655" s="135"/>
      <c r="AM1655" s="314"/>
      <c r="AN1655" s="26"/>
      <c r="AO1655" s="26"/>
      <c r="AP1655" s="26"/>
      <c r="AQ1655" s="26"/>
      <c r="AR1655" s="24"/>
      <c r="AS1655" s="24"/>
      <c r="AT1655" s="24"/>
      <c r="AU1655" s="418">
        <f t="shared" si="96"/>
        <v>1</v>
      </c>
      <c r="AV1655" s="418">
        <f t="shared" si="97"/>
        <v>1900</v>
      </c>
      <c r="AW1655" s="24"/>
      <c r="AX1655" s="135"/>
      <c r="AY1655" s="135"/>
      <c r="AZ1655" s="24"/>
      <c r="BA1655" s="24"/>
      <c r="BB1655" s="24"/>
      <c r="BC1655" s="128"/>
      <c r="BD1655" s="24"/>
      <c r="BE1655" s="24"/>
      <c r="BF1655" s="24"/>
      <c r="BG1655" s="135"/>
      <c r="BH1655" s="135"/>
      <c r="BI1655" s="314"/>
      <c r="BJ1655" s="314"/>
      <c r="BK1655" s="24"/>
      <c r="BL1655" s="24"/>
      <c r="BM1655" s="24"/>
      <c r="BN1655" s="24"/>
      <c r="BO1655" s="24"/>
      <c r="BP1655" s="24"/>
      <c r="BQ1655" s="24"/>
      <c r="BR1655" s="24"/>
      <c r="BS1655" s="24"/>
      <c r="BT1655" s="24"/>
      <c r="BU1655" s="24"/>
      <c r="BV1655" s="132"/>
      <c r="BW1655" s="132"/>
      <c r="BX1655" s="132"/>
      <c r="BY1655" s="132"/>
      <c r="BZ1655" s="132"/>
      <c r="CA1655" s="132"/>
      <c r="CB1655" s="132"/>
      <c r="CC1655" s="362"/>
      <c r="CD1655" s="22"/>
      <c r="CE1655" s="22"/>
      <c r="CF1655" s="22"/>
      <c r="CG1655" s="24"/>
      <c r="CH1655" s="24"/>
      <c r="CI1655" s="24"/>
      <c r="CJ1655" s="24"/>
    </row>
    <row r="1656" spans="1:88" ht="15" customHeight="1">
      <c r="A1656" s="18">
        <v>2021</v>
      </c>
      <c r="B1656" s="18" t="s">
        <v>6338</v>
      </c>
      <c r="C1656" s="360" t="s">
        <v>484</v>
      </c>
      <c r="D1656" s="150" t="s">
        <v>20</v>
      </c>
      <c r="E1656" s="132" t="s">
        <v>1622</v>
      </c>
      <c r="F1656" s="132"/>
      <c r="G1656" s="346"/>
      <c r="H1656" s="18" t="s">
        <v>6369</v>
      </c>
      <c r="I1656" s="329"/>
      <c r="J1656" s="346"/>
      <c r="K1656" s="24"/>
      <c r="L1656" s="24"/>
      <c r="M1656" s="24"/>
      <c r="N1656" s="340"/>
      <c r="O1656" s="334"/>
      <c r="P1656" s="25" t="s">
        <v>353</v>
      </c>
      <c r="Q1656" s="127" t="s">
        <v>273</v>
      </c>
      <c r="R1656" s="232"/>
      <c r="S1656" s="89"/>
      <c r="T1656" s="36"/>
      <c r="U1656" s="125"/>
      <c r="V1656" s="147"/>
      <c r="W1656" s="129"/>
      <c r="X1656" s="88"/>
      <c r="Y1656" s="130"/>
      <c r="Z1656" s="133"/>
      <c r="AA1656" s="133"/>
      <c r="AB1656" s="241"/>
      <c r="AC1656" s="134"/>
      <c r="AD1656" s="134"/>
      <c r="AE1656" s="403">
        <f t="shared" si="95"/>
        <v>0</v>
      </c>
      <c r="AF1656" s="132"/>
      <c r="AG1656" s="130"/>
      <c r="AH1656" s="130"/>
      <c r="AI1656" s="130"/>
      <c r="AJ1656" s="130"/>
      <c r="AK1656" s="130"/>
      <c r="AL1656" s="135"/>
      <c r="AM1656" s="314"/>
      <c r="AN1656" s="26"/>
      <c r="AO1656" s="26"/>
      <c r="AP1656" s="26"/>
      <c r="AQ1656" s="26"/>
      <c r="AR1656" s="24"/>
      <c r="AS1656" s="24"/>
      <c r="AT1656" s="24"/>
      <c r="AU1656" s="418">
        <f t="shared" si="96"/>
        <v>1</v>
      </c>
      <c r="AV1656" s="418">
        <f t="shared" si="97"/>
        <v>1900</v>
      </c>
      <c r="AW1656" s="24"/>
      <c r="AX1656" s="135"/>
      <c r="AY1656" s="135"/>
      <c r="AZ1656" s="24"/>
      <c r="BA1656" s="24"/>
      <c r="BB1656" s="135"/>
      <c r="BC1656" s="128"/>
      <c r="BD1656" s="24"/>
      <c r="BE1656" s="24"/>
      <c r="BF1656" s="24"/>
      <c r="BG1656" s="135"/>
      <c r="BH1656" s="135"/>
      <c r="BI1656" s="314"/>
      <c r="BJ1656" s="314"/>
      <c r="BK1656" s="24"/>
      <c r="BL1656" s="24"/>
      <c r="BM1656" s="24"/>
      <c r="BN1656" s="24"/>
      <c r="BO1656" s="24"/>
      <c r="BP1656" s="24"/>
      <c r="BQ1656" s="24"/>
      <c r="BR1656" s="24"/>
      <c r="BS1656" s="24"/>
      <c r="BT1656" s="24"/>
      <c r="BU1656" s="24"/>
      <c r="BV1656" s="132"/>
      <c r="BW1656" s="132"/>
      <c r="BX1656" s="132"/>
      <c r="BY1656" s="132"/>
      <c r="BZ1656" s="132"/>
      <c r="CA1656" s="132"/>
      <c r="CB1656" s="132"/>
      <c r="CC1656" s="362"/>
      <c r="CD1656" s="22"/>
      <c r="CE1656" s="22"/>
      <c r="CF1656" s="22"/>
      <c r="CG1656" s="132"/>
      <c r="CH1656" s="132"/>
      <c r="CI1656" s="24"/>
      <c r="CJ1656" s="24"/>
    </row>
    <row r="1657" spans="1:88" ht="15" customHeight="1">
      <c r="A1657" s="18">
        <v>2021</v>
      </c>
      <c r="B1657" s="18" t="s">
        <v>6338</v>
      </c>
      <c r="C1657" s="360" t="s">
        <v>484</v>
      </c>
      <c r="D1657" s="150" t="s">
        <v>20</v>
      </c>
      <c r="E1657" s="132" t="s">
        <v>1622</v>
      </c>
      <c r="F1657" s="135"/>
      <c r="G1657" s="346"/>
      <c r="H1657" s="18" t="s">
        <v>6370</v>
      </c>
      <c r="I1657" s="329"/>
      <c r="J1657" s="346"/>
      <c r="K1657" s="24"/>
      <c r="L1657" s="24"/>
      <c r="M1657" s="24"/>
      <c r="N1657" s="340"/>
      <c r="O1657" s="334"/>
      <c r="P1657" s="25" t="s">
        <v>353</v>
      </c>
      <c r="Q1657" s="127" t="s">
        <v>273</v>
      </c>
      <c r="R1657" s="232"/>
      <c r="S1657" s="89"/>
      <c r="T1657" s="36"/>
      <c r="U1657" s="125"/>
      <c r="V1657" s="147"/>
      <c r="W1657" s="129"/>
      <c r="X1657" s="88"/>
      <c r="Y1657" s="130"/>
      <c r="Z1657" s="133"/>
      <c r="AA1657" s="133"/>
      <c r="AB1657" s="241"/>
      <c r="AC1657" s="134"/>
      <c r="AD1657" s="134"/>
      <c r="AE1657" s="403">
        <f t="shared" si="95"/>
        <v>0</v>
      </c>
      <c r="AF1657" s="132"/>
      <c r="AG1657" s="130"/>
      <c r="AH1657" s="130"/>
      <c r="AI1657" s="130"/>
      <c r="AJ1657" s="130"/>
      <c r="AK1657" s="130"/>
      <c r="AL1657" s="135"/>
      <c r="AM1657" s="314"/>
      <c r="AN1657" s="26"/>
      <c r="AO1657" s="26"/>
      <c r="AP1657" s="26"/>
      <c r="AQ1657" s="26"/>
      <c r="AR1657" s="24"/>
      <c r="AS1657" s="24"/>
      <c r="AT1657" s="24"/>
      <c r="AU1657" s="418">
        <f t="shared" si="96"/>
        <v>1</v>
      </c>
      <c r="AV1657" s="418">
        <f t="shared" si="97"/>
        <v>1900</v>
      </c>
      <c r="AW1657" s="24"/>
      <c r="AX1657" s="135"/>
      <c r="AY1657" s="135"/>
      <c r="AZ1657" s="24"/>
      <c r="BA1657" s="24"/>
      <c r="BB1657" s="135"/>
      <c r="BC1657" s="128"/>
      <c r="BD1657" s="24"/>
      <c r="BE1657" s="24"/>
      <c r="BF1657" s="24"/>
      <c r="BG1657" s="135"/>
      <c r="BH1657" s="135"/>
      <c r="BI1657" s="314"/>
      <c r="BJ1657" s="314"/>
      <c r="BK1657" s="24"/>
      <c r="BL1657" s="24"/>
      <c r="BM1657" s="24"/>
      <c r="BN1657" s="24"/>
      <c r="BO1657" s="24"/>
      <c r="BP1657" s="24"/>
      <c r="BQ1657" s="24"/>
      <c r="BR1657" s="24"/>
      <c r="BS1657" s="24"/>
      <c r="BT1657" s="24"/>
      <c r="BU1657" s="24"/>
      <c r="BV1657" s="132"/>
      <c r="BW1657" s="132"/>
      <c r="BX1657" s="132"/>
      <c r="BY1657" s="132"/>
      <c r="BZ1657" s="132"/>
      <c r="CA1657" s="132"/>
      <c r="CB1657" s="132"/>
      <c r="CC1657" s="362"/>
      <c r="CD1657" s="22"/>
      <c r="CE1657" s="22"/>
      <c r="CF1657" s="22"/>
      <c r="CG1657" s="135"/>
      <c r="CH1657" s="135"/>
      <c r="CI1657" s="24"/>
      <c r="CJ1657" s="24"/>
    </row>
    <row r="1658" spans="1:88" ht="15" customHeight="1">
      <c r="A1658" s="18">
        <v>2021</v>
      </c>
      <c r="B1658" s="18" t="str">
        <f>+INDEX(BDD!F:F,MATCH(P1658,BDD!D:D,0))&amp;"-"&amp;INDEX(BDD!E:E,MATCH(P1658,BDD!D:D,0))</f>
        <v>E-S</v>
      </c>
      <c r="C1658" s="360" t="s">
        <v>484</v>
      </c>
      <c r="D1658" s="150" t="s">
        <v>20</v>
      </c>
      <c r="E1658" s="132" t="s">
        <v>1622</v>
      </c>
      <c r="F1658" s="24"/>
      <c r="G1658" s="346"/>
      <c r="H1658" s="18" t="s">
        <v>6371</v>
      </c>
      <c r="I1658" s="329"/>
      <c r="J1658" s="346"/>
      <c r="K1658" s="24"/>
      <c r="L1658" s="24"/>
      <c r="M1658" s="24"/>
      <c r="N1658" s="340"/>
      <c r="O1658" s="334"/>
      <c r="P1658" s="25" t="s">
        <v>351</v>
      </c>
      <c r="Q1658" s="127" t="s">
        <v>273</v>
      </c>
      <c r="R1658" s="232"/>
      <c r="S1658" s="89"/>
      <c r="T1658" s="36"/>
      <c r="U1658" s="125"/>
      <c r="V1658" s="147"/>
      <c r="W1658" s="129"/>
      <c r="X1658" s="88"/>
      <c r="Y1658" s="130"/>
      <c r="Z1658" s="133"/>
      <c r="AA1658" s="133"/>
      <c r="AB1658" s="241"/>
      <c r="AC1658" s="134"/>
      <c r="AD1658" s="134"/>
      <c r="AE1658" s="403">
        <f t="shared" si="95"/>
        <v>0</v>
      </c>
      <c r="AF1658" s="132"/>
      <c r="AG1658" s="130"/>
      <c r="AH1658" s="130"/>
      <c r="AI1658" s="130"/>
      <c r="AJ1658" s="130"/>
      <c r="AK1658" s="130"/>
      <c r="AL1658" s="135"/>
      <c r="AM1658" s="314"/>
      <c r="AN1658" s="26"/>
      <c r="AO1658" s="26"/>
      <c r="AP1658" s="26"/>
      <c r="AQ1658" s="26"/>
      <c r="AR1658" s="24"/>
      <c r="AS1658" s="24"/>
      <c r="AT1658" s="24"/>
      <c r="AU1658" s="418">
        <f t="shared" si="96"/>
        <v>1</v>
      </c>
      <c r="AV1658" s="418">
        <f t="shared" si="97"/>
        <v>1900</v>
      </c>
      <c r="AW1658" s="24"/>
      <c r="AX1658" s="24"/>
      <c r="AY1658" s="24"/>
      <c r="AZ1658" s="24"/>
      <c r="BA1658" s="24"/>
      <c r="BB1658" s="24"/>
      <c r="BC1658" s="128"/>
      <c r="BD1658" s="24"/>
      <c r="BE1658" s="24"/>
      <c r="BF1658" s="24"/>
      <c r="BG1658" s="135"/>
      <c r="BH1658" s="135"/>
      <c r="BI1658" s="314"/>
      <c r="BJ1658" s="314"/>
      <c r="BK1658" s="24"/>
      <c r="BL1658" s="24"/>
      <c r="BM1658" s="24"/>
      <c r="BN1658" s="24"/>
      <c r="BO1658" s="24"/>
      <c r="BP1658" s="24"/>
      <c r="BQ1658" s="24"/>
      <c r="BR1658" s="24"/>
      <c r="BS1658" s="24"/>
      <c r="BT1658" s="24"/>
      <c r="BU1658" s="24"/>
      <c r="BV1658" s="132"/>
      <c r="BW1658" s="132"/>
      <c r="BX1658" s="132"/>
      <c r="BY1658" s="132"/>
      <c r="BZ1658" s="132"/>
      <c r="CA1658" s="132"/>
      <c r="CB1658" s="132"/>
      <c r="CC1658" s="362"/>
      <c r="CD1658" s="22"/>
      <c r="CE1658" s="22"/>
      <c r="CF1658" s="22"/>
      <c r="CG1658" s="24"/>
      <c r="CH1658" s="24"/>
      <c r="CI1658" s="24"/>
      <c r="CJ1658" s="24"/>
    </row>
    <row r="1659" spans="1:88" ht="15" customHeight="1">
      <c r="A1659" s="18">
        <v>2021</v>
      </c>
      <c r="B1659" s="18" t="s">
        <v>6372</v>
      </c>
      <c r="C1659" s="360" t="s">
        <v>484</v>
      </c>
      <c r="D1659" s="150" t="s">
        <v>20</v>
      </c>
      <c r="E1659" s="132" t="s">
        <v>1622</v>
      </c>
      <c r="F1659" s="132"/>
      <c r="G1659" s="346"/>
      <c r="H1659" s="18" t="s">
        <v>6373</v>
      </c>
      <c r="I1659" s="329"/>
      <c r="J1659" s="346"/>
      <c r="K1659" s="24"/>
      <c r="L1659" s="24"/>
      <c r="M1659" s="24"/>
      <c r="N1659" s="340"/>
      <c r="O1659" s="334"/>
      <c r="P1659" s="25" t="s">
        <v>351</v>
      </c>
      <c r="Q1659" s="127" t="s">
        <v>273</v>
      </c>
      <c r="R1659" s="232"/>
      <c r="S1659" s="89"/>
      <c r="T1659" s="36"/>
      <c r="U1659" s="125"/>
      <c r="V1659" s="147"/>
      <c r="W1659" s="129"/>
      <c r="X1659" s="88"/>
      <c r="Y1659" s="130"/>
      <c r="Z1659" s="133"/>
      <c r="AA1659" s="133"/>
      <c r="AB1659" s="241"/>
      <c r="AC1659" s="134"/>
      <c r="AD1659" s="134"/>
      <c r="AE1659" s="403">
        <f t="shared" si="95"/>
        <v>0</v>
      </c>
      <c r="AF1659" s="132"/>
      <c r="AG1659" s="130"/>
      <c r="AH1659" s="130"/>
      <c r="AI1659" s="130"/>
      <c r="AJ1659" s="130"/>
      <c r="AK1659" s="130"/>
      <c r="AL1659" s="135"/>
      <c r="AM1659" s="314"/>
      <c r="AN1659" s="26"/>
      <c r="AO1659" s="26"/>
      <c r="AP1659" s="26"/>
      <c r="AQ1659" s="26"/>
      <c r="AR1659" s="24"/>
      <c r="AS1659" s="24"/>
      <c r="AT1659" s="24"/>
      <c r="AU1659" s="418">
        <f t="shared" si="96"/>
        <v>1</v>
      </c>
      <c r="AV1659" s="418">
        <f t="shared" si="97"/>
        <v>1900</v>
      </c>
      <c r="AW1659" s="24"/>
      <c r="AX1659" s="135"/>
      <c r="AY1659" s="135"/>
      <c r="AZ1659" s="24"/>
      <c r="BA1659" s="24"/>
      <c r="BB1659" s="24"/>
      <c r="BC1659" s="128"/>
      <c r="BD1659" s="24"/>
      <c r="BE1659" s="24"/>
      <c r="BF1659" s="24"/>
      <c r="BG1659" s="135"/>
      <c r="BH1659" s="135"/>
      <c r="BI1659" s="314"/>
      <c r="BJ1659" s="314"/>
      <c r="BK1659" s="24"/>
      <c r="BL1659" s="24"/>
      <c r="BM1659" s="24"/>
      <c r="BN1659" s="24"/>
      <c r="BO1659" s="24"/>
      <c r="BP1659" s="24"/>
      <c r="BQ1659" s="24"/>
      <c r="BR1659" s="24"/>
      <c r="BS1659" s="24"/>
      <c r="BT1659" s="24"/>
      <c r="BU1659" s="24"/>
      <c r="BV1659" s="132"/>
      <c r="BW1659" s="132"/>
      <c r="BX1659" s="132"/>
      <c r="BY1659" s="132"/>
      <c r="BZ1659" s="132"/>
      <c r="CA1659" s="132"/>
      <c r="CB1659" s="132"/>
      <c r="CC1659" s="362"/>
      <c r="CD1659" s="22"/>
      <c r="CE1659" s="22"/>
      <c r="CF1659" s="22"/>
      <c r="CG1659" s="132"/>
      <c r="CH1659" s="132"/>
      <c r="CI1659" s="24"/>
      <c r="CJ1659" s="24"/>
    </row>
    <row r="1660" spans="1:88" ht="15" customHeight="1">
      <c r="A1660" s="18">
        <v>2021</v>
      </c>
      <c r="B1660" s="18" t="str">
        <f>+INDEX(BDD!F:F,MATCH(P1660,BDD!D:D,0))&amp;"-"&amp;INDEX(BDD!E:E,MATCH(P1660,BDD!D:D,0))</f>
        <v>S-S</v>
      </c>
      <c r="C1660" s="360" t="s">
        <v>484</v>
      </c>
      <c r="D1660" s="150" t="s">
        <v>77</v>
      </c>
      <c r="E1660" s="132"/>
      <c r="F1660" s="24"/>
      <c r="G1660" s="346">
        <v>8000001511</v>
      </c>
      <c r="H1660" s="18" t="s">
        <v>6374</v>
      </c>
      <c r="I1660" s="329"/>
      <c r="J1660" s="346">
        <v>8000001511</v>
      </c>
      <c r="K1660" s="24"/>
      <c r="L1660" s="24">
        <v>0</v>
      </c>
      <c r="M1660" s="24">
        <v>44532</v>
      </c>
      <c r="N1660" s="340" t="s">
        <v>486</v>
      </c>
      <c r="O1660" s="334">
        <v>206966</v>
      </c>
      <c r="P1660" s="25" t="s">
        <v>152</v>
      </c>
      <c r="Q1660" s="127" t="s">
        <v>6375</v>
      </c>
      <c r="R1660" s="232" t="s">
        <v>6376</v>
      </c>
      <c r="S1660" s="89">
        <v>44448</v>
      </c>
      <c r="T1660" s="36">
        <v>30</v>
      </c>
      <c r="U1660" s="125" t="s">
        <v>118</v>
      </c>
      <c r="V1660" s="147" t="s">
        <v>6377</v>
      </c>
      <c r="W1660" s="129"/>
      <c r="X1660" s="88">
        <v>44514</v>
      </c>
      <c r="Y1660" s="130" t="s">
        <v>20</v>
      </c>
      <c r="Z1660" s="133" t="s">
        <v>60</v>
      </c>
      <c r="AA1660" s="133"/>
      <c r="AB1660" s="241">
        <v>800</v>
      </c>
      <c r="AC1660" s="134">
        <v>982</v>
      </c>
      <c r="AD1660" s="134"/>
      <c r="AE1660" s="403">
        <f t="shared" si="95"/>
        <v>785600</v>
      </c>
      <c r="AF1660" s="132"/>
      <c r="AG1660" s="130" t="s">
        <v>58</v>
      </c>
      <c r="AH1660" s="130"/>
      <c r="AI1660" s="130" t="s">
        <v>34</v>
      </c>
      <c r="AJ1660" s="130"/>
      <c r="AK1660" s="130"/>
      <c r="AL1660" s="135" t="s">
        <v>6335</v>
      </c>
      <c r="AM1660" s="314"/>
      <c r="AN1660" s="26">
        <f t="shared" ref="AN1660:AN1704" si="99">BL1660</f>
        <v>0</v>
      </c>
      <c r="AO1660" s="26">
        <v>44490</v>
      </c>
      <c r="AP1660" s="26">
        <v>44524</v>
      </c>
      <c r="AQ1660" s="26">
        <v>44525</v>
      </c>
      <c r="AR1660" s="24">
        <f>AQ1660+5</f>
        <v>44530</v>
      </c>
      <c r="AS1660" s="24"/>
      <c r="AT1660" s="24">
        <v>44540</v>
      </c>
      <c r="AU1660" s="418">
        <f t="shared" si="96"/>
        <v>12</v>
      </c>
      <c r="AV1660" s="418">
        <f t="shared" si="97"/>
        <v>2021</v>
      </c>
      <c r="AW1660" s="24"/>
      <c r="AX1660" s="24"/>
      <c r="AY1660" s="24" t="s">
        <v>3199</v>
      </c>
      <c r="AZ1660" s="24" t="s">
        <v>50</v>
      </c>
      <c r="BA1660" s="24"/>
      <c r="BB1660" s="24" t="s">
        <v>2956</v>
      </c>
      <c r="BC1660" s="128" t="s">
        <v>6378</v>
      </c>
      <c r="BD1660" s="24">
        <v>44490</v>
      </c>
      <c r="BE1660" s="24" t="s">
        <v>5972</v>
      </c>
      <c r="BF1660" s="24" t="s">
        <v>5972</v>
      </c>
      <c r="BG1660" s="135" t="s">
        <v>52</v>
      </c>
      <c r="BH1660" s="135"/>
      <c r="BI1660" s="314" t="s">
        <v>3</v>
      </c>
      <c r="BJ1660" s="314" t="s">
        <v>143</v>
      </c>
      <c r="BK1660" s="24"/>
      <c r="BL1660" s="24"/>
      <c r="BM1660" s="24"/>
      <c r="BN1660" s="24"/>
      <c r="BO1660" s="24"/>
      <c r="BP1660" s="24"/>
      <c r="BQ1660" s="24"/>
      <c r="BR1660" s="24"/>
      <c r="BS1660" s="24"/>
      <c r="BT1660" s="24"/>
      <c r="BU1660" s="24"/>
      <c r="BV1660" s="132" t="e">
        <f>IF(#REF!="COMPLETO","OK","PENDIENTE")</f>
        <v>#REF!</v>
      </c>
      <c r="BW1660" s="132"/>
      <c r="BX1660" s="132"/>
      <c r="BY1660" s="132"/>
      <c r="BZ1660" s="132"/>
      <c r="CA1660" s="132"/>
      <c r="CB1660" s="132"/>
      <c r="CC1660" s="269"/>
      <c r="CG1660" s="24" t="s">
        <v>105</v>
      </c>
      <c r="CH1660" s="24"/>
      <c r="CI1660" s="24"/>
      <c r="CJ1660" s="24"/>
    </row>
    <row r="1661" spans="1:88" ht="15" customHeight="1">
      <c r="A1661" s="18">
        <v>2021</v>
      </c>
      <c r="B1661" s="18" t="str">
        <f>+INDEX(BDD!F:F,MATCH(P1661,BDD!D:D,0))&amp;"-"&amp;INDEX(BDD!E:E,MATCH(P1661,BDD!D:D,0))</f>
        <v>O-S</v>
      </c>
      <c r="C1661" s="360" t="s">
        <v>484</v>
      </c>
      <c r="D1661" s="150" t="s">
        <v>77</v>
      </c>
      <c r="E1661" s="132"/>
      <c r="F1661" s="24"/>
      <c r="G1661" s="346">
        <v>8000001670</v>
      </c>
      <c r="H1661" s="18" t="s">
        <v>6379</v>
      </c>
      <c r="I1661" s="329"/>
      <c r="J1661" s="346">
        <v>8000001670</v>
      </c>
      <c r="K1661" s="24"/>
      <c r="L1661" s="24">
        <v>44635</v>
      </c>
      <c r="M1661" s="24">
        <v>44635</v>
      </c>
      <c r="N1661" s="340" t="s">
        <v>486</v>
      </c>
      <c r="O1661" s="334">
        <v>203553</v>
      </c>
      <c r="P1661" s="25" t="s">
        <v>386</v>
      </c>
      <c r="Q1661" s="127" t="s">
        <v>303</v>
      </c>
      <c r="R1661" s="232" t="s">
        <v>6380</v>
      </c>
      <c r="S1661" s="89">
        <v>44392</v>
      </c>
      <c r="T1661" s="36" t="s">
        <v>19</v>
      </c>
      <c r="U1661" s="125"/>
      <c r="V1661" s="147" t="s">
        <v>6381</v>
      </c>
      <c r="W1661" s="129"/>
      <c r="X1661" s="88">
        <v>44596</v>
      </c>
      <c r="Y1661" s="130" t="s">
        <v>20</v>
      </c>
      <c r="Z1661" s="133" t="s">
        <v>60</v>
      </c>
      <c r="AA1661" s="133"/>
      <c r="AB1661" s="241">
        <v>53.85</v>
      </c>
      <c r="AC1661" s="134">
        <v>366.37</v>
      </c>
      <c r="AD1661" s="134"/>
      <c r="AE1661" s="403">
        <f t="shared" si="95"/>
        <v>19729.0245</v>
      </c>
      <c r="AF1661" s="132">
        <v>2</v>
      </c>
      <c r="AG1661" s="130" t="s">
        <v>5</v>
      </c>
      <c r="AH1661" s="130"/>
      <c r="AI1661" s="130" t="s">
        <v>100</v>
      </c>
      <c r="AJ1661" s="130"/>
      <c r="AK1661" s="130"/>
      <c r="AL1661" s="135" t="s">
        <v>5917</v>
      </c>
      <c r="AM1661" s="314"/>
      <c r="AN1661" s="26">
        <f t="shared" si="99"/>
        <v>0</v>
      </c>
      <c r="AO1661" s="26">
        <v>44531</v>
      </c>
      <c r="AP1661" s="26">
        <f t="shared" ref="AP1661:AP1670" si="100">AQ1661</f>
        <v>44632</v>
      </c>
      <c r="AQ1661" s="26">
        <v>44632</v>
      </c>
      <c r="AR1661" s="24">
        <f>AQ1661+3</f>
        <v>44635</v>
      </c>
      <c r="AS1661" s="24"/>
      <c r="AT1661" s="24">
        <v>44635</v>
      </c>
      <c r="AU1661" s="418">
        <f t="shared" si="96"/>
        <v>3</v>
      </c>
      <c r="AV1661" s="418">
        <f t="shared" si="97"/>
        <v>2022</v>
      </c>
      <c r="AW1661" s="24"/>
      <c r="AX1661" s="24"/>
      <c r="AY1661" s="24" t="s">
        <v>4072</v>
      </c>
      <c r="AZ1661" s="24" t="s">
        <v>62</v>
      </c>
      <c r="BA1661" s="24"/>
      <c r="BB1661" s="24" t="s">
        <v>3264</v>
      </c>
      <c r="BC1661" s="128" t="s">
        <v>6382</v>
      </c>
      <c r="BD1661" s="24">
        <v>44531</v>
      </c>
      <c r="BE1661" s="24" t="s">
        <v>5807</v>
      </c>
      <c r="BF1661" s="24" t="s">
        <v>1938</v>
      </c>
      <c r="BG1661" s="135" t="s">
        <v>29</v>
      </c>
      <c r="BH1661" s="135"/>
      <c r="BI1661" s="314" t="s">
        <v>3</v>
      </c>
      <c r="BJ1661" s="314" t="s">
        <v>148</v>
      </c>
      <c r="BK1661" s="24"/>
      <c r="BL1661" s="24"/>
      <c r="BM1661" s="24"/>
      <c r="BN1661" s="24"/>
      <c r="BO1661" s="41"/>
      <c r="BP1661" s="41"/>
      <c r="BQ1661" s="41" t="s">
        <v>6383</v>
      </c>
      <c r="BR1661" s="24">
        <v>44630</v>
      </c>
      <c r="BS1661" s="41" t="s">
        <v>38</v>
      </c>
      <c r="BT1661" s="41" t="s">
        <v>11</v>
      </c>
      <c r="BU1661" s="41"/>
      <c r="BV1661" s="132" t="e">
        <f>IF(#REF!="COMPLETO","OK","PENDIENTE")</f>
        <v>#REF!</v>
      </c>
      <c r="BW1661" s="132"/>
      <c r="BX1661" s="132"/>
      <c r="BY1661" s="132"/>
      <c r="BZ1661" s="132"/>
      <c r="CA1661" s="132"/>
      <c r="CB1661" s="132"/>
      <c r="CC1661" s="269"/>
      <c r="CG1661" s="24" t="s">
        <v>105</v>
      </c>
      <c r="CH1661" s="24"/>
      <c r="CI1661" s="24"/>
      <c r="CJ1661" s="24"/>
    </row>
    <row r="1662" spans="1:88" ht="15" customHeight="1">
      <c r="A1662" s="18">
        <v>2021</v>
      </c>
      <c r="B1662" s="18" t="str">
        <f>+INDEX(BDD!F:F,MATCH(P1662,BDD!D:D,0))&amp;"-"&amp;INDEX(BDD!E:E,MATCH(P1662,BDD!D:D,0))</f>
        <v>S-P</v>
      </c>
      <c r="C1662" s="360" t="s">
        <v>5398</v>
      </c>
      <c r="D1662" s="150" t="s">
        <v>45</v>
      </c>
      <c r="E1662" s="132" t="s">
        <v>51</v>
      </c>
      <c r="F1662" s="24"/>
      <c r="G1662" s="346">
        <v>8000002028</v>
      </c>
      <c r="H1662" s="18" t="s">
        <v>6384</v>
      </c>
      <c r="I1662" s="329" t="s">
        <v>6385</v>
      </c>
      <c r="J1662" s="346">
        <v>8000002028</v>
      </c>
      <c r="K1662" s="24">
        <v>44706</v>
      </c>
      <c r="L1662" s="24">
        <v>44672</v>
      </c>
      <c r="M1662" s="24"/>
      <c r="N1662" s="340" t="s">
        <v>3</v>
      </c>
      <c r="O1662" s="334">
        <v>206766</v>
      </c>
      <c r="P1662" s="25" t="s">
        <v>2</v>
      </c>
      <c r="Q1662" s="127" t="s">
        <v>237</v>
      </c>
      <c r="R1662" s="232" t="s">
        <v>6386</v>
      </c>
      <c r="S1662" s="89">
        <v>44448</v>
      </c>
      <c r="T1662" s="36">
        <v>90</v>
      </c>
      <c r="U1662" s="125" t="s">
        <v>118</v>
      </c>
      <c r="V1662" s="147" t="s">
        <v>6387</v>
      </c>
      <c r="W1662" s="88">
        <v>44614</v>
      </c>
      <c r="X1662" s="88">
        <f>+BD1662+T1662</f>
        <v>44704</v>
      </c>
      <c r="Y1662" s="130" t="s">
        <v>20</v>
      </c>
      <c r="Z1662" s="133" t="s">
        <v>60</v>
      </c>
      <c r="AA1662" s="133" t="s">
        <v>1622</v>
      </c>
      <c r="AB1662" s="241">
        <v>72</v>
      </c>
      <c r="AC1662" s="134">
        <v>1626</v>
      </c>
      <c r="AD1662" s="134">
        <v>66.66</v>
      </c>
      <c r="AE1662" s="403">
        <f t="shared" si="95"/>
        <v>117072</v>
      </c>
      <c r="AF1662" s="132">
        <f>AB1662/24</f>
        <v>3</v>
      </c>
      <c r="AG1662" s="130" t="s">
        <v>5</v>
      </c>
      <c r="AH1662" s="130" t="s">
        <v>6388</v>
      </c>
      <c r="AI1662" s="130" t="s">
        <v>47</v>
      </c>
      <c r="AJ1662" s="130" t="s">
        <v>944</v>
      </c>
      <c r="AK1662" s="130" t="s">
        <v>5634</v>
      </c>
      <c r="AL1662" s="135" t="s">
        <v>6389</v>
      </c>
      <c r="AM1662" s="314">
        <v>2022</v>
      </c>
      <c r="AN1662" s="26">
        <v>44613</v>
      </c>
      <c r="AO1662" s="385">
        <v>44613</v>
      </c>
      <c r="AP1662" s="26">
        <f t="shared" si="100"/>
        <v>44708</v>
      </c>
      <c r="AQ1662" s="385">
        <v>44708</v>
      </c>
      <c r="AR1662" s="24">
        <f>AQ1662+4</f>
        <v>44712</v>
      </c>
      <c r="AS1662" s="24">
        <v>44714</v>
      </c>
      <c r="AT1662" s="24">
        <v>44714</v>
      </c>
      <c r="AU1662" s="418">
        <f t="shared" si="96"/>
        <v>6</v>
      </c>
      <c r="AV1662" s="418">
        <f t="shared" si="97"/>
        <v>2022</v>
      </c>
      <c r="AW1662" s="24" t="s">
        <v>7888</v>
      </c>
      <c r="AX1662" s="24" t="s">
        <v>6392</v>
      </c>
      <c r="AY1662" s="24" t="s">
        <v>6391</v>
      </c>
      <c r="AZ1662" s="24" t="s">
        <v>9</v>
      </c>
      <c r="BA1662" s="24" t="s">
        <v>7130</v>
      </c>
      <c r="BB1662" s="24" t="s">
        <v>3264</v>
      </c>
      <c r="BC1662" s="128" t="s">
        <v>6390</v>
      </c>
      <c r="BD1662" s="24">
        <v>44614</v>
      </c>
      <c r="BE1662" s="24" t="s">
        <v>6393</v>
      </c>
      <c r="BF1662" s="24" t="s">
        <v>7901</v>
      </c>
      <c r="BG1662" s="135" t="s">
        <v>14</v>
      </c>
      <c r="BH1662" s="135" t="s">
        <v>5367</v>
      </c>
      <c r="BI1662" s="314" t="s">
        <v>124</v>
      </c>
      <c r="BJ1662" s="314" t="s">
        <v>143</v>
      </c>
      <c r="BK1662" s="24"/>
      <c r="BL1662" s="24"/>
      <c r="BM1662" s="24"/>
      <c r="BN1662" s="24">
        <v>44664</v>
      </c>
      <c r="BO1662" s="24">
        <v>44721</v>
      </c>
      <c r="BP1662" s="24"/>
      <c r="BQ1662" s="24" t="s">
        <v>8065</v>
      </c>
      <c r="BR1662" s="24">
        <v>44706</v>
      </c>
      <c r="BS1662" s="24" t="s">
        <v>38</v>
      </c>
      <c r="BT1662" s="24" t="s">
        <v>11</v>
      </c>
      <c r="BU1662" s="24"/>
      <c r="BV1662" s="132" t="e">
        <f>IF(#REF!="COMPLETO","OK","PENDIENTE")</f>
        <v>#REF!</v>
      </c>
      <c r="BW1662" s="132" t="s">
        <v>1622</v>
      </c>
      <c r="BX1662" s="132" t="s">
        <v>1622</v>
      </c>
      <c r="BY1662" s="132" t="s">
        <v>1622</v>
      </c>
      <c r="BZ1662" s="132" t="s">
        <v>1622</v>
      </c>
      <c r="CA1662" s="132" t="s">
        <v>1622</v>
      </c>
      <c r="CB1662" s="132" t="s">
        <v>1622</v>
      </c>
      <c r="CC1662" s="269" t="s">
        <v>6394</v>
      </c>
      <c r="CD1662" s="277" t="s">
        <v>6395</v>
      </c>
      <c r="CE1662" s="277"/>
      <c r="CG1662" s="24"/>
      <c r="CH1662" s="24"/>
      <c r="CI1662" s="24"/>
      <c r="CJ1662" s="24"/>
    </row>
    <row r="1663" spans="1:88" ht="15" customHeight="1">
      <c r="A1663" s="18">
        <v>2021</v>
      </c>
      <c r="B1663" s="18" t="str">
        <f>+INDEX(BDD!F:F,MATCH(P1663,BDD!D:D,0))&amp;"-"&amp;INDEX(BDD!E:E,MATCH(P1663,BDD!D:D,0))</f>
        <v>S-P</v>
      </c>
      <c r="C1663" s="360" t="s">
        <v>484</v>
      </c>
      <c r="D1663" s="150" t="s">
        <v>77</v>
      </c>
      <c r="E1663" s="132"/>
      <c r="F1663" s="24"/>
      <c r="G1663" s="346">
        <v>8000001876</v>
      </c>
      <c r="H1663" s="18" t="s">
        <v>6396</v>
      </c>
      <c r="I1663" s="329" t="s">
        <v>6397</v>
      </c>
      <c r="J1663" s="346">
        <v>8000001876</v>
      </c>
      <c r="K1663" s="24"/>
      <c r="L1663" s="24">
        <v>44641</v>
      </c>
      <c r="M1663" s="24">
        <v>44641</v>
      </c>
      <c r="N1663" s="340" t="s">
        <v>486</v>
      </c>
      <c r="O1663" s="334">
        <v>206766</v>
      </c>
      <c r="P1663" s="25" t="s">
        <v>2</v>
      </c>
      <c r="Q1663" s="127" t="s">
        <v>237</v>
      </c>
      <c r="R1663" s="232" t="s">
        <v>6386</v>
      </c>
      <c r="S1663" s="89">
        <v>44448</v>
      </c>
      <c r="T1663" s="36">
        <v>90</v>
      </c>
      <c r="U1663" s="125" t="s">
        <v>118</v>
      </c>
      <c r="V1663" s="147" t="s">
        <v>6398</v>
      </c>
      <c r="W1663" s="129"/>
      <c r="X1663" s="88">
        <v>44704</v>
      </c>
      <c r="Y1663" s="130" t="s">
        <v>20</v>
      </c>
      <c r="Z1663" s="133" t="s">
        <v>60</v>
      </c>
      <c r="AA1663" s="133"/>
      <c r="AB1663" s="241">
        <v>120</v>
      </c>
      <c r="AC1663" s="134">
        <v>1626</v>
      </c>
      <c r="AD1663" s="134"/>
      <c r="AE1663" s="403">
        <f t="shared" si="95"/>
        <v>195120</v>
      </c>
      <c r="AF1663" s="132">
        <f>AB1663/24</f>
        <v>5</v>
      </c>
      <c r="AG1663" s="130" t="s">
        <v>5</v>
      </c>
      <c r="AH1663" s="130"/>
      <c r="AI1663" s="130" t="s">
        <v>47</v>
      </c>
      <c r="AJ1663" s="130"/>
      <c r="AK1663" s="130" t="s">
        <v>5634</v>
      </c>
      <c r="AL1663" s="135" t="s">
        <v>6389</v>
      </c>
      <c r="AM1663" s="314"/>
      <c r="AN1663" s="26">
        <f t="shared" si="99"/>
        <v>0</v>
      </c>
      <c r="AO1663" s="26">
        <v>44616</v>
      </c>
      <c r="AP1663" s="26">
        <f t="shared" si="100"/>
        <v>44635</v>
      </c>
      <c r="AQ1663" s="26">
        <f>AO1663+19</f>
        <v>44635</v>
      </c>
      <c r="AR1663" s="24">
        <f>AQ1663+4</f>
        <v>44639</v>
      </c>
      <c r="AS1663" s="24"/>
      <c r="AT1663" s="24">
        <v>44637</v>
      </c>
      <c r="AU1663" s="418">
        <f t="shared" si="96"/>
        <v>3</v>
      </c>
      <c r="AV1663" s="418">
        <f t="shared" si="97"/>
        <v>2022</v>
      </c>
      <c r="AW1663" s="24"/>
      <c r="AX1663" s="24"/>
      <c r="AY1663" s="24" t="s">
        <v>302</v>
      </c>
      <c r="AZ1663" s="24" t="s">
        <v>9</v>
      </c>
      <c r="BA1663" s="24"/>
      <c r="BB1663" s="24" t="s">
        <v>3264</v>
      </c>
      <c r="BC1663" s="128" t="s">
        <v>6399</v>
      </c>
      <c r="BD1663" s="24">
        <v>44616</v>
      </c>
      <c r="BE1663" s="24" t="s">
        <v>6400</v>
      </c>
      <c r="BF1663" s="24" t="s">
        <v>6400</v>
      </c>
      <c r="BG1663" s="135" t="s">
        <v>29</v>
      </c>
      <c r="BH1663" s="135" t="s">
        <v>6219</v>
      </c>
      <c r="BI1663" s="314" t="s">
        <v>3</v>
      </c>
      <c r="BJ1663" s="314"/>
      <c r="BK1663" s="24"/>
      <c r="BL1663" s="24"/>
      <c r="BM1663" s="24"/>
      <c r="BN1663" s="24"/>
      <c r="BO1663" s="24">
        <f>AQ1663+13</f>
        <v>44648</v>
      </c>
      <c r="BP1663" s="24"/>
      <c r="BQ1663" s="24" t="s">
        <v>6401</v>
      </c>
      <c r="BR1663" s="24">
        <v>44632</v>
      </c>
      <c r="BS1663" s="24" t="s">
        <v>38</v>
      </c>
      <c r="BT1663" s="24" t="s">
        <v>27</v>
      </c>
      <c r="BU1663" s="24"/>
      <c r="BV1663" s="132" t="e">
        <f>IF(#REF!="COMPLETO","OK","PENDIENTE")</f>
        <v>#REF!</v>
      </c>
      <c r="BW1663" s="132"/>
      <c r="BX1663" s="132"/>
      <c r="BY1663" s="132"/>
      <c r="BZ1663" s="132"/>
      <c r="CA1663" s="132"/>
      <c r="CB1663" s="132"/>
      <c r="CC1663" s="269" t="s">
        <v>6402</v>
      </c>
      <c r="CG1663" s="24" t="s">
        <v>105</v>
      </c>
      <c r="CH1663" s="24"/>
      <c r="CI1663" s="24"/>
      <c r="CJ1663" s="24"/>
    </row>
    <row r="1664" spans="1:88" ht="15" customHeight="1">
      <c r="A1664" s="18">
        <v>2021</v>
      </c>
      <c r="B1664" s="18" t="str">
        <f>+INDEX(BDD!F:F,MATCH(P1664,BDD!D:D,0))&amp;"-"&amp;INDEX(BDD!E:E,MATCH(P1664,BDD!D:D,0))</f>
        <v>S-P</v>
      </c>
      <c r="C1664" s="360" t="s">
        <v>484</v>
      </c>
      <c r="D1664" s="150" t="s">
        <v>77</v>
      </c>
      <c r="E1664" s="132"/>
      <c r="F1664" s="24"/>
      <c r="G1664" s="346">
        <v>8000001878</v>
      </c>
      <c r="H1664" s="18" t="s">
        <v>6403</v>
      </c>
      <c r="I1664" s="329" t="s">
        <v>6385</v>
      </c>
      <c r="J1664" s="346">
        <v>8000001878</v>
      </c>
      <c r="K1664" s="24"/>
      <c r="L1664" s="24">
        <v>44670</v>
      </c>
      <c r="M1664" s="24">
        <v>44671</v>
      </c>
      <c r="N1664" s="340" t="s">
        <v>486</v>
      </c>
      <c r="O1664" s="334">
        <v>206766</v>
      </c>
      <c r="P1664" s="25" t="s">
        <v>2</v>
      </c>
      <c r="Q1664" s="127" t="s">
        <v>237</v>
      </c>
      <c r="R1664" s="232" t="s">
        <v>6386</v>
      </c>
      <c r="S1664" s="89">
        <v>44448</v>
      </c>
      <c r="T1664" s="36">
        <v>90</v>
      </c>
      <c r="U1664" s="125" t="s">
        <v>118</v>
      </c>
      <c r="V1664" s="147" t="s">
        <v>6404</v>
      </c>
      <c r="W1664" s="88">
        <v>44628</v>
      </c>
      <c r="X1664" s="88">
        <f>+BD1664+T1664</f>
        <v>44718</v>
      </c>
      <c r="Y1664" s="130" t="s">
        <v>3</v>
      </c>
      <c r="Z1664" s="133" t="s">
        <v>60</v>
      </c>
      <c r="AA1664" s="133"/>
      <c r="AB1664" s="241">
        <v>120</v>
      </c>
      <c r="AC1664" s="134">
        <v>1626</v>
      </c>
      <c r="AD1664" s="134">
        <v>58.46</v>
      </c>
      <c r="AE1664" s="403">
        <f t="shared" si="95"/>
        <v>195120</v>
      </c>
      <c r="AF1664" s="132">
        <f>AB1664/24</f>
        <v>5</v>
      </c>
      <c r="AG1664" s="130" t="s">
        <v>5</v>
      </c>
      <c r="AH1664" s="130"/>
      <c r="AI1664" s="130" t="s">
        <v>47</v>
      </c>
      <c r="AJ1664" s="130" t="s">
        <v>944</v>
      </c>
      <c r="AK1664" s="130" t="s">
        <v>5634</v>
      </c>
      <c r="AL1664" s="135" t="s">
        <v>6389</v>
      </c>
      <c r="AM1664" s="314"/>
      <c r="AN1664" s="26">
        <f t="shared" si="99"/>
        <v>0</v>
      </c>
      <c r="AO1664" s="26">
        <v>44628</v>
      </c>
      <c r="AP1664" s="26">
        <f t="shared" si="100"/>
        <v>44659</v>
      </c>
      <c r="AQ1664" s="26">
        <v>44659</v>
      </c>
      <c r="AR1664" s="24">
        <f>AQ1664+4</f>
        <v>44663</v>
      </c>
      <c r="AS1664" s="24"/>
      <c r="AT1664" s="24">
        <v>44669</v>
      </c>
      <c r="AU1664" s="418">
        <f t="shared" si="96"/>
        <v>4</v>
      </c>
      <c r="AV1664" s="418">
        <f t="shared" si="97"/>
        <v>2022</v>
      </c>
      <c r="AW1664" s="24"/>
      <c r="AX1664" s="24" t="s">
        <v>6406</v>
      </c>
      <c r="AY1664" s="24" t="s">
        <v>302</v>
      </c>
      <c r="AZ1664" s="24" t="s">
        <v>37</v>
      </c>
      <c r="BA1664" s="24" t="s">
        <v>6121</v>
      </c>
      <c r="BB1664" s="24" t="s">
        <v>3291</v>
      </c>
      <c r="BC1664" s="128" t="s">
        <v>6405</v>
      </c>
      <c r="BD1664" s="24">
        <v>44628</v>
      </c>
      <c r="BE1664" s="24" t="s">
        <v>5141</v>
      </c>
      <c r="BF1664" s="24" t="s">
        <v>6407</v>
      </c>
      <c r="BG1664" s="135" t="s">
        <v>29</v>
      </c>
      <c r="BH1664" s="135" t="s">
        <v>6219</v>
      </c>
      <c r="BI1664" s="314" t="s">
        <v>124</v>
      </c>
      <c r="BJ1664" s="314" t="s">
        <v>143</v>
      </c>
      <c r="BK1664" s="24"/>
      <c r="BL1664" s="24"/>
      <c r="BM1664" s="24"/>
      <c r="BN1664" s="24"/>
      <c r="BO1664" s="24">
        <f>AQ1664+13</f>
        <v>44672</v>
      </c>
      <c r="BP1664" s="24"/>
      <c r="BQ1664" s="24" t="s">
        <v>6408</v>
      </c>
      <c r="BR1664" s="24">
        <v>44657</v>
      </c>
      <c r="BS1664" s="24" t="s">
        <v>26</v>
      </c>
      <c r="BT1664" s="24" t="s">
        <v>11</v>
      </c>
      <c r="BU1664" s="24"/>
      <c r="BV1664" s="132" t="e">
        <f>IF(#REF!="COMPLETO","OK","PENDIENTES")</f>
        <v>#REF!</v>
      </c>
      <c r="BW1664" s="132"/>
      <c r="BX1664" s="132"/>
      <c r="BY1664" s="132"/>
      <c r="BZ1664" s="132"/>
      <c r="CA1664" s="132"/>
      <c r="CB1664" s="132"/>
      <c r="CC1664" s="269"/>
      <c r="CG1664" s="24" t="s">
        <v>105</v>
      </c>
      <c r="CH1664" s="24"/>
      <c r="CI1664" s="24"/>
      <c r="CJ1664" s="24"/>
    </row>
    <row r="1665" spans="1:88" ht="15" customHeight="1">
      <c r="A1665" s="18">
        <v>2021</v>
      </c>
      <c r="B1665" s="18" t="str">
        <f>+INDEX(BDD!F:F,MATCH(P1665,BDD!D:D,0))&amp;"-"&amp;INDEX(BDD!E:E,MATCH(P1665,BDD!D:D,0))</f>
        <v>S-P</v>
      </c>
      <c r="C1665" s="360" t="s">
        <v>484</v>
      </c>
      <c r="D1665" s="150" t="s">
        <v>77</v>
      </c>
      <c r="E1665" s="132"/>
      <c r="F1665" s="24"/>
      <c r="G1665" s="346">
        <v>8000001633</v>
      </c>
      <c r="H1665" s="18" t="s">
        <v>6409</v>
      </c>
      <c r="I1665" s="329"/>
      <c r="J1665" s="346">
        <v>8000001633</v>
      </c>
      <c r="K1665" s="24"/>
      <c r="L1665" s="24">
        <v>44585</v>
      </c>
      <c r="M1665" s="24">
        <v>44585</v>
      </c>
      <c r="N1665" s="340" t="s">
        <v>486</v>
      </c>
      <c r="O1665" s="334">
        <v>206766</v>
      </c>
      <c r="P1665" s="25" t="s">
        <v>2</v>
      </c>
      <c r="Q1665" s="127" t="s">
        <v>237</v>
      </c>
      <c r="R1665" s="232" t="s">
        <v>6410</v>
      </c>
      <c r="S1665" s="89">
        <v>44448</v>
      </c>
      <c r="T1665" s="36">
        <v>90</v>
      </c>
      <c r="U1665" s="125" t="s">
        <v>118</v>
      </c>
      <c r="V1665" s="147" t="s">
        <v>6411</v>
      </c>
      <c r="W1665" s="129"/>
      <c r="X1665" s="88">
        <f>+BD1665+T1665</f>
        <v>44646</v>
      </c>
      <c r="Y1665" s="130" t="s">
        <v>20</v>
      </c>
      <c r="Z1665" s="133" t="s">
        <v>60</v>
      </c>
      <c r="AA1665" s="133"/>
      <c r="AB1665" s="241">
        <v>408</v>
      </c>
      <c r="AC1665" s="134">
        <v>1546</v>
      </c>
      <c r="AD1665" s="134"/>
      <c r="AE1665" s="403">
        <f t="shared" si="95"/>
        <v>630768</v>
      </c>
      <c r="AF1665" s="132">
        <v>17</v>
      </c>
      <c r="AG1665" s="130" t="s">
        <v>5</v>
      </c>
      <c r="AH1665" s="130"/>
      <c r="AI1665" s="130" t="s">
        <v>47</v>
      </c>
      <c r="AJ1665" s="130"/>
      <c r="AK1665" s="130"/>
      <c r="AL1665" s="135" t="s">
        <v>6412</v>
      </c>
      <c r="AM1665" s="314"/>
      <c r="AN1665" s="26">
        <f t="shared" si="99"/>
        <v>0</v>
      </c>
      <c r="AO1665" s="26">
        <v>44556</v>
      </c>
      <c r="AP1665" s="26">
        <f t="shared" si="100"/>
        <v>44575</v>
      </c>
      <c r="AQ1665" s="26">
        <v>44575</v>
      </c>
      <c r="AR1665" s="24">
        <f>AQ1665+4</f>
        <v>44579</v>
      </c>
      <c r="AS1665" s="24"/>
      <c r="AT1665" s="24">
        <v>44582</v>
      </c>
      <c r="AU1665" s="418">
        <f t="shared" si="96"/>
        <v>1</v>
      </c>
      <c r="AV1665" s="418">
        <f t="shared" si="97"/>
        <v>2022</v>
      </c>
      <c r="AW1665" s="24"/>
      <c r="AX1665" s="24"/>
      <c r="AY1665" s="24" t="s">
        <v>302</v>
      </c>
      <c r="AZ1665" s="24" t="s">
        <v>9</v>
      </c>
      <c r="BA1665" s="24"/>
      <c r="BB1665" s="24" t="s">
        <v>3264</v>
      </c>
      <c r="BC1665" s="128" t="s">
        <v>6413</v>
      </c>
      <c r="BD1665" s="24">
        <v>44556</v>
      </c>
      <c r="BE1665" s="24" t="s">
        <v>3632</v>
      </c>
      <c r="BF1665" s="24" t="s">
        <v>994</v>
      </c>
      <c r="BG1665" s="135" t="s">
        <v>41</v>
      </c>
      <c r="BH1665" s="135" t="s">
        <v>6414</v>
      </c>
      <c r="BI1665" s="314" t="s">
        <v>3</v>
      </c>
      <c r="BJ1665" s="314"/>
      <c r="BK1665" s="24"/>
      <c r="BL1665" s="24"/>
      <c r="BM1665" s="24"/>
      <c r="BN1665" s="24"/>
      <c r="BO1665" s="24">
        <f>AQ1665+14</f>
        <v>44589</v>
      </c>
      <c r="BP1665" s="24"/>
      <c r="BQ1665" s="24"/>
      <c r="BR1665" s="24"/>
      <c r="BS1665" s="24"/>
      <c r="BT1665" s="24"/>
      <c r="BU1665" s="24"/>
      <c r="BV1665" s="132" t="e">
        <f>IF(#REF!="COMPLETO","OK","PENDIENTE")</f>
        <v>#REF!</v>
      </c>
      <c r="BW1665" s="132"/>
      <c r="BX1665" s="132"/>
      <c r="BY1665" s="132"/>
      <c r="BZ1665" s="132"/>
      <c r="CA1665" s="132"/>
      <c r="CB1665" s="132"/>
      <c r="CC1665" s="269"/>
      <c r="CG1665" s="24" t="s">
        <v>105</v>
      </c>
      <c r="CH1665" s="24"/>
      <c r="CI1665" s="24"/>
      <c r="CJ1665" s="24"/>
    </row>
    <row r="1666" spans="1:88" ht="15.6" customHeight="1">
      <c r="A1666" s="18">
        <v>2021</v>
      </c>
      <c r="B1666" s="18" t="str">
        <f>+INDEX(BDD!F:F,MATCH(P1666,BDD!D:D,0))&amp;"-"&amp;INDEX(BDD!E:E,MATCH(P1666,BDD!D:D,0))</f>
        <v>G-S</v>
      </c>
      <c r="C1666" s="360" t="s">
        <v>484</v>
      </c>
      <c r="D1666" s="150" t="s">
        <v>77</v>
      </c>
      <c r="E1666" s="132"/>
      <c r="F1666" s="24"/>
      <c r="G1666" s="346">
        <v>8000001682</v>
      </c>
      <c r="H1666" s="18" t="s">
        <v>6415</v>
      </c>
      <c r="I1666" s="329"/>
      <c r="J1666" s="346">
        <v>8000001682</v>
      </c>
      <c r="K1666" s="24"/>
      <c r="L1666" s="24">
        <v>44496</v>
      </c>
      <c r="M1666" s="24">
        <v>44502</v>
      </c>
      <c r="N1666" s="340" t="s">
        <v>486</v>
      </c>
      <c r="O1666" s="334">
        <v>203616</v>
      </c>
      <c r="P1666" s="25" t="s">
        <v>357</v>
      </c>
      <c r="Q1666" s="127" t="s">
        <v>237</v>
      </c>
      <c r="R1666" s="232" t="s">
        <v>6416</v>
      </c>
      <c r="S1666" s="89">
        <v>44447</v>
      </c>
      <c r="T1666" s="36" t="s">
        <v>19</v>
      </c>
      <c r="U1666" s="125"/>
      <c r="V1666" s="147" t="s">
        <v>6417</v>
      </c>
      <c r="W1666" s="129"/>
      <c r="X1666" s="88">
        <v>44463</v>
      </c>
      <c r="Y1666" s="130" t="s">
        <v>20</v>
      </c>
      <c r="Z1666" s="133" t="s">
        <v>60</v>
      </c>
      <c r="AA1666" s="133"/>
      <c r="AB1666" s="241">
        <v>1700</v>
      </c>
      <c r="AC1666" s="134">
        <v>280</v>
      </c>
      <c r="AD1666" s="134"/>
      <c r="AE1666" s="403">
        <f t="shared" ref="AE1666:AE1729" si="101">AB1666*AC1666</f>
        <v>476000</v>
      </c>
      <c r="AF1666" s="132"/>
      <c r="AG1666" s="130" t="s">
        <v>46</v>
      </c>
      <c r="AH1666" s="130"/>
      <c r="AI1666" s="130" t="s">
        <v>100</v>
      </c>
      <c r="AJ1666" s="130"/>
      <c r="AK1666" s="130"/>
      <c r="AL1666" s="135" t="s">
        <v>6165</v>
      </c>
      <c r="AM1666" s="314"/>
      <c r="AN1666" s="26">
        <f t="shared" si="99"/>
        <v>0</v>
      </c>
      <c r="AO1666" s="26">
        <v>44464</v>
      </c>
      <c r="AP1666" s="26">
        <f t="shared" si="100"/>
        <v>44495</v>
      </c>
      <c r="AQ1666" s="26">
        <v>44495</v>
      </c>
      <c r="AR1666" s="24">
        <f>AP1666+2</f>
        <v>44497</v>
      </c>
      <c r="AS1666" s="24"/>
      <c r="AT1666" s="24">
        <v>44497</v>
      </c>
      <c r="AU1666" s="418">
        <f t="shared" si="96"/>
        <v>10</v>
      </c>
      <c r="AV1666" s="418">
        <f t="shared" si="97"/>
        <v>2021</v>
      </c>
      <c r="AW1666" s="24"/>
      <c r="AX1666" s="24"/>
      <c r="AY1666" s="24" t="s">
        <v>5642</v>
      </c>
      <c r="AZ1666" s="24" t="s">
        <v>9</v>
      </c>
      <c r="BA1666" s="24"/>
      <c r="BB1666" s="24" t="s">
        <v>3519</v>
      </c>
      <c r="BC1666" s="128" t="s">
        <v>6418</v>
      </c>
      <c r="BD1666" s="24">
        <v>44463</v>
      </c>
      <c r="BE1666" s="24" t="s">
        <v>6167</v>
      </c>
      <c r="BF1666" s="24" t="s">
        <v>6167</v>
      </c>
      <c r="BG1666" s="135" t="s">
        <v>52</v>
      </c>
      <c r="BH1666" s="135"/>
      <c r="BI1666" s="314" t="s">
        <v>124</v>
      </c>
      <c r="BJ1666" s="314" t="s">
        <v>148</v>
      </c>
      <c r="BK1666" s="24"/>
      <c r="BL1666" s="24"/>
      <c r="BM1666" s="24"/>
      <c r="BN1666" s="24"/>
      <c r="BO1666" s="24"/>
      <c r="BP1666" s="24"/>
      <c r="BQ1666" s="24"/>
      <c r="BR1666" s="24"/>
      <c r="BS1666" s="24"/>
      <c r="BT1666" s="24"/>
      <c r="BU1666" s="24"/>
      <c r="BV1666" s="132" t="e">
        <f>IF(#REF!="COMPLETO","OK","PENDIENTES")</f>
        <v>#REF!</v>
      </c>
      <c r="BW1666" s="132"/>
      <c r="BX1666" s="132"/>
      <c r="BY1666" s="132"/>
      <c r="BZ1666" s="132"/>
      <c r="CA1666" s="132"/>
      <c r="CB1666" s="132"/>
      <c r="CC1666" s="269"/>
      <c r="CG1666" s="24" t="s">
        <v>105</v>
      </c>
      <c r="CH1666" s="24"/>
      <c r="CI1666" s="24"/>
      <c r="CJ1666" s="24"/>
    </row>
    <row r="1667" spans="1:88" ht="15.6" customHeight="1">
      <c r="A1667" s="18">
        <v>2021</v>
      </c>
      <c r="B1667" s="18" t="str">
        <f>+INDEX(BDD!F:F,MATCH(P1667,BDD!D:D,0))&amp;"-"&amp;INDEX(BDD!E:E,MATCH(P1667,BDD!D:D,0))</f>
        <v>G-S</v>
      </c>
      <c r="C1667" s="360" t="s">
        <v>484</v>
      </c>
      <c r="D1667" s="150" t="s">
        <v>77</v>
      </c>
      <c r="E1667" s="132"/>
      <c r="F1667" s="24"/>
      <c r="G1667" s="346">
        <v>8000001710</v>
      </c>
      <c r="H1667" s="18" t="s">
        <v>6419</v>
      </c>
      <c r="I1667" s="329"/>
      <c r="J1667" s="346">
        <v>8000001710</v>
      </c>
      <c r="K1667" s="24"/>
      <c r="L1667" s="24">
        <v>0</v>
      </c>
      <c r="M1667" s="24">
        <v>44523</v>
      </c>
      <c r="N1667" s="340" t="s">
        <v>486</v>
      </c>
      <c r="O1667" s="334">
        <v>203616</v>
      </c>
      <c r="P1667" s="25" t="s">
        <v>357</v>
      </c>
      <c r="Q1667" s="127" t="s">
        <v>237</v>
      </c>
      <c r="R1667" s="232" t="s">
        <v>6416</v>
      </c>
      <c r="S1667" s="89">
        <v>44447</v>
      </c>
      <c r="T1667" s="36" t="s">
        <v>19</v>
      </c>
      <c r="U1667" s="125"/>
      <c r="V1667" s="147" t="s">
        <v>6420</v>
      </c>
      <c r="W1667" s="129"/>
      <c r="X1667" s="88">
        <v>44463</v>
      </c>
      <c r="Y1667" s="130" t="s">
        <v>20</v>
      </c>
      <c r="Z1667" s="133" t="s">
        <v>60</v>
      </c>
      <c r="AA1667" s="133"/>
      <c r="AB1667" s="241">
        <v>800</v>
      </c>
      <c r="AC1667" s="134">
        <v>280</v>
      </c>
      <c r="AD1667" s="134"/>
      <c r="AE1667" s="403">
        <f t="shared" si="101"/>
        <v>224000</v>
      </c>
      <c r="AF1667" s="132"/>
      <c r="AG1667" s="130" t="s">
        <v>46</v>
      </c>
      <c r="AH1667" s="130"/>
      <c r="AI1667" s="130" t="s">
        <v>100</v>
      </c>
      <c r="AJ1667" s="130"/>
      <c r="AK1667" s="130"/>
      <c r="AL1667" s="135" t="s">
        <v>6165</v>
      </c>
      <c r="AM1667" s="314"/>
      <c r="AN1667" s="26">
        <f t="shared" si="99"/>
        <v>0</v>
      </c>
      <c r="AO1667" s="26">
        <v>44464</v>
      </c>
      <c r="AP1667" s="26">
        <f t="shared" si="100"/>
        <v>44509</v>
      </c>
      <c r="AQ1667" s="26">
        <v>44509</v>
      </c>
      <c r="AR1667" s="24">
        <f>AP1667+10</f>
        <v>44519</v>
      </c>
      <c r="AS1667" s="24"/>
      <c r="AT1667" s="24">
        <v>44521</v>
      </c>
      <c r="AU1667" s="418">
        <f t="shared" ref="AU1667:AU1730" si="102">MONTH(AT1667)</f>
        <v>11</v>
      </c>
      <c r="AV1667" s="418">
        <f t="shared" ref="AV1667:AV1730" si="103">YEAR(AT1667)</f>
        <v>2021</v>
      </c>
      <c r="AW1667" s="24"/>
      <c r="AX1667" s="24"/>
      <c r="AY1667" s="24" t="s">
        <v>5642</v>
      </c>
      <c r="AZ1667" s="24" t="s">
        <v>25</v>
      </c>
      <c r="BA1667" s="24"/>
      <c r="BB1667" s="24" t="s">
        <v>3264</v>
      </c>
      <c r="BC1667" s="128" t="s">
        <v>6421</v>
      </c>
      <c r="BD1667" s="24">
        <v>44463</v>
      </c>
      <c r="BE1667" s="24" t="s">
        <v>6167</v>
      </c>
      <c r="BF1667" s="24" t="s">
        <v>6167</v>
      </c>
      <c r="BG1667" s="135" t="s">
        <v>52</v>
      </c>
      <c r="BH1667" s="135"/>
      <c r="BI1667" s="314" t="s">
        <v>3</v>
      </c>
      <c r="BJ1667" s="314" t="s">
        <v>148</v>
      </c>
      <c r="BK1667" s="24"/>
      <c r="BL1667" s="24"/>
      <c r="BM1667" s="24"/>
      <c r="BN1667" s="24"/>
      <c r="BO1667" s="24"/>
      <c r="BP1667" s="24"/>
      <c r="BQ1667" s="24"/>
      <c r="BR1667" s="24"/>
      <c r="BS1667" s="24"/>
      <c r="BT1667" s="24"/>
      <c r="BU1667" s="24"/>
      <c r="BV1667" s="132" t="e">
        <f>IF(#REF!="COMPLETO","OK","PENDIENTE")</f>
        <v>#REF!</v>
      </c>
      <c r="BW1667" s="132"/>
      <c r="BX1667" s="132"/>
      <c r="BY1667" s="132"/>
      <c r="BZ1667" s="132"/>
      <c r="CA1667" s="132"/>
      <c r="CB1667" s="132"/>
      <c r="CC1667" s="269"/>
      <c r="CG1667" s="24" t="s">
        <v>105</v>
      </c>
      <c r="CH1667" s="24"/>
      <c r="CI1667" s="24"/>
      <c r="CJ1667" s="24"/>
    </row>
    <row r="1668" spans="1:88" ht="15" customHeight="1">
      <c r="A1668" s="18">
        <v>2021</v>
      </c>
      <c r="B1668" s="18" t="str">
        <f>+INDEX(BDD!F:F,MATCH(P1668,BDD!D:D,0))&amp;"-"&amp;INDEX(BDD!E:E,MATCH(P1668,BDD!D:D,0))</f>
        <v>G-S</v>
      </c>
      <c r="C1668" s="360" t="s">
        <v>484</v>
      </c>
      <c r="D1668" s="150" t="s">
        <v>77</v>
      </c>
      <c r="E1668" s="132"/>
      <c r="F1668" s="24"/>
      <c r="G1668" s="346">
        <v>8000001681</v>
      </c>
      <c r="H1668" s="18" t="s">
        <v>6422</v>
      </c>
      <c r="I1668" s="329"/>
      <c r="J1668" s="346">
        <v>8000001681</v>
      </c>
      <c r="K1668" s="24"/>
      <c r="L1668" s="24">
        <v>44496</v>
      </c>
      <c r="M1668" s="24">
        <v>44497</v>
      </c>
      <c r="N1668" s="340" t="s">
        <v>486</v>
      </c>
      <c r="O1668" s="334">
        <v>208300</v>
      </c>
      <c r="P1668" s="25" t="s">
        <v>332</v>
      </c>
      <c r="Q1668" s="127" t="s">
        <v>237</v>
      </c>
      <c r="R1668" s="232" t="s">
        <v>6423</v>
      </c>
      <c r="S1668" s="89">
        <v>44447</v>
      </c>
      <c r="T1668" s="36" t="s">
        <v>19</v>
      </c>
      <c r="U1668" s="125"/>
      <c r="V1668" s="147" t="s">
        <v>6424</v>
      </c>
      <c r="W1668" s="129"/>
      <c r="X1668" s="88">
        <f>+BD1668+18</f>
        <v>44466</v>
      </c>
      <c r="Y1668" s="130" t="s">
        <v>20</v>
      </c>
      <c r="Z1668" s="133" t="s">
        <v>60</v>
      </c>
      <c r="AA1668" s="133"/>
      <c r="AB1668" s="241">
        <v>270</v>
      </c>
      <c r="AC1668" s="134">
        <f>367-27</f>
        <v>340</v>
      </c>
      <c r="AD1668" s="134"/>
      <c r="AE1668" s="403">
        <f t="shared" si="101"/>
        <v>91800</v>
      </c>
      <c r="AF1668" s="132"/>
      <c r="AG1668" s="130" t="s">
        <v>46</v>
      </c>
      <c r="AH1668" s="130"/>
      <c r="AI1668" s="130" t="s">
        <v>100</v>
      </c>
      <c r="AJ1668" s="130"/>
      <c r="AK1668" s="130"/>
      <c r="AL1668" s="135" t="s">
        <v>6165</v>
      </c>
      <c r="AM1668" s="314"/>
      <c r="AN1668" s="26">
        <f t="shared" si="99"/>
        <v>0</v>
      </c>
      <c r="AO1668" s="26">
        <v>44464</v>
      </c>
      <c r="AP1668" s="26">
        <f t="shared" si="100"/>
        <v>44495</v>
      </c>
      <c r="AQ1668" s="26">
        <v>44495</v>
      </c>
      <c r="AR1668" s="24">
        <f>AP1668+2</f>
        <v>44497</v>
      </c>
      <c r="AS1668" s="24"/>
      <c r="AT1668" s="24">
        <v>44497</v>
      </c>
      <c r="AU1668" s="418">
        <f t="shared" si="102"/>
        <v>10</v>
      </c>
      <c r="AV1668" s="418">
        <f t="shared" si="103"/>
        <v>2021</v>
      </c>
      <c r="AW1668" s="24"/>
      <c r="AX1668" s="24"/>
      <c r="AY1668" s="24" t="s">
        <v>315</v>
      </c>
      <c r="AZ1668" s="24" t="s">
        <v>9</v>
      </c>
      <c r="BA1668" s="24"/>
      <c r="BB1668" s="24" t="s">
        <v>3264</v>
      </c>
      <c r="BC1668" s="128" t="s">
        <v>6425</v>
      </c>
      <c r="BD1668" s="24">
        <v>44448</v>
      </c>
      <c r="BE1668" s="24" t="s">
        <v>6167</v>
      </c>
      <c r="BF1668" s="24" t="s">
        <v>6167</v>
      </c>
      <c r="BG1668" s="135" t="s">
        <v>52</v>
      </c>
      <c r="BH1668" s="135"/>
      <c r="BI1668" s="314" t="s">
        <v>124</v>
      </c>
      <c r="BJ1668" s="314" t="s">
        <v>148</v>
      </c>
      <c r="BK1668" s="24"/>
      <c r="BL1668" s="24"/>
      <c r="BM1668" s="24"/>
      <c r="BN1668" s="24"/>
      <c r="BO1668" s="24"/>
      <c r="BP1668" s="24"/>
      <c r="BQ1668" s="24"/>
      <c r="BR1668" s="24"/>
      <c r="BS1668" s="24"/>
      <c r="BT1668" s="24"/>
      <c r="BU1668" s="24"/>
      <c r="BV1668" s="132" t="e">
        <f>IF(#REF!="COMPLETO","OK","PENDIENTES")</f>
        <v>#REF!</v>
      </c>
      <c r="BW1668" s="132"/>
      <c r="BX1668" s="132"/>
      <c r="BY1668" s="132"/>
      <c r="BZ1668" s="132"/>
      <c r="CA1668" s="132"/>
      <c r="CB1668" s="132"/>
      <c r="CC1668" s="269"/>
      <c r="CG1668" s="24" t="s">
        <v>105</v>
      </c>
      <c r="CH1668" s="24"/>
      <c r="CI1668" s="24"/>
      <c r="CJ1668" s="24"/>
    </row>
    <row r="1669" spans="1:88" ht="15" customHeight="1">
      <c r="A1669" s="18">
        <v>2021</v>
      </c>
      <c r="B1669" s="18" t="str">
        <f>+INDEX(BDD!F:F,MATCH(P1669,BDD!D:D,0))&amp;"-"&amp;INDEX(BDD!E:E,MATCH(P1669,BDD!D:D,0))</f>
        <v>G-S</v>
      </c>
      <c r="C1669" s="360" t="s">
        <v>484</v>
      </c>
      <c r="D1669" s="150" t="s">
        <v>77</v>
      </c>
      <c r="E1669" s="132"/>
      <c r="F1669" s="24"/>
      <c r="G1669" s="346">
        <v>8000001709</v>
      </c>
      <c r="H1669" s="18" t="s">
        <v>6426</v>
      </c>
      <c r="I1669" s="329"/>
      <c r="J1669" s="346">
        <v>8000001709</v>
      </c>
      <c r="K1669" s="24"/>
      <c r="L1669" s="24">
        <v>0</v>
      </c>
      <c r="M1669" s="24">
        <v>44523</v>
      </c>
      <c r="N1669" s="340" t="s">
        <v>486</v>
      </c>
      <c r="O1669" s="334">
        <v>208300</v>
      </c>
      <c r="P1669" s="25" t="s">
        <v>332</v>
      </c>
      <c r="Q1669" s="127" t="s">
        <v>237</v>
      </c>
      <c r="R1669" s="232" t="s">
        <v>6423</v>
      </c>
      <c r="S1669" s="89">
        <v>44447</v>
      </c>
      <c r="T1669" s="36" t="s">
        <v>19</v>
      </c>
      <c r="U1669" s="125"/>
      <c r="V1669" s="256" t="s">
        <v>6427</v>
      </c>
      <c r="W1669" s="151"/>
      <c r="X1669" s="88">
        <f>+BD1669+18</f>
        <v>44466</v>
      </c>
      <c r="Y1669" s="130" t="s">
        <v>20</v>
      </c>
      <c r="Z1669" s="133" t="s">
        <v>60</v>
      </c>
      <c r="AA1669" s="133"/>
      <c r="AB1669" s="241">
        <v>270</v>
      </c>
      <c r="AC1669" s="134">
        <f>367-27</f>
        <v>340</v>
      </c>
      <c r="AD1669" s="134"/>
      <c r="AE1669" s="403">
        <f t="shared" si="101"/>
        <v>91800</v>
      </c>
      <c r="AF1669" s="24"/>
      <c r="AG1669" s="130" t="s">
        <v>46</v>
      </c>
      <c r="AH1669" s="130"/>
      <c r="AI1669" s="130" t="s">
        <v>100</v>
      </c>
      <c r="AJ1669" s="130"/>
      <c r="AK1669" s="130"/>
      <c r="AL1669" s="135" t="s">
        <v>6165</v>
      </c>
      <c r="AM1669" s="314"/>
      <c r="AN1669" s="26">
        <f t="shared" si="99"/>
        <v>0</v>
      </c>
      <c r="AO1669" s="26">
        <v>44464</v>
      </c>
      <c r="AP1669" s="26">
        <f t="shared" si="100"/>
        <v>44509</v>
      </c>
      <c r="AQ1669" s="26">
        <v>44509</v>
      </c>
      <c r="AR1669" s="24">
        <f>AP1669+10</f>
        <v>44519</v>
      </c>
      <c r="AS1669" s="24"/>
      <c r="AT1669" s="24">
        <v>44521</v>
      </c>
      <c r="AU1669" s="418">
        <f t="shared" si="102"/>
        <v>11</v>
      </c>
      <c r="AV1669" s="418">
        <f t="shared" si="103"/>
        <v>2021</v>
      </c>
      <c r="AW1669" s="24"/>
      <c r="AX1669" s="24"/>
      <c r="AY1669" s="24" t="s">
        <v>315</v>
      </c>
      <c r="AZ1669" s="24" t="s">
        <v>25</v>
      </c>
      <c r="BA1669" s="24"/>
      <c r="BB1669" s="24" t="s">
        <v>3264</v>
      </c>
      <c r="BC1669" s="128" t="s">
        <v>6428</v>
      </c>
      <c r="BD1669" s="24">
        <v>44448</v>
      </c>
      <c r="BE1669" s="24" t="s">
        <v>6167</v>
      </c>
      <c r="BF1669" s="24" t="s">
        <v>6167</v>
      </c>
      <c r="BG1669" s="135" t="s">
        <v>52</v>
      </c>
      <c r="BH1669" s="135"/>
      <c r="BI1669" s="314" t="s">
        <v>3</v>
      </c>
      <c r="BJ1669" s="314" t="s">
        <v>148</v>
      </c>
      <c r="BK1669" s="24"/>
      <c r="BL1669" s="24"/>
      <c r="BM1669" s="24"/>
      <c r="BN1669" s="24"/>
      <c r="BO1669" s="24"/>
      <c r="BP1669" s="24"/>
      <c r="BQ1669" s="24"/>
      <c r="BR1669" s="24"/>
      <c r="BS1669" s="24"/>
      <c r="BT1669" s="24"/>
      <c r="BU1669" s="24"/>
      <c r="BV1669" s="132" t="e">
        <f>IF(#REF!="COMPLETO","OK","PENDIENTE")</f>
        <v>#REF!</v>
      </c>
      <c r="BW1669" s="132"/>
      <c r="BX1669" s="132"/>
      <c r="BY1669" s="132"/>
      <c r="BZ1669" s="132"/>
      <c r="CA1669" s="132"/>
      <c r="CB1669" s="132"/>
      <c r="CC1669" s="269"/>
      <c r="CG1669" s="24" t="s">
        <v>105</v>
      </c>
      <c r="CH1669" s="24"/>
      <c r="CI1669" s="24"/>
      <c r="CJ1669" s="24"/>
    </row>
    <row r="1670" spans="1:88" ht="15" customHeight="1">
      <c r="A1670" s="18">
        <v>2021</v>
      </c>
      <c r="B1670" s="18" t="str">
        <f>+INDEX(BDD!F:F,MATCH(P1670,BDD!D:D,0))&amp;"-"&amp;INDEX(BDD!E:E,MATCH(P1670,BDD!D:D,0))</f>
        <v>S-S</v>
      </c>
      <c r="C1670" s="360" t="s">
        <v>484</v>
      </c>
      <c r="D1670" s="150" t="s">
        <v>77</v>
      </c>
      <c r="E1670" s="132"/>
      <c r="F1670" s="24"/>
      <c r="G1670" s="346">
        <v>8000001657</v>
      </c>
      <c r="H1670" s="18" t="s">
        <v>6429</v>
      </c>
      <c r="I1670" s="329"/>
      <c r="J1670" s="346">
        <v>8000001657</v>
      </c>
      <c r="K1670" s="24"/>
      <c r="L1670" s="24">
        <v>44595</v>
      </c>
      <c r="M1670" s="24">
        <v>44595</v>
      </c>
      <c r="N1670" s="340" t="s">
        <v>486</v>
      </c>
      <c r="O1670" s="334" t="s">
        <v>866</v>
      </c>
      <c r="P1670" s="25" t="s">
        <v>340</v>
      </c>
      <c r="Q1670" s="127" t="s">
        <v>297</v>
      </c>
      <c r="R1670" s="232" t="s">
        <v>6430</v>
      </c>
      <c r="S1670" s="89">
        <v>44447</v>
      </c>
      <c r="T1670" s="36" t="s">
        <v>19</v>
      </c>
      <c r="U1670" s="125"/>
      <c r="V1670" s="147" t="s">
        <v>6431</v>
      </c>
      <c r="W1670" s="129"/>
      <c r="X1670" s="88">
        <v>44550</v>
      </c>
      <c r="Y1670" s="130" t="s">
        <v>20</v>
      </c>
      <c r="Z1670" s="133" t="s">
        <v>60</v>
      </c>
      <c r="AA1670" s="133"/>
      <c r="AB1670" s="241">
        <v>4500</v>
      </c>
      <c r="AC1670" s="134">
        <v>946.18</v>
      </c>
      <c r="AD1670" s="134">
        <v>234.79</v>
      </c>
      <c r="AE1670" s="403">
        <f t="shared" si="101"/>
        <v>4257810</v>
      </c>
      <c r="AF1670" s="132"/>
      <c r="AG1670" s="130" t="s">
        <v>58</v>
      </c>
      <c r="AH1670" s="130"/>
      <c r="AI1670" s="130" t="s">
        <v>6029</v>
      </c>
      <c r="AJ1670" s="130"/>
      <c r="AK1670" s="130"/>
      <c r="AL1670" s="135" t="s">
        <v>6432</v>
      </c>
      <c r="AM1670" s="314"/>
      <c r="AN1670" s="26">
        <f t="shared" si="99"/>
        <v>0</v>
      </c>
      <c r="AO1670" s="26">
        <v>44541</v>
      </c>
      <c r="AP1670" s="26">
        <f t="shared" si="100"/>
        <v>44594</v>
      </c>
      <c r="AQ1670" s="26">
        <v>44594</v>
      </c>
      <c r="AR1670" s="24">
        <f>AQ1670+2</f>
        <v>44596</v>
      </c>
      <c r="AS1670" s="24"/>
      <c r="AT1670" s="24">
        <v>44597</v>
      </c>
      <c r="AU1670" s="418">
        <f t="shared" si="102"/>
        <v>2</v>
      </c>
      <c r="AV1670" s="418">
        <f t="shared" si="103"/>
        <v>2022</v>
      </c>
      <c r="AW1670" s="24"/>
      <c r="AX1670" s="135"/>
      <c r="AY1670" s="135" t="s">
        <v>6032</v>
      </c>
      <c r="AZ1670" s="24" t="s">
        <v>25</v>
      </c>
      <c r="BA1670" s="24"/>
      <c r="BB1670" s="24" t="s">
        <v>3264</v>
      </c>
      <c r="BC1670" s="128" t="s">
        <v>6433</v>
      </c>
      <c r="BD1670" s="24">
        <v>44541</v>
      </c>
      <c r="BE1670" s="24" t="s">
        <v>6033</v>
      </c>
      <c r="BF1670" s="24" t="s">
        <v>6033</v>
      </c>
      <c r="BG1670" s="135" t="s">
        <v>52</v>
      </c>
      <c r="BH1670" s="135"/>
      <c r="BI1670" s="314" t="s">
        <v>3</v>
      </c>
      <c r="BJ1670" s="314" t="s">
        <v>143</v>
      </c>
      <c r="BK1670" s="24"/>
      <c r="BL1670" s="24"/>
      <c r="BM1670" s="24"/>
      <c r="BN1670" s="24"/>
      <c r="BO1670" s="24"/>
      <c r="BP1670" s="24"/>
      <c r="BQ1670" s="24" t="s">
        <v>6434</v>
      </c>
      <c r="BR1670" s="24">
        <v>44592</v>
      </c>
      <c r="BS1670" s="24" t="s">
        <v>38</v>
      </c>
      <c r="BT1670" s="24" t="s">
        <v>11</v>
      </c>
      <c r="BU1670" s="24"/>
      <c r="BV1670" s="132" t="e">
        <f>IF(#REF!="COMPLETO","OK","PENDIENTE")</f>
        <v>#REF!</v>
      </c>
      <c r="BW1670" s="132"/>
      <c r="BX1670" s="132"/>
      <c r="BY1670" s="132"/>
      <c r="BZ1670" s="132"/>
      <c r="CA1670" s="132"/>
      <c r="CB1670" s="132"/>
      <c r="CC1670" s="269"/>
      <c r="CG1670" s="24" t="s">
        <v>105</v>
      </c>
      <c r="CH1670" s="24"/>
      <c r="CI1670" s="24"/>
      <c r="CJ1670" s="24"/>
    </row>
    <row r="1671" spans="1:88" ht="15" customHeight="1">
      <c r="A1671" s="18">
        <v>2021</v>
      </c>
      <c r="B1671" s="18" t="str">
        <f>+INDEX(BDD!F:F,MATCH(P1671,BDD!D:D,0))&amp;"-"&amp;INDEX(BDD!E:E,MATCH(P1671,BDD!D:D,0))</f>
        <v>S-S</v>
      </c>
      <c r="C1671" s="360" t="s">
        <v>484</v>
      </c>
      <c r="D1671" s="150" t="s">
        <v>77</v>
      </c>
      <c r="E1671" s="132"/>
      <c r="F1671" s="24"/>
      <c r="G1671" s="346">
        <v>8000001793</v>
      </c>
      <c r="H1671" s="18" t="s">
        <v>6435</v>
      </c>
      <c r="I1671" s="329"/>
      <c r="J1671" s="346">
        <v>8000001793</v>
      </c>
      <c r="K1671" s="24"/>
      <c r="L1671" s="24">
        <v>44620</v>
      </c>
      <c r="M1671" s="24">
        <v>44620</v>
      </c>
      <c r="N1671" s="340" t="s">
        <v>486</v>
      </c>
      <c r="O1671" s="334">
        <v>206713</v>
      </c>
      <c r="P1671" s="25" t="s">
        <v>340</v>
      </c>
      <c r="Q1671" s="127" t="s">
        <v>297</v>
      </c>
      <c r="R1671" s="232" t="s">
        <v>6430</v>
      </c>
      <c r="S1671" s="89">
        <v>44447</v>
      </c>
      <c r="T1671" s="36" t="s">
        <v>19</v>
      </c>
      <c r="U1671" s="125"/>
      <c r="V1671" s="147" t="s">
        <v>6436</v>
      </c>
      <c r="W1671" s="129"/>
      <c r="X1671" s="88">
        <v>44550</v>
      </c>
      <c r="Y1671" s="130" t="s">
        <v>20</v>
      </c>
      <c r="Z1671" s="133" t="s">
        <v>60</v>
      </c>
      <c r="AA1671" s="133" t="s">
        <v>6028</v>
      </c>
      <c r="AB1671" s="241">
        <v>247.2</v>
      </c>
      <c r="AC1671" s="134">
        <v>793.14286407766895</v>
      </c>
      <c r="AD1671" s="134">
        <v>234.79</v>
      </c>
      <c r="AE1671" s="403">
        <f t="shared" si="101"/>
        <v>196064.91599999976</v>
      </c>
      <c r="AF1671" s="132"/>
      <c r="AG1671" s="130" t="s">
        <v>58</v>
      </c>
      <c r="AH1671" s="130"/>
      <c r="AI1671" s="130" t="s">
        <v>6029</v>
      </c>
      <c r="AJ1671" s="130"/>
      <c r="AK1671" s="130"/>
      <c r="AL1671" s="135" t="s">
        <v>6432</v>
      </c>
      <c r="AM1671" s="314"/>
      <c r="AN1671" s="26">
        <f t="shared" si="99"/>
        <v>0</v>
      </c>
      <c r="AO1671" s="26">
        <v>44541</v>
      </c>
      <c r="AP1671" s="26" t="e">
        <f>#REF!+50</f>
        <v>#REF!</v>
      </c>
      <c r="AQ1671" s="26">
        <v>44599</v>
      </c>
      <c r="AR1671" s="24">
        <f>AQ1671+10</f>
        <v>44609</v>
      </c>
      <c r="AS1671" s="24"/>
      <c r="AT1671" s="24">
        <v>44618</v>
      </c>
      <c r="AU1671" s="418">
        <f t="shared" si="102"/>
        <v>2</v>
      </c>
      <c r="AV1671" s="418">
        <f t="shared" si="103"/>
        <v>2022</v>
      </c>
      <c r="AW1671" s="24"/>
      <c r="AX1671" s="135"/>
      <c r="AY1671" s="135" t="s">
        <v>6032</v>
      </c>
      <c r="AZ1671" s="24" t="s">
        <v>37</v>
      </c>
      <c r="BA1671" s="24"/>
      <c r="BB1671" s="24" t="s">
        <v>3291</v>
      </c>
      <c r="BC1671" s="128" t="s">
        <v>6031</v>
      </c>
      <c r="BD1671" s="24">
        <v>44541</v>
      </c>
      <c r="BE1671" s="24" t="s">
        <v>6033</v>
      </c>
      <c r="BF1671" s="24" t="s">
        <v>6033</v>
      </c>
      <c r="BG1671" s="135" t="s">
        <v>52</v>
      </c>
      <c r="BH1671" s="135"/>
      <c r="BI1671" s="314" t="s">
        <v>3</v>
      </c>
      <c r="BJ1671" s="314" t="s">
        <v>143</v>
      </c>
      <c r="BK1671" s="24"/>
      <c r="BL1671" s="24"/>
      <c r="BM1671" s="24"/>
      <c r="BN1671" s="24"/>
      <c r="BO1671" s="24"/>
      <c r="BP1671" s="24"/>
      <c r="BQ1671" s="24"/>
      <c r="BR1671" s="24"/>
      <c r="BS1671" s="24"/>
      <c r="BT1671" s="24"/>
      <c r="BU1671" s="24"/>
      <c r="BV1671" s="132" t="e">
        <f>IF(#REF!="COMPLETO","OK","PENDIENTE")</f>
        <v>#REF!</v>
      </c>
      <c r="BW1671" s="132"/>
      <c r="BX1671" s="132"/>
      <c r="BY1671" s="132"/>
      <c r="BZ1671" s="132"/>
      <c r="CA1671" s="132"/>
      <c r="CB1671" s="132"/>
      <c r="CC1671" s="269"/>
      <c r="CG1671" s="24" t="s">
        <v>105</v>
      </c>
      <c r="CH1671" s="24"/>
      <c r="CI1671" s="24"/>
      <c r="CJ1671" s="24"/>
    </row>
    <row r="1672" spans="1:88" ht="15" customHeight="1">
      <c r="A1672" s="18">
        <v>2021</v>
      </c>
      <c r="B1672" s="18" t="str">
        <f>+INDEX(BDD!F:F,MATCH(P1672,BDD!D:D,0))&amp;"-"&amp;INDEX(BDD!E:E,MATCH(P1672,BDD!D:D,0))</f>
        <v>G-S</v>
      </c>
      <c r="C1672" s="360" t="s">
        <v>484</v>
      </c>
      <c r="D1672" s="150" t="s">
        <v>77</v>
      </c>
      <c r="E1672" s="132"/>
      <c r="F1672" s="24"/>
      <c r="G1672" s="346">
        <v>8000001833</v>
      </c>
      <c r="H1672" s="18" t="s">
        <v>6437</v>
      </c>
      <c r="I1672" s="329"/>
      <c r="J1672" s="346">
        <v>8000001833</v>
      </c>
      <c r="K1672" s="24"/>
      <c r="L1672" s="24">
        <v>44596</v>
      </c>
      <c r="M1672" s="24">
        <v>44596</v>
      </c>
      <c r="N1672" s="340" t="s">
        <v>486</v>
      </c>
      <c r="O1672" s="334">
        <v>206621</v>
      </c>
      <c r="P1672" s="25" t="s">
        <v>339</v>
      </c>
      <c r="Q1672" s="127" t="s">
        <v>297</v>
      </c>
      <c r="R1672" s="232" t="s">
        <v>6438</v>
      </c>
      <c r="S1672" s="89">
        <v>44447</v>
      </c>
      <c r="T1672" s="36" t="s">
        <v>19</v>
      </c>
      <c r="U1672" s="125"/>
      <c r="V1672" s="147" t="s">
        <v>6439</v>
      </c>
      <c r="W1672" s="129"/>
      <c r="X1672" s="88">
        <v>44550</v>
      </c>
      <c r="Y1672" s="130" t="s">
        <v>20</v>
      </c>
      <c r="Z1672" s="133" t="s">
        <v>60</v>
      </c>
      <c r="AA1672" s="133"/>
      <c r="AB1672" s="241">
        <v>801.6</v>
      </c>
      <c r="AC1672" s="134">
        <v>966.18</v>
      </c>
      <c r="AD1672" s="134">
        <v>234.79</v>
      </c>
      <c r="AE1672" s="403">
        <f t="shared" si="101"/>
        <v>774489.88800000004</v>
      </c>
      <c r="AF1672" s="132"/>
      <c r="AG1672" s="130" t="s">
        <v>58</v>
      </c>
      <c r="AH1672" s="130"/>
      <c r="AI1672" s="130" t="s">
        <v>6029</v>
      </c>
      <c r="AJ1672" s="130"/>
      <c r="AK1672" s="130"/>
      <c r="AL1672" s="135" t="s">
        <v>6432</v>
      </c>
      <c r="AM1672" s="314"/>
      <c r="AN1672" s="26">
        <f t="shared" si="99"/>
        <v>0</v>
      </c>
      <c r="AO1672" s="26">
        <v>44541</v>
      </c>
      <c r="AP1672" s="26">
        <f>AQ1672</f>
        <v>44594</v>
      </c>
      <c r="AQ1672" s="26">
        <v>44594</v>
      </c>
      <c r="AR1672" s="24">
        <f>AQ1672+2</f>
        <v>44596</v>
      </c>
      <c r="AS1672" s="24"/>
      <c r="AT1672" s="24">
        <v>44596</v>
      </c>
      <c r="AU1672" s="418">
        <f t="shared" si="102"/>
        <v>2</v>
      </c>
      <c r="AV1672" s="418">
        <f t="shared" si="103"/>
        <v>2022</v>
      </c>
      <c r="AW1672" s="24"/>
      <c r="AX1672" s="135"/>
      <c r="AY1672" s="135" t="s">
        <v>6032</v>
      </c>
      <c r="AZ1672" s="24" t="s">
        <v>25</v>
      </c>
      <c r="BA1672" s="24"/>
      <c r="BB1672" s="24" t="s">
        <v>3264</v>
      </c>
      <c r="BC1672" s="128" t="s">
        <v>6440</v>
      </c>
      <c r="BD1672" s="24">
        <v>44541</v>
      </c>
      <c r="BE1672" s="24" t="s">
        <v>6033</v>
      </c>
      <c r="BF1672" s="24" t="s">
        <v>6033</v>
      </c>
      <c r="BG1672" s="135" t="s">
        <v>52</v>
      </c>
      <c r="BH1672" s="135"/>
      <c r="BI1672" s="314" t="s">
        <v>3</v>
      </c>
      <c r="BJ1672" s="314" t="s">
        <v>143</v>
      </c>
      <c r="BK1672" s="24"/>
      <c r="BL1672" s="24"/>
      <c r="BM1672" s="24"/>
      <c r="BN1672" s="24"/>
      <c r="BO1672" s="24"/>
      <c r="BP1672" s="24"/>
      <c r="BQ1672" s="24" t="s">
        <v>6441</v>
      </c>
      <c r="BR1672" s="24">
        <v>44592</v>
      </c>
      <c r="BS1672" s="24" t="s">
        <v>38</v>
      </c>
      <c r="BT1672" s="24" t="s">
        <v>11</v>
      </c>
      <c r="BU1672" s="24"/>
      <c r="BV1672" s="132" t="e">
        <f>IF(#REF!="COMPLETO","OK","PENDIENTE")</f>
        <v>#REF!</v>
      </c>
      <c r="BW1672" s="132"/>
      <c r="BX1672" s="132"/>
      <c r="BY1672" s="132"/>
      <c r="BZ1672" s="132"/>
      <c r="CA1672" s="132"/>
      <c r="CB1672" s="132"/>
      <c r="CC1672" s="269" t="s">
        <v>6442</v>
      </c>
      <c r="CG1672" s="24" t="s">
        <v>105</v>
      </c>
      <c r="CH1672" s="24"/>
      <c r="CI1672" s="24"/>
      <c r="CJ1672" s="24"/>
    </row>
    <row r="1673" spans="1:88" ht="15" customHeight="1">
      <c r="A1673" s="18">
        <v>2021</v>
      </c>
      <c r="B1673" s="18" t="str">
        <f>+INDEX(BDD!F:F,MATCH(P1673,BDD!D:D,0))&amp;"-"&amp;INDEX(BDD!E:E,MATCH(P1673,BDD!D:D,0))</f>
        <v>G-S</v>
      </c>
      <c r="C1673" s="360" t="s">
        <v>484</v>
      </c>
      <c r="D1673" s="150" t="s">
        <v>77</v>
      </c>
      <c r="E1673" s="132"/>
      <c r="F1673" s="24"/>
      <c r="G1673" s="346">
        <v>8000001862</v>
      </c>
      <c r="H1673" s="18" t="s">
        <v>6443</v>
      </c>
      <c r="I1673" s="329"/>
      <c r="J1673" s="346">
        <v>8000001862</v>
      </c>
      <c r="K1673" s="24"/>
      <c r="L1673" s="24">
        <v>44621</v>
      </c>
      <c r="M1673" s="24">
        <v>44621</v>
      </c>
      <c r="N1673" s="340" t="s">
        <v>486</v>
      </c>
      <c r="O1673" s="334">
        <v>206621</v>
      </c>
      <c r="P1673" s="25" t="s">
        <v>339</v>
      </c>
      <c r="Q1673" s="127" t="s">
        <v>297</v>
      </c>
      <c r="R1673" s="232" t="s">
        <v>6438</v>
      </c>
      <c r="S1673" s="89">
        <v>44447</v>
      </c>
      <c r="T1673" s="36" t="s">
        <v>19</v>
      </c>
      <c r="U1673" s="125"/>
      <c r="V1673" s="147" t="s">
        <v>6444</v>
      </c>
      <c r="W1673" s="129"/>
      <c r="X1673" s="88">
        <v>44550</v>
      </c>
      <c r="Y1673" s="130" t="s">
        <v>20</v>
      </c>
      <c r="Z1673" s="133" t="s">
        <v>60</v>
      </c>
      <c r="AA1673" s="133" t="s">
        <v>6028</v>
      </c>
      <c r="AB1673" s="241">
        <v>600</v>
      </c>
      <c r="AC1673" s="134">
        <v>966.18</v>
      </c>
      <c r="AD1673" s="134">
        <v>234.79</v>
      </c>
      <c r="AE1673" s="403">
        <f t="shared" si="101"/>
        <v>579708</v>
      </c>
      <c r="AF1673" s="132"/>
      <c r="AG1673" s="130" t="s">
        <v>58</v>
      </c>
      <c r="AH1673" s="130"/>
      <c r="AI1673" s="130" t="s">
        <v>6029</v>
      </c>
      <c r="AJ1673" s="130"/>
      <c r="AK1673" s="130"/>
      <c r="AL1673" s="135" t="s">
        <v>6432</v>
      </c>
      <c r="AM1673" s="314"/>
      <c r="AN1673" s="26">
        <f t="shared" si="99"/>
        <v>0</v>
      </c>
      <c r="AO1673" s="26">
        <v>44541</v>
      </c>
      <c r="AP1673" s="26" t="e">
        <f>#REF!+50</f>
        <v>#REF!</v>
      </c>
      <c r="AQ1673" s="26">
        <v>44599</v>
      </c>
      <c r="AR1673" s="24">
        <f>AQ1673+10</f>
        <v>44609</v>
      </c>
      <c r="AS1673" s="24"/>
      <c r="AT1673" s="24">
        <v>44624</v>
      </c>
      <c r="AU1673" s="418">
        <f t="shared" si="102"/>
        <v>3</v>
      </c>
      <c r="AV1673" s="418">
        <f t="shared" si="103"/>
        <v>2022</v>
      </c>
      <c r="AW1673" s="24"/>
      <c r="AX1673" s="135"/>
      <c r="AY1673" s="135" t="s">
        <v>6032</v>
      </c>
      <c r="AZ1673" s="24" t="s">
        <v>37</v>
      </c>
      <c r="BA1673" s="24"/>
      <c r="BB1673" s="24" t="s">
        <v>3291</v>
      </c>
      <c r="BC1673" s="128" t="s">
        <v>6445</v>
      </c>
      <c r="BD1673" s="24">
        <v>44541</v>
      </c>
      <c r="BE1673" s="24" t="s">
        <v>6033</v>
      </c>
      <c r="BF1673" s="24" t="s">
        <v>6033</v>
      </c>
      <c r="BG1673" s="135" t="s">
        <v>52</v>
      </c>
      <c r="BH1673" s="135"/>
      <c r="BI1673" s="314" t="s">
        <v>3</v>
      </c>
      <c r="BJ1673" s="314" t="s">
        <v>143</v>
      </c>
      <c r="BK1673" s="24"/>
      <c r="BL1673" s="24"/>
      <c r="BM1673" s="24"/>
      <c r="BN1673" s="24"/>
      <c r="BO1673" s="24"/>
      <c r="BP1673" s="24"/>
      <c r="BQ1673" s="24" t="s">
        <v>6446</v>
      </c>
      <c r="BR1673" s="24">
        <v>44594</v>
      </c>
      <c r="BS1673" s="24" t="s">
        <v>38</v>
      </c>
      <c r="BT1673" s="24" t="s">
        <v>11</v>
      </c>
      <c r="BU1673" s="24"/>
      <c r="BV1673" s="132" t="e">
        <f>IF(#REF!="COMPLETO","OK","PENDIENTE")</f>
        <v>#REF!</v>
      </c>
      <c r="BW1673" s="132"/>
      <c r="BX1673" s="132"/>
      <c r="BY1673" s="132"/>
      <c r="BZ1673" s="132"/>
      <c r="CA1673" s="132"/>
      <c r="CB1673" s="132"/>
      <c r="CC1673" s="269" t="s">
        <v>6447</v>
      </c>
      <c r="CG1673" s="24" t="s">
        <v>105</v>
      </c>
      <c r="CH1673" s="24"/>
      <c r="CI1673" s="24"/>
      <c r="CJ1673" s="24"/>
    </row>
    <row r="1674" spans="1:88" ht="15" customHeight="1">
      <c r="A1674" s="18">
        <v>2021</v>
      </c>
      <c r="B1674" s="18" t="str">
        <f>+INDEX(BDD!F:F,MATCH(P1674,BDD!D:D,0))&amp;"-"&amp;INDEX(BDD!E:E,MATCH(P1674,BDD!D:D,0))</f>
        <v>S-C</v>
      </c>
      <c r="C1674" s="360" t="s">
        <v>484</v>
      </c>
      <c r="D1674" s="150" t="s">
        <v>77</v>
      </c>
      <c r="E1674" s="132"/>
      <c r="F1674" s="24"/>
      <c r="G1674" s="346">
        <v>8000001538</v>
      </c>
      <c r="H1674" s="18" t="s">
        <v>6448</v>
      </c>
      <c r="I1674" s="329"/>
      <c r="J1674" s="346">
        <v>8000001538</v>
      </c>
      <c r="K1674" s="24"/>
      <c r="L1674" s="24">
        <v>44499</v>
      </c>
      <c r="M1674" s="24">
        <v>44499</v>
      </c>
      <c r="N1674" s="340" t="s">
        <v>486</v>
      </c>
      <c r="O1674" s="334">
        <v>207580</v>
      </c>
      <c r="P1674" s="25" t="s">
        <v>241</v>
      </c>
      <c r="Q1674" s="127" t="s">
        <v>6000</v>
      </c>
      <c r="R1674" s="232" t="s">
        <v>544</v>
      </c>
      <c r="S1674" s="89">
        <v>44454</v>
      </c>
      <c r="T1674" s="36">
        <v>60</v>
      </c>
      <c r="U1674" s="125" t="s">
        <v>131</v>
      </c>
      <c r="V1674" s="147" t="s">
        <v>6449</v>
      </c>
      <c r="W1674" s="129"/>
      <c r="X1674" s="88">
        <f>BD1674+60</f>
        <v>44532</v>
      </c>
      <c r="Y1674" s="130" t="s">
        <v>20</v>
      </c>
      <c r="Z1674" s="133" t="s">
        <v>72</v>
      </c>
      <c r="AA1674" s="133"/>
      <c r="AB1674" s="241">
        <f t="shared" ref="AB1674:AB1691" si="104">28*AF1674</f>
        <v>84</v>
      </c>
      <c r="AC1674" s="134">
        <v>795</v>
      </c>
      <c r="AD1674" s="134"/>
      <c r="AE1674" s="403">
        <f t="shared" si="101"/>
        <v>66780</v>
      </c>
      <c r="AF1674" s="132">
        <v>3</v>
      </c>
      <c r="AG1674" s="130" t="s">
        <v>33</v>
      </c>
      <c r="AH1674" s="130"/>
      <c r="AI1674" s="130" t="s">
        <v>34</v>
      </c>
      <c r="AJ1674" s="130"/>
      <c r="AK1674" s="130"/>
      <c r="AL1674" s="135" t="s">
        <v>6312</v>
      </c>
      <c r="AM1674" s="314"/>
      <c r="AN1674" s="26">
        <f t="shared" si="99"/>
        <v>0</v>
      </c>
      <c r="AO1674" s="26">
        <v>44489</v>
      </c>
      <c r="AP1674" s="26">
        <f>AQ1674</f>
        <v>44491</v>
      </c>
      <c r="AQ1674" s="26">
        <v>44491</v>
      </c>
      <c r="AR1674" s="24">
        <f>+AQ1674</f>
        <v>44491</v>
      </c>
      <c r="AS1674" s="24"/>
      <c r="AT1674" s="24">
        <v>44491</v>
      </c>
      <c r="AU1674" s="418">
        <f t="shared" si="102"/>
        <v>10</v>
      </c>
      <c r="AV1674" s="418">
        <f t="shared" si="103"/>
        <v>2021</v>
      </c>
      <c r="AW1674" s="24"/>
      <c r="AX1674" s="24"/>
      <c r="AY1674" s="24" t="s">
        <v>181</v>
      </c>
      <c r="AZ1674" s="24" t="s">
        <v>62</v>
      </c>
      <c r="BA1674" s="24"/>
      <c r="BB1674" s="24" t="s">
        <v>3334</v>
      </c>
      <c r="BC1674" s="128" t="s">
        <v>6450</v>
      </c>
      <c r="BD1674" s="24">
        <v>44472</v>
      </c>
      <c r="BE1674" s="24" t="s">
        <v>6003</v>
      </c>
      <c r="BF1674" s="24" t="s">
        <v>6003</v>
      </c>
      <c r="BG1674" s="135" t="s">
        <v>6451</v>
      </c>
      <c r="BH1674" s="135"/>
      <c r="BI1674" s="314" t="s">
        <v>117</v>
      </c>
      <c r="BJ1674" s="314" t="s">
        <v>143</v>
      </c>
      <c r="BK1674" s="24"/>
      <c r="BL1674" s="24"/>
      <c r="BM1674" s="24"/>
      <c r="BN1674" s="24"/>
      <c r="BO1674" s="24"/>
      <c r="BP1674" s="24"/>
      <c r="BQ1674" s="24"/>
      <c r="BR1674" s="24"/>
      <c r="BS1674" s="24"/>
      <c r="BT1674" s="24"/>
      <c r="BU1674" s="24"/>
      <c r="BV1674" s="132" t="e">
        <f>IF(#REF!="COMPLETO","OK","PENDIENTES")</f>
        <v>#REF!</v>
      </c>
      <c r="BW1674" s="132"/>
      <c r="BX1674" s="132"/>
      <c r="BY1674" s="132"/>
      <c r="BZ1674" s="132"/>
      <c r="CA1674" s="132"/>
      <c r="CB1674" s="132"/>
      <c r="CC1674" s="269"/>
      <c r="CG1674" s="24" t="s">
        <v>105</v>
      </c>
      <c r="CH1674" s="24"/>
      <c r="CI1674" s="24"/>
      <c r="CJ1674" s="24"/>
    </row>
    <row r="1675" spans="1:88" ht="15" customHeight="1">
      <c r="A1675" s="18">
        <v>2021</v>
      </c>
      <c r="B1675" s="18" t="str">
        <f>+INDEX(BDD!F:F,MATCH(P1675,BDD!D:D,0))&amp;"-"&amp;INDEX(BDD!E:E,MATCH(P1675,BDD!D:D,0))</f>
        <v>S-C</v>
      </c>
      <c r="C1675" s="360" t="s">
        <v>484</v>
      </c>
      <c r="D1675" s="150" t="s">
        <v>77</v>
      </c>
      <c r="E1675" s="132"/>
      <c r="F1675" s="24"/>
      <c r="G1675" s="346">
        <v>8000001618</v>
      </c>
      <c r="H1675" s="18" t="s">
        <v>6452</v>
      </c>
      <c r="I1675" s="329"/>
      <c r="J1675" s="346">
        <v>8000001618</v>
      </c>
      <c r="K1675" s="24"/>
      <c r="L1675" s="24">
        <v>44499</v>
      </c>
      <c r="M1675" s="24">
        <v>44499</v>
      </c>
      <c r="N1675" s="340" t="s">
        <v>486</v>
      </c>
      <c r="O1675" s="334">
        <v>207580</v>
      </c>
      <c r="P1675" s="25" t="s">
        <v>241</v>
      </c>
      <c r="Q1675" s="127" t="s">
        <v>6000</v>
      </c>
      <c r="R1675" s="232" t="s">
        <v>544</v>
      </c>
      <c r="S1675" s="89">
        <v>44454</v>
      </c>
      <c r="T1675" s="36">
        <v>60</v>
      </c>
      <c r="U1675" s="125" t="s">
        <v>131</v>
      </c>
      <c r="V1675" s="147" t="s">
        <v>6453</v>
      </c>
      <c r="W1675" s="129"/>
      <c r="X1675" s="88">
        <v>44547</v>
      </c>
      <c r="Y1675" s="130" t="s">
        <v>20</v>
      </c>
      <c r="Z1675" s="133" t="s">
        <v>72</v>
      </c>
      <c r="AA1675" s="133"/>
      <c r="AB1675" s="241">
        <f t="shared" si="104"/>
        <v>140</v>
      </c>
      <c r="AC1675" s="134">
        <v>795</v>
      </c>
      <c r="AD1675" s="134"/>
      <c r="AE1675" s="403">
        <f t="shared" si="101"/>
        <v>111300</v>
      </c>
      <c r="AF1675" s="132">
        <v>5</v>
      </c>
      <c r="AG1675" s="130" t="s">
        <v>33</v>
      </c>
      <c r="AH1675" s="130"/>
      <c r="AI1675" s="130" t="s">
        <v>34</v>
      </c>
      <c r="AJ1675" s="130"/>
      <c r="AK1675" s="130"/>
      <c r="AL1675" s="135" t="s">
        <v>6312</v>
      </c>
      <c r="AM1675" s="314"/>
      <c r="AN1675" s="26">
        <f t="shared" si="99"/>
        <v>0</v>
      </c>
      <c r="AO1675" s="26">
        <v>44496</v>
      </c>
      <c r="AP1675" s="26">
        <f t="shared" ref="AP1675:AP1689" si="105">AQ1675</f>
        <v>44498</v>
      </c>
      <c r="AQ1675" s="26">
        <v>44498</v>
      </c>
      <c r="AR1675" s="24">
        <f>+AQ1675</f>
        <v>44498</v>
      </c>
      <c r="AS1675" s="24"/>
      <c r="AT1675" s="24">
        <v>44498</v>
      </c>
      <c r="AU1675" s="418">
        <f t="shared" si="102"/>
        <v>10</v>
      </c>
      <c r="AV1675" s="418">
        <f t="shared" si="103"/>
        <v>2021</v>
      </c>
      <c r="AW1675" s="24"/>
      <c r="AX1675" s="24"/>
      <c r="AY1675" s="24" t="s">
        <v>181</v>
      </c>
      <c r="AZ1675" s="24" t="s">
        <v>62</v>
      </c>
      <c r="BA1675" s="24"/>
      <c r="BB1675" s="24" t="s">
        <v>3334</v>
      </c>
      <c r="BC1675" s="128" t="s">
        <v>6450</v>
      </c>
      <c r="BD1675" s="24">
        <v>44487</v>
      </c>
      <c r="BE1675" s="24" t="s">
        <v>6003</v>
      </c>
      <c r="BF1675" s="24" t="s">
        <v>6003</v>
      </c>
      <c r="BG1675" s="135" t="s">
        <v>6451</v>
      </c>
      <c r="BH1675" s="135"/>
      <c r="BI1675" s="314" t="s">
        <v>117</v>
      </c>
      <c r="BJ1675" s="314" t="s">
        <v>143</v>
      </c>
      <c r="BK1675" s="24"/>
      <c r="BL1675" s="24"/>
      <c r="BM1675" s="24"/>
      <c r="BN1675" s="24"/>
      <c r="BO1675" s="24"/>
      <c r="BP1675" s="24"/>
      <c r="BQ1675" s="24"/>
      <c r="BR1675" s="24"/>
      <c r="BS1675" s="24"/>
      <c r="BT1675" s="24"/>
      <c r="BU1675" s="24"/>
      <c r="BV1675" s="132" t="e">
        <f>IF(#REF!="COMPLETO","OK","PENDIENTES")</f>
        <v>#REF!</v>
      </c>
      <c r="BW1675" s="132"/>
      <c r="BX1675" s="132"/>
      <c r="BY1675" s="132"/>
      <c r="BZ1675" s="132"/>
      <c r="CA1675" s="132"/>
      <c r="CB1675" s="132"/>
      <c r="CC1675" s="269"/>
      <c r="CG1675" s="24" t="s">
        <v>105</v>
      </c>
      <c r="CH1675" s="24"/>
      <c r="CI1675" s="24"/>
      <c r="CJ1675" s="24"/>
    </row>
    <row r="1676" spans="1:88" ht="15" customHeight="1">
      <c r="A1676" s="18">
        <v>2021</v>
      </c>
      <c r="B1676" s="18" t="str">
        <f>+INDEX(BDD!F:F,MATCH(P1676,BDD!D:D,0))&amp;"-"&amp;INDEX(BDD!E:E,MATCH(P1676,BDD!D:D,0))</f>
        <v>S-C</v>
      </c>
      <c r="C1676" s="360" t="s">
        <v>484</v>
      </c>
      <c r="D1676" s="150" t="s">
        <v>77</v>
      </c>
      <c r="E1676" s="132"/>
      <c r="F1676" s="24"/>
      <c r="G1676" s="346">
        <v>8000001619</v>
      </c>
      <c r="H1676" s="18" t="s">
        <v>6454</v>
      </c>
      <c r="I1676" s="329"/>
      <c r="J1676" s="346">
        <v>8000001619</v>
      </c>
      <c r="K1676" s="24"/>
      <c r="L1676" s="24">
        <v>44499</v>
      </c>
      <c r="M1676" s="24">
        <v>44499</v>
      </c>
      <c r="N1676" s="340" t="s">
        <v>486</v>
      </c>
      <c r="O1676" s="334">
        <v>207580</v>
      </c>
      <c r="P1676" s="25" t="s">
        <v>241</v>
      </c>
      <c r="Q1676" s="127" t="s">
        <v>6000</v>
      </c>
      <c r="R1676" s="232" t="s">
        <v>544</v>
      </c>
      <c r="S1676" s="89">
        <v>44454</v>
      </c>
      <c r="T1676" s="36">
        <v>60</v>
      </c>
      <c r="U1676" s="125" t="s">
        <v>131</v>
      </c>
      <c r="V1676" s="147" t="s">
        <v>6449</v>
      </c>
      <c r="W1676" s="129"/>
      <c r="X1676" s="88">
        <f>BD1676+60</f>
        <v>44532</v>
      </c>
      <c r="Y1676" s="130" t="s">
        <v>20</v>
      </c>
      <c r="Z1676" s="133" t="s">
        <v>72</v>
      </c>
      <c r="AA1676" s="133"/>
      <c r="AB1676" s="241">
        <f t="shared" si="104"/>
        <v>84</v>
      </c>
      <c r="AC1676" s="134">
        <v>795</v>
      </c>
      <c r="AD1676" s="134"/>
      <c r="AE1676" s="403">
        <f t="shared" si="101"/>
        <v>66780</v>
      </c>
      <c r="AF1676" s="132">
        <v>3</v>
      </c>
      <c r="AG1676" s="130" t="s">
        <v>33</v>
      </c>
      <c r="AH1676" s="130"/>
      <c r="AI1676" s="130" t="s">
        <v>34</v>
      </c>
      <c r="AJ1676" s="130"/>
      <c r="AK1676" s="130"/>
      <c r="AL1676" s="135" t="s">
        <v>6312</v>
      </c>
      <c r="AM1676" s="314"/>
      <c r="AN1676" s="26">
        <f t="shared" si="99"/>
        <v>0</v>
      </c>
      <c r="AO1676" s="26">
        <v>44495</v>
      </c>
      <c r="AP1676" s="26">
        <f t="shared" si="105"/>
        <v>44497</v>
      </c>
      <c r="AQ1676" s="26">
        <v>44497</v>
      </c>
      <c r="AR1676" s="24">
        <f>+AQ1676</f>
        <v>44497</v>
      </c>
      <c r="AS1676" s="24"/>
      <c r="AT1676" s="24">
        <v>44497</v>
      </c>
      <c r="AU1676" s="418">
        <f t="shared" si="102"/>
        <v>10</v>
      </c>
      <c r="AV1676" s="418">
        <f t="shared" si="103"/>
        <v>2021</v>
      </c>
      <c r="AW1676" s="24"/>
      <c r="AX1676" s="24"/>
      <c r="AY1676" s="24" t="s">
        <v>181</v>
      </c>
      <c r="AZ1676" s="24" t="s">
        <v>62</v>
      </c>
      <c r="BA1676" s="24"/>
      <c r="BB1676" s="24" t="s">
        <v>3334</v>
      </c>
      <c r="BC1676" s="128" t="s">
        <v>6455</v>
      </c>
      <c r="BD1676" s="24">
        <v>44472</v>
      </c>
      <c r="BE1676" s="24" t="s">
        <v>6003</v>
      </c>
      <c r="BF1676" s="24" t="s">
        <v>6003</v>
      </c>
      <c r="BG1676" s="135" t="s">
        <v>6451</v>
      </c>
      <c r="BH1676" s="135"/>
      <c r="BI1676" s="314" t="s">
        <v>117</v>
      </c>
      <c r="BJ1676" s="314" t="s">
        <v>143</v>
      </c>
      <c r="BK1676" s="24"/>
      <c r="BL1676" s="24"/>
      <c r="BM1676" s="24"/>
      <c r="BN1676" s="24"/>
      <c r="BO1676" s="24"/>
      <c r="BP1676" s="24"/>
      <c r="BQ1676" s="24"/>
      <c r="BR1676" s="24"/>
      <c r="BS1676" s="24"/>
      <c r="BT1676" s="24"/>
      <c r="BU1676" s="24"/>
      <c r="BV1676" s="132" t="e">
        <f>IF(#REF!="COMPLETO","OK","PENDIENTES")</f>
        <v>#REF!</v>
      </c>
      <c r="BW1676" s="132"/>
      <c r="BX1676" s="132"/>
      <c r="BY1676" s="132"/>
      <c r="BZ1676" s="132"/>
      <c r="CA1676" s="132"/>
      <c r="CB1676" s="132"/>
      <c r="CC1676" s="269"/>
      <c r="CG1676" s="24" t="s">
        <v>105</v>
      </c>
      <c r="CH1676" s="24"/>
      <c r="CI1676" s="24"/>
      <c r="CJ1676" s="24"/>
    </row>
    <row r="1677" spans="1:88" ht="15" customHeight="1">
      <c r="A1677" s="18">
        <v>2021</v>
      </c>
      <c r="B1677" s="18" t="str">
        <f>+INDEX(BDD!F:F,MATCH(P1677,BDD!D:D,0))&amp;"-"&amp;INDEX(BDD!E:E,MATCH(P1677,BDD!D:D,0))</f>
        <v>S-C</v>
      </c>
      <c r="C1677" s="360" t="s">
        <v>484</v>
      </c>
      <c r="D1677" s="150" t="s">
        <v>77</v>
      </c>
      <c r="E1677" s="132"/>
      <c r="F1677" s="24"/>
      <c r="G1677" s="346">
        <v>8000001683</v>
      </c>
      <c r="H1677" s="18" t="s">
        <v>6456</v>
      </c>
      <c r="I1677" s="329"/>
      <c r="J1677" s="346">
        <v>8000001683</v>
      </c>
      <c r="K1677" s="24"/>
      <c r="L1677" s="24">
        <v>0</v>
      </c>
      <c r="M1677" s="24">
        <v>44515</v>
      </c>
      <c r="N1677" s="340" t="s">
        <v>486</v>
      </c>
      <c r="O1677" s="334">
        <v>207580</v>
      </c>
      <c r="P1677" s="25" t="s">
        <v>241</v>
      </c>
      <c r="Q1677" s="127" t="s">
        <v>6000</v>
      </c>
      <c r="R1677" s="232" t="s">
        <v>544</v>
      </c>
      <c r="S1677" s="89">
        <v>44454</v>
      </c>
      <c r="T1677" s="36">
        <v>60</v>
      </c>
      <c r="U1677" s="125" t="s">
        <v>131</v>
      </c>
      <c r="V1677" s="147" t="s">
        <v>6457</v>
      </c>
      <c r="W1677" s="129"/>
      <c r="X1677" s="88">
        <v>44554</v>
      </c>
      <c r="Y1677" s="130" t="s">
        <v>20</v>
      </c>
      <c r="Z1677" s="133" t="s">
        <v>72</v>
      </c>
      <c r="AA1677" s="133"/>
      <c r="AB1677" s="241">
        <f t="shared" si="104"/>
        <v>140</v>
      </c>
      <c r="AC1677" s="134">
        <v>795</v>
      </c>
      <c r="AD1677" s="134"/>
      <c r="AE1677" s="403">
        <f t="shared" si="101"/>
        <v>111300</v>
      </c>
      <c r="AF1677" s="132">
        <v>5</v>
      </c>
      <c r="AG1677" s="130" t="s">
        <v>33</v>
      </c>
      <c r="AH1677" s="130"/>
      <c r="AI1677" s="130" t="s">
        <v>34</v>
      </c>
      <c r="AJ1677" s="130"/>
      <c r="AK1677" s="130"/>
      <c r="AL1677" s="135" t="s">
        <v>6312</v>
      </c>
      <c r="AM1677" s="314"/>
      <c r="AN1677" s="26">
        <f t="shared" si="99"/>
        <v>0</v>
      </c>
      <c r="AO1677" s="26">
        <v>44503</v>
      </c>
      <c r="AP1677" s="26">
        <f t="shared" si="105"/>
        <v>44505</v>
      </c>
      <c r="AQ1677" s="26">
        <v>44505</v>
      </c>
      <c r="AR1677" s="24">
        <f>+AQ1677</f>
        <v>44505</v>
      </c>
      <c r="AS1677" s="24"/>
      <c r="AT1677" s="24">
        <v>44505</v>
      </c>
      <c r="AU1677" s="418">
        <f t="shared" si="102"/>
        <v>11</v>
      </c>
      <c r="AV1677" s="418">
        <f t="shared" si="103"/>
        <v>2021</v>
      </c>
      <c r="AW1677" s="24"/>
      <c r="AX1677" s="24"/>
      <c r="AY1677" s="24" t="s">
        <v>181</v>
      </c>
      <c r="AZ1677" s="24" t="s">
        <v>62</v>
      </c>
      <c r="BA1677" s="24"/>
      <c r="BB1677" s="24" t="s">
        <v>3334</v>
      </c>
      <c r="BC1677" s="128">
        <v>7272</v>
      </c>
      <c r="BD1677" s="24">
        <v>44497</v>
      </c>
      <c r="BE1677" s="24" t="s">
        <v>6003</v>
      </c>
      <c r="BF1677" s="24" t="s">
        <v>6003</v>
      </c>
      <c r="BG1677" s="135" t="s">
        <v>6004</v>
      </c>
      <c r="BH1677" s="135"/>
      <c r="BI1677" s="314" t="s">
        <v>117</v>
      </c>
      <c r="BJ1677" s="314" t="s">
        <v>143</v>
      </c>
      <c r="BK1677" s="24"/>
      <c r="BL1677" s="24"/>
      <c r="BM1677" s="24"/>
      <c r="BN1677" s="24"/>
      <c r="BO1677" s="24"/>
      <c r="BP1677" s="24"/>
      <c r="BQ1677" s="24"/>
      <c r="BR1677" s="24"/>
      <c r="BS1677" s="24"/>
      <c r="BT1677" s="24"/>
      <c r="BU1677" s="24"/>
      <c r="BV1677" s="132" t="s">
        <v>6087</v>
      </c>
      <c r="BW1677" s="132"/>
      <c r="BX1677" s="132"/>
      <c r="BY1677" s="132"/>
      <c r="BZ1677" s="132"/>
      <c r="CA1677" s="132"/>
      <c r="CB1677" s="132"/>
      <c r="CC1677" s="269"/>
      <c r="CG1677" s="24" t="s">
        <v>105</v>
      </c>
      <c r="CH1677" s="24"/>
      <c r="CI1677" s="24"/>
      <c r="CJ1677" s="24"/>
    </row>
    <row r="1678" spans="1:88" ht="15" customHeight="1">
      <c r="A1678" s="18">
        <v>2021</v>
      </c>
      <c r="B1678" s="18" t="str">
        <f>+INDEX(BDD!F:F,MATCH(P1678,BDD!D:D,0))&amp;"-"&amp;INDEX(BDD!E:E,MATCH(P1678,BDD!D:D,0))</f>
        <v>S-C</v>
      </c>
      <c r="C1678" s="360" t="s">
        <v>484</v>
      </c>
      <c r="D1678" s="150" t="s">
        <v>77</v>
      </c>
      <c r="E1678" s="132"/>
      <c r="F1678" s="24"/>
      <c r="G1678" s="346">
        <v>8000001684</v>
      </c>
      <c r="H1678" s="18" t="s">
        <v>6458</v>
      </c>
      <c r="I1678" s="329"/>
      <c r="J1678" s="346">
        <v>8000001684</v>
      </c>
      <c r="K1678" s="24"/>
      <c r="L1678" s="24">
        <v>0</v>
      </c>
      <c r="M1678" s="24">
        <v>44515</v>
      </c>
      <c r="N1678" s="340" t="s">
        <v>486</v>
      </c>
      <c r="O1678" s="334">
        <v>207580</v>
      </c>
      <c r="P1678" s="25" t="s">
        <v>241</v>
      </c>
      <c r="Q1678" s="127" t="s">
        <v>6000</v>
      </c>
      <c r="R1678" s="232" t="s">
        <v>544</v>
      </c>
      <c r="S1678" s="89">
        <v>44454</v>
      </c>
      <c r="T1678" s="36">
        <v>60</v>
      </c>
      <c r="U1678" s="125" t="s">
        <v>131</v>
      </c>
      <c r="V1678" s="147" t="s">
        <v>6449</v>
      </c>
      <c r="W1678" s="129"/>
      <c r="X1678" s="88">
        <v>44532</v>
      </c>
      <c r="Y1678" s="130" t="s">
        <v>20</v>
      </c>
      <c r="Z1678" s="133" t="s">
        <v>72</v>
      </c>
      <c r="AA1678" s="133"/>
      <c r="AB1678" s="241">
        <f t="shared" si="104"/>
        <v>112</v>
      </c>
      <c r="AC1678" s="134">
        <v>795</v>
      </c>
      <c r="AD1678" s="134"/>
      <c r="AE1678" s="403">
        <f t="shared" si="101"/>
        <v>89040</v>
      </c>
      <c r="AF1678" s="132">
        <v>4</v>
      </c>
      <c r="AG1678" s="130" t="s">
        <v>33</v>
      </c>
      <c r="AH1678" s="130"/>
      <c r="AI1678" s="130" t="s">
        <v>34</v>
      </c>
      <c r="AJ1678" s="130"/>
      <c r="AK1678" s="130"/>
      <c r="AL1678" s="135" t="s">
        <v>6312</v>
      </c>
      <c r="AM1678" s="314"/>
      <c r="AN1678" s="26">
        <f t="shared" si="99"/>
        <v>0</v>
      </c>
      <c r="AO1678" s="26">
        <v>44504</v>
      </c>
      <c r="AP1678" s="26">
        <f t="shared" si="105"/>
        <v>44506</v>
      </c>
      <c r="AQ1678" s="26">
        <v>44506</v>
      </c>
      <c r="AR1678" s="24">
        <f>+AQ1678</f>
        <v>44506</v>
      </c>
      <c r="AS1678" s="24"/>
      <c r="AT1678" s="24">
        <v>44506</v>
      </c>
      <c r="AU1678" s="418">
        <f t="shared" si="102"/>
        <v>11</v>
      </c>
      <c r="AV1678" s="418">
        <f t="shared" si="103"/>
        <v>2021</v>
      </c>
      <c r="AW1678" s="24"/>
      <c r="AX1678" s="24"/>
      <c r="AY1678" s="24" t="s">
        <v>181</v>
      </c>
      <c r="AZ1678" s="24" t="s">
        <v>62</v>
      </c>
      <c r="BA1678" s="24"/>
      <c r="BB1678" s="24" t="s">
        <v>3334</v>
      </c>
      <c r="BC1678" s="128" t="s">
        <v>6459</v>
      </c>
      <c r="BD1678" s="24">
        <v>44498</v>
      </c>
      <c r="BE1678" s="24" t="s">
        <v>6003</v>
      </c>
      <c r="BF1678" s="24" t="s">
        <v>6003</v>
      </c>
      <c r="BG1678" s="135" t="s">
        <v>6451</v>
      </c>
      <c r="BH1678" s="135"/>
      <c r="BI1678" s="314" t="s">
        <v>117</v>
      </c>
      <c r="BJ1678" s="314" t="s">
        <v>143</v>
      </c>
      <c r="BK1678" s="24"/>
      <c r="BL1678" s="24"/>
      <c r="BM1678" s="24"/>
      <c r="BN1678" s="24"/>
      <c r="BO1678" s="24"/>
      <c r="BP1678" s="24"/>
      <c r="BQ1678" s="24"/>
      <c r="BR1678" s="24"/>
      <c r="BS1678" s="24"/>
      <c r="BT1678" s="24"/>
      <c r="BU1678" s="24"/>
      <c r="BV1678" s="132" t="s">
        <v>6087</v>
      </c>
      <c r="BW1678" s="132"/>
      <c r="BX1678" s="132"/>
      <c r="BY1678" s="132"/>
      <c r="BZ1678" s="132"/>
      <c r="CA1678" s="132"/>
      <c r="CB1678" s="132"/>
      <c r="CC1678" s="269"/>
      <c r="CG1678" s="24" t="s">
        <v>105</v>
      </c>
      <c r="CH1678" s="24"/>
      <c r="CI1678" s="24"/>
      <c r="CJ1678" s="24"/>
    </row>
    <row r="1679" spans="1:88" ht="15" customHeight="1">
      <c r="A1679" s="18">
        <v>2021</v>
      </c>
      <c r="B1679" s="18" t="str">
        <f>+INDEX(BDD!F:F,MATCH(P1679,BDD!D:D,0))&amp;"-"&amp;INDEX(BDD!E:E,MATCH(P1679,BDD!D:D,0))</f>
        <v>S-C</v>
      </c>
      <c r="C1679" s="360" t="s">
        <v>484</v>
      </c>
      <c r="D1679" s="150" t="s">
        <v>77</v>
      </c>
      <c r="E1679" s="132"/>
      <c r="F1679" s="24"/>
      <c r="G1679" s="346">
        <v>8000001620</v>
      </c>
      <c r="H1679" s="18" t="s">
        <v>6460</v>
      </c>
      <c r="I1679" s="329"/>
      <c r="J1679" s="346">
        <v>8000001620</v>
      </c>
      <c r="K1679" s="24"/>
      <c r="L1679" s="24">
        <v>0</v>
      </c>
      <c r="M1679" s="24">
        <v>44516</v>
      </c>
      <c r="N1679" s="340" t="s">
        <v>486</v>
      </c>
      <c r="O1679" s="334">
        <v>207580</v>
      </c>
      <c r="P1679" s="25" t="s">
        <v>241</v>
      </c>
      <c r="Q1679" s="127" t="s">
        <v>6000</v>
      </c>
      <c r="R1679" s="232" t="s">
        <v>544</v>
      </c>
      <c r="S1679" s="89">
        <v>44454</v>
      </c>
      <c r="T1679" s="36">
        <v>60</v>
      </c>
      <c r="U1679" s="125" t="s">
        <v>131</v>
      </c>
      <c r="V1679" s="147" t="s">
        <v>6461</v>
      </c>
      <c r="W1679" s="129"/>
      <c r="X1679" s="88">
        <v>44569</v>
      </c>
      <c r="Y1679" s="130" t="s">
        <v>20</v>
      </c>
      <c r="Z1679" s="133" t="s">
        <v>72</v>
      </c>
      <c r="AA1679" s="133"/>
      <c r="AB1679" s="241">
        <f t="shared" si="104"/>
        <v>84</v>
      </c>
      <c r="AC1679" s="134">
        <v>795</v>
      </c>
      <c r="AD1679" s="134"/>
      <c r="AE1679" s="403">
        <f t="shared" si="101"/>
        <v>66780</v>
      </c>
      <c r="AF1679" s="132">
        <v>3</v>
      </c>
      <c r="AG1679" s="130" t="s">
        <v>33</v>
      </c>
      <c r="AH1679" s="130"/>
      <c r="AI1679" s="130" t="s">
        <v>34</v>
      </c>
      <c r="AJ1679" s="130"/>
      <c r="AK1679" s="130"/>
      <c r="AL1679" s="135" t="s">
        <v>6312</v>
      </c>
      <c r="AM1679" s="314"/>
      <c r="AN1679" s="26">
        <f t="shared" si="99"/>
        <v>0</v>
      </c>
      <c r="AO1679" s="26">
        <v>44511</v>
      </c>
      <c r="AP1679" s="26">
        <f t="shared" si="105"/>
        <v>44513</v>
      </c>
      <c r="AQ1679" s="26">
        <v>44513</v>
      </c>
      <c r="AR1679" s="24">
        <v>44532</v>
      </c>
      <c r="AS1679" s="24"/>
      <c r="AT1679" s="24">
        <f>AQ1679</f>
        <v>44513</v>
      </c>
      <c r="AU1679" s="418">
        <f t="shared" si="102"/>
        <v>11</v>
      </c>
      <c r="AV1679" s="418">
        <f t="shared" si="103"/>
        <v>2021</v>
      </c>
      <c r="AW1679" s="24"/>
      <c r="AX1679" s="24"/>
      <c r="AY1679" s="24" t="s">
        <v>181</v>
      </c>
      <c r="AZ1679" s="24" t="s">
        <v>62</v>
      </c>
      <c r="BA1679" s="24"/>
      <c r="BB1679" s="24" t="s">
        <v>3264</v>
      </c>
      <c r="BC1679" s="128" t="s">
        <v>6462</v>
      </c>
      <c r="BD1679" s="24">
        <v>44509</v>
      </c>
      <c r="BE1679" s="24" t="s">
        <v>6003</v>
      </c>
      <c r="BF1679" s="24" t="s">
        <v>6003</v>
      </c>
      <c r="BG1679" s="135" t="s">
        <v>6451</v>
      </c>
      <c r="BH1679" s="135"/>
      <c r="BI1679" s="314" t="s">
        <v>117</v>
      </c>
      <c r="BJ1679" s="314" t="s">
        <v>143</v>
      </c>
      <c r="BK1679" s="24"/>
      <c r="BL1679" s="24"/>
      <c r="BM1679" s="24"/>
      <c r="BN1679" s="24"/>
      <c r="BO1679" s="24"/>
      <c r="BP1679" s="24"/>
      <c r="BQ1679" s="24"/>
      <c r="BR1679" s="24"/>
      <c r="BS1679" s="24"/>
      <c r="BT1679" s="24"/>
      <c r="BU1679" s="24"/>
      <c r="BV1679" s="132" t="e">
        <f>IF(#REF!="COMPLETO","OK","PENDIENTE")</f>
        <v>#REF!</v>
      </c>
      <c r="BW1679" s="132"/>
      <c r="BX1679" s="132"/>
      <c r="BY1679" s="132"/>
      <c r="BZ1679" s="132"/>
      <c r="CA1679" s="132"/>
      <c r="CB1679" s="132"/>
      <c r="CC1679" s="269"/>
      <c r="CG1679" s="24" t="s">
        <v>105</v>
      </c>
      <c r="CH1679" s="24"/>
      <c r="CI1679" s="24"/>
      <c r="CJ1679" s="24"/>
    </row>
    <row r="1680" spans="1:88" ht="15" customHeight="1">
      <c r="A1680" s="18">
        <v>2021</v>
      </c>
      <c r="B1680" s="18" t="str">
        <f>+INDEX(BDD!F:F,MATCH(P1680,BDD!D:D,0))&amp;"-"&amp;INDEX(BDD!E:E,MATCH(P1680,BDD!D:D,0))</f>
        <v>S-C</v>
      </c>
      <c r="C1680" s="360" t="s">
        <v>484</v>
      </c>
      <c r="D1680" s="150" t="s">
        <v>77</v>
      </c>
      <c r="E1680" s="132"/>
      <c r="F1680" s="24"/>
      <c r="G1680" s="346">
        <v>8000001621</v>
      </c>
      <c r="H1680" s="18" t="s">
        <v>6463</v>
      </c>
      <c r="I1680" s="329"/>
      <c r="J1680" s="346">
        <v>8000001621</v>
      </c>
      <c r="K1680" s="24"/>
      <c r="L1680" s="24">
        <v>0</v>
      </c>
      <c r="M1680" s="24">
        <v>44523</v>
      </c>
      <c r="N1680" s="340" t="s">
        <v>486</v>
      </c>
      <c r="O1680" s="334">
        <v>207580</v>
      </c>
      <c r="P1680" s="25" t="s">
        <v>241</v>
      </c>
      <c r="Q1680" s="127" t="s">
        <v>6000</v>
      </c>
      <c r="R1680" s="232" t="s">
        <v>544</v>
      </c>
      <c r="S1680" s="89">
        <v>44454</v>
      </c>
      <c r="T1680" s="36">
        <v>60</v>
      </c>
      <c r="U1680" s="125" t="s">
        <v>131</v>
      </c>
      <c r="V1680" s="147" t="s">
        <v>6464</v>
      </c>
      <c r="W1680" s="129"/>
      <c r="X1680" s="88">
        <v>44576</v>
      </c>
      <c r="Y1680" s="130" t="s">
        <v>20</v>
      </c>
      <c r="Z1680" s="133" t="s">
        <v>72</v>
      </c>
      <c r="AA1680" s="133"/>
      <c r="AB1680" s="241">
        <f t="shared" si="104"/>
        <v>140</v>
      </c>
      <c r="AC1680" s="134">
        <v>795</v>
      </c>
      <c r="AD1680" s="134"/>
      <c r="AE1680" s="403">
        <f t="shared" si="101"/>
        <v>111300</v>
      </c>
      <c r="AF1680" s="132">
        <v>5</v>
      </c>
      <c r="AG1680" s="130" t="s">
        <v>33</v>
      </c>
      <c r="AH1680" s="130"/>
      <c r="AI1680" s="130" t="s">
        <v>34</v>
      </c>
      <c r="AJ1680" s="130"/>
      <c r="AK1680" s="130"/>
      <c r="AL1680" s="135" t="s">
        <v>6312</v>
      </c>
      <c r="AM1680" s="314"/>
      <c r="AN1680" s="26">
        <f t="shared" si="99"/>
        <v>0</v>
      </c>
      <c r="AO1680" s="26">
        <v>44518</v>
      </c>
      <c r="AP1680" s="26">
        <f t="shared" si="105"/>
        <v>44519</v>
      </c>
      <c r="AQ1680" s="26">
        <v>44519</v>
      </c>
      <c r="AR1680" s="24">
        <v>44532</v>
      </c>
      <c r="AS1680" s="24"/>
      <c r="AT1680" s="24">
        <v>44519</v>
      </c>
      <c r="AU1680" s="418">
        <f t="shared" si="102"/>
        <v>11</v>
      </c>
      <c r="AV1680" s="418">
        <f t="shared" si="103"/>
        <v>2021</v>
      </c>
      <c r="AW1680" s="24"/>
      <c r="AX1680" s="24"/>
      <c r="AY1680" s="24" t="s">
        <v>181</v>
      </c>
      <c r="AZ1680" s="24" t="s">
        <v>62</v>
      </c>
      <c r="BA1680" s="24"/>
      <c r="BB1680" s="24" t="s">
        <v>3264</v>
      </c>
      <c r="BC1680" s="128">
        <v>7315</v>
      </c>
      <c r="BD1680" s="24">
        <v>44516</v>
      </c>
      <c r="BE1680" s="24" t="s">
        <v>6003</v>
      </c>
      <c r="BF1680" s="24" t="s">
        <v>6003</v>
      </c>
      <c r="BG1680" s="135" t="s">
        <v>6004</v>
      </c>
      <c r="BH1680" s="135"/>
      <c r="BI1680" s="314" t="s">
        <v>117</v>
      </c>
      <c r="BJ1680" s="314" t="s">
        <v>143</v>
      </c>
      <c r="BK1680" s="24"/>
      <c r="BL1680" s="24"/>
      <c r="BM1680" s="24"/>
      <c r="BN1680" s="24"/>
      <c r="BO1680" s="24"/>
      <c r="BP1680" s="24"/>
      <c r="BQ1680" s="24"/>
      <c r="BR1680" s="24"/>
      <c r="BS1680" s="24"/>
      <c r="BT1680" s="24"/>
      <c r="BU1680" s="24"/>
      <c r="BV1680" s="132" t="e">
        <f>IF(#REF!="COMPLETO","OK","PENDIENTE")</f>
        <v>#REF!</v>
      </c>
      <c r="BW1680" s="132"/>
      <c r="BX1680" s="132"/>
      <c r="BY1680" s="132"/>
      <c r="BZ1680" s="132"/>
      <c r="CA1680" s="132"/>
      <c r="CB1680" s="132"/>
      <c r="CC1680" s="269"/>
      <c r="CG1680" s="24" t="s">
        <v>105</v>
      </c>
      <c r="CH1680" s="24"/>
      <c r="CI1680" s="24"/>
      <c r="CJ1680" s="24"/>
    </row>
    <row r="1681" spans="1:88" ht="15" customHeight="1">
      <c r="A1681" s="18">
        <v>2021</v>
      </c>
      <c r="B1681" s="18" t="str">
        <f>+INDEX(BDD!F:F,MATCH(P1681,BDD!D:D,0))&amp;"-"&amp;INDEX(BDD!E:E,MATCH(P1681,BDD!D:D,0))</f>
        <v>S-C</v>
      </c>
      <c r="C1681" s="360" t="s">
        <v>484</v>
      </c>
      <c r="D1681" s="150" t="s">
        <v>77</v>
      </c>
      <c r="E1681" s="132"/>
      <c r="F1681" s="24"/>
      <c r="G1681" s="346">
        <v>8000001622</v>
      </c>
      <c r="H1681" s="18" t="s">
        <v>6465</v>
      </c>
      <c r="I1681" s="329"/>
      <c r="J1681" s="346">
        <v>8000001622</v>
      </c>
      <c r="K1681" s="24"/>
      <c r="L1681" s="24">
        <v>0</v>
      </c>
      <c r="M1681" s="24">
        <v>44525</v>
      </c>
      <c r="N1681" s="340" t="s">
        <v>486</v>
      </c>
      <c r="O1681" s="334">
        <v>207580</v>
      </c>
      <c r="P1681" s="25" t="s">
        <v>241</v>
      </c>
      <c r="Q1681" s="127" t="s">
        <v>6000</v>
      </c>
      <c r="R1681" s="232" t="s">
        <v>544</v>
      </c>
      <c r="S1681" s="89">
        <v>44454</v>
      </c>
      <c r="T1681" s="36">
        <v>60</v>
      </c>
      <c r="U1681" s="125" t="s">
        <v>131</v>
      </c>
      <c r="V1681" s="147" t="s">
        <v>6461</v>
      </c>
      <c r="W1681" s="129"/>
      <c r="X1681" s="88">
        <v>44569</v>
      </c>
      <c r="Y1681" s="130" t="s">
        <v>20</v>
      </c>
      <c r="Z1681" s="133" t="s">
        <v>72</v>
      </c>
      <c r="AA1681" s="133"/>
      <c r="AB1681" s="241">
        <f t="shared" si="104"/>
        <v>56</v>
      </c>
      <c r="AC1681" s="134">
        <v>795</v>
      </c>
      <c r="AD1681" s="134"/>
      <c r="AE1681" s="403">
        <f t="shared" si="101"/>
        <v>44520</v>
      </c>
      <c r="AF1681" s="132">
        <v>2</v>
      </c>
      <c r="AG1681" s="130" t="s">
        <v>33</v>
      </c>
      <c r="AH1681" s="130"/>
      <c r="AI1681" s="130" t="s">
        <v>34</v>
      </c>
      <c r="AJ1681" s="130"/>
      <c r="AK1681" s="130"/>
      <c r="AL1681" s="135" t="s">
        <v>6312</v>
      </c>
      <c r="AM1681" s="314"/>
      <c r="AN1681" s="26">
        <f t="shared" si="99"/>
        <v>0</v>
      </c>
      <c r="AO1681" s="26">
        <v>44523</v>
      </c>
      <c r="AP1681" s="26">
        <f t="shared" si="105"/>
        <v>44524</v>
      </c>
      <c r="AQ1681" s="26">
        <v>44524</v>
      </c>
      <c r="AR1681" s="24">
        <v>44532</v>
      </c>
      <c r="AS1681" s="24"/>
      <c r="AT1681" s="24">
        <f>AQ1681</f>
        <v>44524</v>
      </c>
      <c r="AU1681" s="418">
        <f t="shared" si="102"/>
        <v>11</v>
      </c>
      <c r="AV1681" s="418">
        <f t="shared" si="103"/>
        <v>2021</v>
      </c>
      <c r="AW1681" s="24"/>
      <c r="AX1681" s="24"/>
      <c r="AY1681" s="24" t="s">
        <v>181</v>
      </c>
      <c r="AZ1681" s="24" t="s">
        <v>62</v>
      </c>
      <c r="BA1681" s="24"/>
      <c r="BB1681" s="24" t="s">
        <v>3264</v>
      </c>
      <c r="BC1681" s="128" t="s">
        <v>6462</v>
      </c>
      <c r="BD1681" s="24">
        <v>44509</v>
      </c>
      <c r="BE1681" s="24" t="s">
        <v>6003</v>
      </c>
      <c r="BF1681" s="24" t="s">
        <v>6003</v>
      </c>
      <c r="BG1681" s="135" t="s">
        <v>6451</v>
      </c>
      <c r="BH1681" s="135"/>
      <c r="BI1681" s="314" t="s">
        <v>117</v>
      </c>
      <c r="BJ1681" s="314" t="s">
        <v>143</v>
      </c>
      <c r="BK1681" s="24"/>
      <c r="BL1681" s="24"/>
      <c r="BM1681" s="24"/>
      <c r="BN1681" s="24"/>
      <c r="BO1681" s="24"/>
      <c r="BP1681" s="24"/>
      <c r="BQ1681" s="24"/>
      <c r="BR1681" s="24"/>
      <c r="BS1681" s="24"/>
      <c r="BT1681" s="24"/>
      <c r="BU1681" s="24"/>
      <c r="BV1681" s="132" t="e">
        <f>IF(#REF!="COMPLETO","OK","PENDIENTE")</f>
        <v>#REF!</v>
      </c>
      <c r="BW1681" s="132"/>
      <c r="BX1681" s="132"/>
      <c r="BY1681" s="132"/>
      <c r="BZ1681" s="132"/>
      <c r="CA1681" s="132"/>
      <c r="CB1681" s="132"/>
      <c r="CC1681" s="269"/>
      <c r="CG1681" s="24" t="s">
        <v>105</v>
      </c>
      <c r="CH1681" s="24"/>
      <c r="CI1681" s="24"/>
      <c r="CJ1681" s="24"/>
    </row>
    <row r="1682" spans="1:88" ht="15" customHeight="1">
      <c r="A1682" s="18">
        <v>2021</v>
      </c>
      <c r="B1682" s="18" t="str">
        <f>+INDEX(BDD!F:F,MATCH(P1682,BDD!D:D,0))&amp;"-"&amp;INDEX(BDD!E:E,MATCH(P1682,BDD!D:D,0))</f>
        <v>S-C</v>
      </c>
      <c r="C1682" s="360" t="s">
        <v>484</v>
      </c>
      <c r="D1682" s="150" t="s">
        <v>77</v>
      </c>
      <c r="E1682" s="132"/>
      <c r="F1682" s="24"/>
      <c r="G1682" s="346">
        <v>8000001623</v>
      </c>
      <c r="H1682" s="18" t="s">
        <v>6466</v>
      </c>
      <c r="I1682" s="329"/>
      <c r="J1682" s="346">
        <v>8000001623</v>
      </c>
      <c r="K1682" s="24"/>
      <c r="L1682" s="24">
        <v>0</v>
      </c>
      <c r="M1682" s="24">
        <v>44525</v>
      </c>
      <c r="N1682" s="340" t="s">
        <v>486</v>
      </c>
      <c r="O1682" s="334">
        <v>207580</v>
      </c>
      <c r="P1682" s="25" t="s">
        <v>241</v>
      </c>
      <c r="Q1682" s="127" t="s">
        <v>6000</v>
      </c>
      <c r="R1682" s="232" t="s">
        <v>544</v>
      </c>
      <c r="S1682" s="89">
        <v>44454</v>
      </c>
      <c r="T1682" s="36">
        <v>60</v>
      </c>
      <c r="U1682" s="125" t="s">
        <v>131</v>
      </c>
      <c r="V1682" s="147" t="s">
        <v>6467</v>
      </c>
      <c r="W1682" s="129"/>
      <c r="X1682" s="88">
        <v>44576</v>
      </c>
      <c r="Y1682" s="130" t="s">
        <v>20</v>
      </c>
      <c r="Z1682" s="133" t="s">
        <v>72</v>
      </c>
      <c r="AA1682" s="133"/>
      <c r="AB1682" s="241">
        <f t="shared" si="104"/>
        <v>28</v>
      </c>
      <c r="AC1682" s="134">
        <v>795</v>
      </c>
      <c r="AD1682" s="134"/>
      <c r="AE1682" s="403">
        <f t="shared" si="101"/>
        <v>22260</v>
      </c>
      <c r="AF1682" s="132">
        <v>1</v>
      </c>
      <c r="AG1682" s="130" t="s">
        <v>33</v>
      </c>
      <c r="AH1682" s="130"/>
      <c r="AI1682" s="130" t="s">
        <v>34</v>
      </c>
      <c r="AJ1682" s="130"/>
      <c r="AK1682" s="130"/>
      <c r="AL1682" s="135" t="s">
        <v>6312</v>
      </c>
      <c r="AM1682" s="314"/>
      <c r="AN1682" s="26">
        <f t="shared" si="99"/>
        <v>0</v>
      </c>
      <c r="AO1682" s="26">
        <v>44523</v>
      </c>
      <c r="AP1682" s="26">
        <f>AQ1682</f>
        <v>44524</v>
      </c>
      <c r="AQ1682" s="26">
        <v>44524</v>
      </c>
      <c r="AR1682" s="24">
        <v>44532</v>
      </c>
      <c r="AS1682" s="24"/>
      <c r="AT1682" s="24">
        <f>AQ1682</f>
        <v>44524</v>
      </c>
      <c r="AU1682" s="418">
        <f t="shared" si="102"/>
        <v>11</v>
      </c>
      <c r="AV1682" s="418">
        <f t="shared" si="103"/>
        <v>2021</v>
      </c>
      <c r="AW1682" s="24"/>
      <c r="AX1682" s="24"/>
      <c r="AY1682" s="24" t="s">
        <v>181</v>
      </c>
      <c r="AZ1682" s="24" t="s">
        <v>62</v>
      </c>
      <c r="BA1682" s="24"/>
      <c r="BB1682" s="24" t="s">
        <v>3264</v>
      </c>
      <c r="BC1682" s="128" t="s">
        <v>6468</v>
      </c>
      <c r="BD1682" s="24">
        <v>44516</v>
      </c>
      <c r="BE1682" s="24" t="s">
        <v>6003</v>
      </c>
      <c r="BF1682" s="24" t="s">
        <v>6003</v>
      </c>
      <c r="BG1682" s="135" t="s">
        <v>6451</v>
      </c>
      <c r="BH1682" s="135"/>
      <c r="BI1682" s="314" t="s">
        <v>117</v>
      </c>
      <c r="BJ1682" s="314" t="s">
        <v>143</v>
      </c>
      <c r="BK1682" s="24"/>
      <c r="BL1682" s="24"/>
      <c r="BM1682" s="24"/>
      <c r="BN1682" s="24"/>
      <c r="BO1682" s="24"/>
      <c r="BP1682" s="24"/>
      <c r="BQ1682" s="24"/>
      <c r="BR1682" s="24"/>
      <c r="BS1682" s="24"/>
      <c r="BT1682" s="24"/>
      <c r="BU1682" s="24"/>
      <c r="BV1682" s="132" t="e">
        <f>IF(#REF!="COMPLETO","OK","PENDIENTE")</f>
        <v>#REF!</v>
      </c>
      <c r="BW1682" s="132"/>
      <c r="BX1682" s="132"/>
      <c r="BY1682" s="132"/>
      <c r="BZ1682" s="132"/>
      <c r="CA1682" s="132"/>
      <c r="CB1682" s="132"/>
      <c r="CC1682" s="269"/>
      <c r="CG1682" s="24" t="s">
        <v>105</v>
      </c>
      <c r="CH1682" s="24"/>
      <c r="CI1682" s="24"/>
      <c r="CJ1682" s="24"/>
    </row>
    <row r="1683" spans="1:88" ht="15" customHeight="1">
      <c r="A1683" s="18">
        <v>2021</v>
      </c>
      <c r="B1683" s="18" t="str">
        <f>+INDEX(BDD!F:F,MATCH(P1683,BDD!D:D,0))&amp;"-"&amp;INDEX(BDD!E:E,MATCH(P1683,BDD!D:D,0))</f>
        <v>S-C</v>
      </c>
      <c r="C1683" s="360" t="s">
        <v>484</v>
      </c>
      <c r="D1683" s="150" t="s">
        <v>77</v>
      </c>
      <c r="E1683" s="132"/>
      <c r="F1683" s="24"/>
      <c r="G1683" s="346">
        <v>8000001624</v>
      </c>
      <c r="H1683" s="18" t="s">
        <v>6469</v>
      </c>
      <c r="I1683" s="329"/>
      <c r="J1683" s="346">
        <v>8000001624</v>
      </c>
      <c r="K1683" s="24"/>
      <c r="L1683" s="24"/>
      <c r="M1683" s="24"/>
      <c r="N1683" s="340" t="s">
        <v>486</v>
      </c>
      <c r="O1683" s="334">
        <v>207580</v>
      </c>
      <c r="P1683" s="25" t="s">
        <v>241</v>
      </c>
      <c r="Q1683" s="127" t="s">
        <v>6000</v>
      </c>
      <c r="R1683" s="232" t="s">
        <v>544</v>
      </c>
      <c r="S1683" s="89">
        <v>44454</v>
      </c>
      <c r="T1683" s="36">
        <v>60</v>
      </c>
      <c r="U1683" s="125" t="s">
        <v>131</v>
      </c>
      <c r="V1683" s="147" t="s">
        <v>6467</v>
      </c>
      <c r="W1683" s="129"/>
      <c r="X1683" s="88">
        <v>44576</v>
      </c>
      <c r="Y1683" s="130" t="s">
        <v>20</v>
      </c>
      <c r="Z1683" s="133" t="s">
        <v>72</v>
      </c>
      <c r="AA1683" s="133"/>
      <c r="AB1683" s="241">
        <f t="shared" si="104"/>
        <v>56</v>
      </c>
      <c r="AC1683" s="134">
        <v>795</v>
      </c>
      <c r="AD1683" s="134"/>
      <c r="AE1683" s="403">
        <f t="shared" si="101"/>
        <v>44520</v>
      </c>
      <c r="AF1683" s="132">
        <v>2</v>
      </c>
      <c r="AG1683" s="130" t="s">
        <v>33</v>
      </c>
      <c r="AH1683" s="130"/>
      <c r="AI1683" s="130" t="s">
        <v>34</v>
      </c>
      <c r="AJ1683" s="130"/>
      <c r="AK1683" s="130"/>
      <c r="AL1683" s="135" t="s">
        <v>6312</v>
      </c>
      <c r="AM1683" s="314"/>
      <c r="AN1683" s="26">
        <f t="shared" si="99"/>
        <v>0</v>
      </c>
      <c r="AO1683" s="26">
        <v>44525</v>
      </c>
      <c r="AP1683" s="26">
        <f t="shared" si="105"/>
        <v>44526</v>
      </c>
      <c r="AQ1683" s="26">
        <v>44526</v>
      </c>
      <c r="AR1683" s="24">
        <v>44539</v>
      </c>
      <c r="AS1683" s="24"/>
      <c r="AT1683" s="24">
        <v>44526</v>
      </c>
      <c r="AU1683" s="418">
        <f t="shared" si="102"/>
        <v>11</v>
      </c>
      <c r="AV1683" s="418">
        <f t="shared" si="103"/>
        <v>2021</v>
      </c>
      <c r="AW1683" s="24"/>
      <c r="AX1683" s="24"/>
      <c r="AY1683" s="24" t="s">
        <v>181</v>
      </c>
      <c r="AZ1683" s="24" t="s">
        <v>62</v>
      </c>
      <c r="BA1683" s="24"/>
      <c r="BB1683" s="24" t="s">
        <v>3264</v>
      </c>
      <c r="BC1683" s="128" t="s">
        <v>6470</v>
      </c>
      <c r="BD1683" s="24">
        <v>44524</v>
      </c>
      <c r="BE1683" s="24" t="s">
        <v>6003</v>
      </c>
      <c r="BF1683" s="24" t="s">
        <v>6003</v>
      </c>
      <c r="BG1683" s="135" t="s">
        <v>6451</v>
      </c>
      <c r="BH1683" s="135"/>
      <c r="BI1683" s="314" t="s">
        <v>117</v>
      </c>
      <c r="BJ1683" s="314" t="s">
        <v>143</v>
      </c>
      <c r="BK1683" s="24"/>
      <c r="BL1683" s="24"/>
      <c r="BM1683" s="24"/>
      <c r="BN1683" s="24"/>
      <c r="BO1683" s="24"/>
      <c r="BP1683" s="24"/>
      <c r="BQ1683" s="24"/>
      <c r="BR1683" s="24"/>
      <c r="BS1683" s="24"/>
      <c r="BT1683" s="24"/>
      <c r="BU1683" s="24"/>
      <c r="BV1683" s="132" t="e">
        <f>IF(#REF!="COMPLETO","OK","PENDIENTE")</f>
        <v>#REF!</v>
      </c>
      <c r="BW1683" s="132"/>
      <c r="BX1683" s="132"/>
      <c r="BY1683" s="132"/>
      <c r="BZ1683" s="132"/>
      <c r="CA1683" s="132"/>
      <c r="CB1683" s="132"/>
      <c r="CC1683" s="269"/>
      <c r="CG1683" s="24" t="s">
        <v>105</v>
      </c>
      <c r="CH1683" s="24"/>
      <c r="CI1683" s="24"/>
      <c r="CJ1683" s="24"/>
    </row>
    <row r="1684" spans="1:88" ht="15" customHeight="1">
      <c r="A1684" s="18">
        <v>2021</v>
      </c>
      <c r="B1684" s="18" t="str">
        <f>+INDEX(BDD!F:F,MATCH(P1684,BDD!D:D,0))&amp;"-"&amp;INDEX(BDD!E:E,MATCH(P1684,BDD!D:D,0))</f>
        <v>S-C</v>
      </c>
      <c r="C1684" s="360" t="s">
        <v>484</v>
      </c>
      <c r="D1684" s="150" t="s">
        <v>77</v>
      </c>
      <c r="E1684" s="132"/>
      <c r="F1684" s="24"/>
      <c r="G1684" s="346">
        <v>8000001625</v>
      </c>
      <c r="H1684" s="18" t="s">
        <v>6471</v>
      </c>
      <c r="I1684" s="329"/>
      <c r="J1684" s="346">
        <v>8000001625</v>
      </c>
      <c r="K1684" s="24"/>
      <c r="L1684" s="24">
        <v>0</v>
      </c>
      <c r="M1684" s="24">
        <v>44540</v>
      </c>
      <c r="N1684" s="340" t="s">
        <v>486</v>
      </c>
      <c r="O1684" s="334">
        <v>207580</v>
      </c>
      <c r="P1684" s="25" t="s">
        <v>241</v>
      </c>
      <c r="Q1684" s="127" t="s">
        <v>6000</v>
      </c>
      <c r="R1684" s="232" t="s">
        <v>544</v>
      </c>
      <c r="S1684" s="89">
        <v>44454</v>
      </c>
      <c r="T1684" s="36">
        <v>60</v>
      </c>
      <c r="U1684" s="125" t="s">
        <v>131</v>
      </c>
      <c r="V1684" s="147" t="s">
        <v>6472</v>
      </c>
      <c r="W1684" s="129"/>
      <c r="X1684" s="88">
        <v>44582</v>
      </c>
      <c r="Y1684" s="130" t="s">
        <v>20</v>
      </c>
      <c r="Z1684" s="133" t="s">
        <v>72</v>
      </c>
      <c r="AA1684" s="133"/>
      <c r="AB1684" s="241">
        <f t="shared" si="104"/>
        <v>112</v>
      </c>
      <c r="AC1684" s="134">
        <v>795</v>
      </c>
      <c r="AD1684" s="134"/>
      <c r="AE1684" s="403">
        <f t="shared" si="101"/>
        <v>89040</v>
      </c>
      <c r="AF1684" s="132">
        <v>4</v>
      </c>
      <c r="AG1684" s="130" t="s">
        <v>33</v>
      </c>
      <c r="AH1684" s="130"/>
      <c r="AI1684" s="130" t="s">
        <v>34</v>
      </c>
      <c r="AJ1684" s="130"/>
      <c r="AK1684" s="130"/>
      <c r="AL1684" s="135" t="s">
        <v>6312</v>
      </c>
      <c r="AM1684" s="314"/>
      <c r="AN1684" s="26">
        <f t="shared" si="99"/>
        <v>0</v>
      </c>
      <c r="AO1684" s="26">
        <v>44530</v>
      </c>
      <c r="AP1684" s="26">
        <f>AQ1684</f>
        <v>44532</v>
      </c>
      <c r="AQ1684" s="26">
        <v>44532</v>
      </c>
      <c r="AR1684" s="24">
        <v>44539</v>
      </c>
      <c r="AS1684" s="24"/>
      <c r="AT1684" s="24">
        <v>44532</v>
      </c>
      <c r="AU1684" s="418">
        <f t="shared" si="102"/>
        <v>12</v>
      </c>
      <c r="AV1684" s="418">
        <f t="shared" si="103"/>
        <v>2021</v>
      </c>
      <c r="AW1684" s="24"/>
      <c r="AX1684" s="24"/>
      <c r="AY1684" s="24" t="s">
        <v>181</v>
      </c>
      <c r="AZ1684" s="24" t="s">
        <v>62</v>
      </c>
      <c r="BA1684" s="24"/>
      <c r="BB1684" s="24" t="s">
        <v>3264</v>
      </c>
      <c r="BC1684" s="128">
        <v>7340</v>
      </c>
      <c r="BD1684" s="24">
        <v>44524</v>
      </c>
      <c r="BE1684" s="24" t="s">
        <v>6003</v>
      </c>
      <c r="BF1684" s="24" t="s">
        <v>6003</v>
      </c>
      <c r="BG1684" s="135" t="s">
        <v>6004</v>
      </c>
      <c r="BH1684" s="135"/>
      <c r="BI1684" s="314" t="s">
        <v>117</v>
      </c>
      <c r="BJ1684" s="314" t="s">
        <v>143</v>
      </c>
      <c r="BK1684" s="24"/>
      <c r="BL1684" s="24"/>
      <c r="BM1684" s="24"/>
      <c r="BN1684" s="24"/>
      <c r="BO1684" s="24"/>
      <c r="BP1684" s="24"/>
      <c r="BQ1684" s="24"/>
      <c r="BR1684" s="24"/>
      <c r="BS1684" s="24"/>
      <c r="BT1684" s="24"/>
      <c r="BU1684" s="24"/>
      <c r="BV1684" s="132" t="e">
        <f>IF(#REF!="COMPLETO","OK","PENDIENTE")</f>
        <v>#REF!</v>
      </c>
      <c r="BW1684" s="132"/>
      <c r="BX1684" s="132"/>
      <c r="BY1684" s="132"/>
      <c r="BZ1684" s="132"/>
      <c r="CA1684" s="132"/>
      <c r="CB1684" s="132"/>
      <c r="CC1684" s="269"/>
      <c r="CG1684" s="24" t="s">
        <v>105</v>
      </c>
      <c r="CH1684" s="24"/>
      <c r="CI1684" s="24"/>
      <c r="CJ1684" s="24"/>
    </row>
    <row r="1685" spans="1:88" ht="15" customHeight="1">
      <c r="A1685" s="18">
        <v>2021</v>
      </c>
      <c r="B1685" s="18" t="str">
        <f>+INDEX(BDD!F:F,MATCH(P1685,BDD!D:D,0))&amp;"-"&amp;INDEX(BDD!E:E,MATCH(P1685,BDD!D:D,0))</f>
        <v>S-C</v>
      </c>
      <c r="C1685" s="360" t="s">
        <v>484</v>
      </c>
      <c r="D1685" s="150" t="s">
        <v>77</v>
      </c>
      <c r="E1685" s="132"/>
      <c r="F1685" s="24"/>
      <c r="G1685" s="346">
        <v>8000001626</v>
      </c>
      <c r="H1685" s="18" t="s">
        <v>6473</v>
      </c>
      <c r="I1685" s="329"/>
      <c r="J1685" s="346">
        <v>8000001626</v>
      </c>
      <c r="K1685" s="24"/>
      <c r="L1685" s="24">
        <v>0</v>
      </c>
      <c r="M1685" s="24">
        <v>44540</v>
      </c>
      <c r="N1685" s="340" t="s">
        <v>486</v>
      </c>
      <c r="O1685" s="334">
        <v>207580</v>
      </c>
      <c r="P1685" s="25" t="s">
        <v>241</v>
      </c>
      <c r="Q1685" s="127" t="s">
        <v>6000</v>
      </c>
      <c r="R1685" s="232" t="s">
        <v>544</v>
      </c>
      <c r="S1685" s="89">
        <v>44454</v>
      </c>
      <c r="T1685" s="36">
        <v>60</v>
      </c>
      <c r="U1685" s="125" t="s">
        <v>131</v>
      </c>
      <c r="V1685" s="147" t="s">
        <v>6467</v>
      </c>
      <c r="W1685" s="129"/>
      <c r="X1685" s="88">
        <v>44576</v>
      </c>
      <c r="Y1685" s="130" t="s">
        <v>20</v>
      </c>
      <c r="Z1685" s="133" t="s">
        <v>72</v>
      </c>
      <c r="AA1685" s="133"/>
      <c r="AB1685" s="241">
        <f t="shared" si="104"/>
        <v>56</v>
      </c>
      <c r="AC1685" s="134">
        <v>795</v>
      </c>
      <c r="AD1685" s="134"/>
      <c r="AE1685" s="403">
        <f t="shared" si="101"/>
        <v>44520</v>
      </c>
      <c r="AF1685" s="132">
        <v>2</v>
      </c>
      <c r="AG1685" s="130" t="s">
        <v>33</v>
      </c>
      <c r="AH1685" s="130"/>
      <c r="AI1685" s="130" t="s">
        <v>34</v>
      </c>
      <c r="AJ1685" s="130"/>
      <c r="AK1685" s="130"/>
      <c r="AL1685" s="135" t="s">
        <v>6312</v>
      </c>
      <c r="AM1685" s="314"/>
      <c r="AN1685" s="26">
        <f t="shared" si="99"/>
        <v>0</v>
      </c>
      <c r="AO1685" s="26">
        <v>44533</v>
      </c>
      <c r="AP1685" s="26">
        <f t="shared" si="105"/>
        <v>44534</v>
      </c>
      <c r="AQ1685" s="26">
        <v>44534</v>
      </c>
      <c r="AR1685" s="24">
        <v>44547</v>
      </c>
      <c r="AS1685" s="24"/>
      <c r="AT1685" s="24">
        <f>AQ1685</f>
        <v>44534</v>
      </c>
      <c r="AU1685" s="418">
        <f t="shared" si="102"/>
        <v>12</v>
      </c>
      <c r="AV1685" s="418">
        <f t="shared" si="103"/>
        <v>2021</v>
      </c>
      <c r="AW1685" s="24"/>
      <c r="AX1685" s="24"/>
      <c r="AY1685" s="24" t="s">
        <v>181</v>
      </c>
      <c r="AZ1685" s="24" t="s">
        <v>62</v>
      </c>
      <c r="BA1685" s="24"/>
      <c r="BB1685" s="24" t="s">
        <v>3264</v>
      </c>
      <c r="BC1685" s="128" t="s">
        <v>6474</v>
      </c>
      <c r="BD1685" s="24">
        <v>44530</v>
      </c>
      <c r="BE1685" s="24" t="s">
        <v>6003</v>
      </c>
      <c r="BF1685" s="24" t="s">
        <v>6003</v>
      </c>
      <c r="BG1685" s="135" t="s">
        <v>6451</v>
      </c>
      <c r="BH1685" s="135"/>
      <c r="BI1685" s="314" t="s">
        <v>117</v>
      </c>
      <c r="BJ1685" s="314" t="s">
        <v>143</v>
      </c>
      <c r="BK1685" s="24"/>
      <c r="BL1685" s="24"/>
      <c r="BM1685" s="24"/>
      <c r="BN1685" s="24"/>
      <c r="BO1685" s="24"/>
      <c r="BP1685" s="24"/>
      <c r="BQ1685" s="24"/>
      <c r="BR1685" s="24"/>
      <c r="BS1685" s="24"/>
      <c r="BT1685" s="24"/>
      <c r="BU1685" s="24"/>
      <c r="BV1685" s="132" t="e">
        <f>IF(#REF!="COMPLETO","OK","PENDIENTE")</f>
        <v>#REF!</v>
      </c>
      <c r="BW1685" s="132"/>
      <c r="BX1685" s="132"/>
      <c r="BY1685" s="132"/>
      <c r="BZ1685" s="132"/>
      <c r="CA1685" s="132"/>
      <c r="CB1685" s="132"/>
      <c r="CC1685" s="269"/>
      <c r="CG1685" s="24" t="s">
        <v>105</v>
      </c>
      <c r="CH1685" s="24"/>
      <c r="CI1685" s="24"/>
      <c r="CJ1685" s="24"/>
    </row>
    <row r="1686" spans="1:88" ht="15" customHeight="1">
      <c r="A1686" s="18">
        <v>2021</v>
      </c>
      <c r="B1686" s="18" t="str">
        <f>+INDEX(BDD!F:F,MATCH(P1686,BDD!D:D,0))&amp;"-"&amp;INDEX(BDD!E:E,MATCH(P1686,BDD!D:D,0))</f>
        <v>S-C</v>
      </c>
      <c r="C1686" s="360" t="s">
        <v>484</v>
      </c>
      <c r="D1686" s="150" t="s">
        <v>77</v>
      </c>
      <c r="E1686" s="132"/>
      <c r="F1686" s="24"/>
      <c r="G1686" s="346">
        <v>8000001627</v>
      </c>
      <c r="H1686" s="18" t="s">
        <v>6475</v>
      </c>
      <c r="I1686" s="329"/>
      <c r="J1686" s="346">
        <v>8000001627</v>
      </c>
      <c r="K1686" s="24"/>
      <c r="L1686" s="24">
        <v>0</v>
      </c>
      <c r="M1686" s="24">
        <v>44547</v>
      </c>
      <c r="N1686" s="340" t="s">
        <v>486</v>
      </c>
      <c r="O1686" s="334">
        <v>207580</v>
      </c>
      <c r="P1686" s="25" t="s">
        <v>241</v>
      </c>
      <c r="Q1686" s="127" t="s">
        <v>6000</v>
      </c>
      <c r="R1686" s="232" t="s">
        <v>544</v>
      </c>
      <c r="S1686" s="89">
        <v>44454</v>
      </c>
      <c r="T1686" s="36">
        <v>60</v>
      </c>
      <c r="U1686" s="125" t="s">
        <v>131</v>
      </c>
      <c r="V1686" s="147" t="s">
        <v>6472</v>
      </c>
      <c r="W1686" s="129"/>
      <c r="X1686" s="88">
        <v>44582</v>
      </c>
      <c r="Y1686" s="130" t="s">
        <v>20</v>
      </c>
      <c r="Z1686" s="133" t="s">
        <v>72</v>
      </c>
      <c r="AA1686" s="133"/>
      <c r="AB1686" s="241">
        <f t="shared" si="104"/>
        <v>28</v>
      </c>
      <c r="AC1686" s="134">
        <v>795</v>
      </c>
      <c r="AD1686" s="134"/>
      <c r="AE1686" s="403">
        <f t="shared" si="101"/>
        <v>22260</v>
      </c>
      <c r="AF1686" s="132">
        <v>1</v>
      </c>
      <c r="AG1686" s="130" t="s">
        <v>33</v>
      </c>
      <c r="AH1686" s="130"/>
      <c r="AI1686" s="130" t="s">
        <v>34</v>
      </c>
      <c r="AJ1686" s="130"/>
      <c r="AK1686" s="130"/>
      <c r="AL1686" s="135" t="s">
        <v>6312</v>
      </c>
      <c r="AM1686" s="314"/>
      <c r="AN1686" s="26">
        <f t="shared" si="99"/>
        <v>0</v>
      </c>
      <c r="AO1686" s="26">
        <v>44544</v>
      </c>
      <c r="AP1686" s="26">
        <f>AQ1686</f>
        <v>44545</v>
      </c>
      <c r="AQ1686" s="26">
        <v>44545</v>
      </c>
      <c r="AR1686" s="24">
        <v>44567</v>
      </c>
      <c r="AS1686" s="24"/>
      <c r="AT1686" s="24">
        <f>AQ1686</f>
        <v>44545</v>
      </c>
      <c r="AU1686" s="418">
        <f t="shared" si="102"/>
        <v>12</v>
      </c>
      <c r="AV1686" s="418">
        <f t="shared" si="103"/>
        <v>2021</v>
      </c>
      <c r="AW1686" s="24"/>
      <c r="AX1686" s="24"/>
      <c r="AY1686" s="24" t="s">
        <v>181</v>
      </c>
      <c r="AZ1686" s="24" t="s">
        <v>62</v>
      </c>
      <c r="BA1686" s="24"/>
      <c r="BB1686" s="24" t="s">
        <v>3264</v>
      </c>
      <c r="BC1686" s="128">
        <v>7341</v>
      </c>
      <c r="BD1686" s="24">
        <v>44544</v>
      </c>
      <c r="BE1686" s="24" t="s">
        <v>6003</v>
      </c>
      <c r="BF1686" s="24" t="s">
        <v>6003</v>
      </c>
      <c r="BG1686" s="135" t="s">
        <v>6004</v>
      </c>
      <c r="BH1686" s="135"/>
      <c r="BI1686" s="314" t="s">
        <v>117</v>
      </c>
      <c r="BJ1686" s="314" t="s">
        <v>143</v>
      </c>
      <c r="BK1686" s="24"/>
      <c r="BL1686" s="24"/>
      <c r="BM1686" s="24"/>
      <c r="BN1686" s="24"/>
      <c r="BO1686" s="24"/>
      <c r="BP1686" s="24"/>
      <c r="BQ1686" s="24"/>
      <c r="BR1686" s="24"/>
      <c r="BS1686" s="24"/>
      <c r="BT1686" s="24"/>
      <c r="BU1686" s="24"/>
      <c r="BV1686" s="132" t="e">
        <f>IF(#REF!="COMPLETO","OK","PENDIENTE")</f>
        <v>#REF!</v>
      </c>
      <c r="BW1686" s="132"/>
      <c r="BX1686" s="132"/>
      <c r="BY1686" s="132"/>
      <c r="BZ1686" s="132"/>
      <c r="CA1686" s="132"/>
      <c r="CB1686" s="132"/>
      <c r="CC1686" s="269"/>
      <c r="CG1686" s="24" t="s">
        <v>105</v>
      </c>
      <c r="CH1686" s="24"/>
      <c r="CI1686" s="24"/>
      <c r="CJ1686" s="24"/>
    </row>
    <row r="1687" spans="1:88" ht="15" customHeight="1">
      <c r="A1687" s="18">
        <v>2021</v>
      </c>
      <c r="B1687" s="18" t="str">
        <f>+INDEX(BDD!F:F,MATCH(P1687,BDD!D:D,0))&amp;"-"&amp;INDEX(BDD!E:E,MATCH(P1687,BDD!D:D,0))</f>
        <v>S-C</v>
      </c>
      <c r="C1687" s="360" t="s">
        <v>484</v>
      </c>
      <c r="D1687" s="150" t="s">
        <v>77</v>
      </c>
      <c r="E1687" s="132"/>
      <c r="F1687" s="24"/>
      <c r="G1687" s="346">
        <v>8000001628</v>
      </c>
      <c r="H1687" s="18" t="s">
        <v>6476</v>
      </c>
      <c r="I1687" s="329"/>
      <c r="J1687" s="346">
        <v>8000001628</v>
      </c>
      <c r="K1687" s="24"/>
      <c r="L1687" s="24">
        <v>0</v>
      </c>
      <c r="M1687" s="24">
        <v>44544</v>
      </c>
      <c r="N1687" s="340" t="s">
        <v>486</v>
      </c>
      <c r="O1687" s="334">
        <v>207580</v>
      </c>
      <c r="P1687" s="25" t="s">
        <v>241</v>
      </c>
      <c r="Q1687" s="127" t="s">
        <v>6000</v>
      </c>
      <c r="R1687" s="232" t="s">
        <v>544</v>
      </c>
      <c r="S1687" s="89">
        <v>44454</v>
      </c>
      <c r="T1687" s="36">
        <v>60</v>
      </c>
      <c r="U1687" s="125" t="s">
        <v>131</v>
      </c>
      <c r="V1687" s="147" t="s">
        <v>6477</v>
      </c>
      <c r="W1687" s="129"/>
      <c r="X1687" s="88">
        <v>44592</v>
      </c>
      <c r="Y1687" s="130" t="s">
        <v>20</v>
      </c>
      <c r="Z1687" s="133" t="s">
        <v>72</v>
      </c>
      <c r="AA1687" s="133"/>
      <c r="AB1687" s="241">
        <f t="shared" si="104"/>
        <v>140</v>
      </c>
      <c r="AC1687" s="134">
        <v>795</v>
      </c>
      <c r="AD1687" s="134"/>
      <c r="AE1687" s="403">
        <f t="shared" si="101"/>
        <v>111300</v>
      </c>
      <c r="AF1687" s="132">
        <v>5</v>
      </c>
      <c r="AG1687" s="130" t="s">
        <v>33</v>
      </c>
      <c r="AH1687" s="130"/>
      <c r="AI1687" s="130" t="s">
        <v>34</v>
      </c>
      <c r="AJ1687" s="130"/>
      <c r="AK1687" s="130"/>
      <c r="AL1687" s="135" t="s">
        <v>6312</v>
      </c>
      <c r="AM1687" s="314"/>
      <c r="AN1687" s="26">
        <f t="shared" si="99"/>
        <v>0</v>
      </c>
      <c r="AO1687" s="26">
        <v>44540</v>
      </c>
      <c r="AP1687" s="26">
        <f>AQ1687</f>
        <v>44541</v>
      </c>
      <c r="AQ1687" s="26">
        <v>44541</v>
      </c>
      <c r="AR1687" s="24">
        <v>44560</v>
      </c>
      <c r="AS1687" s="24"/>
      <c r="AT1687" s="24">
        <v>44541</v>
      </c>
      <c r="AU1687" s="418">
        <f t="shared" si="102"/>
        <v>12</v>
      </c>
      <c r="AV1687" s="418">
        <f t="shared" si="103"/>
        <v>2021</v>
      </c>
      <c r="AW1687" s="24"/>
      <c r="AX1687" s="24"/>
      <c r="AY1687" s="24" t="s">
        <v>181</v>
      </c>
      <c r="AZ1687" s="24" t="s">
        <v>62</v>
      </c>
      <c r="BA1687" s="24"/>
      <c r="BB1687" s="24" t="s">
        <v>3264</v>
      </c>
      <c r="BC1687" s="128">
        <v>7372</v>
      </c>
      <c r="BD1687" s="24">
        <v>44532</v>
      </c>
      <c r="BE1687" s="24" t="s">
        <v>6003</v>
      </c>
      <c r="BF1687" s="24" t="s">
        <v>6003</v>
      </c>
      <c r="BG1687" s="135" t="s">
        <v>6004</v>
      </c>
      <c r="BH1687" s="135"/>
      <c r="BI1687" s="314" t="s">
        <v>117</v>
      </c>
      <c r="BJ1687" s="314" t="s">
        <v>143</v>
      </c>
      <c r="BK1687" s="24"/>
      <c r="BL1687" s="24"/>
      <c r="BM1687" s="24"/>
      <c r="BN1687" s="24"/>
      <c r="BO1687" s="24"/>
      <c r="BP1687" s="24"/>
      <c r="BQ1687" s="24"/>
      <c r="BR1687" s="24"/>
      <c r="BS1687" s="24"/>
      <c r="BT1687" s="24"/>
      <c r="BU1687" s="24"/>
      <c r="BV1687" s="132" t="e">
        <f>IF(#REF!="COMPLETO","OK","PENDIENTE")</f>
        <v>#REF!</v>
      </c>
      <c r="BW1687" s="132"/>
      <c r="BX1687" s="132"/>
      <c r="BY1687" s="132"/>
      <c r="BZ1687" s="132"/>
      <c r="CA1687" s="132"/>
      <c r="CB1687" s="132"/>
      <c r="CC1687" s="269"/>
      <c r="CG1687" s="24" t="s">
        <v>105</v>
      </c>
      <c r="CH1687" s="24"/>
      <c r="CI1687" s="24"/>
      <c r="CJ1687" s="24"/>
    </row>
    <row r="1688" spans="1:88" ht="15" customHeight="1">
      <c r="A1688" s="18">
        <v>2021</v>
      </c>
      <c r="B1688" s="18" t="str">
        <f>+INDEX(BDD!F:F,MATCH(P1688,BDD!D:D,0))&amp;"-"&amp;INDEX(BDD!E:E,MATCH(P1688,BDD!D:D,0))</f>
        <v>S-C</v>
      </c>
      <c r="C1688" s="360" t="s">
        <v>484</v>
      </c>
      <c r="D1688" s="150" t="s">
        <v>77</v>
      </c>
      <c r="E1688" s="132"/>
      <c r="F1688" s="24"/>
      <c r="G1688" s="346">
        <v>8000001629</v>
      </c>
      <c r="H1688" s="18" t="s">
        <v>6478</v>
      </c>
      <c r="I1688" s="329"/>
      <c r="J1688" s="346">
        <v>8000001629</v>
      </c>
      <c r="K1688" s="24"/>
      <c r="L1688" s="24">
        <v>0</v>
      </c>
      <c r="M1688" s="24">
        <v>44547</v>
      </c>
      <c r="N1688" s="340" t="s">
        <v>486</v>
      </c>
      <c r="O1688" s="334">
        <v>207580</v>
      </c>
      <c r="P1688" s="25" t="s">
        <v>241</v>
      </c>
      <c r="Q1688" s="127" t="s">
        <v>6000</v>
      </c>
      <c r="R1688" s="232" t="s">
        <v>544</v>
      </c>
      <c r="S1688" s="89">
        <v>44454</v>
      </c>
      <c r="T1688" s="36">
        <v>60</v>
      </c>
      <c r="U1688" s="125" t="s">
        <v>131</v>
      </c>
      <c r="V1688" s="147" t="s">
        <v>6479</v>
      </c>
      <c r="W1688" s="129"/>
      <c r="X1688" s="88">
        <v>44592</v>
      </c>
      <c r="Y1688" s="130" t="s">
        <v>20</v>
      </c>
      <c r="Z1688" s="133" t="s">
        <v>72</v>
      </c>
      <c r="AA1688" s="133"/>
      <c r="AB1688" s="241">
        <f t="shared" si="104"/>
        <v>56</v>
      </c>
      <c r="AC1688" s="134">
        <v>795</v>
      </c>
      <c r="AD1688" s="134"/>
      <c r="AE1688" s="403">
        <f t="shared" si="101"/>
        <v>44520</v>
      </c>
      <c r="AF1688" s="132">
        <v>2</v>
      </c>
      <c r="AG1688" s="130" t="s">
        <v>33</v>
      </c>
      <c r="AH1688" s="130"/>
      <c r="AI1688" s="130" t="s">
        <v>34</v>
      </c>
      <c r="AJ1688" s="130"/>
      <c r="AK1688" s="130"/>
      <c r="AL1688" s="135" t="s">
        <v>6312</v>
      </c>
      <c r="AM1688" s="314"/>
      <c r="AN1688" s="26">
        <f t="shared" si="99"/>
        <v>0</v>
      </c>
      <c r="AO1688" s="26">
        <v>44545</v>
      </c>
      <c r="AP1688" s="26">
        <f>AQ1688</f>
        <v>44546</v>
      </c>
      <c r="AQ1688" s="26">
        <v>44546</v>
      </c>
      <c r="AR1688" s="24">
        <v>44560</v>
      </c>
      <c r="AS1688" s="24"/>
      <c r="AT1688" s="24">
        <f>AQ1688</f>
        <v>44546</v>
      </c>
      <c r="AU1688" s="418">
        <f t="shared" si="102"/>
        <v>12</v>
      </c>
      <c r="AV1688" s="418">
        <f t="shared" si="103"/>
        <v>2021</v>
      </c>
      <c r="AW1688" s="24"/>
      <c r="AX1688" s="24"/>
      <c r="AY1688" s="24" t="s">
        <v>181</v>
      </c>
      <c r="AZ1688" s="24" t="s">
        <v>62</v>
      </c>
      <c r="BA1688" s="24"/>
      <c r="BB1688" s="24" t="s">
        <v>3264</v>
      </c>
      <c r="BC1688" s="128">
        <v>7373</v>
      </c>
      <c r="BD1688" s="24">
        <v>44544</v>
      </c>
      <c r="BE1688" s="24" t="s">
        <v>6003</v>
      </c>
      <c r="BF1688" s="24" t="s">
        <v>6003</v>
      </c>
      <c r="BG1688" s="135" t="s">
        <v>6004</v>
      </c>
      <c r="BH1688" s="135"/>
      <c r="BI1688" s="314" t="s">
        <v>117</v>
      </c>
      <c r="BJ1688" s="314" t="s">
        <v>143</v>
      </c>
      <c r="BK1688" s="24"/>
      <c r="BL1688" s="24"/>
      <c r="BM1688" s="24"/>
      <c r="BN1688" s="24"/>
      <c r="BO1688" s="24"/>
      <c r="BP1688" s="24"/>
      <c r="BQ1688" s="24"/>
      <c r="BR1688" s="24"/>
      <c r="BS1688" s="24"/>
      <c r="BT1688" s="24"/>
      <c r="BU1688" s="24"/>
      <c r="BV1688" s="132" t="e">
        <f>IF(#REF!="COMPLETO","OK","PENDIENTE")</f>
        <v>#REF!</v>
      </c>
      <c r="BW1688" s="132"/>
      <c r="BX1688" s="132"/>
      <c r="BY1688" s="132"/>
      <c r="BZ1688" s="132"/>
      <c r="CA1688" s="132"/>
      <c r="CB1688" s="132"/>
      <c r="CC1688" s="269"/>
      <c r="CG1688" s="24" t="s">
        <v>105</v>
      </c>
      <c r="CH1688" s="24"/>
      <c r="CI1688" s="24"/>
      <c r="CJ1688" s="24"/>
    </row>
    <row r="1689" spans="1:88" ht="15" customHeight="1">
      <c r="A1689" s="18">
        <v>2021</v>
      </c>
      <c r="B1689" s="18" t="str">
        <f>+INDEX(BDD!F:F,MATCH(P1689,BDD!D:D,0))&amp;"-"&amp;INDEX(BDD!E:E,MATCH(P1689,BDD!D:D,0))</f>
        <v>S-C</v>
      </c>
      <c r="C1689" s="360" t="s">
        <v>484</v>
      </c>
      <c r="D1689" s="150" t="s">
        <v>77</v>
      </c>
      <c r="E1689" s="132"/>
      <c r="F1689" s="24"/>
      <c r="G1689" s="346">
        <v>8000001785</v>
      </c>
      <c r="H1689" s="18" t="s">
        <v>6480</v>
      </c>
      <c r="I1689" s="329"/>
      <c r="J1689" s="346">
        <v>8000001785</v>
      </c>
      <c r="K1689" s="24"/>
      <c r="L1689" s="24">
        <v>0</v>
      </c>
      <c r="M1689" s="24">
        <v>44553</v>
      </c>
      <c r="N1689" s="340" t="s">
        <v>486</v>
      </c>
      <c r="O1689" s="334">
        <v>207580</v>
      </c>
      <c r="P1689" s="25" t="s">
        <v>241</v>
      </c>
      <c r="Q1689" s="127" t="s">
        <v>6000</v>
      </c>
      <c r="R1689" s="232" t="s">
        <v>544</v>
      </c>
      <c r="S1689" s="89">
        <v>44454</v>
      </c>
      <c r="T1689" s="36">
        <v>60</v>
      </c>
      <c r="U1689" s="125" t="s">
        <v>131</v>
      </c>
      <c r="V1689" s="147" t="s">
        <v>6479</v>
      </c>
      <c r="W1689" s="129"/>
      <c r="X1689" s="88">
        <v>44592</v>
      </c>
      <c r="Y1689" s="130" t="s">
        <v>20</v>
      </c>
      <c r="Z1689" s="133" t="s">
        <v>72</v>
      </c>
      <c r="AA1689" s="133"/>
      <c r="AB1689" s="241">
        <f t="shared" si="104"/>
        <v>56</v>
      </c>
      <c r="AC1689" s="134">
        <v>795</v>
      </c>
      <c r="AD1689" s="134"/>
      <c r="AE1689" s="403">
        <f t="shared" si="101"/>
        <v>44520</v>
      </c>
      <c r="AF1689" s="132">
        <v>2</v>
      </c>
      <c r="AG1689" s="130" t="s">
        <v>33</v>
      </c>
      <c r="AH1689" s="130"/>
      <c r="AI1689" s="130" t="s">
        <v>34</v>
      </c>
      <c r="AJ1689" s="130"/>
      <c r="AK1689" s="130"/>
      <c r="AL1689" s="135" t="s">
        <v>6312</v>
      </c>
      <c r="AM1689" s="314"/>
      <c r="AN1689" s="26">
        <f t="shared" si="99"/>
        <v>0</v>
      </c>
      <c r="AO1689" s="26">
        <v>44546</v>
      </c>
      <c r="AP1689" s="26">
        <f t="shared" si="105"/>
        <v>44545</v>
      </c>
      <c r="AQ1689" s="26">
        <v>44545</v>
      </c>
      <c r="AR1689" s="24">
        <v>44560</v>
      </c>
      <c r="AS1689" s="24"/>
      <c r="AT1689" s="24">
        <f>AQ1689</f>
        <v>44545</v>
      </c>
      <c r="AU1689" s="418">
        <f t="shared" si="102"/>
        <v>12</v>
      </c>
      <c r="AV1689" s="418">
        <f t="shared" si="103"/>
        <v>2021</v>
      </c>
      <c r="AW1689" s="24"/>
      <c r="AX1689" s="24"/>
      <c r="AY1689" s="24" t="s">
        <v>181</v>
      </c>
      <c r="AZ1689" s="24" t="s">
        <v>62</v>
      </c>
      <c r="BA1689" s="24"/>
      <c r="BB1689" s="24" t="s">
        <v>3264</v>
      </c>
      <c r="BC1689" s="128">
        <v>7374</v>
      </c>
      <c r="BD1689" s="24">
        <v>44544</v>
      </c>
      <c r="BE1689" s="24" t="s">
        <v>6003</v>
      </c>
      <c r="BF1689" s="24" t="s">
        <v>6003</v>
      </c>
      <c r="BG1689" s="135" t="s">
        <v>6004</v>
      </c>
      <c r="BH1689" s="135"/>
      <c r="BI1689" s="314" t="s">
        <v>117</v>
      </c>
      <c r="BJ1689" s="314" t="s">
        <v>143</v>
      </c>
      <c r="BK1689" s="24"/>
      <c r="BL1689" s="24"/>
      <c r="BM1689" s="24"/>
      <c r="BN1689" s="24"/>
      <c r="BO1689" s="24"/>
      <c r="BP1689" s="24"/>
      <c r="BQ1689" s="24"/>
      <c r="BR1689" s="24"/>
      <c r="BS1689" s="24"/>
      <c r="BT1689" s="24"/>
      <c r="BU1689" s="24"/>
      <c r="BV1689" s="132" t="e">
        <f>IF(#REF!="COMPLETO","OK","PENDIENTE")</f>
        <v>#REF!</v>
      </c>
      <c r="BW1689" s="132"/>
      <c r="BX1689" s="132"/>
      <c r="BY1689" s="132"/>
      <c r="BZ1689" s="132"/>
      <c r="CA1689" s="132"/>
      <c r="CB1689" s="132"/>
      <c r="CC1689" s="269"/>
      <c r="CG1689" s="24" t="s">
        <v>105</v>
      </c>
      <c r="CH1689" s="24"/>
      <c r="CI1689" s="24"/>
      <c r="CJ1689" s="24"/>
    </row>
    <row r="1690" spans="1:88" ht="15" customHeight="1">
      <c r="A1690" s="18">
        <v>2021</v>
      </c>
      <c r="B1690" s="18" t="str">
        <f>+INDEX(BDD!F:F,MATCH(P1690,BDD!D:D,0))&amp;"-"&amp;INDEX(BDD!E:E,MATCH(P1690,BDD!D:D,0))</f>
        <v>S-C</v>
      </c>
      <c r="C1690" s="360" t="s">
        <v>484</v>
      </c>
      <c r="D1690" s="150" t="s">
        <v>77</v>
      </c>
      <c r="E1690" s="132"/>
      <c r="F1690" s="24"/>
      <c r="G1690" s="346">
        <v>8000001789</v>
      </c>
      <c r="H1690" s="18" t="s">
        <v>6481</v>
      </c>
      <c r="I1690" s="329"/>
      <c r="J1690" s="346">
        <v>8000001789</v>
      </c>
      <c r="K1690" s="24"/>
      <c r="L1690" s="24">
        <v>0</v>
      </c>
      <c r="M1690" s="24">
        <v>44553</v>
      </c>
      <c r="N1690" s="340" t="s">
        <v>486</v>
      </c>
      <c r="O1690" s="334">
        <v>207580</v>
      </c>
      <c r="P1690" s="25" t="s">
        <v>241</v>
      </c>
      <c r="Q1690" s="127" t="s">
        <v>6000</v>
      </c>
      <c r="R1690" s="232" t="s">
        <v>544</v>
      </c>
      <c r="S1690" s="89">
        <v>44454</v>
      </c>
      <c r="T1690" s="36">
        <v>60</v>
      </c>
      <c r="U1690" s="125" t="s">
        <v>131</v>
      </c>
      <c r="V1690" s="147" t="s">
        <v>6479</v>
      </c>
      <c r="W1690" s="129"/>
      <c r="X1690" s="88">
        <v>44592</v>
      </c>
      <c r="Y1690" s="130" t="s">
        <v>20</v>
      </c>
      <c r="Z1690" s="133" t="s">
        <v>72</v>
      </c>
      <c r="AA1690" s="133"/>
      <c r="AB1690" s="241">
        <f t="shared" si="104"/>
        <v>28</v>
      </c>
      <c r="AC1690" s="134">
        <v>795</v>
      </c>
      <c r="AD1690" s="134"/>
      <c r="AE1690" s="403">
        <f t="shared" si="101"/>
        <v>22260</v>
      </c>
      <c r="AF1690" s="132">
        <v>1</v>
      </c>
      <c r="AG1690" s="130" t="s">
        <v>33</v>
      </c>
      <c r="AH1690" s="130"/>
      <c r="AI1690" s="130" t="s">
        <v>34</v>
      </c>
      <c r="AJ1690" s="130"/>
      <c r="AK1690" s="130"/>
      <c r="AL1690" s="135" t="s">
        <v>6312</v>
      </c>
      <c r="AM1690" s="314"/>
      <c r="AN1690" s="26">
        <f t="shared" si="99"/>
        <v>0</v>
      </c>
      <c r="AO1690" s="26">
        <v>44546</v>
      </c>
      <c r="AP1690" s="26">
        <f>AQ1690</f>
        <v>44547</v>
      </c>
      <c r="AQ1690" s="26">
        <f>AO1690+1</f>
        <v>44547</v>
      </c>
      <c r="AR1690" s="24">
        <v>44560</v>
      </c>
      <c r="AS1690" s="24"/>
      <c r="AT1690" s="24">
        <v>44547</v>
      </c>
      <c r="AU1690" s="418">
        <f t="shared" si="102"/>
        <v>12</v>
      </c>
      <c r="AV1690" s="418">
        <f t="shared" si="103"/>
        <v>2021</v>
      </c>
      <c r="AW1690" s="24"/>
      <c r="AX1690" s="24"/>
      <c r="AY1690" s="24" t="s">
        <v>181</v>
      </c>
      <c r="AZ1690" s="24" t="s">
        <v>62</v>
      </c>
      <c r="BA1690" s="24"/>
      <c r="BB1690" s="24" t="s">
        <v>3264</v>
      </c>
      <c r="BC1690" s="128">
        <v>7375</v>
      </c>
      <c r="BD1690" s="24">
        <v>44545</v>
      </c>
      <c r="BE1690" s="24" t="s">
        <v>6003</v>
      </c>
      <c r="BF1690" s="24" t="s">
        <v>6003</v>
      </c>
      <c r="BG1690" s="135" t="s">
        <v>6004</v>
      </c>
      <c r="BH1690" s="135"/>
      <c r="BI1690" s="314" t="s">
        <v>117</v>
      </c>
      <c r="BJ1690" s="314" t="s">
        <v>143</v>
      </c>
      <c r="BK1690" s="24"/>
      <c r="BL1690" s="24"/>
      <c r="BM1690" s="24"/>
      <c r="BN1690" s="24"/>
      <c r="BO1690" s="24"/>
      <c r="BP1690" s="24"/>
      <c r="BQ1690" s="24"/>
      <c r="BR1690" s="24"/>
      <c r="BS1690" s="24"/>
      <c r="BT1690" s="24"/>
      <c r="BU1690" s="24"/>
      <c r="BV1690" s="132" t="e">
        <f>IF(#REF!="COMPLETO","OK","PENDIENTE")</f>
        <v>#REF!</v>
      </c>
      <c r="BW1690" s="132"/>
      <c r="BX1690" s="132"/>
      <c r="BY1690" s="132"/>
      <c r="BZ1690" s="132"/>
      <c r="CA1690" s="132"/>
      <c r="CB1690" s="132"/>
      <c r="CC1690" s="269"/>
      <c r="CG1690" s="24" t="s">
        <v>105</v>
      </c>
      <c r="CH1690" s="24"/>
      <c r="CI1690" s="24"/>
      <c r="CJ1690" s="24"/>
    </row>
    <row r="1691" spans="1:88" ht="15" customHeight="1">
      <c r="A1691" s="18">
        <v>2021</v>
      </c>
      <c r="B1691" s="18" t="str">
        <f>+INDEX(BDD!F:F,MATCH(P1691,BDD!D:D,0))&amp;"-"&amp;INDEX(BDD!E:E,MATCH(P1691,BDD!D:D,0))</f>
        <v>S-C</v>
      </c>
      <c r="C1691" s="360" t="s">
        <v>484</v>
      </c>
      <c r="D1691" s="150" t="s">
        <v>77</v>
      </c>
      <c r="E1691" s="132"/>
      <c r="F1691" s="24"/>
      <c r="G1691" s="346">
        <v>8000001790</v>
      </c>
      <c r="H1691" s="18" t="s">
        <v>6482</v>
      </c>
      <c r="I1691" s="329"/>
      <c r="J1691" s="346">
        <v>8000001790</v>
      </c>
      <c r="K1691" s="24"/>
      <c r="L1691" s="24">
        <v>0</v>
      </c>
      <c r="M1691" s="24">
        <v>44553</v>
      </c>
      <c r="N1691" s="340" t="s">
        <v>486</v>
      </c>
      <c r="O1691" s="334">
        <v>207580</v>
      </c>
      <c r="P1691" s="25" t="s">
        <v>241</v>
      </c>
      <c r="Q1691" s="127" t="s">
        <v>6000</v>
      </c>
      <c r="R1691" s="232" t="s">
        <v>544</v>
      </c>
      <c r="S1691" s="89">
        <v>44454</v>
      </c>
      <c r="T1691" s="36">
        <v>60</v>
      </c>
      <c r="U1691" s="125" t="s">
        <v>131</v>
      </c>
      <c r="V1691" s="147" t="s">
        <v>6483</v>
      </c>
      <c r="W1691" s="129"/>
      <c r="X1691" s="88">
        <v>44592</v>
      </c>
      <c r="Y1691" s="130" t="s">
        <v>20</v>
      </c>
      <c r="Z1691" s="133" t="s">
        <v>72</v>
      </c>
      <c r="AA1691" s="133"/>
      <c r="AB1691" s="241">
        <f t="shared" si="104"/>
        <v>112</v>
      </c>
      <c r="AC1691" s="134">
        <v>795</v>
      </c>
      <c r="AD1691" s="134"/>
      <c r="AE1691" s="403">
        <f t="shared" si="101"/>
        <v>89040</v>
      </c>
      <c r="AF1691" s="132">
        <v>4</v>
      </c>
      <c r="AG1691" s="130" t="s">
        <v>33</v>
      </c>
      <c r="AH1691" s="130"/>
      <c r="AI1691" s="130" t="s">
        <v>34</v>
      </c>
      <c r="AJ1691" s="130"/>
      <c r="AK1691" s="130"/>
      <c r="AL1691" s="135" t="s">
        <v>6312</v>
      </c>
      <c r="AM1691" s="314"/>
      <c r="AN1691" s="26">
        <f t="shared" si="99"/>
        <v>0</v>
      </c>
      <c r="AO1691" s="26">
        <v>44549</v>
      </c>
      <c r="AP1691" s="26">
        <f>AQ1691</f>
        <v>44550</v>
      </c>
      <c r="AQ1691" s="26">
        <v>44550</v>
      </c>
      <c r="AR1691" s="24">
        <v>44560</v>
      </c>
      <c r="AS1691" s="24"/>
      <c r="AT1691" s="24">
        <v>44550</v>
      </c>
      <c r="AU1691" s="418">
        <f t="shared" si="102"/>
        <v>12</v>
      </c>
      <c r="AV1691" s="418">
        <f t="shared" si="103"/>
        <v>2021</v>
      </c>
      <c r="AW1691" s="24"/>
      <c r="AX1691" s="24"/>
      <c r="AY1691" s="24" t="s">
        <v>181</v>
      </c>
      <c r="AZ1691" s="24" t="s">
        <v>62</v>
      </c>
      <c r="BA1691" s="24"/>
      <c r="BB1691" s="24" t="s">
        <v>3264</v>
      </c>
      <c r="BC1691" s="128">
        <v>7427</v>
      </c>
      <c r="BD1691" s="24">
        <v>44542</v>
      </c>
      <c r="BE1691" s="24" t="s">
        <v>6003</v>
      </c>
      <c r="BF1691" s="24" t="s">
        <v>6003</v>
      </c>
      <c r="BG1691" s="135" t="s">
        <v>6004</v>
      </c>
      <c r="BH1691" s="135"/>
      <c r="BI1691" s="314" t="s">
        <v>117</v>
      </c>
      <c r="BJ1691" s="314" t="s">
        <v>143</v>
      </c>
      <c r="BK1691" s="24"/>
      <c r="BL1691" s="24"/>
      <c r="BM1691" s="24"/>
      <c r="BN1691" s="24"/>
      <c r="BO1691" s="24"/>
      <c r="BP1691" s="24"/>
      <c r="BQ1691" s="24"/>
      <c r="BR1691" s="24"/>
      <c r="BS1691" s="24"/>
      <c r="BT1691" s="24"/>
      <c r="BU1691" s="24"/>
      <c r="BV1691" s="132" t="e">
        <f>IF(#REF!="COMPLETO","OK","PENDIENTE")</f>
        <v>#REF!</v>
      </c>
      <c r="BW1691" s="132"/>
      <c r="BX1691" s="132"/>
      <c r="BY1691" s="132"/>
      <c r="BZ1691" s="132"/>
      <c r="CA1691" s="132"/>
      <c r="CB1691" s="132"/>
      <c r="CC1691" s="269"/>
      <c r="CG1691" s="24" t="s">
        <v>105</v>
      </c>
      <c r="CH1691" s="24"/>
      <c r="CI1691" s="24"/>
      <c r="CJ1691" s="24"/>
    </row>
    <row r="1692" spans="1:88" ht="15" customHeight="1">
      <c r="A1692" s="18">
        <v>2021</v>
      </c>
      <c r="B1692" s="18" t="str">
        <f>+INDEX(BDD!F:F,MATCH(P1692,BDD!D:D,0))&amp;"-"&amp;INDEX(BDD!E:E,MATCH(P1692,BDD!D:D,0))</f>
        <v>S-C</v>
      </c>
      <c r="C1692" s="360" t="s">
        <v>484</v>
      </c>
      <c r="D1692" s="150" t="s">
        <v>77</v>
      </c>
      <c r="E1692" s="132"/>
      <c r="F1692" s="24"/>
      <c r="G1692" s="346">
        <v>8000001798</v>
      </c>
      <c r="H1692" s="18" t="s">
        <v>6484</v>
      </c>
      <c r="I1692" s="329"/>
      <c r="J1692" s="346">
        <v>8000001798</v>
      </c>
      <c r="K1692" s="24"/>
      <c r="L1692" s="24">
        <v>44575</v>
      </c>
      <c r="M1692" s="24">
        <v>44575</v>
      </c>
      <c r="N1692" s="340" t="s">
        <v>486</v>
      </c>
      <c r="O1692" s="334">
        <v>206623</v>
      </c>
      <c r="P1692" s="25" t="s">
        <v>241</v>
      </c>
      <c r="Q1692" s="127" t="s">
        <v>6000</v>
      </c>
      <c r="R1692" s="232" t="s">
        <v>544</v>
      </c>
      <c r="S1692" s="89">
        <v>44454</v>
      </c>
      <c r="T1692" s="36">
        <v>60</v>
      </c>
      <c r="U1692" s="125" t="s">
        <v>131</v>
      </c>
      <c r="V1692" s="147" t="s">
        <v>6485</v>
      </c>
      <c r="W1692" s="129"/>
      <c r="X1692" s="88">
        <v>44628</v>
      </c>
      <c r="Y1692" s="130" t="s">
        <v>20</v>
      </c>
      <c r="Z1692" s="133" t="s">
        <v>72</v>
      </c>
      <c r="AA1692" s="133"/>
      <c r="AB1692" s="241">
        <v>124.5</v>
      </c>
      <c r="AC1692" s="134">
        <v>795</v>
      </c>
      <c r="AD1692" s="134"/>
      <c r="AE1692" s="403">
        <f t="shared" si="101"/>
        <v>98977.5</v>
      </c>
      <c r="AF1692" s="132">
        <v>5</v>
      </c>
      <c r="AG1692" s="130" t="s">
        <v>33</v>
      </c>
      <c r="AH1692" s="130"/>
      <c r="AI1692" s="130" t="s">
        <v>6002</v>
      </c>
      <c r="AJ1692" s="130"/>
      <c r="AK1692" s="130"/>
      <c r="AL1692" s="135" t="s">
        <v>6312</v>
      </c>
      <c r="AM1692" s="314"/>
      <c r="AN1692" s="26">
        <f t="shared" si="99"/>
        <v>0</v>
      </c>
      <c r="AO1692" s="26">
        <v>44571</v>
      </c>
      <c r="AP1692" s="26">
        <v>44561</v>
      </c>
      <c r="AQ1692" s="26">
        <v>44574</v>
      </c>
      <c r="AR1692" s="24">
        <v>44587</v>
      </c>
      <c r="AS1692" s="24"/>
      <c r="AT1692" s="24">
        <f>AQ1692</f>
        <v>44574</v>
      </c>
      <c r="AU1692" s="418">
        <f t="shared" si="102"/>
        <v>1</v>
      </c>
      <c r="AV1692" s="418">
        <f t="shared" si="103"/>
        <v>2022</v>
      </c>
      <c r="AW1692" s="24"/>
      <c r="AX1692" s="24"/>
      <c r="AY1692" s="24" t="s">
        <v>181</v>
      </c>
      <c r="AZ1692" s="24" t="s">
        <v>62</v>
      </c>
      <c r="BA1692" s="24"/>
      <c r="BB1692" s="24" t="s">
        <v>3264</v>
      </c>
      <c r="BC1692" s="128">
        <v>7552</v>
      </c>
      <c r="BD1692" s="24">
        <v>44568</v>
      </c>
      <c r="BE1692" s="24" t="s">
        <v>6003</v>
      </c>
      <c r="BF1692" s="24" t="s">
        <v>6003</v>
      </c>
      <c r="BG1692" s="135" t="s">
        <v>6004</v>
      </c>
      <c r="BH1692" s="135"/>
      <c r="BI1692" s="314" t="s">
        <v>117</v>
      </c>
      <c r="BJ1692" s="314" t="s">
        <v>143</v>
      </c>
      <c r="BK1692" s="24"/>
      <c r="BL1692" s="24"/>
      <c r="BM1692" s="24"/>
      <c r="BN1692" s="24"/>
      <c r="BO1692" s="24"/>
      <c r="BP1692" s="24"/>
      <c r="BQ1692" s="24"/>
      <c r="BR1692" s="24"/>
      <c r="BS1692" s="24"/>
      <c r="BT1692" s="24"/>
      <c r="BU1692" s="24"/>
      <c r="BV1692" s="132" t="e">
        <f>IF(#REF!="COMPLETO","OK","PENDIENTE")</f>
        <v>#REF!</v>
      </c>
      <c r="BW1692" s="132"/>
      <c r="BX1692" s="132"/>
      <c r="BY1692" s="132"/>
      <c r="BZ1692" s="132"/>
      <c r="CA1692" s="132"/>
      <c r="CB1692" s="132"/>
      <c r="CC1692" s="269"/>
      <c r="CG1692" s="24" t="s">
        <v>105</v>
      </c>
      <c r="CH1692" s="24"/>
      <c r="CI1692" s="24"/>
      <c r="CJ1692" s="24"/>
    </row>
    <row r="1693" spans="1:88" ht="15" customHeight="1">
      <c r="A1693" s="18">
        <v>2021</v>
      </c>
      <c r="B1693" s="18" t="str">
        <f>+INDEX(BDD!F:F,MATCH(P1693,BDD!D:D,0))&amp;"-"&amp;INDEX(BDD!E:E,MATCH(P1693,BDD!D:D,0))</f>
        <v>S-C</v>
      </c>
      <c r="C1693" s="360" t="s">
        <v>484</v>
      </c>
      <c r="D1693" s="150" t="s">
        <v>77</v>
      </c>
      <c r="E1693" s="132"/>
      <c r="F1693" s="24"/>
      <c r="G1693" s="346">
        <v>8000001799</v>
      </c>
      <c r="H1693" s="18" t="s">
        <v>6486</v>
      </c>
      <c r="I1693" s="329"/>
      <c r="J1693" s="346">
        <v>8000001799</v>
      </c>
      <c r="K1693" s="24"/>
      <c r="L1693" s="24">
        <v>44578</v>
      </c>
      <c r="M1693" s="24">
        <v>44578</v>
      </c>
      <c r="N1693" s="340" t="s">
        <v>486</v>
      </c>
      <c r="O1693" s="334">
        <v>206623</v>
      </c>
      <c r="P1693" s="25" t="s">
        <v>241</v>
      </c>
      <c r="Q1693" s="127" t="s">
        <v>6000</v>
      </c>
      <c r="R1693" s="232" t="s">
        <v>544</v>
      </c>
      <c r="S1693" s="89">
        <v>44454</v>
      </c>
      <c r="T1693" s="36">
        <v>60</v>
      </c>
      <c r="U1693" s="125" t="s">
        <v>131</v>
      </c>
      <c r="V1693" s="147" t="s">
        <v>6487</v>
      </c>
      <c r="W1693" s="129"/>
      <c r="X1693" s="88">
        <v>44628</v>
      </c>
      <c r="Y1693" s="130" t="s">
        <v>20</v>
      </c>
      <c r="Z1693" s="133" t="s">
        <v>72</v>
      </c>
      <c r="AA1693" s="133"/>
      <c r="AB1693" s="241">
        <v>124.5</v>
      </c>
      <c r="AC1693" s="134">
        <v>795</v>
      </c>
      <c r="AD1693" s="134"/>
      <c r="AE1693" s="403">
        <f t="shared" si="101"/>
        <v>98977.5</v>
      </c>
      <c r="AF1693" s="132">
        <v>5</v>
      </c>
      <c r="AG1693" s="130" t="s">
        <v>33</v>
      </c>
      <c r="AH1693" s="130"/>
      <c r="AI1693" s="130" t="s">
        <v>6002</v>
      </c>
      <c r="AJ1693" s="130"/>
      <c r="AK1693" s="130"/>
      <c r="AL1693" s="135" t="s">
        <v>6312</v>
      </c>
      <c r="AM1693" s="314"/>
      <c r="AN1693" s="26">
        <f t="shared" si="99"/>
        <v>0</v>
      </c>
      <c r="AO1693" s="26">
        <v>44571</v>
      </c>
      <c r="AP1693" s="26">
        <v>44561</v>
      </c>
      <c r="AQ1693" s="26">
        <f>AO1693+5</f>
        <v>44576</v>
      </c>
      <c r="AR1693" s="24">
        <v>44587</v>
      </c>
      <c r="AS1693" s="24"/>
      <c r="AT1693" s="24">
        <v>44576</v>
      </c>
      <c r="AU1693" s="418">
        <f t="shared" si="102"/>
        <v>1</v>
      </c>
      <c r="AV1693" s="418">
        <f t="shared" si="103"/>
        <v>2022</v>
      </c>
      <c r="AW1693" s="24"/>
      <c r="AX1693" s="24"/>
      <c r="AY1693" s="24" t="s">
        <v>181</v>
      </c>
      <c r="AZ1693" s="24" t="s">
        <v>62</v>
      </c>
      <c r="BA1693" s="24"/>
      <c r="BB1693" s="24" t="s">
        <v>3264</v>
      </c>
      <c r="BC1693" s="128">
        <v>7554</v>
      </c>
      <c r="BD1693" s="24">
        <v>44568</v>
      </c>
      <c r="BE1693" s="24" t="s">
        <v>6003</v>
      </c>
      <c r="BF1693" s="24" t="s">
        <v>6003</v>
      </c>
      <c r="BG1693" s="135" t="s">
        <v>6004</v>
      </c>
      <c r="BH1693" s="135"/>
      <c r="BI1693" s="314" t="s">
        <v>117</v>
      </c>
      <c r="BJ1693" s="314" t="s">
        <v>143</v>
      </c>
      <c r="BK1693" s="24"/>
      <c r="BL1693" s="24"/>
      <c r="BM1693" s="24"/>
      <c r="BN1693" s="24"/>
      <c r="BO1693" s="24"/>
      <c r="BP1693" s="24"/>
      <c r="BQ1693" s="24"/>
      <c r="BR1693" s="24"/>
      <c r="BS1693" s="24"/>
      <c r="BT1693" s="24"/>
      <c r="BU1693" s="24"/>
      <c r="BV1693" s="132" t="e">
        <f>IF(#REF!="COMPLETO","OK","PENDIENTE")</f>
        <v>#REF!</v>
      </c>
      <c r="BW1693" s="132"/>
      <c r="BX1693" s="132"/>
      <c r="BY1693" s="132"/>
      <c r="BZ1693" s="132"/>
      <c r="CA1693" s="132"/>
      <c r="CB1693" s="132"/>
      <c r="CC1693" s="269"/>
      <c r="CG1693" s="24" t="s">
        <v>105</v>
      </c>
      <c r="CH1693" s="24"/>
      <c r="CI1693" s="24"/>
      <c r="CJ1693" s="24"/>
    </row>
    <row r="1694" spans="1:88" ht="15" customHeight="1">
      <c r="A1694" s="18">
        <v>2021</v>
      </c>
      <c r="B1694" s="18" t="str">
        <f>+INDEX(BDD!F:F,MATCH(P1694,BDD!D:D,0))&amp;"-"&amp;INDEX(BDD!E:E,MATCH(P1694,BDD!D:D,0))</f>
        <v>S-C</v>
      </c>
      <c r="C1694" s="360" t="s">
        <v>484</v>
      </c>
      <c r="D1694" s="150" t="s">
        <v>77</v>
      </c>
      <c r="E1694" s="132"/>
      <c r="F1694" s="24"/>
      <c r="G1694" s="346">
        <v>8000001800</v>
      </c>
      <c r="H1694" s="18" t="s">
        <v>6488</v>
      </c>
      <c r="I1694" s="329"/>
      <c r="J1694" s="346">
        <v>8000001800</v>
      </c>
      <c r="K1694" s="24"/>
      <c r="L1694" s="24">
        <v>44580</v>
      </c>
      <c r="M1694" s="24">
        <v>44580</v>
      </c>
      <c r="N1694" s="340" t="s">
        <v>486</v>
      </c>
      <c r="O1694" s="334">
        <v>206623</v>
      </c>
      <c r="P1694" s="25" t="s">
        <v>241</v>
      </c>
      <c r="Q1694" s="127" t="s">
        <v>6000</v>
      </c>
      <c r="R1694" s="232" t="s">
        <v>544</v>
      </c>
      <c r="S1694" s="89">
        <v>44454</v>
      </c>
      <c r="T1694" s="36">
        <v>60</v>
      </c>
      <c r="U1694" s="125" t="s">
        <v>131</v>
      </c>
      <c r="V1694" s="147" t="s">
        <v>6489</v>
      </c>
      <c r="W1694" s="129"/>
      <c r="X1694" s="88">
        <v>44635</v>
      </c>
      <c r="Y1694" s="130" t="s">
        <v>20</v>
      </c>
      <c r="Z1694" s="133" t="s">
        <v>72</v>
      </c>
      <c r="AA1694" s="133"/>
      <c r="AB1694" s="241">
        <v>124.5</v>
      </c>
      <c r="AC1694" s="134">
        <v>795</v>
      </c>
      <c r="AD1694" s="134"/>
      <c r="AE1694" s="403">
        <f t="shared" si="101"/>
        <v>98977.5</v>
      </c>
      <c r="AF1694" s="132">
        <v>5</v>
      </c>
      <c r="AG1694" s="130" t="s">
        <v>33</v>
      </c>
      <c r="AH1694" s="130"/>
      <c r="AI1694" s="130" t="s">
        <v>6002</v>
      </c>
      <c r="AJ1694" s="130"/>
      <c r="AK1694" s="130"/>
      <c r="AL1694" s="135" t="s">
        <v>6312</v>
      </c>
      <c r="AM1694" s="314"/>
      <c r="AN1694" s="26">
        <f t="shared" si="99"/>
        <v>0</v>
      </c>
      <c r="AO1694" s="26">
        <f>AO1693+7</f>
        <v>44578</v>
      </c>
      <c r="AP1694" s="26">
        <f t="shared" ref="AP1694:AP1704" si="106">AQ1694</f>
        <v>44580</v>
      </c>
      <c r="AQ1694" s="26">
        <v>44580</v>
      </c>
      <c r="AR1694" s="24">
        <v>44595</v>
      </c>
      <c r="AS1694" s="24"/>
      <c r="AT1694" s="24">
        <v>44580</v>
      </c>
      <c r="AU1694" s="418">
        <f t="shared" si="102"/>
        <v>1</v>
      </c>
      <c r="AV1694" s="418">
        <f t="shared" si="103"/>
        <v>2022</v>
      </c>
      <c r="AW1694" s="24"/>
      <c r="AX1694" s="24"/>
      <c r="AY1694" s="24" t="s">
        <v>181</v>
      </c>
      <c r="AZ1694" s="24" t="s">
        <v>62</v>
      </c>
      <c r="BA1694" s="24"/>
      <c r="BB1694" s="24" t="s">
        <v>3264</v>
      </c>
      <c r="BC1694" s="128">
        <v>7592</v>
      </c>
      <c r="BD1694" s="24">
        <v>44575</v>
      </c>
      <c r="BE1694" s="24" t="s">
        <v>6003</v>
      </c>
      <c r="BF1694" s="24" t="s">
        <v>6003</v>
      </c>
      <c r="BG1694" s="135" t="s">
        <v>6004</v>
      </c>
      <c r="BH1694" s="135"/>
      <c r="BI1694" s="314" t="s">
        <v>117</v>
      </c>
      <c r="BJ1694" s="314" t="s">
        <v>143</v>
      </c>
      <c r="BK1694" s="24"/>
      <c r="BL1694" s="24"/>
      <c r="BM1694" s="24"/>
      <c r="BN1694" s="24"/>
      <c r="BO1694" s="24"/>
      <c r="BP1694" s="24"/>
      <c r="BQ1694" s="24"/>
      <c r="BR1694" s="24"/>
      <c r="BS1694" s="24"/>
      <c r="BT1694" s="24"/>
      <c r="BU1694" s="24"/>
      <c r="BV1694" s="132" t="e">
        <f>IF(#REF!="COMPLETO","OK","PENDIENTE")</f>
        <v>#REF!</v>
      </c>
      <c r="BW1694" s="132"/>
      <c r="BX1694" s="132"/>
      <c r="BY1694" s="132"/>
      <c r="BZ1694" s="132"/>
      <c r="CA1694" s="132"/>
      <c r="CB1694" s="132"/>
      <c r="CC1694" s="269"/>
      <c r="CG1694" s="24" t="s">
        <v>105</v>
      </c>
      <c r="CH1694" s="24"/>
      <c r="CI1694" s="24"/>
      <c r="CJ1694" s="24"/>
    </row>
    <row r="1695" spans="1:88" ht="15" customHeight="1">
      <c r="A1695" s="18">
        <v>2021</v>
      </c>
      <c r="B1695" s="18" t="s">
        <v>6490</v>
      </c>
      <c r="C1695" s="360" t="s">
        <v>484</v>
      </c>
      <c r="D1695" s="150" t="s">
        <v>77</v>
      </c>
      <c r="E1695" s="132"/>
      <c r="F1695" s="24"/>
      <c r="G1695" s="346">
        <v>8000001821</v>
      </c>
      <c r="H1695" s="18" t="s">
        <v>6491</v>
      </c>
      <c r="I1695" s="329"/>
      <c r="J1695" s="346">
        <v>8000001821</v>
      </c>
      <c r="K1695" s="24"/>
      <c r="L1695" s="24">
        <v>44585</v>
      </c>
      <c r="M1695" s="24">
        <v>44585</v>
      </c>
      <c r="N1695" s="340" t="s">
        <v>486</v>
      </c>
      <c r="O1695" s="334">
        <v>206623</v>
      </c>
      <c r="P1695" s="25" t="s">
        <v>241</v>
      </c>
      <c r="Q1695" s="127" t="s">
        <v>6000</v>
      </c>
      <c r="R1695" s="232" t="s">
        <v>544</v>
      </c>
      <c r="S1695" s="89">
        <v>44454</v>
      </c>
      <c r="T1695" s="36">
        <v>60</v>
      </c>
      <c r="U1695" s="125" t="s">
        <v>131</v>
      </c>
      <c r="V1695" s="147" t="s">
        <v>6492</v>
      </c>
      <c r="W1695" s="129"/>
      <c r="X1695" s="88">
        <v>44635</v>
      </c>
      <c r="Y1695" s="130" t="s">
        <v>20</v>
      </c>
      <c r="Z1695" s="133" t="s">
        <v>72</v>
      </c>
      <c r="AA1695" s="133"/>
      <c r="AB1695" s="241">
        <v>124.5</v>
      </c>
      <c r="AC1695" s="134">
        <v>795</v>
      </c>
      <c r="AD1695" s="134"/>
      <c r="AE1695" s="403">
        <f t="shared" si="101"/>
        <v>98977.5</v>
      </c>
      <c r="AF1695" s="132">
        <v>5</v>
      </c>
      <c r="AG1695" s="130" t="s">
        <v>33</v>
      </c>
      <c r="AH1695" s="130"/>
      <c r="AI1695" s="130" t="s">
        <v>6002</v>
      </c>
      <c r="AJ1695" s="130"/>
      <c r="AK1695" s="130"/>
      <c r="AL1695" s="135" t="s">
        <v>6312</v>
      </c>
      <c r="AM1695" s="314"/>
      <c r="AN1695" s="26">
        <f t="shared" si="99"/>
        <v>0</v>
      </c>
      <c r="AO1695" s="26">
        <f>AO1694+7</f>
        <v>44585</v>
      </c>
      <c r="AP1695" s="26">
        <f t="shared" si="106"/>
        <v>44583</v>
      </c>
      <c r="AQ1695" s="26">
        <v>44583</v>
      </c>
      <c r="AR1695" s="24">
        <v>44595</v>
      </c>
      <c r="AS1695" s="24"/>
      <c r="AT1695" s="24">
        <v>44583</v>
      </c>
      <c r="AU1695" s="418">
        <f t="shared" si="102"/>
        <v>1</v>
      </c>
      <c r="AV1695" s="418">
        <f t="shared" si="103"/>
        <v>2022</v>
      </c>
      <c r="AW1695" s="24"/>
      <c r="AX1695" s="24"/>
      <c r="AY1695" s="24" t="s">
        <v>181</v>
      </c>
      <c r="AZ1695" s="24" t="s">
        <v>62</v>
      </c>
      <c r="BA1695" s="24"/>
      <c r="BB1695" s="24" t="s">
        <v>3264</v>
      </c>
      <c r="BC1695" s="128">
        <v>7607</v>
      </c>
      <c r="BD1695" s="24">
        <v>44575</v>
      </c>
      <c r="BE1695" s="24" t="s">
        <v>6003</v>
      </c>
      <c r="BF1695" s="24" t="s">
        <v>6003</v>
      </c>
      <c r="BG1695" s="135" t="s">
        <v>6004</v>
      </c>
      <c r="BH1695" s="135"/>
      <c r="BI1695" s="314" t="s">
        <v>117</v>
      </c>
      <c r="BJ1695" s="314" t="s">
        <v>143</v>
      </c>
      <c r="BK1695" s="24"/>
      <c r="BL1695" s="24"/>
      <c r="BM1695" s="24"/>
      <c r="BN1695" s="24"/>
      <c r="BO1695" s="24"/>
      <c r="BP1695" s="24"/>
      <c r="BQ1695" s="24"/>
      <c r="BR1695" s="24"/>
      <c r="BS1695" s="24"/>
      <c r="BT1695" s="24"/>
      <c r="BU1695" s="24"/>
      <c r="BV1695" s="132" t="e">
        <f>IF(#REF!="COMPLETO","OK","PENDIENTE")</f>
        <v>#REF!</v>
      </c>
      <c r="BW1695" s="132"/>
      <c r="BX1695" s="132"/>
      <c r="BY1695" s="132"/>
      <c r="BZ1695" s="132"/>
      <c r="CA1695" s="132"/>
      <c r="CB1695" s="132"/>
      <c r="CC1695" s="269"/>
      <c r="CG1695" s="24" t="s">
        <v>105</v>
      </c>
      <c r="CH1695" s="24"/>
      <c r="CI1695" s="24"/>
      <c r="CJ1695" s="24"/>
    </row>
    <row r="1696" spans="1:88" ht="15" customHeight="1">
      <c r="A1696" s="18">
        <v>2021</v>
      </c>
      <c r="B1696" s="18" t="s">
        <v>6490</v>
      </c>
      <c r="C1696" s="360" t="s">
        <v>484</v>
      </c>
      <c r="D1696" s="150" t="s">
        <v>77</v>
      </c>
      <c r="E1696" s="132"/>
      <c r="F1696" s="24"/>
      <c r="G1696" s="346">
        <v>8000001830</v>
      </c>
      <c r="H1696" s="18" t="s">
        <v>6493</v>
      </c>
      <c r="I1696" s="329"/>
      <c r="J1696" s="346">
        <v>8000001830</v>
      </c>
      <c r="K1696" s="24"/>
      <c r="L1696" s="24">
        <v>44593</v>
      </c>
      <c r="M1696" s="24">
        <v>44593</v>
      </c>
      <c r="N1696" s="340" t="s">
        <v>486</v>
      </c>
      <c r="O1696" s="334">
        <v>207580</v>
      </c>
      <c r="P1696" s="25" t="s">
        <v>241</v>
      </c>
      <c r="Q1696" s="127" t="s">
        <v>6000</v>
      </c>
      <c r="R1696" s="232" t="s">
        <v>544</v>
      </c>
      <c r="S1696" s="89">
        <v>44454</v>
      </c>
      <c r="T1696" s="36">
        <v>60</v>
      </c>
      <c r="U1696" s="125" t="s">
        <v>131</v>
      </c>
      <c r="V1696" s="147" t="s">
        <v>6494</v>
      </c>
      <c r="W1696" s="129"/>
      <c r="X1696" s="88">
        <v>44640</v>
      </c>
      <c r="Y1696" s="130" t="s">
        <v>20</v>
      </c>
      <c r="Z1696" s="133" t="s">
        <v>72</v>
      </c>
      <c r="AA1696" s="133"/>
      <c r="AB1696" s="241">
        <v>140</v>
      </c>
      <c r="AC1696" s="134">
        <v>795</v>
      </c>
      <c r="AD1696" s="134"/>
      <c r="AE1696" s="403">
        <f t="shared" si="101"/>
        <v>111300</v>
      </c>
      <c r="AF1696" s="132">
        <v>5</v>
      </c>
      <c r="AG1696" s="130" t="s">
        <v>33</v>
      </c>
      <c r="AH1696" s="130"/>
      <c r="AI1696" s="130" t="s">
        <v>34</v>
      </c>
      <c r="AJ1696" s="130"/>
      <c r="AK1696" s="130"/>
      <c r="AL1696" s="135" t="s">
        <v>6312</v>
      </c>
      <c r="AM1696" s="314"/>
      <c r="AN1696" s="26">
        <f t="shared" si="99"/>
        <v>0</v>
      </c>
      <c r="AO1696" s="26">
        <v>44585</v>
      </c>
      <c r="AP1696" s="26">
        <f t="shared" si="106"/>
        <v>44589</v>
      </c>
      <c r="AQ1696" s="26">
        <f>AO1696+4</f>
        <v>44589</v>
      </c>
      <c r="AR1696" s="24">
        <v>44608</v>
      </c>
      <c r="AS1696" s="24"/>
      <c r="AT1696" s="24">
        <v>44589</v>
      </c>
      <c r="AU1696" s="418">
        <f t="shared" si="102"/>
        <v>1</v>
      </c>
      <c r="AV1696" s="418">
        <f t="shared" si="103"/>
        <v>2022</v>
      </c>
      <c r="AW1696" s="24"/>
      <c r="AX1696" s="24"/>
      <c r="AY1696" s="24" t="s">
        <v>181</v>
      </c>
      <c r="AZ1696" s="24" t="s">
        <v>62</v>
      </c>
      <c r="BA1696" s="24"/>
      <c r="BB1696" s="24" t="s">
        <v>3264</v>
      </c>
      <c r="BC1696" s="128">
        <v>7616</v>
      </c>
      <c r="BD1696" s="24">
        <v>44578</v>
      </c>
      <c r="BE1696" s="24" t="s">
        <v>6003</v>
      </c>
      <c r="BF1696" s="24" t="s">
        <v>6003</v>
      </c>
      <c r="BG1696" s="135" t="s">
        <v>6004</v>
      </c>
      <c r="BH1696" s="135"/>
      <c r="BI1696" s="314" t="s">
        <v>117</v>
      </c>
      <c r="BJ1696" s="314" t="s">
        <v>143</v>
      </c>
      <c r="BK1696" s="24"/>
      <c r="BL1696" s="24"/>
      <c r="BM1696" s="24"/>
      <c r="BN1696" s="24"/>
      <c r="BO1696" s="24"/>
      <c r="BP1696" s="24"/>
      <c r="BQ1696" s="24"/>
      <c r="BR1696" s="24"/>
      <c r="BS1696" s="24"/>
      <c r="BT1696" s="24"/>
      <c r="BU1696" s="24"/>
      <c r="BV1696" s="132" t="e">
        <f>IF(#REF!="COMPLETO","OK","PENDIENTE")</f>
        <v>#REF!</v>
      </c>
      <c r="BW1696" s="132"/>
      <c r="BX1696" s="132"/>
      <c r="BY1696" s="132"/>
      <c r="BZ1696" s="132"/>
      <c r="CA1696" s="132"/>
      <c r="CB1696" s="132"/>
      <c r="CC1696" s="269"/>
      <c r="CG1696" s="24" t="s">
        <v>105</v>
      </c>
      <c r="CH1696" s="24"/>
      <c r="CI1696" s="24"/>
      <c r="CJ1696" s="24"/>
    </row>
    <row r="1697" spans="1:88" ht="15" customHeight="1">
      <c r="A1697" s="18">
        <v>2021</v>
      </c>
      <c r="B1697" s="18" t="s">
        <v>6490</v>
      </c>
      <c r="C1697" s="360" t="s">
        <v>484</v>
      </c>
      <c r="D1697" s="150" t="s">
        <v>77</v>
      </c>
      <c r="E1697" s="132"/>
      <c r="F1697" s="24"/>
      <c r="G1697" s="346">
        <v>8000001831</v>
      </c>
      <c r="H1697" s="18" t="s">
        <v>6495</v>
      </c>
      <c r="I1697" s="329"/>
      <c r="J1697" s="346">
        <v>8000001831</v>
      </c>
      <c r="K1697" s="24"/>
      <c r="L1697" s="24">
        <v>44593</v>
      </c>
      <c r="M1697" s="24">
        <v>44593</v>
      </c>
      <c r="N1697" s="340" t="s">
        <v>486</v>
      </c>
      <c r="O1697" s="334">
        <v>207580</v>
      </c>
      <c r="P1697" s="25" t="s">
        <v>241</v>
      </c>
      <c r="Q1697" s="127" t="s">
        <v>6000</v>
      </c>
      <c r="R1697" s="232" t="s">
        <v>544</v>
      </c>
      <c r="S1697" s="89">
        <v>44454</v>
      </c>
      <c r="T1697" s="36">
        <v>60</v>
      </c>
      <c r="U1697" s="125" t="s">
        <v>131</v>
      </c>
      <c r="V1697" s="147" t="s">
        <v>6496</v>
      </c>
      <c r="W1697" s="129"/>
      <c r="X1697" s="88">
        <v>44640</v>
      </c>
      <c r="Y1697" s="130" t="s">
        <v>20</v>
      </c>
      <c r="Z1697" s="133" t="s">
        <v>72</v>
      </c>
      <c r="AA1697" s="133"/>
      <c r="AB1697" s="241">
        <v>140</v>
      </c>
      <c r="AC1697" s="134">
        <v>795</v>
      </c>
      <c r="AD1697" s="134"/>
      <c r="AE1697" s="403">
        <f t="shared" si="101"/>
        <v>111300</v>
      </c>
      <c r="AF1697" s="132">
        <v>5</v>
      </c>
      <c r="AG1697" s="130" t="s">
        <v>33</v>
      </c>
      <c r="AH1697" s="130"/>
      <c r="AI1697" s="130" t="s">
        <v>34</v>
      </c>
      <c r="AJ1697" s="130"/>
      <c r="AK1697" s="130"/>
      <c r="AL1697" s="135" t="s">
        <v>6312</v>
      </c>
      <c r="AM1697" s="314"/>
      <c r="AN1697" s="26">
        <f t="shared" si="99"/>
        <v>0</v>
      </c>
      <c r="AO1697" s="26">
        <v>44585</v>
      </c>
      <c r="AP1697" s="26">
        <f t="shared" si="106"/>
        <v>44590</v>
      </c>
      <c r="AQ1697" s="26">
        <v>44590</v>
      </c>
      <c r="AR1697" s="24">
        <v>44608</v>
      </c>
      <c r="AS1697" s="24"/>
      <c r="AT1697" s="24">
        <v>44590</v>
      </c>
      <c r="AU1697" s="418">
        <f t="shared" si="102"/>
        <v>1</v>
      </c>
      <c r="AV1697" s="418">
        <f t="shared" si="103"/>
        <v>2022</v>
      </c>
      <c r="AW1697" s="24"/>
      <c r="AX1697" s="24"/>
      <c r="AY1697" s="24" t="s">
        <v>181</v>
      </c>
      <c r="AZ1697" s="24" t="s">
        <v>62</v>
      </c>
      <c r="BA1697" s="24"/>
      <c r="BB1697" s="24" t="s">
        <v>3264</v>
      </c>
      <c r="BC1697" s="128">
        <v>7627</v>
      </c>
      <c r="BD1697" s="24">
        <v>44580</v>
      </c>
      <c r="BE1697" s="24" t="s">
        <v>6003</v>
      </c>
      <c r="BF1697" s="24" t="s">
        <v>6003</v>
      </c>
      <c r="BG1697" s="135" t="s">
        <v>6004</v>
      </c>
      <c r="BH1697" s="135"/>
      <c r="BI1697" s="314" t="s">
        <v>117</v>
      </c>
      <c r="BJ1697" s="314" t="s">
        <v>143</v>
      </c>
      <c r="BK1697" s="24"/>
      <c r="BL1697" s="24"/>
      <c r="BM1697" s="24"/>
      <c r="BN1697" s="24"/>
      <c r="BO1697" s="24"/>
      <c r="BP1697" s="24"/>
      <c r="BQ1697" s="24"/>
      <c r="BR1697" s="24"/>
      <c r="BS1697" s="24"/>
      <c r="BT1697" s="24"/>
      <c r="BU1697" s="24"/>
      <c r="BV1697" s="132" t="e">
        <f>IF(#REF!="COMPLETO","OK","PENDIENTE")</f>
        <v>#REF!</v>
      </c>
      <c r="BW1697" s="132"/>
      <c r="BX1697" s="132"/>
      <c r="BY1697" s="132"/>
      <c r="BZ1697" s="132"/>
      <c r="CA1697" s="132"/>
      <c r="CB1697" s="132"/>
      <c r="CC1697" s="269"/>
      <c r="CG1697" s="24" t="s">
        <v>105</v>
      </c>
      <c r="CH1697" s="24"/>
      <c r="CI1697" s="24"/>
      <c r="CJ1697" s="24"/>
    </row>
    <row r="1698" spans="1:88" ht="15" customHeight="1">
      <c r="A1698" s="18">
        <v>2021</v>
      </c>
      <c r="B1698" s="18" t="s">
        <v>6490</v>
      </c>
      <c r="C1698" s="360" t="s">
        <v>484</v>
      </c>
      <c r="D1698" s="150" t="s">
        <v>77</v>
      </c>
      <c r="E1698" s="132"/>
      <c r="F1698" s="24"/>
      <c r="G1698" s="346">
        <v>8000001834</v>
      </c>
      <c r="H1698" s="18" t="s">
        <v>6497</v>
      </c>
      <c r="I1698" s="329"/>
      <c r="J1698" s="346">
        <v>8000001834</v>
      </c>
      <c r="K1698" s="24"/>
      <c r="L1698" s="24">
        <v>44608</v>
      </c>
      <c r="M1698" s="24">
        <v>44608</v>
      </c>
      <c r="N1698" s="340" t="s">
        <v>486</v>
      </c>
      <c r="O1698" s="334">
        <v>207580</v>
      </c>
      <c r="P1698" s="25" t="s">
        <v>241</v>
      </c>
      <c r="Q1698" s="127" t="s">
        <v>6000</v>
      </c>
      <c r="R1698" s="232" t="s">
        <v>544</v>
      </c>
      <c r="S1698" s="89">
        <v>44454</v>
      </c>
      <c r="T1698" s="36">
        <v>60</v>
      </c>
      <c r="U1698" s="125" t="s">
        <v>131</v>
      </c>
      <c r="V1698" s="147" t="s">
        <v>6498</v>
      </c>
      <c r="W1698" s="129"/>
      <c r="X1698" s="88">
        <v>44640</v>
      </c>
      <c r="Y1698" s="130" t="s">
        <v>20</v>
      </c>
      <c r="Z1698" s="133" t="s">
        <v>72</v>
      </c>
      <c r="AA1698" s="133"/>
      <c r="AB1698" s="241">
        <v>140</v>
      </c>
      <c r="AC1698" s="134">
        <v>795</v>
      </c>
      <c r="AD1698" s="134"/>
      <c r="AE1698" s="403">
        <f t="shared" si="101"/>
        <v>111300</v>
      </c>
      <c r="AF1698" s="132">
        <v>5</v>
      </c>
      <c r="AG1698" s="130" t="s">
        <v>33</v>
      </c>
      <c r="AH1698" s="130"/>
      <c r="AI1698" s="130" t="s">
        <v>34</v>
      </c>
      <c r="AJ1698" s="130"/>
      <c r="AK1698" s="130"/>
      <c r="AL1698" s="135" t="s">
        <v>6312</v>
      </c>
      <c r="AM1698" s="314"/>
      <c r="AN1698" s="26">
        <f t="shared" si="99"/>
        <v>0</v>
      </c>
      <c r="AO1698" s="26">
        <v>44596</v>
      </c>
      <c r="AP1698" s="26">
        <f t="shared" si="106"/>
        <v>44597</v>
      </c>
      <c r="AQ1698" s="26">
        <f>AO1698+1</f>
        <v>44597</v>
      </c>
      <c r="AR1698" s="24">
        <v>44613</v>
      </c>
      <c r="AS1698" s="24"/>
      <c r="AT1698" s="24">
        <v>44597</v>
      </c>
      <c r="AU1698" s="418">
        <f t="shared" si="102"/>
        <v>2</v>
      </c>
      <c r="AV1698" s="418">
        <f t="shared" si="103"/>
        <v>2022</v>
      </c>
      <c r="AW1698" s="24"/>
      <c r="AX1698" s="24"/>
      <c r="AY1698" s="24" t="s">
        <v>181</v>
      </c>
      <c r="AZ1698" s="24" t="s">
        <v>62</v>
      </c>
      <c r="BA1698" s="24"/>
      <c r="BB1698" s="24" t="s">
        <v>3264</v>
      </c>
      <c r="BC1698" s="128">
        <v>7629</v>
      </c>
      <c r="BD1698" s="24">
        <v>44580</v>
      </c>
      <c r="BE1698" s="24" t="s">
        <v>6003</v>
      </c>
      <c r="BF1698" s="24" t="s">
        <v>6003</v>
      </c>
      <c r="BG1698" s="135" t="s">
        <v>6004</v>
      </c>
      <c r="BH1698" s="135"/>
      <c r="BI1698" s="314" t="s">
        <v>117</v>
      </c>
      <c r="BJ1698" s="314" t="s">
        <v>143</v>
      </c>
      <c r="BK1698" s="24"/>
      <c r="BL1698" s="24"/>
      <c r="BM1698" s="24"/>
      <c r="BN1698" s="24"/>
      <c r="BO1698" s="24"/>
      <c r="BP1698" s="24"/>
      <c r="BQ1698" s="24" t="s">
        <v>6499</v>
      </c>
      <c r="BR1698" s="24">
        <v>44595</v>
      </c>
      <c r="BS1698" s="24" t="s">
        <v>38</v>
      </c>
      <c r="BT1698" s="24" t="s">
        <v>11</v>
      </c>
      <c r="BU1698" s="24"/>
      <c r="BV1698" s="132" t="e">
        <f>IF(#REF!="COMPLETO","OK","PENDIENTE")</f>
        <v>#REF!</v>
      </c>
      <c r="BW1698" s="132"/>
      <c r="BX1698" s="132"/>
      <c r="BY1698" s="132"/>
      <c r="BZ1698" s="132"/>
      <c r="CA1698" s="132"/>
      <c r="CB1698" s="132"/>
      <c r="CC1698" s="269"/>
      <c r="CG1698" s="24" t="s">
        <v>105</v>
      </c>
      <c r="CH1698" s="24"/>
      <c r="CI1698" s="24"/>
      <c r="CJ1698" s="24"/>
    </row>
    <row r="1699" spans="1:88" ht="15" customHeight="1">
      <c r="A1699" s="18">
        <v>2021</v>
      </c>
      <c r="B1699" s="18" t="str">
        <f>+INDEX(BDD!F:F,MATCH(P1699,BDD!D:D,0))&amp;"-"&amp;INDEX(BDD!E:E,MATCH(P1699,BDD!D:D,0))</f>
        <v>S-C</v>
      </c>
      <c r="C1699" s="360" t="s">
        <v>484</v>
      </c>
      <c r="D1699" s="150" t="s">
        <v>77</v>
      </c>
      <c r="E1699" s="132"/>
      <c r="F1699" s="24"/>
      <c r="G1699" s="346">
        <v>8000001801</v>
      </c>
      <c r="H1699" s="18" t="s">
        <v>6500</v>
      </c>
      <c r="I1699" s="329"/>
      <c r="J1699" s="346">
        <v>8000001801</v>
      </c>
      <c r="K1699" s="24"/>
      <c r="L1699" s="24">
        <v>44601</v>
      </c>
      <c r="M1699" s="24">
        <v>44601</v>
      </c>
      <c r="N1699" s="340" t="s">
        <v>486</v>
      </c>
      <c r="O1699" s="334">
        <v>207580</v>
      </c>
      <c r="P1699" s="25" t="s">
        <v>241</v>
      </c>
      <c r="Q1699" s="127" t="s">
        <v>6000</v>
      </c>
      <c r="R1699" s="232" t="s">
        <v>544</v>
      </c>
      <c r="S1699" s="89">
        <v>44454</v>
      </c>
      <c r="T1699" s="36">
        <v>60</v>
      </c>
      <c r="U1699" s="125" t="s">
        <v>131</v>
      </c>
      <c r="V1699" s="147" t="s">
        <v>6501</v>
      </c>
      <c r="W1699" s="129"/>
      <c r="X1699" s="88">
        <v>44640</v>
      </c>
      <c r="Y1699" s="130" t="s">
        <v>20</v>
      </c>
      <c r="Z1699" s="133" t="s">
        <v>72</v>
      </c>
      <c r="AA1699" s="133"/>
      <c r="AB1699" s="241">
        <v>140</v>
      </c>
      <c r="AC1699" s="134">
        <v>795</v>
      </c>
      <c r="AD1699" s="134"/>
      <c r="AE1699" s="403">
        <f t="shared" si="101"/>
        <v>111300</v>
      </c>
      <c r="AF1699" s="132">
        <v>5</v>
      </c>
      <c r="AG1699" s="130" t="s">
        <v>33</v>
      </c>
      <c r="AH1699" s="130"/>
      <c r="AI1699" s="130" t="s">
        <v>34</v>
      </c>
      <c r="AJ1699" s="130"/>
      <c r="AK1699" s="130"/>
      <c r="AL1699" s="135" t="s">
        <v>6312</v>
      </c>
      <c r="AM1699" s="314"/>
      <c r="AN1699" s="26">
        <f t="shared" si="99"/>
        <v>0</v>
      </c>
      <c r="AO1699" s="26">
        <v>44598</v>
      </c>
      <c r="AP1699" s="26">
        <f t="shared" si="106"/>
        <v>44599</v>
      </c>
      <c r="AQ1699" s="26">
        <f>AO1699+1</f>
        <v>44599</v>
      </c>
      <c r="AR1699" s="24">
        <v>44613</v>
      </c>
      <c r="AS1699" s="24"/>
      <c r="AT1699" s="24">
        <v>44599</v>
      </c>
      <c r="AU1699" s="418">
        <f t="shared" si="102"/>
        <v>2</v>
      </c>
      <c r="AV1699" s="418">
        <f t="shared" si="103"/>
        <v>2022</v>
      </c>
      <c r="AW1699" s="24"/>
      <c r="AX1699" s="24"/>
      <c r="AY1699" s="24" t="s">
        <v>181</v>
      </c>
      <c r="AZ1699" s="24" t="s">
        <v>62</v>
      </c>
      <c r="BA1699" s="24"/>
      <c r="BB1699" s="24" t="s">
        <v>3264</v>
      </c>
      <c r="BC1699" s="128">
        <v>7631</v>
      </c>
      <c r="BD1699" s="24">
        <v>44580</v>
      </c>
      <c r="BE1699" s="24" t="s">
        <v>6003</v>
      </c>
      <c r="BF1699" s="24" t="s">
        <v>6003</v>
      </c>
      <c r="BG1699" s="135" t="s">
        <v>6004</v>
      </c>
      <c r="BH1699" s="135"/>
      <c r="BI1699" s="314" t="s">
        <v>117</v>
      </c>
      <c r="BJ1699" s="314" t="s">
        <v>143</v>
      </c>
      <c r="BK1699" s="24"/>
      <c r="BL1699" s="24"/>
      <c r="BM1699" s="24"/>
      <c r="BN1699" s="24"/>
      <c r="BO1699" s="24"/>
      <c r="BP1699" s="24"/>
      <c r="BQ1699" s="24" t="s">
        <v>6502</v>
      </c>
      <c r="BR1699" s="24">
        <v>44596</v>
      </c>
      <c r="BS1699" s="24" t="s">
        <v>38</v>
      </c>
      <c r="BT1699" s="24" t="s">
        <v>11</v>
      </c>
      <c r="BU1699" s="24"/>
      <c r="BV1699" s="132" t="e">
        <f>IF(#REF!="COMPLETO","OK","PENDIENTE")</f>
        <v>#REF!</v>
      </c>
      <c r="BW1699" s="132"/>
      <c r="BX1699" s="132"/>
      <c r="BY1699" s="132"/>
      <c r="BZ1699" s="132"/>
      <c r="CA1699" s="132"/>
      <c r="CB1699" s="132"/>
      <c r="CC1699" s="269"/>
      <c r="CG1699" s="24" t="s">
        <v>105</v>
      </c>
      <c r="CH1699" s="24"/>
      <c r="CI1699" s="24"/>
      <c r="CJ1699" s="24"/>
    </row>
    <row r="1700" spans="1:88" ht="14.45" customHeight="1">
      <c r="A1700" s="18">
        <v>2021</v>
      </c>
      <c r="B1700" s="18" t="str">
        <f>+INDEX(BDD!F:F,MATCH(P1700,BDD!D:D,0))&amp;"-"&amp;INDEX(BDD!E:E,MATCH(P1700,BDD!D:D,0))</f>
        <v>T-S</v>
      </c>
      <c r="C1700" s="360" t="s">
        <v>484</v>
      </c>
      <c r="D1700" s="150" t="s">
        <v>77</v>
      </c>
      <c r="E1700" s="132"/>
      <c r="F1700" s="24"/>
      <c r="G1700" s="346">
        <v>8000001599</v>
      </c>
      <c r="H1700" s="18" t="s">
        <v>6503</v>
      </c>
      <c r="I1700" s="329"/>
      <c r="J1700" s="346">
        <v>8000001599</v>
      </c>
      <c r="K1700" s="24"/>
      <c r="L1700" s="24">
        <v>44488</v>
      </c>
      <c r="M1700" s="24">
        <v>44488</v>
      </c>
      <c r="N1700" s="340" t="s">
        <v>486</v>
      </c>
      <c r="O1700" s="334">
        <v>208067</v>
      </c>
      <c r="P1700" s="25" t="s">
        <v>383</v>
      </c>
      <c r="Q1700" s="127" t="s">
        <v>303</v>
      </c>
      <c r="R1700" s="232" t="s">
        <v>6504</v>
      </c>
      <c r="S1700" s="89">
        <v>44423</v>
      </c>
      <c r="T1700" s="36">
        <v>30</v>
      </c>
      <c r="U1700" s="125" t="s">
        <v>131</v>
      </c>
      <c r="V1700" s="147" t="s">
        <v>6505</v>
      </c>
      <c r="W1700" s="129"/>
      <c r="X1700" s="88">
        <v>44506</v>
      </c>
      <c r="Y1700" s="130" t="s">
        <v>20</v>
      </c>
      <c r="Z1700" s="133" t="s">
        <v>60</v>
      </c>
      <c r="AA1700" s="133"/>
      <c r="AB1700" s="241">
        <v>270</v>
      </c>
      <c r="AC1700" s="134">
        <v>296.06</v>
      </c>
      <c r="AD1700" s="134"/>
      <c r="AE1700" s="403">
        <f t="shared" si="101"/>
        <v>79936.2</v>
      </c>
      <c r="AF1700" s="132">
        <v>10</v>
      </c>
      <c r="AG1700" s="130" t="s">
        <v>5</v>
      </c>
      <c r="AH1700" s="130"/>
      <c r="AI1700" s="130" t="s">
        <v>34</v>
      </c>
      <c r="AJ1700" s="130"/>
      <c r="AK1700" s="130"/>
      <c r="AL1700" s="135" t="s">
        <v>6211</v>
      </c>
      <c r="AM1700" s="314"/>
      <c r="AN1700" s="26">
        <f t="shared" si="99"/>
        <v>0</v>
      </c>
      <c r="AO1700" s="26">
        <v>44474</v>
      </c>
      <c r="AP1700" s="26">
        <f t="shared" si="106"/>
        <v>44484</v>
      </c>
      <c r="AQ1700" s="26">
        <v>44484</v>
      </c>
      <c r="AR1700" s="24">
        <f>AP1700+4</f>
        <v>44488</v>
      </c>
      <c r="AS1700" s="24"/>
      <c r="AT1700" s="24">
        <v>44488</v>
      </c>
      <c r="AU1700" s="418">
        <f t="shared" si="102"/>
        <v>10</v>
      </c>
      <c r="AV1700" s="418">
        <f t="shared" si="103"/>
        <v>2021</v>
      </c>
      <c r="AW1700" s="24"/>
      <c r="AX1700" s="24"/>
      <c r="AY1700" s="24" t="s">
        <v>3415</v>
      </c>
      <c r="AZ1700" s="24" t="s">
        <v>37</v>
      </c>
      <c r="BA1700" s="24"/>
      <c r="BB1700" s="24" t="s">
        <v>3291</v>
      </c>
      <c r="BC1700" s="128" t="s">
        <v>6506</v>
      </c>
      <c r="BD1700" s="24">
        <v>44476</v>
      </c>
      <c r="BE1700" s="24" t="s">
        <v>4840</v>
      </c>
      <c r="BF1700" s="24" t="s">
        <v>4840</v>
      </c>
      <c r="BG1700" s="135" t="s">
        <v>41</v>
      </c>
      <c r="BH1700" s="135"/>
      <c r="BI1700" s="314" t="s">
        <v>124</v>
      </c>
      <c r="BJ1700" s="314" t="s">
        <v>138</v>
      </c>
      <c r="BK1700" s="24"/>
      <c r="BL1700" s="24"/>
      <c r="BM1700" s="24"/>
      <c r="BN1700" s="24"/>
      <c r="BO1700" s="24"/>
      <c r="BP1700" s="24"/>
      <c r="BQ1700" s="24"/>
      <c r="BR1700" s="24"/>
      <c r="BS1700" s="24"/>
      <c r="BT1700" s="24"/>
      <c r="BU1700" s="24"/>
      <c r="BV1700" s="132" t="e">
        <f>IF(#REF!="COMPLETO","OK","PENDIENTES")</f>
        <v>#REF!</v>
      </c>
      <c r="BW1700" s="132"/>
      <c r="BX1700" s="132"/>
      <c r="BY1700" s="132"/>
      <c r="BZ1700" s="132"/>
      <c r="CA1700" s="132"/>
      <c r="CB1700" s="132"/>
      <c r="CC1700" s="269"/>
      <c r="CG1700" s="24" t="s">
        <v>105</v>
      </c>
      <c r="CH1700" s="24"/>
      <c r="CI1700" s="24"/>
      <c r="CJ1700" s="24"/>
    </row>
    <row r="1701" spans="1:88" ht="14.45" customHeight="1">
      <c r="A1701" s="18">
        <v>2021</v>
      </c>
      <c r="B1701" s="18" t="str">
        <f>+INDEX(BDD!F:F,MATCH(P1701,BDD!D:D,0))&amp;"-"&amp;INDEX(BDD!E:E,MATCH(P1701,BDD!D:D,0))</f>
        <v>O-S</v>
      </c>
      <c r="C1701" s="360" t="s">
        <v>484</v>
      </c>
      <c r="D1701" s="150" t="s">
        <v>77</v>
      </c>
      <c r="E1701" s="132"/>
      <c r="F1701" s="24"/>
      <c r="G1701" s="346">
        <v>8000001673</v>
      </c>
      <c r="H1701" s="18" t="s">
        <v>6507</v>
      </c>
      <c r="I1701" s="329"/>
      <c r="J1701" s="346">
        <v>8000001673</v>
      </c>
      <c r="K1701" s="24"/>
      <c r="L1701" s="24">
        <v>0</v>
      </c>
      <c r="M1701" s="24">
        <v>44509</v>
      </c>
      <c r="N1701" s="340" t="s">
        <v>486</v>
      </c>
      <c r="O1701" s="334">
        <v>204749</v>
      </c>
      <c r="P1701" s="25" t="s">
        <v>390</v>
      </c>
      <c r="Q1701" s="127" t="s">
        <v>303</v>
      </c>
      <c r="R1701" s="232" t="s">
        <v>6508</v>
      </c>
      <c r="S1701" s="89">
        <v>44460</v>
      </c>
      <c r="T1701" s="36" t="s">
        <v>19</v>
      </c>
      <c r="U1701" s="125"/>
      <c r="V1701" s="147" t="s">
        <v>6509</v>
      </c>
      <c r="W1701" s="129"/>
      <c r="X1701" s="88">
        <v>44497</v>
      </c>
      <c r="Y1701" s="130" t="s">
        <v>20</v>
      </c>
      <c r="Z1701" s="133" t="s">
        <v>60</v>
      </c>
      <c r="AA1701" s="133"/>
      <c r="AB1701" s="241">
        <v>198</v>
      </c>
      <c r="AC1701" s="134">
        <v>706.23</v>
      </c>
      <c r="AD1701" s="134"/>
      <c r="AE1701" s="403">
        <f t="shared" si="101"/>
        <v>139833.54</v>
      </c>
      <c r="AF1701" s="132">
        <v>9</v>
      </c>
      <c r="AG1701" s="130" t="s">
        <v>5</v>
      </c>
      <c r="AH1701" s="130"/>
      <c r="AI1701" s="130" t="s">
        <v>47</v>
      </c>
      <c r="AJ1701" s="130"/>
      <c r="AK1701" s="130"/>
      <c r="AL1701" s="135" t="s">
        <v>6312</v>
      </c>
      <c r="AM1701" s="314"/>
      <c r="AN1701" s="26">
        <f t="shared" si="99"/>
        <v>0</v>
      </c>
      <c r="AO1701" s="26">
        <v>44485</v>
      </c>
      <c r="AP1701" s="26">
        <f t="shared" si="106"/>
        <v>44495</v>
      </c>
      <c r="AQ1701" s="26">
        <v>44495</v>
      </c>
      <c r="AR1701" s="24">
        <f>AP1701+4</f>
        <v>44499</v>
      </c>
      <c r="AS1701" s="24"/>
      <c r="AT1701" s="24">
        <v>44506</v>
      </c>
      <c r="AU1701" s="418">
        <f t="shared" si="102"/>
        <v>11</v>
      </c>
      <c r="AV1701" s="418">
        <f t="shared" si="103"/>
        <v>2021</v>
      </c>
      <c r="AW1701" s="24"/>
      <c r="AX1701" s="135"/>
      <c r="AY1701" s="135" t="s">
        <v>3415</v>
      </c>
      <c r="AZ1701" s="24" t="s">
        <v>9</v>
      </c>
      <c r="BA1701" s="24"/>
      <c r="BB1701" s="24" t="s">
        <v>3264</v>
      </c>
      <c r="BC1701" s="128" t="s">
        <v>6510</v>
      </c>
      <c r="BD1701" s="24">
        <v>44491</v>
      </c>
      <c r="BE1701" s="24" t="s">
        <v>947</v>
      </c>
      <c r="BF1701" s="24" t="s">
        <v>947</v>
      </c>
      <c r="BG1701" s="135" t="s">
        <v>64</v>
      </c>
      <c r="BH1701" s="135"/>
      <c r="BI1701" s="314" t="s">
        <v>3</v>
      </c>
      <c r="BJ1701" s="314" t="s">
        <v>148</v>
      </c>
      <c r="BK1701" s="24"/>
      <c r="BL1701" s="24"/>
      <c r="BM1701" s="24"/>
      <c r="BN1701" s="24"/>
      <c r="BO1701" s="24"/>
      <c r="BP1701" s="24"/>
      <c r="BQ1701" s="24"/>
      <c r="BR1701" s="24"/>
      <c r="BS1701" s="24"/>
      <c r="BT1701" s="24"/>
      <c r="BU1701" s="24"/>
      <c r="BV1701" s="132" t="e">
        <f>IF(#REF!="COMPLETO","OK","PENDIENTES")</f>
        <v>#REF!</v>
      </c>
      <c r="BW1701" s="132"/>
      <c r="BX1701" s="132"/>
      <c r="BY1701" s="132"/>
      <c r="BZ1701" s="132"/>
      <c r="CA1701" s="132"/>
      <c r="CB1701" s="132"/>
      <c r="CC1701" s="269"/>
      <c r="CG1701" s="24" t="s">
        <v>105</v>
      </c>
      <c r="CH1701" s="24"/>
      <c r="CI1701" s="24"/>
      <c r="CJ1701" s="24"/>
    </row>
    <row r="1702" spans="1:88" ht="14.45" customHeight="1">
      <c r="A1702" s="18">
        <v>2021</v>
      </c>
      <c r="B1702" s="18" t="str">
        <f>+INDEX(BDD!F:F,MATCH(P1702,BDD!D:D,0))&amp;"-"&amp;INDEX(BDD!E:E,MATCH(P1702,BDD!D:D,0))</f>
        <v>O-S</v>
      </c>
      <c r="C1702" s="360" t="s">
        <v>484</v>
      </c>
      <c r="D1702" s="150" t="s">
        <v>77</v>
      </c>
      <c r="E1702" s="132"/>
      <c r="F1702" s="24"/>
      <c r="G1702" s="346">
        <v>8000001561</v>
      </c>
      <c r="H1702" s="18" t="s">
        <v>6511</v>
      </c>
      <c r="I1702" s="329"/>
      <c r="J1702" s="346">
        <v>8000001561</v>
      </c>
      <c r="K1702" s="24"/>
      <c r="L1702" s="24">
        <v>0</v>
      </c>
      <c r="M1702" s="24">
        <v>44513</v>
      </c>
      <c r="N1702" s="340" t="s">
        <v>486</v>
      </c>
      <c r="O1702" s="334">
        <v>204749</v>
      </c>
      <c r="P1702" s="25" t="s">
        <v>390</v>
      </c>
      <c r="Q1702" s="127" t="s">
        <v>303</v>
      </c>
      <c r="R1702" s="232" t="s">
        <v>6512</v>
      </c>
      <c r="S1702" s="89">
        <v>44460</v>
      </c>
      <c r="T1702" s="36" t="s">
        <v>19</v>
      </c>
      <c r="U1702" s="125"/>
      <c r="V1702" s="147" t="s">
        <v>6513</v>
      </c>
      <c r="W1702" s="129"/>
      <c r="X1702" s="88">
        <v>44499</v>
      </c>
      <c r="Y1702" s="130" t="s">
        <v>20</v>
      </c>
      <c r="Z1702" s="133" t="s">
        <v>60</v>
      </c>
      <c r="AA1702" s="133"/>
      <c r="AB1702" s="241">
        <v>110</v>
      </c>
      <c r="AC1702" s="134">
        <v>708.73</v>
      </c>
      <c r="AD1702" s="134"/>
      <c r="AE1702" s="403">
        <f t="shared" si="101"/>
        <v>77960.3</v>
      </c>
      <c r="AF1702" s="132">
        <v>5</v>
      </c>
      <c r="AG1702" s="130" t="s">
        <v>5</v>
      </c>
      <c r="AH1702" s="130"/>
      <c r="AI1702" s="130" t="s">
        <v>47</v>
      </c>
      <c r="AJ1702" s="130"/>
      <c r="AK1702" s="130"/>
      <c r="AL1702" s="135" t="s">
        <v>6312</v>
      </c>
      <c r="AM1702" s="314"/>
      <c r="AN1702" s="26">
        <f t="shared" si="99"/>
        <v>0</v>
      </c>
      <c r="AO1702" s="26">
        <v>44495</v>
      </c>
      <c r="AP1702" s="26">
        <f t="shared" si="106"/>
        <v>44504</v>
      </c>
      <c r="AQ1702" s="26">
        <v>44504</v>
      </c>
      <c r="AR1702" s="24">
        <f>AP1702+4</f>
        <v>44508</v>
      </c>
      <c r="AS1702" s="24"/>
      <c r="AT1702" s="24">
        <v>44511</v>
      </c>
      <c r="AU1702" s="418">
        <f t="shared" si="102"/>
        <v>11</v>
      </c>
      <c r="AV1702" s="418">
        <f t="shared" si="103"/>
        <v>2021</v>
      </c>
      <c r="AW1702" s="24"/>
      <c r="AX1702" s="135"/>
      <c r="AY1702" s="135" t="s">
        <v>3415</v>
      </c>
      <c r="AZ1702" s="24" t="s">
        <v>37</v>
      </c>
      <c r="BA1702" s="24"/>
      <c r="BB1702" s="24" t="s">
        <v>3291</v>
      </c>
      <c r="BC1702" s="128" t="s">
        <v>6514</v>
      </c>
      <c r="BD1702" s="24">
        <v>44496</v>
      </c>
      <c r="BE1702" s="24" t="s">
        <v>870</v>
      </c>
      <c r="BF1702" s="24" t="s">
        <v>870</v>
      </c>
      <c r="BG1702" s="135" t="s">
        <v>64</v>
      </c>
      <c r="BH1702" s="135"/>
      <c r="BI1702" s="314" t="s">
        <v>3</v>
      </c>
      <c r="BJ1702" s="314" t="s">
        <v>148</v>
      </c>
      <c r="BK1702" s="24"/>
      <c r="BL1702" s="24"/>
      <c r="BM1702" s="24"/>
      <c r="BN1702" s="24"/>
      <c r="BO1702" s="24"/>
      <c r="BP1702" s="24"/>
      <c r="BQ1702" s="24"/>
      <c r="BR1702" s="24"/>
      <c r="BS1702" s="24"/>
      <c r="BT1702" s="24"/>
      <c r="BU1702" s="24"/>
      <c r="BV1702" s="132" t="e">
        <f>IF(#REF!="COMPLETO","OK","PENDIENTE")</f>
        <v>#REF!</v>
      </c>
      <c r="BW1702" s="132"/>
      <c r="BX1702" s="132"/>
      <c r="BY1702" s="132"/>
      <c r="BZ1702" s="132"/>
      <c r="CA1702" s="132"/>
      <c r="CB1702" s="132"/>
      <c r="CC1702" s="269"/>
      <c r="CG1702" s="24" t="s">
        <v>105</v>
      </c>
      <c r="CH1702" s="24"/>
      <c r="CI1702" s="24"/>
      <c r="CJ1702" s="24"/>
    </row>
    <row r="1703" spans="1:88" ht="14.45" customHeight="1">
      <c r="A1703" s="18">
        <v>2021</v>
      </c>
      <c r="B1703" s="18" t="str">
        <f>+INDEX(BDD!F:F,MATCH(P1703,BDD!D:D,0))&amp;"-"&amp;INDEX(BDD!E:E,MATCH(P1703,BDD!D:D,0))</f>
        <v>O-S</v>
      </c>
      <c r="C1703" s="360" t="s">
        <v>484</v>
      </c>
      <c r="D1703" s="150" t="s">
        <v>77</v>
      </c>
      <c r="E1703" s="132"/>
      <c r="F1703" s="24"/>
      <c r="G1703" s="346">
        <v>8000001706</v>
      </c>
      <c r="H1703" s="18" t="s">
        <v>6515</v>
      </c>
      <c r="I1703" s="329"/>
      <c r="J1703" s="346">
        <v>8000001706</v>
      </c>
      <c r="K1703" s="24"/>
      <c r="L1703" s="24">
        <v>0</v>
      </c>
      <c r="M1703" s="24">
        <v>44516</v>
      </c>
      <c r="N1703" s="340" t="s">
        <v>486</v>
      </c>
      <c r="O1703" s="334">
        <v>204749</v>
      </c>
      <c r="P1703" s="25" t="s">
        <v>390</v>
      </c>
      <c r="Q1703" s="127" t="s">
        <v>303</v>
      </c>
      <c r="R1703" s="232" t="s">
        <v>6516</v>
      </c>
      <c r="S1703" s="89">
        <v>44460</v>
      </c>
      <c r="T1703" s="36" t="s">
        <v>19</v>
      </c>
      <c r="U1703" s="125"/>
      <c r="V1703" s="147" t="s">
        <v>6517</v>
      </c>
      <c r="W1703" s="129"/>
      <c r="X1703" s="88">
        <v>44512</v>
      </c>
      <c r="Y1703" s="130" t="s">
        <v>20</v>
      </c>
      <c r="Z1703" s="133" t="s">
        <v>60</v>
      </c>
      <c r="AA1703" s="133"/>
      <c r="AB1703" s="241">
        <v>110</v>
      </c>
      <c r="AC1703" s="134">
        <v>716.23</v>
      </c>
      <c r="AD1703" s="134"/>
      <c r="AE1703" s="403">
        <f t="shared" si="101"/>
        <v>78785.3</v>
      </c>
      <c r="AF1703" s="132">
        <v>5</v>
      </c>
      <c r="AG1703" s="130" t="s">
        <v>5</v>
      </c>
      <c r="AH1703" s="130"/>
      <c r="AI1703" s="130" t="s">
        <v>47</v>
      </c>
      <c r="AJ1703" s="130"/>
      <c r="AK1703" s="130"/>
      <c r="AL1703" s="135" t="s">
        <v>6312</v>
      </c>
      <c r="AM1703" s="314"/>
      <c r="AN1703" s="26">
        <f t="shared" si="99"/>
        <v>0</v>
      </c>
      <c r="AO1703" s="26">
        <v>44504</v>
      </c>
      <c r="AP1703" s="26">
        <f t="shared" si="106"/>
        <v>44512</v>
      </c>
      <c r="AQ1703" s="26">
        <v>44512</v>
      </c>
      <c r="AR1703" s="24">
        <f>AQ1703+4</f>
        <v>44516</v>
      </c>
      <c r="AS1703" s="24"/>
      <c r="AT1703" s="24">
        <v>44515</v>
      </c>
      <c r="AU1703" s="418">
        <f t="shared" si="102"/>
        <v>11</v>
      </c>
      <c r="AV1703" s="418">
        <f t="shared" si="103"/>
        <v>2021</v>
      </c>
      <c r="AW1703" s="24"/>
      <c r="AX1703" s="135"/>
      <c r="AY1703" s="135" t="s">
        <v>3415</v>
      </c>
      <c r="AZ1703" s="24" t="s">
        <v>37</v>
      </c>
      <c r="BA1703" s="24"/>
      <c r="BB1703" s="24" t="s">
        <v>3291</v>
      </c>
      <c r="BC1703" s="128" t="s">
        <v>6518</v>
      </c>
      <c r="BD1703" s="24"/>
      <c r="BE1703" s="24" t="s">
        <v>2525</v>
      </c>
      <c r="BF1703" s="24" t="s">
        <v>2525</v>
      </c>
      <c r="BG1703" s="135" t="s">
        <v>41</v>
      </c>
      <c r="BH1703" s="135"/>
      <c r="BI1703" s="314" t="s">
        <v>3</v>
      </c>
      <c r="BJ1703" s="314"/>
      <c r="BK1703" s="24"/>
      <c r="BL1703" s="24"/>
      <c r="BM1703" s="24"/>
      <c r="BN1703" s="24"/>
      <c r="BO1703" s="24"/>
      <c r="BP1703" s="24"/>
      <c r="BQ1703" s="24"/>
      <c r="BR1703" s="24"/>
      <c r="BS1703" s="24"/>
      <c r="BT1703" s="24"/>
      <c r="BU1703" s="24"/>
      <c r="BV1703" s="132" t="e">
        <f>IF(#REF!="COMPLETO","OK","PENDIENTE")</f>
        <v>#REF!</v>
      </c>
      <c r="BW1703" s="132"/>
      <c r="BX1703" s="132"/>
      <c r="BY1703" s="132"/>
      <c r="BZ1703" s="132"/>
      <c r="CA1703" s="132"/>
      <c r="CB1703" s="132"/>
      <c r="CC1703" s="269"/>
      <c r="CG1703" s="24" t="s">
        <v>105</v>
      </c>
      <c r="CH1703" s="24"/>
      <c r="CI1703" s="24"/>
      <c r="CJ1703" s="24"/>
    </row>
    <row r="1704" spans="1:88" ht="14.45" customHeight="1">
      <c r="A1704" s="18">
        <v>2021</v>
      </c>
      <c r="B1704" s="18" t="str">
        <f>+INDEX(BDD!F:F,MATCH(P1704,BDD!D:D,0))&amp;"-"&amp;INDEX(BDD!E:E,MATCH(P1704,BDD!D:D,0))</f>
        <v>O-S</v>
      </c>
      <c r="C1704" s="360" t="s">
        <v>484</v>
      </c>
      <c r="D1704" s="150" t="s">
        <v>77</v>
      </c>
      <c r="E1704" s="132"/>
      <c r="F1704" s="132"/>
      <c r="G1704" s="346">
        <v>8000001562</v>
      </c>
      <c r="H1704" s="18" t="s">
        <v>6519</v>
      </c>
      <c r="I1704" s="329"/>
      <c r="J1704" s="346">
        <v>8000001562</v>
      </c>
      <c r="K1704" s="24"/>
      <c r="L1704" s="24">
        <v>0</v>
      </c>
      <c r="M1704" s="24">
        <v>44546</v>
      </c>
      <c r="N1704" s="340" t="s">
        <v>486</v>
      </c>
      <c r="O1704" s="334">
        <v>204750</v>
      </c>
      <c r="P1704" s="25" t="s">
        <v>390</v>
      </c>
      <c r="Q1704" s="127" t="s">
        <v>303</v>
      </c>
      <c r="R1704" s="232" t="s">
        <v>6520</v>
      </c>
      <c r="S1704" s="89">
        <v>44460</v>
      </c>
      <c r="T1704" s="36" t="s">
        <v>19</v>
      </c>
      <c r="U1704" s="125"/>
      <c r="V1704" s="147" t="s">
        <v>6521</v>
      </c>
      <c r="W1704" s="129"/>
      <c r="X1704" s="88">
        <v>44501</v>
      </c>
      <c r="Y1704" s="130" t="s">
        <v>20</v>
      </c>
      <c r="Z1704" s="133" t="s">
        <v>60</v>
      </c>
      <c r="AA1704" s="133"/>
      <c r="AB1704" s="241">
        <v>616</v>
      </c>
      <c r="AC1704" s="134">
        <v>723.41</v>
      </c>
      <c r="AD1704" s="134"/>
      <c r="AE1704" s="403">
        <f t="shared" si="101"/>
        <v>445620.56</v>
      </c>
      <c r="AF1704" s="132">
        <v>28</v>
      </c>
      <c r="AG1704" s="130" t="s">
        <v>5</v>
      </c>
      <c r="AH1704" s="130"/>
      <c r="AI1704" s="130" t="s">
        <v>47</v>
      </c>
      <c r="AJ1704" s="130"/>
      <c r="AK1704" s="130"/>
      <c r="AL1704" s="135" t="s">
        <v>6312</v>
      </c>
      <c r="AM1704" s="314"/>
      <c r="AN1704" s="26">
        <f t="shared" si="99"/>
        <v>0</v>
      </c>
      <c r="AO1704" s="26">
        <v>44497</v>
      </c>
      <c r="AP1704" s="26">
        <f t="shared" si="106"/>
        <v>44531</v>
      </c>
      <c r="AQ1704" s="26">
        <v>44531</v>
      </c>
      <c r="AR1704" s="24">
        <f>AQ1704+3</f>
        <v>44534</v>
      </c>
      <c r="AS1704" s="41"/>
      <c r="AT1704" s="24">
        <v>44544</v>
      </c>
      <c r="AU1704" s="418">
        <f t="shared" si="102"/>
        <v>12</v>
      </c>
      <c r="AV1704" s="418">
        <f t="shared" si="103"/>
        <v>2021</v>
      </c>
      <c r="AW1704" s="24"/>
      <c r="AX1704" s="135"/>
      <c r="AY1704" s="135" t="s">
        <v>3415</v>
      </c>
      <c r="AZ1704" s="24" t="s">
        <v>62</v>
      </c>
      <c r="BA1704" s="24"/>
      <c r="BB1704" s="24" t="s">
        <v>3264</v>
      </c>
      <c r="BC1704" s="128" t="s">
        <v>6522</v>
      </c>
      <c r="BD1704" s="24">
        <v>44498</v>
      </c>
      <c r="BE1704" s="24" t="s">
        <v>5944</v>
      </c>
      <c r="BF1704" s="24" t="s">
        <v>1938</v>
      </c>
      <c r="BG1704" s="132" t="s">
        <v>29</v>
      </c>
      <c r="BH1704" s="132"/>
      <c r="BI1704" s="314" t="s">
        <v>3</v>
      </c>
      <c r="BJ1704" s="314" t="s">
        <v>148</v>
      </c>
      <c r="BK1704" s="24"/>
      <c r="BL1704" s="24"/>
      <c r="BM1704" s="24"/>
      <c r="BN1704" s="24"/>
      <c r="BO1704" s="24">
        <v>44551</v>
      </c>
      <c r="BP1704" s="24"/>
      <c r="BQ1704" s="24"/>
      <c r="BR1704" s="24"/>
      <c r="BS1704" s="24"/>
      <c r="BT1704" s="24"/>
      <c r="BU1704" s="24"/>
      <c r="BV1704" s="132" t="e">
        <f>IF(#REF!="COMPLETO","OK","PENDIENTE")</f>
        <v>#REF!</v>
      </c>
      <c r="BW1704" s="132"/>
      <c r="BX1704" s="132"/>
      <c r="BY1704" s="132"/>
      <c r="BZ1704" s="132"/>
      <c r="CA1704" s="132"/>
      <c r="CB1704" s="132"/>
      <c r="CC1704" s="269"/>
      <c r="CG1704" s="132" t="s">
        <v>105</v>
      </c>
      <c r="CH1704" s="132"/>
      <c r="CI1704" s="24"/>
      <c r="CJ1704" s="24"/>
    </row>
    <row r="1705" spans="1:88" ht="14.45" customHeight="1">
      <c r="A1705" s="18">
        <v>2021</v>
      </c>
      <c r="B1705" s="18" t="str">
        <f>+INDEX(BDD!F:F,MATCH(P1705,BDD!D:D,0))&amp;"-"&amp;INDEX(BDD!E:E,MATCH(P1705,BDD!D:D,0))</f>
        <v>O-S</v>
      </c>
      <c r="C1705" s="360" t="s">
        <v>484</v>
      </c>
      <c r="D1705" s="150" t="s">
        <v>77</v>
      </c>
      <c r="E1705" s="132"/>
      <c r="F1705" s="132"/>
      <c r="G1705" s="346">
        <v>8000001705</v>
      </c>
      <c r="H1705" s="18" t="s">
        <v>6523</v>
      </c>
      <c r="I1705" s="329"/>
      <c r="J1705" s="346">
        <v>8000001705</v>
      </c>
      <c r="K1705" s="24"/>
      <c r="L1705" s="24">
        <v>0</v>
      </c>
      <c r="M1705" s="24">
        <v>44509</v>
      </c>
      <c r="N1705" s="340" t="s">
        <v>486</v>
      </c>
      <c r="O1705" s="334">
        <v>204750</v>
      </c>
      <c r="P1705" s="25" t="s">
        <v>390</v>
      </c>
      <c r="Q1705" s="127" t="s">
        <v>303</v>
      </c>
      <c r="R1705" s="232" t="s">
        <v>6524</v>
      </c>
      <c r="S1705" s="89">
        <v>44460</v>
      </c>
      <c r="T1705" s="36" t="s">
        <v>19</v>
      </c>
      <c r="U1705" s="125"/>
      <c r="V1705" s="147" t="s">
        <v>6525</v>
      </c>
      <c r="W1705" s="129"/>
      <c r="X1705" s="88">
        <v>44494</v>
      </c>
      <c r="Y1705" s="130" t="s">
        <v>20</v>
      </c>
      <c r="Z1705" s="133" t="s">
        <v>60</v>
      </c>
      <c r="AA1705" s="133"/>
      <c r="AB1705" s="241">
        <v>242</v>
      </c>
      <c r="AC1705" s="134">
        <v>725</v>
      </c>
      <c r="AD1705" s="134"/>
      <c r="AE1705" s="403">
        <f t="shared" si="101"/>
        <v>175450</v>
      </c>
      <c r="AF1705" s="132">
        <v>11</v>
      </c>
      <c r="AG1705" s="130" t="s">
        <v>5</v>
      </c>
      <c r="AH1705" s="130"/>
      <c r="AI1705" s="130" t="s">
        <v>47</v>
      </c>
      <c r="AJ1705" s="130"/>
      <c r="AK1705" s="130"/>
      <c r="AL1705" s="135" t="s">
        <v>6312</v>
      </c>
      <c r="AM1705" s="314"/>
      <c r="AN1705" s="26">
        <v>44476</v>
      </c>
      <c r="AO1705" s="26">
        <v>44474</v>
      </c>
      <c r="AP1705" s="26">
        <v>44483</v>
      </c>
      <c r="AQ1705" s="26">
        <v>44497</v>
      </c>
      <c r="AR1705" s="24">
        <f>AP1705+3</f>
        <v>44486</v>
      </c>
      <c r="AS1705" s="41"/>
      <c r="AT1705" s="24">
        <v>44508</v>
      </c>
      <c r="AU1705" s="418">
        <f t="shared" si="102"/>
        <v>11</v>
      </c>
      <c r="AV1705" s="418">
        <f t="shared" si="103"/>
        <v>2021</v>
      </c>
      <c r="AW1705" s="24"/>
      <c r="AX1705" s="135"/>
      <c r="AY1705" s="135" t="s">
        <v>3415</v>
      </c>
      <c r="AZ1705" s="24" t="s">
        <v>62</v>
      </c>
      <c r="BA1705" s="24"/>
      <c r="BB1705" s="24" t="s">
        <v>3264</v>
      </c>
      <c r="BC1705" s="128" t="s">
        <v>6526</v>
      </c>
      <c r="BD1705" s="24">
        <v>44477</v>
      </c>
      <c r="BE1705" s="24" t="s">
        <v>947</v>
      </c>
      <c r="BF1705" s="24" t="s">
        <v>1938</v>
      </c>
      <c r="BG1705" s="132" t="s">
        <v>29</v>
      </c>
      <c r="BH1705" s="132"/>
      <c r="BI1705" s="314" t="s">
        <v>3</v>
      </c>
      <c r="BJ1705" s="314" t="s">
        <v>148</v>
      </c>
      <c r="BK1705" s="24"/>
      <c r="BL1705" s="24"/>
      <c r="BM1705" s="24"/>
      <c r="BN1705" s="24"/>
      <c r="BO1705" s="24">
        <v>44517</v>
      </c>
      <c r="BP1705" s="24"/>
      <c r="BQ1705" s="24"/>
      <c r="BR1705" s="24"/>
      <c r="BS1705" s="24"/>
      <c r="BT1705" s="24"/>
      <c r="BU1705" s="24"/>
      <c r="BV1705" s="132" t="e">
        <f>IF(#REF!="COMPLETO","OK","PENDIENTES")</f>
        <v>#REF!</v>
      </c>
      <c r="BW1705" s="132"/>
      <c r="BX1705" s="132"/>
      <c r="BY1705" s="132"/>
      <c r="BZ1705" s="132"/>
      <c r="CA1705" s="132"/>
      <c r="CB1705" s="132"/>
      <c r="CC1705" s="269" t="s">
        <v>6527</v>
      </c>
      <c r="CG1705" s="132" t="s">
        <v>105</v>
      </c>
      <c r="CH1705" s="132"/>
      <c r="CI1705" s="24"/>
      <c r="CJ1705" s="24"/>
    </row>
    <row r="1706" spans="1:88" ht="14.45" customHeight="1">
      <c r="A1706" s="18">
        <v>2021</v>
      </c>
      <c r="B1706" s="18" t="str">
        <f>+INDEX(BDD!F:F,MATCH(P1706,BDD!D:D,0))&amp;"-"&amp;INDEX(BDD!E:E,MATCH(P1706,BDD!D:D,0))</f>
        <v>O-S</v>
      </c>
      <c r="C1706" s="360" t="s">
        <v>484</v>
      </c>
      <c r="D1706" s="150" t="s">
        <v>77</v>
      </c>
      <c r="E1706" s="132"/>
      <c r="F1706" s="132"/>
      <c r="G1706" s="346">
        <v>8000001671</v>
      </c>
      <c r="H1706" s="18" t="s">
        <v>6528</v>
      </c>
      <c r="I1706" s="329"/>
      <c r="J1706" s="346">
        <v>8000001671</v>
      </c>
      <c r="K1706" s="24"/>
      <c r="L1706" s="24">
        <v>0</v>
      </c>
      <c r="M1706" s="24">
        <v>44540</v>
      </c>
      <c r="N1706" s="340" t="s">
        <v>486</v>
      </c>
      <c r="O1706" s="334">
        <v>204750</v>
      </c>
      <c r="P1706" s="25" t="s">
        <v>390</v>
      </c>
      <c r="Q1706" s="127" t="s">
        <v>303</v>
      </c>
      <c r="R1706" s="232" t="s">
        <v>6524</v>
      </c>
      <c r="S1706" s="89">
        <v>44460</v>
      </c>
      <c r="T1706" s="36" t="s">
        <v>19</v>
      </c>
      <c r="U1706" s="125"/>
      <c r="V1706" s="147" t="s">
        <v>6529</v>
      </c>
      <c r="W1706" s="129"/>
      <c r="X1706" s="88">
        <v>44494</v>
      </c>
      <c r="Y1706" s="130" t="s">
        <v>20</v>
      </c>
      <c r="Z1706" s="133" t="s">
        <v>60</v>
      </c>
      <c r="AA1706" s="133"/>
      <c r="AB1706" s="241">
        <v>264</v>
      </c>
      <c r="AC1706" s="134">
        <v>725</v>
      </c>
      <c r="AD1706" s="134"/>
      <c r="AE1706" s="403">
        <f t="shared" si="101"/>
        <v>191400</v>
      </c>
      <c r="AF1706" s="132">
        <v>12</v>
      </c>
      <c r="AG1706" s="130" t="s">
        <v>5</v>
      </c>
      <c r="AH1706" s="130"/>
      <c r="AI1706" s="130" t="s">
        <v>47</v>
      </c>
      <c r="AJ1706" s="130"/>
      <c r="AK1706" s="130"/>
      <c r="AL1706" s="135" t="s">
        <v>6312</v>
      </c>
      <c r="AM1706" s="314"/>
      <c r="AN1706" s="26">
        <f>BL1706</f>
        <v>0</v>
      </c>
      <c r="AO1706" s="26">
        <v>44483</v>
      </c>
      <c r="AP1706" s="26">
        <f t="shared" ref="AP1706:AP1716" si="107">AQ1706</f>
        <v>44531</v>
      </c>
      <c r="AQ1706" s="26">
        <v>44531</v>
      </c>
      <c r="AR1706" s="24">
        <f>AQ1706+3</f>
        <v>44534</v>
      </c>
      <c r="AS1706" s="41"/>
      <c r="AT1706" s="24">
        <v>44539</v>
      </c>
      <c r="AU1706" s="418">
        <f t="shared" si="102"/>
        <v>12</v>
      </c>
      <c r="AV1706" s="418">
        <f t="shared" si="103"/>
        <v>2021</v>
      </c>
      <c r="AW1706" s="24"/>
      <c r="AX1706" s="135"/>
      <c r="AY1706" s="135" t="s">
        <v>3415</v>
      </c>
      <c r="AZ1706" s="24" t="s">
        <v>62</v>
      </c>
      <c r="BA1706" s="24"/>
      <c r="BB1706" s="24" t="s">
        <v>3264</v>
      </c>
      <c r="BC1706" s="128" t="s">
        <v>6530</v>
      </c>
      <c r="BD1706" s="24">
        <v>44484</v>
      </c>
      <c r="BE1706" s="24" t="s">
        <v>5944</v>
      </c>
      <c r="BF1706" s="24" t="s">
        <v>1938</v>
      </c>
      <c r="BG1706" s="132" t="s">
        <v>29</v>
      </c>
      <c r="BH1706" s="132"/>
      <c r="BI1706" s="314" t="s">
        <v>3</v>
      </c>
      <c r="BJ1706" s="314" t="s">
        <v>148</v>
      </c>
      <c r="BK1706" s="24"/>
      <c r="BL1706" s="24"/>
      <c r="BM1706" s="24"/>
      <c r="BN1706" s="24"/>
      <c r="BO1706" s="24">
        <v>44551</v>
      </c>
      <c r="BP1706" s="24"/>
      <c r="BQ1706" s="41"/>
      <c r="BR1706" s="24"/>
      <c r="BS1706" s="24"/>
      <c r="BT1706" s="24"/>
      <c r="BU1706" s="24"/>
      <c r="BV1706" s="132" t="e">
        <f>IF(#REF!="COMPLETO","OK","PENDIENTE")</f>
        <v>#REF!</v>
      </c>
      <c r="BW1706" s="132"/>
      <c r="BX1706" s="132"/>
      <c r="BY1706" s="132"/>
      <c r="BZ1706" s="132"/>
      <c r="CA1706" s="132"/>
      <c r="CB1706" s="132"/>
      <c r="CC1706" s="269"/>
      <c r="CG1706" s="132" t="s">
        <v>105</v>
      </c>
      <c r="CH1706" s="132"/>
      <c r="CI1706" s="24"/>
      <c r="CJ1706" s="24"/>
    </row>
    <row r="1707" spans="1:88" ht="14.45" customHeight="1">
      <c r="A1707" s="18">
        <v>2021</v>
      </c>
      <c r="B1707" s="18" t="str">
        <f>+INDEX(BDD!F:F,MATCH(P1707,BDD!D:D,0))&amp;"-"&amp;INDEX(BDD!E:E,MATCH(P1707,BDD!D:D,0))</f>
        <v>S-S</v>
      </c>
      <c r="C1707" s="360" t="s">
        <v>484</v>
      </c>
      <c r="D1707" s="150" t="s">
        <v>77</v>
      </c>
      <c r="E1707" s="132"/>
      <c r="F1707" s="24"/>
      <c r="G1707" s="346">
        <v>8000001563</v>
      </c>
      <c r="H1707" s="18" t="s">
        <v>6531</v>
      </c>
      <c r="I1707" s="329"/>
      <c r="J1707" s="346">
        <v>8000001563</v>
      </c>
      <c r="K1707" s="24"/>
      <c r="L1707" s="24">
        <v>44595</v>
      </c>
      <c r="M1707" s="24">
        <v>44595</v>
      </c>
      <c r="N1707" s="340" t="s">
        <v>486</v>
      </c>
      <c r="O1707" s="334">
        <v>206914</v>
      </c>
      <c r="P1707" s="25" t="s">
        <v>335</v>
      </c>
      <c r="Q1707" s="127" t="s">
        <v>264</v>
      </c>
      <c r="R1707" s="232" t="s">
        <v>6532</v>
      </c>
      <c r="S1707" s="89">
        <v>44462</v>
      </c>
      <c r="T1707" s="36">
        <v>90</v>
      </c>
      <c r="U1707" s="125" t="s">
        <v>118</v>
      </c>
      <c r="V1707" s="232" t="s">
        <v>6532</v>
      </c>
      <c r="W1707" s="151"/>
      <c r="X1707" s="88">
        <f t="shared" ref="X1707:X1716" si="108">+BD1707+T1707</f>
        <v>44637</v>
      </c>
      <c r="Y1707" s="130" t="s">
        <v>20</v>
      </c>
      <c r="Z1707" s="133" t="s">
        <v>60</v>
      </c>
      <c r="AA1707" s="133"/>
      <c r="AB1707" s="241">
        <v>1500</v>
      </c>
      <c r="AC1707" s="134">
        <v>262</v>
      </c>
      <c r="AD1707" s="134"/>
      <c r="AE1707" s="403">
        <f t="shared" si="101"/>
        <v>393000</v>
      </c>
      <c r="AF1707" s="132"/>
      <c r="AG1707" s="130" t="s">
        <v>58</v>
      </c>
      <c r="AH1707" s="130"/>
      <c r="AI1707" s="130" t="s">
        <v>34</v>
      </c>
      <c r="AJ1707" s="130"/>
      <c r="AK1707" s="130"/>
      <c r="AL1707" s="135" t="s">
        <v>6533</v>
      </c>
      <c r="AM1707" s="314"/>
      <c r="AN1707" s="26">
        <f>BL1707</f>
        <v>0</v>
      </c>
      <c r="AO1707" s="26">
        <v>44547</v>
      </c>
      <c r="AP1707" s="26">
        <f t="shared" si="107"/>
        <v>44591</v>
      </c>
      <c r="AQ1707" s="26">
        <v>44591</v>
      </c>
      <c r="AR1707" s="24">
        <f>AQ1707+3</f>
        <v>44594</v>
      </c>
      <c r="AS1707" s="24"/>
      <c r="AT1707" s="24">
        <v>44600</v>
      </c>
      <c r="AU1707" s="418">
        <f t="shared" si="102"/>
        <v>2</v>
      </c>
      <c r="AV1707" s="418">
        <f t="shared" si="103"/>
        <v>2022</v>
      </c>
      <c r="AW1707" s="24"/>
      <c r="AX1707" s="24"/>
      <c r="AY1707" s="24" t="s">
        <v>311</v>
      </c>
      <c r="AZ1707" s="24" t="s">
        <v>50</v>
      </c>
      <c r="BA1707" s="24"/>
      <c r="BB1707" s="24" t="s">
        <v>2956</v>
      </c>
      <c r="BC1707" s="128" t="s">
        <v>6534</v>
      </c>
      <c r="BD1707" s="24">
        <v>44547</v>
      </c>
      <c r="BE1707" s="24" t="s">
        <v>6535</v>
      </c>
      <c r="BF1707" s="24" t="s">
        <v>6535</v>
      </c>
      <c r="BG1707" s="135" t="s">
        <v>52</v>
      </c>
      <c r="BH1707" s="135"/>
      <c r="BI1707" s="314" t="s">
        <v>3</v>
      </c>
      <c r="BJ1707" s="314"/>
      <c r="BK1707" s="24"/>
      <c r="BL1707" s="24"/>
      <c r="BM1707" s="24"/>
      <c r="BN1707" s="24"/>
      <c r="BO1707" s="24"/>
      <c r="BP1707" s="24"/>
      <c r="BQ1707" s="24" t="s">
        <v>6536</v>
      </c>
      <c r="BR1707" s="24">
        <v>44586</v>
      </c>
      <c r="BS1707" s="24" t="s">
        <v>38</v>
      </c>
      <c r="BT1707" s="24" t="s">
        <v>11</v>
      </c>
      <c r="BU1707" s="24"/>
      <c r="BV1707" s="132" t="s">
        <v>3</v>
      </c>
      <c r="BW1707" s="132"/>
      <c r="BX1707" s="132"/>
      <c r="BY1707" s="132"/>
      <c r="BZ1707" s="132"/>
      <c r="CA1707" s="132"/>
      <c r="CB1707" s="132"/>
      <c r="CC1707" s="269"/>
      <c r="CG1707" s="24" t="s">
        <v>105</v>
      </c>
      <c r="CH1707" s="24"/>
      <c r="CI1707" s="24"/>
      <c r="CJ1707" s="24"/>
    </row>
    <row r="1708" spans="1:88" ht="14.45" customHeight="1">
      <c r="A1708" s="18">
        <v>2021</v>
      </c>
      <c r="B1708" s="18" t="str">
        <f>+INDEX(BDD!F:F,MATCH(P1708,BDD!D:D,0))&amp;"-"&amp;INDEX(BDD!E:E,MATCH(P1708,BDD!D:D,0))</f>
        <v>G-C</v>
      </c>
      <c r="C1708" s="360" t="s">
        <v>484</v>
      </c>
      <c r="D1708" s="150" t="s">
        <v>77</v>
      </c>
      <c r="E1708" s="132"/>
      <c r="F1708" s="24"/>
      <c r="G1708" s="346">
        <v>8000001645</v>
      </c>
      <c r="H1708" s="18" t="s">
        <v>6537</v>
      </c>
      <c r="I1708" s="329"/>
      <c r="J1708" s="346">
        <v>8000001645</v>
      </c>
      <c r="K1708" s="24"/>
      <c r="L1708" s="24">
        <v>0</v>
      </c>
      <c r="M1708" s="24">
        <v>44518</v>
      </c>
      <c r="N1708" s="340" t="s">
        <v>486</v>
      </c>
      <c r="O1708" s="334">
        <v>206573</v>
      </c>
      <c r="P1708" s="25" t="s">
        <v>226</v>
      </c>
      <c r="Q1708" s="127" t="s">
        <v>291</v>
      </c>
      <c r="R1708" s="232" t="s">
        <v>6538</v>
      </c>
      <c r="S1708" s="89">
        <v>44461</v>
      </c>
      <c r="T1708" s="36">
        <v>150</v>
      </c>
      <c r="U1708" s="125" t="s">
        <v>118</v>
      </c>
      <c r="V1708" s="147" t="s">
        <v>6539</v>
      </c>
      <c r="W1708" s="129"/>
      <c r="X1708" s="88">
        <f t="shared" si="108"/>
        <v>44629</v>
      </c>
      <c r="Y1708" s="130" t="s">
        <v>20</v>
      </c>
      <c r="Z1708" s="133" t="s">
        <v>60</v>
      </c>
      <c r="AA1708" s="133"/>
      <c r="AB1708" s="241">
        <v>2600</v>
      </c>
      <c r="AC1708" s="134">
        <v>443.88</v>
      </c>
      <c r="AD1708" s="134"/>
      <c r="AE1708" s="403">
        <f t="shared" si="101"/>
        <v>1154088</v>
      </c>
      <c r="AF1708" s="132"/>
      <c r="AG1708" s="130" t="s">
        <v>46</v>
      </c>
      <c r="AH1708" s="130"/>
      <c r="AI1708" s="130" t="s">
        <v>100</v>
      </c>
      <c r="AJ1708" s="130"/>
      <c r="AK1708" s="130"/>
      <c r="AL1708" s="135" t="s">
        <v>6540</v>
      </c>
      <c r="AM1708" s="314"/>
      <c r="AN1708" s="26">
        <v>44474</v>
      </c>
      <c r="AO1708" s="26">
        <v>44479</v>
      </c>
      <c r="AP1708" s="26">
        <f t="shared" si="107"/>
        <v>44515</v>
      </c>
      <c r="AQ1708" s="26">
        <v>44515</v>
      </c>
      <c r="AR1708" s="24">
        <v>44525</v>
      </c>
      <c r="AS1708" s="24"/>
      <c r="AT1708" s="24">
        <v>44516</v>
      </c>
      <c r="AU1708" s="418">
        <f t="shared" si="102"/>
        <v>11</v>
      </c>
      <c r="AV1708" s="418">
        <f t="shared" si="103"/>
        <v>2021</v>
      </c>
      <c r="AW1708" s="24"/>
      <c r="AX1708" s="24"/>
      <c r="AY1708" s="24" t="s">
        <v>6541</v>
      </c>
      <c r="AZ1708" s="24" t="s">
        <v>9</v>
      </c>
      <c r="BA1708" s="24"/>
      <c r="BB1708" s="24" t="s">
        <v>3264</v>
      </c>
      <c r="BC1708" s="128">
        <v>1</v>
      </c>
      <c r="BD1708" s="24">
        <v>44479</v>
      </c>
      <c r="BE1708" s="24" t="s">
        <v>6542</v>
      </c>
      <c r="BF1708" s="24" t="s">
        <v>6542</v>
      </c>
      <c r="BG1708" s="135" t="s">
        <v>52</v>
      </c>
      <c r="BH1708" s="135"/>
      <c r="BI1708" s="314" t="s">
        <v>3</v>
      </c>
      <c r="BJ1708" s="314" t="s">
        <v>143</v>
      </c>
      <c r="BK1708" s="24"/>
      <c r="BL1708" s="24"/>
      <c r="BM1708" s="24"/>
      <c r="BN1708" s="24"/>
      <c r="BO1708" s="24"/>
      <c r="BP1708" s="24"/>
      <c r="BQ1708" s="24"/>
      <c r="BR1708" s="24"/>
      <c r="BS1708" s="24"/>
      <c r="BT1708" s="24"/>
      <c r="BU1708" s="24"/>
      <c r="BV1708" s="132" t="e">
        <f>IF(#REF!="COMPLETO","OK","PENDIENTE")</f>
        <v>#REF!</v>
      </c>
      <c r="BW1708" s="132"/>
      <c r="BX1708" s="132"/>
      <c r="BY1708" s="132"/>
      <c r="BZ1708" s="132"/>
      <c r="CA1708" s="132"/>
      <c r="CB1708" s="132"/>
      <c r="CC1708" s="269"/>
      <c r="CG1708" s="24" t="s">
        <v>105</v>
      </c>
      <c r="CH1708" s="24"/>
      <c r="CI1708" s="24"/>
      <c r="CJ1708" s="24"/>
    </row>
    <row r="1709" spans="1:88" ht="14.45" customHeight="1">
      <c r="A1709" s="18">
        <v>2021</v>
      </c>
      <c r="B1709" s="18" t="str">
        <f>+INDEX(BDD!F:F,MATCH(P1709,BDD!D:D,0))&amp;"-"&amp;INDEX(BDD!E:E,MATCH(P1709,BDD!D:D,0))</f>
        <v>G-C</v>
      </c>
      <c r="C1709" s="360" t="s">
        <v>484</v>
      </c>
      <c r="D1709" s="150" t="s">
        <v>77</v>
      </c>
      <c r="E1709" s="132"/>
      <c r="F1709" s="24"/>
      <c r="G1709" s="346">
        <v>8000001646</v>
      </c>
      <c r="H1709" s="18" t="s">
        <v>6543</v>
      </c>
      <c r="I1709" s="329"/>
      <c r="J1709" s="346">
        <v>8000001646</v>
      </c>
      <c r="K1709" s="24"/>
      <c r="L1709" s="24">
        <v>0</v>
      </c>
      <c r="M1709" s="24">
        <v>44524</v>
      </c>
      <c r="N1709" s="340" t="s">
        <v>486</v>
      </c>
      <c r="O1709" s="334">
        <v>206573</v>
      </c>
      <c r="P1709" s="25" t="s">
        <v>226</v>
      </c>
      <c r="Q1709" s="127" t="s">
        <v>291</v>
      </c>
      <c r="R1709" s="232" t="s">
        <v>6538</v>
      </c>
      <c r="S1709" s="89">
        <v>44461</v>
      </c>
      <c r="T1709" s="36">
        <v>150</v>
      </c>
      <c r="U1709" s="125" t="s">
        <v>118</v>
      </c>
      <c r="V1709" s="147" t="s">
        <v>6544</v>
      </c>
      <c r="W1709" s="129"/>
      <c r="X1709" s="88">
        <f t="shared" si="108"/>
        <v>44629</v>
      </c>
      <c r="Y1709" s="130" t="s">
        <v>20</v>
      </c>
      <c r="Z1709" s="133" t="s">
        <v>60</v>
      </c>
      <c r="AA1709" s="133"/>
      <c r="AB1709" s="241">
        <v>2200</v>
      </c>
      <c r="AC1709" s="134">
        <v>443.88</v>
      </c>
      <c r="AD1709" s="134"/>
      <c r="AE1709" s="403">
        <f t="shared" si="101"/>
        <v>976536</v>
      </c>
      <c r="AF1709" s="132"/>
      <c r="AG1709" s="130" t="s">
        <v>46</v>
      </c>
      <c r="AH1709" s="130"/>
      <c r="AI1709" s="130" t="s">
        <v>100</v>
      </c>
      <c r="AJ1709" s="130"/>
      <c r="AK1709" s="130"/>
      <c r="AL1709" s="135" t="s">
        <v>6540</v>
      </c>
      <c r="AM1709" s="314"/>
      <c r="AN1709" s="26">
        <v>44474</v>
      </c>
      <c r="AO1709" s="26">
        <v>44482</v>
      </c>
      <c r="AP1709" s="26">
        <f t="shared" si="107"/>
        <v>44518</v>
      </c>
      <c r="AQ1709" s="26">
        <v>44518</v>
      </c>
      <c r="AR1709" s="24">
        <v>44532</v>
      </c>
      <c r="AS1709" s="24"/>
      <c r="AT1709" s="24">
        <v>44523</v>
      </c>
      <c r="AU1709" s="418">
        <f t="shared" si="102"/>
        <v>11</v>
      </c>
      <c r="AV1709" s="418">
        <f t="shared" si="103"/>
        <v>2021</v>
      </c>
      <c r="AW1709" s="24"/>
      <c r="AX1709" s="24"/>
      <c r="AY1709" s="24" t="s">
        <v>6541</v>
      </c>
      <c r="AZ1709" s="24" t="s">
        <v>37</v>
      </c>
      <c r="BA1709" s="24"/>
      <c r="BB1709" s="24" t="s">
        <v>3291</v>
      </c>
      <c r="BC1709" s="128">
        <v>2</v>
      </c>
      <c r="BD1709" s="24">
        <v>44479</v>
      </c>
      <c r="BE1709" s="24" t="s">
        <v>6542</v>
      </c>
      <c r="BF1709" s="24" t="s">
        <v>6542</v>
      </c>
      <c r="BG1709" s="135" t="s">
        <v>52</v>
      </c>
      <c r="BH1709" s="135"/>
      <c r="BI1709" s="314" t="s">
        <v>3</v>
      </c>
      <c r="BJ1709" s="314" t="s">
        <v>143</v>
      </c>
      <c r="BK1709" s="24"/>
      <c r="BL1709" s="24"/>
      <c r="BM1709" s="24"/>
      <c r="BN1709" s="24"/>
      <c r="BO1709" s="24"/>
      <c r="BP1709" s="24"/>
      <c r="BQ1709" s="24"/>
      <c r="BR1709" s="24"/>
      <c r="BS1709" s="24"/>
      <c r="BT1709" s="24"/>
      <c r="BU1709" s="24"/>
      <c r="BV1709" s="132" t="e">
        <f>IF(#REF!="COMPLETO","OK","PENDIENTE")</f>
        <v>#REF!</v>
      </c>
      <c r="BW1709" s="132"/>
      <c r="BX1709" s="132"/>
      <c r="BY1709" s="132"/>
      <c r="BZ1709" s="132"/>
      <c r="CA1709" s="132"/>
      <c r="CB1709" s="132"/>
      <c r="CC1709" s="269"/>
      <c r="CG1709" s="24" t="s">
        <v>105</v>
      </c>
      <c r="CH1709" s="24"/>
      <c r="CI1709" s="24"/>
      <c r="CJ1709" s="24"/>
    </row>
    <row r="1710" spans="1:88" ht="14.45" customHeight="1">
      <c r="A1710" s="18">
        <v>2021</v>
      </c>
      <c r="B1710" s="18" t="str">
        <f>+INDEX(BDD!F:F,MATCH(P1710,BDD!D:D,0))&amp;"-"&amp;INDEX(BDD!E:E,MATCH(P1710,BDD!D:D,0))</f>
        <v>G-C</v>
      </c>
      <c r="C1710" s="360" t="s">
        <v>484</v>
      </c>
      <c r="D1710" s="150" t="s">
        <v>77</v>
      </c>
      <c r="E1710" s="132"/>
      <c r="F1710" s="24"/>
      <c r="G1710" s="346">
        <v>8000001647</v>
      </c>
      <c r="H1710" s="18" t="s">
        <v>6545</v>
      </c>
      <c r="I1710" s="329"/>
      <c r="J1710" s="346">
        <v>8000001647</v>
      </c>
      <c r="K1710" s="24"/>
      <c r="L1710" s="24"/>
      <c r="M1710" s="24"/>
      <c r="N1710" s="340" t="s">
        <v>486</v>
      </c>
      <c r="O1710" s="334">
        <v>206573</v>
      </c>
      <c r="P1710" s="25" t="s">
        <v>226</v>
      </c>
      <c r="Q1710" s="127" t="s">
        <v>291</v>
      </c>
      <c r="R1710" s="232" t="s">
        <v>6538</v>
      </c>
      <c r="S1710" s="89">
        <v>44461</v>
      </c>
      <c r="T1710" s="36">
        <v>150</v>
      </c>
      <c r="U1710" s="125" t="s">
        <v>118</v>
      </c>
      <c r="V1710" s="147" t="s">
        <v>6546</v>
      </c>
      <c r="W1710" s="129"/>
      <c r="X1710" s="88">
        <f t="shared" si="108"/>
        <v>44629</v>
      </c>
      <c r="Y1710" s="130" t="s">
        <v>20</v>
      </c>
      <c r="Z1710" s="133" t="s">
        <v>60</v>
      </c>
      <c r="AA1710" s="133"/>
      <c r="AB1710" s="241">
        <v>1500</v>
      </c>
      <c r="AC1710" s="134">
        <v>443.88</v>
      </c>
      <c r="AD1710" s="134"/>
      <c r="AE1710" s="403">
        <f t="shared" si="101"/>
        <v>665820</v>
      </c>
      <c r="AF1710" s="132"/>
      <c r="AG1710" s="130" t="s">
        <v>46</v>
      </c>
      <c r="AH1710" s="130"/>
      <c r="AI1710" s="130" t="s">
        <v>100</v>
      </c>
      <c r="AJ1710" s="130"/>
      <c r="AK1710" s="130"/>
      <c r="AL1710" s="135" t="s">
        <v>6540</v>
      </c>
      <c r="AM1710" s="314"/>
      <c r="AN1710" s="26">
        <v>44474</v>
      </c>
      <c r="AO1710" s="26">
        <v>44482</v>
      </c>
      <c r="AP1710" s="26">
        <f t="shared" si="107"/>
        <v>44525</v>
      </c>
      <c r="AQ1710" s="26">
        <v>44525</v>
      </c>
      <c r="AR1710" s="24">
        <v>44539</v>
      </c>
      <c r="AS1710" s="24"/>
      <c r="AT1710" s="24">
        <v>44527</v>
      </c>
      <c r="AU1710" s="418">
        <f t="shared" si="102"/>
        <v>11</v>
      </c>
      <c r="AV1710" s="418">
        <f t="shared" si="103"/>
        <v>2021</v>
      </c>
      <c r="AW1710" s="24"/>
      <c r="AX1710" s="24"/>
      <c r="AY1710" s="24" t="s">
        <v>6541</v>
      </c>
      <c r="AZ1710" s="24" t="s">
        <v>62</v>
      </c>
      <c r="BA1710" s="24"/>
      <c r="BB1710" s="24" t="s">
        <v>3264</v>
      </c>
      <c r="BC1710" s="128">
        <v>3</v>
      </c>
      <c r="BD1710" s="24">
        <v>44479</v>
      </c>
      <c r="BE1710" s="24" t="s">
        <v>6542</v>
      </c>
      <c r="BF1710" s="24" t="s">
        <v>6542</v>
      </c>
      <c r="BG1710" s="135" t="s">
        <v>52</v>
      </c>
      <c r="BH1710" s="135"/>
      <c r="BI1710" s="314" t="s">
        <v>3</v>
      </c>
      <c r="BJ1710" s="314" t="s">
        <v>143</v>
      </c>
      <c r="BK1710" s="24"/>
      <c r="BL1710" s="24"/>
      <c r="BM1710" s="24"/>
      <c r="BN1710" s="24"/>
      <c r="BO1710" s="24"/>
      <c r="BP1710" s="24"/>
      <c r="BQ1710" s="24"/>
      <c r="BR1710" s="24"/>
      <c r="BS1710" s="24"/>
      <c r="BT1710" s="24"/>
      <c r="BU1710" s="24"/>
      <c r="BV1710" s="132" t="e">
        <f>IF(#REF!="COMPLETO","OK","PENDIENTE")</f>
        <v>#REF!</v>
      </c>
      <c r="BW1710" s="132"/>
      <c r="BX1710" s="132"/>
      <c r="BY1710" s="132"/>
      <c r="BZ1710" s="132"/>
      <c r="CA1710" s="132"/>
      <c r="CB1710" s="132"/>
      <c r="CC1710" s="269"/>
      <c r="CG1710" s="24" t="s">
        <v>105</v>
      </c>
      <c r="CH1710" s="24"/>
      <c r="CI1710" s="24"/>
      <c r="CJ1710" s="24"/>
    </row>
    <row r="1711" spans="1:88" ht="14.45" customHeight="1">
      <c r="A1711" s="18">
        <v>2021</v>
      </c>
      <c r="B1711" s="18" t="str">
        <f>+INDEX(BDD!F:F,MATCH(P1711,BDD!D:D,0))&amp;"-"&amp;INDEX(BDD!E:E,MATCH(P1711,BDD!D:D,0))</f>
        <v>G-S</v>
      </c>
      <c r="C1711" s="360" t="s">
        <v>484</v>
      </c>
      <c r="D1711" s="150" t="s">
        <v>77</v>
      </c>
      <c r="E1711" s="132"/>
      <c r="F1711" s="24"/>
      <c r="G1711" s="346">
        <v>8000001651</v>
      </c>
      <c r="H1711" s="18" t="s">
        <v>6547</v>
      </c>
      <c r="I1711" s="329"/>
      <c r="J1711" s="346">
        <v>8000001651</v>
      </c>
      <c r="K1711" s="24"/>
      <c r="L1711" s="24">
        <v>0</v>
      </c>
      <c r="M1711" s="24">
        <v>44518</v>
      </c>
      <c r="N1711" s="340" t="s">
        <v>486</v>
      </c>
      <c r="O1711" s="334">
        <v>207791</v>
      </c>
      <c r="P1711" s="25" t="s">
        <v>98</v>
      </c>
      <c r="Q1711" s="127" t="s">
        <v>285</v>
      </c>
      <c r="R1711" s="232" t="s">
        <v>6548</v>
      </c>
      <c r="S1711" s="89">
        <v>44463</v>
      </c>
      <c r="T1711" s="36">
        <v>180</v>
      </c>
      <c r="U1711" s="125" t="s">
        <v>118</v>
      </c>
      <c r="V1711" s="147" t="s">
        <v>6549</v>
      </c>
      <c r="W1711" s="129"/>
      <c r="X1711" s="88">
        <f t="shared" si="108"/>
        <v>44662</v>
      </c>
      <c r="Y1711" s="130" t="s">
        <v>20</v>
      </c>
      <c r="Z1711" s="133" t="s">
        <v>60</v>
      </c>
      <c r="AA1711" s="133"/>
      <c r="AB1711" s="241">
        <v>1800</v>
      </c>
      <c r="AC1711" s="134">
        <v>700</v>
      </c>
      <c r="AD1711" s="134"/>
      <c r="AE1711" s="403">
        <f t="shared" si="101"/>
        <v>1260000</v>
      </c>
      <c r="AF1711" s="132"/>
      <c r="AG1711" s="130" t="s">
        <v>46</v>
      </c>
      <c r="AH1711" s="130"/>
      <c r="AI1711" s="130" t="s">
        <v>100</v>
      </c>
      <c r="AJ1711" s="130"/>
      <c r="AK1711" s="130"/>
      <c r="AL1711" s="135" t="s">
        <v>6540</v>
      </c>
      <c r="AM1711" s="314"/>
      <c r="AN1711" s="26">
        <v>44474</v>
      </c>
      <c r="AO1711" s="26">
        <v>44482</v>
      </c>
      <c r="AP1711" s="26">
        <f t="shared" si="107"/>
        <v>44515</v>
      </c>
      <c r="AQ1711" s="26">
        <v>44515</v>
      </c>
      <c r="AR1711" s="24">
        <f>AP1711+2</f>
        <v>44517</v>
      </c>
      <c r="AS1711" s="24"/>
      <c r="AT1711" s="24">
        <v>44516</v>
      </c>
      <c r="AU1711" s="418">
        <f t="shared" si="102"/>
        <v>11</v>
      </c>
      <c r="AV1711" s="418">
        <f t="shared" si="103"/>
        <v>2021</v>
      </c>
      <c r="AW1711" s="24"/>
      <c r="AX1711" s="24"/>
      <c r="AY1711" s="24" t="s">
        <v>281</v>
      </c>
      <c r="AZ1711" s="24" t="s">
        <v>9</v>
      </c>
      <c r="BA1711" s="24"/>
      <c r="BB1711" s="24" t="s">
        <v>3264</v>
      </c>
      <c r="BC1711" s="128" t="s">
        <v>5258</v>
      </c>
      <c r="BD1711" s="24">
        <v>44482</v>
      </c>
      <c r="BE1711" s="24" t="s">
        <v>6542</v>
      </c>
      <c r="BF1711" s="24" t="s">
        <v>6542</v>
      </c>
      <c r="BG1711" s="135" t="s">
        <v>52</v>
      </c>
      <c r="BH1711" s="135"/>
      <c r="BI1711" s="314" t="s">
        <v>3</v>
      </c>
      <c r="BJ1711" s="314" t="s">
        <v>143</v>
      </c>
      <c r="BK1711" s="24"/>
      <c r="BL1711" s="24"/>
      <c r="BM1711" s="24"/>
      <c r="BN1711" s="24"/>
      <c r="BO1711" s="24"/>
      <c r="BP1711" s="24"/>
      <c r="BQ1711" s="24"/>
      <c r="BR1711" s="24"/>
      <c r="BS1711" s="24"/>
      <c r="BT1711" s="24"/>
      <c r="BU1711" s="24"/>
      <c r="BV1711" s="132" t="e">
        <f>IF(#REF!="COMPLETO","OK","PENDIENTE")</f>
        <v>#REF!</v>
      </c>
      <c r="BW1711" s="132"/>
      <c r="BX1711" s="132"/>
      <c r="BY1711" s="132"/>
      <c r="BZ1711" s="132"/>
      <c r="CA1711" s="132"/>
      <c r="CB1711" s="132"/>
      <c r="CC1711" s="269"/>
      <c r="CG1711" s="24" t="s">
        <v>105</v>
      </c>
      <c r="CH1711" s="24"/>
      <c r="CI1711" s="24"/>
      <c r="CJ1711" s="24"/>
    </row>
    <row r="1712" spans="1:88" ht="14.45" customHeight="1">
      <c r="A1712" s="18">
        <v>2021</v>
      </c>
      <c r="B1712" s="18" t="str">
        <f>+INDEX(BDD!F:F,MATCH(P1712,BDD!D:D,0))&amp;"-"&amp;INDEX(BDD!E:E,MATCH(P1712,BDD!D:D,0))</f>
        <v>G-S</v>
      </c>
      <c r="C1712" s="360" t="s">
        <v>484</v>
      </c>
      <c r="D1712" s="150" t="s">
        <v>77</v>
      </c>
      <c r="E1712" s="132"/>
      <c r="F1712" s="24"/>
      <c r="G1712" s="346">
        <v>8000001652</v>
      </c>
      <c r="H1712" s="18" t="s">
        <v>6550</v>
      </c>
      <c r="I1712" s="329"/>
      <c r="J1712" s="346">
        <v>8000001652</v>
      </c>
      <c r="K1712" s="24"/>
      <c r="L1712" s="24">
        <v>0</v>
      </c>
      <c r="M1712" s="24">
        <v>44524</v>
      </c>
      <c r="N1712" s="340" t="s">
        <v>486</v>
      </c>
      <c r="O1712" s="334">
        <v>207791</v>
      </c>
      <c r="P1712" s="25" t="s">
        <v>98</v>
      </c>
      <c r="Q1712" s="127" t="s">
        <v>285</v>
      </c>
      <c r="R1712" s="232" t="s">
        <v>6548</v>
      </c>
      <c r="S1712" s="89">
        <v>44463</v>
      </c>
      <c r="T1712" s="36">
        <v>180</v>
      </c>
      <c r="U1712" s="125" t="s">
        <v>118</v>
      </c>
      <c r="V1712" s="147" t="s">
        <v>6551</v>
      </c>
      <c r="W1712" s="129"/>
      <c r="X1712" s="88">
        <f t="shared" si="108"/>
        <v>44662</v>
      </c>
      <c r="Y1712" s="130" t="s">
        <v>20</v>
      </c>
      <c r="Z1712" s="133" t="s">
        <v>60</v>
      </c>
      <c r="AA1712" s="133"/>
      <c r="AB1712" s="241">
        <v>540</v>
      </c>
      <c r="AC1712" s="134">
        <v>700</v>
      </c>
      <c r="AD1712" s="134"/>
      <c r="AE1712" s="403">
        <f t="shared" si="101"/>
        <v>378000</v>
      </c>
      <c r="AF1712" s="132"/>
      <c r="AG1712" s="130" t="s">
        <v>46</v>
      </c>
      <c r="AH1712" s="130"/>
      <c r="AI1712" s="130" t="s">
        <v>100</v>
      </c>
      <c r="AJ1712" s="130"/>
      <c r="AK1712" s="130"/>
      <c r="AL1712" s="135" t="s">
        <v>6540</v>
      </c>
      <c r="AM1712" s="314"/>
      <c r="AN1712" s="26">
        <v>44474</v>
      </c>
      <c r="AO1712" s="26">
        <v>44482</v>
      </c>
      <c r="AP1712" s="26">
        <f t="shared" si="107"/>
        <v>44518</v>
      </c>
      <c r="AQ1712" s="26">
        <v>44518</v>
      </c>
      <c r="AR1712" s="24">
        <v>44520</v>
      </c>
      <c r="AS1712" s="24"/>
      <c r="AT1712" s="24">
        <v>44522</v>
      </c>
      <c r="AU1712" s="418">
        <f t="shared" si="102"/>
        <v>11</v>
      </c>
      <c r="AV1712" s="418">
        <f t="shared" si="103"/>
        <v>2021</v>
      </c>
      <c r="AW1712" s="24"/>
      <c r="AX1712" s="24"/>
      <c r="AY1712" s="24" t="s">
        <v>281</v>
      </c>
      <c r="AZ1712" s="24" t="s">
        <v>37</v>
      </c>
      <c r="BA1712" s="24"/>
      <c r="BB1712" s="24" t="s">
        <v>3291</v>
      </c>
      <c r="BC1712" s="128" t="s">
        <v>5261</v>
      </c>
      <c r="BD1712" s="24">
        <v>44482</v>
      </c>
      <c r="BE1712" s="24" t="s">
        <v>6542</v>
      </c>
      <c r="BF1712" s="24" t="s">
        <v>6542</v>
      </c>
      <c r="BG1712" s="135" t="s">
        <v>52</v>
      </c>
      <c r="BH1712" s="135"/>
      <c r="BI1712" s="314" t="s">
        <v>3</v>
      </c>
      <c r="BJ1712" s="314" t="s">
        <v>143</v>
      </c>
      <c r="BK1712" s="24"/>
      <c r="BL1712" s="24"/>
      <c r="BM1712" s="24"/>
      <c r="BN1712" s="24"/>
      <c r="BO1712" s="24"/>
      <c r="BP1712" s="24"/>
      <c r="BQ1712" s="24"/>
      <c r="BR1712" s="24"/>
      <c r="BS1712" s="24"/>
      <c r="BT1712" s="24"/>
      <c r="BU1712" s="24"/>
      <c r="BV1712" s="132" t="e">
        <f>IF(#REF!="COMPLETO","OK","PENDIENTE")</f>
        <v>#REF!</v>
      </c>
      <c r="BW1712" s="132"/>
      <c r="BX1712" s="132"/>
      <c r="BY1712" s="132"/>
      <c r="BZ1712" s="132"/>
      <c r="CA1712" s="132"/>
      <c r="CB1712" s="132"/>
      <c r="CC1712" s="269"/>
      <c r="CG1712" s="24" t="s">
        <v>105</v>
      </c>
      <c r="CH1712" s="24"/>
      <c r="CI1712" s="24"/>
      <c r="CJ1712" s="24"/>
    </row>
    <row r="1713" spans="1:88" ht="14.45" customHeight="1">
      <c r="A1713" s="18">
        <v>2021</v>
      </c>
      <c r="B1713" s="18" t="str">
        <f>+INDEX(BDD!F:F,MATCH(P1713,BDD!D:D,0))&amp;"-"&amp;INDEX(BDD!E:E,MATCH(P1713,BDD!D:D,0))</f>
        <v>G-S</v>
      </c>
      <c r="C1713" s="360" t="s">
        <v>484</v>
      </c>
      <c r="D1713" s="150" t="s">
        <v>77</v>
      </c>
      <c r="E1713" s="132"/>
      <c r="F1713" s="24"/>
      <c r="G1713" s="346">
        <v>8000001759</v>
      </c>
      <c r="H1713" s="18" t="s">
        <v>6552</v>
      </c>
      <c r="I1713" s="329"/>
      <c r="J1713" s="346">
        <v>8000001759</v>
      </c>
      <c r="K1713" s="24"/>
      <c r="L1713" s="24"/>
      <c r="M1713" s="24"/>
      <c r="N1713" s="340" t="s">
        <v>486</v>
      </c>
      <c r="O1713" s="334">
        <v>207791</v>
      </c>
      <c r="P1713" s="25" t="s">
        <v>98</v>
      </c>
      <c r="Q1713" s="127" t="s">
        <v>285</v>
      </c>
      <c r="R1713" s="232" t="s">
        <v>6548</v>
      </c>
      <c r="S1713" s="89">
        <v>44463</v>
      </c>
      <c r="T1713" s="36">
        <v>180</v>
      </c>
      <c r="U1713" s="125" t="s">
        <v>118</v>
      </c>
      <c r="V1713" s="147" t="s">
        <v>6553</v>
      </c>
      <c r="W1713" s="129"/>
      <c r="X1713" s="88">
        <f t="shared" si="108"/>
        <v>44662</v>
      </c>
      <c r="Y1713" s="130" t="s">
        <v>20</v>
      </c>
      <c r="Z1713" s="133" t="s">
        <v>60</v>
      </c>
      <c r="AA1713" s="133"/>
      <c r="AB1713" s="241">
        <v>200</v>
      </c>
      <c r="AC1713" s="134">
        <v>700</v>
      </c>
      <c r="AD1713" s="134"/>
      <c r="AE1713" s="403">
        <f t="shared" si="101"/>
        <v>140000</v>
      </c>
      <c r="AF1713" s="132"/>
      <c r="AG1713" s="130" t="s">
        <v>46</v>
      </c>
      <c r="AH1713" s="130"/>
      <c r="AI1713" s="130" t="s">
        <v>100</v>
      </c>
      <c r="AJ1713" s="130"/>
      <c r="AK1713" s="130"/>
      <c r="AL1713" s="135" t="s">
        <v>6540</v>
      </c>
      <c r="AM1713" s="314"/>
      <c r="AN1713" s="26">
        <v>44474</v>
      </c>
      <c r="AO1713" s="26">
        <v>44482</v>
      </c>
      <c r="AP1713" s="26">
        <f t="shared" si="107"/>
        <v>44525</v>
      </c>
      <c r="AQ1713" s="26">
        <v>44525</v>
      </c>
      <c r="AR1713" s="24">
        <f>AQ1713+1</f>
        <v>44526</v>
      </c>
      <c r="AS1713" s="24"/>
      <c r="AT1713" s="24">
        <v>44526</v>
      </c>
      <c r="AU1713" s="418">
        <f t="shared" si="102"/>
        <v>11</v>
      </c>
      <c r="AV1713" s="418">
        <f t="shared" si="103"/>
        <v>2021</v>
      </c>
      <c r="AW1713" s="24"/>
      <c r="AX1713" s="24"/>
      <c r="AY1713" s="24" t="s">
        <v>281</v>
      </c>
      <c r="AZ1713" s="24" t="s">
        <v>62</v>
      </c>
      <c r="BA1713" s="24"/>
      <c r="BB1713" s="24" t="s">
        <v>3264</v>
      </c>
      <c r="BC1713" s="128" t="s">
        <v>5264</v>
      </c>
      <c r="BD1713" s="24">
        <v>44482</v>
      </c>
      <c r="BE1713" s="24" t="s">
        <v>6542</v>
      </c>
      <c r="BF1713" s="24" t="s">
        <v>6542</v>
      </c>
      <c r="BG1713" s="135" t="s">
        <v>52</v>
      </c>
      <c r="BH1713" s="135"/>
      <c r="BI1713" s="314" t="s">
        <v>3</v>
      </c>
      <c r="BJ1713" s="314" t="s">
        <v>143</v>
      </c>
      <c r="BK1713" s="24"/>
      <c r="BL1713" s="24"/>
      <c r="BM1713" s="24"/>
      <c r="BN1713" s="24"/>
      <c r="BO1713" s="24"/>
      <c r="BP1713" s="24"/>
      <c r="BQ1713" s="24"/>
      <c r="BR1713" s="24"/>
      <c r="BS1713" s="24"/>
      <c r="BT1713" s="24"/>
      <c r="BU1713" s="24"/>
      <c r="BV1713" s="132" t="e">
        <f>IF(#REF!="COMPLETO","OK","PENDIENTE")</f>
        <v>#REF!</v>
      </c>
      <c r="BW1713" s="132"/>
      <c r="BX1713" s="132"/>
      <c r="BY1713" s="132"/>
      <c r="BZ1713" s="132"/>
      <c r="CA1713" s="132"/>
      <c r="CB1713" s="132"/>
      <c r="CC1713" s="269" t="s">
        <v>6554</v>
      </c>
      <c r="CG1713" s="24" t="s">
        <v>105</v>
      </c>
      <c r="CH1713" s="24"/>
      <c r="CI1713" s="24"/>
      <c r="CJ1713" s="24"/>
    </row>
    <row r="1714" spans="1:88" ht="14.45" customHeight="1">
      <c r="A1714" s="18">
        <v>2021</v>
      </c>
      <c r="B1714" s="18" t="str">
        <f>+INDEX(BDD!F:F,MATCH(P1714,BDD!D:D,0))&amp;"-"&amp;INDEX(BDD!E:E,MATCH(P1714,BDD!D:D,0))</f>
        <v>G-S</v>
      </c>
      <c r="C1714" s="360" t="s">
        <v>484</v>
      </c>
      <c r="D1714" s="150" t="s">
        <v>77</v>
      </c>
      <c r="E1714" s="132"/>
      <c r="F1714" s="24"/>
      <c r="G1714" s="346">
        <v>8000001648</v>
      </c>
      <c r="H1714" s="18" t="s">
        <v>6555</v>
      </c>
      <c r="I1714" s="329"/>
      <c r="J1714" s="346">
        <v>8000001648</v>
      </c>
      <c r="K1714" s="24"/>
      <c r="L1714" s="24">
        <v>0</v>
      </c>
      <c r="M1714" s="24">
        <v>44518</v>
      </c>
      <c r="N1714" s="340" t="s">
        <v>486</v>
      </c>
      <c r="O1714" s="334">
        <v>207951</v>
      </c>
      <c r="P1714" s="25" t="s">
        <v>354</v>
      </c>
      <c r="Q1714" s="127" t="s">
        <v>291</v>
      </c>
      <c r="R1714" s="232" t="s">
        <v>6538</v>
      </c>
      <c r="S1714" s="89">
        <v>44461</v>
      </c>
      <c r="T1714" s="36">
        <v>150</v>
      </c>
      <c r="U1714" s="125" t="s">
        <v>118</v>
      </c>
      <c r="V1714" s="147" t="s">
        <v>6556</v>
      </c>
      <c r="W1714" s="129"/>
      <c r="X1714" s="88">
        <f t="shared" si="108"/>
        <v>44629</v>
      </c>
      <c r="Y1714" s="130" t="s">
        <v>20</v>
      </c>
      <c r="Z1714" s="133" t="s">
        <v>60</v>
      </c>
      <c r="AA1714" s="133"/>
      <c r="AB1714" s="241">
        <v>900</v>
      </c>
      <c r="AC1714" s="134">
        <v>573.24</v>
      </c>
      <c r="AD1714" s="134"/>
      <c r="AE1714" s="403">
        <f t="shared" si="101"/>
        <v>515916</v>
      </c>
      <c r="AF1714" s="132"/>
      <c r="AG1714" s="130" t="s">
        <v>46</v>
      </c>
      <c r="AH1714" s="130"/>
      <c r="AI1714" s="130" t="s">
        <v>100</v>
      </c>
      <c r="AJ1714" s="130"/>
      <c r="AK1714" s="130"/>
      <c r="AL1714" s="135" t="s">
        <v>6540</v>
      </c>
      <c r="AM1714" s="314"/>
      <c r="AN1714" s="26">
        <v>44474</v>
      </c>
      <c r="AO1714" s="26">
        <v>44479</v>
      </c>
      <c r="AP1714" s="26">
        <f t="shared" si="107"/>
        <v>44515</v>
      </c>
      <c r="AQ1714" s="26">
        <v>44515</v>
      </c>
      <c r="AR1714" s="24">
        <f>AP1714+2</f>
        <v>44517</v>
      </c>
      <c r="AS1714" s="24"/>
      <c r="AT1714" s="24">
        <v>44516</v>
      </c>
      <c r="AU1714" s="418">
        <f t="shared" si="102"/>
        <v>11</v>
      </c>
      <c r="AV1714" s="418">
        <f t="shared" si="103"/>
        <v>2021</v>
      </c>
      <c r="AW1714" s="24"/>
      <c r="AX1714" s="24"/>
      <c r="AY1714" s="24" t="s">
        <v>6541</v>
      </c>
      <c r="AZ1714" s="24" t="s">
        <v>9</v>
      </c>
      <c r="BA1714" s="24"/>
      <c r="BB1714" s="24" t="s">
        <v>3264</v>
      </c>
      <c r="BC1714" s="128">
        <v>4</v>
      </c>
      <c r="BD1714" s="24">
        <v>44479</v>
      </c>
      <c r="BE1714" s="24" t="s">
        <v>6542</v>
      </c>
      <c r="BF1714" s="24" t="s">
        <v>6542</v>
      </c>
      <c r="BG1714" s="135" t="s">
        <v>52</v>
      </c>
      <c r="BH1714" s="135"/>
      <c r="BI1714" s="314" t="s">
        <v>3</v>
      </c>
      <c r="BJ1714" s="314" t="s">
        <v>143</v>
      </c>
      <c r="BK1714" s="24"/>
      <c r="BL1714" s="24"/>
      <c r="BM1714" s="24"/>
      <c r="BN1714" s="24"/>
      <c r="BO1714" s="41">
        <f>AQ1714-AO1714</f>
        <v>36</v>
      </c>
      <c r="BP1714" s="41"/>
      <c r="BQ1714" s="41"/>
      <c r="BR1714" s="24"/>
      <c r="BS1714" s="41"/>
      <c r="BT1714" s="41"/>
      <c r="BU1714" s="41"/>
      <c r="BV1714" s="132" t="e">
        <f>IF(#REF!="COMPLETO","OK","PENDIENTE")</f>
        <v>#REF!</v>
      </c>
      <c r="BW1714" s="132"/>
      <c r="BX1714" s="132"/>
      <c r="BY1714" s="132"/>
      <c r="BZ1714" s="132"/>
      <c r="CA1714" s="132"/>
      <c r="CB1714" s="132"/>
      <c r="CC1714" s="269"/>
      <c r="CG1714" s="24" t="s">
        <v>105</v>
      </c>
      <c r="CH1714" s="24"/>
      <c r="CI1714" s="24"/>
      <c r="CJ1714" s="24"/>
    </row>
    <row r="1715" spans="1:88" ht="14.45" customHeight="1">
      <c r="A1715" s="18">
        <v>2021</v>
      </c>
      <c r="B1715" s="18" t="str">
        <f>+INDEX(BDD!F:F,MATCH(P1715,BDD!D:D,0))&amp;"-"&amp;INDEX(BDD!E:E,MATCH(P1715,BDD!D:D,0))</f>
        <v>G-S</v>
      </c>
      <c r="C1715" s="360" t="s">
        <v>484</v>
      </c>
      <c r="D1715" s="150" t="s">
        <v>77</v>
      </c>
      <c r="E1715" s="132"/>
      <c r="F1715" s="24"/>
      <c r="G1715" s="346">
        <v>8000001760</v>
      </c>
      <c r="H1715" s="18" t="s">
        <v>6557</v>
      </c>
      <c r="I1715" s="329"/>
      <c r="J1715" s="346">
        <v>8000001760</v>
      </c>
      <c r="K1715" s="24"/>
      <c r="L1715" s="24">
        <v>0</v>
      </c>
      <c r="M1715" s="24">
        <v>44517</v>
      </c>
      <c r="N1715" s="340" t="s">
        <v>486</v>
      </c>
      <c r="O1715" s="334">
        <v>207951</v>
      </c>
      <c r="P1715" s="25" t="s">
        <v>354</v>
      </c>
      <c r="Q1715" s="127" t="s">
        <v>291</v>
      </c>
      <c r="R1715" s="232" t="s">
        <v>6538</v>
      </c>
      <c r="S1715" s="89">
        <v>44461</v>
      </c>
      <c r="T1715" s="36">
        <v>150</v>
      </c>
      <c r="U1715" s="125" t="s">
        <v>118</v>
      </c>
      <c r="V1715" s="147" t="s">
        <v>6558</v>
      </c>
      <c r="W1715" s="129"/>
      <c r="X1715" s="88">
        <f t="shared" si="108"/>
        <v>44629</v>
      </c>
      <c r="Y1715" s="130" t="s">
        <v>20</v>
      </c>
      <c r="Z1715" s="133" t="s">
        <v>60</v>
      </c>
      <c r="AA1715" s="133"/>
      <c r="AB1715" s="241">
        <v>1000</v>
      </c>
      <c r="AC1715" s="134">
        <v>573.24</v>
      </c>
      <c r="AD1715" s="134"/>
      <c r="AE1715" s="403">
        <f t="shared" si="101"/>
        <v>573240</v>
      </c>
      <c r="AF1715" s="132"/>
      <c r="AG1715" s="130" t="s">
        <v>46</v>
      </c>
      <c r="AH1715" s="130"/>
      <c r="AI1715" s="130" t="s">
        <v>100</v>
      </c>
      <c r="AJ1715" s="130"/>
      <c r="AK1715" s="130"/>
      <c r="AL1715" s="135" t="s">
        <v>6540</v>
      </c>
      <c r="AM1715" s="314"/>
      <c r="AN1715" s="26">
        <v>44474</v>
      </c>
      <c r="AO1715" s="26">
        <v>44482</v>
      </c>
      <c r="AP1715" s="26">
        <f t="shared" si="107"/>
        <v>44518</v>
      </c>
      <c r="AQ1715" s="26">
        <v>44518</v>
      </c>
      <c r="AR1715" s="24">
        <v>44521</v>
      </c>
      <c r="AS1715" s="24"/>
      <c r="AT1715" s="24">
        <v>44523</v>
      </c>
      <c r="AU1715" s="418">
        <f t="shared" si="102"/>
        <v>11</v>
      </c>
      <c r="AV1715" s="418">
        <f t="shared" si="103"/>
        <v>2021</v>
      </c>
      <c r="AW1715" s="24"/>
      <c r="AX1715" s="24"/>
      <c r="AY1715" s="24" t="s">
        <v>6541</v>
      </c>
      <c r="AZ1715" s="24" t="s">
        <v>37</v>
      </c>
      <c r="BA1715" s="24"/>
      <c r="BB1715" s="24" t="s">
        <v>6559</v>
      </c>
      <c r="BC1715" s="128">
        <v>5</v>
      </c>
      <c r="BD1715" s="24">
        <v>44479</v>
      </c>
      <c r="BE1715" s="24" t="s">
        <v>6542</v>
      </c>
      <c r="BF1715" s="24" t="s">
        <v>6542</v>
      </c>
      <c r="BG1715" s="135" t="s">
        <v>52</v>
      </c>
      <c r="BH1715" s="135"/>
      <c r="BI1715" s="314" t="s">
        <v>3</v>
      </c>
      <c r="BJ1715" s="314" t="s">
        <v>143</v>
      </c>
      <c r="BK1715" s="24"/>
      <c r="BL1715" s="24"/>
      <c r="BM1715" s="24"/>
      <c r="BN1715" s="24"/>
      <c r="BO1715" s="41">
        <f>AQ1715-AO1715</f>
        <v>36</v>
      </c>
      <c r="BP1715" s="41"/>
      <c r="BQ1715" s="41"/>
      <c r="BR1715" s="24"/>
      <c r="BS1715" s="41"/>
      <c r="BT1715" s="41"/>
      <c r="BU1715" s="41"/>
      <c r="BV1715" s="132" t="e">
        <f>IF(#REF!="COMPLETO","OK","PENDIENTE")</f>
        <v>#REF!</v>
      </c>
      <c r="BW1715" s="132"/>
      <c r="BX1715" s="132"/>
      <c r="BY1715" s="132"/>
      <c r="BZ1715" s="132"/>
      <c r="CA1715" s="132"/>
      <c r="CB1715" s="132"/>
      <c r="CC1715" s="269" t="s">
        <v>6560</v>
      </c>
      <c r="CG1715" s="24" t="s">
        <v>105</v>
      </c>
      <c r="CH1715" s="24"/>
      <c r="CI1715" s="24"/>
      <c r="CJ1715" s="24"/>
    </row>
    <row r="1716" spans="1:88" ht="14.45" customHeight="1">
      <c r="A1716" s="18">
        <v>2021</v>
      </c>
      <c r="B1716" s="18" t="str">
        <f>+INDEX(BDD!F:F,MATCH(P1716,BDD!D:D,0))&amp;"-"&amp;INDEX(BDD!E:E,MATCH(P1716,BDD!D:D,0))</f>
        <v>G-S</v>
      </c>
      <c r="C1716" s="360" t="s">
        <v>484</v>
      </c>
      <c r="D1716" s="150" t="s">
        <v>77</v>
      </c>
      <c r="E1716" s="132"/>
      <c r="F1716" s="24"/>
      <c r="G1716" s="346">
        <v>8000001650</v>
      </c>
      <c r="H1716" s="18" t="s">
        <v>6561</v>
      </c>
      <c r="I1716" s="329"/>
      <c r="J1716" s="346">
        <v>8000001650</v>
      </c>
      <c r="K1716" s="24"/>
      <c r="L1716" s="24">
        <v>0</v>
      </c>
      <c r="M1716" s="24">
        <v>44529</v>
      </c>
      <c r="N1716" s="340" t="s">
        <v>486</v>
      </c>
      <c r="O1716" s="334">
        <v>207951</v>
      </c>
      <c r="P1716" s="25" t="s">
        <v>354</v>
      </c>
      <c r="Q1716" s="127" t="s">
        <v>291</v>
      </c>
      <c r="R1716" s="232" t="s">
        <v>6538</v>
      </c>
      <c r="S1716" s="89">
        <v>44461</v>
      </c>
      <c r="T1716" s="36">
        <v>150</v>
      </c>
      <c r="U1716" s="125" t="s">
        <v>118</v>
      </c>
      <c r="V1716" s="147" t="s">
        <v>6562</v>
      </c>
      <c r="W1716" s="129"/>
      <c r="X1716" s="88">
        <f t="shared" si="108"/>
        <v>44629</v>
      </c>
      <c r="Y1716" s="130" t="s">
        <v>20</v>
      </c>
      <c r="Z1716" s="133" t="s">
        <v>60</v>
      </c>
      <c r="AA1716" s="133"/>
      <c r="AB1716" s="241">
        <v>800</v>
      </c>
      <c r="AC1716" s="134">
        <v>573.24</v>
      </c>
      <c r="AD1716" s="134"/>
      <c r="AE1716" s="403">
        <f t="shared" si="101"/>
        <v>458592</v>
      </c>
      <c r="AF1716" s="132"/>
      <c r="AG1716" s="130" t="s">
        <v>46</v>
      </c>
      <c r="AH1716" s="130"/>
      <c r="AI1716" s="130" t="s">
        <v>100</v>
      </c>
      <c r="AJ1716" s="130"/>
      <c r="AK1716" s="130"/>
      <c r="AL1716" s="135" t="s">
        <v>6540</v>
      </c>
      <c r="AM1716" s="314"/>
      <c r="AN1716" s="26">
        <v>44474</v>
      </c>
      <c r="AO1716" s="26">
        <v>44482</v>
      </c>
      <c r="AP1716" s="26">
        <f t="shared" si="107"/>
        <v>44525</v>
      </c>
      <c r="AQ1716" s="26">
        <v>44525</v>
      </c>
      <c r="AR1716" s="24">
        <f>AQ1716+1</f>
        <v>44526</v>
      </c>
      <c r="AS1716" s="24"/>
      <c r="AT1716" s="24">
        <v>44526</v>
      </c>
      <c r="AU1716" s="418">
        <f t="shared" si="102"/>
        <v>11</v>
      </c>
      <c r="AV1716" s="418">
        <f t="shared" si="103"/>
        <v>2021</v>
      </c>
      <c r="AW1716" s="24"/>
      <c r="AX1716" s="24"/>
      <c r="AY1716" s="24" t="s">
        <v>6541</v>
      </c>
      <c r="AZ1716" s="24" t="s">
        <v>62</v>
      </c>
      <c r="BA1716" s="24"/>
      <c r="BB1716" s="24" t="s">
        <v>3264</v>
      </c>
      <c r="BC1716" s="128">
        <v>6</v>
      </c>
      <c r="BD1716" s="24">
        <v>44479</v>
      </c>
      <c r="BE1716" s="24" t="s">
        <v>6542</v>
      </c>
      <c r="BF1716" s="24" t="s">
        <v>6542</v>
      </c>
      <c r="BG1716" s="135" t="s">
        <v>52</v>
      </c>
      <c r="BH1716" s="135"/>
      <c r="BI1716" s="314" t="s">
        <v>3</v>
      </c>
      <c r="BJ1716" s="314" t="s">
        <v>143</v>
      </c>
      <c r="BK1716" s="24"/>
      <c r="BL1716" s="24"/>
      <c r="BM1716" s="24"/>
      <c r="BN1716" s="24"/>
      <c r="BO1716" s="41">
        <f>AQ1716-AO1716</f>
        <v>43</v>
      </c>
      <c r="BP1716" s="41"/>
      <c r="BQ1716" s="41"/>
      <c r="BR1716" s="24"/>
      <c r="BS1716" s="41"/>
      <c r="BT1716" s="41"/>
      <c r="BU1716" s="41"/>
      <c r="BV1716" s="132" t="e">
        <f>IF(#REF!="COMPLETO","OK","PENDIENTE")</f>
        <v>#REF!</v>
      </c>
      <c r="BW1716" s="132"/>
      <c r="BX1716" s="132"/>
      <c r="BY1716" s="132"/>
      <c r="BZ1716" s="132"/>
      <c r="CA1716" s="132"/>
      <c r="CB1716" s="132"/>
      <c r="CC1716" s="269"/>
      <c r="CG1716" s="24" t="s">
        <v>105</v>
      </c>
      <c r="CH1716" s="24"/>
      <c r="CI1716" s="24"/>
      <c r="CJ1716" s="24"/>
    </row>
    <row r="1717" spans="1:88" ht="14.45" customHeight="1">
      <c r="A1717" s="18">
        <v>2021</v>
      </c>
      <c r="B1717" s="18" t="str">
        <f>+INDEX(BDD!F:F,MATCH(P1717,BDD!D:D,0))&amp;"-"&amp;INDEX(BDD!E:E,MATCH(P1717,BDD!D:D,0))</f>
        <v>S-S</v>
      </c>
      <c r="C1717" s="360" t="s">
        <v>484</v>
      </c>
      <c r="D1717" s="150" t="s">
        <v>20</v>
      </c>
      <c r="E1717" s="132" t="s">
        <v>1622</v>
      </c>
      <c r="F1717" s="24"/>
      <c r="G1717" s="346"/>
      <c r="H1717" s="18" t="s">
        <v>6563</v>
      </c>
      <c r="I1717" s="329"/>
      <c r="J1717" s="346"/>
      <c r="K1717" s="24"/>
      <c r="L1717" s="24"/>
      <c r="M1717" s="24"/>
      <c r="N1717" s="340"/>
      <c r="O1717" s="334"/>
      <c r="P1717" s="25" t="s">
        <v>340</v>
      </c>
      <c r="Q1717" s="127" t="s">
        <v>273</v>
      </c>
      <c r="R1717" s="232"/>
      <c r="S1717" s="89"/>
      <c r="T1717" s="36"/>
      <c r="U1717" s="125"/>
      <c r="V1717" s="147"/>
      <c r="W1717" s="129"/>
      <c r="X1717" s="88"/>
      <c r="Y1717" s="130"/>
      <c r="Z1717" s="133"/>
      <c r="AA1717" s="133"/>
      <c r="AB1717" s="241"/>
      <c r="AC1717" s="134"/>
      <c r="AD1717" s="134"/>
      <c r="AE1717" s="403">
        <f t="shared" si="101"/>
        <v>0</v>
      </c>
      <c r="AF1717" s="132"/>
      <c r="AG1717" s="130"/>
      <c r="AH1717" s="130"/>
      <c r="AI1717" s="130"/>
      <c r="AJ1717" s="130"/>
      <c r="AK1717" s="130"/>
      <c r="AL1717" s="135"/>
      <c r="AM1717" s="314"/>
      <c r="AN1717" s="26"/>
      <c r="AO1717" s="26"/>
      <c r="AP1717" s="26"/>
      <c r="AQ1717" s="26"/>
      <c r="AR1717" s="24"/>
      <c r="AS1717" s="24"/>
      <c r="AT1717" s="24"/>
      <c r="AU1717" s="418">
        <f t="shared" si="102"/>
        <v>1</v>
      </c>
      <c r="AV1717" s="418">
        <f t="shared" si="103"/>
        <v>1900</v>
      </c>
      <c r="AW1717" s="24"/>
      <c r="AX1717" s="24"/>
      <c r="AY1717" s="24"/>
      <c r="AZ1717" s="24"/>
      <c r="BA1717" s="24"/>
      <c r="BB1717" s="24"/>
      <c r="BC1717" s="128"/>
      <c r="BD1717" s="24"/>
      <c r="BE1717" s="24"/>
      <c r="BF1717" s="24"/>
      <c r="BG1717" s="135"/>
      <c r="BH1717" s="135"/>
      <c r="BI1717" s="314"/>
      <c r="BJ1717" s="314"/>
      <c r="BK1717" s="24"/>
      <c r="BL1717" s="24"/>
      <c r="BM1717" s="24"/>
      <c r="BN1717" s="24"/>
      <c r="BO1717" s="24"/>
      <c r="BP1717" s="24"/>
      <c r="BQ1717" s="24"/>
      <c r="BR1717" s="24"/>
      <c r="BS1717" s="24"/>
      <c r="BT1717" s="24"/>
      <c r="BU1717" s="24"/>
      <c r="BV1717" s="132"/>
      <c r="BW1717" s="132"/>
      <c r="BX1717" s="132"/>
      <c r="BY1717" s="132"/>
      <c r="BZ1717" s="132"/>
      <c r="CA1717" s="132"/>
      <c r="CB1717" s="132"/>
      <c r="CC1717" s="362"/>
      <c r="CD1717" s="22"/>
      <c r="CE1717" s="22"/>
      <c r="CF1717" s="22"/>
      <c r="CG1717" s="24"/>
      <c r="CH1717" s="24"/>
      <c r="CI1717" s="24"/>
      <c r="CJ1717" s="24"/>
    </row>
    <row r="1718" spans="1:88" ht="14.45" customHeight="1">
      <c r="A1718" s="18">
        <v>2021</v>
      </c>
      <c r="B1718" s="18" t="str">
        <f>+INDEX(BDD!F:F,MATCH(P1718,BDD!D:D,0))&amp;"-"&amp;INDEX(BDD!E:E,MATCH(P1718,BDD!D:D,0))</f>
        <v>S-S</v>
      </c>
      <c r="C1718" s="360" t="s">
        <v>484</v>
      </c>
      <c r="D1718" s="150" t="s">
        <v>77</v>
      </c>
      <c r="E1718" s="132"/>
      <c r="F1718" s="24"/>
      <c r="G1718" s="346">
        <v>8000001642</v>
      </c>
      <c r="H1718" s="18" t="s">
        <v>6564</v>
      </c>
      <c r="I1718" s="329"/>
      <c r="J1718" s="346">
        <v>8000001642</v>
      </c>
      <c r="K1718" s="24"/>
      <c r="L1718" s="24">
        <v>0</v>
      </c>
      <c r="M1718" s="24">
        <v>44552</v>
      </c>
      <c r="N1718" s="340" t="s">
        <v>486</v>
      </c>
      <c r="O1718" s="334">
        <v>206914</v>
      </c>
      <c r="P1718" s="25" t="s">
        <v>335</v>
      </c>
      <c r="Q1718" s="127" t="s">
        <v>273</v>
      </c>
      <c r="R1718" s="232" t="s">
        <v>6333</v>
      </c>
      <c r="S1718" s="89">
        <v>44462</v>
      </c>
      <c r="T1718" s="36" t="s">
        <v>19</v>
      </c>
      <c r="U1718" s="125"/>
      <c r="V1718" s="147" t="s">
        <v>6565</v>
      </c>
      <c r="W1718" s="129"/>
      <c r="X1718" s="88">
        <v>44514</v>
      </c>
      <c r="Y1718" s="130" t="s">
        <v>20</v>
      </c>
      <c r="Z1718" s="133" t="s">
        <v>60</v>
      </c>
      <c r="AA1718" s="133"/>
      <c r="AB1718" s="241">
        <v>1000</v>
      </c>
      <c r="AC1718" s="134">
        <v>269</v>
      </c>
      <c r="AD1718" s="134">
        <v>81.25</v>
      </c>
      <c r="AE1718" s="403">
        <f t="shared" si="101"/>
        <v>269000</v>
      </c>
      <c r="AF1718" s="132"/>
      <c r="AG1718" s="130" t="s">
        <v>58</v>
      </c>
      <c r="AH1718" s="130"/>
      <c r="AI1718" s="130" t="s">
        <v>34</v>
      </c>
      <c r="AJ1718" s="130"/>
      <c r="AK1718" s="130"/>
      <c r="AL1718" s="135" t="s">
        <v>6335</v>
      </c>
      <c r="AM1718" s="314"/>
      <c r="AN1718" s="26">
        <v>44491</v>
      </c>
      <c r="AO1718" s="26">
        <v>44518</v>
      </c>
      <c r="AP1718" s="26" t="e">
        <f>+#REF!+35</f>
        <v>#REF!</v>
      </c>
      <c r="AQ1718" s="26">
        <v>44550</v>
      </c>
      <c r="AR1718" s="24">
        <f>AQ1718+7</f>
        <v>44557</v>
      </c>
      <c r="AS1718" s="24"/>
      <c r="AT1718" s="24">
        <v>44553</v>
      </c>
      <c r="AU1718" s="418">
        <f t="shared" si="102"/>
        <v>12</v>
      </c>
      <c r="AV1718" s="418">
        <f t="shared" si="103"/>
        <v>2021</v>
      </c>
      <c r="AW1718" s="24"/>
      <c r="AX1718" s="24"/>
      <c r="AY1718" s="24" t="s">
        <v>230</v>
      </c>
      <c r="AZ1718" s="24" t="s">
        <v>9</v>
      </c>
      <c r="BA1718" s="24"/>
      <c r="BB1718" s="24" t="s">
        <v>2956</v>
      </c>
      <c r="BC1718" s="128" t="s">
        <v>6566</v>
      </c>
      <c r="BD1718" s="24">
        <v>44502</v>
      </c>
      <c r="BE1718" s="24" t="s">
        <v>6337</v>
      </c>
      <c r="BF1718" s="24" t="s">
        <v>6337</v>
      </c>
      <c r="BG1718" s="135" t="s">
        <v>52</v>
      </c>
      <c r="BH1718" s="135"/>
      <c r="BI1718" s="314" t="s">
        <v>3</v>
      </c>
      <c r="BJ1718" s="314"/>
      <c r="BK1718" s="24"/>
      <c r="BL1718" s="24"/>
      <c r="BM1718" s="24"/>
      <c r="BN1718" s="24"/>
      <c r="BO1718" s="24"/>
      <c r="BP1718" s="24"/>
      <c r="BQ1718" s="24"/>
      <c r="BR1718" s="24"/>
      <c r="BS1718" s="24"/>
      <c r="BT1718" s="24"/>
      <c r="BU1718" s="24"/>
      <c r="BV1718" s="132" t="e">
        <f>IF(#REF!="COMPLETO","OK","PENDIENTE")</f>
        <v>#REF!</v>
      </c>
      <c r="BW1718" s="132"/>
      <c r="BX1718" s="132"/>
      <c r="BY1718" s="132"/>
      <c r="BZ1718" s="132"/>
      <c r="CA1718" s="132"/>
      <c r="CB1718" s="132"/>
      <c r="CC1718" s="269"/>
      <c r="CG1718" s="24" t="s">
        <v>105</v>
      </c>
      <c r="CH1718" s="24"/>
      <c r="CI1718" s="24"/>
      <c r="CJ1718" s="24"/>
    </row>
    <row r="1719" spans="1:88" ht="14.45" customHeight="1">
      <c r="A1719" s="18">
        <v>2021</v>
      </c>
      <c r="B1719" s="18" t="str">
        <f>+INDEX(BDD!F:F,MATCH(P1719,BDD!D:D,0))&amp;"-"&amp;INDEX(BDD!E:E,MATCH(P1719,BDD!D:D,0))</f>
        <v>S-S</v>
      </c>
      <c r="C1719" s="360" t="s">
        <v>484</v>
      </c>
      <c r="D1719" s="150" t="s">
        <v>77</v>
      </c>
      <c r="E1719" s="132"/>
      <c r="F1719" s="24"/>
      <c r="G1719" s="346">
        <v>8000001685</v>
      </c>
      <c r="H1719" s="18" t="s">
        <v>6567</v>
      </c>
      <c r="I1719" s="329"/>
      <c r="J1719" s="346">
        <v>8000001685</v>
      </c>
      <c r="K1719" s="24"/>
      <c r="L1719" s="24">
        <v>0</v>
      </c>
      <c r="M1719" s="24">
        <v>44558</v>
      </c>
      <c r="N1719" s="340" t="s">
        <v>486</v>
      </c>
      <c r="O1719" s="334">
        <v>206914</v>
      </c>
      <c r="P1719" s="25" t="s">
        <v>335</v>
      </c>
      <c r="Q1719" s="127" t="s">
        <v>273</v>
      </c>
      <c r="R1719" s="232" t="s">
        <v>6333</v>
      </c>
      <c r="S1719" s="89">
        <v>44462</v>
      </c>
      <c r="T1719" s="36" t="s">
        <v>19</v>
      </c>
      <c r="U1719" s="125"/>
      <c r="V1719" s="147" t="s">
        <v>6568</v>
      </c>
      <c r="W1719" s="129"/>
      <c r="X1719" s="88">
        <v>44514</v>
      </c>
      <c r="Y1719" s="130" t="s">
        <v>20</v>
      </c>
      <c r="Z1719" s="133" t="s">
        <v>60</v>
      </c>
      <c r="AA1719" s="133"/>
      <c r="AB1719" s="241">
        <v>1000</v>
      </c>
      <c r="AC1719" s="134">
        <v>269</v>
      </c>
      <c r="AD1719" s="134">
        <v>81.25</v>
      </c>
      <c r="AE1719" s="403">
        <f t="shared" si="101"/>
        <v>269000</v>
      </c>
      <c r="AF1719" s="132"/>
      <c r="AG1719" s="130" t="s">
        <v>58</v>
      </c>
      <c r="AH1719" s="130"/>
      <c r="AI1719" s="130" t="s">
        <v>34</v>
      </c>
      <c r="AJ1719" s="130"/>
      <c r="AK1719" s="130"/>
      <c r="AL1719" s="135" t="s">
        <v>6335</v>
      </c>
      <c r="AM1719" s="314"/>
      <c r="AN1719" s="26">
        <v>44491</v>
      </c>
      <c r="AO1719" s="26">
        <v>44518</v>
      </c>
      <c r="AP1719" s="26" t="e">
        <f>+AP1718+2</f>
        <v>#REF!</v>
      </c>
      <c r="AQ1719" s="26">
        <v>44555</v>
      </c>
      <c r="AR1719" s="24">
        <f>AQ1719+2</f>
        <v>44557</v>
      </c>
      <c r="AS1719" s="24"/>
      <c r="AT1719" s="24">
        <v>44555</v>
      </c>
      <c r="AU1719" s="418">
        <f t="shared" si="102"/>
        <v>12</v>
      </c>
      <c r="AV1719" s="418">
        <f t="shared" si="103"/>
        <v>2021</v>
      </c>
      <c r="AW1719" s="24"/>
      <c r="AX1719" s="24"/>
      <c r="AY1719" s="24" t="s">
        <v>230</v>
      </c>
      <c r="AZ1719" s="24" t="s">
        <v>25</v>
      </c>
      <c r="BA1719" s="24"/>
      <c r="BB1719" s="24" t="s">
        <v>3264</v>
      </c>
      <c r="BC1719" s="128" t="s">
        <v>6569</v>
      </c>
      <c r="BD1719" s="24">
        <v>44502</v>
      </c>
      <c r="BE1719" s="24" t="s">
        <v>6337</v>
      </c>
      <c r="BF1719" s="24" t="s">
        <v>6337</v>
      </c>
      <c r="BG1719" s="135" t="s">
        <v>52</v>
      </c>
      <c r="BH1719" s="135"/>
      <c r="BI1719" s="314" t="s">
        <v>3</v>
      </c>
      <c r="BJ1719" s="314"/>
      <c r="BK1719" s="24"/>
      <c r="BL1719" s="24"/>
      <c r="BM1719" s="24"/>
      <c r="BN1719" s="24"/>
      <c r="BO1719" s="24"/>
      <c r="BP1719" s="24"/>
      <c r="BQ1719" s="24"/>
      <c r="BR1719" s="24"/>
      <c r="BS1719" s="24"/>
      <c r="BT1719" s="24"/>
      <c r="BU1719" s="24"/>
      <c r="BV1719" s="132" t="e">
        <f>IF(#REF!="COMPLETO","OK","PENDIENTE")</f>
        <v>#REF!</v>
      </c>
      <c r="BW1719" s="132"/>
      <c r="BX1719" s="132"/>
      <c r="BY1719" s="132"/>
      <c r="BZ1719" s="132"/>
      <c r="CA1719" s="132"/>
      <c r="CB1719" s="132"/>
      <c r="CC1719" s="269"/>
      <c r="CG1719" s="24" t="s">
        <v>105</v>
      </c>
      <c r="CH1719" s="24"/>
      <c r="CI1719" s="24"/>
      <c r="CJ1719" s="24"/>
    </row>
    <row r="1720" spans="1:88" ht="14.45" customHeight="1">
      <c r="A1720" s="18">
        <v>2021</v>
      </c>
      <c r="B1720" s="18" t="str">
        <f>+INDEX(BDD!F:F,MATCH(P1720,BDD!D:D,0))&amp;"-"&amp;INDEX(BDD!E:E,MATCH(P1720,BDD!D:D,0))</f>
        <v>S-S</v>
      </c>
      <c r="C1720" s="360" t="s">
        <v>484</v>
      </c>
      <c r="D1720" s="150" t="s">
        <v>77</v>
      </c>
      <c r="E1720" s="132"/>
      <c r="F1720" s="135"/>
      <c r="G1720" s="346">
        <v>8000001819</v>
      </c>
      <c r="H1720" s="18" t="s">
        <v>6570</v>
      </c>
      <c r="I1720" s="329"/>
      <c r="J1720" s="346">
        <v>8000001819</v>
      </c>
      <c r="K1720" s="24"/>
      <c r="L1720" s="24">
        <v>44566</v>
      </c>
      <c r="M1720" s="24">
        <v>44566</v>
      </c>
      <c r="N1720" s="340" t="s">
        <v>486</v>
      </c>
      <c r="O1720" s="334">
        <v>206914</v>
      </c>
      <c r="P1720" s="25" t="s">
        <v>335</v>
      </c>
      <c r="Q1720" s="127" t="s">
        <v>273</v>
      </c>
      <c r="R1720" s="232" t="s">
        <v>6333</v>
      </c>
      <c r="S1720" s="89">
        <v>44462</v>
      </c>
      <c r="T1720" s="36" t="s">
        <v>19</v>
      </c>
      <c r="U1720" s="125"/>
      <c r="V1720" s="147" t="s">
        <v>6571</v>
      </c>
      <c r="W1720" s="129"/>
      <c r="X1720" s="88">
        <v>44563</v>
      </c>
      <c r="Y1720" s="130" t="s">
        <v>20</v>
      </c>
      <c r="Z1720" s="133" t="s">
        <v>60</v>
      </c>
      <c r="AA1720" s="133"/>
      <c r="AB1720" s="241">
        <v>2.5</v>
      </c>
      <c r="AC1720" s="134">
        <v>269</v>
      </c>
      <c r="AD1720" s="134">
        <v>81.25</v>
      </c>
      <c r="AE1720" s="403">
        <f t="shared" si="101"/>
        <v>672.5</v>
      </c>
      <c r="AF1720" s="132"/>
      <c r="AG1720" s="130" t="s">
        <v>58</v>
      </c>
      <c r="AH1720" s="130"/>
      <c r="AI1720" s="130" t="s">
        <v>34</v>
      </c>
      <c r="AJ1720" s="130"/>
      <c r="AK1720" s="130"/>
      <c r="AL1720" s="135" t="s">
        <v>6335</v>
      </c>
      <c r="AM1720" s="314"/>
      <c r="AN1720" s="26">
        <v>44491</v>
      </c>
      <c r="AO1720" s="26">
        <v>44518</v>
      </c>
      <c r="AP1720" s="26">
        <f>AQ1720</f>
        <v>44562</v>
      </c>
      <c r="AQ1720" s="26">
        <v>44562</v>
      </c>
      <c r="AR1720" s="24">
        <f>AQ1720+1</f>
        <v>44563</v>
      </c>
      <c r="AS1720" s="24"/>
      <c r="AT1720" s="24">
        <f>+AQ1720+2</f>
        <v>44564</v>
      </c>
      <c r="AU1720" s="418">
        <f t="shared" si="102"/>
        <v>1</v>
      </c>
      <c r="AV1720" s="418">
        <f t="shared" si="103"/>
        <v>2022</v>
      </c>
      <c r="AW1720" s="24"/>
      <c r="AX1720" s="24"/>
      <c r="AY1720" s="24" t="s">
        <v>230</v>
      </c>
      <c r="AZ1720" s="24" t="s">
        <v>62</v>
      </c>
      <c r="BA1720" s="24"/>
      <c r="BB1720" s="24" t="s">
        <v>3264</v>
      </c>
      <c r="BC1720" s="128" t="s">
        <v>6572</v>
      </c>
      <c r="BD1720" s="24">
        <v>44502</v>
      </c>
      <c r="BE1720" s="24" t="s">
        <v>6337</v>
      </c>
      <c r="BF1720" s="24" t="s">
        <v>6337</v>
      </c>
      <c r="BG1720" s="135" t="s">
        <v>52</v>
      </c>
      <c r="BH1720" s="135"/>
      <c r="BI1720" s="314" t="s">
        <v>3</v>
      </c>
      <c r="BJ1720" s="314"/>
      <c r="BK1720" s="24"/>
      <c r="BL1720" s="24"/>
      <c r="BM1720" s="24"/>
      <c r="BN1720" s="24"/>
      <c r="BO1720" s="24"/>
      <c r="BP1720" s="24"/>
      <c r="BQ1720" s="24"/>
      <c r="BR1720" s="24"/>
      <c r="BS1720" s="24"/>
      <c r="BT1720" s="24"/>
      <c r="BU1720" s="24"/>
      <c r="BV1720" s="132" t="e">
        <f>IF(#REF!="COMPLETO","OK","PENDIENTES")</f>
        <v>#REF!</v>
      </c>
      <c r="BW1720" s="132"/>
      <c r="BX1720" s="132"/>
      <c r="BY1720" s="132"/>
      <c r="BZ1720" s="132"/>
      <c r="CA1720" s="132"/>
      <c r="CB1720" s="132"/>
      <c r="CC1720" s="269"/>
      <c r="CG1720" s="135" t="s">
        <v>105</v>
      </c>
      <c r="CH1720" s="135"/>
      <c r="CI1720" s="24"/>
      <c r="CJ1720" s="24"/>
    </row>
    <row r="1721" spans="1:88" ht="14.45" customHeight="1">
      <c r="A1721" s="18">
        <v>2021</v>
      </c>
      <c r="B1721" s="18" t="str">
        <f>+INDEX(BDD!F:F,MATCH(P1721,BDD!D:D,0))&amp;"-"&amp;INDEX(BDD!E:E,MATCH(P1721,BDD!D:D,0))</f>
        <v>S-S</v>
      </c>
      <c r="C1721" s="360" t="s">
        <v>484</v>
      </c>
      <c r="D1721" s="150" t="s">
        <v>20</v>
      </c>
      <c r="E1721" s="132" t="s">
        <v>1622</v>
      </c>
      <c r="F1721" s="24"/>
      <c r="G1721" s="346"/>
      <c r="H1721" s="18" t="s">
        <v>6573</v>
      </c>
      <c r="I1721" s="329"/>
      <c r="J1721" s="346"/>
      <c r="K1721" s="24"/>
      <c r="L1721" s="24"/>
      <c r="M1721" s="24"/>
      <c r="N1721" s="340"/>
      <c r="O1721" s="334"/>
      <c r="P1721" s="25" t="s">
        <v>316</v>
      </c>
      <c r="Q1721" s="127" t="s">
        <v>273</v>
      </c>
      <c r="R1721" s="232"/>
      <c r="S1721" s="89"/>
      <c r="T1721" s="36"/>
      <c r="U1721" s="125"/>
      <c r="V1721" s="147"/>
      <c r="W1721" s="129"/>
      <c r="X1721" s="88"/>
      <c r="Y1721" s="130"/>
      <c r="Z1721" s="133"/>
      <c r="AA1721" s="133"/>
      <c r="AB1721" s="241"/>
      <c r="AC1721" s="134"/>
      <c r="AD1721" s="134"/>
      <c r="AE1721" s="403">
        <f t="shared" si="101"/>
        <v>0</v>
      </c>
      <c r="AF1721" s="132"/>
      <c r="AG1721" s="130"/>
      <c r="AH1721" s="130"/>
      <c r="AI1721" s="130"/>
      <c r="AJ1721" s="130"/>
      <c r="AK1721" s="130"/>
      <c r="AL1721" s="135"/>
      <c r="AM1721" s="314"/>
      <c r="AN1721" s="26"/>
      <c r="AO1721" s="26"/>
      <c r="AP1721" s="26"/>
      <c r="AQ1721" s="26"/>
      <c r="AR1721" s="24"/>
      <c r="AS1721" s="24"/>
      <c r="AT1721" s="24"/>
      <c r="AU1721" s="418">
        <f t="shared" si="102"/>
        <v>1</v>
      </c>
      <c r="AV1721" s="418">
        <f t="shared" si="103"/>
        <v>1900</v>
      </c>
      <c r="AW1721" s="24"/>
      <c r="AX1721" s="24"/>
      <c r="AY1721" s="24"/>
      <c r="AZ1721" s="24"/>
      <c r="BA1721" s="24"/>
      <c r="BB1721" s="24"/>
      <c r="BC1721" s="128"/>
      <c r="BD1721" s="24"/>
      <c r="BE1721" s="24"/>
      <c r="BF1721" s="24"/>
      <c r="BG1721" s="135"/>
      <c r="BH1721" s="135"/>
      <c r="BI1721" s="314"/>
      <c r="BJ1721" s="314"/>
      <c r="BK1721" s="24"/>
      <c r="BL1721" s="24"/>
      <c r="BM1721" s="24"/>
      <c r="BN1721" s="24"/>
      <c r="BO1721" s="24"/>
      <c r="BP1721" s="24"/>
      <c r="BQ1721" s="24"/>
      <c r="BR1721" s="24"/>
      <c r="BS1721" s="24"/>
      <c r="BT1721" s="24"/>
      <c r="BU1721" s="24"/>
      <c r="BV1721" s="132"/>
      <c r="BW1721" s="132"/>
      <c r="BX1721" s="132"/>
      <c r="BY1721" s="132"/>
      <c r="BZ1721" s="132"/>
      <c r="CA1721" s="132"/>
      <c r="CB1721" s="132"/>
      <c r="CC1721" s="362"/>
      <c r="CD1721" s="22"/>
      <c r="CE1721" s="22"/>
      <c r="CF1721" s="22"/>
      <c r="CG1721" s="24"/>
      <c r="CH1721" s="24"/>
      <c r="CI1721" s="24"/>
      <c r="CJ1721" s="24"/>
    </row>
    <row r="1722" spans="1:88" ht="14.45" customHeight="1">
      <c r="A1722" s="18">
        <v>2021</v>
      </c>
      <c r="B1722" s="18" t="str">
        <f>+INDEX(BDD!F:F,MATCH(P1722,BDD!D:D,0))&amp;"-"&amp;INDEX(BDD!E:E,MATCH(P1722,BDD!D:D,0))</f>
        <v>S-S</v>
      </c>
      <c r="C1722" s="360" t="s">
        <v>484</v>
      </c>
      <c r="D1722" s="150" t="s">
        <v>20</v>
      </c>
      <c r="E1722" s="132" t="s">
        <v>1622</v>
      </c>
      <c r="F1722" s="24"/>
      <c r="G1722" s="346"/>
      <c r="H1722" s="18" t="s">
        <v>6574</v>
      </c>
      <c r="I1722" s="329"/>
      <c r="J1722" s="346"/>
      <c r="K1722" s="24"/>
      <c r="L1722" s="24"/>
      <c r="M1722" s="24"/>
      <c r="N1722" s="340"/>
      <c r="O1722" s="334"/>
      <c r="P1722" s="25" t="s">
        <v>152</v>
      </c>
      <c r="Q1722" s="127" t="s">
        <v>273</v>
      </c>
      <c r="R1722" s="232"/>
      <c r="S1722" s="89"/>
      <c r="T1722" s="36"/>
      <c r="U1722" s="125"/>
      <c r="V1722" s="147"/>
      <c r="W1722" s="129"/>
      <c r="X1722" s="88"/>
      <c r="Y1722" s="130"/>
      <c r="Z1722" s="133"/>
      <c r="AA1722" s="133"/>
      <c r="AB1722" s="241"/>
      <c r="AC1722" s="134"/>
      <c r="AD1722" s="134"/>
      <c r="AE1722" s="403">
        <f t="shared" si="101"/>
        <v>0</v>
      </c>
      <c r="AF1722" s="132"/>
      <c r="AG1722" s="130"/>
      <c r="AH1722" s="130"/>
      <c r="AI1722" s="130"/>
      <c r="AJ1722" s="130"/>
      <c r="AK1722" s="130"/>
      <c r="AL1722" s="135"/>
      <c r="AM1722" s="314"/>
      <c r="AN1722" s="26"/>
      <c r="AO1722" s="26"/>
      <c r="AP1722" s="26"/>
      <c r="AQ1722" s="26"/>
      <c r="AR1722" s="24"/>
      <c r="AS1722" s="24"/>
      <c r="AT1722" s="24"/>
      <c r="AU1722" s="418">
        <f t="shared" si="102"/>
        <v>1</v>
      </c>
      <c r="AV1722" s="418">
        <f t="shared" si="103"/>
        <v>1900</v>
      </c>
      <c r="AW1722" s="24"/>
      <c r="AX1722" s="24"/>
      <c r="AY1722" s="24"/>
      <c r="AZ1722" s="24"/>
      <c r="BA1722" s="24"/>
      <c r="BB1722" s="24"/>
      <c r="BC1722" s="128"/>
      <c r="BD1722" s="24"/>
      <c r="BE1722" s="24"/>
      <c r="BF1722" s="24"/>
      <c r="BG1722" s="135"/>
      <c r="BH1722" s="135"/>
      <c r="BI1722" s="314"/>
      <c r="BJ1722" s="314"/>
      <c r="BK1722" s="24"/>
      <c r="BL1722" s="24"/>
      <c r="BM1722" s="24"/>
      <c r="BN1722" s="24"/>
      <c r="BO1722" s="24"/>
      <c r="BP1722" s="24"/>
      <c r="BQ1722" s="24"/>
      <c r="BR1722" s="24"/>
      <c r="BS1722" s="24"/>
      <c r="BT1722" s="24"/>
      <c r="BU1722" s="24"/>
      <c r="BV1722" s="132"/>
      <c r="BW1722" s="132"/>
      <c r="BX1722" s="132"/>
      <c r="BY1722" s="132"/>
      <c r="BZ1722" s="132"/>
      <c r="CA1722" s="132"/>
      <c r="CB1722" s="132"/>
      <c r="CC1722" s="362"/>
      <c r="CD1722" s="22"/>
      <c r="CE1722" s="22"/>
      <c r="CF1722" s="22"/>
      <c r="CG1722" s="24"/>
      <c r="CH1722" s="24"/>
      <c r="CI1722" s="24"/>
      <c r="CJ1722" s="24"/>
    </row>
    <row r="1723" spans="1:88" ht="14.45" customHeight="1">
      <c r="A1723" s="18">
        <v>2021</v>
      </c>
      <c r="B1723" s="18" t="str">
        <f>+INDEX(BDD!F:F,MATCH(P1723,BDD!D:D,0))&amp;"-"&amp;INDEX(BDD!E:E,MATCH(P1723,BDD!D:D,0))</f>
        <v>E-S</v>
      </c>
      <c r="C1723" s="360" t="s">
        <v>484</v>
      </c>
      <c r="D1723" s="150" t="s">
        <v>77</v>
      </c>
      <c r="E1723" s="132"/>
      <c r="F1723" s="24"/>
      <c r="G1723" s="346">
        <v>8000001567</v>
      </c>
      <c r="H1723" s="18" t="s">
        <v>6575</v>
      </c>
      <c r="I1723" s="329"/>
      <c r="J1723" s="346">
        <v>8000001567</v>
      </c>
      <c r="K1723" s="24"/>
      <c r="L1723" s="24">
        <v>0</v>
      </c>
      <c r="M1723" s="24">
        <v>44530</v>
      </c>
      <c r="N1723" s="340" t="s">
        <v>486</v>
      </c>
      <c r="O1723" s="334">
        <v>207522</v>
      </c>
      <c r="P1723" s="25" t="s">
        <v>298</v>
      </c>
      <c r="Q1723" s="127" t="s">
        <v>183</v>
      </c>
      <c r="R1723" s="232" t="s">
        <v>6576</v>
      </c>
      <c r="S1723" s="89">
        <v>44459</v>
      </c>
      <c r="T1723" s="36" t="s">
        <v>19</v>
      </c>
      <c r="U1723" s="125"/>
      <c r="V1723" s="147" t="s">
        <v>6577</v>
      </c>
      <c r="W1723" s="129"/>
      <c r="X1723" s="88">
        <v>44496</v>
      </c>
      <c r="Y1723" s="130" t="s">
        <v>20</v>
      </c>
      <c r="Z1723" s="133" t="s">
        <v>60</v>
      </c>
      <c r="AA1723" s="133"/>
      <c r="AB1723" s="241">
        <v>277.3</v>
      </c>
      <c r="AC1723" s="134">
        <v>269.83</v>
      </c>
      <c r="AD1723" s="134"/>
      <c r="AE1723" s="403">
        <f t="shared" si="101"/>
        <v>74823.858999999997</v>
      </c>
      <c r="AF1723" s="132">
        <v>10</v>
      </c>
      <c r="AG1723" s="130" t="s">
        <v>5</v>
      </c>
      <c r="AH1723" s="130"/>
      <c r="AI1723" s="130" t="s">
        <v>100</v>
      </c>
      <c r="AJ1723" s="130"/>
      <c r="AK1723" s="130"/>
      <c r="AL1723" s="135" t="s">
        <v>6578</v>
      </c>
      <c r="AM1723" s="314"/>
      <c r="AN1723" s="26">
        <f>BL1723</f>
        <v>0</v>
      </c>
      <c r="AO1723" s="26">
        <v>44480</v>
      </c>
      <c r="AP1723" s="26">
        <f>AQ1723</f>
        <v>44526</v>
      </c>
      <c r="AQ1723" s="26">
        <v>44526</v>
      </c>
      <c r="AR1723" s="24">
        <f>AQ1723+4</f>
        <v>44530</v>
      </c>
      <c r="AS1723" s="24"/>
      <c r="AT1723" s="24">
        <v>44529</v>
      </c>
      <c r="AU1723" s="418">
        <f t="shared" si="102"/>
        <v>11</v>
      </c>
      <c r="AV1723" s="418">
        <f t="shared" si="103"/>
        <v>2021</v>
      </c>
      <c r="AW1723" s="24"/>
      <c r="AX1723" s="24"/>
      <c r="AY1723" s="24" t="s">
        <v>6580</v>
      </c>
      <c r="AZ1723" s="24" t="s">
        <v>37</v>
      </c>
      <c r="BA1723" s="24"/>
      <c r="BB1723" s="24" t="s">
        <v>5564</v>
      </c>
      <c r="BC1723" s="128" t="s">
        <v>6579</v>
      </c>
      <c r="BD1723" s="24">
        <v>44485</v>
      </c>
      <c r="BE1723" s="24" t="s">
        <v>6581</v>
      </c>
      <c r="BF1723" s="24" t="s">
        <v>4776</v>
      </c>
      <c r="BG1723" s="135" t="s">
        <v>65</v>
      </c>
      <c r="BH1723" s="135"/>
      <c r="BI1723" s="314" t="s">
        <v>3</v>
      </c>
      <c r="BJ1723" s="314" t="s">
        <v>148</v>
      </c>
      <c r="BK1723" s="24"/>
      <c r="BL1723" s="24"/>
      <c r="BM1723" s="24"/>
      <c r="BN1723" s="24"/>
      <c r="BO1723" s="24">
        <f>AQ1723+6</f>
        <v>44532</v>
      </c>
      <c r="BP1723" s="24"/>
      <c r="BQ1723" s="24"/>
      <c r="BR1723" s="24"/>
      <c r="BS1723" s="24"/>
      <c r="BT1723" s="24"/>
      <c r="BU1723" s="24"/>
      <c r="BV1723" s="132" t="e">
        <f>IF(#REF!="COMPLETO","OK","PENDIENTE")</f>
        <v>#REF!</v>
      </c>
      <c r="BW1723" s="132"/>
      <c r="BX1723" s="132"/>
      <c r="BY1723" s="132"/>
      <c r="BZ1723" s="132"/>
      <c r="CA1723" s="132"/>
      <c r="CB1723" s="132"/>
      <c r="CC1723" s="269"/>
      <c r="CG1723" s="24" t="s">
        <v>105</v>
      </c>
      <c r="CH1723" s="24"/>
      <c r="CI1723" s="24"/>
      <c r="CJ1723" s="24"/>
    </row>
    <row r="1724" spans="1:88" ht="14.45" customHeight="1">
      <c r="A1724" s="18">
        <v>2021</v>
      </c>
      <c r="B1724" s="18" t="str">
        <f>+INDEX(BDD!F:F,MATCH(P1724,BDD!D:D,0))&amp;"-"&amp;INDEX(BDD!E:E,MATCH(P1724,BDD!D:D,0))</f>
        <v>E-S</v>
      </c>
      <c r="C1724" s="360" t="s">
        <v>484</v>
      </c>
      <c r="D1724" s="150" t="s">
        <v>77</v>
      </c>
      <c r="E1724" s="132"/>
      <c r="F1724" s="24"/>
      <c r="G1724" s="346">
        <v>8000001568</v>
      </c>
      <c r="H1724" s="18" t="s">
        <v>6582</v>
      </c>
      <c r="I1724" s="329"/>
      <c r="J1724" s="346">
        <v>8000001568</v>
      </c>
      <c r="K1724" s="24"/>
      <c r="L1724" s="24">
        <v>0</v>
      </c>
      <c r="M1724" s="24">
        <v>44532</v>
      </c>
      <c r="N1724" s="340" t="s">
        <v>486</v>
      </c>
      <c r="O1724" s="334">
        <v>207522</v>
      </c>
      <c r="P1724" s="25" t="s">
        <v>298</v>
      </c>
      <c r="Q1724" s="127" t="s">
        <v>183</v>
      </c>
      <c r="R1724" s="232" t="s">
        <v>6583</v>
      </c>
      <c r="S1724" s="89">
        <v>44459</v>
      </c>
      <c r="T1724" s="36" t="s">
        <v>19</v>
      </c>
      <c r="U1724" s="125"/>
      <c r="V1724" s="147" t="s">
        <v>6584</v>
      </c>
      <c r="W1724" s="129"/>
      <c r="X1724" s="88">
        <v>44490</v>
      </c>
      <c r="Y1724" s="130" t="s">
        <v>20</v>
      </c>
      <c r="Z1724" s="133" t="s">
        <v>60</v>
      </c>
      <c r="AA1724" s="133"/>
      <c r="AB1724" s="241">
        <v>219.96</v>
      </c>
      <c r="AC1724" s="134">
        <v>281.07</v>
      </c>
      <c r="AD1724" s="134"/>
      <c r="AE1724" s="403">
        <f t="shared" si="101"/>
        <v>61824.157200000001</v>
      </c>
      <c r="AF1724" s="132">
        <v>8</v>
      </c>
      <c r="AG1724" s="130" t="s">
        <v>5</v>
      </c>
      <c r="AH1724" s="130"/>
      <c r="AI1724" s="130" t="s">
        <v>100</v>
      </c>
      <c r="AJ1724" s="130"/>
      <c r="AK1724" s="130"/>
      <c r="AL1724" s="135" t="s">
        <v>6578</v>
      </c>
      <c r="AM1724" s="314"/>
      <c r="AN1724" s="26">
        <f>BL1724</f>
        <v>0</v>
      </c>
      <c r="AO1724" s="26">
        <v>44481</v>
      </c>
      <c r="AP1724" s="26">
        <f>AQ1724</f>
        <v>44526</v>
      </c>
      <c r="AQ1724" s="26">
        <v>44526</v>
      </c>
      <c r="AR1724" s="24">
        <f>AQ1724+4</f>
        <v>44530</v>
      </c>
      <c r="AS1724" s="24"/>
      <c r="AT1724" s="24">
        <v>44532</v>
      </c>
      <c r="AU1724" s="418">
        <f t="shared" si="102"/>
        <v>12</v>
      </c>
      <c r="AV1724" s="418">
        <f t="shared" si="103"/>
        <v>2021</v>
      </c>
      <c r="AW1724" s="24"/>
      <c r="AX1724" s="24"/>
      <c r="AY1724" s="24" t="s">
        <v>6580</v>
      </c>
      <c r="AZ1724" s="24" t="s">
        <v>9</v>
      </c>
      <c r="BA1724" s="24"/>
      <c r="BB1724" s="24" t="s">
        <v>3519</v>
      </c>
      <c r="BC1724" s="128" t="s">
        <v>6585</v>
      </c>
      <c r="BD1724" s="24">
        <v>44480</v>
      </c>
      <c r="BE1724" s="24" t="s">
        <v>6586</v>
      </c>
      <c r="BF1724" s="24" t="s">
        <v>994</v>
      </c>
      <c r="BG1724" s="135" t="s">
        <v>65</v>
      </c>
      <c r="BH1724" s="135"/>
      <c r="BI1724" s="314" t="s">
        <v>3</v>
      </c>
      <c r="BJ1724" s="314" t="s">
        <v>148</v>
      </c>
      <c r="BK1724" s="24"/>
      <c r="BL1724" s="24"/>
      <c r="BM1724" s="24"/>
      <c r="BN1724" s="24"/>
      <c r="BO1724" s="24">
        <f>AQ1724+6</f>
        <v>44532</v>
      </c>
      <c r="BP1724" s="24"/>
      <c r="BQ1724" s="24"/>
      <c r="BR1724" s="24"/>
      <c r="BS1724" s="24"/>
      <c r="BT1724" s="24"/>
      <c r="BU1724" s="24"/>
      <c r="BV1724" s="132" t="e">
        <f>IF(#REF!="COMPLETO","OK","PENDIENTE")</f>
        <v>#REF!</v>
      </c>
      <c r="BW1724" s="132"/>
      <c r="BX1724" s="132"/>
      <c r="BY1724" s="132"/>
      <c r="BZ1724" s="132"/>
      <c r="CA1724" s="132"/>
      <c r="CB1724" s="132"/>
      <c r="CC1724" s="269"/>
      <c r="CG1724" s="24" t="s">
        <v>105</v>
      </c>
      <c r="CH1724" s="24"/>
      <c r="CI1724" s="24"/>
      <c r="CJ1724" s="24"/>
    </row>
    <row r="1725" spans="1:88" ht="14.45" customHeight="1">
      <c r="A1725" s="18">
        <v>2021</v>
      </c>
      <c r="B1725" s="18" t="str">
        <f>+INDEX(BDD!F:F,MATCH(P1725,BDD!D:D,0))&amp;"-"&amp;INDEX(BDD!E:E,MATCH(P1725,BDD!D:D,0))</f>
        <v>E-S</v>
      </c>
      <c r="C1725" s="360" t="s">
        <v>484</v>
      </c>
      <c r="D1725" s="150" t="s">
        <v>77</v>
      </c>
      <c r="E1725" s="132"/>
      <c r="F1725" s="24"/>
      <c r="G1725" s="346">
        <v>8000001595</v>
      </c>
      <c r="H1725" s="18" t="s">
        <v>6587</v>
      </c>
      <c r="I1725" s="329"/>
      <c r="J1725" s="346">
        <v>8000001595</v>
      </c>
      <c r="K1725" s="24"/>
      <c r="L1725" s="24">
        <v>0</v>
      </c>
      <c r="M1725" s="24">
        <v>44560</v>
      </c>
      <c r="N1725" s="340" t="s">
        <v>486</v>
      </c>
      <c r="O1725" s="334">
        <v>204207</v>
      </c>
      <c r="P1725" s="25" t="s">
        <v>295</v>
      </c>
      <c r="Q1725" s="127" t="s">
        <v>258</v>
      </c>
      <c r="R1725" s="232" t="s">
        <v>544</v>
      </c>
      <c r="S1725" s="89">
        <v>44469</v>
      </c>
      <c r="T1725" s="36">
        <v>150</v>
      </c>
      <c r="U1725" s="125" t="s">
        <v>118</v>
      </c>
      <c r="V1725" s="147" t="s">
        <v>6588</v>
      </c>
      <c r="W1725" s="129"/>
      <c r="X1725" s="88">
        <v>44648</v>
      </c>
      <c r="Y1725" s="130" t="s">
        <v>20</v>
      </c>
      <c r="Z1725" s="133" t="s">
        <v>81</v>
      </c>
      <c r="AA1725" s="133"/>
      <c r="AB1725" s="241">
        <v>49</v>
      </c>
      <c r="AC1725" s="134">
        <v>2100</v>
      </c>
      <c r="AD1725" s="134">
        <v>4809</v>
      </c>
      <c r="AE1725" s="403">
        <f t="shared" si="101"/>
        <v>102900</v>
      </c>
      <c r="AF1725" s="132">
        <v>2</v>
      </c>
      <c r="AG1725" s="130" t="s">
        <v>5</v>
      </c>
      <c r="AH1725" s="130"/>
      <c r="AI1725" s="130" t="s">
        <v>34</v>
      </c>
      <c r="AJ1725" s="130"/>
      <c r="AK1725" s="130"/>
      <c r="AL1725" s="135" t="s">
        <v>6589</v>
      </c>
      <c r="AM1725" s="314"/>
      <c r="AN1725" s="26">
        <v>44510</v>
      </c>
      <c r="AO1725" s="26">
        <v>44498</v>
      </c>
      <c r="AP1725" s="26">
        <v>44549</v>
      </c>
      <c r="AQ1725" s="26">
        <v>44552</v>
      </c>
      <c r="AR1725" s="24">
        <f>AQ1725+4</f>
        <v>44556</v>
      </c>
      <c r="AS1725" s="41"/>
      <c r="AT1725" s="24">
        <v>44557</v>
      </c>
      <c r="AU1725" s="418">
        <f t="shared" si="102"/>
        <v>12</v>
      </c>
      <c r="AV1725" s="418">
        <f t="shared" si="103"/>
        <v>2021</v>
      </c>
      <c r="AW1725" s="24"/>
      <c r="AX1725" s="24"/>
      <c r="AY1725" s="24" t="s">
        <v>157</v>
      </c>
      <c r="AZ1725" s="24" t="s">
        <v>37</v>
      </c>
      <c r="BA1725" s="24"/>
      <c r="BB1725" s="24" t="s">
        <v>3291</v>
      </c>
      <c r="BC1725" s="128" t="s">
        <v>6590</v>
      </c>
      <c r="BD1725" s="24">
        <v>44498</v>
      </c>
      <c r="BE1725" s="24" t="s">
        <v>6591</v>
      </c>
      <c r="BF1725" s="24" t="s">
        <v>6592</v>
      </c>
      <c r="BG1725" s="135" t="s">
        <v>41</v>
      </c>
      <c r="BH1725" s="135"/>
      <c r="BI1725" s="314" t="s">
        <v>3</v>
      </c>
      <c r="BJ1725" s="314" t="s">
        <v>143</v>
      </c>
      <c r="BK1725" s="24"/>
      <c r="BL1725" s="24"/>
      <c r="BM1725" s="24"/>
      <c r="BN1725" s="24"/>
      <c r="BO1725" s="24">
        <f>AQ1725+10</f>
        <v>44562</v>
      </c>
      <c r="BP1725" s="24"/>
      <c r="BQ1725" s="24"/>
      <c r="BR1725" s="24"/>
      <c r="BS1725" s="24"/>
      <c r="BT1725" s="24"/>
      <c r="BU1725" s="24"/>
      <c r="BV1725" s="132" t="e">
        <f>IF(#REF!="COMPLETO","OK","PENDIENTE")</f>
        <v>#REF!</v>
      </c>
      <c r="BW1725" s="132"/>
      <c r="BX1725" s="132"/>
      <c r="BY1725" s="132"/>
      <c r="BZ1725" s="132"/>
      <c r="CA1725" s="132"/>
      <c r="CB1725" s="132"/>
      <c r="CC1725" s="269"/>
      <c r="CG1725" s="24" t="s">
        <v>105</v>
      </c>
      <c r="CH1725" s="24"/>
      <c r="CI1725" s="24"/>
      <c r="CJ1725" s="24"/>
    </row>
    <row r="1726" spans="1:88" ht="14.45" customHeight="1">
      <c r="A1726" s="18">
        <v>2021</v>
      </c>
      <c r="B1726" s="18" t="str">
        <f>+INDEX(BDD!F:F,MATCH(P1726,BDD!D:D,0))&amp;"-"&amp;INDEX(BDD!E:E,MATCH(P1726,BDD!D:D,0))</f>
        <v>E-S</v>
      </c>
      <c r="C1726" s="360" t="s">
        <v>484</v>
      </c>
      <c r="D1726" s="150" t="s">
        <v>77</v>
      </c>
      <c r="E1726" s="132"/>
      <c r="F1726" s="24"/>
      <c r="G1726" s="346">
        <v>8000001748</v>
      </c>
      <c r="H1726" s="18" t="s">
        <v>6593</v>
      </c>
      <c r="I1726" s="329"/>
      <c r="J1726" s="346">
        <v>8000001748</v>
      </c>
      <c r="K1726" s="24"/>
      <c r="L1726" s="24">
        <v>44585</v>
      </c>
      <c r="M1726" s="24">
        <v>44585</v>
      </c>
      <c r="N1726" s="340" t="s">
        <v>486</v>
      </c>
      <c r="O1726" s="334">
        <v>204207</v>
      </c>
      <c r="P1726" s="25" t="s">
        <v>295</v>
      </c>
      <c r="Q1726" s="127" t="s">
        <v>258</v>
      </c>
      <c r="R1726" s="232" t="s">
        <v>544</v>
      </c>
      <c r="S1726" s="89">
        <v>44469</v>
      </c>
      <c r="T1726" s="36">
        <v>150</v>
      </c>
      <c r="U1726" s="125" t="s">
        <v>118</v>
      </c>
      <c r="V1726" s="147" t="s">
        <v>6594</v>
      </c>
      <c r="W1726" s="129"/>
      <c r="X1726" s="88">
        <v>44676</v>
      </c>
      <c r="Y1726" s="130" t="s">
        <v>20</v>
      </c>
      <c r="Z1726" s="133" t="s">
        <v>81</v>
      </c>
      <c r="AA1726" s="133"/>
      <c r="AB1726" s="241">
        <v>49</v>
      </c>
      <c r="AC1726" s="134">
        <v>2100</v>
      </c>
      <c r="AD1726" s="134"/>
      <c r="AE1726" s="403">
        <f t="shared" si="101"/>
        <v>102900</v>
      </c>
      <c r="AF1726" s="132">
        <v>2</v>
      </c>
      <c r="AG1726" s="130" t="s">
        <v>5</v>
      </c>
      <c r="AH1726" s="130"/>
      <c r="AI1726" s="130" t="s">
        <v>34</v>
      </c>
      <c r="AJ1726" s="130"/>
      <c r="AK1726" s="130"/>
      <c r="AL1726" s="135" t="s">
        <v>6589</v>
      </c>
      <c r="AM1726" s="314"/>
      <c r="AN1726" s="26">
        <v>44510</v>
      </c>
      <c r="AO1726" s="26">
        <v>44525</v>
      </c>
      <c r="AP1726" s="26">
        <f>AN1726+55</f>
        <v>44565</v>
      </c>
      <c r="AQ1726" s="26">
        <v>44580</v>
      </c>
      <c r="AR1726" s="24">
        <f>AQ1726+4</f>
        <v>44584</v>
      </c>
      <c r="AS1726" s="41"/>
      <c r="AT1726" s="24">
        <v>44582</v>
      </c>
      <c r="AU1726" s="418">
        <f t="shared" si="102"/>
        <v>1</v>
      </c>
      <c r="AV1726" s="418">
        <f t="shared" si="103"/>
        <v>2022</v>
      </c>
      <c r="AW1726" s="24"/>
      <c r="AX1726" s="24"/>
      <c r="AY1726" s="24" t="s">
        <v>157</v>
      </c>
      <c r="AZ1726" s="24" t="s">
        <v>37</v>
      </c>
      <c r="BA1726" s="24"/>
      <c r="BB1726" s="24" t="s">
        <v>3291</v>
      </c>
      <c r="BC1726" s="128" t="s">
        <v>6595</v>
      </c>
      <c r="BD1726" s="24">
        <v>44525</v>
      </c>
      <c r="BE1726" s="24" t="s">
        <v>6591</v>
      </c>
      <c r="BF1726" s="24" t="s">
        <v>6596</v>
      </c>
      <c r="BG1726" s="135" t="s">
        <v>41</v>
      </c>
      <c r="BH1726" s="135"/>
      <c r="BI1726" s="314" t="s">
        <v>3</v>
      </c>
      <c r="BJ1726" s="314" t="s">
        <v>138</v>
      </c>
      <c r="BK1726" s="24"/>
      <c r="BL1726" s="24"/>
      <c r="BM1726" s="24"/>
      <c r="BN1726" s="24"/>
      <c r="BO1726" s="24">
        <v>44589</v>
      </c>
      <c r="BP1726" s="24"/>
      <c r="BQ1726" s="24"/>
      <c r="BR1726" s="24"/>
      <c r="BS1726" s="24"/>
      <c r="BT1726" s="24"/>
      <c r="BU1726" s="24"/>
      <c r="BV1726" s="132" t="e">
        <f>IF(#REF!="COMPLETO","OK","PENDIENTE")</f>
        <v>#REF!</v>
      </c>
      <c r="BW1726" s="132"/>
      <c r="BX1726" s="132"/>
      <c r="BY1726" s="132"/>
      <c r="BZ1726" s="132"/>
      <c r="CA1726" s="132"/>
      <c r="CB1726" s="132"/>
      <c r="CC1726" s="269"/>
      <c r="CG1726" s="24" t="s">
        <v>105</v>
      </c>
      <c r="CH1726" s="24"/>
      <c r="CI1726" s="24"/>
      <c r="CJ1726" s="24"/>
    </row>
    <row r="1727" spans="1:88" ht="14.45" customHeight="1">
      <c r="A1727" s="18">
        <v>2021</v>
      </c>
      <c r="B1727" s="18" t="str">
        <f>+INDEX(BDD!F:F,MATCH(P1727,BDD!D:D,0))&amp;"-"&amp;INDEX(BDD!E:E,MATCH(P1727,BDD!D:D,0))</f>
        <v>E-E</v>
      </c>
      <c r="C1727" s="360" t="s">
        <v>484</v>
      </c>
      <c r="D1727" s="150" t="s">
        <v>77</v>
      </c>
      <c r="E1727" s="132"/>
      <c r="F1727" s="24"/>
      <c r="G1727" s="346">
        <v>8000001596</v>
      </c>
      <c r="H1727" s="18" t="s">
        <v>6597</v>
      </c>
      <c r="I1727" s="329"/>
      <c r="J1727" s="346">
        <v>8000001596</v>
      </c>
      <c r="K1727" s="24"/>
      <c r="L1727" s="24">
        <v>44627</v>
      </c>
      <c r="M1727" s="24">
        <v>44655</v>
      </c>
      <c r="N1727" s="340" t="s">
        <v>486</v>
      </c>
      <c r="O1727" s="334">
        <v>205996</v>
      </c>
      <c r="P1727" s="25" t="s">
        <v>376</v>
      </c>
      <c r="Q1727" s="127" t="s">
        <v>4498</v>
      </c>
      <c r="R1727" s="232" t="s">
        <v>544</v>
      </c>
      <c r="S1727" s="89">
        <v>44469</v>
      </c>
      <c r="T1727" s="36" t="s">
        <v>19</v>
      </c>
      <c r="U1727" s="125"/>
      <c r="V1727" s="147" t="s">
        <v>6598</v>
      </c>
      <c r="W1727" s="129"/>
      <c r="X1727" s="88">
        <v>44594</v>
      </c>
      <c r="Y1727" s="130" t="s">
        <v>20</v>
      </c>
      <c r="Z1727" s="133" t="s">
        <v>60</v>
      </c>
      <c r="AA1727" s="133"/>
      <c r="AB1727" s="241">
        <v>32.5</v>
      </c>
      <c r="AC1727" s="134">
        <v>2060</v>
      </c>
      <c r="AD1727" s="134"/>
      <c r="AE1727" s="403">
        <f t="shared" si="101"/>
        <v>66950</v>
      </c>
      <c r="AF1727" s="132"/>
      <c r="AG1727" s="130" t="s">
        <v>58</v>
      </c>
      <c r="AH1727" s="130"/>
      <c r="AI1727" s="130" t="s">
        <v>34</v>
      </c>
      <c r="AJ1727" s="278">
        <v>1.25</v>
      </c>
      <c r="AK1727" s="130" t="s">
        <v>6599</v>
      </c>
      <c r="AL1727" s="135" t="s">
        <v>6589</v>
      </c>
      <c r="AM1727" s="314"/>
      <c r="AN1727" s="26">
        <v>44520</v>
      </c>
      <c r="AO1727" s="26">
        <v>44555</v>
      </c>
      <c r="AP1727" s="26">
        <f>AQ1727</f>
        <v>44615</v>
      </c>
      <c r="AQ1727" s="26">
        <v>44615</v>
      </c>
      <c r="AR1727" s="24">
        <v>44651</v>
      </c>
      <c r="AS1727" s="24"/>
      <c r="AT1727" s="24">
        <v>44651</v>
      </c>
      <c r="AU1727" s="418">
        <f t="shared" si="102"/>
        <v>3</v>
      </c>
      <c r="AV1727" s="418">
        <f t="shared" si="103"/>
        <v>2022</v>
      </c>
      <c r="AW1727" s="24"/>
      <c r="AX1727" s="24"/>
      <c r="AY1727" s="24" t="s">
        <v>3199</v>
      </c>
      <c r="AZ1727" s="24" t="s">
        <v>37</v>
      </c>
      <c r="BA1727" s="24"/>
      <c r="BB1727" s="24" t="s">
        <v>3291</v>
      </c>
      <c r="BC1727" s="128" t="s">
        <v>6600</v>
      </c>
      <c r="BD1727" s="24">
        <v>44548</v>
      </c>
      <c r="BE1727" s="24" t="s">
        <v>6601</v>
      </c>
      <c r="BF1727" s="24" t="s">
        <v>6601</v>
      </c>
      <c r="BG1727" s="135" t="s">
        <v>52</v>
      </c>
      <c r="BH1727" s="135" t="s">
        <v>6602</v>
      </c>
      <c r="BI1727" s="314" t="s">
        <v>3</v>
      </c>
      <c r="BJ1727" s="314" t="s">
        <v>148</v>
      </c>
      <c r="BK1727" s="24"/>
      <c r="BL1727" s="24"/>
      <c r="BM1727" s="24"/>
      <c r="BN1727" s="24"/>
      <c r="BO1727" s="41"/>
      <c r="BP1727" s="41"/>
      <c r="BQ1727" s="41" t="s">
        <v>6603</v>
      </c>
      <c r="BR1727" s="24">
        <v>44617</v>
      </c>
      <c r="BS1727" s="41" t="s">
        <v>38</v>
      </c>
      <c r="BT1727" s="41" t="s">
        <v>11</v>
      </c>
      <c r="BU1727" s="41"/>
      <c r="BV1727" s="132" t="e">
        <f>IF(#REF!="COMPLETO","OK","PENDIENTE")</f>
        <v>#REF!</v>
      </c>
      <c r="BW1727" s="132"/>
      <c r="BX1727" s="132"/>
      <c r="BY1727" s="132"/>
      <c r="BZ1727" s="132"/>
      <c r="CA1727" s="132"/>
      <c r="CB1727" s="132"/>
      <c r="CC1727" s="269"/>
      <c r="CG1727" s="24" t="s">
        <v>105</v>
      </c>
      <c r="CH1727" s="24"/>
      <c r="CI1727" s="24"/>
      <c r="CJ1727" s="24"/>
    </row>
    <row r="1728" spans="1:88" ht="14.45" customHeight="1">
      <c r="A1728" s="18">
        <v>2021</v>
      </c>
      <c r="B1728" s="18" t="str">
        <f>+INDEX(BDD!F:F,MATCH(P1728,BDD!D:D,0))&amp;"-"&amp;INDEX(BDD!E:E,MATCH(P1728,BDD!D:D,0))</f>
        <v>T-S</v>
      </c>
      <c r="C1728" s="360" t="s">
        <v>484</v>
      </c>
      <c r="D1728" s="150" t="s">
        <v>77</v>
      </c>
      <c r="E1728" s="132"/>
      <c r="F1728" s="24"/>
      <c r="G1728" s="346">
        <v>8000001612</v>
      </c>
      <c r="H1728" s="18" t="s">
        <v>6604</v>
      </c>
      <c r="I1728" s="329"/>
      <c r="J1728" s="346">
        <v>8000001612</v>
      </c>
      <c r="K1728" s="24"/>
      <c r="L1728" s="24">
        <v>44495</v>
      </c>
      <c r="M1728" s="24">
        <v>44482</v>
      </c>
      <c r="N1728" s="340" t="s">
        <v>486</v>
      </c>
      <c r="O1728" s="334">
        <v>208067</v>
      </c>
      <c r="P1728" s="25" t="s">
        <v>383</v>
      </c>
      <c r="Q1728" s="127" t="s">
        <v>303</v>
      </c>
      <c r="R1728" s="232">
        <v>4600018988</v>
      </c>
      <c r="S1728" s="89">
        <v>44474</v>
      </c>
      <c r="T1728" s="36">
        <v>30</v>
      </c>
      <c r="U1728" s="125" t="s">
        <v>131</v>
      </c>
      <c r="V1728" s="147" t="s">
        <v>6605</v>
      </c>
      <c r="W1728" s="129"/>
      <c r="X1728" s="88">
        <v>44514</v>
      </c>
      <c r="Y1728" s="130" t="s">
        <v>20</v>
      </c>
      <c r="Z1728" s="133" t="s">
        <v>60</v>
      </c>
      <c r="AA1728" s="133"/>
      <c r="AB1728" s="241">
        <v>540</v>
      </c>
      <c r="AC1728" s="134">
        <v>296.06</v>
      </c>
      <c r="AD1728" s="134"/>
      <c r="AE1728" s="403">
        <f t="shared" si="101"/>
        <v>159872.4</v>
      </c>
      <c r="AF1728" s="132">
        <v>20</v>
      </c>
      <c r="AG1728" s="130" t="s">
        <v>5</v>
      </c>
      <c r="AH1728" s="130"/>
      <c r="AI1728" s="130" t="s">
        <v>34</v>
      </c>
      <c r="AJ1728" s="130"/>
      <c r="AK1728" s="130"/>
      <c r="AL1728" s="135" t="s">
        <v>6606</v>
      </c>
      <c r="AM1728" s="314"/>
      <c r="AN1728" s="26">
        <v>44477</v>
      </c>
      <c r="AO1728" s="26">
        <v>44477</v>
      </c>
      <c r="AP1728" s="26">
        <f>AO1728+55</f>
        <v>44532</v>
      </c>
      <c r="AQ1728" s="26">
        <v>44488</v>
      </c>
      <c r="AR1728" s="24">
        <f>AP1728+2</f>
        <v>44534</v>
      </c>
      <c r="AS1728" s="24"/>
      <c r="AT1728" s="24">
        <v>44496</v>
      </c>
      <c r="AU1728" s="418">
        <f t="shared" si="102"/>
        <v>10</v>
      </c>
      <c r="AV1728" s="418">
        <f t="shared" si="103"/>
        <v>2021</v>
      </c>
      <c r="AW1728" s="24"/>
      <c r="AX1728" s="24"/>
      <c r="AY1728" s="24" t="s">
        <v>3415</v>
      </c>
      <c r="AZ1728" s="24" t="s">
        <v>9</v>
      </c>
      <c r="BA1728" s="24"/>
      <c r="BB1728" s="24" t="s">
        <v>3264</v>
      </c>
      <c r="BC1728" s="128" t="s">
        <v>6607</v>
      </c>
      <c r="BD1728" s="24">
        <v>44484</v>
      </c>
      <c r="BE1728" s="24" t="s">
        <v>5944</v>
      </c>
      <c r="BF1728" s="24"/>
      <c r="BG1728" s="132" t="s">
        <v>64</v>
      </c>
      <c r="BH1728" s="132"/>
      <c r="BI1728" s="314" t="s">
        <v>124</v>
      </c>
      <c r="BJ1728" s="314" t="s">
        <v>138</v>
      </c>
      <c r="BK1728" s="24"/>
      <c r="BL1728" s="24"/>
      <c r="BM1728" s="24"/>
      <c r="BN1728" s="24"/>
      <c r="BO1728" s="24"/>
      <c r="BP1728" s="24"/>
      <c r="BQ1728" s="24"/>
      <c r="BR1728" s="24"/>
      <c r="BS1728" s="24"/>
      <c r="BT1728" s="24"/>
      <c r="BU1728" s="24"/>
      <c r="BV1728" s="132" t="e">
        <f>IF(#REF!="COMPLETO","OK","PENDIENTES")</f>
        <v>#REF!</v>
      </c>
      <c r="BW1728" s="132"/>
      <c r="BX1728" s="132"/>
      <c r="BY1728" s="132"/>
      <c r="BZ1728" s="132"/>
      <c r="CA1728" s="132"/>
      <c r="CB1728" s="132"/>
      <c r="CC1728" s="269"/>
      <c r="CG1728" s="24" t="s">
        <v>105</v>
      </c>
      <c r="CH1728" s="24"/>
      <c r="CI1728" s="24"/>
      <c r="CJ1728" s="24"/>
    </row>
    <row r="1729" spans="1:88" ht="14.45" customHeight="1">
      <c r="A1729" s="18">
        <v>2021</v>
      </c>
      <c r="B1729" s="18" t="s">
        <v>6191</v>
      </c>
      <c r="C1729" s="360" t="s">
        <v>484</v>
      </c>
      <c r="D1729" s="150" t="s">
        <v>77</v>
      </c>
      <c r="E1729" s="132"/>
      <c r="F1729" s="24"/>
      <c r="G1729" s="346">
        <v>8000001672</v>
      </c>
      <c r="H1729" s="18" t="s">
        <v>6608</v>
      </c>
      <c r="I1729" s="329"/>
      <c r="J1729" s="346">
        <v>8000001672</v>
      </c>
      <c r="K1729" s="24"/>
      <c r="L1729" s="24">
        <v>44596</v>
      </c>
      <c r="M1729" s="24">
        <v>44596</v>
      </c>
      <c r="N1729" s="340" t="s">
        <v>486</v>
      </c>
      <c r="O1729" s="334">
        <v>208067</v>
      </c>
      <c r="P1729" s="25" t="s">
        <v>383</v>
      </c>
      <c r="Q1729" s="127" t="s">
        <v>303</v>
      </c>
      <c r="R1729" s="232" t="s">
        <v>6609</v>
      </c>
      <c r="S1729" s="89">
        <v>44474</v>
      </c>
      <c r="T1729" s="36">
        <v>30</v>
      </c>
      <c r="U1729" s="125" t="s">
        <v>131</v>
      </c>
      <c r="V1729" s="147" t="s">
        <v>6610</v>
      </c>
      <c r="W1729" s="129"/>
      <c r="X1729" s="88">
        <v>44617</v>
      </c>
      <c r="Y1729" s="130" t="s">
        <v>20</v>
      </c>
      <c r="Z1729" s="133" t="s">
        <v>60</v>
      </c>
      <c r="AA1729" s="133"/>
      <c r="AB1729" s="241">
        <v>168</v>
      </c>
      <c r="AC1729" s="134">
        <v>320</v>
      </c>
      <c r="AD1729" s="134"/>
      <c r="AE1729" s="403">
        <f t="shared" si="101"/>
        <v>53760</v>
      </c>
      <c r="AF1729" s="132">
        <v>7</v>
      </c>
      <c r="AG1729" s="130" t="s">
        <v>5</v>
      </c>
      <c r="AH1729" s="130"/>
      <c r="AI1729" s="130" t="s">
        <v>34</v>
      </c>
      <c r="AJ1729" s="130"/>
      <c r="AK1729" s="130"/>
      <c r="AL1729" s="135" t="s">
        <v>6312</v>
      </c>
      <c r="AM1729" s="314"/>
      <c r="AN1729" s="26">
        <v>44515</v>
      </c>
      <c r="AO1729" s="26">
        <v>44548</v>
      </c>
      <c r="AP1729" s="26">
        <v>44570</v>
      </c>
      <c r="AQ1729" s="26">
        <v>44588</v>
      </c>
      <c r="AR1729" s="24">
        <f>AQ1729+4</f>
        <v>44592</v>
      </c>
      <c r="AS1729" s="24"/>
      <c r="AT1729" s="24">
        <v>44595</v>
      </c>
      <c r="AU1729" s="418">
        <f t="shared" si="102"/>
        <v>2</v>
      </c>
      <c r="AV1729" s="418">
        <f t="shared" si="103"/>
        <v>2022</v>
      </c>
      <c r="AW1729" s="24"/>
      <c r="AX1729" s="132"/>
      <c r="AY1729" s="132" t="s">
        <v>4072</v>
      </c>
      <c r="AZ1729" s="24" t="s">
        <v>37</v>
      </c>
      <c r="BA1729" s="24"/>
      <c r="BB1729" s="24" t="s">
        <v>3291</v>
      </c>
      <c r="BC1729" s="128" t="s">
        <v>6611</v>
      </c>
      <c r="BD1729" s="24">
        <v>44548</v>
      </c>
      <c r="BE1729" s="24" t="s">
        <v>4079</v>
      </c>
      <c r="BF1729" s="24" t="s">
        <v>814</v>
      </c>
      <c r="BG1729" s="132" t="s">
        <v>64</v>
      </c>
      <c r="BH1729" s="132"/>
      <c r="BI1729" s="314" t="s">
        <v>3</v>
      </c>
      <c r="BJ1729" s="314" t="s">
        <v>148</v>
      </c>
      <c r="BK1729" s="24"/>
      <c r="BL1729" s="24"/>
      <c r="BM1729" s="24"/>
      <c r="BN1729" s="24"/>
      <c r="BO1729" s="24"/>
      <c r="BP1729" s="24"/>
      <c r="BQ1729" s="24" t="s">
        <v>6612</v>
      </c>
      <c r="BR1729" s="24">
        <v>44588</v>
      </c>
      <c r="BS1729" s="24" t="s">
        <v>26</v>
      </c>
      <c r="BT1729" s="24" t="s">
        <v>11</v>
      </c>
      <c r="BU1729" s="24"/>
      <c r="BV1729" s="132" t="s">
        <v>6087</v>
      </c>
      <c r="BW1729" s="132"/>
      <c r="BX1729" s="132"/>
      <c r="BY1729" s="132"/>
      <c r="BZ1729" s="132"/>
      <c r="CA1729" s="132"/>
      <c r="CB1729" s="132"/>
      <c r="CC1729" s="269"/>
      <c r="CG1729" s="24" t="s">
        <v>105</v>
      </c>
      <c r="CH1729" s="24"/>
      <c r="CI1729" s="24"/>
      <c r="CJ1729" s="24"/>
    </row>
    <row r="1730" spans="1:88" ht="14.45" customHeight="1">
      <c r="A1730" s="18">
        <v>2021</v>
      </c>
      <c r="B1730" s="18" t="str">
        <f>+INDEX(BDD!F:F,MATCH(P1730,BDD!D:D,0))&amp;"-"&amp;INDEX(BDD!E:E,MATCH(P1730,BDD!D:D,0))</f>
        <v>T-S</v>
      </c>
      <c r="C1730" s="360" t="s">
        <v>484</v>
      </c>
      <c r="D1730" s="150" t="s">
        <v>77</v>
      </c>
      <c r="E1730" s="132"/>
      <c r="F1730" s="24"/>
      <c r="G1730" s="346">
        <v>8000001606</v>
      </c>
      <c r="H1730" s="18" t="s">
        <v>6613</v>
      </c>
      <c r="I1730" s="329"/>
      <c r="J1730" s="346">
        <v>8000001606</v>
      </c>
      <c r="K1730" s="24"/>
      <c r="L1730" s="24">
        <v>44489</v>
      </c>
      <c r="M1730" s="24">
        <v>44490</v>
      </c>
      <c r="N1730" s="340" t="s">
        <v>486</v>
      </c>
      <c r="O1730" s="334">
        <v>208067</v>
      </c>
      <c r="P1730" s="25" t="s">
        <v>383</v>
      </c>
      <c r="Q1730" s="127" t="s">
        <v>303</v>
      </c>
      <c r="R1730" s="232"/>
      <c r="S1730" s="89" t="s">
        <v>4795</v>
      </c>
      <c r="T1730" s="36">
        <v>30</v>
      </c>
      <c r="U1730" s="125" t="s">
        <v>131</v>
      </c>
      <c r="V1730" s="147" t="s">
        <v>6614</v>
      </c>
      <c r="W1730" s="129"/>
      <c r="X1730" s="88">
        <v>44511</v>
      </c>
      <c r="Y1730" s="130" t="s">
        <v>20</v>
      </c>
      <c r="Z1730" s="133" t="s">
        <v>60</v>
      </c>
      <c r="AA1730" s="133"/>
      <c r="AB1730" s="241">
        <v>270</v>
      </c>
      <c r="AC1730" s="134">
        <v>296.06</v>
      </c>
      <c r="AD1730" s="134"/>
      <c r="AE1730" s="403">
        <f t="shared" ref="AE1730:AE1793" si="109">AB1730*AC1730</f>
        <v>79936.2</v>
      </c>
      <c r="AF1730" s="132">
        <v>10</v>
      </c>
      <c r="AG1730" s="130" t="s">
        <v>5</v>
      </c>
      <c r="AH1730" s="130"/>
      <c r="AI1730" s="130" t="s">
        <v>34</v>
      </c>
      <c r="AJ1730" s="130"/>
      <c r="AK1730" s="130"/>
      <c r="AL1730" s="135" t="s">
        <v>6211</v>
      </c>
      <c r="AM1730" s="314"/>
      <c r="AN1730" s="26">
        <v>44470</v>
      </c>
      <c r="AO1730" s="26">
        <v>44470</v>
      </c>
      <c r="AP1730" s="26">
        <v>44482</v>
      </c>
      <c r="AQ1730" s="26">
        <v>44482</v>
      </c>
      <c r="AR1730" s="24">
        <f>AP1730+4</f>
        <v>44486</v>
      </c>
      <c r="AS1730" s="24"/>
      <c r="AT1730" s="24">
        <v>44490</v>
      </c>
      <c r="AU1730" s="418">
        <f t="shared" si="102"/>
        <v>10</v>
      </c>
      <c r="AV1730" s="418">
        <f t="shared" si="103"/>
        <v>2021</v>
      </c>
      <c r="AW1730" s="24"/>
      <c r="AX1730" s="24"/>
      <c r="AY1730" s="24" t="s">
        <v>3415</v>
      </c>
      <c r="AZ1730" s="24" t="s">
        <v>9</v>
      </c>
      <c r="BA1730" s="24"/>
      <c r="BB1730" s="24" t="s">
        <v>3264</v>
      </c>
      <c r="BC1730" s="128" t="s">
        <v>6615</v>
      </c>
      <c r="BD1730" s="24">
        <v>44477</v>
      </c>
      <c r="BE1730" s="24" t="s">
        <v>947</v>
      </c>
      <c r="BF1730" s="24" t="s">
        <v>947</v>
      </c>
      <c r="BG1730" s="135" t="s">
        <v>64</v>
      </c>
      <c r="BH1730" s="135"/>
      <c r="BI1730" s="314" t="s">
        <v>124</v>
      </c>
      <c r="BJ1730" s="314" t="s">
        <v>138</v>
      </c>
      <c r="BK1730" s="24"/>
      <c r="BL1730" s="24"/>
      <c r="BM1730" s="24"/>
      <c r="BN1730" s="24"/>
      <c r="BO1730" s="24"/>
      <c r="BP1730" s="24"/>
      <c r="BQ1730" s="24"/>
      <c r="BR1730" s="24"/>
      <c r="BS1730" s="24"/>
      <c r="BT1730" s="24"/>
      <c r="BU1730" s="24"/>
      <c r="BV1730" s="132" t="e">
        <f>IF(#REF!="COMPLETO","OK","PENDIENTES")</f>
        <v>#REF!</v>
      </c>
      <c r="BW1730" s="132"/>
      <c r="BX1730" s="132"/>
      <c r="BY1730" s="132"/>
      <c r="BZ1730" s="132"/>
      <c r="CA1730" s="132"/>
      <c r="CB1730" s="132"/>
      <c r="CC1730" s="269"/>
      <c r="CG1730" s="24" t="s">
        <v>105</v>
      </c>
      <c r="CH1730" s="24"/>
      <c r="CI1730" s="24"/>
      <c r="CJ1730" s="24"/>
    </row>
    <row r="1731" spans="1:88" ht="14.45" customHeight="1">
      <c r="A1731" s="18">
        <v>2021</v>
      </c>
      <c r="B1731" s="18" t="str">
        <f>+INDEX(BDD!F:F,MATCH(P1731,BDD!D:D,0))&amp;"-"&amp;INDEX(BDD!E:E,MATCH(P1731,BDD!D:D,0))</f>
        <v>S-S</v>
      </c>
      <c r="C1731" s="360" t="s">
        <v>484</v>
      </c>
      <c r="D1731" s="150" t="s">
        <v>77</v>
      </c>
      <c r="E1731" s="132"/>
      <c r="F1731" s="24"/>
      <c r="G1731" s="346">
        <v>8000001607</v>
      </c>
      <c r="H1731" s="18" t="s">
        <v>6616</v>
      </c>
      <c r="I1731" s="329"/>
      <c r="J1731" s="346">
        <v>8000001607</v>
      </c>
      <c r="K1731" s="24"/>
      <c r="L1731" s="24">
        <v>44620</v>
      </c>
      <c r="M1731" s="24">
        <v>44620</v>
      </c>
      <c r="N1731" s="340" t="s">
        <v>486</v>
      </c>
      <c r="O1731" s="334">
        <v>209677</v>
      </c>
      <c r="P1731" s="25" t="s">
        <v>352</v>
      </c>
      <c r="Q1731" s="127" t="s">
        <v>297</v>
      </c>
      <c r="R1731" s="232" t="s">
        <v>6617</v>
      </c>
      <c r="S1731" s="89">
        <v>44483</v>
      </c>
      <c r="T1731" s="36">
        <v>90</v>
      </c>
      <c r="U1731" s="125" t="s">
        <v>118</v>
      </c>
      <c r="V1731" s="147" t="s">
        <v>6618</v>
      </c>
      <c r="W1731" s="129"/>
      <c r="X1731" s="88">
        <f>+T1731+BD1731</f>
        <v>44645</v>
      </c>
      <c r="Y1731" s="130" t="s">
        <v>20</v>
      </c>
      <c r="Z1731" s="133" t="s">
        <v>60</v>
      </c>
      <c r="AA1731" s="133" t="s">
        <v>6619</v>
      </c>
      <c r="AB1731" s="241">
        <v>101.25</v>
      </c>
      <c r="AC1731" s="134">
        <v>1048</v>
      </c>
      <c r="AD1731" s="134">
        <v>123</v>
      </c>
      <c r="AE1731" s="403">
        <f t="shared" si="109"/>
        <v>106110</v>
      </c>
      <c r="AF1731" s="132"/>
      <c r="AG1731" s="130" t="s">
        <v>58</v>
      </c>
      <c r="AH1731" s="130"/>
      <c r="AI1731" s="130" t="s">
        <v>34</v>
      </c>
      <c r="AJ1731" s="130"/>
      <c r="AK1731" s="130"/>
      <c r="AL1731" s="135" t="s">
        <v>6620</v>
      </c>
      <c r="AM1731" s="314"/>
      <c r="AN1731" s="26">
        <v>44545</v>
      </c>
      <c r="AO1731" s="26">
        <v>44558</v>
      </c>
      <c r="AP1731" s="26">
        <f>AN1731+35</f>
        <v>44580</v>
      </c>
      <c r="AQ1731" s="26">
        <v>44599</v>
      </c>
      <c r="AR1731" s="24">
        <f>AQ1731+10</f>
        <v>44609</v>
      </c>
      <c r="AS1731" s="24"/>
      <c r="AT1731" s="24">
        <v>44622</v>
      </c>
      <c r="AU1731" s="418">
        <f t="shared" ref="AU1731:AU1794" si="110">MONTH(AT1731)</f>
        <v>3</v>
      </c>
      <c r="AV1731" s="418">
        <f t="shared" ref="AV1731:AV1794" si="111">YEAR(AT1731)</f>
        <v>2022</v>
      </c>
      <c r="AW1731" s="24"/>
      <c r="AX1731" s="24" t="s">
        <v>5402</v>
      </c>
      <c r="AY1731" s="24" t="s">
        <v>6800</v>
      </c>
      <c r="AZ1731" s="24" t="s">
        <v>37</v>
      </c>
      <c r="BA1731" s="24"/>
      <c r="BB1731" s="24" t="s">
        <v>3291</v>
      </c>
      <c r="BC1731" s="128" t="s">
        <v>6621</v>
      </c>
      <c r="BD1731" s="24">
        <v>44555</v>
      </c>
      <c r="BE1731" s="24" t="s">
        <v>6033</v>
      </c>
      <c r="BF1731" s="24" t="s">
        <v>6033</v>
      </c>
      <c r="BG1731" s="135" t="s">
        <v>52</v>
      </c>
      <c r="BH1731" s="135"/>
      <c r="BI1731" s="314" t="s">
        <v>3</v>
      </c>
      <c r="BJ1731" s="314" t="s">
        <v>148</v>
      </c>
      <c r="BK1731" s="24"/>
      <c r="BL1731" s="24"/>
      <c r="BM1731" s="24"/>
      <c r="BN1731" s="24"/>
      <c r="BO1731" s="24"/>
      <c r="BP1731" s="24"/>
      <c r="BQ1731" s="24" t="s">
        <v>6622</v>
      </c>
      <c r="BR1731" s="24">
        <v>44594</v>
      </c>
      <c r="BS1731" s="24" t="s">
        <v>38</v>
      </c>
      <c r="BT1731" s="24" t="s">
        <v>11</v>
      </c>
      <c r="BU1731" s="24"/>
      <c r="BV1731" s="132" t="e">
        <f>IF(#REF!="COMPLETO","OK","PENDIENTE")</f>
        <v>#REF!</v>
      </c>
      <c r="BW1731" s="132"/>
      <c r="BX1731" s="132"/>
      <c r="BY1731" s="132"/>
      <c r="BZ1731" s="132"/>
      <c r="CA1731" s="132"/>
      <c r="CB1731" s="132"/>
      <c r="CC1731" s="269"/>
      <c r="CG1731" s="24" t="s">
        <v>105</v>
      </c>
      <c r="CH1731" s="24"/>
      <c r="CI1731" s="24"/>
      <c r="CJ1731" s="24"/>
    </row>
    <row r="1732" spans="1:88" ht="14.45" customHeight="1">
      <c r="A1732" s="18">
        <v>2021</v>
      </c>
      <c r="B1732" s="18" t="s">
        <v>6372</v>
      </c>
      <c r="C1732" s="360" t="s">
        <v>484</v>
      </c>
      <c r="D1732" s="150" t="s">
        <v>77</v>
      </c>
      <c r="E1732" s="132"/>
      <c r="F1732" s="135"/>
      <c r="G1732" s="346">
        <v>8000001608</v>
      </c>
      <c r="H1732" s="18" t="s">
        <v>6623</v>
      </c>
      <c r="I1732" s="329"/>
      <c r="J1732" s="346">
        <v>8000001608</v>
      </c>
      <c r="K1732" s="24"/>
      <c r="L1732" s="24">
        <v>0</v>
      </c>
      <c r="M1732" s="24">
        <v>44560</v>
      </c>
      <c r="N1732" s="340" t="s">
        <v>486</v>
      </c>
      <c r="O1732" s="334">
        <v>207522</v>
      </c>
      <c r="P1732" s="25" t="s">
        <v>298</v>
      </c>
      <c r="Q1732" s="127" t="s">
        <v>183</v>
      </c>
      <c r="R1732" s="232" t="s">
        <v>6624</v>
      </c>
      <c r="S1732" s="89">
        <v>44480</v>
      </c>
      <c r="T1732" s="36" t="s">
        <v>19</v>
      </c>
      <c r="U1732" s="125"/>
      <c r="V1732" s="147" t="s">
        <v>6625</v>
      </c>
      <c r="W1732" s="129"/>
      <c r="X1732" s="88">
        <v>44541</v>
      </c>
      <c r="Y1732" s="130" t="s">
        <v>20</v>
      </c>
      <c r="Z1732" s="133" t="s">
        <v>60</v>
      </c>
      <c r="AA1732" s="133"/>
      <c r="AB1732" s="241">
        <v>335.6</v>
      </c>
      <c r="AC1732" s="134">
        <v>347.3</v>
      </c>
      <c r="AD1732" s="134">
        <v>140.30000000000001</v>
      </c>
      <c r="AE1732" s="403">
        <f t="shared" si="109"/>
        <v>116553.88</v>
      </c>
      <c r="AF1732" s="132">
        <v>12</v>
      </c>
      <c r="AG1732" s="130" t="s">
        <v>5</v>
      </c>
      <c r="AH1732" s="130"/>
      <c r="AI1732" s="130" t="s">
        <v>100</v>
      </c>
      <c r="AJ1732" s="130"/>
      <c r="AK1732" s="130"/>
      <c r="AL1732" s="135" t="s">
        <v>6578</v>
      </c>
      <c r="AM1732" s="314"/>
      <c r="AN1732" s="26">
        <v>44520</v>
      </c>
      <c r="AO1732" s="26">
        <v>44531</v>
      </c>
      <c r="AP1732" s="26" t="e">
        <f>#REF!+35</f>
        <v>#REF!</v>
      </c>
      <c r="AQ1732" s="26">
        <v>44553</v>
      </c>
      <c r="AR1732" s="24">
        <f>AQ1732+4</f>
        <v>44557</v>
      </c>
      <c r="AS1732" s="24"/>
      <c r="AT1732" s="24">
        <v>44560</v>
      </c>
      <c r="AU1732" s="418">
        <f t="shared" si="110"/>
        <v>12</v>
      </c>
      <c r="AV1732" s="418">
        <f t="shared" si="111"/>
        <v>2021</v>
      </c>
      <c r="AW1732" s="24"/>
      <c r="AX1732" s="135"/>
      <c r="AY1732" s="135" t="s">
        <v>8</v>
      </c>
      <c r="AZ1732" s="24" t="s">
        <v>37</v>
      </c>
      <c r="BA1732" s="24"/>
      <c r="BB1732" s="135" t="s">
        <v>3291</v>
      </c>
      <c r="BC1732" s="128" t="s">
        <v>6626</v>
      </c>
      <c r="BD1732" s="24">
        <v>44531</v>
      </c>
      <c r="BE1732" s="24" t="s">
        <v>2668</v>
      </c>
      <c r="BF1732" s="24" t="s">
        <v>2668</v>
      </c>
      <c r="BG1732" s="135" t="s">
        <v>29</v>
      </c>
      <c r="BH1732" s="135"/>
      <c r="BI1732" s="314" t="s">
        <v>3</v>
      </c>
      <c r="BJ1732" s="314" t="s">
        <v>148</v>
      </c>
      <c r="BK1732" s="24"/>
      <c r="BL1732" s="24"/>
      <c r="BM1732" s="24"/>
      <c r="BN1732" s="24"/>
      <c r="BO1732" s="24">
        <f>AQ1732+4</f>
        <v>44557</v>
      </c>
      <c r="BP1732" s="24"/>
      <c r="BQ1732" s="24"/>
      <c r="BR1732" s="24"/>
      <c r="BS1732" s="24"/>
      <c r="BT1732" s="24"/>
      <c r="BU1732" s="24"/>
      <c r="BV1732" s="132" t="e">
        <f>IF(#REF!="COMPLETO","OK","PENDIENTE")</f>
        <v>#REF!</v>
      </c>
      <c r="BW1732" s="132"/>
      <c r="BX1732" s="132"/>
      <c r="BY1732" s="132"/>
      <c r="BZ1732" s="132"/>
      <c r="CA1732" s="132"/>
      <c r="CB1732" s="132"/>
      <c r="CC1732" s="269"/>
      <c r="CG1732" s="135" t="s">
        <v>105</v>
      </c>
      <c r="CH1732" s="135"/>
      <c r="CI1732" s="24"/>
      <c r="CJ1732" s="24"/>
    </row>
    <row r="1733" spans="1:88" ht="14.45" customHeight="1">
      <c r="A1733" s="18">
        <v>2021</v>
      </c>
      <c r="B1733" s="18" t="s">
        <v>6372</v>
      </c>
      <c r="C1733" s="360" t="s">
        <v>484</v>
      </c>
      <c r="D1733" s="150" t="s">
        <v>77</v>
      </c>
      <c r="E1733" s="132"/>
      <c r="F1733" s="280"/>
      <c r="G1733" s="346">
        <v>8000001795</v>
      </c>
      <c r="H1733" s="18" t="s">
        <v>6627</v>
      </c>
      <c r="I1733" s="329"/>
      <c r="J1733" s="346">
        <v>8000001795</v>
      </c>
      <c r="K1733" s="24"/>
      <c r="L1733" s="24">
        <v>44566</v>
      </c>
      <c r="M1733" s="24">
        <v>44566</v>
      </c>
      <c r="N1733" s="340" t="s">
        <v>486</v>
      </c>
      <c r="O1733" s="334">
        <v>207522</v>
      </c>
      <c r="P1733" s="25" t="s">
        <v>298</v>
      </c>
      <c r="Q1733" s="127" t="s">
        <v>183</v>
      </c>
      <c r="R1733" s="232" t="s">
        <v>6624</v>
      </c>
      <c r="S1733" s="89">
        <v>44480</v>
      </c>
      <c r="T1733" s="36" t="s">
        <v>19</v>
      </c>
      <c r="U1733" s="125"/>
      <c r="V1733" s="147" t="s">
        <v>6628</v>
      </c>
      <c r="W1733" s="129"/>
      <c r="X1733" s="88">
        <v>44549</v>
      </c>
      <c r="Y1733" s="130" t="s">
        <v>20</v>
      </c>
      <c r="Z1733" s="133" t="s">
        <v>60</v>
      </c>
      <c r="AA1733" s="133"/>
      <c r="AB1733" s="241">
        <v>55.96</v>
      </c>
      <c r="AC1733" s="134">
        <v>347.3</v>
      </c>
      <c r="AD1733" s="279">
        <v>140.30000000000001</v>
      </c>
      <c r="AE1733" s="403">
        <f t="shared" si="109"/>
        <v>19434.907999999999</v>
      </c>
      <c r="AF1733" s="132">
        <v>2</v>
      </c>
      <c r="AG1733" s="130" t="s">
        <v>5</v>
      </c>
      <c r="AH1733" s="130"/>
      <c r="AI1733" s="130" t="s">
        <v>100</v>
      </c>
      <c r="AJ1733" s="130"/>
      <c r="AK1733" s="130"/>
      <c r="AL1733" s="280" t="s">
        <v>6578</v>
      </c>
      <c r="AM1733" s="321"/>
      <c r="AN1733" s="26">
        <f>BL1733</f>
        <v>0</v>
      </c>
      <c r="AO1733" s="26">
        <v>44539</v>
      </c>
      <c r="AP1733" s="26">
        <f>AQ1733</f>
        <v>44560</v>
      </c>
      <c r="AQ1733" s="26">
        <v>44560</v>
      </c>
      <c r="AR1733" s="24">
        <f>AQ1733+4</f>
        <v>44564</v>
      </c>
      <c r="AS1733" s="24"/>
      <c r="AT1733" s="24">
        <v>44565</v>
      </c>
      <c r="AU1733" s="418">
        <f t="shared" si="110"/>
        <v>1</v>
      </c>
      <c r="AV1733" s="418">
        <f t="shared" si="111"/>
        <v>2022</v>
      </c>
      <c r="AW1733" s="24"/>
      <c r="AX1733" s="280"/>
      <c r="AY1733" s="280" t="s">
        <v>8</v>
      </c>
      <c r="AZ1733" s="281" t="s">
        <v>37</v>
      </c>
      <c r="BA1733" s="281"/>
      <c r="BB1733" s="280" t="s">
        <v>3291</v>
      </c>
      <c r="BC1733" s="128" t="s">
        <v>6629</v>
      </c>
      <c r="BD1733" s="24">
        <v>44539</v>
      </c>
      <c r="BE1733" s="281" t="s">
        <v>5438</v>
      </c>
      <c r="BF1733" s="281" t="s">
        <v>5438</v>
      </c>
      <c r="BG1733" s="280" t="s">
        <v>29</v>
      </c>
      <c r="BH1733" s="280"/>
      <c r="BI1733" s="321" t="s">
        <v>3</v>
      </c>
      <c r="BJ1733" s="321" t="s">
        <v>148</v>
      </c>
      <c r="BK1733" s="24"/>
      <c r="BL1733" s="24"/>
      <c r="BM1733" s="24"/>
      <c r="BN1733" s="24"/>
      <c r="BO1733" s="24">
        <f>AQ1733+4</f>
        <v>44564</v>
      </c>
      <c r="BP1733" s="24"/>
      <c r="BQ1733" s="24"/>
      <c r="BR1733" s="24"/>
      <c r="BS1733" s="24"/>
      <c r="BT1733" s="24"/>
      <c r="BU1733" s="24"/>
      <c r="BV1733" s="132" t="e">
        <f>IF(#REF!="COMPLETO","OK","PENDIENTE")</f>
        <v>#REF!</v>
      </c>
      <c r="BW1733" s="132"/>
      <c r="BX1733" s="132"/>
      <c r="BY1733" s="132"/>
      <c r="BZ1733" s="132"/>
      <c r="CA1733" s="132"/>
      <c r="CB1733" s="132"/>
      <c r="CC1733" s="269"/>
      <c r="CG1733" s="280" t="s">
        <v>105</v>
      </c>
      <c r="CH1733" s="280"/>
      <c r="CI1733" s="24"/>
      <c r="CJ1733" s="24"/>
    </row>
    <row r="1734" spans="1:88" ht="14.45" customHeight="1">
      <c r="A1734" s="18">
        <v>2021</v>
      </c>
      <c r="B1734" s="18" t="s">
        <v>6372</v>
      </c>
      <c r="C1734" s="360" t="s">
        <v>484</v>
      </c>
      <c r="D1734" s="150" t="s">
        <v>77</v>
      </c>
      <c r="E1734" s="132"/>
      <c r="F1734" s="135"/>
      <c r="G1734" s="346">
        <v>8000001609</v>
      </c>
      <c r="H1734" s="18" t="s">
        <v>6630</v>
      </c>
      <c r="I1734" s="329"/>
      <c r="J1734" s="346">
        <v>8000001609</v>
      </c>
      <c r="K1734" s="24"/>
      <c r="L1734" s="24">
        <v>0</v>
      </c>
      <c r="M1734" s="24">
        <v>44553</v>
      </c>
      <c r="N1734" s="340" t="s">
        <v>486</v>
      </c>
      <c r="O1734" s="334">
        <v>207522</v>
      </c>
      <c r="P1734" s="25" t="s">
        <v>298</v>
      </c>
      <c r="Q1734" s="127" t="s">
        <v>183</v>
      </c>
      <c r="R1734" s="232" t="s">
        <v>6631</v>
      </c>
      <c r="S1734" s="89">
        <v>44480</v>
      </c>
      <c r="T1734" s="36" t="s">
        <v>19</v>
      </c>
      <c r="U1734" s="125"/>
      <c r="V1734" s="147" t="s">
        <v>6632</v>
      </c>
      <c r="W1734" s="129"/>
      <c r="X1734" s="88">
        <v>44536</v>
      </c>
      <c r="Y1734" s="130" t="s">
        <v>20</v>
      </c>
      <c r="Z1734" s="133" t="s">
        <v>60</v>
      </c>
      <c r="AA1734" s="133"/>
      <c r="AB1734" s="241">
        <v>111.82</v>
      </c>
      <c r="AC1734" s="134">
        <v>347.36</v>
      </c>
      <c r="AD1734" s="134">
        <v>140.36000000000001</v>
      </c>
      <c r="AE1734" s="403">
        <f t="shared" si="109"/>
        <v>38841.7952</v>
      </c>
      <c r="AF1734" s="132">
        <v>4</v>
      </c>
      <c r="AG1734" s="130" t="s">
        <v>5</v>
      </c>
      <c r="AH1734" s="130"/>
      <c r="AI1734" s="130" t="s">
        <v>100</v>
      </c>
      <c r="AJ1734" s="130"/>
      <c r="AK1734" s="130"/>
      <c r="AL1734" s="135" t="s">
        <v>6578</v>
      </c>
      <c r="AM1734" s="314"/>
      <c r="AN1734" s="26">
        <v>44520</v>
      </c>
      <c r="AO1734" s="26">
        <v>44526</v>
      </c>
      <c r="AP1734" s="26" t="e">
        <f>#REF!+35</f>
        <v>#REF!</v>
      </c>
      <c r="AQ1734" s="26">
        <v>44544</v>
      </c>
      <c r="AR1734" s="24">
        <f>AQ1734+4</f>
        <v>44548</v>
      </c>
      <c r="AS1734" s="24"/>
      <c r="AT1734" s="24">
        <v>44548</v>
      </c>
      <c r="AU1734" s="418">
        <f t="shared" si="110"/>
        <v>12</v>
      </c>
      <c r="AV1734" s="418">
        <f t="shared" si="111"/>
        <v>2021</v>
      </c>
      <c r="AW1734" s="24"/>
      <c r="AX1734" s="135"/>
      <c r="AY1734" s="135" t="s">
        <v>8</v>
      </c>
      <c r="AZ1734" s="24" t="s">
        <v>9</v>
      </c>
      <c r="BA1734" s="24"/>
      <c r="BB1734" s="24" t="s">
        <v>2956</v>
      </c>
      <c r="BC1734" s="128" t="s">
        <v>6633</v>
      </c>
      <c r="BD1734" s="24">
        <v>44525</v>
      </c>
      <c r="BE1734" s="24" t="s">
        <v>579</v>
      </c>
      <c r="BF1734" s="24" t="s">
        <v>5944</v>
      </c>
      <c r="BG1734" s="135" t="s">
        <v>29</v>
      </c>
      <c r="BH1734" s="135"/>
      <c r="BI1734" s="314" t="s">
        <v>3</v>
      </c>
      <c r="BJ1734" s="314"/>
      <c r="BK1734" s="24"/>
      <c r="BL1734" s="24"/>
      <c r="BM1734" s="24"/>
      <c r="BN1734" s="24"/>
      <c r="BO1734" s="24">
        <f>AQ1734+5</f>
        <v>44549</v>
      </c>
      <c r="BP1734" s="24"/>
      <c r="BQ1734" s="24"/>
      <c r="BR1734" s="24"/>
      <c r="BS1734" s="24"/>
      <c r="BT1734" s="24"/>
      <c r="BU1734" s="24"/>
      <c r="BV1734" s="132" t="e">
        <f>IF(#REF!="COMPLETO","OK","PENDIENTE")</f>
        <v>#REF!</v>
      </c>
      <c r="BW1734" s="132"/>
      <c r="BX1734" s="132"/>
      <c r="BY1734" s="132"/>
      <c r="BZ1734" s="132"/>
      <c r="CA1734" s="132"/>
      <c r="CB1734" s="132"/>
      <c r="CC1734" s="269"/>
      <c r="CG1734" s="135" t="s">
        <v>105</v>
      </c>
      <c r="CH1734" s="135"/>
      <c r="CI1734" s="24"/>
      <c r="CJ1734" s="24"/>
    </row>
    <row r="1735" spans="1:88" ht="14.45" customHeight="1">
      <c r="A1735" s="18">
        <v>2021</v>
      </c>
      <c r="B1735" s="18" t="str">
        <f>+INDEX(BDD!F:F,MATCH(P1735,BDD!D:D,0))&amp;"-"&amp;INDEX(BDD!E:E,MATCH(P1735,BDD!D:D,0))</f>
        <v>E-S</v>
      </c>
      <c r="C1735" s="360" t="s">
        <v>484</v>
      </c>
      <c r="D1735" s="150" t="s">
        <v>77</v>
      </c>
      <c r="E1735" s="132"/>
      <c r="F1735" s="135"/>
      <c r="G1735" s="346">
        <v>8000001802</v>
      </c>
      <c r="H1735" s="18" t="s">
        <v>6634</v>
      </c>
      <c r="I1735" s="329"/>
      <c r="J1735" s="346">
        <v>8000001802</v>
      </c>
      <c r="K1735" s="24"/>
      <c r="L1735" s="24">
        <v>44670</v>
      </c>
      <c r="M1735" s="24">
        <v>44659</v>
      </c>
      <c r="N1735" s="340" t="s">
        <v>486</v>
      </c>
      <c r="O1735" s="334">
        <v>207522</v>
      </c>
      <c r="P1735" s="25" t="s">
        <v>298</v>
      </c>
      <c r="Q1735" s="127" t="s">
        <v>183</v>
      </c>
      <c r="R1735" s="232" t="s">
        <v>6631</v>
      </c>
      <c r="S1735" s="89">
        <v>44480</v>
      </c>
      <c r="T1735" s="36" t="s">
        <v>19</v>
      </c>
      <c r="U1735" s="125"/>
      <c r="V1735" s="147" t="s">
        <v>6635</v>
      </c>
      <c r="W1735" s="129"/>
      <c r="X1735" s="88">
        <v>44639</v>
      </c>
      <c r="Y1735" s="130" t="s">
        <v>20</v>
      </c>
      <c r="Z1735" s="133" t="s">
        <v>60</v>
      </c>
      <c r="AA1735" s="133" t="s">
        <v>944</v>
      </c>
      <c r="AB1735" s="241">
        <v>83.86</v>
      </c>
      <c r="AC1735" s="134">
        <v>347.36</v>
      </c>
      <c r="AD1735" s="134">
        <v>140.36000000000001</v>
      </c>
      <c r="AE1735" s="403">
        <f t="shared" si="109"/>
        <v>29129.6096</v>
      </c>
      <c r="AF1735" s="132">
        <v>3</v>
      </c>
      <c r="AG1735" s="130" t="s">
        <v>5</v>
      </c>
      <c r="AH1735" s="130"/>
      <c r="AI1735" s="130" t="s">
        <v>100</v>
      </c>
      <c r="AJ1735" s="130" t="s">
        <v>944</v>
      </c>
      <c r="AK1735" s="130" t="s">
        <v>5634</v>
      </c>
      <c r="AL1735" s="135" t="s">
        <v>6312</v>
      </c>
      <c r="AM1735" s="314"/>
      <c r="AN1735" s="26">
        <v>44629</v>
      </c>
      <c r="AO1735" s="26">
        <v>44629</v>
      </c>
      <c r="AP1735" s="26" t="e">
        <f>#REF!+35</f>
        <v>#REF!</v>
      </c>
      <c r="AQ1735" s="26">
        <f>AO1735+20</f>
        <v>44649</v>
      </c>
      <c r="AR1735" s="24">
        <f>AQ1735+4</f>
        <v>44653</v>
      </c>
      <c r="AS1735" s="24"/>
      <c r="AT1735" s="24">
        <v>44653</v>
      </c>
      <c r="AU1735" s="418">
        <f t="shared" si="110"/>
        <v>4</v>
      </c>
      <c r="AV1735" s="418">
        <f t="shared" si="111"/>
        <v>2022</v>
      </c>
      <c r="AW1735" s="24"/>
      <c r="AX1735" s="135"/>
      <c r="AY1735" s="135" t="s">
        <v>8</v>
      </c>
      <c r="AZ1735" s="24" t="s">
        <v>9</v>
      </c>
      <c r="BA1735" s="24"/>
      <c r="BB1735" s="24" t="s">
        <v>3264</v>
      </c>
      <c r="BC1735" s="128" t="s">
        <v>6636</v>
      </c>
      <c r="BD1735" s="24">
        <v>44629</v>
      </c>
      <c r="BE1735" s="24" t="s">
        <v>870</v>
      </c>
      <c r="BF1735" s="135" t="s">
        <v>947</v>
      </c>
      <c r="BG1735" s="135" t="s">
        <v>29</v>
      </c>
      <c r="BH1735" s="135" t="s">
        <v>6219</v>
      </c>
      <c r="BI1735" s="314" t="s">
        <v>3</v>
      </c>
      <c r="BJ1735" s="314" t="s">
        <v>143</v>
      </c>
      <c r="BK1735" s="24"/>
      <c r="BL1735" s="24"/>
      <c r="BM1735" s="24"/>
      <c r="BN1735" s="24"/>
      <c r="BO1735" s="24">
        <f>AQ1735+5</f>
        <v>44654</v>
      </c>
      <c r="BP1735" s="24"/>
      <c r="BQ1735" s="24" t="s">
        <v>6637</v>
      </c>
      <c r="BR1735" s="24">
        <v>44646</v>
      </c>
      <c r="BS1735" s="24" t="s">
        <v>38</v>
      </c>
      <c r="BT1735" s="24" t="s">
        <v>11</v>
      </c>
      <c r="BU1735" s="24"/>
      <c r="BV1735" s="132" t="e">
        <f>IF(#REF!="COMPLETO","OK","PENDIENTE")</f>
        <v>#REF!</v>
      </c>
      <c r="BW1735" s="132"/>
      <c r="BX1735" s="132"/>
      <c r="BY1735" s="132"/>
      <c r="BZ1735" s="132"/>
      <c r="CA1735" s="132"/>
      <c r="CB1735" s="132"/>
      <c r="CC1735" s="363" t="s">
        <v>6638</v>
      </c>
      <c r="CG1735" s="135" t="s">
        <v>105</v>
      </c>
      <c r="CH1735" s="135"/>
      <c r="CI1735" s="24"/>
      <c r="CJ1735" s="24"/>
    </row>
    <row r="1736" spans="1:88" ht="14.45" customHeight="1">
      <c r="A1736" s="18">
        <v>2021</v>
      </c>
      <c r="B1736" s="18" t="s">
        <v>6191</v>
      </c>
      <c r="C1736" s="360" t="s">
        <v>484</v>
      </c>
      <c r="D1736" s="150" t="s">
        <v>77</v>
      </c>
      <c r="E1736" s="132"/>
      <c r="F1736" s="24"/>
      <c r="G1736" s="346">
        <v>8000001613</v>
      </c>
      <c r="H1736" s="18" t="s">
        <v>6639</v>
      </c>
      <c r="I1736" s="329"/>
      <c r="J1736" s="346">
        <v>8000001613</v>
      </c>
      <c r="K1736" s="24"/>
      <c r="L1736" s="24">
        <v>0</v>
      </c>
      <c r="M1736" s="24">
        <v>44505</v>
      </c>
      <c r="N1736" s="340" t="s">
        <v>486</v>
      </c>
      <c r="O1736" s="334">
        <v>208067</v>
      </c>
      <c r="P1736" s="25" t="s">
        <v>383</v>
      </c>
      <c r="Q1736" s="127" t="s">
        <v>303</v>
      </c>
      <c r="R1736" s="232" t="s">
        <v>6640</v>
      </c>
      <c r="S1736" s="89">
        <v>44481</v>
      </c>
      <c r="T1736" s="36">
        <v>30</v>
      </c>
      <c r="U1736" s="125" t="s">
        <v>131</v>
      </c>
      <c r="V1736" s="147" t="s">
        <v>6641</v>
      </c>
      <c r="W1736" s="129"/>
      <c r="X1736" s="88">
        <v>44521</v>
      </c>
      <c r="Y1736" s="130" t="s">
        <v>20</v>
      </c>
      <c r="Z1736" s="133" t="s">
        <v>60</v>
      </c>
      <c r="AA1736" s="133"/>
      <c r="AB1736" s="241">
        <v>135</v>
      </c>
      <c r="AC1736" s="134">
        <v>296.06</v>
      </c>
      <c r="AD1736" s="134"/>
      <c r="AE1736" s="403">
        <f t="shared" si="109"/>
        <v>39968.1</v>
      </c>
      <c r="AF1736" s="132">
        <v>5</v>
      </c>
      <c r="AG1736" s="130" t="s">
        <v>5</v>
      </c>
      <c r="AH1736" s="130"/>
      <c r="AI1736" s="130" t="s">
        <v>34</v>
      </c>
      <c r="AJ1736" s="130"/>
      <c r="AK1736" s="130"/>
      <c r="AL1736" s="135" t="s">
        <v>6211</v>
      </c>
      <c r="AM1736" s="314"/>
      <c r="AN1736" s="26">
        <v>44470</v>
      </c>
      <c r="AO1736" s="26">
        <v>44474</v>
      </c>
      <c r="AP1736" s="26">
        <v>44482</v>
      </c>
      <c r="AQ1736" s="26">
        <v>44497</v>
      </c>
      <c r="AR1736" s="24">
        <f>AP1736+4</f>
        <v>44486</v>
      </c>
      <c r="AS1736" s="41"/>
      <c r="AT1736" s="24">
        <v>44505</v>
      </c>
      <c r="AU1736" s="418">
        <f t="shared" si="110"/>
        <v>11</v>
      </c>
      <c r="AV1736" s="418">
        <f t="shared" si="111"/>
        <v>2021</v>
      </c>
      <c r="AW1736" s="24"/>
      <c r="AX1736" s="24"/>
      <c r="AY1736" s="24" t="s">
        <v>3415</v>
      </c>
      <c r="AZ1736" s="24" t="s">
        <v>62</v>
      </c>
      <c r="BA1736" s="24"/>
      <c r="BB1736" s="24" t="s">
        <v>3264</v>
      </c>
      <c r="BC1736" s="128" t="s">
        <v>6642</v>
      </c>
      <c r="BD1736" s="24">
        <v>44477</v>
      </c>
      <c r="BE1736" s="24" t="s">
        <v>947</v>
      </c>
      <c r="BF1736" s="24" t="s">
        <v>1938</v>
      </c>
      <c r="BG1736" s="135" t="s">
        <v>29</v>
      </c>
      <c r="BH1736" s="135"/>
      <c r="BI1736" s="314" t="s">
        <v>3</v>
      </c>
      <c r="BJ1736" s="314" t="s">
        <v>148</v>
      </c>
      <c r="BK1736" s="24"/>
      <c r="BL1736" s="24"/>
      <c r="BM1736" s="24"/>
      <c r="BN1736" s="24"/>
      <c r="BO1736" s="24">
        <v>44517</v>
      </c>
      <c r="BP1736" s="24"/>
      <c r="BQ1736" s="24"/>
      <c r="BR1736" s="24"/>
      <c r="BS1736" s="24"/>
      <c r="BT1736" s="24"/>
      <c r="BU1736" s="24"/>
      <c r="BV1736" s="132" t="e">
        <f>IF(#REF!="COMPLETO","OK","PENDIENTES")</f>
        <v>#REF!</v>
      </c>
      <c r="BW1736" s="132"/>
      <c r="BX1736" s="132"/>
      <c r="BY1736" s="132"/>
      <c r="BZ1736" s="132"/>
      <c r="CA1736" s="132"/>
      <c r="CB1736" s="132"/>
      <c r="CC1736" s="269"/>
      <c r="CG1736" s="24" t="s">
        <v>105</v>
      </c>
      <c r="CH1736" s="24"/>
      <c r="CI1736" s="24"/>
      <c r="CJ1736" s="24"/>
    </row>
    <row r="1737" spans="1:88" ht="14.45" customHeight="1">
      <c r="A1737" s="18">
        <v>2021</v>
      </c>
      <c r="B1737" s="18" t="s">
        <v>6191</v>
      </c>
      <c r="C1737" s="360" t="s">
        <v>484</v>
      </c>
      <c r="D1737" s="150" t="s">
        <v>77</v>
      </c>
      <c r="E1737" s="132"/>
      <c r="F1737" s="24"/>
      <c r="G1737" s="346">
        <v>8000001729</v>
      </c>
      <c r="H1737" s="18" t="s">
        <v>6643</v>
      </c>
      <c r="I1737" s="329"/>
      <c r="J1737" s="346">
        <v>8000001729</v>
      </c>
      <c r="K1737" s="24"/>
      <c r="L1737" s="24">
        <v>44566</v>
      </c>
      <c r="M1737" s="24">
        <v>44566</v>
      </c>
      <c r="N1737" s="340" t="s">
        <v>486</v>
      </c>
      <c r="O1737" s="334">
        <v>208067</v>
      </c>
      <c r="P1737" s="25" t="s">
        <v>383</v>
      </c>
      <c r="Q1737" s="127" t="s">
        <v>303</v>
      </c>
      <c r="R1737" s="232" t="s">
        <v>6644</v>
      </c>
      <c r="S1737" s="89">
        <v>44481</v>
      </c>
      <c r="T1737" s="36">
        <v>30</v>
      </c>
      <c r="U1737" s="125" t="s">
        <v>131</v>
      </c>
      <c r="V1737" s="147" t="s">
        <v>6645</v>
      </c>
      <c r="W1737" s="129"/>
      <c r="X1737" s="88">
        <v>44559</v>
      </c>
      <c r="Y1737" s="130" t="s">
        <v>20</v>
      </c>
      <c r="Z1737" s="133" t="s">
        <v>60</v>
      </c>
      <c r="AA1737" s="133"/>
      <c r="AB1737" s="241">
        <v>324</v>
      </c>
      <c r="AC1737" s="134">
        <v>296.06</v>
      </c>
      <c r="AD1737" s="134"/>
      <c r="AE1737" s="403">
        <f t="shared" si="109"/>
        <v>95923.44</v>
      </c>
      <c r="AF1737" s="132">
        <v>12</v>
      </c>
      <c r="AG1737" s="130" t="s">
        <v>5</v>
      </c>
      <c r="AH1737" s="130"/>
      <c r="AI1737" s="130" t="s">
        <v>34</v>
      </c>
      <c r="AJ1737" s="130"/>
      <c r="AK1737" s="130"/>
      <c r="AL1737" s="135" t="s">
        <v>6646</v>
      </c>
      <c r="AM1737" s="314"/>
      <c r="AN1737" s="26">
        <v>44525</v>
      </c>
      <c r="AO1737" s="26">
        <v>44526</v>
      </c>
      <c r="AP1737" s="26">
        <f>AQ1737</f>
        <v>44556</v>
      </c>
      <c r="AQ1737" s="26">
        <v>44556</v>
      </c>
      <c r="AR1737" s="24">
        <f>AQ1737+3</f>
        <v>44559</v>
      </c>
      <c r="AS1737" s="41"/>
      <c r="AT1737" s="24">
        <v>44569</v>
      </c>
      <c r="AU1737" s="418">
        <f t="shared" si="110"/>
        <v>1</v>
      </c>
      <c r="AV1737" s="418">
        <f t="shared" si="111"/>
        <v>2022</v>
      </c>
      <c r="AW1737" s="24"/>
      <c r="AX1737" s="24"/>
      <c r="AY1737" s="24" t="s">
        <v>3415</v>
      </c>
      <c r="AZ1737" s="135" t="s">
        <v>62</v>
      </c>
      <c r="BA1737" s="135"/>
      <c r="BB1737" s="24" t="s">
        <v>3264</v>
      </c>
      <c r="BC1737" s="128" t="s">
        <v>6647</v>
      </c>
      <c r="BD1737" s="24">
        <v>44526</v>
      </c>
      <c r="BE1737" s="24" t="s">
        <v>1938</v>
      </c>
      <c r="BF1737" s="24" t="s">
        <v>1938</v>
      </c>
      <c r="BG1737" s="135" t="s">
        <v>29</v>
      </c>
      <c r="BH1737" s="135"/>
      <c r="BI1737" s="314" t="s">
        <v>3</v>
      </c>
      <c r="BJ1737" s="314" t="s">
        <v>148</v>
      </c>
      <c r="BK1737" s="24"/>
      <c r="BL1737" s="24"/>
      <c r="BM1737" s="24"/>
      <c r="BN1737" s="24"/>
      <c r="BO1737" s="24">
        <v>44577</v>
      </c>
      <c r="BP1737" s="24"/>
      <c r="BQ1737" s="24"/>
      <c r="BR1737" s="24"/>
      <c r="BS1737" s="24"/>
      <c r="BT1737" s="24"/>
      <c r="BU1737" s="24"/>
      <c r="BV1737" s="132" t="e">
        <f>IF(#REF!="COMPLETO","OK","PENDIENTE")</f>
        <v>#REF!</v>
      </c>
      <c r="BW1737" s="132"/>
      <c r="BX1737" s="132"/>
      <c r="BY1737" s="132"/>
      <c r="BZ1737" s="132"/>
      <c r="CA1737" s="132"/>
      <c r="CB1737" s="132"/>
      <c r="CC1737" s="269"/>
      <c r="CG1737" s="24" t="s">
        <v>105</v>
      </c>
      <c r="CH1737" s="24"/>
      <c r="CI1737" s="24"/>
      <c r="CJ1737" s="24"/>
    </row>
    <row r="1738" spans="1:88" ht="14.45" customHeight="1">
      <c r="A1738" s="18">
        <v>2021</v>
      </c>
      <c r="B1738" s="18" t="s">
        <v>6191</v>
      </c>
      <c r="C1738" s="360" t="s">
        <v>484</v>
      </c>
      <c r="D1738" s="150" t="s">
        <v>77</v>
      </c>
      <c r="E1738" s="132"/>
      <c r="F1738" s="24"/>
      <c r="G1738" s="346">
        <v>8000001615</v>
      </c>
      <c r="H1738" s="18" t="s">
        <v>6648</v>
      </c>
      <c r="I1738" s="329"/>
      <c r="J1738" s="346">
        <v>8000001615</v>
      </c>
      <c r="K1738" s="24"/>
      <c r="L1738" s="24">
        <v>44491</v>
      </c>
      <c r="M1738" s="24">
        <v>44499</v>
      </c>
      <c r="N1738" s="340" t="s">
        <v>486</v>
      </c>
      <c r="O1738" s="334">
        <v>208067</v>
      </c>
      <c r="P1738" s="25" t="s">
        <v>383</v>
      </c>
      <c r="Q1738" s="127" t="s">
        <v>303</v>
      </c>
      <c r="R1738" s="232" t="s">
        <v>6649</v>
      </c>
      <c r="S1738" s="89">
        <v>44474</v>
      </c>
      <c r="T1738" s="36">
        <v>30</v>
      </c>
      <c r="U1738" s="125" t="s">
        <v>131</v>
      </c>
      <c r="V1738" s="147" t="s">
        <v>6650</v>
      </c>
      <c r="W1738" s="129"/>
      <c r="X1738" s="88">
        <v>44513</v>
      </c>
      <c r="Y1738" s="130" t="s">
        <v>20</v>
      </c>
      <c r="Z1738" s="133" t="s">
        <v>60</v>
      </c>
      <c r="AA1738" s="133"/>
      <c r="AB1738" s="241">
        <v>243</v>
      </c>
      <c r="AC1738" s="134">
        <v>296.06</v>
      </c>
      <c r="AD1738" s="134"/>
      <c r="AE1738" s="403">
        <f t="shared" si="109"/>
        <v>71942.58</v>
      </c>
      <c r="AF1738" s="132">
        <v>9</v>
      </c>
      <c r="AG1738" s="130" t="s">
        <v>5</v>
      </c>
      <c r="AH1738" s="130"/>
      <c r="AI1738" s="130" t="s">
        <v>34</v>
      </c>
      <c r="AJ1738" s="130"/>
      <c r="AK1738" s="130"/>
      <c r="AL1738" s="135" t="s">
        <v>6606</v>
      </c>
      <c r="AM1738" s="314"/>
      <c r="AN1738" s="26">
        <v>44475</v>
      </c>
      <c r="AO1738" s="26">
        <v>44475</v>
      </c>
      <c r="AP1738" s="26">
        <v>44570</v>
      </c>
      <c r="AQ1738" s="26">
        <v>44490</v>
      </c>
      <c r="AR1738" s="24">
        <f>+AQ1738+4</f>
        <v>44494</v>
      </c>
      <c r="AS1738" s="24"/>
      <c r="AT1738" s="24">
        <v>44496</v>
      </c>
      <c r="AU1738" s="418">
        <f t="shared" si="110"/>
        <v>10</v>
      </c>
      <c r="AV1738" s="418">
        <f t="shared" si="111"/>
        <v>2021</v>
      </c>
      <c r="AW1738" s="24"/>
      <c r="AX1738" s="28"/>
      <c r="AY1738" s="28" t="s">
        <v>3415</v>
      </c>
      <c r="AZ1738" s="24" t="s">
        <v>37</v>
      </c>
      <c r="BA1738" s="24"/>
      <c r="BB1738" s="24" t="s">
        <v>3291</v>
      </c>
      <c r="BC1738" s="128" t="s">
        <v>6651</v>
      </c>
      <c r="BD1738" s="24">
        <v>44482</v>
      </c>
      <c r="BE1738" s="24" t="s">
        <v>2668</v>
      </c>
      <c r="BF1738" s="24" t="s">
        <v>2668</v>
      </c>
      <c r="BG1738" s="132" t="s">
        <v>64</v>
      </c>
      <c r="BH1738" s="132"/>
      <c r="BI1738" s="314" t="s">
        <v>124</v>
      </c>
      <c r="BJ1738" s="314" t="s">
        <v>138</v>
      </c>
      <c r="BK1738" s="24"/>
      <c r="BL1738" s="24"/>
      <c r="BM1738" s="24"/>
      <c r="BN1738" s="24"/>
      <c r="BO1738" s="24"/>
      <c r="BP1738" s="24"/>
      <c r="BQ1738" s="24"/>
      <c r="BR1738" s="24"/>
      <c r="BS1738" s="24"/>
      <c r="BT1738" s="24"/>
      <c r="BU1738" s="24"/>
      <c r="BV1738" s="132" t="e">
        <f>IF(#REF!="COMPLETO","OK","PENDIENTES")</f>
        <v>#REF!</v>
      </c>
      <c r="BW1738" s="132"/>
      <c r="BX1738" s="132"/>
      <c r="BY1738" s="132"/>
      <c r="BZ1738" s="132"/>
      <c r="CA1738" s="132"/>
      <c r="CB1738" s="132"/>
      <c r="CC1738" s="269"/>
      <c r="CG1738" s="24" t="s">
        <v>105</v>
      </c>
      <c r="CH1738" s="24"/>
      <c r="CI1738" s="24"/>
      <c r="CJ1738" s="24"/>
    </row>
    <row r="1739" spans="1:88" ht="15" customHeight="1">
      <c r="A1739" s="18">
        <v>2021</v>
      </c>
      <c r="B1739" s="18"/>
      <c r="C1739" s="360" t="s">
        <v>484</v>
      </c>
      <c r="D1739" s="150" t="s">
        <v>77</v>
      </c>
      <c r="E1739" s="132"/>
      <c r="F1739" s="24"/>
      <c r="G1739" s="346"/>
      <c r="H1739" s="18" t="s">
        <v>6652</v>
      </c>
      <c r="I1739" s="329"/>
      <c r="J1739" s="346"/>
      <c r="K1739" s="24"/>
      <c r="L1739" s="24"/>
      <c r="M1739" s="24"/>
      <c r="N1739" s="340"/>
      <c r="O1739" s="334"/>
      <c r="P1739" s="25" t="s">
        <v>6653</v>
      </c>
      <c r="Q1739" s="127" t="s">
        <v>6654</v>
      </c>
      <c r="R1739" s="232" t="s">
        <v>5511</v>
      </c>
      <c r="S1739" s="89">
        <v>44449</v>
      </c>
      <c r="T1739" s="36" t="s">
        <v>19</v>
      </c>
      <c r="U1739" s="125"/>
      <c r="V1739" s="147"/>
      <c r="W1739" s="129"/>
      <c r="X1739" s="88" t="s">
        <v>944</v>
      </c>
      <c r="Y1739" s="130" t="s">
        <v>20</v>
      </c>
      <c r="Z1739" s="133" t="s">
        <v>101</v>
      </c>
      <c r="AA1739" s="133"/>
      <c r="AB1739" s="241">
        <v>9325</v>
      </c>
      <c r="AC1739" s="134">
        <v>4.6020066229414303</v>
      </c>
      <c r="AD1739" s="134"/>
      <c r="AE1739" s="403">
        <f t="shared" si="109"/>
        <v>42913.711758928839</v>
      </c>
      <c r="AF1739" s="132"/>
      <c r="AG1739" s="130" t="s">
        <v>944</v>
      </c>
      <c r="AH1739" s="130"/>
      <c r="AI1739" s="130" t="s">
        <v>944</v>
      </c>
      <c r="AJ1739" s="130"/>
      <c r="AK1739" s="130"/>
      <c r="AL1739" s="135" t="s">
        <v>6312</v>
      </c>
      <c r="AM1739" s="314"/>
      <c r="AN1739" s="26">
        <v>44482</v>
      </c>
      <c r="AO1739" s="26">
        <v>44482</v>
      </c>
      <c r="AP1739" s="26">
        <v>44489</v>
      </c>
      <c r="AQ1739" s="26">
        <v>44484</v>
      </c>
      <c r="AR1739" s="24">
        <f>AQ1739+3</f>
        <v>44487</v>
      </c>
      <c r="AS1739" s="24"/>
      <c r="AT1739" s="24">
        <v>44487</v>
      </c>
      <c r="AU1739" s="418">
        <f t="shared" si="110"/>
        <v>10</v>
      </c>
      <c r="AV1739" s="418">
        <f t="shared" si="111"/>
        <v>2021</v>
      </c>
      <c r="AW1739" s="24"/>
      <c r="AX1739" s="24"/>
      <c r="AY1739" s="24" t="s">
        <v>6655</v>
      </c>
      <c r="AZ1739" s="24" t="s">
        <v>37</v>
      </c>
      <c r="BA1739" s="24"/>
      <c r="BB1739" s="24" t="s">
        <v>3291</v>
      </c>
      <c r="BC1739" s="128">
        <v>774876182802</v>
      </c>
      <c r="BD1739" s="24" t="s">
        <v>944</v>
      </c>
      <c r="BE1739" s="24" t="s">
        <v>6656</v>
      </c>
      <c r="BF1739" s="24" t="s">
        <v>6656</v>
      </c>
      <c r="BG1739" s="135" t="s">
        <v>52</v>
      </c>
      <c r="BH1739" s="135"/>
      <c r="BI1739" s="314" t="s">
        <v>117</v>
      </c>
      <c r="BJ1739" s="314" t="s">
        <v>148</v>
      </c>
      <c r="BK1739" s="24"/>
      <c r="BL1739" s="24"/>
      <c r="BM1739" s="24"/>
      <c r="BN1739" s="24"/>
      <c r="BO1739" s="24"/>
      <c r="BP1739" s="24"/>
      <c r="BQ1739" s="24"/>
      <c r="BR1739" s="24"/>
      <c r="BS1739" s="24"/>
      <c r="BT1739" s="24"/>
      <c r="BU1739" s="24"/>
      <c r="BV1739" s="132" t="e">
        <f>IF(#REF!="COMPLETO","OK","PENDIENTES")</f>
        <v>#REF!</v>
      </c>
      <c r="BW1739" s="132"/>
      <c r="BX1739" s="132"/>
      <c r="BY1739" s="132"/>
      <c r="BZ1739" s="132"/>
      <c r="CA1739" s="132"/>
      <c r="CB1739" s="132"/>
      <c r="CC1739" s="269"/>
      <c r="CG1739" s="24" t="s">
        <v>105</v>
      </c>
      <c r="CH1739" s="24"/>
      <c r="CI1739" s="24"/>
      <c r="CJ1739" s="24"/>
    </row>
    <row r="1740" spans="1:88" ht="15" customHeight="1">
      <c r="A1740" s="18">
        <v>2021</v>
      </c>
      <c r="B1740" s="18" t="str">
        <f>+INDEX(BDD!F:F,MATCH(P1740,BDD!D:D,0))&amp;"-"&amp;INDEX(BDD!E:E,MATCH(P1740,BDD!D:D,0))</f>
        <v>T-S</v>
      </c>
      <c r="C1740" s="360" t="s">
        <v>484</v>
      </c>
      <c r="D1740" s="150" t="s">
        <v>77</v>
      </c>
      <c r="E1740" s="132"/>
      <c r="F1740" s="24"/>
      <c r="G1740" s="346">
        <v>8000001674</v>
      </c>
      <c r="H1740" s="18" t="s">
        <v>6657</v>
      </c>
      <c r="I1740" s="329"/>
      <c r="J1740" s="346">
        <v>8000001674</v>
      </c>
      <c r="K1740" s="24"/>
      <c r="L1740" s="24">
        <v>0</v>
      </c>
      <c r="M1740" s="24">
        <v>44503</v>
      </c>
      <c r="N1740" s="340" t="s">
        <v>486</v>
      </c>
      <c r="O1740" s="334">
        <v>208067</v>
      </c>
      <c r="P1740" s="25" t="s">
        <v>383</v>
      </c>
      <c r="Q1740" s="127" t="s">
        <v>303</v>
      </c>
      <c r="R1740" s="232" t="s">
        <v>6658</v>
      </c>
      <c r="S1740" s="89">
        <v>44474</v>
      </c>
      <c r="T1740" s="36">
        <v>30</v>
      </c>
      <c r="U1740" s="125" t="s">
        <v>131</v>
      </c>
      <c r="V1740" s="147" t="s">
        <v>6659</v>
      </c>
      <c r="W1740" s="129"/>
      <c r="X1740" s="88">
        <v>44521</v>
      </c>
      <c r="Y1740" s="130" t="s">
        <v>20</v>
      </c>
      <c r="Z1740" s="133" t="s">
        <v>60</v>
      </c>
      <c r="AA1740" s="133"/>
      <c r="AB1740" s="241">
        <v>270</v>
      </c>
      <c r="AC1740" s="134">
        <v>296.06</v>
      </c>
      <c r="AD1740" s="134"/>
      <c r="AE1740" s="403">
        <f t="shared" si="109"/>
        <v>79936.2</v>
      </c>
      <c r="AF1740" s="132">
        <v>10</v>
      </c>
      <c r="AG1740" s="130" t="s">
        <v>5</v>
      </c>
      <c r="AH1740" s="130"/>
      <c r="AI1740" s="130" t="s">
        <v>34</v>
      </c>
      <c r="AJ1740" s="130"/>
      <c r="AK1740" s="130"/>
      <c r="AL1740" s="135" t="s">
        <v>6606</v>
      </c>
      <c r="AM1740" s="314"/>
      <c r="AN1740" s="26">
        <v>44485</v>
      </c>
      <c r="AO1740" s="26">
        <v>44484</v>
      </c>
      <c r="AP1740" s="26">
        <v>44495</v>
      </c>
      <c r="AQ1740" s="26">
        <v>44495</v>
      </c>
      <c r="AR1740" s="24">
        <f>AP1740+2</f>
        <v>44497</v>
      </c>
      <c r="AS1740" s="24"/>
      <c r="AT1740" s="24">
        <v>44502</v>
      </c>
      <c r="AU1740" s="418">
        <f t="shared" si="110"/>
        <v>11</v>
      </c>
      <c r="AV1740" s="418">
        <f t="shared" si="111"/>
        <v>2021</v>
      </c>
      <c r="AW1740" s="24"/>
      <c r="AX1740" s="24"/>
      <c r="AY1740" s="24" t="s">
        <v>3415</v>
      </c>
      <c r="AZ1740" s="24" t="s">
        <v>9</v>
      </c>
      <c r="BA1740" s="24"/>
      <c r="BB1740" s="24" t="s">
        <v>3264</v>
      </c>
      <c r="BC1740" s="128" t="s">
        <v>6660</v>
      </c>
      <c r="BD1740" s="24">
        <v>44491</v>
      </c>
      <c r="BE1740" s="24" t="s">
        <v>947</v>
      </c>
      <c r="BF1740" s="24" t="s">
        <v>947</v>
      </c>
      <c r="BG1740" s="132" t="s">
        <v>64</v>
      </c>
      <c r="BH1740" s="132"/>
      <c r="BI1740" s="314" t="s">
        <v>124</v>
      </c>
      <c r="BJ1740" s="314" t="s">
        <v>138</v>
      </c>
      <c r="BK1740" s="24"/>
      <c r="BL1740" s="24"/>
      <c r="BM1740" s="24"/>
      <c r="BN1740" s="24"/>
      <c r="BO1740" s="24"/>
      <c r="BP1740" s="24"/>
      <c r="BQ1740" s="24"/>
      <c r="BR1740" s="24"/>
      <c r="BS1740" s="24"/>
      <c r="BT1740" s="24"/>
      <c r="BU1740" s="24"/>
      <c r="BV1740" s="132" t="e">
        <f>IF(#REF!="COMPLETO","OK","PENDIENTES")</f>
        <v>#REF!</v>
      </c>
      <c r="BW1740" s="132"/>
      <c r="BX1740" s="132"/>
      <c r="BY1740" s="132"/>
      <c r="BZ1740" s="132"/>
      <c r="CA1740" s="132"/>
      <c r="CB1740" s="132"/>
      <c r="CC1740" s="269"/>
      <c r="CG1740" s="24" t="s">
        <v>105</v>
      </c>
      <c r="CH1740" s="24"/>
      <c r="CI1740" s="24"/>
      <c r="CJ1740" s="24"/>
    </row>
    <row r="1741" spans="1:88" ht="15" customHeight="1">
      <c r="A1741" s="18">
        <v>2021</v>
      </c>
      <c r="B1741" s="18" t="str">
        <f>+INDEX(BDD!F:F,MATCH(P1741,BDD!D:D,0))&amp;"-"&amp;INDEX(BDD!E:E,MATCH(P1741,BDD!D:D,0))</f>
        <v>T-S</v>
      </c>
      <c r="C1741" s="360" t="s">
        <v>484</v>
      </c>
      <c r="D1741" s="150" t="s">
        <v>77</v>
      </c>
      <c r="E1741" s="132"/>
      <c r="F1741" s="24"/>
      <c r="G1741" s="346">
        <v>8000001675</v>
      </c>
      <c r="H1741" s="18" t="s">
        <v>6661</v>
      </c>
      <c r="I1741" s="329"/>
      <c r="J1741" s="346">
        <v>8000001675</v>
      </c>
      <c r="K1741" s="24"/>
      <c r="L1741" s="24">
        <v>0</v>
      </c>
      <c r="M1741" s="24">
        <v>44509</v>
      </c>
      <c r="N1741" s="340" t="s">
        <v>486</v>
      </c>
      <c r="O1741" s="334">
        <v>208067</v>
      </c>
      <c r="P1741" s="25" t="s">
        <v>383</v>
      </c>
      <c r="Q1741" s="127" t="s">
        <v>303</v>
      </c>
      <c r="R1741" s="232" t="s">
        <v>6662</v>
      </c>
      <c r="S1741" s="89">
        <v>44474</v>
      </c>
      <c r="T1741" s="36">
        <v>30</v>
      </c>
      <c r="U1741" s="125" t="s">
        <v>131</v>
      </c>
      <c r="V1741" s="147" t="s">
        <v>6663</v>
      </c>
      <c r="W1741" s="129"/>
      <c r="X1741" s="88">
        <v>44521</v>
      </c>
      <c r="Y1741" s="130" t="s">
        <v>20</v>
      </c>
      <c r="Z1741" s="133" t="s">
        <v>60</v>
      </c>
      <c r="AA1741" s="133"/>
      <c r="AB1741" s="241">
        <v>270</v>
      </c>
      <c r="AC1741" s="134">
        <v>296.06</v>
      </c>
      <c r="AD1741" s="134"/>
      <c r="AE1741" s="403">
        <f t="shared" si="109"/>
        <v>79936.2</v>
      </c>
      <c r="AF1741" s="132">
        <v>10</v>
      </c>
      <c r="AG1741" s="130" t="s">
        <v>5</v>
      </c>
      <c r="AH1741" s="130"/>
      <c r="AI1741" s="130" t="s">
        <v>34</v>
      </c>
      <c r="AJ1741" s="130"/>
      <c r="AK1741" s="130"/>
      <c r="AL1741" s="135" t="s">
        <v>6606</v>
      </c>
      <c r="AM1741" s="314"/>
      <c r="AN1741" s="26">
        <v>44485</v>
      </c>
      <c r="AO1741" s="26">
        <v>44484</v>
      </c>
      <c r="AP1741" s="26">
        <v>44495</v>
      </c>
      <c r="AQ1741" s="26">
        <v>44497</v>
      </c>
      <c r="AR1741" s="24">
        <f>AP1741+2</f>
        <v>44497</v>
      </c>
      <c r="AS1741" s="24"/>
      <c r="AT1741" s="24">
        <v>44505</v>
      </c>
      <c r="AU1741" s="418">
        <f t="shared" si="110"/>
        <v>11</v>
      </c>
      <c r="AV1741" s="418">
        <f t="shared" si="111"/>
        <v>2021</v>
      </c>
      <c r="AW1741" s="24"/>
      <c r="AX1741" s="24"/>
      <c r="AY1741" s="24" t="s">
        <v>3415</v>
      </c>
      <c r="AZ1741" s="132" t="s">
        <v>37</v>
      </c>
      <c r="BA1741" s="132"/>
      <c r="BB1741" s="24" t="s">
        <v>3291</v>
      </c>
      <c r="BC1741" s="128" t="s">
        <v>6664</v>
      </c>
      <c r="BD1741" s="24">
        <v>44491</v>
      </c>
      <c r="BE1741" s="135" t="s">
        <v>5438</v>
      </c>
      <c r="BF1741" s="135" t="s">
        <v>5438</v>
      </c>
      <c r="BG1741" s="132" t="s">
        <v>64</v>
      </c>
      <c r="BH1741" s="132"/>
      <c r="BI1741" s="314" t="s">
        <v>124</v>
      </c>
      <c r="BJ1741" s="314" t="s">
        <v>138</v>
      </c>
      <c r="BK1741" s="24"/>
      <c r="BL1741" s="24"/>
      <c r="BM1741" s="24"/>
      <c r="BN1741" s="24"/>
      <c r="BO1741" s="24"/>
      <c r="BP1741" s="24"/>
      <c r="BQ1741" s="24"/>
      <c r="BR1741" s="24"/>
      <c r="BS1741" s="24"/>
      <c r="BT1741" s="24"/>
      <c r="BU1741" s="24"/>
      <c r="BV1741" s="132" t="e">
        <f>IF(#REF!="COMPLETO","OK","PENDIENTES")</f>
        <v>#REF!</v>
      </c>
      <c r="BW1741" s="132"/>
      <c r="BX1741" s="132"/>
      <c r="BY1741" s="132"/>
      <c r="BZ1741" s="132"/>
      <c r="CA1741" s="132"/>
      <c r="CB1741" s="132"/>
      <c r="CC1741" s="269"/>
      <c r="CG1741" s="24" t="s">
        <v>105</v>
      </c>
      <c r="CH1741" s="24"/>
      <c r="CI1741" s="24"/>
      <c r="CJ1741" s="24"/>
    </row>
    <row r="1742" spans="1:88" ht="15" customHeight="1">
      <c r="A1742" s="18">
        <v>2021</v>
      </c>
      <c r="B1742" s="18" t="str">
        <f>+INDEX(BDD!F:F,MATCH(P1742,BDD!D:D,0))&amp;"-"&amp;INDEX(BDD!E:E,MATCH(P1742,BDD!D:D,0))</f>
        <v>S-S</v>
      </c>
      <c r="C1742" s="360" t="s">
        <v>484</v>
      </c>
      <c r="D1742" s="150" t="s">
        <v>77</v>
      </c>
      <c r="E1742" s="132"/>
      <c r="F1742" s="24"/>
      <c r="G1742" s="346">
        <v>8000001690</v>
      </c>
      <c r="H1742" s="18" t="s">
        <v>6665</v>
      </c>
      <c r="I1742" s="329"/>
      <c r="J1742" s="346">
        <v>8000001690</v>
      </c>
      <c r="K1742" s="24"/>
      <c r="L1742" s="24">
        <v>44595</v>
      </c>
      <c r="M1742" s="24">
        <v>44595</v>
      </c>
      <c r="N1742" s="340" t="s">
        <v>486</v>
      </c>
      <c r="O1742" s="334">
        <v>206971</v>
      </c>
      <c r="P1742" s="25" t="s">
        <v>340</v>
      </c>
      <c r="Q1742" s="127" t="s">
        <v>297</v>
      </c>
      <c r="R1742" s="232" t="s">
        <v>6666</v>
      </c>
      <c r="S1742" s="89">
        <v>44491</v>
      </c>
      <c r="T1742" s="36" t="s">
        <v>19</v>
      </c>
      <c r="U1742" s="125"/>
      <c r="V1742" s="147" t="s">
        <v>6667</v>
      </c>
      <c r="W1742" s="129"/>
      <c r="X1742" s="88"/>
      <c r="Y1742" s="130" t="s">
        <v>20</v>
      </c>
      <c r="Z1742" s="133" t="s">
        <v>60</v>
      </c>
      <c r="AA1742" s="133"/>
      <c r="AB1742" s="241">
        <v>3500</v>
      </c>
      <c r="AC1742" s="134">
        <v>999.65509999999995</v>
      </c>
      <c r="AD1742" s="275">
        <v>160.12</v>
      </c>
      <c r="AE1742" s="403">
        <f t="shared" si="109"/>
        <v>3498792.8499999996</v>
      </c>
      <c r="AF1742" s="132"/>
      <c r="AG1742" s="130" t="s">
        <v>58</v>
      </c>
      <c r="AH1742" s="130"/>
      <c r="AI1742" s="130" t="s">
        <v>34</v>
      </c>
      <c r="AJ1742" s="130"/>
      <c r="AK1742" s="130"/>
      <c r="AL1742" s="135" t="s">
        <v>6432</v>
      </c>
      <c r="AM1742" s="314"/>
      <c r="AN1742" s="26">
        <f>BL1742</f>
        <v>0</v>
      </c>
      <c r="AO1742" s="26">
        <v>44531</v>
      </c>
      <c r="AP1742" s="26">
        <f>AQ1742</f>
        <v>44594</v>
      </c>
      <c r="AQ1742" s="26">
        <v>44594</v>
      </c>
      <c r="AR1742" s="24">
        <f>AQ1742+2</f>
        <v>44596</v>
      </c>
      <c r="AS1742" s="24"/>
      <c r="AT1742" s="24">
        <v>44597</v>
      </c>
      <c r="AU1742" s="418">
        <f t="shared" si="110"/>
        <v>2</v>
      </c>
      <c r="AV1742" s="418">
        <f t="shared" si="111"/>
        <v>2022</v>
      </c>
      <c r="AW1742" s="24"/>
      <c r="AX1742" s="24"/>
      <c r="AY1742" s="24" t="s">
        <v>193</v>
      </c>
      <c r="AZ1742" s="132" t="s">
        <v>25</v>
      </c>
      <c r="BA1742" s="132"/>
      <c r="BB1742" s="24" t="s">
        <v>3264</v>
      </c>
      <c r="BC1742" s="128" t="s">
        <v>6668</v>
      </c>
      <c r="BD1742" s="24">
        <v>44531</v>
      </c>
      <c r="BE1742" s="24" t="s">
        <v>6033</v>
      </c>
      <c r="BF1742" s="24" t="s">
        <v>6033</v>
      </c>
      <c r="BG1742" s="135" t="s">
        <v>52</v>
      </c>
      <c r="BH1742" s="135"/>
      <c r="BI1742" s="314" t="s">
        <v>3</v>
      </c>
      <c r="BJ1742" s="314" t="s">
        <v>148</v>
      </c>
      <c r="BK1742" s="24"/>
      <c r="BL1742" s="24"/>
      <c r="BM1742" s="24"/>
      <c r="BN1742" s="24"/>
      <c r="BO1742" s="24"/>
      <c r="BP1742" s="24"/>
      <c r="BQ1742" s="24" t="s">
        <v>6669</v>
      </c>
      <c r="BR1742" s="24">
        <v>44592</v>
      </c>
      <c r="BS1742" s="24" t="s">
        <v>38</v>
      </c>
      <c r="BT1742" s="24" t="s">
        <v>11</v>
      </c>
      <c r="BU1742" s="24"/>
      <c r="BV1742" s="132" t="e">
        <f>IF(#REF!="COMPLETO","OK","PENDIENTE")</f>
        <v>#REF!</v>
      </c>
      <c r="BW1742" s="132"/>
      <c r="BX1742" s="132"/>
      <c r="BY1742" s="132"/>
      <c r="BZ1742" s="132"/>
      <c r="CA1742" s="132"/>
      <c r="CB1742" s="132"/>
      <c r="CC1742" s="269"/>
      <c r="CG1742" s="24" t="s">
        <v>105</v>
      </c>
      <c r="CH1742" s="24"/>
      <c r="CI1742" s="24"/>
      <c r="CJ1742" s="24"/>
    </row>
    <row r="1743" spans="1:88" ht="15" customHeight="1">
      <c r="A1743" s="18">
        <v>2021</v>
      </c>
      <c r="B1743" s="18"/>
      <c r="C1743" s="360" t="s">
        <v>484</v>
      </c>
      <c r="D1743" s="150" t="s">
        <v>77</v>
      </c>
      <c r="E1743" s="132"/>
      <c r="F1743" s="24"/>
      <c r="G1743" s="346"/>
      <c r="H1743" s="18" t="s">
        <v>6670</v>
      </c>
      <c r="I1743" s="329"/>
      <c r="J1743" s="346"/>
      <c r="K1743" s="24"/>
      <c r="L1743" s="24"/>
      <c r="M1743" s="24"/>
      <c r="N1743" s="340"/>
      <c r="O1743" s="334"/>
      <c r="P1743" s="25" t="s">
        <v>6671</v>
      </c>
      <c r="Q1743" s="127" t="s">
        <v>6672</v>
      </c>
      <c r="R1743" s="232" t="s">
        <v>944</v>
      </c>
      <c r="S1743" s="89" t="s">
        <v>944</v>
      </c>
      <c r="T1743" s="36" t="s">
        <v>6022</v>
      </c>
      <c r="U1743" s="125" t="s">
        <v>6023</v>
      </c>
      <c r="V1743" s="130" t="s">
        <v>944</v>
      </c>
      <c r="W1743" s="282"/>
      <c r="X1743" s="130" t="s">
        <v>944</v>
      </c>
      <c r="Y1743" s="130" t="s">
        <v>944</v>
      </c>
      <c r="Z1743" s="133" t="s">
        <v>944</v>
      </c>
      <c r="AA1743" s="133"/>
      <c r="AB1743" s="241">
        <v>0.5</v>
      </c>
      <c r="AC1743" s="134">
        <v>4.6020066229414303</v>
      </c>
      <c r="AD1743" s="134"/>
      <c r="AE1743" s="403">
        <f t="shared" si="109"/>
        <v>2.3010033114707151</v>
      </c>
      <c r="AF1743" s="132"/>
      <c r="AG1743" s="130" t="s">
        <v>944</v>
      </c>
      <c r="AH1743" s="130"/>
      <c r="AI1743" s="130" t="s">
        <v>944</v>
      </c>
      <c r="AJ1743" s="130"/>
      <c r="AK1743" s="130"/>
      <c r="AL1743" s="135" t="s">
        <v>6312</v>
      </c>
      <c r="AM1743" s="314"/>
      <c r="AN1743" s="26">
        <v>44482</v>
      </c>
      <c r="AO1743" s="26">
        <v>44482</v>
      </c>
      <c r="AP1743" s="26">
        <v>44489</v>
      </c>
      <c r="AQ1743" s="26">
        <v>44484</v>
      </c>
      <c r="AR1743" s="24">
        <f>AQ1743+3</f>
        <v>44487</v>
      </c>
      <c r="AS1743" s="24"/>
      <c r="AT1743" s="24">
        <v>44490</v>
      </c>
      <c r="AU1743" s="418">
        <f t="shared" si="110"/>
        <v>10</v>
      </c>
      <c r="AV1743" s="418">
        <f t="shared" si="111"/>
        <v>2021</v>
      </c>
      <c r="AW1743" s="24"/>
      <c r="AX1743" s="24"/>
      <c r="AY1743" s="24" t="s">
        <v>6673</v>
      </c>
      <c r="AZ1743" s="135" t="s">
        <v>37</v>
      </c>
      <c r="BA1743" s="135"/>
      <c r="BB1743" s="24" t="s">
        <v>944</v>
      </c>
      <c r="BC1743" s="128">
        <v>1265659673</v>
      </c>
      <c r="BD1743" s="24" t="s">
        <v>944</v>
      </c>
      <c r="BE1743" s="135" t="s">
        <v>6674</v>
      </c>
      <c r="BF1743" s="135" t="s">
        <v>6674</v>
      </c>
      <c r="BG1743" s="135" t="s">
        <v>52</v>
      </c>
      <c r="BH1743" s="135"/>
      <c r="BI1743" s="314" t="s">
        <v>117</v>
      </c>
      <c r="BJ1743" s="314" t="s">
        <v>148</v>
      </c>
      <c r="BK1743" s="24"/>
      <c r="BL1743" s="24"/>
      <c r="BM1743" s="24"/>
      <c r="BN1743" s="24"/>
      <c r="BO1743" s="24"/>
      <c r="BP1743" s="24"/>
      <c r="BQ1743" s="24"/>
      <c r="BR1743" s="24"/>
      <c r="BS1743" s="24"/>
      <c r="BT1743" s="24"/>
      <c r="BU1743" s="24"/>
      <c r="BV1743" s="132" t="s">
        <v>6087</v>
      </c>
      <c r="BW1743" s="132"/>
      <c r="BX1743" s="132"/>
      <c r="BY1743" s="132"/>
      <c r="BZ1743" s="132"/>
      <c r="CA1743" s="132"/>
      <c r="CB1743" s="132"/>
      <c r="CC1743" s="269"/>
      <c r="CG1743" s="24" t="s">
        <v>105</v>
      </c>
      <c r="CH1743" s="24"/>
      <c r="CI1743" s="24"/>
      <c r="CJ1743" s="24"/>
    </row>
    <row r="1744" spans="1:88" ht="14.45" customHeight="1">
      <c r="A1744" s="18">
        <v>2021</v>
      </c>
      <c r="B1744" s="18" t="str">
        <f>+INDEX(BDD!F:F,MATCH(P1744,BDD!D:D,0))&amp;"-"&amp;INDEX(BDD!E:E,MATCH(P1744,BDD!D:D,0))</f>
        <v>S-P</v>
      </c>
      <c r="C1744" s="360" t="s">
        <v>484</v>
      </c>
      <c r="D1744" s="150" t="s">
        <v>77</v>
      </c>
      <c r="E1744" s="132"/>
      <c r="F1744" s="24"/>
      <c r="G1744" s="346">
        <v>8000001667</v>
      </c>
      <c r="H1744" s="18" t="s">
        <v>6675</v>
      </c>
      <c r="I1744" s="329"/>
      <c r="J1744" s="346">
        <v>8000001667</v>
      </c>
      <c r="K1744" s="24"/>
      <c r="L1744" s="24">
        <v>44673</v>
      </c>
      <c r="M1744" s="24">
        <v>44683</v>
      </c>
      <c r="N1744" s="340" t="s">
        <v>486</v>
      </c>
      <c r="O1744" s="334">
        <v>206766</v>
      </c>
      <c r="P1744" s="25" t="s">
        <v>2</v>
      </c>
      <c r="Q1744" s="127" t="s">
        <v>237</v>
      </c>
      <c r="R1744" s="232" t="s">
        <v>6676</v>
      </c>
      <c r="S1744" s="89">
        <v>44489</v>
      </c>
      <c r="T1744" s="36">
        <v>90</v>
      </c>
      <c r="U1744" s="125" t="s">
        <v>118</v>
      </c>
      <c r="V1744" s="147" t="s">
        <v>6677</v>
      </c>
      <c r="W1744" s="129">
        <v>44641</v>
      </c>
      <c r="X1744" s="88">
        <f>+BD1744+T1744</f>
        <v>44731</v>
      </c>
      <c r="Y1744" s="130" t="s">
        <v>3</v>
      </c>
      <c r="Z1744" s="133" t="s">
        <v>60</v>
      </c>
      <c r="AA1744" s="133"/>
      <c r="AB1744" s="241">
        <v>312</v>
      </c>
      <c r="AC1744" s="134">
        <v>1826</v>
      </c>
      <c r="AD1744" s="134"/>
      <c r="AE1744" s="403">
        <f t="shared" si="109"/>
        <v>569712</v>
      </c>
      <c r="AF1744" s="132">
        <v>13</v>
      </c>
      <c r="AG1744" s="130" t="s">
        <v>5</v>
      </c>
      <c r="AH1744" s="130" t="s">
        <v>6388</v>
      </c>
      <c r="AI1744" s="130" t="s">
        <v>47</v>
      </c>
      <c r="AJ1744" s="130" t="s">
        <v>944</v>
      </c>
      <c r="AK1744" s="130" t="s">
        <v>5634</v>
      </c>
      <c r="AL1744" s="135" t="s">
        <v>6678</v>
      </c>
      <c r="AM1744" s="314"/>
      <c r="AN1744" s="26">
        <f>BL1744</f>
        <v>0</v>
      </c>
      <c r="AO1744" s="26">
        <v>44641</v>
      </c>
      <c r="AP1744" s="26">
        <f>AQ1744</f>
        <v>44671</v>
      </c>
      <c r="AQ1744" s="26">
        <v>44671</v>
      </c>
      <c r="AR1744" s="24">
        <f>AQ1744+4</f>
        <v>44675</v>
      </c>
      <c r="AS1744" s="24">
        <v>44676</v>
      </c>
      <c r="AT1744" s="24">
        <v>44678</v>
      </c>
      <c r="AU1744" s="418">
        <f t="shared" si="110"/>
        <v>4</v>
      </c>
      <c r="AV1744" s="418">
        <f t="shared" si="111"/>
        <v>2022</v>
      </c>
      <c r="AW1744" s="24"/>
      <c r="AX1744" s="24" t="s">
        <v>6406</v>
      </c>
      <c r="AY1744" s="24" t="s">
        <v>6391</v>
      </c>
      <c r="AZ1744" s="132" t="s">
        <v>9</v>
      </c>
      <c r="BA1744" s="132"/>
      <c r="BB1744" s="24" t="s">
        <v>3264</v>
      </c>
      <c r="BC1744" s="128" t="s">
        <v>6679</v>
      </c>
      <c r="BD1744" s="24">
        <v>44641</v>
      </c>
      <c r="BE1744" s="135" t="s">
        <v>6680</v>
      </c>
      <c r="BF1744" s="135" t="s">
        <v>5944</v>
      </c>
      <c r="BG1744" s="135" t="s">
        <v>29</v>
      </c>
      <c r="BH1744" s="135" t="s">
        <v>6219</v>
      </c>
      <c r="BI1744" s="314" t="s">
        <v>124</v>
      </c>
      <c r="BJ1744" s="314"/>
      <c r="BK1744" s="24"/>
      <c r="BL1744" s="24"/>
      <c r="BM1744" s="24"/>
      <c r="BN1744" s="24"/>
      <c r="BO1744" s="24">
        <f>AQ1744+13</f>
        <v>44684</v>
      </c>
      <c r="BP1744" s="24"/>
      <c r="BQ1744" s="24" t="s">
        <v>6681</v>
      </c>
      <c r="BR1744" s="24">
        <v>44665</v>
      </c>
      <c r="BS1744" s="24" t="s">
        <v>38</v>
      </c>
      <c r="BT1744" s="24" t="s">
        <v>11</v>
      </c>
      <c r="BU1744" s="24"/>
      <c r="BV1744" s="132" t="s">
        <v>6087</v>
      </c>
      <c r="BW1744" s="132"/>
      <c r="BX1744" s="132"/>
      <c r="BY1744" s="132"/>
      <c r="BZ1744" s="132"/>
      <c r="CA1744" s="132"/>
      <c r="CB1744" s="132"/>
      <c r="CC1744" s="364" t="s">
        <v>6682</v>
      </c>
      <c r="CD1744" s="67" t="s">
        <v>6395</v>
      </c>
      <c r="CE1744" s="67"/>
      <c r="CG1744" s="24" t="s">
        <v>105</v>
      </c>
      <c r="CH1744" s="24"/>
      <c r="CI1744" s="24"/>
      <c r="CJ1744" s="24"/>
    </row>
    <row r="1745" spans="1:88" ht="15" customHeight="1">
      <c r="A1745" s="18">
        <v>2021</v>
      </c>
      <c r="B1745" s="18" t="s">
        <v>6683</v>
      </c>
      <c r="C1745" s="360" t="s">
        <v>484</v>
      </c>
      <c r="D1745" s="150" t="s">
        <v>92</v>
      </c>
      <c r="E1745" s="132" t="s">
        <v>1622</v>
      </c>
      <c r="F1745" s="24"/>
      <c r="G1745" s="346"/>
      <c r="H1745" s="18" t="s">
        <v>6684</v>
      </c>
      <c r="I1745" s="330"/>
      <c r="J1745" s="346"/>
      <c r="K1745" s="24"/>
      <c r="L1745" s="24"/>
      <c r="M1745" s="24"/>
      <c r="N1745" s="340"/>
      <c r="O1745" s="334"/>
      <c r="P1745" s="25" t="s">
        <v>386</v>
      </c>
      <c r="Q1745" s="127" t="s">
        <v>303</v>
      </c>
      <c r="R1745" s="232"/>
      <c r="S1745" s="89"/>
      <c r="T1745" s="36"/>
      <c r="U1745" s="125"/>
      <c r="V1745" s="147"/>
      <c r="W1745" s="129"/>
      <c r="X1745" s="88"/>
      <c r="Y1745" s="130"/>
      <c r="Z1745" s="133"/>
      <c r="AA1745" s="133"/>
      <c r="AB1745" s="241"/>
      <c r="AC1745" s="134"/>
      <c r="AD1745" s="134"/>
      <c r="AE1745" s="403">
        <f t="shared" si="109"/>
        <v>0</v>
      </c>
      <c r="AF1745" s="132"/>
      <c r="AG1745" s="130"/>
      <c r="AH1745" s="130"/>
      <c r="AI1745" s="130"/>
      <c r="AJ1745" s="130"/>
      <c r="AK1745" s="130"/>
      <c r="AL1745" s="256"/>
      <c r="AM1745" s="314"/>
      <c r="AN1745" s="26"/>
      <c r="AO1745" s="26"/>
      <c r="AP1745" s="26"/>
      <c r="AQ1745" s="26"/>
      <c r="AR1745" s="24"/>
      <c r="AS1745" s="24"/>
      <c r="AT1745" s="24"/>
      <c r="AU1745" s="418">
        <f t="shared" si="110"/>
        <v>1</v>
      </c>
      <c r="AV1745" s="418">
        <f t="shared" si="111"/>
        <v>1900</v>
      </c>
      <c r="AW1745" s="24"/>
      <c r="AX1745" s="24"/>
      <c r="AY1745" s="24"/>
      <c r="AZ1745" s="135"/>
      <c r="BA1745" s="135"/>
      <c r="BB1745" s="24"/>
      <c r="BC1745" s="128"/>
      <c r="BD1745" s="24"/>
      <c r="BE1745" s="135"/>
      <c r="BF1745" s="132"/>
      <c r="BG1745" s="132"/>
      <c r="BH1745" s="132"/>
      <c r="BI1745" s="314"/>
      <c r="BJ1745" s="314"/>
      <c r="BK1745" s="24"/>
      <c r="BL1745" s="24"/>
      <c r="BM1745" s="24"/>
      <c r="BN1745" s="24"/>
      <c r="BO1745" s="24"/>
      <c r="BP1745" s="24"/>
      <c r="BQ1745" s="24"/>
      <c r="BR1745" s="24"/>
      <c r="BS1745" s="24"/>
      <c r="BT1745" s="24"/>
      <c r="BU1745" s="24"/>
      <c r="BV1745" s="132"/>
      <c r="BW1745" s="132"/>
      <c r="BX1745" s="132"/>
      <c r="BY1745" s="132"/>
      <c r="BZ1745" s="132"/>
      <c r="CA1745" s="132"/>
      <c r="CB1745" s="132"/>
      <c r="CC1745" s="362"/>
      <c r="CD1745" s="22"/>
      <c r="CE1745" s="22"/>
      <c r="CF1745" s="22"/>
      <c r="CG1745" s="24"/>
      <c r="CH1745" s="24"/>
      <c r="CI1745" s="24"/>
      <c r="CJ1745" s="24"/>
    </row>
    <row r="1746" spans="1:88" ht="15" customHeight="1">
      <c r="A1746" s="18">
        <v>2021</v>
      </c>
      <c r="B1746" s="18" t="s">
        <v>6683</v>
      </c>
      <c r="C1746" s="360" t="s">
        <v>484</v>
      </c>
      <c r="D1746" s="150" t="s">
        <v>77</v>
      </c>
      <c r="E1746" s="132"/>
      <c r="F1746" s="24"/>
      <c r="G1746" s="346">
        <v>8000001749</v>
      </c>
      <c r="H1746" s="18" t="s">
        <v>6685</v>
      </c>
      <c r="I1746" s="329"/>
      <c r="J1746" s="346">
        <v>8000001749</v>
      </c>
      <c r="K1746" s="24"/>
      <c r="L1746" s="24">
        <v>0</v>
      </c>
      <c r="M1746" s="24">
        <v>44553</v>
      </c>
      <c r="N1746" s="340" t="s">
        <v>486</v>
      </c>
      <c r="O1746" s="334">
        <v>203553</v>
      </c>
      <c r="P1746" s="25" t="s">
        <v>386</v>
      </c>
      <c r="Q1746" s="127" t="s">
        <v>303</v>
      </c>
      <c r="R1746" s="232" t="s">
        <v>6686</v>
      </c>
      <c r="S1746" s="89">
        <v>44489</v>
      </c>
      <c r="T1746" s="36" t="s">
        <v>19</v>
      </c>
      <c r="U1746" s="125"/>
      <c r="V1746" s="147" t="s">
        <v>6687</v>
      </c>
      <c r="W1746" s="129"/>
      <c r="X1746" s="88">
        <v>44549</v>
      </c>
      <c r="Y1746" s="130" t="s">
        <v>20</v>
      </c>
      <c r="Z1746" s="133" t="s">
        <v>60</v>
      </c>
      <c r="AA1746" s="133"/>
      <c r="AB1746" s="241">
        <v>26.984999999999999</v>
      </c>
      <c r="AC1746" s="134">
        <v>334.22</v>
      </c>
      <c r="AD1746" s="279"/>
      <c r="AE1746" s="403">
        <f t="shared" si="109"/>
        <v>9018.9267</v>
      </c>
      <c r="AF1746" s="132">
        <v>1</v>
      </c>
      <c r="AG1746" s="130" t="s">
        <v>5</v>
      </c>
      <c r="AH1746" s="130"/>
      <c r="AI1746" s="130" t="s">
        <v>100</v>
      </c>
      <c r="AJ1746" s="130"/>
      <c r="AK1746" s="130"/>
      <c r="AL1746" s="280" t="s">
        <v>6646</v>
      </c>
      <c r="AM1746" s="321"/>
      <c r="AN1746" s="26">
        <v>44474</v>
      </c>
      <c r="AO1746" s="26">
        <v>44526</v>
      </c>
      <c r="AP1746" s="26">
        <v>44514</v>
      </c>
      <c r="AQ1746" s="26">
        <v>44546</v>
      </c>
      <c r="AR1746" s="24">
        <f>AQ1746+4</f>
        <v>44550</v>
      </c>
      <c r="AS1746" s="24"/>
      <c r="AT1746" s="24">
        <v>44552</v>
      </c>
      <c r="AU1746" s="418">
        <f t="shared" si="110"/>
        <v>12</v>
      </c>
      <c r="AV1746" s="418">
        <f t="shared" si="111"/>
        <v>2021</v>
      </c>
      <c r="AW1746" s="24"/>
      <c r="AX1746" s="281"/>
      <c r="AY1746" s="281" t="s">
        <v>8</v>
      </c>
      <c r="AZ1746" s="280" t="s">
        <v>37</v>
      </c>
      <c r="BA1746" s="280"/>
      <c r="BB1746" s="281" t="s">
        <v>3291</v>
      </c>
      <c r="BC1746" s="128" t="s">
        <v>6688</v>
      </c>
      <c r="BD1746" s="24">
        <v>44526</v>
      </c>
      <c r="BE1746" s="280" t="s">
        <v>579</v>
      </c>
      <c r="BF1746" s="280" t="s">
        <v>579</v>
      </c>
      <c r="BG1746" s="280" t="s">
        <v>29</v>
      </c>
      <c r="BH1746" s="280"/>
      <c r="BI1746" s="321" t="s">
        <v>3</v>
      </c>
      <c r="BJ1746" s="321" t="s">
        <v>148</v>
      </c>
      <c r="BK1746" s="24"/>
      <c r="BL1746" s="24"/>
      <c r="BM1746" s="24"/>
      <c r="BN1746" s="24"/>
      <c r="BO1746" s="24">
        <v>44559</v>
      </c>
      <c r="BP1746" s="24"/>
      <c r="BQ1746" s="24"/>
      <c r="BR1746" s="24"/>
      <c r="BS1746" s="24"/>
      <c r="BT1746" s="24"/>
      <c r="BU1746" s="24"/>
      <c r="BV1746" s="132" t="e">
        <f>IF(#REF!="COMPLETO","OK","PENDIENTE")</f>
        <v>#REF!</v>
      </c>
      <c r="BW1746" s="132"/>
      <c r="BX1746" s="132"/>
      <c r="BY1746" s="132"/>
      <c r="BZ1746" s="132"/>
      <c r="CA1746" s="132"/>
      <c r="CB1746" s="132"/>
      <c r="CC1746" s="365"/>
      <c r="CG1746" s="24" t="s">
        <v>105</v>
      </c>
      <c r="CH1746" s="24"/>
      <c r="CI1746" s="24"/>
      <c r="CJ1746" s="24"/>
    </row>
    <row r="1747" spans="1:88" ht="15" customHeight="1">
      <c r="A1747" s="18">
        <v>2021</v>
      </c>
      <c r="B1747" s="18" t="s">
        <v>6683</v>
      </c>
      <c r="C1747" s="360" t="s">
        <v>484</v>
      </c>
      <c r="D1747" s="150" t="s">
        <v>77</v>
      </c>
      <c r="E1747" s="132"/>
      <c r="F1747" s="135"/>
      <c r="G1747" s="346">
        <v>8000001750</v>
      </c>
      <c r="H1747" s="18" t="s">
        <v>6689</v>
      </c>
      <c r="I1747" s="329"/>
      <c r="J1747" s="346">
        <v>8000001750</v>
      </c>
      <c r="K1747" s="24"/>
      <c r="L1747" s="24">
        <v>0</v>
      </c>
      <c r="M1747" s="24">
        <v>44553</v>
      </c>
      <c r="N1747" s="340" t="s">
        <v>486</v>
      </c>
      <c r="O1747" s="334">
        <v>203553</v>
      </c>
      <c r="P1747" s="25" t="s">
        <v>386</v>
      </c>
      <c r="Q1747" s="127" t="s">
        <v>303</v>
      </c>
      <c r="R1747" s="232" t="s">
        <v>6690</v>
      </c>
      <c r="S1747" s="89">
        <v>44489</v>
      </c>
      <c r="T1747" s="36" t="s">
        <v>19</v>
      </c>
      <c r="U1747" s="125"/>
      <c r="V1747" s="147" t="s">
        <v>6691</v>
      </c>
      <c r="W1747" s="129"/>
      <c r="X1747" s="88">
        <v>44549</v>
      </c>
      <c r="Y1747" s="130" t="s">
        <v>20</v>
      </c>
      <c r="Z1747" s="133" t="s">
        <v>60</v>
      </c>
      <c r="AA1747" s="133"/>
      <c r="AB1747" s="241">
        <v>107.64</v>
      </c>
      <c r="AC1747" s="134">
        <v>340.6</v>
      </c>
      <c r="AD1747" s="134"/>
      <c r="AE1747" s="403">
        <f t="shared" si="109"/>
        <v>36662.184000000001</v>
      </c>
      <c r="AF1747" s="132">
        <v>4</v>
      </c>
      <c r="AG1747" s="130" t="s">
        <v>5</v>
      </c>
      <c r="AH1747" s="130"/>
      <c r="AI1747" s="130" t="s">
        <v>100</v>
      </c>
      <c r="AJ1747" s="130"/>
      <c r="AK1747" s="130"/>
      <c r="AL1747" s="256" t="s">
        <v>6646</v>
      </c>
      <c r="AM1747" s="314"/>
      <c r="AN1747" s="26">
        <v>44474</v>
      </c>
      <c r="AO1747" s="26">
        <v>44532</v>
      </c>
      <c r="AP1747" s="26">
        <v>44514</v>
      </c>
      <c r="AQ1747" s="26">
        <v>44551</v>
      </c>
      <c r="AR1747" s="24">
        <f>AQ1747+4</f>
        <v>44555</v>
      </c>
      <c r="AS1747" s="24"/>
      <c r="AT1747" s="24">
        <v>44553</v>
      </c>
      <c r="AU1747" s="418">
        <f t="shared" si="110"/>
        <v>12</v>
      </c>
      <c r="AV1747" s="418">
        <f t="shared" si="111"/>
        <v>2021</v>
      </c>
      <c r="AW1747" s="24"/>
      <c r="AX1747" s="24"/>
      <c r="AY1747" s="24" t="s">
        <v>8</v>
      </c>
      <c r="AZ1747" s="132" t="s">
        <v>9</v>
      </c>
      <c r="BA1747" s="132"/>
      <c r="BB1747" s="24" t="s">
        <v>2956</v>
      </c>
      <c r="BC1747" s="128" t="s">
        <v>6692</v>
      </c>
      <c r="BD1747" s="24">
        <v>44532</v>
      </c>
      <c r="BE1747" s="132" t="s">
        <v>4846</v>
      </c>
      <c r="BF1747" s="132" t="s">
        <v>947</v>
      </c>
      <c r="BG1747" s="132" t="s">
        <v>29</v>
      </c>
      <c r="BH1747" s="132"/>
      <c r="BI1747" s="314" t="s">
        <v>3</v>
      </c>
      <c r="BJ1747" s="314" t="s">
        <v>148</v>
      </c>
      <c r="BK1747" s="24"/>
      <c r="BL1747" s="24"/>
      <c r="BM1747" s="24"/>
      <c r="BN1747" s="24"/>
      <c r="BO1747" s="24"/>
      <c r="BP1747" s="24"/>
      <c r="BQ1747" s="24"/>
      <c r="BR1747" s="24"/>
      <c r="BS1747" s="24"/>
      <c r="BT1747" s="24"/>
      <c r="BU1747" s="24"/>
      <c r="BV1747" s="132" t="e">
        <f>IF(#REF!="COMPLETO","OK","PENDIENTE")</f>
        <v>#REF!</v>
      </c>
      <c r="BW1747" s="132"/>
      <c r="BX1747" s="132"/>
      <c r="BY1747" s="132"/>
      <c r="BZ1747" s="132"/>
      <c r="CA1747" s="132"/>
      <c r="CB1747" s="132"/>
      <c r="CC1747" s="365"/>
      <c r="CG1747" s="135" t="s">
        <v>105</v>
      </c>
      <c r="CH1747" s="135"/>
      <c r="CI1747" s="24"/>
      <c r="CJ1747" s="24"/>
    </row>
    <row r="1748" spans="1:88" ht="15" customHeight="1">
      <c r="A1748" s="18">
        <v>2021</v>
      </c>
      <c r="B1748" s="18" t="s">
        <v>6191</v>
      </c>
      <c r="C1748" s="360" t="s">
        <v>484</v>
      </c>
      <c r="D1748" s="150" t="s">
        <v>77</v>
      </c>
      <c r="E1748" s="132"/>
      <c r="F1748" s="24"/>
      <c r="G1748" s="346">
        <v>8000001717</v>
      </c>
      <c r="H1748" s="18" t="s">
        <v>6693</v>
      </c>
      <c r="I1748" s="329"/>
      <c r="J1748" s="346">
        <v>8000001717</v>
      </c>
      <c r="K1748" s="24"/>
      <c r="L1748" s="24">
        <v>0</v>
      </c>
      <c r="M1748" s="24">
        <v>44530</v>
      </c>
      <c r="N1748" s="340" t="s">
        <v>486</v>
      </c>
      <c r="O1748" s="334">
        <v>208067</v>
      </c>
      <c r="P1748" s="25" t="s">
        <v>383</v>
      </c>
      <c r="Q1748" s="127" t="s">
        <v>303</v>
      </c>
      <c r="R1748" s="232" t="s">
        <v>6694</v>
      </c>
      <c r="S1748" s="89">
        <v>44474</v>
      </c>
      <c r="T1748" s="36">
        <v>30</v>
      </c>
      <c r="U1748" s="125" t="s">
        <v>131</v>
      </c>
      <c r="V1748" s="147" t="s">
        <v>6695</v>
      </c>
      <c r="W1748" s="129"/>
      <c r="X1748" s="88">
        <v>44552</v>
      </c>
      <c r="Y1748" s="130" t="s">
        <v>20</v>
      </c>
      <c r="Z1748" s="133" t="s">
        <v>60</v>
      </c>
      <c r="AA1748" s="133"/>
      <c r="AB1748" s="241">
        <v>351</v>
      </c>
      <c r="AC1748" s="134">
        <v>296.06</v>
      </c>
      <c r="AD1748" s="134"/>
      <c r="AE1748" s="403">
        <f t="shared" si="109"/>
        <v>103917.06</v>
      </c>
      <c r="AF1748" s="132">
        <v>13</v>
      </c>
      <c r="AG1748" s="130" t="s">
        <v>5</v>
      </c>
      <c r="AH1748" s="130"/>
      <c r="AI1748" s="130" t="s">
        <v>34</v>
      </c>
      <c r="AJ1748" s="130"/>
      <c r="AK1748" s="130"/>
      <c r="AL1748" s="256" t="s">
        <v>6646</v>
      </c>
      <c r="AM1748" s="314"/>
      <c r="AN1748" s="26">
        <f>BL1748</f>
        <v>0</v>
      </c>
      <c r="AO1748" s="26">
        <v>44518</v>
      </c>
      <c r="AP1748" s="26">
        <f>AQ1748</f>
        <v>44526</v>
      </c>
      <c r="AQ1748" s="26">
        <v>44526</v>
      </c>
      <c r="AR1748" s="24">
        <f>AQ1748+4</f>
        <v>44530</v>
      </c>
      <c r="AS1748" s="24"/>
      <c r="AT1748" s="24">
        <v>44529</v>
      </c>
      <c r="AU1748" s="418">
        <f t="shared" si="110"/>
        <v>11</v>
      </c>
      <c r="AV1748" s="418">
        <f t="shared" si="111"/>
        <v>2021</v>
      </c>
      <c r="AW1748" s="24"/>
      <c r="AX1748" s="24"/>
      <c r="AY1748" s="24" t="s">
        <v>3415</v>
      </c>
      <c r="AZ1748" s="135" t="s">
        <v>37</v>
      </c>
      <c r="BA1748" s="135"/>
      <c r="BB1748" s="24" t="s">
        <v>5564</v>
      </c>
      <c r="BC1748" s="128" t="s">
        <v>6696</v>
      </c>
      <c r="BD1748" s="24">
        <v>44518</v>
      </c>
      <c r="BE1748" s="132" t="s">
        <v>4776</v>
      </c>
      <c r="BF1748" s="132" t="s">
        <v>4776</v>
      </c>
      <c r="BG1748" s="132" t="s">
        <v>41</v>
      </c>
      <c r="BH1748" s="132"/>
      <c r="BI1748" s="314" t="s">
        <v>3</v>
      </c>
      <c r="BJ1748" s="314" t="s">
        <v>138</v>
      </c>
      <c r="BK1748" s="24"/>
      <c r="BL1748" s="24"/>
      <c r="BM1748" s="24"/>
      <c r="BN1748" s="24"/>
      <c r="BO1748" s="24"/>
      <c r="BP1748" s="24"/>
      <c r="BQ1748" s="24"/>
      <c r="BR1748" s="24"/>
      <c r="BS1748" s="24"/>
      <c r="BT1748" s="24"/>
      <c r="BU1748" s="24"/>
      <c r="BV1748" s="132" t="e">
        <f>IF(#REF!="COMPLETO","OK","PENDIENTE")</f>
        <v>#REF!</v>
      </c>
      <c r="BW1748" s="132"/>
      <c r="BX1748" s="132"/>
      <c r="BY1748" s="132"/>
      <c r="BZ1748" s="132"/>
      <c r="CA1748" s="132"/>
      <c r="CB1748" s="132"/>
      <c r="CC1748" s="269"/>
      <c r="CG1748" s="24" t="s">
        <v>105</v>
      </c>
      <c r="CH1748" s="24"/>
      <c r="CI1748" s="24"/>
      <c r="CJ1748" s="24"/>
    </row>
    <row r="1749" spans="1:88" ht="15" customHeight="1">
      <c r="A1749" s="18">
        <v>2021</v>
      </c>
      <c r="B1749" s="18" t="s">
        <v>6191</v>
      </c>
      <c r="C1749" s="360" t="s">
        <v>484</v>
      </c>
      <c r="D1749" s="150" t="s">
        <v>77</v>
      </c>
      <c r="E1749" s="132"/>
      <c r="F1749" s="24"/>
      <c r="G1749" s="346">
        <v>8000001691</v>
      </c>
      <c r="H1749" s="18" t="s">
        <v>6697</v>
      </c>
      <c r="I1749" s="329"/>
      <c r="J1749" s="346">
        <v>8000001691</v>
      </c>
      <c r="K1749" s="24"/>
      <c r="L1749" s="24">
        <v>0</v>
      </c>
      <c r="M1749" s="24">
        <v>44516</v>
      </c>
      <c r="N1749" s="340" t="s">
        <v>486</v>
      </c>
      <c r="O1749" s="334">
        <v>208067</v>
      </c>
      <c r="P1749" s="25" t="s">
        <v>383</v>
      </c>
      <c r="Q1749" s="127" t="s">
        <v>303</v>
      </c>
      <c r="R1749" s="232" t="s">
        <v>6698</v>
      </c>
      <c r="S1749" s="89">
        <v>44474</v>
      </c>
      <c r="T1749" s="36">
        <v>30</v>
      </c>
      <c r="U1749" s="125" t="s">
        <v>131</v>
      </c>
      <c r="V1749" s="147" t="s">
        <v>6699</v>
      </c>
      <c r="W1749" s="129"/>
      <c r="X1749" s="88">
        <v>44528</v>
      </c>
      <c r="Y1749" s="130" t="s">
        <v>20</v>
      </c>
      <c r="Z1749" s="133" t="s">
        <v>60</v>
      </c>
      <c r="AA1749" s="133"/>
      <c r="AB1749" s="241">
        <v>270</v>
      </c>
      <c r="AC1749" s="134">
        <v>296.06</v>
      </c>
      <c r="AD1749" s="134"/>
      <c r="AE1749" s="403">
        <f t="shared" si="109"/>
        <v>79936.2</v>
      </c>
      <c r="AF1749" s="132">
        <v>10</v>
      </c>
      <c r="AG1749" s="130" t="s">
        <v>5</v>
      </c>
      <c r="AH1749" s="130"/>
      <c r="AI1749" s="130" t="s">
        <v>34</v>
      </c>
      <c r="AJ1749" s="130"/>
      <c r="AK1749" s="130"/>
      <c r="AL1749" s="135" t="s">
        <v>6312</v>
      </c>
      <c r="AM1749" s="314"/>
      <c r="AN1749" s="26">
        <v>44525</v>
      </c>
      <c r="AO1749" s="26">
        <v>44498</v>
      </c>
      <c r="AP1749" s="26">
        <f>AO1749+30</f>
        <v>44528</v>
      </c>
      <c r="AQ1749" s="26">
        <v>44503</v>
      </c>
      <c r="AR1749" s="24">
        <f>AP1749+2</f>
        <v>44530</v>
      </c>
      <c r="AS1749" s="24"/>
      <c r="AT1749" s="24">
        <v>44513</v>
      </c>
      <c r="AU1749" s="418">
        <f t="shared" si="110"/>
        <v>11</v>
      </c>
      <c r="AV1749" s="418">
        <f t="shared" si="111"/>
        <v>2021</v>
      </c>
      <c r="AW1749" s="24"/>
      <c r="AX1749" s="24"/>
      <c r="AY1749" s="24" t="s">
        <v>3415</v>
      </c>
      <c r="AZ1749" s="135" t="s">
        <v>9</v>
      </c>
      <c r="BA1749" s="135"/>
      <c r="BB1749" s="24" t="s">
        <v>3264</v>
      </c>
      <c r="BC1749" s="128" t="s">
        <v>6700</v>
      </c>
      <c r="BD1749" s="24">
        <v>44498</v>
      </c>
      <c r="BE1749" s="132" t="s">
        <v>5944</v>
      </c>
      <c r="BF1749" s="132" t="s">
        <v>5944</v>
      </c>
      <c r="BG1749" s="132" t="s">
        <v>29</v>
      </c>
      <c r="BH1749" s="132"/>
      <c r="BI1749" s="314" t="s">
        <v>3</v>
      </c>
      <c r="BJ1749" s="314" t="s">
        <v>148</v>
      </c>
      <c r="BK1749" s="24"/>
      <c r="BL1749" s="24"/>
      <c r="BM1749" s="24"/>
      <c r="BN1749" s="24"/>
      <c r="BO1749" s="24"/>
      <c r="BP1749" s="24"/>
      <c r="BQ1749" s="24"/>
      <c r="BR1749" s="24"/>
      <c r="BS1749" s="24"/>
      <c r="BT1749" s="24"/>
      <c r="BU1749" s="24"/>
      <c r="BV1749" s="132" t="e">
        <f>IF(#REF!="COMPLETO","OK","PENDIENTES")</f>
        <v>#REF!</v>
      </c>
      <c r="BW1749" s="132"/>
      <c r="BX1749" s="132"/>
      <c r="BY1749" s="132"/>
      <c r="BZ1749" s="132"/>
      <c r="CA1749" s="132"/>
      <c r="CB1749" s="132"/>
      <c r="CC1749" s="365"/>
      <c r="CG1749" s="24" t="s">
        <v>105</v>
      </c>
      <c r="CH1749" s="24"/>
      <c r="CI1749" s="24"/>
      <c r="CJ1749" s="24"/>
    </row>
    <row r="1750" spans="1:88" ht="15" customHeight="1">
      <c r="A1750" s="18">
        <v>2021</v>
      </c>
      <c r="B1750" s="18" t="str">
        <f>+INDEX(BDD!F:F,MATCH(P1750,BDD!D:D,0))&amp;"-"&amp;INDEX(BDD!E:E,MATCH(P1750,BDD!D:D,0))</f>
        <v>T-S</v>
      </c>
      <c r="C1750" s="360" t="s">
        <v>484</v>
      </c>
      <c r="D1750" s="150" t="s">
        <v>77</v>
      </c>
      <c r="E1750" s="132"/>
      <c r="F1750" s="24"/>
      <c r="G1750" s="346">
        <v>8000001865</v>
      </c>
      <c r="H1750" s="18" t="s">
        <v>6701</v>
      </c>
      <c r="I1750" s="329"/>
      <c r="J1750" s="346">
        <v>8000001865</v>
      </c>
      <c r="K1750" s="24"/>
      <c r="L1750" s="24">
        <v>44658</v>
      </c>
      <c r="M1750" s="24">
        <v>44658</v>
      </c>
      <c r="N1750" s="340" t="s">
        <v>486</v>
      </c>
      <c r="O1750" s="334">
        <v>208067</v>
      </c>
      <c r="P1750" s="25" t="s">
        <v>383</v>
      </c>
      <c r="Q1750" s="127" t="s">
        <v>303</v>
      </c>
      <c r="R1750" s="232" t="s">
        <v>6702</v>
      </c>
      <c r="S1750" s="89">
        <v>44474</v>
      </c>
      <c r="T1750" s="36">
        <v>30</v>
      </c>
      <c r="U1750" s="125" t="s">
        <v>131</v>
      </c>
      <c r="V1750" s="147" t="s">
        <v>6703</v>
      </c>
      <c r="W1750" s="88">
        <v>44641</v>
      </c>
      <c r="X1750" s="88">
        <v>44671</v>
      </c>
      <c r="Y1750" s="130" t="s">
        <v>20</v>
      </c>
      <c r="Z1750" s="133" t="s">
        <v>60</v>
      </c>
      <c r="AA1750" s="133"/>
      <c r="AB1750" s="241">
        <v>552</v>
      </c>
      <c r="AC1750" s="134">
        <v>500</v>
      </c>
      <c r="AD1750" s="134"/>
      <c r="AE1750" s="403">
        <f t="shared" si="109"/>
        <v>276000</v>
      </c>
      <c r="AF1750" s="132">
        <v>23</v>
      </c>
      <c r="AG1750" s="130" t="s">
        <v>5</v>
      </c>
      <c r="AH1750" s="130"/>
      <c r="AI1750" s="130" t="s">
        <v>34</v>
      </c>
      <c r="AJ1750" s="130" t="s">
        <v>944</v>
      </c>
      <c r="AK1750" s="130" t="s">
        <v>6704</v>
      </c>
      <c r="AL1750" s="135" t="s">
        <v>6312</v>
      </c>
      <c r="AM1750" s="314"/>
      <c r="AN1750" s="26">
        <v>44525</v>
      </c>
      <c r="AO1750" s="26">
        <v>44603</v>
      </c>
      <c r="AP1750" s="26" t="e">
        <f>#REF!+30</f>
        <v>#REF!</v>
      </c>
      <c r="AQ1750" s="26">
        <v>44649</v>
      </c>
      <c r="AR1750" s="24">
        <f>AQ1750+4</f>
        <v>44653</v>
      </c>
      <c r="AS1750" s="24"/>
      <c r="AT1750" s="24">
        <v>44658</v>
      </c>
      <c r="AU1750" s="418">
        <f t="shared" si="110"/>
        <v>4</v>
      </c>
      <c r="AV1750" s="418">
        <f t="shared" si="111"/>
        <v>2022</v>
      </c>
      <c r="AW1750" s="24"/>
      <c r="AX1750" s="132"/>
      <c r="AY1750" s="132" t="s">
        <v>4072</v>
      </c>
      <c r="AZ1750" s="135" t="s">
        <v>9</v>
      </c>
      <c r="BA1750" s="135"/>
      <c r="BB1750" s="24" t="s">
        <v>3264</v>
      </c>
      <c r="BC1750" s="128" t="s">
        <v>6705</v>
      </c>
      <c r="BD1750" s="24">
        <v>44604</v>
      </c>
      <c r="BE1750" s="24" t="s">
        <v>4079</v>
      </c>
      <c r="BF1750" s="24" t="s">
        <v>6706</v>
      </c>
      <c r="BG1750" s="132" t="s">
        <v>64</v>
      </c>
      <c r="BH1750" s="132" t="s">
        <v>6414</v>
      </c>
      <c r="BI1750" s="314" t="s">
        <v>124</v>
      </c>
      <c r="BJ1750" s="314" t="s">
        <v>148</v>
      </c>
      <c r="BK1750" s="24"/>
      <c r="BL1750" s="24"/>
      <c r="BM1750" s="24"/>
      <c r="BN1750" s="24"/>
      <c r="BO1750" s="24">
        <f>AQ1750+13</f>
        <v>44662</v>
      </c>
      <c r="BP1750" s="24"/>
      <c r="BQ1750" s="24" t="s">
        <v>6707</v>
      </c>
      <c r="BR1750" s="24">
        <v>44646</v>
      </c>
      <c r="BS1750" s="24" t="s">
        <v>38</v>
      </c>
      <c r="BT1750" s="24" t="s">
        <v>39</v>
      </c>
      <c r="BU1750" s="24"/>
      <c r="BV1750" s="132" t="e">
        <f>IF(#REF!="COMPLETO","OK","PENDIENTE")</f>
        <v>#REF!</v>
      </c>
      <c r="BW1750" s="132"/>
      <c r="BX1750" s="132"/>
      <c r="BY1750" s="132"/>
      <c r="BZ1750" s="132"/>
      <c r="CA1750" s="132"/>
      <c r="CB1750" s="132"/>
      <c r="CC1750" s="294" t="s">
        <v>6708</v>
      </c>
      <c r="CG1750" s="24" t="s">
        <v>105</v>
      </c>
      <c r="CH1750" s="24"/>
      <c r="CI1750" s="24"/>
      <c r="CJ1750" s="24"/>
    </row>
    <row r="1751" spans="1:88" ht="15" customHeight="1">
      <c r="A1751" s="18">
        <v>2021</v>
      </c>
      <c r="B1751" s="18" t="s">
        <v>6191</v>
      </c>
      <c r="C1751" s="360" t="s">
        <v>484</v>
      </c>
      <c r="D1751" s="150" t="s">
        <v>77</v>
      </c>
      <c r="E1751" s="132"/>
      <c r="F1751" s="24"/>
      <c r="G1751" s="346">
        <v>8000001716</v>
      </c>
      <c r="H1751" s="18" t="s">
        <v>6709</v>
      </c>
      <c r="I1751" s="329"/>
      <c r="J1751" s="346">
        <v>8000001716</v>
      </c>
      <c r="K1751" s="24"/>
      <c r="L1751" s="24">
        <v>0</v>
      </c>
      <c r="M1751" s="24">
        <v>44530</v>
      </c>
      <c r="N1751" s="340" t="s">
        <v>486</v>
      </c>
      <c r="O1751" s="334">
        <v>208067</v>
      </c>
      <c r="P1751" s="25" t="s">
        <v>383</v>
      </c>
      <c r="Q1751" s="127" t="s">
        <v>303</v>
      </c>
      <c r="R1751" s="232" t="s">
        <v>6710</v>
      </c>
      <c r="S1751" s="89">
        <v>44474</v>
      </c>
      <c r="T1751" s="36">
        <v>30</v>
      </c>
      <c r="U1751" s="125" t="s">
        <v>131</v>
      </c>
      <c r="V1751" s="147" t="s">
        <v>6711</v>
      </c>
      <c r="W1751" s="129"/>
      <c r="X1751" s="88">
        <v>44552</v>
      </c>
      <c r="Y1751" s="130" t="s">
        <v>20</v>
      </c>
      <c r="Z1751" s="133" t="s">
        <v>60</v>
      </c>
      <c r="AA1751" s="133"/>
      <c r="AB1751" s="241">
        <v>540</v>
      </c>
      <c r="AC1751" s="134">
        <v>296.06</v>
      </c>
      <c r="AD1751" s="134"/>
      <c r="AE1751" s="403">
        <f t="shared" si="109"/>
        <v>159872.4</v>
      </c>
      <c r="AF1751" s="132">
        <v>20</v>
      </c>
      <c r="AG1751" s="130" t="s">
        <v>5</v>
      </c>
      <c r="AH1751" s="130"/>
      <c r="AI1751" s="130" t="s">
        <v>34</v>
      </c>
      <c r="AJ1751" s="130"/>
      <c r="AK1751" s="130"/>
      <c r="AL1751" s="256" t="s">
        <v>6646</v>
      </c>
      <c r="AM1751" s="314"/>
      <c r="AN1751" s="26">
        <v>44525</v>
      </c>
      <c r="AO1751" s="26">
        <v>44519</v>
      </c>
      <c r="AP1751" s="26" t="e">
        <f>#REF!+30</f>
        <v>#REF!</v>
      </c>
      <c r="AQ1751" s="26">
        <v>44523</v>
      </c>
      <c r="AR1751" s="24">
        <f>AQ1751+4</f>
        <v>44527</v>
      </c>
      <c r="AS1751" s="24"/>
      <c r="AT1751" s="24">
        <v>44526</v>
      </c>
      <c r="AU1751" s="418">
        <f t="shared" si="110"/>
        <v>11</v>
      </c>
      <c r="AV1751" s="418">
        <f t="shared" si="111"/>
        <v>2021</v>
      </c>
      <c r="AW1751" s="24"/>
      <c r="AX1751" s="24"/>
      <c r="AY1751" s="24" t="s">
        <v>3415</v>
      </c>
      <c r="AZ1751" s="135" t="s">
        <v>9</v>
      </c>
      <c r="BA1751" s="135"/>
      <c r="BB1751" s="24" t="s">
        <v>2956</v>
      </c>
      <c r="BC1751" s="128" t="s">
        <v>6712</v>
      </c>
      <c r="BD1751" s="24">
        <v>44519</v>
      </c>
      <c r="BE1751" s="132" t="s">
        <v>947</v>
      </c>
      <c r="BF1751" s="132" t="s">
        <v>947</v>
      </c>
      <c r="BG1751" s="132" t="s">
        <v>29</v>
      </c>
      <c r="BH1751" s="132"/>
      <c r="BI1751" s="314" t="s">
        <v>3</v>
      </c>
      <c r="BJ1751" s="314" t="s">
        <v>148</v>
      </c>
      <c r="BK1751" s="24"/>
      <c r="BL1751" s="24"/>
      <c r="BM1751" s="24"/>
      <c r="BN1751" s="24"/>
      <c r="BO1751" s="24"/>
      <c r="BP1751" s="24"/>
      <c r="BQ1751" s="24"/>
      <c r="BR1751" s="24"/>
      <c r="BS1751" s="24"/>
      <c r="BT1751" s="24"/>
      <c r="BU1751" s="24"/>
      <c r="BV1751" s="132" t="e">
        <f>IF(#REF!="COMPLETO","OK","PENDIENTE")</f>
        <v>#REF!</v>
      </c>
      <c r="BW1751" s="132"/>
      <c r="BX1751" s="132"/>
      <c r="BY1751" s="132"/>
      <c r="BZ1751" s="132"/>
      <c r="CA1751" s="132"/>
      <c r="CB1751" s="132"/>
      <c r="CC1751" s="365"/>
      <c r="CG1751" s="24" t="s">
        <v>105</v>
      </c>
      <c r="CH1751" s="24"/>
      <c r="CI1751" s="24"/>
      <c r="CJ1751" s="24"/>
    </row>
    <row r="1752" spans="1:88" ht="15" customHeight="1">
      <c r="A1752" s="18">
        <v>2021</v>
      </c>
      <c r="B1752" s="18" t="s">
        <v>6191</v>
      </c>
      <c r="C1752" s="360" t="s">
        <v>484</v>
      </c>
      <c r="D1752" s="150" t="s">
        <v>77</v>
      </c>
      <c r="E1752" s="132"/>
      <c r="F1752" s="24"/>
      <c r="G1752" s="346">
        <v>8000001782</v>
      </c>
      <c r="H1752" s="18" t="s">
        <v>6713</v>
      </c>
      <c r="I1752" s="329"/>
      <c r="J1752" s="346">
        <v>8000001782</v>
      </c>
      <c r="K1752" s="24"/>
      <c r="L1752" s="24">
        <v>0</v>
      </c>
      <c r="M1752" s="24">
        <v>44553</v>
      </c>
      <c r="N1752" s="340" t="s">
        <v>486</v>
      </c>
      <c r="O1752" s="334">
        <v>208067</v>
      </c>
      <c r="P1752" s="25" t="s">
        <v>383</v>
      </c>
      <c r="Q1752" s="127" t="s">
        <v>303</v>
      </c>
      <c r="R1752" s="232" t="s">
        <v>6714</v>
      </c>
      <c r="S1752" s="89">
        <v>44474</v>
      </c>
      <c r="T1752" s="36">
        <v>30</v>
      </c>
      <c r="U1752" s="125" t="s">
        <v>131</v>
      </c>
      <c r="V1752" s="147" t="s">
        <v>6715</v>
      </c>
      <c r="W1752" s="129"/>
      <c r="X1752" s="88">
        <v>44574</v>
      </c>
      <c r="Y1752" s="130" t="s">
        <v>20</v>
      </c>
      <c r="Z1752" s="133" t="s">
        <v>60</v>
      </c>
      <c r="AA1752" s="133"/>
      <c r="AB1752" s="241">
        <v>270</v>
      </c>
      <c r="AC1752" s="134">
        <v>296.06</v>
      </c>
      <c r="AD1752" s="134"/>
      <c r="AE1752" s="403">
        <f t="shared" si="109"/>
        <v>79936.2</v>
      </c>
      <c r="AF1752" s="132">
        <v>10</v>
      </c>
      <c r="AG1752" s="130" t="s">
        <v>5</v>
      </c>
      <c r="AH1752" s="130"/>
      <c r="AI1752" s="130" t="s">
        <v>34</v>
      </c>
      <c r="AJ1752" s="130"/>
      <c r="AK1752" s="130"/>
      <c r="AL1752" s="256" t="s">
        <v>6646</v>
      </c>
      <c r="AM1752" s="314"/>
      <c r="AN1752" s="26">
        <f>BL1752</f>
        <v>0</v>
      </c>
      <c r="AO1752" s="26">
        <v>44540</v>
      </c>
      <c r="AP1752" s="26">
        <f>AQ1752</f>
        <v>44544</v>
      </c>
      <c r="AQ1752" s="26">
        <v>44544</v>
      </c>
      <c r="AR1752" s="24">
        <f>AQ1752+4</f>
        <v>44548</v>
      </c>
      <c r="AS1752" s="24"/>
      <c r="AT1752" s="24">
        <v>44551</v>
      </c>
      <c r="AU1752" s="418">
        <f t="shared" si="110"/>
        <v>12</v>
      </c>
      <c r="AV1752" s="418">
        <f t="shared" si="111"/>
        <v>2021</v>
      </c>
      <c r="AW1752" s="24"/>
      <c r="AX1752" s="24"/>
      <c r="AY1752" s="24" t="s">
        <v>3415</v>
      </c>
      <c r="AZ1752" s="135" t="s">
        <v>9</v>
      </c>
      <c r="BA1752" s="135"/>
      <c r="BB1752" s="24" t="s">
        <v>2956</v>
      </c>
      <c r="BC1752" s="128" t="s">
        <v>6716</v>
      </c>
      <c r="BD1752" s="24">
        <v>44540</v>
      </c>
      <c r="BE1752" s="132" t="s">
        <v>5944</v>
      </c>
      <c r="BF1752" s="132" t="s">
        <v>5944</v>
      </c>
      <c r="BG1752" s="132" t="s">
        <v>29</v>
      </c>
      <c r="BH1752" s="132"/>
      <c r="BI1752" s="314" t="s">
        <v>3</v>
      </c>
      <c r="BJ1752" s="314" t="s">
        <v>148</v>
      </c>
      <c r="BK1752" s="24"/>
      <c r="BL1752" s="24"/>
      <c r="BM1752" s="24"/>
      <c r="BN1752" s="24"/>
      <c r="BO1752" s="24">
        <v>44565</v>
      </c>
      <c r="BP1752" s="24"/>
      <c r="BQ1752" s="24"/>
      <c r="BR1752" s="24"/>
      <c r="BS1752" s="24"/>
      <c r="BT1752" s="24"/>
      <c r="BU1752" s="24"/>
      <c r="BV1752" s="132" t="e">
        <f>IF(#REF!="COMPLETO","OK","PENDIENTE")</f>
        <v>#REF!</v>
      </c>
      <c r="BW1752" s="132"/>
      <c r="BX1752" s="132"/>
      <c r="BY1752" s="132"/>
      <c r="BZ1752" s="132"/>
      <c r="CA1752" s="132"/>
      <c r="CB1752" s="132"/>
      <c r="CC1752" s="365"/>
      <c r="CG1752" s="24" t="s">
        <v>105</v>
      </c>
      <c r="CH1752" s="24"/>
      <c r="CI1752" s="24"/>
      <c r="CJ1752" s="24"/>
    </row>
    <row r="1753" spans="1:88" ht="15" customHeight="1">
      <c r="A1753" s="18">
        <v>2021</v>
      </c>
      <c r="B1753" s="18" t="s">
        <v>6191</v>
      </c>
      <c r="C1753" s="360" t="s">
        <v>484</v>
      </c>
      <c r="D1753" s="150" t="s">
        <v>77</v>
      </c>
      <c r="E1753" s="132"/>
      <c r="F1753" s="24"/>
      <c r="G1753" s="346">
        <v>8000001730</v>
      </c>
      <c r="H1753" s="18" t="s">
        <v>6717</v>
      </c>
      <c r="I1753" s="329"/>
      <c r="J1753" s="346">
        <v>8000001730</v>
      </c>
      <c r="K1753" s="24"/>
      <c r="L1753" s="24">
        <v>0</v>
      </c>
      <c r="M1753" s="24">
        <v>44536</v>
      </c>
      <c r="N1753" s="340" t="s">
        <v>486</v>
      </c>
      <c r="O1753" s="334">
        <v>208067</v>
      </c>
      <c r="P1753" s="25" t="s">
        <v>383</v>
      </c>
      <c r="Q1753" s="127" t="s">
        <v>303</v>
      </c>
      <c r="R1753" s="232" t="s">
        <v>6714</v>
      </c>
      <c r="S1753" s="89">
        <v>44474</v>
      </c>
      <c r="T1753" s="36">
        <v>30</v>
      </c>
      <c r="U1753" s="125" t="s">
        <v>131</v>
      </c>
      <c r="V1753" s="147" t="s">
        <v>6718</v>
      </c>
      <c r="W1753" s="129"/>
      <c r="X1753" s="88">
        <v>44559</v>
      </c>
      <c r="Y1753" s="130" t="s">
        <v>20</v>
      </c>
      <c r="Z1753" s="133" t="s">
        <v>60</v>
      </c>
      <c r="AA1753" s="133"/>
      <c r="AB1753" s="241">
        <v>297</v>
      </c>
      <c r="AC1753" s="134">
        <v>296.06</v>
      </c>
      <c r="AD1753" s="134"/>
      <c r="AE1753" s="403">
        <f t="shared" si="109"/>
        <v>87929.82</v>
      </c>
      <c r="AF1753" s="132">
        <v>11</v>
      </c>
      <c r="AG1753" s="130" t="s">
        <v>5</v>
      </c>
      <c r="AH1753" s="130"/>
      <c r="AI1753" s="130" t="s">
        <v>34</v>
      </c>
      <c r="AJ1753" s="130"/>
      <c r="AK1753" s="130"/>
      <c r="AL1753" s="256" t="s">
        <v>6646</v>
      </c>
      <c r="AM1753" s="314"/>
      <c r="AN1753" s="26">
        <v>44525</v>
      </c>
      <c r="AO1753" s="26">
        <v>44526</v>
      </c>
      <c r="AP1753" s="26">
        <f>AQ1753</f>
        <v>44530</v>
      </c>
      <c r="AQ1753" s="26">
        <v>44530</v>
      </c>
      <c r="AR1753" s="24">
        <f>AQ1753+4</f>
        <v>44534</v>
      </c>
      <c r="AS1753" s="24"/>
      <c r="AT1753" s="24">
        <v>44537</v>
      </c>
      <c r="AU1753" s="418">
        <f t="shared" si="110"/>
        <v>12</v>
      </c>
      <c r="AV1753" s="418">
        <f t="shared" si="111"/>
        <v>2021</v>
      </c>
      <c r="AW1753" s="24"/>
      <c r="AX1753" s="24"/>
      <c r="AY1753" s="24" t="s">
        <v>3415</v>
      </c>
      <c r="AZ1753" s="135" t="s">
        <v>9</v>
      </c>
      <c r="BA1753" s="135"/>
      <c r="BB1753" s="24" t="s">
        <v>3264</v>
      </c>
      <c r="BC1753" s="128" t="s">
        <v>6719</v>
      </c>
      <c r="BD1753" s="24">
        <v>44526</v>
      </c>
      <c r="BE1753" s="132" t="s">
        <v>5944</v>
      </c>
      <c r="BF1753" s="132" t="s">
        <v>5944</v>
      </c>
      <c r="BG1753" s="132" t="s">
        <v>29</v>
      </c>
      <c r="BH1753" s="132"/>
      <c r="BI1753" s="314" t="s">
        <v>3</v>
      </c>
      <c r="BJ1753" s="314" t="s">
        <v>148</v>
      </c>
      <c r="BK1753" s="24"/>
      <c r="BL1753" s="24"/>
      <c r="BM1753" s="24"/>
      <c r="BN1753" s="24"/>
      <c r="BO1753" s="24">
        <v>44551</v>
      </c>
      <c r="BP1753" s="24"/>
      <c r="BQ1753" s="24"/>
      <c r="BR1753" s="24"/>
      <c r="BS1753" s="24"/>
      <c r="BT1753" s="24"/>
      <c r="BU1753" s="24"/>
      <c r="BV1753" s="132" t="e">
        <f>IF(#REF!="COMPLETO","OK","PENDIENTE")</f>
        <v>#REF!</v>
      </c>
      <c r="BW1753" s="132"/>
      <c r="BX1753" s="132"/>
      <c r="BY1753" s="132"/>
      <c r="BZ1753" s="132"/>
      <c r="CA1753" s="132"/>
      <c r="CB1753" s="132"/>
      <c r="CC1753" s="365"/>
      <c r="CG1753" s="24" t="s">
        <v>105</v>
      </c>
      <c r="CH1753" s="24"/>
      <c r="CI1753" s="24"/>
      <c r="CJ1753" s="24"/>
    </row>
    <row r="1754" spans="1:88" ht="15" customHeight="1">
      <c r="A1754" s="18">
        <v>2021</v>
      </c>
      <c r="B1754" s="18" t="s">
        <v>6191</v>
      </c>
      <c r="C1754" s="360" t="s">
        <v>484</v>
      </c>
      <c r="D1754" s="150" t="s">
        <v>77</v>
      </c>
      <c r="E1754" s="132"/>
      <c r="F1754" s="24"/>
      <c r="G1754" s="346">
        <v>8000001731</v>
      </c>
      <c r="H1754" s="18" t="s">
        <v>6720</v>
      </c>
      <c r="I1754" s="329"/>
      <c r="J1754" s="346">
        <v>8000001731</v>
      </c>
      <c r="K1754" s="24"/>
      <c r="L1754" s="24">
        <v>0</v>
      </c>
      <c r="M1754" s="24">
        <v>44544</v>
      </c>
      <c r="N1754" s="340" t="s">
        <v>486</v>
      </c>
      <c r="O1754" s="334">
        <v>208067</v>
      </c>
      <c r="P1754" s="25" t="s">
        <v>383</v>
      </c>
      <c r="Q1754" s="127" t="s">
        <v>303</v>
      </c>
      <c r="R1754" s="232" t="s">
        <v>6721</v>
      </c>
      <c r="S1754" s="89">
        <v>44474</v>
      </c>
      <c r="T1754" s="36">
        <v>30</v>
      </c>
      <c r="U1754" s="125" t="s">
        <v>131</v>
      </c>
      <c r="V1754" s="147" t="s">
        <v>6722</v>
      </c>
      <c r="W1754" s="129"/>
      <c r="X1754" s="88">
        <v>44559</v>
      </c>
      <c r="Y1754" s="130" t="s">
        <v>20</v>
      </c>
      <c r="Z1754" s="133" t="s">
        <v>60</v>
      </c>
      <c r="AA1754" s="133"/>
      <c r="AB1754" s="241">
        <v>540</v>
      </c>
      <c r="AC1754" s="134">
        <v>296.06</v>
      </c>
      <c r="AD1754" s="134"/>
      <c r="AE1754" s="403">
        <f t="shared" si="109"/>
        <v>159872.4</v>
      </c>
      <c r="AF1754" s="132">
        <v>20</v>
      </c>
      <c r="AG1754" s="130" t="s">
        <v>5</v>
      </c>
      <c r="AH1754" s="130"/>
      <c r="AI1754" s="130" t="s">
        <v>34</v>
      </c>
      <c r="AJ1754" s="130"/>
      <c r="AK1754" s="130"/>
      <c r="AL1754" s="256" t="s">
        <v>6646</v>
      </c>
      <c r="AM1754" s="314"/>
      <c r="AN1754" s="26">
        <v>44525</v>
      </c>
      <c r="AO1754" s="26">
        <v>44526</v>
      </c>
      <c r="AP1754" s="26" t="e">
        <f>#REF!+30</f>
        <v>#REF!</v>
      </c>
      <c r="AQ1754" s="26">
        <v>44530</v>
      </c>
      <c r="AR1754" s="24">
        <f>AQ1754+4</f>
        <v>44534</v>
      </c>
      <c r="AS1754" s="24"/>
      <c r="AT1754" s="24">
        <v>44543</v>
      </c>
      <c r="AU1754" s="418">
        <f t="shared" si="110"/>
        <v>12</v>
      </c>
      <c r="AV1754" s="418">
        <f t="shared" si="111"/>
        <v>2021</v>
      </c>
      <c r="AW1754" s="24"/>
      <c r="AX1754" s="24"/>
      <c r="AY1754" s="24" t="s">
        <v>3415</v>
      </c>
      <c r="AZ1754" s="135" t="s">
        <v>9</v>
      </c>
      <c r="BA1754" s="135"/>
      <c r="BB1754" s="24" t="s">
        <v>3264</v>
      </c>
      <c r="BC1754" s="128" t="s">
        <v>6723</v>
      </c>
      <c r="BD1754" s="24">
        <v>44526</v>
      </c>
      <c r="BE1754" s="132" t="s">
        <v>5944</v>
      </c>
      <c r="BF1754" s="132" t="s">
        <v>5944</v>
      </c>
      <c r="BG1754" s="132" t="s">
        <v>29</v>
      </c>
      <c r="BH1754" s="132"/>
      <c r="BI1754" s="314" t="s">
        <v>3</v>
      </c>
      <c r="BJ1754" s="314" t="s">
        <v>148</v>
      </c>
      <c r="BK1754" s="24"/>
      <c r="BL1754" s="24"/>
      <c r="BM1754" s="24"/>
      <c r="BN1754" s="24"/>
      <c r="BO1754" s="24">
        <v>44551</v>
      </c>
      <c r="BP1754" s="24"/>
      <c r="BQ1754" s="24"/>
      <c r="BR1754" s="24"/>
      <c r="BS1754" s="24"/>
      <c r="BT1754" s="24"/>
      <c r="BU1754" s="24"/>
      <c r="BV1754" s="132" t="e">
        <f>IF(#REF!="COMPLETO","OK","PENDIENTE")</f>
        <v>#REF!</v>
      </c>
      <c r="BW1754" s="132"/>
      <c r="BX1754" s="132"/>
      <c r="BY1754" s="132"/>
      <c r="BZ1754" s="132"/>
      <c r="CA1754" s="132"/>
      <c r="CB1754" s="132"/>
      <c r="CC1754" s="365"/>
      <c r="CG1754" s="24" t="s">
        <v>105</v>
      </c>
      <c r="CH1754" s="24"/>
      <c r="CI1754" s="24"/>
      <c r="CJ1754" s="24"/>
    </row>
    <row r="1755" spans="1:88" ht="15" customHeight="1">
      <c r="A1755" s="18">
        <v>2021</v>
      </c>
      <c r="B1755" s="18" t="e">
        <f>+INDEX(BDD!F:F,MATCH(P1755,BDD!D:D,0))&amp;"-"&amp;INDEX(BDD!E:E,MATCH(P1755,BDD!D:D,0))</f>
        <v>#N/A</v>
      </c>
      <c r="C1755" s="360" t="s">
        <v>484</v>
      </c>
      <c r="D1755" s="150" t="s">
        <v>77</v>
      </c>
      <c r="E1755" s="132"/>
      <c r="F1755" s="132"/>
      <c r="G1755" s="346">
        <v>8000002031</v>
      </c>
      <c r="H1755" s="18" t="s">
        <v>6724</v>
      </c>
      <c r="I1755" s="329" t="s">
        <v>6323</v>
      </c>
      <c r="J1755" s="346">
        <v>8000002031</v>
      </c>
      <c r="K1755" s="24"/>
      <c r="L1755" s="24">
        <v>44671</v>
      </c>
      <c r="M1755" s="24">
        <v>44685</v>
      </c>
      <c r="N1755" s="340" t="s">
        <v>486</v>
      </c>
      <c r="O1755" s="334">
        <v>204913</v>
      </c>
      <c r="P1755" s="406" t="s">
        <v>8074</v>
      </c>
      <c r="Q1755" s="407" t="s">
        <v>110</v>
      </c>
      <c r="R1755" s="232" t="s">
        <v>6725</v>
      </c>
      <c r="S1755" s="89">
        <v>44496</v>
      </c>
      <c r="T1755" s="36">
        <v>90</v>
      </c>
      <c r="U1755" s="125" t="s">
        <v>118</v>
      </c>
      <c r="V1755" s="147" t="s">
        <v>6725</v>
      </c>
      <c r="W1755" s="129">
        <v>44569</v>
      </c>
      <c r="X1755" s="88">
        <f>+BD1755+T1755</f>
        <v>44674</v>
      </c>
      <c r="Y1755" s="130" t="s">
        <v>20</v>
      </c>
      <c r="Z1755" s="133" t="s">
        <v>60</v>
      </c>
      <c r="AA1755" s="133" t="s">
        <v>6619</v>
      </c>
      <c r="AB1755" s="414">
        <v>400</v>
      </c>
      <c r="AC1755" s="409">
        <v>339</v>
      </c>
      <c r="AD1755" s="409">
        <v>125</v>
      </c>
      <c r="AE1755" s="403">
        <f t="shared" si="109"/>
        <v>135600</v>
      </c>
      <c r="AF1755" s="410"/>
      <c r="AG1755" s="130" t="s">
        <v>58</v>
      </c>
      <c r="AH1755" s="130"/>
      <c r="AI1755" s="130" t="s">
        <v>6029</v>
      </c>
      <c r="AJ1755" s="274">
        <v>1.25</v>
      </c>
      <c r="AK1755" s="130" t="s">
        <v>944</v>
      </c>
      <c r="AL1755" s="411" t="s">
        <v>6726</v>
      </c>
      <c r="AM1755" s="410"/>
      <c r="AN1755" s="385">
        <f>BL1755</f>
        <v>0</v>
      </c>
      <c r="AO1755" s="385">
        <v>44591</v>
      </c>
      <c r="AP1755" s="385">
        <f>AQ1755</f>
        <v>44656</v>
      </c>
      <c r="AQ1755" s="385">
        <v>44656</v>
      </c>
      <c r="AR1755" s="412">
        <f>AQ1755+10</f>
        <v>44666</v>
      </c>
      <c r="AS1755" s="412">
        <v>44680</v>
      </c>
      <c r="AT1755" s="412">
        <v>44685</v>
      </c>
      <c r="AU1755" s="418">
        <f t="shared" si="110"/>
        <v>5</v>
      </c>
      <c r="AV1755" s="418">
        <f t="shared" si="111"/>
        <v>2022</v>
      </c>
      <c r="AW1755" s="412"/>
      <c r="AX1755" s="412"/>
      <c r="AY1755" s="412" t="s">
        <v>5402</v>
      </c>
      <c r="AZ1755" s="411" t="s">
        <v>37</v>
      </c>
      <c r="BA1755" s="412" t="s">
        <v>6329</v>
      </c>
      <c r="BB1755" s="412" t="s">
        <v>3291</v>
      </c>
      <c r="BC1755" s="413" t="s">
        <v>6727</v>
      </c>
      <c r="BD1755" s="412">
        <v>44584</v>
      </c>
      <c r="BE1755" s="412" t="s">
        <v>6328</v>
      </c>
      <c r="BF1755" s="412" t="s">
        <v>6328</v>
      </c>
      <c r="BG1755" s="135" t="s">
        <v>52</v>
      </c>
      <c r="BH1755" s="135" t="s">
        <v>6330</v>
      </c>
      <c r="BI1755" s="314" t="s">
        <v>3</v>
      </c>
      <c r="BJ1755" s="314" t="s">
        <v>143</v>
      </c>
      <c r="BK1755" s="24"/>
      <c r="BL1755" s="24"/>
      <c r="BM1755" s="24"/>
      <c r="BN1755" s="24"/>
      <c r="BO1755" s="24"/>
      <c r="BP1755" s="24"/>
      <c r="BQ1755" s="24" t="s">
        <v>6728</v>
      </c>
      <c r="BR1755" s="24">
        <v>44652</v>
      </c>
      <c r="BS1755" s="24" t="s">
        <v>38</v>
      </c>
      <c r="BT1755" s="24" t="s">
        <v>11</v>
      </c>
      <c r="BU1755" s="24"/>
      <c r="BV1755" s="132" t="s">
        <v>6087</v>
      </c>
      <c r="BW1755" s="132"/>
      <c r="BX1755" s="132"/>
      <c r="BY1755" s="132"/>
      <c r="BZ1755" s="132"/>
      <c r="CA1755" s="132"/>
      <c r="CB1755" s="132"/>
      <c r="CC1755" s="365" t="s">
        <v>8073</v>
      </c>
      <c r="CG1755" s="132" t="s">
        <v>105</v>
      </c>
      <c r="CH1755" s="132"/>
      <c r="CI1755" s="24"/>
      <c r="CJ1755" s="24"/>
    </row>
    <row r="1756" spans="1:88" ht="13.9" customHeight="1">
      <c r="A1756" s="18">
        <v>2021</v>
      </c>
      <c r="B1756" s="18" t="s">
        <v>6191</v>
      </c>
      <c r="C1756" s="360" t="s">
        <v>484</v>
      </c>
      <c r="D1756" s="150" t="s">
        <v>77</v>
      </c>
      <c r="E1756" s="132"/>
      <c r="F1756" s="132"/>
      <c r="G1756" s="346">
        <v>8000001680</v>
      </c>
      <c r="H1756" s="18" t="s">
        <v>6729</v>
      </c>
      <c r="I1756" s="329"/>
      <c r="J1756" s="346">
        <v>8000001680</v>
      </c>
      <c r="K1756" s="24"/>
      <c r="L1756" s="24">
        <v>44595</v>
      </c>
      <c r="M1756" s="24">
        <v>44595</v>
      </c>
      <c r="N1756" s="340" t="s">
        <v>486</v>
      </c>
      <c r="O1756" s="334">
        <v>206914</v>
      </c>
      <c r="P1756" s="25" t="s">
        <v>335</v>
      </c>
      <c r="Q1756" s="127" t="s">
        <v>264</v>
      </c>
      <c r="R1756" s="232" t="s">
        <v>6730</v>
      </c>
      <c r="S1756" s="89">
        <v>44496</v>
      </c>
      <c r="T1756" s="36">
        <v>90</v>
      </c>
      <c r="U1756" s="125" t="s">
        <v>118</v>
      </c>
      <c r="V1756" s="232" t="s">
        <v>6730</v>
      </c>
      <c r="W1756" s="151"/>
      <c r="X1756" s="88">
        <f>+BD1756+T1756</f>
        <v>44637</v>
      </c>
      <c r="Y1756" s="130" t="s">
        <v>20</v>
      </c>
      <c r="Z1756" s="133" t="s">
        <v>60</v>
      </c>
      <c r="AA1756" s="133"/>
      <c r="AB1756" s="241">
        <v>1700</v>
      </c>
      <c r="AC1756" s="134">
        <v>313</v>
      </c>
      <c r="AD1756" s="134"/>
      <c r="AE1756" s="403">
        <f t="shared" si="109"/>
        <v>532100</v>
      </c>
      <c r="AF1756" s="132"/>
      <c r="AG1756" s="130" t="s">
        <v>58</v>
      </c>
      <c r="AH1756" s="130"/>
      <c r="AI1756" s="130" t="s">
        <v>34</v>
      </c>
      <c r="AJ1756" s="130"/>
      <c r="AK1756" s="130"/>
      <c r="AL1756" s="135" t="s">
        <v>6412</v>
      </c>
      <c r="AM1756" s="314"/>
      <c r="AN1756" s="26">
        <v>44547</v>
      </c>
      <c r="AO1756" s="26">
        <v>44547</v>
      </c>
      <c r="AP1756" s="26">
        <f>AQ1756</f>
        <v>44591</v>
      </c>
      <c r="AQ1756" s="26">
        <v>44591</v>
      </c>
      <c r="AR1756" s="24">
        <f>AQ1756+3</f>
        <v>44594</v>
      </c>
      <c r="AS1756" s="24"/>
      <c r="AT1756" s="24">
        <v>44603</v>
      </c>
      <c r="AU1756" s="418">
        <f t="shared" si="110"/>
        <v>2</v>
      </c>
      <c r="AV1756" s="418">
        <f t="shared" si="111"/>
        <v>2022</v>
      </c>
      <c r="AW1756" s="24"/>
      <c r="AX1756" s="24"/>
      <c r="AY1756" s="24" t="s">
        <v>311</v>
      </c>
      <c r="AZ1756" s="24" t="s">
        <v>50</v>
      </c>
      <c r="BA1756" s="24"/>
      <c r="BB1756" s="24" t="s">
        <v>2956</v>
      </c>
      <c r="BC1756" s="128" t="s">
        <v>6731</v>
      </c>
      <c r="BD1756" s="24">
        <v>44547</v>
      </c>
      <c r="BE1756" s="24" t="s">
        <v>6535</v>
      </c>
      <c r="BF1756" s="24" t="s">
        <v>6535</v>
      </c>
      <c r="BG1756" s="135" t="s">
        <v>52</v>
      </c>
      <c r="BH1756" s="135"/>
      <c r="BI1756" s="314" t="s">
        <v>3</v>
      </c>
      <c r="BJ1756" s="314"/>
      <c r="BK1756" s="24"/>
      <c r="BL1756" s="24"/>
      <c r="BM1756" s="24"/>
      <c r="BN1756" s="24"/>
      <c r="BO1756" s="24"/>
      <c r="BP1756" s="24"/>
      <c r="BQ1756" s="24" t="s">
        <v>6732</v>
      </c>
      <c r="BR1756" s="24">
        <v>44586</v>
      </c>
      <c r="BS1756" s="24" t="s">
        <v>38</v>
      </c>
      <c r="BT1756" s="24" t="s">
        <v>11</v>
      </c>
      <c r="BU1756" s="24"/>
      <c r="BV1756" s="132" t="s">
        <v>3</v>
      </c>
      <c r="BW1756" s="132"/>
      <c r="BX1756" s="132"/>
      <c r="BY1756" s="132"/>
      <c r="BZ1756" s="132"/>
      <c r="CA1756" s="132"/>
      <c r="CB1756" s="132"/>
      <c r="CC1756" s="365"/>
      <c r="CG1756" s="132" t="s">
        <v>105</v>
      </c>
      <c r="CH1756" s="132"/>
      <c r="CI1756" s="24"/>
      <c r="CJ1756" s="24"/>
    </row>
    <row r="1757" spans="1:88" ht="15" customHeight="1">
      <c r="A1757" s="18">
        <v>2021</v>
      </c>
      <c r="B1757" s="18" t="s">
        <v>6191</v>
      </c>
      <c r="C1757" s="360" t="s">
        <v>484</v>
      </c>
      <c r="D1757" s="150" t="s">
        <v>77</v>
      </c>
      <c r="E1757" s="132"/>
      <c r="F1757" s="24"/>
      <c r="G1757" s="346">
        <v>8000001692</v>
      </c>
      <c r="H1757" s="18" t="s">
        <v>6733</v>
      </c>
      <c r="I1757" s="329"/>
      <c r="J1757" s="346">
        <v>8000001692</v>
      </c>
      <c r="K1757" s="24"/>
      <c r="L1757" s="24">
        <v>0</v>
      </c>
      <c r="M1757" s="24">
        <v>44539</v>
      </c>
      <c r="N1757" s="340" t="s">
        <v>486</v>
      </c>
      <c r="O1757" s="334">
        <v>207951</v>
      </c>
      <c r="P1757" s="25" t="s">
        <v>354</v>
      </c>
      <c r="Q1757" s="127" t="s">
        <v>237</v>
      </c>
      <c r="R1757" s="232" t="s">
        <v>6734</v>
      </c>
      <c r="S1757" s="89">
        <v>44498</v>
      </c>
      <c r="T1757" s="36" t="s">
        <v>19</v>
      </c>
      <c r="U1757" s="125"/>
      <c r="V1757" s="147" t="s">
        <v>6735</v>
      </c>
      <c r="W1757" s="129"/>
      <c r="X1757" s="88" t="s">
        <v>944</v>
      </c>
      <c r="Y1757" s="130" t="s">
        <v>20</v>
      </c>
      <c r="Z1757" s="133" t="s">
        <v>60</v>
      </c>
      <c r="AA1757" s="133"/>
      <c r="AB1757" s="241">
        <v>1350</v>
      </c>
      <c r="AC1757" s="134">
        <v>920</v>
      </c>
      <c r="AD1757" s="134"/>
      <c r="AE1757" s="403">
        <f t="shared" si="109"/>
        <v>1242000</v>
      </c>
      <c r="AF1757" s="132"/>
      <c r="AG1757" s="130" t="s">
        <v>46</v>
      </c>
      <c r="AH1757" s="130"/>
      <c r="AI1757" s="130" t="s">
        <v>100</v>
      </c>
      <c r="AJ1757" s="130"/>
      <c r="AK1757" s="130"/>
      <c r="AL1757" s="135" t="s">
        <v>6736</v>
      </c>
      <c r="AM1757" s="314"/>
      <c r="AN1757" s="26">
        <v>44512</v>
      </c>
      <c r="AO1757" s="26">
        <v>44496</v>
      </c>
      <c r="AP1757" s="26" t="e">
        <f>+#REF!+30</f>
        <v>#REF!</v>
      </c>
      <c r="AQ1757" s="26">
        <v>44534</v>
      </c>
      <c r="AR1757" s="24">
        <f>+AQ1757+2</f>
        <v>44536</v>
      </c>
      <c r="AS1757" s="24"/>
      <c r="AT1757" s="24">
        <v>44536</v>
      </c>
      <c r="AU1757" s="418">
        <f t="shared" si="110"/>
        <v>12</v>
      </c>
      <c r="AV1757" s="418">
        <f t="shared" si="111"/>
        <v>2021</v>
      </c>
      <c r="AW1757" s="24"/>
      <c r="AX1757" s="132"/>
      <c r="AY1757" s="132" t="s">
        <v>205</v>
      </c>
      <c r="AZ1757" s="135" t="s">
        <v>9</v>
      </c>
      <c r="BA1757" s="135"/>
      <c r="BB1757" s="24" t="s">
        <v>2956</v>
      </c>
      <c r="BC1757" s="128">
        <v>8</v>
      </c>
      <c r="BD1757" s="24">
        <v>44518</v>
      </c>
      <c r="BE1757" s="132" t="s">
        <v>6737</v>
      </c>
      <c r="BF1757" s="132" t="s">
        <v>6737</v>
      </c>
      <c r="BG1757" s="135" t="s">
        <v>52</v>
      </c>
      <c r="BH1757" s="135"/>
      <c r="BI1757" s="314" t="s">
        <v>3</v>
      </c>
      <c r="BJ1757" s="314" t="s">
        <v>143</v>
      </c>
      <c r="BK1757" s="24"/>
      <c r="BL1757" s="24"/>
      <c r="BM1757" s="24"/>
      <c r="BN1757" s="24"/>
      <c r="BO1757" s="24"/>
      <c r="BP1757" s="24"/>
      <c r="BQ1757" s="24"/>
      <c r="BR1757" s="24"/>
      <c r="BS1757" s="24"/>
      <c r="BT1757" s="24"/>
      <c r="BU1757" s="24"/>
      <c r="BV1757" s="132" t="e">
        <f>IF(#REF!="COMPLETO","OK","PENDIENTE")</f>
        <v>#REF!</v>
      </c>
      <c r="BW1757" s="132"/>
      <c r="BX1757" s="132"/>
      <c r="BY1757" s="132"/>
      <c r="BZ1757" s="132"/>
      <c r="CA1757" s="132"/>
      <c r="CB1757" s="132"/>
      <c r="CC1757" s="365"/>
      <c r="CG1757" s="24" t="s">
        <v>105</v>
      </c>
      <c r="CH1757" s="24"/>
      <c r="CI1757" s="24"/>
      <c r="CJ1757" s="24"/>
    </row>
    <row r="1758" spans="1:88" ht="15" customHeight="1">
      <c r="A1758" s="18">
        <v>2021</v>
      </c>
      <c r="B1758" s="18" t="s">
        <v>6191</v>
      </c>
      <c r="C1758" s="360" t="s">
        <v>484</v>
      </c>
      <c r="D1758" s="150" t="s">
        <v>77</v>
      </c>
      <c r="E1758" s="132"/>
      <c r="F1758" s="24"/>
      <c r="G1758" s="346">
        <v>8000001693</v>
      </c>
      <c r="H1758" s="18" t="s">
        <v>6738</v>
      </c>
      <c r="I1758" s="329"/>
      <c r="J1758" s="346">
        <v>8000001693</v>
      </c>
      <c r="K1758" s="24"/>
      <c r="L1758" s="24">
        <v>0</v>
      </c>
      <c r="M1758" s="24">
        <v>44536</v>
      </c>
      <c r="N1758" s="340" t="s">
        <v>486</v>
      </c>
      <c r="O1758" s="334">
        <v>207485</v>
      </c>
      <c r="P1758" s="25" t="s">
        <v>353</v>
      </c>
      <c r="Q1758" s="127" t="s">
        <v>237</v>
      </c>
      <c r="R1758" s="232" t="s">
        <v>6739</v>
      </c>
      <c r="S1758" s="89">
        <v>44498</v>
      </c>
      <c r="T1758" s="36" t="s">
        <v>19</v>
      </c>
      <c r="U1758" s="125"/>
      <c r="V1758" s="147" t="s">
        <v>6740</v>
      </c>
      <c r="W1758" s="129"/>
      <c r="X1758" s="88" t="s">
        <v>944</v>
      </c>
      <c r="Y1758" s="130" t="s">
        <v>20</v>
      </c>
      <c r="Z1758" s="133" t="s">
        <v>60</v>
      </c>
      <c r="AA1758" s="133"/>
      <c r="AB1758" s="241">
        <v>1350</v>
      </c>
      <c r="AC1758" s="134">
        <v>925</v>
      </c>
      <c r="AD1758" s="134"/>
      <c r="AE1758" s="403">
        <f t="shared" si="109"/>
        <v>1248750</v>
      </c>
      <c r="AF1758" s="132"/>
      <c r="AG1758" s="130" t="s">
        <v>46</v>
      </c>
      <c r="AH1758" s="130"/>
      <c r="AI1758" s="130" t="s">
        <v>100</v>
      </c>
      <c r="AJ1758" s="130"/>
      <c r="AK1758" s="130"/>
      <c r="AL1758" s="135" t="s">
        <v>6736</v>
      </c>
      <c r="AM1758" s="314"/>
      <c r="AN1758" s="26">
        <v>44512</v>
      </c>
      <c r="AO1758" s="26">
        <v>44496</v>
      </c>
      <c r="AP1758" s="26" t="e">
        <f>+#REF!+30</f>
        <v>#REF!</v>
      </c>
      <c r="AQ1758" s="26">
        <v>44534</v>
      </c>
      <c r="AR1758" s="24">
        <f>+AQ1758+2</f>
        <v>44536</v>
      </c>
      <c r="AS1758" s="24"/>
      <c r="AT1758" s="24">
        <v>44535</v>
      </c>
      <c r="AU1758" s="418">
        <f t="shared" si="110"/>
        <v>12</v>
      </c>
      <c r="AV1758" s="418">
        <f t="shared" si="111"/>
        <v>2021</v>
      </c>
      <c r="AW1758" s="24"/>
      <c r="AX1758" s="132"/>
      <c r="AY1758" s="132" t="s">
        <v>205</v>
      </c>
      <c r="AZ1758" s="135" t="s">
        <v>9</v>
      </c>
      <c r="BA1758" s="135"/>
      <c r="BB1758" s="24" t="s">
        <v>3519</v>
      </c>
      <c r="BC1758" s="128">
        <v>2</v>
      </c>
      <c r="BD1758" s="24">
        <v>44496</v>
      </c>
      <c r="BE1758" s="132" t="s">
        <v>6737</v>
      </c>
      <c r="BF1758" s="132" t="s">
        <v>6737</v>
      </c>
      <c r="BG1758" s="135" t="s">
        <v>52</v>
      </c>
      <c r="BH1758" s="135"/>
      <c r="BI1758" s="314" t="s">
        <v>3</v>
      </c>
      <c r="BJ1758" s="314" t="s">
        <v>143</v>
      </c>
      <c r="BK1758" s="24"/>
      <c r="BL1758" s="24"/>
      <c r="BM1758" s="24"/>
      <c r="BN1758" s="24"/>
      <c r="BO1758" s="24"/>
      <c r="BP1758" s="24"/>
      <c r="BQ1758" s="24"/>
      <c r="BR1758" s="24"/>
      <c r="BS1758" s="24"/>
      <c r="BT1758" s="24"/>
      <c r="BU1758" s="24"/>
      <c r="BV1758" s="132" t="e">
        <f>IF(#REF!="COMPLETO","OK","PENDIENTE")</f>
        <v>#REF!</v>
      </c>
      <c r="BW1758" s="132"/>
      <c r="BX1758" s="132"/>
      <c r="BY1758" s="132"/>
      <c r="BZ1758" s="132"/>
      <c r="CA1758" s="132"/>
      <c r="CB1758" s="132"/>
      <c r="CC1758" s="365"/>
      <c r="CG1758" s="24" t="s">
        <v>105</v>
      </c>
      <c r="CH1758" s="24"/>
      <c r="CI1758" s="24"/>
      <c r="CJ1758" s="24"/>
    </row>
    <row r="1759" spans="1:88" ht="15" customHeight="1">
      <c r="A1759" s="18">
        <v>2021</v>
      </c>
      <c r="B1759" s="18" t="s">
        <v>6191</v>
      </c>
      <c r="C1759" s="360" t="s">
        <v>484</v>
      </c>
      <c r="D1759" s="150" t="s">
        <v>77</v>
      </c>
      <c r="E1759" s="132"/>
      <c r="F1759" s="132"/>
      <c r="G1759" s="346">
        <v>8000001696</v>
      </c>
      <c r="H1759" s="18" t="s">
        <v>6741</v>
      </c>
      <c r="I1759" s="329"/>
      <c r="J1759" s="346">
        <v>8000001696</v>
      </c>
      <c r="K1759" s="24"/>
      <c r="L1759" s="24">
        <v>0</v>
      </c>
      <c r="M1759" s="24">
        <v>44544</v>
      </c>
      <c r="N1759" s="340" t="s">
        <v>486</v>
      </c>
      <c r="O1759" s="334">
        <v>206573</v>
      </c>
      <c r="P1759" s="25" t="s">
        <v>226</v>
      </c>
      <c r="Q1759" s="127" t="s">
        <v>291</v>
      </c>
      <c r="R1759" s="232" t="s">
        <v>6742</v>
      </c>
      <c r="S1759" s="89">
        <v>44503</v>
      </c>
      <c r="T1759" s="36">
        <v>150</v>
      </c>
      <c r="U1759" s="125" t="s">
        <v>118</v>
      </c>
      <c r="V1759" s="232" t="s">
        <v>6743</v>
      </c>
      <c r="W1759" s="151"/>
      <c r="X1759" s="88">
        <v>44659</v>
      </c>
      <c r="Y1759" s="130" t="s">
        <v>20</v>
      </c>
      <c r="Z1759" s="133" t="s">
        <v>60</v>
      </c>
      <c r="AA1759" s="133"/>
      <c r="AB1759" s="241">
        <v>1200</v>
      </c>
      <c r="AC1759" s="134">
        <v>771.08</v>
      </c>
      <c r="AD1759" s="134">
        <v>125</v>
      </c>
      <c r="AE1759" s="403">
        <f t="shared" si="109"/>
        <v>925296</v>
      </c>
      <c r="AF1759" s="132"/>
      <c r="AG1759" s="130" t="s">
        <v>46</v>
      </c>
      <c r="AH1759" s="130"/>
      <c r="AI1759" s="130" t="s">
        <v>100</v>
      </c>
      <c r="AJ1759" s="130"/>
      <c r="AK1759" s="130"/>
      <c r="AL1759" s="135" t="s">
        <v>6744</v>
      </c>
      <c r="AM1759" s="314"/>
      <c r="AN1759" s="26">
        <f t="shared" ref="AN1759:AN1772" si="112">BL1759</f>
        <v>0</v>
      </c>
      <c r="AO1759" s="26">
        <v>44509</v>
      </c>
      <c r="AP1759" s="26">
        <f t="shared" ref="AP1759:AP1776" si="113">AQ1759</f>
        <v>44540</v>
      </c>
      <c r="AQ1759" s="26">
        <v>44540</v>
      </c>
      <c r="AR1759" s="24">
        <v>44560</v>
      </c>
      <c r="AS1759" s="24"/>
      <c r="AT1759" s="24">
        <v>44541</v>
      </c>
      <c r="AU1759" s="418">
        <f t="shared" si="110"/>
        <v>12</v>
      </c>
      <c r="AV1759" s="418">
        <f t="shared" si="111"/>
        <v>2021</v>
      </c>
      <c r="AW1759" s="24"/>
      <c r="AX1759" s="132"/>
      <c r="AY1759" s="132" t="s">
        <v>6541</v>
      </c>
      <c r="AZ1759" s="135" t="s">
        <v>9</v>
      </c>
      <c r="BA1759" s="135"/>
      <c r="BB1759" s="24" t="s">
        <v>3264</v>
      </c>
      <c r="BC1759" s="128">
        <v>1</v>
      </c>
      <c r="BD1759" s="24">
        <v>44509</v>
      </c>
      <c r="BE1759" s="132" t="s">
        <v>6745</v>
      </c>
      <c r="BF1759" s="132" t="s">
        <v>6745</v>
      </c>
      <c r="BG1759" s="135" t="s">
        <v>52</v>
      </c>
      <c r="BH1759" s="135"/>
      <c r="BI1759" s="314" t="s">
        <v>124</v>
      </c>
      <c r="BJ1759" s="314" t="s">
        <v>148</v>
      </c>
      <c r="BK1759" s="24"/>
      <c r="BL1759" s="24"/>
      <c r="BM1759" s="24"/>
      <c r="BN1759" s="24"/>
      <c r="BO1759" s="24"/>
      <c r="BP1759" s="24"/>
      <c r="BQ1759" s="24"/>
      <c r="BR1759" s="24"/>
      <c r="BS1759" s="24"/>
      <c r="BT1759" s="24"/>
      <c r="BU1759" s="24"/>
      <c r="BV1759" s="132" t="e">
        <f>IF(#REF!="COMPLETO","OK","PENDIENTE")</f>
        <v>#REF!</v>
      </c>
      <c r="BW1759" s="132"/>
      <c r="BX1759" s="132"/>
      <c r="BY1759" s="132"/>
      <c r="BZ1759" s="132"/>
      <c r="CA1759" s="132"/>
      <c r="CB1759" s="132"/>
      <c r="CC1759" s="365"/>
      <c r="CG1759" s="132" t="s">
        <v>105</v>
      </c>
      <c r="CH1759" s="132"/>
      <c r="CI1759" s="24"/>
      <c r="CJ1759" s="24"/>
    </row>
    <row r="1760" spans="1:88" ht="15" customHeight="1">
      <c r="A1760" s="18">
        <v>2021</v>
      </c>
      <c r="B1760" s="18" t="s">
        <v>6191</v>
      </c>
      <c r="C1760" s="360" t="s">
        <v>484</v>
      </c>
      <c r="D1760" s="150" t="s">
        <v>77</v>
      </c>
      <c r="E1760" s="132"/>
      <c r="F1760" s="132"/>
      <c r="G1760" s="346">
        <v>8000001753</v>
      </c>
      <c r="H1760" s="18" t="s">
        <v>6746</v>
      </c>
      <c r="I1760" s="329"/>
      <c r="J1760" s="346">
        <v>8000001753</v>
      </c>
      <c r="K1760" s="24"/>
      <c r="L1760" s="24">
        <v>0</v>
      </c>
      <c r="M1760" s="24">
        <v>44546</v>
      </c>
      <c r="N1760" s="340" t="s">
        <v>486</v>
      </c>
      <c r="O1760" s="334">
        <v>206573</v>
      </c>
      <c r="P1760" s="25" t="s">
        <v>226</v>
      </c>
      <c r="Q1760" s="127" t="s">
        <v>288</v>
      </c>
      <c r="R1760" s="232" t="s">
        <v>6747</v>
      </c>
      <c r="S1760" s="89">
        <v>44503</v>
      </c>
      <c r="T1760" s="36" t="s">
        <v>4</v>
      </c>
      <c r="U1760" s="125"/>
      <c r="V1760" s="130" t="s">
        <v>6748</v>
      </c>
      <c r="W1760" s="283"/>
      <c r="X1760" s="88">
        <v>44508</v>
      </c>
      <c r="Y1760" s="130" t="s">
        <v>20</v>
      </c>
      <c r="Z1760" s="133" t="s">
        <v>60</v>
      </c>
      <c r="AA1760" s="133"/>
      <c r="AB1760" s="241">
        <v>3400</v>
      </c>
      <c r="AC1760" s="134">
        <v>760</v>
      </c>
      <c r="AD1760" s="134">
        <v>125</v>
      </c>
      <c r="AE1760" s="403">
        <f t="shared" si="109"/>
        <v>2584000</v>
      </c>
      <c r="AF1760" s="132"/>
      <c r="AG1760" s="130" t="s">
        <v>46</v>
      </c>
      <c r="AH1760" s="130"/>
      <c r="AI1760" s="130" t="s">
        <v>100</v>
      </c>
      <c r="AJ1760" s="130"/>
      <c r="AK1760" s="130"/>
      <c r="AL1760" s="135" t="s">
        <v>6744</v>
      </c>
      <c r="AM1760" s="314"/>
      <c r="AN1760" s="26">
        <f t="shared" si="112"/>
        <v>0</v>
      </c>
      <c r="AO1760" s="26">
        <v>44509</v>
      </c>
      <c r="AP1760" s="26">
        <f t="shared" si="113"/>
        <v>44542</v>
      </c>
      <c r="AQ1760" s="26">
        <f>AQ1759+2</f>
        <v>44542</v>
      </c>
      <c r="AR1760" s="24">
        <v>44553</v>
      </c>
      <c r="AS1760" s="24"/>
      <c r="AT1760" s="24">
        <v>44544</v>
      </c>
      <c r="AU1760" s="418">
        <f t="shared" si="110"/>
        <v>12</v>
      </c>
      <c r="AV1760" s="418">
        <f t="shared" si="111"/>
        <v>2021</v>
      </c>
      <c r="AW1760" s="24"/>
      <c r="AX1760" s="132"/>
      <c r="AY1760" s="132" t="s">
        <v>6541</v>
      </c>
      <c r="AZ1760" s="135" t="s">
        <v>25</v>
      </c>
      <c r="BA1760" s="135"/>
      <c r="BB1760" s="24" t="s">
        <v>3264</v>
      </c>
      <c r="BC1760" s="128">
        <v>3</v>
      </c>
      <c r="BD1760" s="24">
        <v>44509</v>
      </c>
      <c r="BE1760" s="132" t="s">
        <v>6745</v>
      </c>
      <c r="BF1760" s="132" t="s">
        <v>6745</v>
      </c>
      <c r="BG1760" s="135" t="s">
        <v>52</v>
      </c>
      <c r="BH1760" s="135"/>
      <c r="BI1760" s="314" t="s">
        <v>3</v>
      </c>
      <c r="BJ1760" s="314" t="s">
        <v>148</v>
      </c>
      <c r="BK1760" s="24"/>
      <c r="BL1760" s="24"/>
      <c r="BM1760" s="24"/>
      <c r="BN1760" s="24"/>
      <c r="BO1760" s="24"/>
      <c r="BP1760" s="24"/>
      <c r="BQ1760" s="24"/>
      <c r="BR1760" s="24"/>
      <c r="BS1760" s="24"/>
      <c r="BT1760" s="24"/>
      <c r="BU1760" s="24"/>
      <c r="BV1760" s="132" t="e">
        <f>IF(#REF!="COMPLETO","OK","PENDIENTE")</f>
        <v>#REF!</v>
      </c>
      <c r="BW1760" s="132"/>
      <c r="BX1760" s="132"/>
      <c r="BY1760" s="132"/>
      <c r="BZ1760" s="132"/>
      <c r="CA1760" s="132"/>
      <c r="CB1760" s="132"/>
      <c r="CC1760" s="365"/>
      <c r="CG1760" s="132" t="s">
        <v>105</v>
      </c>
      <c r="CH1760" s="132"/>
      <c r="CI1760" s="24"/>
      <c r="CJ1760" s="24"/>
    </row>
    <row r="1761" spans="1:88" ht="15" customHeight="1">
      <c r="A1761" s="18">
        <v>2021</v>
      </c>
      <c r="B1761" s="18" t="s">
        <v>6191</v>
      </c>
      <c r="C1761" s="360" t="s">
        <v>484</v>
      </c>
      <c r="D1761" s="150" t="s">
        <v>77</v>
      </c>
      <c r="E1761" s="132"/>
      <c r="F1761" s="132"/>
      <c r="G1761" s="346">
        <v>8000001754</v>
      </c>
      <c r="H1761" s="18" t="s">
        <v>6749</v>
      </c>
      <c r="I1761" s="329"/>
      <c r="J1761" s="346">
        <v>8000001754</v>
      </c>
      <c r="K1761" s="24"/>
      <c r="L1761" s="24">
        <v>0</v>
      </c>
      <c r="M1761" s="24">
        <v>44553</v>
      </c>
      <c r="N1761" s="340" t="s">
        <v>486</v>
      </c>
      <c r="O1761" s="334">
        <v>206573</v>
      </c>
      <c r="P1761" s="25" t="s">
        <v>226</v>
      </c>
      <c r="Q1761" s="127" t="s">
        <v>291</v>
      </c>
      <c r="R1761" s="232" t="s">
        <v>6742</v>
      </c>
      <c r="S1761" s="89">
        <v>44503</v>
      </c>
      <c r="T1761" s="36">
        <v>150</v>
      </c>
      <c r="U1761" s="125" t="s">
        <v>118</v>
      </c>
      <c r="V1761" s="232" t="s">
        <v>6750</v>
      </c>
      <c r="W1761" s="151"/>
      <c r="X1761" s="88">
        <v>44659</v>
      </c>
      <c r="Y1761" s="130" t="s">
        <v>20</v>
      </c>
      <c r="Z1761" s="133" t="s">
        <v>60</v>
      </c>
      <c r="AA1761" s="133"/>
      <c r="AB1761" s="241">
        <v>2700</v>
      </c>
      <c r="AC1761" s="134">
        <v>771.08</v>
      </c>
      <c r="AD1761" s="134">
        <v>125</v>
      </c>
      <c r="AE1761" s="403">
        <f t="shared" si="109"/>
        <v>2081916</v>
      </c>
      <c r="AF1761" s="132"/>
      <c r="AG1761" s="130" t="s">
        <v>46</v>
      </c>
      <c r="AH1761" s="130"/>
      <c r="AI1761" s="130" t="s">
        <v>100</v>
      </c>
      <c r="AJ1761" s="130"/>
      <c r="AK1761" s="130"/>
      <c r="AL1761" s="135" t="s">
        <v>6744</v>
      </c>
      <c r="AM1761" s="314"/>
      <c r="AN1761" s="26">
        <f t="shared" si="112"/>
        <v>0</v>
      </c>
      <c r="AO1761" s="26">
        <v>44509</v>
      </c>
      <c r="AP1761" s="26">
        <f t="shared" si="113"/>
        <v>44545</v>
      </c>
      <c r="AQ1761" s="26">
        <f>AQ1759+5</f>
        <v>44545</v>
      </c>
      <c r="AR1761" s="24">
        <v>44560</v>
      </c>
      <c r="AS1761" s="24"/>
      <c r="AT1761" s="24">
        <v>44550</v>
      </c>
      <c r="AU1761" s="418">
        <f t="shared" si="110"/>
        <v>12</v>
      </c>
      <c r="AV1761" s="418">
        <f t="shared" si="111"/>
        <v>2021</v>
      </c>
      <c r="AW1761" s="24"/>
      <c r="AX1761" s="132"/>
      <c r="AY1761" s="132" t="s">
        <v>6541</v>
      </c>
      <c r="AZ1761" s="135" t="s">
        <v>37</v>
      </c>
      <c r="BA1761" s="135"/>
      <c r="BB1761" s="24" t="s">
        <v>3291</v>
      </c>
      <c r="BC1761" s="128">
        <v>4</v>
      </c>
      <c r="BD1761" s="24">
        <v>44509</v>
      </c>
      <c r="BE1761" s="132" t="s">
        <v>6745</v>
      </c>
      <c r="BF1761" s="132" t="s">
        <v>6745</v>
      </c>
      <c r="BG1761" s="135" t="s">
        <v>52</v>
      </c>
      <c r="BH1761" s="135"/>
      <c r="BI1761" s="314" t="s">
        <v>3</v>
      </c>
      <c r="BJ1761" s="314" t="s">
        <v>148</v>
      </c>
      <c r="BK1761" s="24"/>
      <c r="BL1761" s="24"/>
      <c r="BM1761" s="24"/>
      <c r="BN1761" s="24"/>
      <c r="BO1761" s="24"/>
      <c r="BP1761" s="24"/>
      <c r="BQ1761" s="24"/>
      <c r="BR1761" s="24"/>
      <c r="BS1761" s="24"/>
      <c r="BT1761" s="24"/>
      <c r="BU1761" s="24"/>
      <c r="BV1761" s="132" t="e">
        <f>IF(#REF!="COMPLETO","OK","PENDIENTE")</f>
        <v>#REF!</v>
      </c>
      <c r="BW1761" s="132"/>
      <c r="BX1761" s="132"/>
      <c r="BY1761" s="132"/>
      <c r="BZ1761" s="132"/>
      <c r="CA1761" s="132"/>
      <c r="CB1761" s="132"/>
      <c r="CC1761" s="365"/>
      <c r="CG1761" s="132" t="s">
        <v>105</v>
      </c>
      <c r="CH1761" s="132"/>
      <c r="CI1761" s="24"/>
      <c r="CJ1761" s="24"/>
    </row>
    <row r="1762" spans="1:88" ht="15" customHeight="1">
      <c r="A1762" s="18">
        <v>2021</v>
      </c>
      <c r="B1762" s="18" t="s">
        <v>6191</v>
      </c>
      <c r="C1762" s="360" t="s">
        <v>484</v>
      </c>
      <c r="D1762" s="150" t="s">
        <v>77</v>
      </c>
      <c r="E1762" s="132"/>
      <c r="F1762" s="24"/>
      <c r="G1762" s="346">
        <v>8000001755</v>
      </c>
      <c r="H1762" s="18" t="s">
        <v>6751</v>
      </c>
      <c r="I1762" s="329"/>
      <c r="J1762" s="346">
        <v>8000001755</v>
      </c>
      <c r="K1762" s="24"/>
      <c r="L1762" s="24">
        <v>0</v>
      </c>
      <c r="M1762" s="24">
        <v>44552</v>
      </c>
      <c r="N1762" s="340" t="s">
        <v>486</v>
      </c>
      <c r="O1762" s="334">
        <v>206573</v>
      </c>
      <c r="P1762" s="25" t="s">
        <v>226</v>
      </c>
      <c r="Q1762" s="127" t="s">
        <v>288</v>
      </c>
      <c r="R1762" s="232" t="s">
        <v>6747</v>
      </c>
      <c r="S1762" s="89">
        <v>44503</v>
      </c>
      <c r="T1762" s="36" t="s">
        <v>4</v>
      </c>
      <c r="U1762" s="125"/>
      <c r="V1762" s="130" t="s">
        <v>6752</v>
      </c>
      <c r="W1762" s="283"/>
      <c r="X1762" s="88">
        <v>44659</v>
      </c>
      <c r="Y1762" s="130" t="s">
        <v>20</v>
      </c>
      <c r="Z1762" s="133" t="s">
        <v>60</v>
      </c>
      <c r="AA1762" s="133"/>
      <c r="AB1762" s="241">
        <v>1300</v>
      </c>
      <c r="AC1762" s="134">
        <v>760</v>
      </c>
      <c r="AD1762" s="134">
        <v>125</v>
      </c>
      <c r="AE1762" s="403">
        <f t="shared" si="109"/>
        <v>988000</v>
      </c>
      <c r="AF1762" s="132"/>
      <c r="AG1762" s="130" t="s">
        <v>46</v>
      </c>
      <c r="AH1762" s="130"/>
      <c r="AI1762" s="130" t="s">
        <v>100</v>
      </c>
      <c r="AJ1762" s="130"/>
      <c r="AK1762" s="130"/>
      <c r="AL1762" s="135" t="s">
        <v>6744</v>
      </c>
      <c r="AM1762" s="314"/>
      <c r="AN1762" s="26">
        <f t="shared" si="112"/>
        <v>0</v>
      </c>
      <c r="AO1762" s="26">
        <v>44509</v>
      </c>
      <c r="AP1762" s="26">
        <f t="shared" si="113"/>
        <v>44551</v>
      </c>
      <c r="AQ1762" s="26">
        <v>44551</v>
      </c>
      <c r="AR1762" s="24">
        <v>44567</v>
      </c>
      <c r="AS1762" s="24"/>
      <c r="AT1762" s="24">
        <v>44552</v>
      </c>
      <c r="AU1762" s="418">
        <f t="shared" si="110"/>
        <v>12</v>
      </c>
      <c r="AV1762" s="418">
        <f t="shared" si="111"/>
        <v>2021</v>
      </c>
      <c r="AW1762" s="24"/>
      <c r="AX1762" s="132"/>
      <c r="AY1762" s="132" t="s">
        <v>6541</v>
      </c>
      <c r="AZ1762" s="135" t="s">
        <v>50</v>
      </c>
      <c r="BA1762" s="135"/>
      <c r="BB1762" s="24" t="s">
        <v>2956</v>
      </c>
      <c r="BC1762" s="128">
        <v>2</v>
      </c>
      <c r="BD1762" s="24">
        <v>44509</v>
      </c>
      <c r="BE1762" s="132" t="s">
        <v>6745</v>
      </c>
      <c r="BF1762" s="132" t="s">
        <v>6745</v>
      </c>
      <c r="BG1762" s="135" t="s">
        <v>52</v>
      </c>
      <c r="BH1762" s="135"/>
      <c r="BI1762" s="314" t="s">
        <v>3</v>
      </c>
      <c r="BJ1762" s="314" t="s">
        <v>148</v>
      </c>
      <c r="BK1762" s="24"/>
      <c r="BL1762" s="24"/>
      <c r="BM1762" s="24"/>
      <c r="BN1762" s="24"/>
      <c r="BO1762" s="24"/>
      <c r="BP1762" s="24"/>
      <c r="BQ1762" s="24"/>
      <c r="BR1762" s="24"/>
      <c r="BS1762" s="24"/>
      <c r="BT1762" s="24"/>
      <c r="BU1762" s="24"/>
      <c r="BV1762" s="132" t="e">
        <f>IF(#REF!="COMPLETO","OK","PENDIENTE")</f>
        <v>#REF!</v>
      </c>
      <c r="BW1762" s="132"/>
      <c r="BX1762" s="132"/>
      <c r="BY1762" s="132"/>
      <c r="BZ1762" s="132"/>
      <c r="CA1762" s="132"/>
      <c r="CB1762" s="132"/>
      <c r="CC1762" s="365"/>
      <c r="CG1762" s="24" t="s">
        <v>105</v>
      </c>
      <c r="CH1762" s="24"/>
      <c r="CI1762" s="24"/>
      <c r="CJ1762" s="24"/>
    </row>
    <row r="1763" spans="1:88" ht="15" customHeight="1">
      <c r="A1763" s="18">
        <v>2021</v>
      </c>
      <c r="B1763" s="18" t="s">
        <v>6191</v>
      </c>
      <c r="C1763" s="360" t="s">
        <v>484</v>
      </c>
      <c r="D1763" s="150" t="s">
        <v>77</v>
      </c>
      <c r="E1763" s="132"/>
      <c r="F1763" s="132"/>
      <c r="G1763" s="346">
        <v>8000001756</v>
      </c>
      <c r="H1763" s="18" t="s">
        <v>6753</v>
      </c>
      <c r="I1763" s="329"/>
      <c r="J1763" s="346">
        <v>8000001756</v>
      </c>
      <c r="K1763" s="24"/>
      <c r="L1763" s="24">
        <v>0</v>
      </c>
      <c r="M1763" s="24">
        <v>44553</v>
      </c>
      <c r="N1763" s="340" t="s">
        <v>486</v>
      </c>
      <c r="O1763" s="334">
        <v>206573</v>
      </c>
      <c r="P1763" s="25" t="s">
        <v>226</v>
      </c>
      <c r="Q1763" s="127" t="s">
        <v>291</v>
      </c>
      <c r="R1763" s="232" t="s">
        <v>6742</v>
      </c>
      <c r="S1763" s="89">
        <v>44503</v>
      </c>
      <c r="T1763" s="36">
        <v>150</v>
      </c>
      <c r="U1763" s="125" t="s">
        <v>118</v>
      </c>
      <c r="V1763" s="232" t="s">
        <v>6754</v>
      </c>
      <c r="W1763" s="151"/>
      <c r="X1763" s="88">
        <v>44659</v>
      </c>
      <c r="Y1763" s="130" t="s">
        <v>20</v>
      </c>
      <c r="Z1763" s="133" t="s">
        <v>60</v>
      </c>
      <c r="AA1763" s="133"/>
      <c r="AB1763" s="241">
        <v>1100</v>
      </c>
      <c r="AC1763" s="134">
        <v>771.08</v>
      </c>
      <c r="AD1763" s="134">
        <v>125</v>
      </c>
      <c r="AE1763" s="403">
        <f t="shared" si="109"/>
        <v>848188</v>
      </c>
      <c r="AF1763" s="132"/>
      <c r="AG1763" s="130" t="s">
        <v>46</v>
      </c>
      <c r="AH1763" s="130"/>
      <c r="AI1763" s="130" t="s">
        <v>100</v>
      </c>
      <c r="AJ1763" s="130"/>
      <c r="AK1763" s="130"/>
      <c r="AL1763" s="135" t="s">
        <v>6744</v>
      </c>
      <c r="AM1763" s="314"/>
      <c r="AN1763" s="26">
        <f>BL1763</f>
        <v>0</v>
      </c>
      <c r="AO1763" s="26">
        <v>44509</v>
      </c>
      <c r="AP1763" s="26">
        <f>AQ1763</f>
        <v>44551</v>
      </c>
      <c r="AQ1763" s="26">
        <v>44551</v>
      </c>
      <c r="AR1763" s="24">
        <v>44567</v>
      </c>
      <c r="AS1763" s="24"/>
      <c r="AT1763" s="24">
        <v>44553</v>
      </c>
      <c r="AU1763" s="418">
        <f t="shared" si="110"/>
        <v>12</v>
      </c>
      <c r="AV1763" s="418">
        <f t="shared" si="111"/>
        <v>2021</v>
      </c>
      <c r="AW1763" s="24"/>
      <c r="AX1763" s="132"/>
      <c r="AY1763" s="132" t="s">
        <v>6541</v>
      </c>
      <c r="AZ1763" s="135" t="s">
        <v>50</v>
      </c>
      <c r="BA1763" s="135"/>
      <c r="BB1763" s="24" t="s">
        <v>2956</v>
      </c>
      <c r="BC1763" s="128">
        <v>5</v>
      </c>
      <c r="BD1763" s="24">
        <v>44509</v>
      </c>
      <c r="BE1763" s="132" t="s">
        <v>6745</v>
      </c>
      <c r="BF1763" s="132" t="s">
        <v>6745</v>
      </c>
      <c r="BG1763" s="135" t="s">
        <v>52</v>
      </c>
      <c r="BH1763" s="135"/>
      <c r="BI1763" s="314" t="s">
        <v>3</v>
      </c>
      <c r="BJ1763" s="314" t="s">
        <v>148</v>
      </c>
      <c r="BK1763" s="24"/>
      <c r="BL1763" s="24"/>
      <c r="BM1763" s="24"/>
      <c r="BN1763" s="24"/>
      <c r="BO1763" s="24"/>
      <c r="BP1763" s="24"/>
      <c r="BQ1763" s="24"/>
      <c r="BR1763" s="24"/>
      <c r="BS1763" s="24"/>
      <c r="BT1763" s="24"/>
      <c r="BU1763" s="24"/>
      <c r="BV1763" s="132" t="e">
        <f>IF(#REF!="COMPLETO","OK","PENDIENTE")</f>
        <v>#REF!</v>
      </c>
      <c r="BW1763" s="132"/>
      <c r="BX1763" s="132"/>
      <c r="BY1763" s="132"/>
      <c r="BZ1763" s="132"/>
      <c r="CA1763" s="132"/>
      <c r="CB1763" s="132"/>
      <c r="CC1763" s="365"/>
      <c r="CG1763" s="132" t="s">
        <v>105</v>
      </c>
      <c r="CH1763" s="132"/>
      <c r="CI1763" s="24"/>
      <c r="CJ1763" s="24"/>
    </row>
    <row r="1764" spans="1:88" ht="15" customHeight="1">
      <c r="A1764" s="18">
        <v>2021</v>
      </c>
      <c r="B1764" s="18" t="s">
        <v>6191</v>
      </c>
      <c r="C1764" s="360" t="s">
        <v>484</v>
      </c>
      <c r="D1764" s="150" t="s">
        <v>77</v>
      </c>
      <c r="E1764" s="132"/>
      <c r="F1764" s="132"/>
      <c r="G1764" s="346">
        <v>8000001757</v>
      </c>
      <c r="H1764" s="18" t="s">
        <v>6755</v>
      </c>
      <c r="I1764" s="329"/>
      <c r="J1764" s="346">
        <v>8000001757</v>
      </c>
      <c r="K1764" s="24"/>
      <c r="L1764" s="24">
        <v>0</v>
      </c>
      <c r="M1764" s="24">
        <v>44558</v>
      </c>
      <c r="N1764" s="340" t="s">
        <v>486</v>
      </c>
      <c r="O1764" s="334">
        <v>206573</v>
      </c>
      <c r="P1764" s="25" t="s">
        <v>226</v>
      </c>
      <c r="Q1764" s="127" t="s">
        <v>291</v>
      </c>
      <c r="R1764" s="232" t="s">
        <v>6742</v>
      </c>
      <c r="S1764" s="89">
        <v>44503</v>
      </c>
      <c r="T1764" s="36">
        <v>150</v>
      </c>
      <c r="U1764" s="125" t="s">
        <v>118</v>
      </c>
      <c r="V1764" s="232" t="s">
        <v>6756</v>
      </c>
      <c r="W1764" s="151"/>
      <c r="X1764" s="88">
        <v>44659</v>
      </c>
      <c r="Y1764" s="130" t="s">
        <v>20</v>
      </c>
      <c r="Z1764" s="133" t="s">
        <v>60</v>
      </c>
      <c r="AA1764" s="133"/>
      <c r="AB1764" s="241">
        <v>2500</v>
      </c>
      <c r="AC1764" s="134">
        <v>771.08</v>
      </c>
      <c r="AD1764" s="134">
        <v>125</v>
      </c>
      <c r="AE1764" s="403">
        <f t="shared" si="109"/>
        <v>1927700</v>
      </c>
      <c r="AF1764" s="132"/>
      <c r="AG1764" s="130" t="s">
        <v>46</v>
      </c>
      <c r="AH1764" s="130"/>
      <c r="AI1764" s="130" t="s">
        <v>100</v>
      </c>
      <c r="AJ1764" s="130"/>
      <c r="AK1764" s="130"/>
      <c r="AL1764" s="135" t="s">
        <v>6744</v>
      </c>
      <c r="AM1764" s="314"/>
      <c r="AN1764" s="26">
        <f t="shared" si="112"/>
        <v>0</v>
      </c>
      <c r="AO1764" s="26">
        <v>44509</v>
      </c>
      <c r="AP1764" s="26">
        <f t="shared" si="113"/>
        <v>44554</v>
      </c>
      <c r="AQ1764" s="26">
        <v>44554</v>
      </c>
      <c r="AR1764" s="24">
        <v>44573</v>
      </c>
      <c r="AS1764" s="24"/>
      <c r="AT1764" s="24">
        <v>44556</v>
      </c>
      <c r="AU1764" s="418">
        <f t="shared" si="110"/>
        <v>12</v>
      </c>
      <c r="AV1764" s="418">
        <f t="shared" si="111"/>
        <v>2021</v>
      </c>
      <c r="AW1764" s="24"/>
      <c r="AX1764" s="132"/>
      <c r="AY1764" s="132" t="s">
        <v>6541</v>
      </c>
      <c r="AZ1764" s="135" t="s">
        <v>62</v>
      </c>
      <c r="BA1764" s="135"/>
      <c r="BB1764" s="24" t="s">
        <v>3264</v>
      </c>
      <c r="BC1764" s="128">
        <v>6</v>
      </c>
      <c r="BD1764" s="24">
        <v>44509</v>
      </c>
      <c r="BE1764" s="132" t="s">
        <v>6745</v>
      </c>
      <c r="BF1764" s="132" t="s">
        <v>6745</v>
      </c>
      <c r="BG1764" s="135" t="s">
        <v>52</v>
      </c>
      <c r="BH1764" s="135"/>
      <c r="BI1764" s="314" t="s">
        <v>3</v>
      </c>
      <c r="BJ1764" s="314" t="s">
        <v>148</v>
      </c>
      <c r="BK1764" s="24"/>
      <c r="BL1764" s="24"/>
      <c r="BM1764" s="24"/>
      <c r="BN1764" s="24"/>
      <c r="BO1764" s="24"/>
      <c r="BP1764" s="24"/>
      <c r="BQ1764" s="24"/>
      <c r="BR1764" s="24"/>
      <c r="BS1764" s="24"/>
      <c r="BT1764" s="24"/>
      <c r="BU1764" s="24"/>
      <c r="BV1764" s="132" t="e">
        <f>IF(#REF!="COMPLETO","OK","PENDIENTE")</f>
        <v>#REF!</v>
      </c>
      <c r="BW1764" s="132"/>
      <c r="BX1764" s="132"/>
      <c r="BY1764" s="132"/>
      <c r="BZ1764" s="132"/>
      <c r="CA1764" s="132"/>
      <c r="CB1764" s="132"/>
      <c r="CC1764" s="365"/>
      <c r="CG1764" s="132" t="s">
        <v>105</v>
      </c>
      <c r="CH1764" s="132"/>
      <c r="CI1764" s="24"/>
      <c r="CJ1764" s="24"/>
    </row>
    <row r="1765" spans="1:88" ht="15" customHeight="1">
      <c r="A1765" s="18">
        <v>2021</v>
      </c>
      <c r="B1765" s="18" t="e">
        <f>+INDEX(BDD!F:F,MATCH(P1765,BDD!D:D,0))&amp;"-"&amp;INDEX(BDD!E:E,MATCH(P1765,BDD!D:D,0))</f>
        <v>#N/A</v>
      </c>
      <c r="C1765" s="360" t="s">
        <v>484</v>
      </c>
      <c r="D1765" s="150" t="s">
        <v>77</v>
      </c>
      <c r="E1765" s="132"/>
      <c r="F1765" s="132"/>
      <c r="G1765" s="346">
        <v>8000001697</v>
      </c>
      <c r="H1765" s="18" t="s">
        <v>6757</v>
      </c>
      <c r="I1765" s="329"/>
      <c r="J1765" s="346">
        <v>8000001697</v>
      </c>
      <c r="K1765" s="24"/>
      <c r="L1765" s="24">
        <v>44643</v>
      </c>
      <c r="M1765" s="24">
        <v>44648</v>
      </c>
      <c r="N1765" s="340" t="s">
        <v>486</v>
      </c>
      <c r="O1765" s="334">
        <v>206714</v>
      </c>
      <c r="P1765" s="25" t="s">
        <v>6758</v>
      </c>
      <c r="Q1765" s="127" t="s">
        <v>303</v>
      </c>
      <c r="R1765" s="232" t="s">
        <v>6759</v>
      </c>
      <c r="S1765" s="89">
        <v>44501</v>
      </c>
      <c r="T1765" s="36" t="s">
        <v>19</v>
      </c>
      <c r="U1765" s="125"/>
      <c r="V1765" s="147" t="s">
        <v>6760</v>
      </c>
      <c r="W1765" s="129"/>
      <c r="X1765" s="88">
        <v>44628</v>
      </c>
      <c r="Y1765" s="130" t="s">
        <v>20</v>
      </c>
      <c r="Z1765" s="133" t="s">
        <v>60</v>
      </c>
      <c r="AA1765" s="133" t="s">
        <v>944</v>
      </c>
      <c r="AB1765" s="241">
        <v>222.1</v>
      </c>
      <c r="AC1765" s="134">
        <v>881.7</v>
      </c>
      <c r="AD1765" s="134"/>
      <c r="AE1765" s="403">
        <f t="shared" si="109"/>
        <v>195825.57</v>
      </c>
      <c r="AF1765" s="132">
        <v>8</v>
      </c>
      <c r="AG1765" s="130" t="s">
        <v>5</v>
      </c>
      <c r="AH1765" s="130"/>
      <c r="AI1765" s="130" t="s">
        <v>100</v>
      </c>
      <c r="AJ1765" s="130" t="s">
        <v>944</v>
      </c>
      <c r="AK1765" s="130" t="s">
        <v>5634</v>
      </c>
      <c r="AL1765" s="256" t="s">
        <v>6412</v>
      </c>
      <c r="AM1765" s="314"/>
      <c r="AN1765" s="26">
        <f t="shared" si="112"/>
        <v>0</v>
      </c>
      <c r="AO1765" s="26">
        <v>44583</v>
      </c>
      <c r="AP1765" s="26">
        <f t="shared" si="113"/>
        <v>44642</v>
      </c>
      <c r="AQ1765" s="26">
        <v>44642</v>
      </c>
      <c r="AR1765" s="24">
        <f>AQ1765+4</f>
        <v>44646</v>
      </c>
      <c r="AS1765" s="24"/>
      <c r="AT1765" s="24">
        <v>44648</v>
      </c>
      <c r="AU1765" s="418">
        <f t="shared" si="110"/>
        <v>3</v>
      </c>
      <c r="AV1765" s="418">
        <f t="shared" si="111"/>
        <v>2022</v>
      </c>
      <c r="AW1765" s="24"/>
      <c r="AX1765" s="132"/>
      <c r="AY1765" s="132" t="s">
        <v>4072</v>
      </c>
      <c r="AZ1765" s="135" t="s">
        <v>37</v>
      </c>
      <c r="BA1765" s="135"/>
      <c r="BB1765" s="24" t="s">
        <v>3291</v>
      </c>
      <c r="BC1765" s="128" t="s">
        <v>6761</v>
      </c>
      <c r="BD1765" s="24">
        <v>44583</v>
      </c>
      <c r="BE1765" s="24" t="s">
        <v>4079</v>
      </c>
      <c r="BF1765" s="24" t="s">
        <v>6095</v>
      </c>
      <c r="BG1765" s="135" t="s">
        <v>64</v>
      </c>
      <c r="BH1765" s="135"/>
      <c r="BI1765" s="314" t="s">
        <v>124</v>
      </c>
      <c r="BJ1765" s="314" t="s">
        <v>138</v>
      </c>
      <c r="BK1765" s="24"/>
      <c r="BL1765" s="24"/>
      <c r="BM1765" s="24"/>
      <c r="BN1765" s="24"/>
      <c r="BO1765" s="24">
        <f>AQ1765+14</f>
        <v>44656</v>
      </c>
      <c r="BP1765" s="24"/>
      <c r="BQ1765" s="24" t="s">
        <v>6762</v>
      </c>
      <c r="BR1765" s="24">
        <v>44639</v>
      </c>
      <c r="BS1765" s="24" t="s">
        <v>26</v>
      </c>
      <c r="BT1765" s="24" t="s">
        <v>11</v>
      </c>
      <c r="BU1765" s="24"/>
      <c r="BV1765" s="132" t="e">
        <f>IF(#REF!="COMPLETO","OK","PENDIENTE")</f>
        <v>#REF!</v>
      </c>
      <c r="BW1765" s="132"/>
      <c r="BX1765" s="132"/>
      <c r="BY1765" s="132"/>
      <c r="BZ1765" s="132"/>
      <c r="CA1765" s="132"/>
      <c r="CB1765" s="132"/>
      <c r="CC1765" s="365" t="s">
        <v>6763</v>
      </c>
      <c r="CG1765" s="132" t="s">
        <v>105</v>
      </c>
      <c r="CH1765" s="132"/>
      <c r="CI1765" s="24"/>
      <c r="CJ1765" s="24"/>
    </row>
    <row r="1766" spans="1:88" ht="15" customHeight="1">
      <c r="A1766" s="18">
        <v>2021</v>
      </c>
      <c r="B1766" s="18" t="s">
        <v>6191</v>
      </c>
      <c r="C1766" s="360" t="s">
        <v>5398</v>
      </c>
      <c r="D1766" s="150" t="s">
        <v>18</v>
      </c>
      <c r="E1766" s="132" t="s">
        <v>7904</v>
      </c>
      <c r="F1766" s="132"/>
      <c r="G1766" s="346">
        <v>8000001698</v>
      </c>
      <c r="H1766" s="18" t="s">
        <v>6764</v>
      </c>
      <c r="I1766" s="329"/>
      <c r="J1766" s="346">
        <v>8000001698</v>
      </c>
      <c r="K1766" s="24">
        <v>44503</v>
      </c>
      <c r="L1766" s="24"/>
      <c r="M1766" s="24"/>
      <c r="N1766" s="340" t="s">
        <v>3</v>
      </c>
      <c r="O1766" s="334">
        <v>206714</v>
      </c>
      <c r="P1766" s="25" t="s">
        <v>380</v>
      </c>
      <c r="Q1766" s="127" t="s">
        <v>303</v>
      </c>
      <c r="R1766" s="401" t="s">
        <v>6765</v>
      </c>
      <c r="S1766" s="89">
        <v>44501</v>
      </c>
      <c r="T1766" s="36" t="s">
        <v>19</v>
      </c>
      <c r="U1766" s="125"/>
      <c r="V1766" s="147"/>
      <c r="W1766" s="129"/>
      <c r="X1766" s="88"/>
      <c r="Y1766" s="130" t="s">
        <v>3</v>
      </c>
      <c r="Z1766" s="133" t="s">
        <v>60</v>
      </c>
      <c r="AA1766" s="133" t="s">
        <v>1622</v>
      </c>
      <c r="AB1766" s="241">
        <v>214.15</v>
      </c>
      <c r="AC1766" s="134">
        <f>721+85</f>
        <v>806</v>
      </c>
      <c r="AD1766" s="134"/>
      <c r="AE1766" s="403">
        <f t="shared" si="109"/>
        <v>172604.9</v>
      </c>
      <c r="AF1766" s="132">
        <v>8</v>
      </c>
      <c r="AG1766" s="130" t="s">
        <v>5</v>
      </c>
      <c r="AH1766" s="130"/>
      <c r="AI1766" s="130" t="s">
        <v>100</v>
      </c>
      <c r="AJ1766" s="130" t="s">
        <v>944</v>
      </c>
      <c r="AK1766" s="130" t="s">
        <v>5634</v>
      </c>
      <c r="AL1766" s="256" t="s">
        <v>6412</v>
      </c>
      <c r="AM1766" s="314">
        <v>2022</v>
      </c>
      <c r="AN1766" s="381">
        <v>44688</v>
      </c>
      <c r="AO1766" s="402">
        <v>44721</v>
      </c>
      <c r="AP1766" s="26">
        <f>AQ1766</f>
        <v>44759</v>
      </c>
      <c r="AQ1766" s="402">
        <v>44759</v>
      </c>
      <c r="AR1766" s="24">
        <f>AQ1766+3</f>
        <v>44762</v>
      </c>
      <c r="AS1766" s="24"/>
      <c r="AT1766" s="24">
        <v>44764</v>
      </c>
      <c r="AU1766" s="418">
        <f t="shared" si="110"/>
        <v>7</v>
      </c>
      <c r="AV1766" s="418">
        <f t="shared" si="111"/>
        <v>2022</v>
      </c>
      <c r="AW1766" s="24" t="s">
        <v>7888</v>
      </c>
      <c r="AX1766" s="132" t="s">
        <v>6767</v>
      </c>
      <c r="AY1766" s="132" t="s">
        <v>6766</v>
      </c>
      <c r="AZ1766" s="135" t="s">
        <v>62</v>
      </c>
      <c r="BA1766" s="135" t="s">
        <v>3334</v>
      </c>
      <c r="BB1766" s="24" t="s">
        <v>3264</v>
      </c>
      <c r="BC1766" s="128" t="s">
        <v>8102</v>
      </c>
      <c r="BD1766" s="24">
        <v>44711</v>
      </c>
      <c r="BE1766" s="24" t="s">
        <v>5438</v>
      </c>
      <c r="BF1766" s="24" t="s">
        <v>5438</v>
      </c>
      <c r="BG1766" s="135" t="s">
        <v>29</v>
      </c>
      <c r="BH1766" s="135" t="s">
        <v>6219</v>
      </c>
      <c r="BI1766" s="314" t="s">
        <v>3</v>
      </c>
      <c r="BJ1766" s="314" t="s">
        <v>148</v>
      </c>
      <c r="BK1766" s="89"/>
      <c r="BL1766" s="89"/>
      <c r="BM1766" s="89"/>
      <c r="BN1766" s="89"/>
      <c r="BO1766" s="41"/>
      <c r="BP1766" s="41"/>
      <c r="BQ1766" s="41"/>
      <c r="BR1766" s="24"/>
      <c r="BS1766" s="41"/>
      <c r="BT1766" s="41"/>
      <c r="BU1766" s="41"/>
      <c r="BV1766" s="132" t="e">
        <f>IF(#REF!="COMPLETO","OK","PENDIENTE")</f>
        <v>#REF!</v>
      </c>
      <c r="BW1766" s="132" t="s">
        <v>1622</v>
      </c>
      <c r="BX1766" s="132" t="s">
        <v>1622</v>
      </c>
      <c r="BY1766" s="132" t="s">
        <v>1622</v>
      </c>
      <c r="BZ1766" s="132" t="s">
        <v>1622</v>
      </c>
      <c r="CA1766" s="132" t="s">
        <v>1622</v>
      </c>
      <c r="CB1766" s="132" t="s">
        <v>1622</v>
      </c>
      <c r="CC1766" s="365"/>
      <c r="CG1766" s="132"/>
      <c r="CH1766" s="132"/>
      <c r="CI1766" s="24"/>
      <c r="CJ1766" s="24"/>
    </row>
    <row r="1767" spans="1:88" ht="15" customHeight="1">
      <c r="A1767" s="18">
        <v>2021</v>
      </c>
      <c r="B1767" s="18" t="s">
        <v>6191</v>
      </c>
      <c r="C1767" s="360" t="s">
        <v>484</v>
      </c>
      <c r="D1767" s="150" t="s">
        <v>77</v>
      </c>
      <c r="E1767" s="132"/>
      <c r="F1767" s="132"/>
      <c r="G1767" s="346">
        <v>8000001733</v>
      </c>
      <c r="H1767" s="18" t="s">
        <v>6768</v>
      </c>
      <c r="I1767" s="329"/>
      <c r="J1767" s="346">
        <v>8000001733</v>
      </c>
      <c r="K1767" s="24"/>
      <c r="L1767" s="24">
        <v>0</v>
      </c>
      <c r="M1767" s="24">
        <v>44544</v>
      </c>
      <c r="N1767" s="340" t="s">
        <v>486</v>
      </c>
      <c r="O1767" s="334">
        <v>208063</v>
      </c>
      <c r="P1767" s="25" t="s">
        <v>381</v>
      </c>
      <c r="Q1767" s="127" t="s">
        <v>303</v>
      </c>
      <c r="R1767" s="232" t="s">
        <v>6769</v>
      </c>
      <c r="S1767" s="89">
        <v>44502</v>
      </c>
      <c r="T1767" s="36" t="s">
        <v>19</v>
      </c>
      <c r="U1767" s="125"/>
      <c r="V1767" s="147" t="s">
        <v>6770</v>
      </c>
      <c r="W1767" s="129"/>
      <c r="X1767" s="88">
        <v>44532</v>
      </c>
      <c r="Y1767" s="130" t="s">
        <v>20</v>
      </c>
      <c r="Z1767" s="133" t="s">
        <v>60</v>
      </c>
      <c r="AA1767" s="133"/>
      <c r="AB1767" s="241">
        <v>550</v>
      </c>
      <c r="AC1767" s="134">
        <v>820.24</v>
      </c>
      <c r="AD1767" s="275">
        <v>143.749</v>
      </c>
      <c r="AE1767" s="403">
        <f t="shared" si="109"/>
        <v>451132</v>
      </c>
      <c r="AF1767" s="132"/>
      <c r="AG1767" s="130" t="s">
        <v>46</v>
      </c>
      <c r="AH1767" s="130"/>
      <c r="AI1767" s="130" t="s">
        <v>100</v>
      </c>
      <c r="AJ1767" s="130"/>
      <c r="AK1767" s="130"/>
      <c r="AL1767" s="135" t="s">
        <v>6744</v>
      </c>
      <c r="AM1767" s="314"/>
      <c r="AN1767" s="26">
        <f t="shared" si="112"/>
        <v>0</v>
      </c>
      <c r="AO1767" s="26">
        <v>44516</v>
      </c>
      <c r="AP1767" s="26">
        <f t="shared" si="113"/>
        <v>44540</v>
      </c>
      <c r="AQ1767" s="26">
        <v>44540</v>
      </c>
      <c r="AR1767" s="24">
        <f>AQ1767+2</f>
        <v>44542</v>
      </c>
      <c r="AS1767" s="24"/>
      <c r="AT1767" s="24">
        <v>44541</v>
      </c>
      <c r="AU1767" s="418">
        <f t="shared" si="110"/>
        <v>12</v>
      </c>
      <c r="AV1767" s="418">
        <f t="shared" si="111"/>
        <v>2021</v>
      </c>
      <c r="AW1767" s="24"/>
      <c r="AX1767" s="132"/>
      <c r="AY1767" s="132" t="s">
        <v>6771</v>
      </c>
      <c r="AZ1767" s="135" t="s">
        <v>9</v>
      </c>
      <c r="BA1767" s="135"/>
      <c r="BB1767" s="24" t="s">
        <v>2956</v>
      </c>
      <c r="BC1767" s="128" t="s">
        <v>5616</v>
      </c>
      <c r="BD1767" s="24">
        <v>44516</v>
      </c>
      <c r="BE1767" s="24" t="s">
        <v>6745</v>
      </c>
      <c r="BF1767" s="24" t="s">
        <v>6745</v>
      </c>
      <c r="BG1767" s="135" t="s">
        <v>52</v>
      </c>
      <c r="BH1767" s="135"/>
      <c r="BI1767" s="314" t="s">
        <v>3</v>
      </c>
      <c r="BJ1767" s="314" t="s">
        <v>148</v>
      </c>
      <c r="BK1767" s="24"/>
      <c r="BL1767" s="24"/>
      <c r="BM1767" s="24"/>
      <c r="BN1767" s="24"/>
      <c r="BO1767" s="24"/>
      <c r="BP1767" s="24"/>
      <c r="BQ1767" s="24"/>
      <c r="BR1767" s="24"/>
      <c r="BS1767" s="24"/>
      <c r="BT1767" s="24"/>
      <c r="BU1767" s="24"/>
      <c r="BV1767" s="132" t="e">
        <f>IF(#REF!="COMPLETO","OK","PENDIENTE")</f>
        <v>#REF!</v>
      </c>
      <c r="BW1767" s="132"/>
      <c r="BX1767" s="132"/>
      <c r="BY1767" s="132"/>
      <c r="BZ1767" s="132"/>
      <c r="CA1767" s="132"/>
      <c r="CB1767" s="132"/>
      <c r="CC1767" s="365"/>
      <c r="CG1767" s="132" t="s">
        <v>105</v>
      </c>
      <c r="CH1767" s="132"/>
      <c r="CI1767" s="24"/>
      <c r="CJ1767" s="24"/>
    </row>
    <row r="1768" spans="1:88" ht="15" customHeight="1">
      <c r="A1768" s="18">
        <v>2021</v>
      </c>
      <c r="B1768" s="18" t="s">
        <v>6191</v>
      </c>
      <c r="C1768" s="360" t="s">
        <v>484</v>
      </c>
      <c r="D1768" s="150" t="s">
        <v>77</v>
      </c>
      <c r="E1768" s="132"/>
      <c r="F1768" s="132"/>
      <c r="G1768" s="346">
        <v>8000001734</v>
      </c>
      <c r="H1768" s="18" t="s">
        <v>6772</v>
      </c>
      <c r="I1768" s="329"/>
      <c r="J1768" s="346">
        <v>8000001734</v>
      </c>
      <c r="K1768" s="24"/>
      <c r="L1768" s="24">
        <v>0</v>
      </c>
      <c r="M1768" s="24">
        <v>44547</v>
      </c>
      <c r="N1768" s="340" t="s">
        <v>486</v>
      </c>
      <c r="O1768" s="334">
        <v>208063</v>
      </c>
      <c r="P1768" s="25" t="s">
        <v>381</v>
      </c>
      <c r="Q1768" s="127" t="s">
        <v>303</v>
      </c>
      <c r="R1768" s="232" t="s">
        <v>6769</v>
      </c>
      <c r="S1768" s="89">
        <v>44502</v>
      </c>
      <c r="T1768" s="36">
        <v>60</v>
      </c>
      <c r="U1768" s="125" t="s">
        <v>118</v>
      </c>
      <c r="V1768" s="147" t="s">
        <v>6773</v>
      </c>
      <c r="W1768" s="129"/>
      <c r="X1768" s="88">
        <v>44589</v>
      </c>
      <c r="Y1768" s="130" t="s">
        <v>20</v>
      </c>
      <c r="Z1768" s="133" t="s">
        <v>60</v>
      </c>
      <c r="AA1768" s="133"/>
      <c r="AB1768" s="241">
        <v>1050</v>
      </c>
      <c r="AC1768" s="134">
        <v>820.24</v>
      </c>
      <c r="AD1768" s="275">
        <v>143.749</v>
      </c>
      <c r="AE1768" s="403">
        <f t="shared" si="109"/>
        <v>861252</v>
      </c>
      <c r="AF1768" s="132"/>
      <c r="AG1768" s="130" t="s">
        <v>46</v>
      </c>
      <c r="AH1768" s="130"/>
      <c r="AI1768" s="130" t="s">
        <v>100</v>
      </c>
      <c r="AJ1768" s="130"/>
      <c r="AK1768" s="130"/>
      <c r="AL1768" s="135" t="s">
        <v>6744</v>
      </c>
      <c r="AM1768" s="314"/>
      <c r="AN1768" s="26">
        <f>BL1768</f>
        <v>0</v>
      </c>
      <c r="AO1768" s="26">
        <v>44516</v>
      </c>
      <c r="AP1768" s="26">
        <f>AQ1768</f>
        <v>44542</v>
      </c>
      <c r="AQ1768" s="26">
        <f>AQ1767+2</f>
        <v>44542</v>
      </c>
      <c r="AR1768" s="24">
        <f>AQ1768+2</f>
        <v>44544</v>
      </c>
      <c r="AS1768" s="24"/>
      <c r="AT1768" s="24">
        <v>44543</v>
      </c>
      <c r="AU1768" s="418">
        <f t="shared" si="110"/>
        <v>12</v>
      </c>
      <c r="AV1768" s="418">
        <f t="shared" si="111"/>
        <v>2021</v>
      </c>
      <c r="AW1768" s="24"/>
      <c r="AX1768" s="132"/>
      <c r="AY1768" s="132" t="s">
        <v>6771</v>
      </c>
      <c r="AZ1768" s="135" t="s">
        <v>25</v>
      </c>
      <c r="BA1768" s="135"/>
      <c r="BB1768" s="24" t="s">
        <v>3264</v>
      </c>
      <c r="BC1768" s="128" t="s">
        <v>5619</v>
      </c>
      <c r="BD1768" s="24">
        <v>44516</v>
      </c>
      <c r="BE1768" s="24" t="s">
        <v>6745</v>
      </c>
      <c r="BF1768" s="24" t="s">
        <v>6745</v>
      </c>
      <c r="BG1768" s="135" t="s">
        <v>52</v>
      </c>
      <c r="BH1768" s="135"/>
      <c r="BI1768" s="314" t="s">
        <v>3</v>
      </c>
      <c r="BJ1768" s="314" t="s">
        <v>148</v>
      </c>
      <c r="BK1768" s="24"/>
      <c r="BL1768" s="24"/>
      <c r="BM1768" s="24"/>
      <c r="BN1768" s="24"/>
      <c r="BO1768" s="24"/>
      <c r="BP1768" s="24"/>
      <c r="BQ1768" s="24"/>
      <c r="BR1768" s="24"/>
      <c r="BS1768" s="24"/>
      <c r="BT1768" s="24"/>
      <c r="BU1768" s="24"/>
      <c r="BV1768" s="132" t="e">
        <f>IF(#REF!="COMPLETO","OK","PENDIENTE")</f>
        <v>#REF!</v>
      </c>
      <c r="BW1768" s="132"/>
      <c r="BX1768" s="132"/>
      <c r="BY1768" s="132"/>
      <c r="BZ1768" s="132"/>
      <c r="CA1768" s="132"/>
      <c r="CB1768" s="132"/>
      <c r="CC1768" s="365"/>
      <c r="CG1768" s="132" t="s">
        <v>105</v>
      </c>
      <c r="CH1768" s="132"/>
      <c r="CI1768" s="24"/>
      <c r="CJ1768" s="24"/>
    </row>
    <row r="1769" spans="1:88" ht="15" customHeight="1">
      <c r="A1769" s="18">
        <v>2021</v>
      </c>
      <c r="B1769" s="18" t="s">
        <v>6191</v>
      </c>
      <c r="C1769" s="360" t="s">
        <v>484</v>
      </c>
      <c r="D1769" s="150" t="s">
        <v>77</v>
      </c>
      <c r="E1769" s="132"/>
      <c r="F1769" s="132"/>
      <c r="G1769" s="346">
        <v>8000001735</v>
      </c>
      <c r="H1769" s="18" t="s">
        <v>6774</v>
      </c>
      <c r="I1769" s="329"/>
      <c r="J1769" s="346">
        <v>8000001735</v>
      </c>
      <c r="K1769" s="24"/>
      <c r="L1769" s="24">
        <v>0</v>
      </c>
      <c r="M1769" s="24">
        <v>44553</v>
      </c>
      <c r="N1769" s="340" t="s">
        <v>486</v>
      </c>
      <c r="O1769" s="334">
        <v>208063</v>
      </c>
      <c r="P1769" s="25" t="s">
        <v>381</v>
      </c>
      <c r="Q1769" s="127" t="s">
        <v>303</v>
      </c>
      <c r="R1769" s="232" t="s">
        <v>6775</v>
      </c>
      <c r="S1769" s="89">
        <v>44502</v>
      </c>
      <c r="T1769" s="36" t="s">
        <v>19</v>
      </c>
      <c r="U1769" s="125"/>
      <c r="V1769" s="147" t="s">
        <v>6776</v>
      </c>
      <c r="W1769" s="129"/>
      <c r="X1769" s="88">
        <v>44532</v>
      </c>
      <c r="Y1769" s="130" t="s">
        <v>20</v>
      </c>
      <c r="Z1769" s="133" t="s">
        <v>60</v>
      </c>
      <c r="AA1769" s="133"/>
      <c r="AB1769" s="241">
        <v>1200</v>
      </c>
      <c r="AC1769" s="134">
        <v>820.24</v>
      </c>
      <c r="AD1769" s="275">
        <v>143.749</v>
      </c>
      <c r="AE1769" s="403">
        <f t="shared" si="109"/>
        <v>984288</v>
      </c>
      <c r="AF1769" s="132"/>
      <c r="AG1769" s="130" t="s">
        <v>46</v>
      </c>
      <c r="AH1769" s="130"/>
      <c r="AI1769" s="130" t="s">
        <v>100</v>
      </c>
      <c r="AJ1769" s="130"/>
      <c r="AK1769" s="130"/>
      <c r="AL1769" s="135" t="s">
        <v>6744</v>
      </c>
      <c r="AM1769" s="314"/>
      <c r="AN1769" s="26">
        <f>BL1769</f>
        <v>0</v>
      </c>
      <c r="AO1769" s="26">
        <v>44516</v>
      </c>
      <c r="AP1769" s="26">
        <f>AQ1769</f>
        <v>44545</v>
      </c>
      <c r="AQ1769" s="26">
        <v>44545</v>
      </c>
      <c r="AR1769" s="24">
        <f>AQ1769+3</f>
        <v>44548</v>
      </c>
      <c r="AS1769" s="24"/>
      <c r="AT1769" s="24">
        <v>44549</v>
      </c>
      <c r="AU1769" s="418">
        <f t="shared" si="110"/>
        <v>12</v>
      </c>
      <c r="AV1769" s="418">
        <f t="shared" si="111"/>
        <v>2021</v>
      </c>
      <c r="AW1769" s="24"/>
      <c r="AX1769" s="132"/>
      <c r="AY1769" s="132" t="s">
        <v>6771</v>
      </c>
      <c r="AZ1769" s="135" t="s">
        <v>37</v>
      </c>
      <c r="BA1769" s="135"/>
      <c r="BB1769" s="24" t="s">
        <v>3291</v>
      </c>
      <c r="BC1769" s="128" t="s">
        <v>5622</v>
      </c>
      <c r="BD1769" s="24">
        <v>44516</v>
      </c>
      <c r="BE1769" s="24" t="s">
        <v>6745</v>
      </c>
      <c r="BF1769" s="24" t="s">
        <v>6745</v>
      </c>
      <c r="BG1769" s="135" t="s">
        <v>52</v>
      </c>
      <c r="BH1769" s="135"/>
      <c r="BI1769" s="314" t="s">
        <v>3</v>
      </c>
      <c r="BJ1769" s="314" t="s">
        <v>148</v>
      </c>
      <c r="BK1769" s="24"/>
      <c r="BL1769" s="24"/>
      <c r="BM1769" s="24"/>
      <c r="BN1769" s="24"/>
      <c r="BO1769" s="24"/>
      <c r="BP1769" s="24"/>
      <c r="BQ1769" s="24"/>
      <c r="BR1769" s="24"/>
      <c r="BS1769" s="24"/>
      <c r="BT1769" s="24"/>
      <c r="BU1769" s="24"/>
      <c r="BV1769" s="132" t="e">
        <f>IF(#REF!="COMPLETO","OK","PENDIENTE")</f>
        <v>#REF!</v>
      </c>
      <c r="BW1769" s="132"/>
      <c r="BX1769" s="132"/>
      <c r="BY1769" s="132"/>
      <c r="BZ1769" s="132"/>
      <c r="CA1769" s="132"/>
      <c r="CB1769" s="132"/>
      <c r="CC1769" s="365"/>
      <c r="CG1769" s="132" t="s">
        <v>105</v>
      </c>
      <c r="CH1769" s="132"/>
      <c r="CI1769" s="24"/>
      <c r="CJ1769" s="24"/>
    </row>
    <row r="1770" spans="1:88" ht="15" customHeight="1">
      <c r="A1770" s="18">
        <v>2021</v>
      </c>
      <c r="B1770" s="18" t="s">
        <v>6191</v>
      </c>
      <c r="C1770" s="360" t="s">
        <v>484</v>
      </c>
      <c r="D1770" s="150" t="s">
        <v>77</v>
      </c>
      <c r="E1770" s="132"/>
      <c r="F1770" s="132"/>
      <c r="G1770" s="346">
        <v>8000001736</v>
      </c>
      <c r="H1770" s="18" t="s">
        <v>6777</v>
      </c>
      <c r="I1770" s="329"/>
      <c r="J1770" s="346">
        <v>8000001736</v>
      </c>
      <c r="K1770" s="24"/>
      <c r="L1770" s="24">
        <v>0</v>
      </c>
      <c r="M1770" s="24">
        <v>44553</v>
      </c>
      <c r="N1770" s="340" t="s">
        <v>486</v>
      </c>
      <c r="O1770" s="334">
        <v>208063</v>
      </c>
      <c r="P1770" s="25" t="s">
        <v>381</v>
      </c>
      <c r="Q1770" s="127" t="s">
        <v>303</v>
      </c>
      <c r="R1770" s="232" t="s">
        <v>6769</v>
      </c>
      <c r="S1770" s="89">
        <v>44502</v>
      </c>
      <c r="T1770" s="36" t="s">
        <v>19</v>
      </c>
      <c r="U1770" s="125"/>
      <c r="V1770" s="147" t="s">
        <v>6778</v>
      </c>
      <c r="W1770" s="129"/>
      <c r="X1770" s="88">
        <v>44532</v>
      </c>
      <c r="Y1770" s="130" t="s">
        <v>20</v>
      </c>
      <c r="Z1770" s="133" t="s">
        <v>60</v>
      </c>
      <c r="AA1770" s="133"/>
      <c r="AB1770" s="241">
        <v>1100</v>
      </c>
      <c r="AC1770" s="134">
        <v>820.24</v>
      </c>
      <c r="AD1770" s="275">
        <v>143.749</v>
      </c>
      <c r="AE1770" s="403">
        <f t="shared" si="109"/>
        <v>902264</v>
      </c>
      <c r="AF1770" s="132"/>
      <c r="AG1770" s="130" t="s">
        <v>46</v>
      </c>
      <c r="AH1770" s="130"/>
      <c r="AI1770" s="130" t="s">
        <v>100</v>
      </c>
      <c r="AJ1770" s="130"/>
      <c r="AK1770" s="130"/>
      <c r="AL1770" s="135" t="s">
        <v>6744</v>
      </c>
      <c r="AM1770" s="314"/>
      <c r="AN1770" s="26">
        <f>BL1770</f>
        <v>0</v>
      </c>
      <c r="AO1770" s="26">
        <v>44516</v>
      </c>
      <c r="AP1770" s="26">
        <f>AQ1770</f>
        <v>44551</v>
      </c>
      <c r="AQ1770" s="26">
        <v>44551</v>
      </c>
      <c r="AR1770" s="24">
        <f>AQ1770+1</f>
        <v>44552</v>
      </c>
      <c r="AS1770" s="24"/>
      <c r="AT1770" s="24">
        <v>44553</v>
      </c>
      <c r="AU1770" s="418">
        <f t="shared" si="110"/>
        <v>12</v>
      </c>
      <c r="AV1770" s="418">
        <f t="shared" si="111"/>
        <v>2021</v>
      </c>
      <c r="AW1770" s="24"/>
      <c r="AX1770" s="132"/>
      <c r="AY1770" s="132" t="s">
        <v>6771</v>
      </c>
      <c r="AZ1770" s="135" t="s">
        <v>50</v>
      </c>
      <c r="BA1770" s="135"/>
      <c r="BB1770" s="24" t="s">
        <v>2956</v>
      </c>
      <c r="BC1770" s="128" t="s">
        <v>5626</v>
      </c>
      <c r="BD1770" s="24">
        <v>44516</v>
      </c>
      <c r="BE1770" s="24" t="s">
        <v>6745</v>
      </c>
      <c r="BF1770" s="24" t="s">
        <v>6745</v>
      </c>
      <c r="BG1770" s="135" t="s">
        <v>52</v>
      </c>
      <c r="BH1770" s="135"/>
      <c r="BI1770" s="314" t="s">
        <v>3</v>
      </c>
      <c r="BJ1770" s="314" t="s">
        <v>148</v>
      </c>
      <c r="BK1770" s="24"/>
      <c r="BL1770" s="24"/>
      <c r="BM1770" s="24"/>
      <c r="BN1770" s="24"/>
      <c r="BO1770" s="24"/>
      <c r="BP1770" s="24"/>
      <c r="BQ1770" s="24"/>
      <c r="BR1770" s="24"/>
      <c r="BS1770" s="24"/>
      <c r="BT1770" s="24"/>
      <c r="BU1770" s="24"/>
      <c r="BV1770" s="132" t="e">
        <f>IF(#REF!="COMPLETO","OK","PENDIENTE")</f>
        <v>#REF!</v>
      </c>
      <c r="BW1770" s="132"/>
      <c r="BX1770" s="132"/>
      <c r="BY1770" s="132"/>
      <c r="BZ1770" s="132"/>
      <c r="CA1770" s="132"/>
      <c r="CB1770" s="132"/>
      <c r="CC1770" s="365"/>
      <c r="CG1770" s="132" t="s">
        <v>105</v>
      </c>
      <c r="CH1770" s="132"/>
      <c r="CI1770" s="24"/>
      <c r="CJ1770" s="24"/>
    </row>
    <row r="1771" spans="1:88" ht="15" customHeight="1">
      <c r="A1771" s="18">
        <v>2021</v>
      </c>
      <c r="B1771" s="18" t="s">
        <v>6191</v>
      </c>
      <c r="C1771" s="360" t="s">
        <v>484</v>
      </c>
      <c r="D1771" s="150" t="s">
        <v>77</v>
      </c>
      <c r="E1771" s="132"/>
      <c r="F1771" s="132"/>
      <c r="G1771" s="346">
        <v>8000001737</v>
      </c>
      <c r="H1771" s="18" t="s">
        <v>6779</v>
      </c>
      <c r="I1771" s="329"/>
      <c r="J1771" s="346">
        <v>8000001737</v>
      </c>
      <c r="K1771" s="24"/>
      <c r="L1771" s="24">
        <v>0</v>
      </c>
      <c r="M1771" s="24">
        <v>44558</v>
      </c>
      <c r="N1771" s="340" t="s">
        <v>486</v>
      </c>
      <c r="O1771" s="334">
        <v>208063</v>
      </c>
      <c r="P1771" s="25" t="s">
        <v>381</v>
      </c>
      <c r="Q1771" s="127" t="s">
        <v>303</v>
      </c>
      <c r="R1771" s="232" t="s">
        <v>6769</v>
      </c>
      <c r="S1771" s="89">
        <v>44502</v>
      </c>
      <c r="T1771" s="36" t="s">
        <v>19</v>
      </c>
      <c r="U1771" s="125"/>
      <c r="V1771" s="147" t="s">
        <v>6780</v>
      </c>
      <c r="W1771" s="129"/>
      <c r="X1771" s="88">
        <v>44532</v>
      </c>
      <c r="Y1771" s="130" t="s">
        <v>20</v>
      </c>
      <c r="Z1771" s="133" t="s">
        <v>60</v>
      </c>
      <c r="AA1771" s="133"/>
      <c r="AB1771" s="241">
        <v>601</v>
      </c>
      <c r="AC1771" s="134">
        <v>820.24</v>
      </c>
      <c r="AD1771" s="275">
        <v>143.749</v>
      </c>
      <c r="AE1771" s="403">
        <f t="shared" si="109"/>
        <v>492964.24</v>
      </c>
      <c r="AF1771" s="132"/>
      <c r="AG1771" s="130" t="s">
        <v>46</v>
      </c>
      <c r="AH1771" s="130"/>
      <c r="AI1771" s="130" t="s">
        <v>100</v>
      </c>
      <c r="AJ1771" s="130"/>
      <c r="AK1771" s="130"/>
      <c r="AL1771" s="135" t="s">
        <v>6744</v>
      </c>
      <c r="AM1771" s="314"/>
      <c r="AN1771" s="26">
        <f>BL1771</f>
        <v>0</v>
      </c>
      <c r="AO1771" s="26">
        <v>44516</v>
      </c>
      <c r="AP1771" s="26">
        <f>AQ1771</f>
        <v>44554</v>
      </c>
      <c r="AQ1771" s="26">
        <v>44554</v>
      </c>
      <c r="AR1771" s="24">
        <f>AQ1771+1</f>
        <v>44555</v>
      </c>
      <c r="AS1771" s="24"/>
      <c r="AT1771" s="24">
        <v>44555</v>
      </c>
      <c r="AU1771" s="418">
        <f t="shared" si="110"/>
        <v>12</v>
      </c>
      <c r="AV1771" s="418">
        <f t="shared" si="111"/>
        <v>2021</v>
      </c>
      <c r="AW1771" s="24"/>
      <c r="AX1771" s="132"/>
      <c r="AY1771" s="132" t="s">
        <v>6771</v>
      </c>
      <c r="AZ1771" s="135" t="s">
        <v>62</v>
      </c>
      <c r="BA1771" s="135"/>
      <c r="BB1771" s="24" t="s">
        <v>3264</v>
      </c>
      <c r="BC1771" s="128" t="s">
        <v>5630</v>
      </c>
      <c r="BD1771" s="24">
        <v>44516</v>
      </c>
      <c r="BE1771" s="24" t="s">
        <v>6745</v>
      </c>
      <c r="BF1771" s="24" t="s">
        <v>6745</v>
      </c>
      <c r="BG1771" s="135" t="s">
        <v>52</v>
      </c>
      <c r="BH1771" s="135"/>
      <c r="BI1771" s="314" t="s">
        <v>3</v>
      </c>
      <c r="BJ1771" s="314" t="s">
        <v>148</v>
      </c>
      <c r="BK1771" s="24"/>
      <c r="BL1771" s="24"/>
      <c r="BM1771" s="24"/>
      <c r="BN1771" s="24"/>
      <c r="BO1771" s="24"/>
      <c r="BP1771" s="24"/>
      <c r="BQ1771" s="24"/>
      <c r="BR1771" s="24"/>
      <c r="BS1771" s="24"/>
      <c r="BT1771" s="24"/>
      <c r="BU1771" s="24"/>
      <c r="BV1771" s="132" t="e">
        <f>IF(#REF!="COMPLETO","OK","PENDIENTE")</f>
        <v>#REF!</v>
      </c>
      <c r="BW1771" s="132"/>
      <c r="BX1771" s="132"/>
      <c r="BY1771" s="132"/>
      <c r="BZ1771" s="132"/>
      <c r="CA1771" s="132"/>
      <c r="CB1771" s="132"/>
      <c r="CC1771" s="365"/>
      <c r="CG1771" s="132" t="s">
        <v>105</v>
      </c>
      <c r="CH1771" s="132"/>
      <c r="CI1771" s="24"/>
      <c r="CJ1771" s="24"/>
    </row>
    <row r="1772" spans="1:88" ht="15" customHeight="1">
      <c r="A1772" s="18">
        <v>2021</v>
      </c>
      <c r="B1772" s="18" t="s">
        <v>6191</v>
      </c>
      <c r="C1772" s="360" t="s">
        <v>484</v>
      </c>
      <c r="D1772" s="150" t="s">
        <v>77</v>
      </c>
      <c r="E1772" s="132"/>
      <c r="F1772" s="132"/>
      <c r="G1772" s="346">
        <v>8000001738</v>
      </c>
      <c r="H1772" s="18" t="s">
        <v>6781</v>
      </c>
      <c r="I1772" s="329"/>
      <c r="J1772" s="346">
        <v>8000001738</v>
      </c>
      <c r="K1772" s="24"/>
      <c r="L1772" s="24">
        <v>0</v>
      </c>
      <c r="M1772" s="24">
        <v>44544</v>
      </c>
      <c r="N1772" s="340" t="s">
        <v>486</v>
      </c>
      <c r="O1772" s="334">
        <v>208061</v>
      </c>
      <c r="P1772" s="25" t="s">
        <v>379</v>
      </c>
      <c r="Q1772" s="127" t="s">
        <v>303</v>
      </c>
      <c r="R1772" s="232" t="s">
        <v>6782</v>
      </c>
      <c r="S1772" s="89">
        <v>44502</v>
      </c>
      <c r="T1772" s="36" t="s">
        <v>19</v>
      </c>
      <c r="U1772" s="125"/>
      <c r="V1772" s="147" t="s">
        <v>6783</v>
      </c>
      <c r="W1772" s="129"/>
      <c r="X1772" s="88">
        <v>44532</v>
      </c>
      <c r="Y1772" s="130" t="s">
        <v>20</v>
      </c>
      <c r="Z1772" s="133" t="s">
        <v>60</v>
      </c>
      <c r="AA1772" s="133"/>
      <c r="AB1772" s="241">
        <v>1950</v>
      </c>
      <c r="AC1772" s="134">
        <v>822.65</v>
      </c>
      <c r="AD1772" s="275">
        <v>143.749</v>
      </c>
      <c r="AE1772" s="403">
        <f t="shared" si="109"/>
        <v>1604167.5</v>
      </c>
      <c r="AF1772" s="132"/>
      <c r="AG1772" s="130" t="s">
        <v>46</v>
      </c>
      <c r="AH1772" s="130"/>
      <c r="AI1772" s="130" t="s">
        <v>100</v>
      </c>
      <c r="AJ1772" s="130"/>
      <c r="AK1772" s="130"/>
      <c r="AL1772" s="135" t="s">
        <v>6744</v>
      </c>
      <c r="AM1772" s="314"/>
      <c r="AN1772" s="26">
        <f t="shared" si="112"/>
        <v>0</v>
      </c>
      <c r="AO1772" s="26">
        <v>44516</v>
      </c>
      <c r="AP1772" s="26">
        <f t="shared" si="113"/>
        <v>44540</v>
      </c>
      <c r="AQ1772" s="26">
        <v>44540</v>
      </c>
      <c r="AR1772" s="24">
        <f>AQ1772+2</f>
        <v>44542</v>
      </c>
      <c r="AS1772" s="24"/>
      <c r="AT1772" s="24">
        <v>44541</v>
      </c>
      <c r="AU1772" s="418">
        <f t="shared" si="110"/>
        <v>12</v>
      </c>
      <c r="AV1772" s="418">
        <f t="shared" si="111"/>
        <v>2021</v>
      </c>
      <c r="AW1772" s="24"/>
      <c r="AX1772" s="132"/>
      <c r="AY1772" s="132" t="s">
        <v>6771</v>
      </c>
      <c r="AZ1772" s="135" t="s">
        <v>9</v>
      </c>
      <c r="BA1772" s="135"/>
      <c r="BB1772" s="24" t="s">
        <v>3264</v>
      </c>
      <c r="BC1772" s="128" t="s">
        <v>5604</v>
      </c>
      <c r="BD1772" s="24">
        <v>44516</v>
      </c>
      <c r="BE1772" s="24" t="s">
        <v>6745</v>
      </c>
      <c r="BF1772" s="24" t="s">
        <v>6745</v>
      </c>
      <c r="BG1772" s="135" t="s">
        <v>52</v>
      </c>
      <c r="BH1772" s="135"/>
      <c r="BI1772" s="314" t="s">
        <v>3</v>
      </c>
      <c r="BJ1772" s="314" t="s">
        <v>148</v>
      </c>
      <c r="BK1772" s="24"/>
      <c r="BL1772" s="24"/>
      <c r="BM1772" s="24"/>
      <c r="BN1772" s="24"/>
      <c r="BO1772" s="24"/>
      <c r="BP1772" s="24"/>
      <c r="BQ1772" s="24"/>
      <c r="BR1772" s="24"/>
      <c r="BS1772" s="24"/>
      <c r="BT1772" s="24"/>
      <c r="BU1772" s="24"/>
      <c r="BV1772" s="132" t="e">
        <f>IF(#REF!="COMPLETO","OK","PENDIENTE")</f>
        <v>#REF!</v>
      </c>
      <c r="BW1772" s="132"/>
      <c r="BX1772" s="132"/>
      <c r="BY1772" s="132"/>
      <c r="BZ1772" s="132"/>
      <c r="CA1772" s="132"/>
      <c r="CB1772" s="132"/>
      <c r="CC1772" s="365"/>
      <c r="CG1772" s="132" t="s">
        <v>105</v>
      </c>
      <c r="CH1772" s="132"/>
      <c r="CI1772" s="24"/>
      <c r="CJ1772" s="24"/>
    </row>
    <row r="1773" spans="1:88" ht="15" customHeight="1">
      <c r="A1773" s="18">
        <v>2021</v>
      </c>
      <c r="B1773" s="18" t="s">
        <v>6191</v>
      </c>
      <c r="C1773" s="360" t="s">
        <v>484</v>
      </c>
      <c r="D1773" s="150" t="s">
        <v>77</v>
      </c>
      <c r="E1773" s="132"/>
      <c r="F1773" s="132"/>
      <c r="G1773" s="346">
        <v>8000001739</v>
      </c>
      <c r="H1773" s="18" t="s">
        <v>6784</v>
      </c>
      <c r="I1773" s="329"/>
      <c r="J1773" s="346">
        <v>8000001739</v>
      </c>
      <c r="K1773" s="24"/>
      <c r="L1773" s="24">
        <v>0</v>
      </c>
      <c r="M1773" s="24">
        <v>44547</v>
      </c>
      <c r="N1773" s="340" t="s">
        <v>486</v>
      </c>
      <c r="O1773" s="334">
        <v>208061</v>
      </c>
      <c r="P1773" s="25" t="s">
        <v>379</v>
      </c>
      <c r="Q1773" s="127" t="s">
        <v>303</v>
      </c>
      <c r="R1773" s="232" t="s">
        <v>6782</v>
      </c>
      <c r="S1773" s="89">
        <v>44502</v>
      </c>
      <c r="T1773" s="36" t="s">
        <v>19</v>
      </c>
      <c r="U1773" s="125"/>
      <c r="V1773" s="147" t="s">
        <v>6785</v>
      </c>
      <c r="W1773" s="129"/>
      <c r="X1773" s="88">
        <v>44532</v>
      </c>
      <c r="Y1773" s="130" t="s">
        <v>20</v>
      </c>
      <c r="Z1773" s="133" t="s">
        <v>60</v>
      </c>
      <c r="AA1773" s="133"/>
      <c r="AB1773" s="241">
        <v>650</v>
      </c>
      <c r="AC1773" s="134">
        <v>822.65</v>
      </c>
      <c r="AD1773" s="275">
        <v>143.749</v>
      </c>
      <c r="AE1773" s="403">
        <f t="shared" si="109"/>
        <v>534722.5</v>
      </c>
      <c r="AF1773" s="132"/>
      <c r="AG1773" s="130" t="s">
        <v>46</v>
      </c>
      <c r="AH1773" s="130"/>
      <c r="AI1773" s="130" t="s">
        <v>100</v>
      </c>
      <c r="AJ1773" s="130"/>
      <c r="AK1773" s="130"/>
      <c r="AL1773" s="135" t="s">
        <v>6744</v>
      </c>
      <c r="AM1773" s="314"/>
      <c r="AN1773" s="26">
        <f>BL1773</f>
        <v>0</v>
      </c>
      <c r="AO1773" s="26">
        <v>44516</v>
      </c>
      <c r="AP1773" s="26">
        <f>AQ1773</f>
        <v>44542</v>
      </c>
      <c r="AQ1773" s="26">
        <f>AQ1767+2</f>
        <v>44542</v>
      </c>
      <c r="AR1773" s="24">
        <f>AQ1773+2</f>
        <v>44544</v>
      </c>
      <c r="AS1773" s="24"/>
      <c r="AT1773" s="24">
        <v>44543</v>
      </c>
      <c r="AU1773" s="418">
        <f t="shared" si="110"/>
        <v>12</v>
      </c>
      <c r="AV1773" s="418">
        <f t="shared" si="111"/>
        <v>2021</v>
      </c>
      <c r="AW1773" s="24"/>
      <c r="AX1773" s="132"/>
      <c r="AY1773" s="132" t="s">
        <v>6771</v>
      </c>
      <c r="AZ1773" s="135" t="s">
        <v>25</v>
      </c>
      <c r="BA1773" s="135"/>
      <c r="BB1773" s="24" t="s">
        <v>3264</v>
      </c>
      <c r="BC1773" s="128" t="s">
        <v>6786</v>
      </c>
      <c r="BD1773" s="24">
        <v>44516</v>
      </c>
      <c r="BE1773" s="24" t="s">
        <v>6745</v>
      </c>
      <c r="BF1773" s="24" t="s">
        <v>6745</v>
      </c>
      <c r="BG1773" s="135" t="s">
        <v>52</v>
      </c>
      <c r="BH1773" s="135"/>
      <c r="BI1773" s="314" t="s">
        <v>3</v>
      </c>
      <c r="BJ1773" s="314" t="s">
        <v>148</v>
      </c>
      <c r="BK1773" s="24"/>
      <c r="BL1773" s="24"/>
      <c r="BM1773" s="24"/>
      <c r="BN1773" s="24"/>
      <c r="BO1773" s="24"/>
      <c r="BP1773" s="24"/>
      <c r="BQ1773" s="24"/>
      <c r="BR1773" s="24"/>
      <c r="BS1773" s="24"/>
      <c r="BT1773" s="24"/>
      <c r="BU1773" s="24"/>
      <c r="BV1773" s="132" t="e">
        <f>IF(#REF!="COMPLETO","OK","PENDIENTE")</f>
        <v>#REF!</v>
      </c>
      <c r="BW1773" s="132"/>
      <c r="BX1773" s="132"/>
      <c r="BY1773" s="132"/>
      <c r="BZ1773" s="132"/>
      <c r="CA1773" s="132"/>
      <c r="CB1773" s="132"/>
      <c r="CC1773" s="365"/>
      <c r="CG1773" s="132" t="s">
        <v>105</v>
      </c>
      <c r="CH1773" s="132"/>
      <c r="CI1773" s="24"/>
      <c r="CJ1773" s="24"/>
    </row>
    <row r="1774" spans="1:88" ht="15" customHeight="1">
      <c r="A1774" s="18">
        <v>2021</v>
      </c>
      <c r="B1774" s="18" t="s">
        <v>6191</v>
      </c>
      <c r="C1774" s="360" t="s">
        <v>484</v>
      </c>
      <c r="D1774" s="150" t="s">
        <v>77</v>
      </c>
      <c r="E1774" s="132"/>
      <c r="F1774" s="132"/>
      <c r="G1774" s="346">
        <v>8000001740</v>
      </c>
      <c r="H1774" s="18" t="s">
        <v>6787</v>
      </c>
      <c r="I1774" s="329"/>
      <c r="J1774" s="346">
        <v>8000001740</v>
      </c>
      <c r="K1774" s="24"/>
      <c r="L1774" s="24">
        <v>0</v>
      </c>
      <c r="M1774" s="24">
        <v>44552</v>
      </c>
      <c r="N1774" s="340" t="s">
        <v>486</v>
      </c>
      <c r="O1774" s="334">
        <v>208061</v>
      </c>
      <c r="P1774" s="25" t="s">
        <v>379</v>
      </c>
      <c r="Q1774" s="127" t="s">
        <v>303</v>
      </c>
      <c r="R1774" s="232" t="s">
        <v>6782</v>
      </c>
      <c r="S1774" s="89">
        <v>44502</v>
      </c>
      <c r="T1774" s="36" t="s">
        <v>19</v>
      </c>
      <c r="U1774" s="125"/>
      <c r="V1774" s="147" t="s">
        <v>6788</v>
      </c>
      <c r="W1774" s="129"/>
      <c r="X1774" s="88">
        <v>44532</v>
      </c>
      <c r="Y1774" s="130" t="s">
        <v>20</v>
      </c>
      <c r="Z1774" s="133" t="s">
        <v>60</v>
      </c>
      <c r="AA1774" s="133"/>
      <c r="AB1774" s="241">
        <v>1900</v>
      </c>
      <c r="AC1774" s="134">
        <v>822.65</v>
      </c>
      <c r="AD1774" s="275">
        <v>143.749</v>
      </c>
      <c r="AE1774" s="403">
        <f t="shared" si="109"/>
        <v>1563035</v>
      </c>
      <c r="AF1774" s="132"/>
      <c r="AG1774" s="130" t="s">
        <v>46</v>
      </c>
      <c r="AH1774" s="130"/>
      <c r="AI1774" s="130" t="s">
        <v>100</v>
      </c>
      <c r="AJ1774" s="130"/>
      <c r="AK1774" s="130"/>
      <c r="AL1774" s="135" t="s">
        <v>6744</v>
      </c>
      <c r="AM1774" s="314"/>
      <c r="AN1774" s="26">
        <f>BL1774</f>
        <v>0</v>
      </c>
      <c r="AO1774" s="26">
        <v>44516</v>
      </c>
      <c r="AP1774" s="26">
        <f>AQ1774</f>
        <v>44545</v>
      </c>
      <c r="AQ1774" s="26">
        <v>44545</v>
      </c>
      <c r="AR1774" s="24">
        <f>AQ1774+3</f>
        <v>44548</v>
      </c>
      <c r="AS1774" s="24"/>
      <c r="AT1774" s="24">
        <v>44550</v>
      </c>
      <c r="AU1774" s="418">
        <f t="shared" si="110"/>
        <v>12</v>
      </c>
      <c r="AV1774" s="418">
        <f t="shared" si="111"/>
        <v>2021</v>
      </c>
      <c r="AW1774" s="24"/>
      <c r="AX1774" s="132"/>
      <c r="AY1774" s="132" t="s">
        <v>6771</v>
      </c>
      <c r="AZ1774" s="135" t="s">
        <v>37</v>
      </c>
      <c r="BA1774" s="135"/>
      <c r="BB1774" s="24" t="s">
        <v>3291</v>
      </c>
      <c r="BC1774" s="128" t="s">
        <v>5607</v>
      </c>
      <c r="BD1774" s="24">
        <v>44516</v>
      </c>
      <c r="BE1774" s="24" t="s">
        <v>6745</v>
      </c>
      <c r="BF1774" s="24" t="s">
        <v>6745</v>
      </c>
      <c r="BG1774" s="135" t="s">
        <v>52</v>
      </c>
      <c r="BH1774" s="135"/>
      <c r="BI1774" s="314" t="s">
        <v>3</v>
      </c>
      <c r="BJ1774" s="314" t="s">
        <v>148</v>
      </c>
      <c r="BK1774" s="24"/>
      <c r="BL1774" s="24"/>
      <c r="BM1774" s="24"/>
      <c r="BN1774" s="24"/>
      <c r="BO1774" s="24"/>
      <c r="BP1774" s="24"/>
      <c r="BQ1774" s="24"/>
      <c r="BR1774" s="24"/>
      <c r="BS1774" s="24"/>
      <c r="BT1774" s="24"/>
      <c r="BU1774" s="24"/>
      <c r="BV1774" s="132" t="e">
        <f>IF(#REF!="COMPLETO","OK","PENDIENTE")</f>
        <v>#REF!</v>
      </c>
      <c r="BW1774" s="132"/>
      <c r="BX1774" s="132"/>
      <c r="BY1774" s="132"/>
      <c r="BZ1774" s="132"/>
      <c r="CA1774" s="132"/>
      <c r="CB1774" s="132"/>
      <c r="CC1774" s="365"/>
      <c r="CG1774" s="132" t="s">
        <v>105</v>
      </c>
      <c r="CH1774" s="132"/>
      <c r="CI1774" s="24"/>
      <c r="CJ1774" s="24"/>
    </row>
    <row r="1775" spans="1:88" ht="15" customHeight="1">
      <c r="A1775" s="18">
        <v>2021</v>
      </c>
      <c r="B1775" s="18" t="s">
        <v>6191</v>
      </c>
      <c r="C1775" s="360" t="s">
        <v>484</v>
      </c>
      <c r="D1775" s="150" t="s">
        <v>77</v>
      </c>
      <c r="E1775" s="132"/>
      <c r="F1775" s="132"/>
      <c r="G1775" s="346">
        <v>8000001741</v>
      </c>
      <c r="H1775" s="18" t="s">
        <v>6789</v>
      </c>
      <c r="I1775" s="329"/>
      <c r="J1775" s="346">
        <v>8000001741</v>
      </c>
      <c r="K1775" s="24"/>
      <c r="L1775" s="24">
        <v>0</v>
      </c>
      <c r="M1775" s="24">
        <v>44558</v>
      </c>
      <c r="N1775" s="340" t="s">
        <v>486</v>
      </c>
      <c r="O1775" s="334">
        <v>208061</v>
      </c>
      <c r="P1775" s="25" t="s">
        <v>379</v>
      </c>
      <c r="Q1775" s="127" t="s">
        <v>303</v>
      </c>
      <c r="R1775" s="232" t="s">
        <v>6782</v>
      </c>
      <c r="S1775" s="89">
        <v>44502</v>
      </c>
      <c r="T1775" s="36">
        <v>60</v>
      </c>
      <c r="U1775" s="125" t="s">
        <v>118</v>
      </c>
      <c r="V1775" s="147" t="s">
        <v>6790</v>
      </c>
      <c r="W1775" s="129"/>
      <c r="X1775" s="88">
        <v>44589</v>
      </c>
      <c r="Y1775" s="130" t="s">
        <v>20</v>
      </c>
      <c r="Z1775" s="133" t="s">
        <v>60</v>
      </c>
      <c r="AA1775" s="133"/>
      <c r="AB1775" s="241">
        <v>1001</v>
      </c>
      <c r="AC1775" s="134">
        <v>822.65</v>
      </c>
      <c r="AD1775" s="275">
        <v>143.749</v>
      </c>
      <c r="AE1775" s="403">
        <f t="shared" si="109"/>
        <v>823472.65</v>
      </c>
      <c r="AF1775" s="132"/>
      <c r="AG1775" s="130" t="s">
        <v>46</v>
      </c>
      <c r="AH1775" s="130"/>
      <c r="AI1775" s="130" t="s">
        <v>100</v>
      </c>
      <c r="AJ1775" s="130"/>
      <c r="AK1775" s="130"/>
      <c r="AL1775" s="135" t="s">
        <v>6744</v>
      </c>
      <c r="AM1775" s="314"/>
      <c r="AN1775" s="26">
        <f>BL1775</f>
        <v>0</v>
      </c>
      <c r="AO1775" s="26">
        <v>44516</v>
      </c>
      <c r="AP1775" s="26">
        <f>AQ1775</f>
        <v>44554</v>
      </c>
      <c r="AQ1775" s="26">
        <v>44554</v>
      </c>
      <c r="AR1775" s="24">
        <f>AQ1775+1</f>
        <v>44555</v>
      </c>
      <c r="AS1775" s="24"/>
      <c r="AT1775" s="24">
        <v>44555</v>
      </c>
      <c r="AU1775" s="418">
        <f t="shared" si="110"/>
        <v>12</v>
      </c>
      <c r="AV1775" s="418">
        <f t="shared" si="111"/>
        <v>2021</v>
      </c>
      <c r="AW1775" s="24"/>
      <c r="AX1775" s="132"/>
      <c r="AY1775" s="132" t="s">
        <v>6771</v>
      </c>
      <c r="AZ1775" s="135" t="s">
        <v>62</v>
      </c>
      <c r="BA1775" s="135"/>
      <c r="BB1775" s="24" t="s">
        <v>3264</v>
      </c>
      <c r="BC1775" s="128" t="s">
        <v>5611</v>
      </c>
      <c r="BD1775" s="24">
        <v>44516</v>
      </c>
      <c r="BE1775" s="24" t="s">
        <v>6745</v>
      </c>
      <c r="BF1775" s="24" t="s">
        <v>6745</v>
      </c>
      <c r="BG1775" s="135" t="s">
        <v>52</v>
      </c>
      <c r="BH1775" s="135"/>
      <c r="BI1775" s="314" t="s">
        <v>3</v>
      </c>
      <c r="BJ1775" s="314" t="s">
        <v>148</v>
      </c>
      <c r="BK1775" s="24"/>
      <c r="BL1775" s="24"/>
      <c r="BM1775" s="24"/>
      <c r="BN1775" s="24"/>
      <c r="BO1775" s="24"/>
      <c r="BP1775" s="24"/>
      <c r="BQ1775" s="24"/>
      <c r="BR1775" s="24"/>
      <c r="BS1775" s="24"/>
      <c r="BT1775" s="24"/>
      <c r="BU1775" s="24"/>
      <c r="BV1775" s="132" t="e">
        <f>IF(#REF!="COMPLETO","OK","PENDIENTE")</f>
        <v>#REF!</v>
      </c>
      <c r="BW1775" s="132"/>
      <c r="BX1775" s="132"/>
      <c r="BY1775" s="132"/>
      <c r="BZ1775" s="132"/>
      <c r="CA1775" s="132"/>
      <c r="CB1775" s="132"/>
      <c r="CC1775" s="365"/>
      <c r="CG1775" s="132" t="s">
        <v>105</v>
      </c>
      <c r="CH1775" s="132"/>
      <c r="CI1775" s="24"/>
      <c r="CJ1775" s="24"/>
    </row>
    <row r="1776" spans="1:88" ht="15" customHeight="1">
      <c r="A1776" s="18">
        <v>2021</v>
      </c>
      <c r="B1776" s="18" t="str">
        <f>+INDEX(BDD!F:F,MATCH(P1776,BDD!D:D,0))&amp;"-"&amp;INDEX(BDD!E:E,MATCH(P1776,BDD!D:D,0))</f>
        <v>E-S</v>
      </c>
      <c r="C1776" s="360" t="s">
        <v>484</v>
      </c>
      <c r="D1776" s="150" t="s">
        <v>77</v>
      </c>
      <c r="E1776" s="132"/>
      <c r="F1776" s="132"/>
      <c r="G1776" s="346">
        <v>8000001699</v>
      </c>
      <c r="H1776" s="18" t="s">
        <v>6791</v>
      </c>
      <c r="I1776" s="329"/>
      <c r="J1776" s="346">
        <v>8000001699</v>
      </c>
      <c r="K1776" s="24"/>
      <c r="L1776" s="24">
        <v>44627</v>
      </c>
      <c r="M1776" s="24">
        <v>44657</v>
      </c>
      <c r="N1776" s="340" t="s">
        <v>486</v>
      </c>
      <c r="O1776" s="334">
        <v>203820</v>
      </c>
      <c r="P1776" s="25" t="s">
        <v>164</v>
      </c>
      <c r="Q1776" s="127" t="s">
        <v>297</v>
      </c>
      <c r="R1776" s="232" t="s">
        <v>6792</v>
      </c>
      <c r="S1776" s="89">
        <v>44505</v>
      </c>
      <c r="T1776" s="36" t="s">
        <v>19</v>
      </c>
      <c r="U1776" s="125"/>
      <c r="V1776" s="147" t="s">
        <v>6793</v>
      </c>
      <c r="W1776" s="129"/>
      <c r="X1776" s="88">
        <v>44565</v>
      </c>
      <c r="Y1776" s="130" t="s">
        <v>20</v>
      </c>
      <c r="Z1776" s="133" t="s">
        <v>60</v>
      </c>
      <c r="AA1776" s="133" t="s">
        <v>6619</v>
      </c>
      <c r="AB1776" s="241">
        <v>512.5</v>
      </c>
      <c r="AC1776" s="134">
        <v>2194</v>
      </c>
      <c r="AD1776" s="134"/>
      <c r="AE1776" s="403">
        <f t="shared" si="109"/>
        <v>1124425</v>
      </c>
      <c r="AF1776" s="132"/>
      <c r="AG1776" s="130" t="s">
        <v>58</v>
      </c>
      <c r="AH1776" s="130"/>
      <c r="AI1776" s="130" t="s">
        <v>34</v>
      </c>
      <c r="AJ1776" s="241">
        <v>1.25</v>
      </c>
      <c r="AK1776" s="130" t="s">
        <v>6794</v>
      </c>
      <c r="AL1776" s="135" t="s">
        <v>6412</v>
      </c>
      <c r="AM1776" s="314"/>
      <c r="AN1776" s="26">
        <f>BL1776</f>
        <v>0</v>
      </c>
      <c r="AO1776" s="26">
        <v>44554</v>
      </c>
      <c r="AP1776" s="26">
        <f t="shared" si="113"/>
        <v>44615</v>
      </c>
      <c r="AQ1776" s="26">
        <v>44615</v>
      </c>
      <c r="AR1776" s="24">
        <v>44651</v>
      </c>
      <c r="AS1776" s="24"/>
      <c r="AT1776" s="24">
        <v>44660</v>
      </c>
      <c r="AU1776" s="418">
        <f t="shared" si="110"/>
        <v>4</v>
      </c>
      <c r="AV1776" s="418">
        <f t="shared" si="111"/>
        <v>2022</v>
      </c>
      <c r="AW1776" s="24"/>
      <c r="AX1776" s="24"/>
      <c r="AY1776" s="24" t="s">
        <v>6796</v>
      </c>
      <c r="AZ1776" s="135" t="s">
        <v>37</v>
      </c>
      <c r="BA1776" s="135"/>
      <c r="BB1776" s="24" t="s">
        <v>3291</v>
      </c>
      <c r="BC1776" s="128" t="s">
        <v>6795</v>
      </c>
      <c r="BD1776" s="24">
        <v>44554</v>
      </c>
      <c r="BE1776" s="24" t="s">
        <v>6601</v>
      </c>
      <c r="BF1776" s="24" t="s">
        <v>6601</v>
      </c>
      <c r="BG1776" s="135" t="s">
        <v>52</v>
      </c>
      <c r="BH1776" s="135" t="s">
        <v>6602</v>
      </c>
      <c r="BI1776" s="314" t="s">
        <v>3</v>
      </c>
      <c r="BJ1776" s="314"/>
      <c r="BK1776" s="24"/>
      <c r="BL1776" s="24"/>
      <c r="BM1776" s="24"/>
      <c r="BN1776" s="24"/>
      <c r="BO1776" s="24"/>
      <c r="BP1776" s="24"/>
      <c r="BQ1776" s="24" t="s">
        <v>6797</v>
      </c>
      <c r="BR1776" s="24">
        <v>44617</v>
      </c>
      <c r="BS1776" s="24" t="s">
        <v>38</v>
      </c>
      <c r="BT1776" s="24" t="s">
        <v>11</v>
      </c>
      <c r="BU1776" s="24"/>
      <c r="BV1776" s="132" t="e">
        <f>IF(#REF!="COMPLETO","OK","PENDIENTE")</f>
        <v>#REF!</v>
      </c>
      <c r="BW1776" s="132"/>
      <c r="BX1776" s="132"/>
      <c r="BY1776" s="132"/>
      <c r="BZ1776" s="132"/>
      <c r="CA1776" s="132"/>
      <c r="CB1776" s="132"/>
      <c r="CC1776" s="365"/>
      <c r="CG1776" s="132" t="s">
        <v>105</v>
      </c>
      <c r="CH1776" s="132"/>
      <c r="CI1776" s="24"/>
      <c r="CJ1776" s="24"/>
    </row>
    <row r="1777" spans="1:88" ht="15" customHeight="1">
      <c r="A1777" s="18">
        <v>2021</v>
      </c>
      <c r="B1777" s="18" t="s">
        <v>6191</v>
      </c>
      <c r="C1777" s="360" t="s">
        <v>5398</v>
      </c>
      <c r="D1777" s="150" t="s">
        <v>3</v>
      </c>
      <c r="E1777" s="132" t="s">
        <v>51</v>
      </c>
      <c r="F1777" s="132"/>
      <c r="G1777" s="346">
        <v>8000001700</v>
      </c>
      <c r="H1777" s="18" t="s">
        <v>6798</v>
      </c>
      <c r="I1777" s="329"/>
      <c r="J1777" s="346">
        <v>8000001700</v>
      </c>
      <c r="K1777" s="24">
        <v>44508</v>
      </c>
      <c r="L1777" s="24"/>
      <c r="M1777" s="24"/>
      <c r="N1777" s="340" t="s">
        <v>3</v>
      </c>
      <c r="O1777" s="334">
        <v>206622</v>
      </c>
      <c r="P1777" s="25" t="s">
        <v>152</v>
      </c>
      <c r="Q1777" s="127" t="s">
        <v>110</v>
      </c>
      <c r="R1777" s="232" t="s">
        <v>6799</v>
      </c>
      <c r="S1777" s="89">
        <v>44505</v>
      </c>
      <c r="T1777" s="36">
        <v>90</v>
      </c>
      <c r="U1777" s="125" t="s">
        <v>118</v>
      </c>
      <c r="V1777" s="232" t="s">
        <v>6799</v>
      </c>
      <c r="W1777" s="151"/>
      <c r="X1777" s="88"/>
      <c r="Y1777" s="130" t="s">
        <v>3</v>
      </c>
      <c r="Z1777" s="133" t="s">
        <v>60</v>
      </c>
      <c r="AA1777" s="133" t="s">
        <v>6619</v>
      </c>
      <c r="AB1777" s="241">
        <v>312</v>
      </c>
      <c r="AC1777" s="134">
        <v>1142</v>
      </c>
      <c r="AD1777" s="134"/>
      <c r="AE1777" s="403">
        <f t="shared" si="109"/>
        <v>356304</v>
      </c>
      <c r="AF1777" s="132"/>
      <c r="AG1777" s="130" t="s">
        <v>58</v>
      </c>
      <c r="AH1777" s="130"/>
      <c r="AI1777" s="130" t="s">
        <v>6029</v>
      </c>
      <c r="AJ1777" s="274">
        <v>1</v>
      </c>
      <c r="AK1777" s="130" t="s">
        <v>944</v>
      </c>
      <c r="AL1777" s="135" t="s">
        <v>6412</v>
      </c>
      <c r="AM1777" s="314">
        <v>2022</v>
      </c>
      <c r="AN1777" s="26">
        <v>44711</v>
      </c>
      <c r="AO1777" s="385">
        <v>44757</v>
      </c>
      <c r="AP1777" s="26">
        <f>AN1777+46</f>
        <v>44757</v>
      </c>
      <c r="AQ1777" s="385">
        <f>AO1777+46</f>
        <v>44803</v>
      </c>
      <c r="AR1777" s="24">
        <f>AQ1777+10</f>
        <v>44813</v>
      </c>
      <c r="AS1777" s="41"/>
      <c r="AT1777" s="24">
        <v>44807</v>
      </c>
      <c r="AU1777" s="418">
        <f t="shared" si="110"/>
        <v>9</v>
      </c>
      <c r="AV1777" s="418">
        <f t="shared" si="111"/>
        <v>2022</v>
      </c>
      <c r="AW1777" s="24" t="s">
        <v>7874</v>
      </c>
      <c r="AX1777" s="24" t="s">
        <v>5402</v>
      </c>
      <c r="AY1777" s="24" t="s">
        <v>6800</v>
      </c>
      <c r="AZ1777" s="135" t="s">
        <v>37</v>
      </c>
      <c r="BA1777" s="135"/>
      <c r="BB1777" s="24" t="s">
        <v>3291</v>
      </c>
      <c r="BC1777" s="128"/>
      <c r="BD1777" s="24"/>
      <c r="BE1777" s="24"/>
      <c r="BF1777" s="24"/>
      <c r="BG1777" s="135" t="s">
        <v>52</v>
      </c>
      <c r="BH1777" s="135"/>
      <c r="BI1777" s="314" t="s">
        <v>3</v>
      </c>
      <c r="BJ1777" s="314"/>
      <c r="BK1777" s="24"/>
      <c r="BL1777" s="24"/>
      <c r="BM1777" s="24"/>
      <c r="BN1777" s="24"/>
      <c r="BO1777" s="41"/>
      <c r="BP1777" s="41"/>
      <c r="BQ1777" s="41"/>
      <c r="BR1777" s="24"/>
      <c r="BS1777" s="41"/>
      <c r="BT1777" s="41"/>
      <c r="BU1777" s="41"/>
      <c r="BV1777" s="132" t="e">
        <f>IF(#REF!="COMPLETO","OK","PENDIENTE")</f>
        <v>#REF!</v>
      </c>
      <c r="BW1777" s="132"/>
      <c r="BX1777" s="132"/>
      <c r="BY1777" s="132"/>
      <c r="BZ1777" s="132"/>
      <c r="CA1777" s="132"/>
      <c r="CB1777" s="132"/>
      <c r="CC1777" s="365"/>
      <c r="CD1777" s="67" t="s">
        <v>6801</v>
      </c>
      <c r="CE1777" s="67" t="s">
        <v>7897</v>
      </c>
      <c r="CG1777" s="132"/>
      <c r="CH1777" s="132"/>
      <c r="CI1777" s="24"/>
      <c r="CJ1777" s="24"/>
    </row>
    <row r="1778" spans="1:88" ht="15" customHeight="1">
      <c r="A1778" s="18">
        <v>2021</v>
      </c>
      <c r="B1778" s="18" t="s">
        <v>6191</v>
      </c>
      <c r="C1778" s="360" t="s">
        <v>5398</v>
      </c>
      <c r="D1778" s="150" t="s">
        <v>3</v>
      </c>
      <c r="E1778" s="132" t="s">
        <v>51</v>
      </c>
      <c r="F1778" s="132"/>
      <c r="G1778" s="346">
        <v>8000001809</v>
      </c>
      <c r="H1778" s="18" t="s">
        <v>6802</v>
      </c>
      <c r="I1778" s="329"/>
      <c r="J1778" s="346">
        <v>8000001809</v>
      </c>
      <c r="K1778" s="24">
        <v>44554</v>
      </c>
      <c r="L1778" s="24"/>
      <c r="M1778" s="24"/>
      <c r="N1778" s="340" t="s">
        <v>3</v>
      </c>
      <c r="O1778" s="334">
        <v>206622</v>
      </c>
      <c r="P1778" s="25" t="s">
        <v>152</v>
      </c>
      <c r="Q1778" s="127" t="s">
        <v>110</v>
      </c>
      <c r="R1778" s="232" t="s">
        <v>6799</v>
      </c>
      <c r="S1778" s="89">
        <v>44505</v>
      </c>
      <c r="T1778" s="36">
        <v>90</v>
      </c>
      <c r="U1778" s="125" t="s">
        <v>118</v>
      </c>
      <c r="V1778" s="232" t="s">
        <v>6799</v>
      </c>
      <c r="W1778" s="151"/>
      <c r="X1778" s="88"/>
      <c r="Y1778" s="130" t="s">
        <v>3</v>
      </c>
      <c r="Z1778" s="133" t="s">
        <v>60</v>
      </c>
      <c r="AA1778" s="133" t="s">
        <v>6619</v>
      </c>
      <c r="AB1778" s="241">
        <v>488</v>
      </c>
      <c r="AC1778" s="134">
        <v>1142</v>
      </c>
      <c r="AD1778" s="134"/>
      <c r="AE1778" s="403">
        <f t="shared" si="109"/>
        <v>557296</v>
      </c>
      <c r="AF1778" s="132"/>
      <c r="AG1778" s="130" t="s">
        <v>58</v>
      </c>
      <c r="AH1778" s="130"/>
      <c r="AI1778" s="130" t="s">
        <v>6029</v>
      </c>
      <c r="AJ1778" s="274">
        <v>1</v>
      </c>
      <c r="AK1778" s="130" t="s">
        <v>944</v>
      </c>
      <c r="AL1778" s="135" t="s">
        <v>6412</v>
      </c>
      <c r="AM1778" s="314">
        <v>2022</v>
      </c>
      <c r="AN1778" s="26">
        <v>44727</v>
      </c>
      <c r="AO1778" s="385">
        <v>44757</v>
      </c>
      <c r="AP1778" s="26">
        <f>AN1778+46</f>
        <v>44773</v>
      </c>
      <c r="AQ1778" s="385">
        <f>AO1778+46</f>
        <v>44803</v>
      </c>
      <c r="AR1778" s="24">
        <f>AQ1778+10</f>
        <v>44813</v>
      </c>
      <c r="AS1778" s="41"/>
      <c r="AT1778" s="24">
        <v>44807</v>
      </c>
      <c r="AU1778" s="418">
        <f t="shared" si="110"/>
        <v>9</v>
      </c>
      <c r="AV1778" s="418">
        <f t="shared" si="111"/>
        <v>2022</v>
      </c>
      <c r="AW1778" s="24" t="s">
        <v>7874</v>
      </c>
      <c r="AX1778" s="24" t="s">
        <v>5402</v>
      </c>
      <c r="AY1778" s="24" t="s">
        <v>6800</v>
      </c>
      <c r="AZ1778" s="135" t="s">
        <v>37</v>
      </c>
      <c r="BA1778" s="135"/>
      <c r="BB1778" s="24" t="s">
        <v>3291</v>
      </c>
      <c r="BC1778" s="128"/>
      <c r="BD1778" s="24"/>
      <c r="BE1778" s="24"/>
      <c r="BF1778" s="24"/>
      <c r="BG1778" s="135" t="s">
        <v>52</v>
      </c>
      <c r="BH1778" s="135"/>
      <c r="BI1778" s="314" t="s">
        <v>3</v>
      </c>
      <c r="BJ1778" s="314"/>
      <c r="BK1778" s="24"/>
      <c r="BL1778" s="24"/>
      <c r="BM1778" s="24"/>
      <c r="BN1778" s="24"/>
      <c r="BO1778" s="41"/>
      <c r="BP1778" s="41"/>
      <c r="BQ1778" s="41"/>
      <c r="BR1778" s="24"/>
      <c r="BS1778" s="41"/>
      <c r="BT1778" s="41"/>
      <c r="BU1778" s="41"/>
      <c r="BV1778" s="132" t="e">
        <f>IF(#REF!="COMPLETO","OK","PENDIENTE")</f>
        <v>#REF!</v>
      </c>
      <c r="BW1778" s="132"/>
      <c r="BX1778" s="132"/>
      <c r="BY1778" s="132"/>
      <c r="BZ1778" s="132"/>
      <c r="CA1778" s="132"/>
      <c r="CB1778" s="132"/>
      <c r="CC1778" s="365"/>
      <c r="CD1778" s="67" t="s">
        <v>6801</v>
      </c>
      <c r="CE1778" s="67" t="s">
        <v>7897</v>
      </c>
      <c r="CG1778" s="132"/>
      <c r="CH1778" s="132"/>
      <c r="CI1778" s="24"/>
      <c r="CJ1778" s="24"/>
    </row>
    <row r="1779" spans="1:88" ht="15" customHeight="1">
      <c r="A1779" s="18">
        <v>2021</v>
      </c>
      <c r="B1779" s="18" t="s">
        <v>6191</v>
      </c>
      <c r="C1779" s="360" t="s">
        <v>484</v>
      </c>
      <c r="D1779" s="150" t="s">
        <v>20</v>
      </c>
      <c r="E1779" s="132" t="s">
        <v>1622</v>
      </c>
      <c r="F1779" s="132"/>
      <c r="G1779" s="346"/>
      <c r="H1779" s="18" t="s">
        <v>6803</v>
      </c>
      <c r="I1779" s="329"/>
      <c r="J1779" s="346"/>
      <c r="K1779" s="24"/>
      <c r="L1779" s="24"/>
      <c r="M1779" s="24"/>
      <c r="N1779" s="340"/>
      <c r="O1779" s="334"/>
      <c r="P1779" s="25" t="s">
        <v>316</v>
      </c>
      <c r="Q1779" s="127" t="s">
        <v>110</v>
      </c>
      <c r="R1779" s="232"/>
      <c r="S1779" s="89"/>
      <c r="T1779" s="36"/>
      <c r="U1779" s="125"/>
      <c r="V1779" s="147"/>
      <c r="W1779" s="129"/>
      <c r="X1779" s="88"/>
      <c r="Y1779" s="130"/>
      <c r="Z1779" s="133"/>
      <c r="AA1779" s="133"/>
      <c r="AB1779" s="241"/>
      <c r="AC1779" s="134"/>
      <c r="AD1779" s="134"/>
      <c r="AE1779" s="403">
        <f t="shared" si="109"/>
        <v>0</v>
      </c>
      <c r="AF1779" s="132"/>
      <c r="AG1779" s="130"/>
      <c r="AH1779" s="130"/>
      <c r="AI1779" s="130"/>
      <c r="AJ1779" s="130"/>
      <c r="AK1779" s="130"/>
      <c r="AL1779" s="135"/>
      <c r="AM1779" s="314"/>
      <c r="AN1779" s="26"/>
      <c r="AO1779" s="26"/>
      <c r="AP1779" s="26"/>
      <c r="AQ1779" s="26"/>
      <c r="AR1779" s="24"/>
      <c r="AS1779" s="24"/>
      <c r="AT1779" s="24"/>
      <c r="AU1779" s="418">
        <f t="shared" si="110"/>
        <v>1</v>
      </c>
      <c r="AV1779" s="418">
        <f t="shared" si="111"/>
        <v>1900</v>
      </c>
      <c r="AW1779" s="24"/>
      <c r="AX1779" s="24"/>
      <c r="AY1779" s="24"/>
      <c r="AZ1779" s="135"/>
      <c r="BA1779" s="135"/>
      <c r="BB1779" s="24"/>
      <c r="BC1779" s="128"/>
      <c r="BD1779" s="24"/>
      <c r="BE1779" s="24"/>
      <c r="BF1779" s="24"/>
      <c r="BG1779" s="135"/>
      <c r="BH1779" s="135"/>
      <c r="BI1779" s="314"/>
      <c r="BJ1779" s="314"/>
      <c r="BK1779" s="24"/>
      <c r="BL1779" s="24"/>
      <c r="BM1779" s="24"/>
      <c r="BN1779" s="24"/>
      <c r="BO1779" s="24"/>
      <c r="BP1779" s="24"/>
      <c r="BQ1779" s="24"/>
      <c r="BR1779" s="24"/>
      <c r="BS1779" s="24"/>
      <c r="BT1779" s="24"/>
      <c r="BU1779" s="24"/>
      <c r="BV1779" s="132"/>
      <c r="BW1779" s="132"/>
      <c r="BX1779" s="132"/>
      <c r="BY1779" s="132"/>
      <c r="BZ1779" s="132"/>
      <c r="CA1779" s="132"/>
      <c r="CB1779" s="132"/>
      <c r="CC1779" s="269"/>
      <c r="CD1779" s="22"/>
      <c r="CE1779" s="22"/>
      <c r="CF1779" s="22"/>
      <c r="CG1779" s="132"/>
      <c r="CH1779" s="132"/>
      <c r="CI1779" s="24"/>
      <c r="CJ1779" s="24"/>
    </row>
    <row r="1780" spans="1:88" ht="15" customHeight="1">
      <c r="A1780" s="18">
        <v>2021</v>
      </c>
      <c r="B1780" s="18" t="s">
        <v>6191</v>
      </c>
      <c r="C1780" s="360" t="s">
        <v>484</v>
      </c>
      <c r="D1780" s="150" t="s">
        <v>20</v>
      </c>
      <c r="E1780" s="132" t="s">
        <v>1622</v>
      </c>
      <c r="F1780" s="132"/>
      <c r="G1780" s="346"/>
      <c r="H1780" s="18" t="s">
        <v>6804</v>
      </c>
      <c r="I1780" s="329"/>
      <c r="J1780" s="346"/>
      <c r="K1780" s="24"/>
      <c r="L1780" s="24"/>
      <c r="M1780" s="24"/>
      <c r="N1780" s="340"/>
      <c r="O1780" s="334"/>
      <c r="P1780" s="25" t="s">
        <v>376</v>
      </c>
      <c r="Q1780" s="127" t="s">
        <v>4498</v>
      </c>
      <c r="R1780" s="232"/>
      <c r="S1780" s="89"/>
      <c r="T1780" s="36"/>
      <c r="U1780" s="125"/>
      <c r="V1780" s="147"/>
      <c r="W1780" s="129"/>
      <c r="X1780" s="88"/>
      <c r="Y1780" s="130"/>
      <c r="Z1780" s="133"/>
      <c r="AA1780" s="133"/>
      <c r="AB1780" s="241"/>
      <c r="AC1780" s="134"/>
      <c r="AD1780" s="134"/>
      <c r="AE1780" s="403">
        <f t="shared" si="109"/>
        <v>0</v>
      </c>
      <c r="AF1780" s="132"/>
      <c r="AG1780" s="130"/>
      <c r="AH1780" s="130"/>
      <c r="AI1780" s="130"/>
      <c r="AJ1780" s="284"/>
      <c r="AK1780" s="130"/>
      <c r="AL1780" s="135"/>
      <c r="AM1780" s="314"/>
      <c r="AN1780" s="26"/>
      <c r="AO1780" s="26"/>
      <c r="AP1780" s="26"/>
      <c r="AQ1780" s="26"/>
      <c r="AR1780" s="24"/>
      <c r="AS1780" s="24"/>
      <c r="AT1780" s="24"/>
      <c r="AU1780" s="418">
        <f t="shared" si="110"/>
        <v>1</v>
      </c>
      <c r="AV1780" s="418">
        <f t="shared" si="111"/>
        <v>1900</v>
      </c>
      <c r="AW1780" s="24"/>
      <c r="AX1780" s="132"/>
      <c r="AY1780" s="132"/>
      <c r="AZ1780" s="135"/>
      <c r="BA1780" s="135"/>
      <c r="BB1780" s="24"/>
      <c r="BC1780" s="128"/>
      <c r="BD1780" s="24"/>
      <c r="BE1780" s="24"/>
      <c r="BF1780" s="24"/>
      <c r="BG1780" s="135"/>
      <c r="BH1780" s="135"/>
      <c r="BI1780" s="314"/>
      <c r="BJ1780" s="314"/>
      <c r="BK1780" s="24"/>
      <c r="BL1780" s="24"/>
      <c r="BM1780" s="24"/>
      <c r="BN1780" s="24"/>
      <c r="BO1780" s="24"/>
      <c r="BP1780" s="24"/>
      <c r="BQ1780" s="24"/>
      <c r="BR1780" s="24"/>
      <c r="BS1780" s="24"/>
      <c r="BT1780" s="24"/>
      <c r="BU1780" s="24"/>
      <c r="BV1780" s="132"/>
      <c r="BW1780" s="132"/>
      <c r="BX1780" s="132"/>
      <c r="BY1780" s="132"/>
      <c r="BZ1780" s="132"/>
      <c r="CA1780" s="132"/>
      <c r="CB1780" s="132"/>
      <c r="CC1780" s="362"/>
      <c r="CD1780" s="22"/>
      <c r="CE1780" s="22"/>
      <c r="CF1780" s="22"/>
      <c r="CG1780" s="132"/>
      <c r="CH1780" s="132"/>
      <c r="CI1780" s="24"/>
      <c r="CJ1780" s="24"/>
    </row>
    <row r="1781" spans="1:88" ht="15" customHeight="1">
      <c r="A1781" s="18">
        <v>2021</v>
      </c>
      <c r="B1781" s="18" t="s">
        <v>6191</v>
      </c>
      <c r="C1781" s="360" t="s">
        <v>484</v>
      </c>
      <c r="D1781" s="150" t="s">
        <v>77</v>
      </c>
      <c r="E1781" s="132"/>
      <c r="F1781" s="132"/>
      <c r="G1781" s="346">
        <v>8000001786</v>
      </c>
      <c r="H1781" s="18" t="s">
        <v>6805</v>
      </c>
      <c r="I1781" s="329"/>
      <c r="J1781" s="346">
        <v>8000001786</v>
      </c>
      <c r="K1781" s="24"/>
      <c r="L1781" s="24">
        <v>44565</v>
      </c>
      <c r="M1781" s="24">
        <v>44565</v>
      </c>
      <c r="N1781" s="340" t="s">
        <v>486</v>
      </c>
      <c r="O1781" s="334">
        <v>208067</v>
      </c>
      <c r="P1781" s="25" t="s">
        <v>383</v>
      </c>
      <c r="Q1781" s="127" t="s">
        <v>303</v>
      </c>
      <c r="R1781" s="232" t="s">
        <v>6806</v>
      </c>
      <c r="S1781" s="89">
        <v>44505</v>
      </c>
      <c r="T1781" s="36">
        <v>30</v>
      </c>
      <c r="U1781" s="125" t="s">
        <v>131</v>
      </c>
      <c r="V1781" s="147" t="s">
        <v>6807</v>
      </c>
      <c r="W1781" s="129"/>
      <c r="X1781" s="88">
        <v>44583</v>
      </c>
      <c r="Y1781" s="130" t="s">
        <v>20</v>
      </c>
      <c r="Z1781" s="133" t="s">
        <v>60</v>
      </c>
      <c r="AA1781" s="133"/>
      <c r="AB1781" s="241">
        <v>270</v>
      </c>
      <c r="AC1781" s="134">
        <v>372.44</v>
      </c>
      <c r="AD1781" s="134"/>
      <c r="AE1781" s="403">
        <f t="shared" si="109"/>
        <v>100558.8</v>
      </c>
      <c r="AF1781" s="132">
        <v>10</v>
      </c>
      <c r="AG1781" s="130" t="s">
        <v>5</v>
      </c>
      <c r="AH1781" s="130"/>
      <c r="AI1781" s="130" t="s">
        <v>34</v>
      </c>
      <c r="AJ1781" s="130"/>
      <c r="AK1781" s="130"/>
      <c r="AL1781" s="256" t="s">
        <v>6412</v>
      </c>
      <c r="AM1781" s="314"/>
      <c r="AN1781" s="26">
        <f t="shared" ref="AN1781:AN1804" si="114">BL1781</f>
        <v>0</v>
      </c>
      <c r="AO1781" s="26">
        <v>44554</v>
      </c>
      <c r="AP1781" s="26">
        <f>AQ1781</f>
        <v>44558</v>
      </c>
      <c r="AQ1781" s="26">
        <f>AO1781+4</f>
        <v>44558</v>
      </c>
      <c r="AR1781" s="24">
        <f t="shared" ref="AR1781:AR1788" si="115">AQ1781+4</f>
        <v>44562</v>
      </c>
      <c r="AS1781" s="24"/>
      <c r="AT1781" s="24">
        <v>44564</v>
      </c>
      <c r="AU1781" s="418">
        <f t="shared" si="110"/>
        <v>1</v>
      </c>
      <c r="AV1781" s="418">
        <f t="shared" si="111"/>
        <v>2022</v>
      </c>
      <c r="AW1781" s="24"/>
      <c r="AX1781" s="24"/>
      <c r="AY1781" s="24" t="s">
        <v>3415</v>
      </c>
      <c r="AZ1781" s="135" t="s">
        <v>9</v>
      </c>
      <c r="BA1781" s="135"/>
      <c r="BB1781" s="135" t="s">
        <v>2956</v>
      </c>
      <c r="BC1781" s="128" t="s">
        <v>6808</v>
      </c>
      <c r="BD1781" s="24">
        <v>44554</v>
      </c>
      <c r="BE1781" s="132" t="s">
        <v>6809</v>
      </c>
      <c r="BF1781" s="132" t="s">
        <v>5944</v>
      </c>
      <c r="BG1781" s="132" t="s">
        <v>29</v>
      </c>
      <c r="BH1781" s="132"/>
      <c r="BI1781" s="314" t="s">
        <v>3</v>
      </c>
      <c r="BJ1781" s="314"/>
      <c r="BK1781" s="24"/>
      <c r="BL1781" s="24"/>
      <c r="BM1781" s="24"/>
      <c r="BN1781" s="24"/>
      <c r="BO1781" s="41"/>
      <c r="BP1781" s="41"/>
      <c r="BQ1781" s="41"/>
      <c r="BR1781" s="24"/>
      <c r="BS1781" s="41"/>
      <c r="BT1781" s="41"/>
      <c r="BU1781" s="41"/>
      <c r="BV1781" s="132" t="e">
        <f>IF(#REF!="COMPLETO","OK","PENDIENTE")</f>
        <v>#REF!</v>
      </c>
      <c r="BW1781" s="132"/>
      <c r="BX1781" s="132"/>
      <c r="BY1781" s="132"/>
      <c r="BZ1781" s="132"/>
      <c r="CA1781" s="132"/>
      <c r="CB1781" s="132"/>
      <c r="CC1781" s="365"/>
      <c r="CG1781" s="132" t="s">
        <v>105</v>
      </c>
      <c r="CH1781" s="132"/>
      <c r="CI1781" s="24"/>
      <c r="CJ1781" s="24"/>
    </row>
    <row r="1782" spans="1:88" ht="15" customHeight="1">
      <c r="A1782" s="18">
        <v>2021</v>
      </c>
      <c r="B1782" s="18" t="s">
        <v>6191</v>
      </c>
      <c r="C1782" s="360" t="s">
        <v>484</v>
      </c>
      <c r="D1782" s="150" t="s">
        <v>77</v>
      </c>
      <c r="E1782" s="132"/>
      <c r="F1782" s="132"/>
      <c r="G1782" s="346">
        <v>8000001804</v>
      </c>
      <c r="H1782" s="18" t="s">
        <v>6810</v>
      </c>
      <c r="I1782" s="329"/>
      <c r="J1782" s="346">
        <v>8000001804</v>
      </c>
      <c r="K1782" s="24"/>
      <c r="L1782" s="24">
        <v>44575</v>
      </c>
      <c r="M1782" s="24">
        <v>44575</v>
      </c>
      <c r="N1782" s="340" t="s">
        <v>486</v>
      </c>
      <c r="O1782" s="334">
        <v>208067</v>
      </c>
      <c r="P1782" s="25" t="s">
        <v>383</v>
      </c>
      <c r="Q1782" s="127" t="s">
        <v>303</v>
      </c>
      <c r="R1782" s="232" t="s">
        <v>6806</v>
      </c>
      <c r="S1782" s="89">
        <v>44505</v>
      </c>
      <c r="T1782" s="36">
        <v>30</v>
      </c>
      <c r="U1782" s="125" t="s">
        <v>131</v>
      </c>
      <c r="V1782" s="147" t="s">
        <v>6811</v>
      </c>
      <c r="W1782" s="129"/>
      <c r="X1782" s="88">
        <v>44602</v>
      </c>
      <c r="Y1782" s="130" t="s">
        <v>20</v>
      </c>
      <c r="Z1782" s="133" t="s">
        <v>60</v>
      </c>
      <c r="AA1782" s="133"/>
      <c r="AB1782" s="241">
        <v>270</v>
      </c>
      <c r="AC1782" s="134">
        <v>372.44</v>
      </c>
      <c r="AD1782" s="134"/>
      <c r="AE1782" s="403">
        <f t="shared" si="109"/>
        <v>100558.8</v>
      </c>
      <c r="AF1782" s="132">
        <v>10</v>
      </c>
      <c r="AG1782" s="130" t="s">
        <v>5</v>
      </c>
      <c r="AH1782" s="130"/>
      <c r="AI1782" s="130" t="s">
        <v>34</v>
      </c>
      <c r="AJ1782" s="130"/>
      <c r="AK1782" s="130"/>
      <c r="AL1782" s="256" t="s">
        <v>6412</v>
      </c>
      <c r="AM1782" s="314"/>
      <c r="AN1782" s="26">
        <f t="shared" si="114"/>
        <v>0</v>
      </c>
      <c r="AO1782" s="26">
        <v>44568</v>
      </c>
      <c r="AP1782" s="26">
        <f>AQ1782</f>
        <v>44572</v>
      </c>
      <c r="AQ1782" s="26">
        <f>AO1782+4</f>
        <v>44572</v>
      </c>
      <c r="AR1782" s="24">
        <f t="shared" si="115"/>
        <v>44576</v>
      </c>
      <c r="AS1782" s="24"/>
      <c r="AT1782" s="24">
        <v>44574</v>
      </c>
      <c r="AU1782" s="418">
        <f t="shared" si="110"/>
        <v>1</v>
      </c>
      <c r="AV1782" s="418">
        <f t="shared" si="111"/>
        <v>2022</v>
      </c>
      <c r="AW1782" s="24"/>
      <c r="AX1782" s="24"/>
      <c r="AY1782" s="24" t="s">
        <v>3415</v>
      </c>
      <c r="AZ1782" s="135" t="s">
        <v>9</v>
      </c>
      <c r="BA1782" s="135"/>
      <c r="BB1782" s="135" t="s">
        <v>3519</v>
      </c>
      <c r="BC1782" s="128" t="s">
        <v>6812</v>
      </c>
      <c r="BD1782" s="24">
        <v>44568</v>
      </c>
      <c r="BE1782" s="132" t="s">
        <v>5944</v>
      </c>
      <c r="BF1782" s="132" t="s">
        <v>5944</v>
      </c>
      <c r="BG1782" s="132" t="s">
        <v>29</v>
      </c>
      <c r="BH1782" s="132"/>
      <c r="BI1782" s="314" t="s">
        <v>3</v>
      </c>
      <c r="BJ1782" s="314"/>
      <c r="BK1782" s="24"/>
      <c r="BL1782" s="24"/>
      <c r="BM1782" s="24"/>
      <c r="BN1782" s="24"/>
      <c r="BO1782" s="24"/>
      <c r="BP1782" s="24"/>
      <c r="BQ1782" s="24"/>
      <c r="BR1782" s="24"/>
      <c r="BS1782" s="24"/>
      <c r="BT1782" s="24"/>
      <c r="BU1782" s="24"/>
      <c r="BV1782" s="132" t="e">
        <f>IF(#REF!="COMPLETO","OK","PENDIENTE")</f>
        <v>#REF!</v>
      </c>
      <c r="BW1782" s="132"/>
      <c r="BX1782" s="132"/>
      <c r="BY1782" s="132"/>
      <c r="BZ1782" s="132"/>
      <c r="CA1782" s="132"/>
      <c r="CB1782" s="132"/>
      <c r="CC1782" s="365"/>
      <c r="CG1782" s="132" t="s">
        <v>105</v>
      </c>
      <c r="CH1782" s="132"/>
      <c r="CI1782" s="24"/>
      <c r="CJ1782" s="24"/>
    </row>
    <row r="1783" spans="1:88" ht="15" customHeight="1">
      <c r="A1783" s="18">
        <v>2021</v>
      </c>
      <c r="B1783" s="18" t="s">
        <v>6191</v>
      </c>
      <c r="C1783" s="360" t="s">
        <v>484</v>
      </c>
      <c r="D1783" s="150" t="s">
        <v>77</v>
      </c>
      <c r="E1783" s="132"/>
      <c r="F1783" s="132"/>
      <c r="G1783" s="346">
        <v>8000001805</v>
      </c>
      <c r="H1783" s="18" t="s">
        <v>6813</v>
      </c>
      <c r="I1783" s="329"/>
      <c r="J1783" s="346">
        <v>8000001805</v>
      </c>
      <c r="K1783" s="24"/>
      <c r="L1783" s="24"/>
      <c r="M1783" s="24"/>
      <c r="N1783" s="340" t="s">
        <v>486</v>
      </c>
      <c r="O1783" s="334">
        <v>208067</v>
      </c>
      <c r="P1783" s="25" t="s">
        <v>383</v>
      </c>
      <c r="Q1783" s="127" t="s">
        <v>303</v>
      </c>
      <c r="R1783" s="232">
        <v>4600019287</v>
      </c>
      <c r="S1783" s="89">
        <v>44505</v>
      </c>
      <c r="T1783" s="36">
        <v>30</v>
      </c>
      <c r="U1783" s="125" t="s">
        <v>131</v>
      </c>
      <c r="V1783" s="147" t="s">
        <v>6814</v>
      </c>
      <c r="W1783" s="129"/>
      <c r="X1783" s="88">
        <v>44608</v>
      </c>
      <c r="Y1783" s="130" t="s">
        <v>20</v>
      </c>
      <c r="Z1783" s="133" t="s">
        <v>60</v>
      </c>
      <c r="AA1783" s="133"/>
      <c r="AB1783" s="241">
        <v>270</v>
      </c>
      <c r="AC1783" s="134">
        <v>372.44</v>
      </c>
      <c r="AD1783" s="134"/>
      <c r="AE1783" s="403">
        <f t="shared" si="109"/>
        <v>100558.8</v>
      </c>
      <c r="AF1783" s="132">
        <v>10</v>
      </c>
      <c r="AG1783" s="130" t="s">
        <v>5</v>
      </c>
      <c r="AH1783" s="130"/>
      <c r="AI1783" s="130" t="s">
        <v>34</v>
      </c>
      <c r="AJ1783" s="130"/>
      <c r="AK1783" s="130"/>
      <c r="AL1783" s="256" t="s">
        <v>6412</v>
      </c>
      <c r="AM1783" s="314"/>
      <c r="AN1783" s="26">
        <f t="shared" si="114"/>
        <v>0</v>
      </c>
      <c r="AO1783" s="26">
        <v>44575</v>
      </c>
      <c r="AP1783" s="26">
        <f t="shared" ref="AP1783:AP1788" si="116">AQ1783</f>
        <v>44579</v>
      </c>
      <c r="AQ1783" s="26">
        <f>AO1783+4</f>
        <v>44579</v>
      </c>
      <c r="AR1783" s="24">
        <f t="shared" si="115"/>
        <v>44583</v>
      </c>
      <c r="AS1783" s="24"/>
      <c r="AT1783" s="24">
        <v>44586</v>
      </c>
      <c r="AU1783" s="418">
        <f t="shared" si="110"/>
        <v>1</v>
      </c>
      <c r="AV1783" s="418">
        <f t="shared" si="111"/>
        <v>2022</v>
      </c>
      <c r="AW1783" s="24"/>
      <c r="AX1783" s="24"/>
      <c r="AY1783" s="24" t="s">
        <v>3415</v>
      </c>
      <c r="AZ1783" s="135" t="s">
        <v>9</v>
      </c>
      <c r="BA1783" s="135"/>
      <c r="BB1783" s="135" t="s">
        <v>3264</v>
      </c>
      <c r="BC1783" s="128" t="s">
        <v>6815</v>
      </c>
      <c r="BD1783" s="24">
        <v>44575</v>
      </c>
      <c r="BE1783" s="132" t="s">
        <v>6816</v>
      </c>
      <c r="BF1783" s="132" t="s">
        <v>947</v>
      </c>
      <c r="BG1783" s="132" t="s">
        <v>29</v>
      </c>
      <c r="BH1783" s="132"/>
      <c r="BI1783" s="314" t="s">
        <v>3</v>
      </c>
      <c r="BJ1783" s="314" t="s">
        <v>148</v>
      </c>
      <c r="BK1783" s="24"/>
      <c r="BL1783" s="24"/>
      <c r="BM1783" s="24"/>
      <c r="BN1783" s="24"/>
      <c r="BO1783" s="24">
        <v>44599</v>
      </c>
      <c r="BP1783" s="24"/>
      <c r="BQ1783" s="24"/>
      <c r="BR1783" s="24"/>
      <c r="BS1783" s="24"/>
      <c r="BT1783" s="24"/>
      <c r="BU1783" s="24"/>
      <c r="BV1783" s="132" t="e">
        <f>IF(#REF!="COMPLETO","OK","PENDIENTE")</f>
        <v>#REF!</v>
      </c>
      <c r="BW1783" s="132"/>
      <c r="BX1783" s="132"/>
      <c r="BY1783" s="132"/>
      <c r="BZ1783" s="132"/>
      <c r="CA1783" s="132"/>
      <c r="CB1783" s="132"/>
      <c r="CC1783" s="365"/>
      <c r="CG1783" s="132" t="s">
        <v>105</v>
      </c>
      <c r="CH1783" s="132"/>
      <c r="CI1783" s="24"/>
      <c r="CJ1783" s="24"/>
    </row>
    <row r="1784" spans="1:88" ht="15" customHeight="1">
      <c r="A1784" s="18">
        <v>2021</v>
      </c>
      <c r="B1784" s="18" t="s">
        <v>6191</v>
      </c>
      <c r="C1784" s="360" t="s">
        <v>484</v>
      </c>
      <c r="D1784" s="150" t="s">
        <v>77</v>
      </c>
      <c r="E1784" s="132"/>
      <c r="F1784" s="24"/>
      <c r="G1784" s="346">
        <v>8000001825</v>
      </c>
      <c r="H1784" s="18" t="s">
        <v>6817</v>
      </c>
      <c r="I1784" s="329"/>
      <c r="J1784" s="346">
        <v>8000001825</v>
      </c>
      <c r="K1784" s="24"/>
      <c r="L1784" s="24">
        <v>44596</v>
      </c>
      <c r="M1784" s="24">
        <v>44596</v>
      </c>
      <c r="N1784" s="340" t="s">
        <v>486</v>
      </c>
      <c r="O1784" s="334">
        <v>208067</v>
      </c>
      <c r="P1784" s="25" t="s">
        <v>383</v>
      </c>
      <c r="Q1784" s="127" t="s">
        <v>303</v>
      </c>
      <c r="R1784" s="232" t="s">
        <v>6806</v>
      </c>
      <c r="S1784" s="89">
        <v>44505</v>
      </c>
      <c r="T1784" s="36">
        <v>30</v>
      </c>
      <c r="U1784" s="125" t="s">
        <v>131</v>
      </c>
      <c r="V1784" s="147" t="s">
        <v>6818</v>
      </c>
      <c r="W1784" s="129"/>
      <c r="X1784" s="88">
        <v>44622</v>
      </c>
      <c r="Y1784" s="130" t="s">
        <v>20</v>
      </c>
      <c r="Z1784" s="133" t="s">
        <v>60</v>
      </c>
      <c r="AA1784" s="133"/>
      <c r="AB1784" s="241">
        <v>216</v>
      </c>
      <c r="AC1784" s="134">
        <v>372.44</v>
      </c>
      <c r="AD1784" s="24"/>
      <c r="AE1784" s="403">
        <f t="shared" si="109"/>
        <v>80447.039999999994</v>
      </c>
      <c r="AF1784" s="132">
        <v>8</v>
      </c>
      <c r="AG1784" s="130" t="s">
        <v>5</v>
      </c>
      <c r="AH1784" s="130"/>
      <c r="AI1784" s="130" t="s">
        <v>34</v>
      </c>
      <c r="AJ1784" s="130"/>
      <c r="AK1784" s="130"/>
      <c r="AL1784" s="256" t="s">
        <v>6412</v>
      </c>
      <c r="AM1784" s="314"/>
      <c r="AN1784" s="26">
        <f t="shared" si="114"/>
        <v>0</v>
      </c>
      <c r="AO1784" s="26">
        <v>44589</v>
      </c>
      <c r="AP1784" s="26">
        <f>AQ1784</f>
        <v>44593</v>
      </c>
      <c r="AQ1784" s="26">
        <v>44593</v>
      </c>
      <c r="AR1784" s="24">
        <f t="shared" si="115"/>
        <v>44597</v>
      </c>
      <c r="AS1784" s="24"/>
      <c r="AT1784" s="24">
        <v>44597</v>
      </c>
      <c r="AU1784" s="418">
        <f t="shared" si="110"/>
        <v>2</v>
      </c>
      <c r="AV1784" s="418">
        <f t="shared" si="111"/>
        <v>2022</v>
      </c>
      <c r="AW1784" s="24"/>
      <c r="AX1784" s="24"/>
      <c r="AY1784" s="24" t="s">
        <v>3415</v>
      </c>
      <c r="AZ1784" s="135" t="s">
        <v>9</v>
      </c>
      <c r="BA1784" s="135"/>
      <c r="BB1784" s="135" t="s">
        <v>2956</v>
      </c>
      <c r="BC1784" s="128" t="s">
        <v>6819</v>
      </c>
      <c r="BD1784" s="24">
        <v>44589</v>
      </c>
      <c r="BE1784" s="132" t="s">
        <v>6816</v>
      </c>
      <c r="BF1784" s="132" t="s">
        <v>6816</v>
      </c>
      <c r="BG1784" s="132" t="s">
        <v>29</v>
      </c>
      <c r="BH1784" s="132"/>
      <c r="BI1784" s="314" t="s">
        <v>3</v>
      </c>
      <c r="BJ1784" s="314" t="s">
        <v>148</v>
      </c>
      <c r="BK1784" s="24"/>
      <c r="BL1784" s="24"/>
      <c r="BM1784" s="24"/>
      <c r="BN1784" s="24"/>
      <c r="BO1784" s="24"/>
      <c r="BP1784" s="24"/>
      <c r="BQ1784" s="24" t="s">
        <v>6820</v>
      </c>
      <c r="BR1784" s="24">
        <v>44592</v>
      </c>
      <c r="BS1784" s="24" t="s">
        <v>38</v>
      </c>
      <c r="BT1784" s="24" t="s">
        <v>11</v>
      </c>
      <c r="BU1784" s="24"/>
      <c r="BV1784" s="132" t="e">
        <f>IF(#REF!="COMPLETO","OK","PENDIENTE")</f>
        <v>#REF!</v>
      </c>
      <c r="BW1784" s="132"/>
      <c r="BX1784" s="132"/>
      <c r="BY1784" s="132"/>
      <c r="BZ1784" s="132"/>
      <c r="CA1784" s="132"/>
      <c r="CB1784" s="132"/>
      <c r="CC1784" s="365"/>
      <c r="CG1784" s="24" t="s">
        <v>105</v>
      </c>
      <c r="CH1784" s="24"/>
      <c r="CI1784" s="24"/>
      <c r="CJ1784" s="24"/>
    </row>
    <row r="1785" spans="1:88" ht="14.45" customHeight="1">
      <c r="A1785" s="18">
        <v>2021</v>
      </c>
      <c r="B1785" s="18" t="s">
        <v>6191</v>
      </c>
      <c r="C1785" s="360" t="s">
        <v>484</v>
      </c>
      <c r="D1785" s="150" t="s">
        <v>77</v>
      </c>
      <c r="E1785" s="132"/>
      <c r="F1785" s="24"/>
      <c r="G1785" s="346">
        <v>8000001775</v>
      </c>
      <c r="H1785" s="18" t="s">
        <v>6821</v>
      </c>
      <c r="I1785" s="329"/>
      <c r="J1785" s="346">
        <v>8000001775</v>
      </c>
      <c r="K1785" s="24"/>
      <c r="L1785" s="24">
        <v>0</v>
      </c>
      <c r="M1785" s="24">
        <v>44553</v>
      </c>
      <c r="N1785" s="340" t="s">
        <v>486</v>
      </c>
      <c r="O1785" s="334">
        <v>208067</v>
      </c>
      <c r="P1785" s="25" t="s">
        <v>383</v>
      </c>
      <c r="Q1785" s="127" t="s">
        <v>303</v>
      </c>
      <c r="R1785" s="232" t="s">
        <v>6822</v>
      </c>
      <c r="S1785" s="89">
        <v>44505</v>
      </c>
      <c r="T1785" s="36">
        <v>30</v>
      </c>
      <c r="U1785" s="125" t="s">
        <v>131</v>
      </c>
      <c r="V1785" s="147" t="s">
        <v>6823</v>
      </c>
      <c r="W1785" s="129"/>
      <c r="X1785" s="88">
        <v>44574</v>
      </c>
      <c r="Y1785" s="130" t="s">
        <v>20</v>
      </c>
      <c r="Z1785" s="133" t="s">
        <v>60</v>
      </c>
      <c r="AA1785" s="133"/>
      <c r="AB1785" s="241">
        <v>162</v>
      </c>
      <c r="AC1785" s="134">
        <v>296.06</v>
      </c>
      <c r="AD1785" s="134"/>
      <c r="AE1785" s="403">
        <f t="shared" si="109"/>
        <v>47961.72</v>
      </c>
      <c r="AF1785" s="132">
        <v>6</v>
      </c>
      <c r="AG1785" s="130" t="s">
        <v>5</v>
      </c>
      <c r="AH1785" s="130"/>
      <c r="AI1785" s="130" t="s">
        <v>34</v>
      </c>
      <c r="AJ1785" s="130"/>
      <c r="AK1785" s="130"/>
      <c r="AL1785" s="256" t="s">
        <v>6412</v>
      </c>
      <c r="AM1785" s="314"/>
      <c r="AN1785" s="26">
        <f t="shared" si="114"/>
        <v>0</v>
      </c>
      <c r="AO1785" s="26">
        <v>44538</v>
      </c>
      <c r="AP1785" s="26">
        <f t="shared" si="116"/>
        <v>44546</v>
      </c>
      <c r="AQ1785" s="26">
        <v>44546</v>
      </c>
      <c r="AR1785" s="24">
        <f t="shared" si="115"/>
        <v>44550</v>
      </c>
      <c r="AS1785" s="24"/>
      <c r="AT1785" s="24">
        <v>44552</v>
      </c>
      <c r="AU1785" s="418">
        <f t="shared" si="110"/>
        <v>12</v>
      </c>
      <c r="AV1785" s="418">
        <f t="shared" si="111"/>
        <v>2021</v>
      </c>
      <c r="AW1785" s="24"/>
      <c r="AX1785" s="24"/>
      <c r="AY1785" s="24" t="s">
        <v>3415</v>
      </c>
      <c r="AZ1785" s="135" t="s">
        <v>37</v>
      </c>
      <c r="BA1785" s="135"/>
      <c r="BB1785" s="132" t="s">
        <v>3291</v>
      </c>
      <c r="BC1785" s="128" t="s">
        <v>6824</v>
      </c>
      <c r="BD1785" s="24">
        <v>44538</v>
      </c>
      <c r="BE1785" s="132" t="s">
        <v>579</v>
      </c>
      <c r="BF1785" s="132" t="s">
        <v>579</v>
      </c>
      <c r="BG1785" s="132" t="s">
        <v>64</v>
      </c>
      <c r="BH1785" s="132"/>
      <c r="BI1785" s="314" t="s">
        <v>3</v>
      </c>
      <c r="BJ1785" s="314" t="s">
        <v>148</v>
      </c>
      <c r="BK1785" s="24"/>
      <c r="BL1785" s="24"/>
      <c r="BM1785" s="24"/>
      <c r="BN1785" s="24"/>
      <c r="BO1785" s="24">
        <v>44551</v>
      </c>
      <c r="BP1785" s="24"/>
      <c r="BQ1785" s="24"/>
      <c r="BR1785" s="24"/>
      <c r="BS1785" s="24"/>
      <c r="BT1785" s="24"/>
      <c r="BU1785" s="24"/>
      <c r="BV1785" s="132" t="e">
        <f>IF(#REF!="COMPLETO","OK","PENDIENTE")</f>
        <v>#REF!</v>
      </c>
      <c r="BW1785" s="132"/>
      <c r="BX1785" s="132"/>
      <c r="BY1785" s="132"/>
      <c r="BZ1785" s="132"/>
      <c r="CA1785" s="132"/>
      <c r="CB1785" s="132"/>
      <c r="CC1785" s="365"/>
      <c r="CG1785" s="24" t="s">
        <v>105</v>
      </c>
      <c r="CH1785" s="24"/>
      <c r="CI1785" s="24"/>
      <c r="CJ1785" s="24"/>
    </row>
    <row r="1786" spans="1:88" ht="14.45" customHeight="1">
      <c r="A1786" s="18">
        <v>2021</v>
      </c>
      <c r="B1786" s="18" t="s">
        <v>6191</v>
      </c>
      <c r="C1786" s="360" t="s">
        <v>484</v>
      </c>
      <c r="D1786" s="150" t="s">
        <v>77</v>
      </c>
      <c r="E1786" s="132"/>
      <c r="F1786" s="132"/>
      <c r="G1786" s="346">
        <v>8000001776</v>
      </c>
      <c r="H1786" s="18" t="s">
        <v>6825</v>
      </c>
      <c r="I1786" s="329"/>
      <c r="J1786" s="346">
        <v>8000001776</v>
      </c>
      <c r="K1786" s="24"/>
      <c r="L1786" s="24">
        <v>0</v>
      </c>
      <c r="M1786" s="24">
        <v>44560</v>
      </c>
      <c r="N1786" s="340" t="s">
        <v>486</v>
      </c>
      <c r="O1786" s="334">
        <v>208067</v>
      </c>
      <c r="P1786" s="25" t="s">
        <v>383</v>
      </c>
      <c r="Q1786" s="127" t="s">
        <v>303</v>
      </c>
      <c r="R1786" s="232" t="s">
        <v>6822</v>
      </c>
      <c r="S1786" s="89">
        <v>44505</v>
      </c>
      <c r="T1786" s="36">
        <v>30</v>
      </c>
      <c r="U1786" s="125" t="s">
        <v>131</v>
      </c>
      <c r="V1786" s="147" t="s">
        <v>6826</v>
      </c>
      <c r="W1786" s="129"/>
      <c r="X1786" s="88">
        <v>44576</v>
      </c>
      <c r="Y1786" s="130" t="s">
        <v>20</v>
      </c>
      <c r="Z1786" s="133" t="s">
        <v>60</v>
      </c>
      <c r="AA1786" s="133"/>
      <c r="AB1786" s="241">
        <v>162</v>
      </c>
      <c r="AC1786" s="134">
        <v>372.44</v>
      </c>
      <c r="AD1786" s="134"/>
      <c r="AE1786" s="403">
        <f t="shared" si="109"/>
        <v>60335.28</v>
      </c>
      <c r="AF1786" s="132">
        <v>6</v>
      </c>
      <c r="AG1786" s="130" t="s">
        <v>5</v>
      </c>
      <c r="AH1786" s="130"/>
      <c r="AI1786" s="130" t="s">
        <v>34</v>
      </c>
      <c r="AJ1786" s="130"/>
      <c r="AK1786" s="130"/>
      <c r="AL1786" s="256" t="s">
        <v>6412</v>
      </c>
      <c r="AM1786" s="314"/>
      <c r="AN1786" s="26">
        <f t="shared" si="114"/>
        <v>0</v>
      </c>
      <c r="AO1786" s="26">
        <v>44545</v>
      </c>
      <c r="AP1786" s="26">
        <f t="shared" si="116"/>
        <v>44553</v>
      </c>
      <c r="AQ1786" s="26">
        <v>44553</v>
      </c>
      <c r="AR1786" s="24">
        <f t="shared" si="115"/>
        <v>44557</v>
      </c>
      <c r="AS1786" s="24"/>
      <c r="AT1786" s="24">
        <v>44558</v>
      </c>
      <c r="AU1786" s="418">
        <f t="shared" si="110"/>
        <v>12</v>
      </c>
      <c r="AV1786" s="418">
        <f t="shared" si="111"/>
        <v>2021</v>
      </c>
      <c r="AW1786" s="24"/>
      <c r="AX1786" s="24"/>
      <c r="AY1786" s="24" t="s">
        <v>3415</v>
      </c>
      <c r="AZ1786" s="135" t="s">
        <v>37</v>
      </c>
      <c r="BA1786" s="135"/>
      <c r="BB1786" s="135" t="s">
        <v>3291</v>
      </c>
      <c r="BC1786" s="128" t="s">
        <v>6827</v>
      </c>
      <c r="BD1786" s="24">
        <v>44545</v>
      </c>
      <c r="BE1786" s="132" t="s">
        <v>2668</v>
      </c>
      <c r="BF1786" s="132" t="s">
        <v>2668</v>
      </c>
      <c r="BG1786" s="132" t="s">
        <v>64</v>
      </c>
      <c r="BH1786" s="132"/>
      <c r="BI1786" s="314" t="s">
        <v>3</v>
      </c>
      <c r="BJ1786" s="314" t="s">
        <v>148</v>
      </c>
      <c r="BK1786" s="24"/>
      <c r="BL1786" s="24"/>
      <c r="BM1786" s="24"/>
      <c r="BN1786" s="24"/>
      <c r="BO1786" s="41"/>
      <c r="BP1786" s="41"/>
      <c r="BQ1786" s="41"/>
      <c r="BR1786" s="24"/>
      <c r="BS1786" s="41"/>
      <c r="BT1786" s="41"/>
      <c r="BU1786" s="41"/>
      <c r="BV1786" s="132" t="e">
        <f>IF(#REF!="COMPLETO","OK","PENDIENTE")</f>
        <v>#REF!</v>
      </c>
      <c r="BW1786" s="132"/>
      <c r="BX1786" s="132"/>
      <c r="BY1786" s="132"/>
      <c r="BZ1786" s="132"/>
      <c r="CA1786" s="132"/>
      <c r="CB1786" s="132"/>
      <c r="CC1786" s="365"/>
      <c r="CG1786" s="132" t="s">
        <v>105</v>
      </c>
      <c r="CH1786" s="132"/>
      <c r="CI1786" s="24"/>
      <c r="CJ1786" s="24"/>
    </row>
    <row r="1787" spans="1:88" ht="14.45" customHeight="1">
      <c r="A1787" s="18">
        <v>2021</v>
      </c>
      <c r="B1787" s="18" t="s">
        <v>6191</v>
      </c>
      <c r="C1787" s="360" t="s">
        <v>484</v>
      </c>
      <c r="D1787" s="150" t="s">
        <v>77</v>
      </c>
      <c r="E1787" s="132"/>
      <c r="F1787" s="132"/>
      <c r="G1787" s="346">
        <v>8000001777</v>
      </c>
      <c r="H1787" s="18" t="s">
        <v>6828</v>
      </c>
      <c r="I1787" s="329"/>
      <c r="J1787" s="346">
        <v>8000001777</v>
      </c>
      <c r="K1787" s="24"/>
      <c r="L1787" s="24">
        <v>44568</v>
      </c>
      <c r="M1787" s="24">
        <v>44568</v>
      </c>
      <c r="N1787" s="340" t="s">
        <v>486</v>
      </c>
      <c r="O1787" s="334">
        <v>208067</v>
      </c>
      <c r="P1787" s="25" t="s">
        <v>383</v>
      </c>
      <c r="Q1787" s="127" t="s">
        <v>303</v>
      </c>
      <c r="R1787" s="232" t="s">
        <v>6822</v>
      </c>
      <c r="S1787" s="89">
        <v>44505</v>
      </c>
      <c r="T1787" s="36">
        <v>30</v>
      </c>
      <c r="U1787" s="125" t="s">
        <v>131</v>
      </c>
      <c r="V1787" s="147" t="s">
        <v>6829</v>
      </c>
      <c r="W1787" s="129"/>
      <c r="X1787" s="88">
        <v>44583</v>
      </c>
      <c r="Y1787" s="130" t="s">
        <v>20</v>
      </c>
      <c r="Z1787" s="133" t="s">
        <v>60</v>
      </c>
      <c r="AA1787" s="133"/>
      <c r="AB1787" s="241">
        <v>216</v>
      </c>
      <c r="AC1787" s="134">
        <v>372.44</v>
      </c>
      <c r="AD1787" s="134"/>
      <c r="AE1787" s="403">
        <f t="shared" si="109"/>
        <v>80447.039999999994</v>
      </c>
      <c r="AF1787" s="132">
        <v>8</v>
      </c>
      <c r="AG1787" s="130" t="s">
        <v>5</v>
      </c>
      <c r="AH1787" s="130"/>
      <c r="AI1787" s="130" t="s">
        <v>34</v>
      </c>
      <c r="AJ1787" s="130"/>
      <c r="AK1787" s="130"/>
      <c r="AL1787" s="256" t="s">
        <v>6412</v>
      </c>
      <c r="AM1787" s="314"/>
      <c r="AN1787" s="26">
        <f t="shared" si="114"/>
        <v>0</v>
      </c>
      <c r="AO1787" s="26">
        <v>44552</v>
      </c>
      <c r="AP1787" s="26">
        <f t="shared" si="116"/>
        <v>44560</v>
      </c>
      <c r="AQ1787" s="26">
        <v>44560</v>
      </c>
      <c r="AR1787" s="24">
        <f t="shared" si="115"/>
        <v>44564</v>
      </c>
      <c r="AS1787" s="24"/>
      <c r="AT1787" s="24">
        <v>44567</v>
      </c>
      <c r="AU1787" s="418">
        <f t="shared" si="110"/>
        <v>1</v>
      </c>
      <c r="AV1787" s="418">
        <f t="shared" si="111"/>
        <v>2022</v>
      </c>
      <c r="AW1787" s="24"/>
      <c r="AX1787" s="24"/>
      <c r="AY1787" s="24" t="s">
        <v>3415</v>
      </c>
      <c r="AZ1787" s="135" t="s">
        <v>37</v>
      </c>
      <c r="BA1787" s="135"/>
      <c r="BB1787" s="135" t="s">
        <v>3291</v>
      </c>
      <c r="BC1787" s="128" t="s">
        <v>6830</v>
      </c>
      <c r="BD1787" s="24">
        <v>44552</v>
      </c>
      <c r="BE1787" s="132" t="s">
        <v>6831</v>
      </c>
      <c r="BF1787" s="132" t="s">
        <v>6831</v>
      </c>
      <c r="BG1787" s="132" t="s">
        <v>64</v>
      </c>
      <c r="BH1787" s="132"/>
      <c r="BI1787" s="314" t="s">
        <v>124</v>
      </c>
      <c r="BJ1787" s="314" t="s">
        <v>138</v>
      </c>
      <c r="BK1787" s="24"/>
      <c r="BL1787" s="24"/>
      <c r="BM1787" s="24"/>
      <c r="BN1787" s="24"/>
      <c r="BO1787" s="24">
        <v>44581</v>
      </c>
      <c r="BP1787" s="24"/>
      <c r="BQ1787" s="24"/>
      <c r="BR1787" s="24"/>
      <c r="BS1787" s="24"/>
      <c r="BT1787" s="24"/>
      <c r="BU1787" s="24"/>
      <c r="BV1787" s="132" t="e">
        <f>IF(#REF!="COMPLETO","OK","PENDIENTE")</f>
        <v>#REF!</v>
      </c>
      <c r="BW1787" s="132"/>
      <c r="BX1787" s="132"/>
      <c r="BY1787" s="132"/>
      <c r="BZ1787" s="132"/>
      <c r="CA1787" s="132"/>
      <c r="CB1787" s="132"/>
      <c r="CC1787" s="365"/>
      <c r="CG1787" s="132" t="s">
        <v>105</v>
      </c>
      <c r="CH1787" s="132"/>
      <c r="CI1787" s="24"/>
      <c r="CJ1787" s="24"/>
    </row>
    <row r="1788" spans="1:88" ht="14.45" customHeight="1">
      <c r="A1788" s="18">
        <v>2021</v>
      </c>
      <c r="B1788" s="18" t="s">
        <v>6191</v>
      </c>
      <c r="C1788" s="360" t="s">
        <v>484</v>
      </c>
      <c r="D1788" s="150" t="s">
        <v>77</v>
      </c>
      <c r="E1788" s="132"/>
      <c r="F1788" s="132"/>
      <c r="G1788" s="346">
        <v>8000001778</v>
      </c>
      <c r="H1788" s="18" t="s">
        <v>6832</v>
      </c>
      <c r="I1788" s="329"/>
      <c r="J1788" s="346">
        <v>8000001778</v>
      </c>
      <c r="K1788" s="24"/>
      <c r="L1788" s="24">
        <v>44575</v>
      </c>
      <c r="M1788" s="24">
        <v>44575</v>
      </c>
      <c r="N1788" s="340" t="s">
        <v>486</v>
      </c>
      <c r="O1788" s="334">
        <v>208067</v>
      </c>
      <c r="P1788" s="25" t="s">
        <v>383</v>
      </c>
      <c r="Q1788" s="127" t="s">
        <v>303</v>
      </c>
      <c r="R1788" s="232" t="s">
        <v>6822</v>
      </c>
      <c r="S1788" s="89">
        <v>44505</v>
      </c>
      <c r="T1788" s="36">
        <v>30</v>
      </c>
      <c r="U1788" s="125" t="s">
        <v>131</v>
      </c>
      <c r="V1788" s="147" t="s">
        <v>6833</v>
      </c>
      <c r="W1788" s="129"/>
      <c r="X1788" s="88">
        <v>44590</v>
      </c>
      <c r="Y1788" s="130" t="s">
        <v>20</v>
      </c>
      <c r="Z1788" s="133" t="s">
        <v>60</v>
      </c>
      <c r="AA1788" s="133"/>
      <c r="AB1788" s="241">
        <v>216</v>
      </c>
      <c r="AC1788" s="134">
        <v>372.44</v>
      </c>
      <c r="AD1788" s="134"/>
      <c r="AE1788" s="403">
        <f t="shared" si="109"/>
        <v>80447.039999999994</v>
      </c>
      <c r="AF1788" s="132">
        <v>8</v>
      </c>
      <c r="AG1788" s="130" t="s">
        <v>5</v>
      </c>
      <c r="AH1788" s="130"/>
      <c r="AI1788" s="130" t="s">
        <v>34</v>
      </c>
      <c r="AJ1788" s="130"/>
      <c r="AK1788" s="130"/>
      <c r="AL1788" s="256" t="s">
        <v>6412</v>
      </c>
      <c r="AM1788" s="314"/>
      <c r="AN1788" s="26">
        <f t="shared" si="114"/>
        <v>0</v>
      </c>
      <c r="AO1788" s="26">
        <v>44559</v>
      </c>
      <c r="AP1788" s="26">
        <f t="shared" si="116"/>
        <v>44568</v>
      </c>
      <c r="AQ1788" s="26">
        <v>44568</v>
      </c>
      <c r="AR1788" s="24">
        <f t="shared" si="115"/>
        <v>44572</v>
      </c>
      <c r="AS1788" s="24"/>
      <c r="AT1788" s="24">
        <v>44574</v>
      </c>
      <c r="AU1788" s="418">
        <f t="shared" si="110"/>
        <v>1</v>
      </c>
      <c r="AV1788" s="418">
        <f t="shared" si="111"/>
        <v>2022</v>
      </c>
      <c r="AW1788" s="24"/>
      <c r="AX1788" s="24"/>
      <c r="AY1788" s="24" t="s">
        <v>3415</v>
      </c>
      <c r="AZ1788" s="135" t="s">
        <v>37</v>
      </c>
      <c r="BA1788" s="135"/>
      <c r="BB1788" s="132" t="s">
        <v>3291</v>
      </c>
      <c r="BC1788" s="128" t="s">
        <v>6834</v>
      </c>
      <c r="BD1788" s="24">
        <v>44559</v>
      </c>
      <c r="BE1788" s="132" t="s">
        <v>6809</v>
      </c>
      <c r="BF1788" s="132" t="s">
        <v>6809</v>
      </c>
      <c r="BG1788" s="132" t="s">
        <v>64</v>
      </c>
      <c r="BH1788" s="132"/>
      <c r="BI1788" s="314" t="s">
        <v>3</v>
      </c>
      <c r="BJ1788" s="314" t="s">
        <v>148</v>
      </c>
      <c r="BK1788" s="24"/>
      <c r="BL1788" s="24"/>
      <c r="BM1788" s="24"/>
      <c r="BN1788" s="24"/>
      <c r="BO1788" s="24">
        <v>44588</v>
      </c>
      <c r="BP1788" s="24"/>
      <c r="BQ1788" s="24"/>
      <c r="BR1788" s="24"/>
      <c r="BS1788" s="24"/>
      <c r="BT1788" s="24"/>
      <c r="BU1788" s="24"/>
      <c r="BV1788" s="132" t="e">
        <f>IF(#REF!="COMPLETO","OK","PENDIENTE")</f>
        <v>#REF!</v>
      </c>
      <c r="BW1788" s="132"/>
      <c r="BX1788" s="132"/>
      <c r="BY1788" s="132"/>
      <c r="BZ1788" s="132"/>
      <c r="CA1788" s="132"/>
      <c r="CB1788" s="132"/>
      <c r="CC1788" s="365"/>
      <c r="CG1788" s="132" t="s">
        <v>105</v>
      </c>
      <c r="CH1788" s="132"/>
      <c r="CI1788" s="24"/>
      <c r="CJ1788" s="24"/>
    </row>
    <row r="1789" spans="1:88" ht="15" customHeight="1">
      <c r="A1789" s="18">
        <v>2021</v>
      </c>
      <c r="B1789" s="18" t="s">
        <v>6191</v>
      </c>
      <c r="C1789" s="360" t="s">
        <v>484</v>
      </c>
      <c r="D1789" s="150" t="s">
        <v>77</v>
      </c>
      <c r="E1789" s="132"/>
      <c r="F1789" s="132"/>
      <c r="G1789" s="346">
        <v>8000001783</v>
      </c>
      <c r="H1789" s="18" t="s">
        <v>6835</v>
      </c>
      <c r="I1789" s="329"/>
      <c r="J1789" s="346">
        <v>8000001783</v>
      </c>
      <c r="K1789" s="24"/>
      <c r="L1789" s="24">
        <v>44567</v>
      </c>
      <c r="M1789" s="24">
        <v>44567</v>
      </c>
      <c r="N1789" s="340" t="s">
        <v>486</v>
      </c>
      <c r="O1789" s="334">
        <v>208067</v>
      </c>
      <c r="P1789" s="25" t="s">
        <v>383</v>
      </c>
      <c r="Q1789" s="127" t="s">
        <v>303</v>
      </c>
      <c r="R1789" s="232" t="s">
        <v>6836</v>
      </c>
      <c r="S1789" s="89">
        <v>44505</v>
      </c>
      <c r="T1789" s="36">
        <v>30</v>
      </c>
      <c r="U1789" s="125" t="s">
        <v>131</v>
      </c>
      <c r="V1789" s="147" t="s">
        <v>6837</v>
      </c>
      <c r="W1789" s="129"/>
      <c r="X1789" s="88">
        <v>44576</v>
      </c>
      <c r="Y1789" s="130" t="s">
        <v>20</v>
      </c>
      <c r="Z1789" s="133" t="s">
        <v>60</v>
      </c>
      <c r="AA1789" s="133"/>
      <c r="AB1789" s="241">
        <v>270</v>
      </c>
      <c r="AC1789" s="134">
        <v>372.44</v>
      </c>
      <c r="AD1789" s="134"/>
      <c r="AE1789" s="403">
        <f t="shared" si="109"/>
        <v>100558.8</v>
      </c>
      <c r="AF1789" s="132">
        <v>10</v>
      </c>
      <c r="AG1789" s="130" t="s">
        <v>5</v>
      </c>
      <c r="AH1789" s="130"/>
      <c r="AI1789" s="130" t="s">
        <v>34</v>
      </c>
      <c r="AJ1789" s="130"/>
      <c r="AK1789" s="130"/>
      <c r="AL1789" s="256" t="s">
        <v>6412</v>
      </c>
      <c r="AM1789" s="314"/>
      <c r="AN1789" s="26">
        <f t="shared" si="114"/>
        <v>0</v>
      </c>
      <c r="AO1789" s="26">
        <v>44541</v>
      </c>
      <c r="AP1789" s="26">
        <f>AQ1789</f>
        <v>44556</v>
      </c>
      <c r="AQ1789" s="26">
        <v>44556</v>
      </c>
      <c r="AR1789" s="24">
        <f>AQ1789+3</f>
        <v>44559</v>
      </c>
      <c r="AS1789" s="41"/>
      <c r="AT1789" s="24">
        <v>44571</v>
      </c>
      <c r="AU1789" s="418">
        <f t="shared" si="110"/>
        <v>1</v>
      </c>
      <c r="AV1789" s="418">
        <f t="shared" si="111"/>
        <v>2022</v>
      </c>
      <c r="AW1789" s="24"/>
      <c r="AX1789" s="24"/>
      <c r="AY1789" s="24" t="s">
        <v>3415</v>
      </c>
      <c r="AZ1789" s="135" t="s">
        <v>62</v>
      </c>
      <c r="BA1789" s="135"/>
      <c r="BB1789" s="24" t="s">
        <v>3264</v>
      </c>
      <c r="BC1789" s="128" t="s">
        <v>6838</v>
      </c>
      <c r="BD1789" s="24">
        <v>44541</v>
      </c>
      <c r="BE1789" s="24" t="s">
        <v>1938</v>
      </c>
      <c r="BF1789" s="24" t="s">
        <v>1938</v>
      </c>
      <c r="BG1789" s="132" t="s">
        <v>29</v>
      </c>
      <c r="BH1789" s="132"/>
      <c r="BI1789" s="314" t="s">
        <v>3</v>
      </c>
      <c r="BJ1789" s="314" t="s">
        <v>148</v>
      </c>
      <c r="BK1789" s="24"/>
      <c r="BL1789" s="24"/>
      <c r="BM1789" s="24"/>
      <c r="BN1789" s="24"/>
      <c r="BO1789" s="24">
        <v>44577</v>
      </c>
      <c r="BP1789" s="24"/>
      <c r="BQ1789" s="24"/>
      <c r="BR1789" s="24"/>
      <c r="BS1789" s="24"/>
      <c r="BT1789" s="24"/>
      <c r="BU1789" s="24"/>
      <c r="BV1789" s="132" t="e">
        <f>IF(#REF!="COMPLETO","OK","PENDIENTE")</f>
        <v>#REF!</v>
      </c>
      <c r="BW1789" s="132"/>
      <c r="BX1789" s="132"/>
      <c r="BY1789" s="132"/>
      <c r="BZ1789" s="132"/>
      <c r="CA1789" s="132"/>
      <c r="CB1789" s="132"/>
      <c r="CC1789" s="365"/>
      <c r="CG1789" s="132" t="s">
        <v>105</v>
      </c>
      <c r="CH1789" s="132"/>
      <c r="CI1789" s="24"/>
      <c r="CJ1789" s="24"/>
    </row>
    <row r="1790" spans="1:88" ht="14.45" customHeight="1">
      <c r="A1790" s="18">
        <v>2021</v>
      </c>
      <c r="B1790" s="18" t="str">
        <f>+INDEX(BDD!F:F,MATCH(P1790,BDD!D:D,0))&amp;"-"&amp;INDEX(BDD!E:E,MATCH(P1790,BDD!D:D,0))</f>
        <v>O-S</v>
      </c>
      <c r="C1790" s="360" t="s">
        <v>484</v>
      </c>
      <c r="D1790" s="150" t="s">
        <v>77</v>
      </c>
      <c r="E1790" s="132"/>
      <c r="F1790" s="24"/>
      <c r="G1790" s="346">
        <v>8000001732</v>
      </c>
      <c r="H1790" s="18" t="s">
        <v>6839</v>
      </c>
      <c r="I1790" s="329"/>
      <c r="J1790" s="346">
        <v>8000001732</v>
      </c>
      <c r="K1790" s="24"/>
      <c r="L1790" s="24">
        <v>0</v>
      </c>
      <c r="M1790" s="24">
        <v>44540</v>
      </c>
      <c r="N1790" s="340" t="s">
        <v>486</v>
      </c>
      <c r="O1790" s="334">
        <v>203555</v>
      </c>
      <c r="P1790" s="25" t="s">
        <v>398</v>
      </c>
      <c r="Q1790" s="127" t="s">
        <v>303</v>
      </c>
      <c r="R1790" s="232" t="s">
        <v>6840</v>
      </c>
      <c r="S1790" s="89">
        <v>44505</v>
      </c>
      <c r="T1790" s="36" t="s">
        <v>19</v>
      </c>
      <c r="U1790" s="125"/>
      <c r="V1790" s="147" t="s">
        <v>6841</v>
      </c>
      <c r="W1790" s="129"/>
      <c r="X1790" s="88">
        <v>44533</v>
      </c>
      <c r="Y1790" s="130" t="s">
        <v>20</v>
      </c>
      <c r="Z1790" s="133" t="s">
        <v>60</v>
      </c>
      <c r="AA1790" s="133"/>
      <c r="AB1790" s="241">
        <v>189</v>
      </c>
      <c r="AC1790" s="134">
        <v>352.26</v>
      </c>
      <c r="AD1790" s="134"/>
      <c r="AE1790" s="403">
        <f t="shared" si="109"/>
        <v>66577.14</v>
      </c>
      <c r="AF1790" s="132">
        <v>7</v>
      </c>
      <c r="AG1790" s="130" t="s">
        <v>5</v>
      </c>
      <c r="AH1790" s="130"/>
      <c r="AI1790" s="130" t="s">
        <v>34</v>
      </c>
      <c r="AJ1790" s="130"/>
      <c r="AK1790" s="130"/>
      <c r="AL1790" s="256" t="s">
        <v>6646</v>
      </c>
      <c r="AM1790" s="314"/>
      <c r="AN1790" s="26">
        <f t="shared" si="114"/>
        <v>0</v>
      </c>
      <c r="AO1790" s="26">
        <v>44524</v>
      </c>
      <c r="AP1790" s="26">
        <f t="shared" ref="AP1790:AP1798" si="117">AQ1790</f>
        <v>44532</v>
      </c>
      <c r="AQ1790" s="26">
        <v>44532</v>
      </c>
      <c r="AR1790" s="24">
        <f>AQ1790+4</f>
        <v>44536</v>
      </c>
      <c r="AS1790" s="24"/>
      <c r="AT1790" s="24">
        <v>44541</v>
      </c>
      <c r="AU1790" s="418">
        <f t="shared" si="110"/>
        <v>12</v>
      </c>
      <c r="AV1790" s="418">
        <f t="shared" si="111"/>
        <v>2021</v>
      </c>
      <c r="AW1790" s="24"/>
      <c r="AX1790" s="24"/>
      <c r="AY1790" s="24" t="s">
        <v>3415</v>
      </c>
      <c r="AZ1790" s="24" t="s">
        <v>37</v>
      </c>
      <c r="BA1790" s="24"/>
      <c r="BB1790" s="24" t="s">
        <v>3291</v>
      </c>
      <c r="BC1790" s="128" t="s">
        <v>6842</v>
      </c>
      <c r="BD1790" s="24">
        <v>44524</v>
      </c>
      <c r="BE1790" s="24" t="s">
        <v>756</v>
      </c>
      <c r="BF1790" s="24" t="s">
        <v>756</v>
      </c>
      <c r="BG1790" s="135" t="s">
        <v>64</v>
      </c>
      <c r="BH1790" s="135"/>
      <c r="BI1790" s="314" t="s">
        <v>3</v>
      </c>
      <c r="BJ1790" s="314" t="s">
        <v>148</v>
      </c>
      <c r="BK1790" s="24"/>
      <c r="BL1790" s="24"/>
      <c r="BM1790" s="24"/>
      <c r="BN1790" s="24"/>
      <c r="BO1790" s="41"/>
      <c r="BP1790" s="41"/>
      <c r="BQ1790" s="24"/>
      <c r="BR1790" s="24"/>
      <c r="BS1790" s="24"/>
      <c r="BT1790" s="24"/>
      <c r="BU1790" s="24"/>
      <c r="BV1790" s="132" t="e">
        <f>IF(#REF!="COMPLETO","OK","PENDIENTE")</f>
        <v>#REF!</v>
      </c>
      <c r="BW1790" s="132"/>
      <c r="BX1790" s="132"/>
      <c r="BY1790" s="132"/>
      <c r="BZ1790" s="132"/>
      <c r="CA1790" s="132"/>
      <c r="CB1790" s="132"/>
      <c r="CC1790" s="365"/>
      <c r="CG1790" s="24" t="s">
        <v>105</v>
      </c>
      <c r="CH1790" s="24"/>
      <c r="CI1790" s="24"/>
      <c r="CJ1790" s="24"/>
    </row>
    <row r="1791" spans="1:88" ht="15" customHeight="1">
      <c r="A1791" s="18">
        <v>2021</v>
      </c>
      <c r="B1791" s="18" t="str">
        <f>+INDEX(BDD!F:F,MATCH(P1791,BDD!D:D,0))&amp;"-"&amp;INDEX(BDD!E:E,MATCH(P1791,BDD!D:D,0))</f>
        <v>O-S</v>
      </c>
      <c r="C1791" s="360" t="s">
        <v>484</v>
      </c>
      <c r="D1791" s="150" t="s">
        <v>77</v>
      </c>
      <c r="E1791" s="132"/>
      <c r="F1791" s="24"/>
      <c r="G1791" s="346">
        <v>8000001784</v>
      </c>
      <c r="H1791" s="18" t="s">
        <v>6843</v>
      </c>
      <c r="I1791" s="329"/>
      <c r="J1791" s="346">
        <v>8000001784</v>
      </c>
      <c r="K1791" s="24"/>
      <c r="L1791" s="24">
        <v>44572</v>
      </c>
      <c r="M1791" s="24">
        <v>44572</v>
      </c>
      <c r="N1791" s="340" t="s">
        <v>486</v>
      </c>
      <c r="O1791" s="334">
        <v>208066</v>
      </c>
      <c r="P1791" s="25" t="s">
        <v>398</v>
      </c>
      <c r="Q1791" s="127" t="s">
        <v>303</v>
      </c>
      <c r="R1791" s="232" t="s">
        <v>6844</v>
      </c>
      <c r="S1791" s="89">
        <v>44505</v>
      </c>
      <c r="T1791" s="36" t="s">
        <v>19</v>
      </c>
      <c r="U1791" s="125"/>
      <c r="V1791" s="147" t="s">
        <v>6845</v>
      </c>
      <c r="W1791" s="129"/>
      <c r="X1791" s="88">
        <v>44549</v>
      </c>
      <c r="Y1791" s="130" t="s">
        <v>20</v>
      </c>
      <c r="Z1791" s="133" t="s">
        <v>60</v>
      </c>
      <c r="AA1791" s="133"/>
      <c r="AB1791" s="241">
        <v>216</v>
      </c>
      <c r="AC1791" s="134">
        <v>364.22</v>
      </c>
      <c r="AD1791" s="134"/>
      <c r="AE1791" s="403">
        <f t="shared" si="109"/>
        <v>78671.520000000004</v>
      </c>
      <c r="AF1791" s="132">
        <v>8</v>
      </c>
      <c r="AG1791" s="130" t="s">
        <v>5</v>
      </c>
      <c r="AH1791" s="130"/>
      <c r="AI1791" s="130" t="s">
        <v>34</v>
      </c>
      <c r="AJ1791" s="130"/>
      <c r="AK1791" s="130"/>
      <c r="AL1791" s="256" t="s">
        <v>6412</v>
      </c>
      <c r="AM1791" s="314"/>
      <c r="AN1791" s="26">
        <f t="shared" si="114"/>
        <v>0</v>
      </c>
      <c r="AO1791" s="26">
        <v>44541</v>
      </c>
      <c r="AP1791" s="26">
        <f t="shared" si="117"/>
        <v>44556</v>
      </c>
      <c r="AQ1791" s="26">
        <v>44556</v>
      </c>
      <c r="AR1791" s="24">
        <f>AQ1791+3</f>
        <v>44559</v>
      </c>
      <c r="AS1791" s="24"/>
      <c r="AT1791" s="24">
        <v>44571</v>
      </c>
      <c r="AU1791" s="418">
        <f t="shared" si="110"/>
        <v>1</v>
      </c>
      <c r="AV1791" s="418">
        <f t="shared" si="111"/>
        <v>2022</v>
      </c>
      <c r="AW1791" s="24"/>
      <c r="AX1791" s="24"/>
      <c r="AY1791" s="24" t="s">
        <v>3415</v>
      </c>
      <c r="AZ1791" s="24" t="s">
        <v>62</v>
      </c>
      <c r="BA1791" s="24"/>
      <c r="BB1791" s="24" t="s">
        <v>3264</v>
      </c>
      <c r="BC1791" s="128" t="s">
        <v>6846</v>
      </c>
      <c r="BD1791" s="24">
        <v>44541</v>
      </c>
      <c r="BE1791" s="24" t="s">
        <v>5944</v>
      </c>
      <c r="BF1791" s="24" t="s">
        <v>1938</v>
      </c>
      <c r="BG1791" s="135" t="s">
        <v>29</v>
      </c>
      <c r="BH1791" s="135"/>
      <c r="BI1791" s="314" t="s">
        <v>3</v>
      </c>
      <c r="BJ1791" s="314" t="s">
        <v>148</v>
      </c>
      <c r="BK1791" s="24"/>
      <c r="BL1791" s="24"/>
      <c r="BM1791" s="24"/>
      <c r="BN1791" s="24"/>
      <c r="BO1791" s="24">
        <v>44577</v>
      </c>
      <c r="BP1791" s="24"/>
      <c r="BQ1791" s="24"/>
      <c r="BR1791" s="24"/>
      <c r="BS1791" s="24"/>
      <c r="BT1791" s="24"/>
      <c r="BU1791" s="24"/>
      <c r="BV1791" s="132" t="e">
        <f>IF(#REF!="COMPLETO","OK","PENDIENTE")</f>
        <v>#REF!</v>
      </c>
      <c r="BW1791" s="132"/>
      <c r="BX1791" s="132"/>
      <c r="BY1791" s="132"/>
      <c r="BZ1791" s="132"/>
      <c r="CA1791" s="132"/>
      <c r="CB1791" s="132"/>
      <c r="CC1791" s="365"/>
      <c r="CG1791" s="24" t="s">
        <v>105</v>
      </c>
      <c r="CH1791" s="24"/>
      <c r="CI1791" s="24"/>
      <c r="CJ1791" s="24"/>
    </row>
    <row r="1792" spans="1:88" ht="15" customHeight="1">
      <c r="A1792" s="18">
        <v>2021</v>
      </c>
      <c r="B1792" s="18" t="str">
        <f>+INDEX(BDD!F:F,MATCH(P1792,BDD!D:D,0))&amp;"-"&amp;INDEX(BDD!E:E,MATCH(P1792,BDD!D:D,0))</f>
        <v>O-S</v>
      </c>
      <c r="C1792" s="360" t="s">
        <v>484</v>
      </c>
      <c r="D1792" s="150" t="s">
        <v>77</v>
      </c>
      <c r="E1792" s="132"/>
      <c r="F1792" s="24"/>
      <c r="G1792" s="346">
        <v>8000001780</v>
      </c>
      <c r="H1792" s="18" t="s">
        <v>6847</v>
      </c>
      <c r="I1792" s="329"/>
      <c r="J1792" s="346">
        <v>8000001780</v>
      </c>
      <c r="K1792" s="24"/>
      <c r="L1792" s="24">
        <v>44617</v>
      </c>
      <c r="M1792" s="24">
        <v>44617</v>
      </c>
      <c r="N1792" s="340" t="s">
        <v>486</v>
      </c>
      <c r="O1792" s="334">
        <v>208066</v>
      </c>
      <c r="P1792" s="25" t="s">
        <v>398</v>
      </c>
      <c r="Q1792" s="127" t="s">
        <v>303</v>
      </c>
      <c r="R1792" s="232" t="s">
        <v>6844</v>
      </c>
      <c r="S1792" s="89">
        <v>44505</v>
      </c>
      <c r="T1792" s="36" t="s">
        <v>19</v>
      </c>
      <c r="U1792" s="125"/>
      <c r="V1792" s="147" t="s">
        <v>6848</v>
      </c>
      <c r="W1792" s="129"/>
      <c r="X1792" s="88">
        <v>44618</v>
      </c>
      <c r="Y1792" s="130" t="s">
        <v>20</v>
      </c>
      <c r="Z1792" s="133" t="s">
        <v>60</v>
      </c>
      <c r="AA1792" s="133"/>
      <c r="AB1792" s="241">
        <v>27</v>
      </c>
      <c r="AC1792" s="134">
        <v>556.26</v>
      </c>
      <c r="AD1792" s="134"/>
      <c r="AE1792" s="403">
        <f t="shared" si="109"/>
        <v>15019.02</v>
      </c>
      <c r="AF1792" s="132">
        <v>1</v>
      </c>
      <c r="AG1792" s="130" t="s">
        <v>5</v>
      </c>
      <c r="AH1792" s="130"/>
      <c r="AI1792" s="130" t="s">
        <v>34</v>
      </c>
      <c r="AJ1792" s="130"/>
      <c r="AK1792" s="130"/>
      <c r="AL1792" s="256" t="s">
        <v>6412</v>
      </c>
      <c r="AM1792" s="314"/>
      <c r="AN1792" s="26">
        <f>BL1792</f>
        <v>0</v>
      </c>
      <c r="AO1792" s="26">
        <v>44610</v>
      </c>
      <c r="AP1792" s="26">
        <f>AQ1792</f>
        <v>44614</v>
      </c>
      <c r="AQ1792" s="26">
        <f>AO1792+4</f>
        <v>44614</v>
      </c>
      <c r="AR1792" s="24">
        <f>AQ1792+3</f>
        <v>44617</v>
      </c>
      <c r="AS1792" s="24"/>
      <c r="AT1792" s="24">
        <v>44616</v>
      </c>
      <c r="AU1792" s="418">
        <f t="shared" si="110"/>
        <v>2</v>
      </c>
      <c r="AV1792" s="418">
        <f t="shared" si="111"/>
        <v>2022</v>
      </c>
      <c r="AW1792" s="24"/>
      <c r="AX1792" s="24"/>
      <c r="AY1792" s="24" t="s">
        <v>3415</v>
      </c>
      <c r="AZ1792" s="24" t="s">
        <v>9</v>
      </c>
      <c r="BA1792" s="24"/>
      <c r="BB1792" s="24" t="s">
        <v>3264</v>
      </c>
      <c r="BC1792" s="24" t="s">
        <v>6849</v>
      </c>
      <c r="BD1792" s="24">
        <v>44610</v>
      </c>
      <c r="BE1792" s="24" t="s">
        <v>5944</v>
      </c>
      <c r="BF1792" s="24" t="s">
        <v>5944</v>
      </c>
      <c r="BG1792" s="135" t="s">
        <v>29</v>
      </c>
      <c r="BH1792" s="135"/>
      <c r="BI1792" s="314" t="s">
        <v>3</v>
      </c>
      <c r="BJ1792" s="314" t="s">
        <v>148</v>
      </c>
      <c r="BK1792" s="24"/>
      <c r="BL1792" s="24"/>
      <c r="BM1792" s="24"/>
      <c r="BN1792" s="24"/>
      <c r="BO1792" s="24"/>
      <c r="BP1792" s="24"/>
      <c r="BQ1792" s="24" t="s">
        <v>6850</v>
      </c>
      <c r="BR1792" s="24">
        <v>44614</v>
      </c>
      <c r="BS1792" s="24" t="s">
        <v>38</v>
      </c>
      <c r="BT1792" s="24" t="s">
        <v>11</v>
      </c>
      <c r="BU1792" s="24"/>
      <c r="BV1792" s="132" t="e">
        <f>IF(#REF!="COMPLETO","OK","PENDIENTE")</f>
        <v>#REF!</v>
      </c>
      <c r="BW1792" s="132"/>
      <c r="BX1792" s="132"/>
      <c r="BY1792" s="132"/>
      <c r="BZ1792" s="132"/>
      <c r="CA1792" s="132"/>
      <c r="CB1792" s="132"/>
      <c r="CC1792" s="365"/>
      <c r="CG1792" s="24" t="s">
        <v>105</v>
      </c>
      <c r="CH1792" s="24"/>
      <c r="CI1792" s="24"/>
      <c r="CJ1792" s="24"/>
    </row>
    <row r="1793" spans="1:88" ht="15" customHeight="1">
      <c r="A1793" s="18">
        <v>2021</v>
      </c>
      <c r="B1793" s="18" t="s">
        <v>6191</v>
      </c>
      <c r="C1793" s="360" t="s">
        <v>484</v>
      </c>
      <c r="D1793" s="150" t="s">
        <v>77</v>
      </c>
      <c r="E1793" s="132"/>
      <c r="F1793" s="132"/>
      <c r="G1793" s="346">
        <v>8000001702</v>
      </c>
      <c r="H1793" s="18" t="s">
        <v>6851</v>
      </c>
      <c r="I1793" s="329"/>
      <c r="J1793" s="346">
        <v>8000001702</v>
      </c>
      <c r="K1793" s="24"/>
      <c r="L1793" s="24">
        <v>44627</v>
      </c>
      <c r="M1793" s="24">
        <v>44656</v>
      </c>
      <c r="N1793" s="340" t="s">
        <v>486</v>
      </c>
      <c r="O1793" s="334">
        <v>205996</v>
      </c>
      <c r="P1793" s="25" t="s">
        <v>376</v>
      </c>
      <c r="Q1793" s="127" t="s">
        <v>4498</v>
      </c>
      <c r="R1793" s="232" t="s">
        <v>544</v>
      </c>
      <c r="S1793" s="89">
        <v>44505</v>
      </c>
      <c r="T1793" s="36" t="s">
        <v>19</v>
      </c>
      <c r="U1793" s="125"/>
      <c r="V1793" s="147" t="s">
        <v>6598</v>
      </c>
      <c r="W1793" s="129"/>
      <c r="X1793" s="88">
        <v>44594</v>
      </c>
      <c r="Y1793" s="130" t="s">
        <v>20</v>
      </c>
      <c r="Z1793" s="133" t="s">
        <v>60</v>
      </c>
      <c r="AA1793" s="133"/>
      <c r="AB1793" s="241">
        <v>162.5</v>
      </c>
      <c r="AC1793" s="134">
        <v>2950</v>
      </c>
      <c r="AD1793" s="134"/>
      <c r="AE1793" s="403">
        <f t="shared" si="109"/>
        <v>479375</v>
      </c>
      <c r="AF1793" s="132"/>
      <c r="AG1793" s="130" t="s">
        <v>58</v>
      </c>
      <c r="AH1793" s="130"/>
      <c r="AI1793" s="130" t="s">
        <v>34</v>
      </c>
      <c r="AJ1793" s="278">
        <v>1.25</v>
      </c>
      <c r="AK1793" s="130" t="s">
        <v>6599</v>
      </c>
      <c r="AL1793" s="135" t="s">
        <v>6852</v>
      </c>
      <c r="AM1793" s="314"/>
      <c r="AN1793" s="26">
        <f t="shared" si="114"/>
        <v>0</v>
      </c>
      <c r="AO1793" s="26">
        <v>44555</v>
      </c>
      <c r="AP1793" s="26">
        <f t="shared" si="117"/>
        <v>44615</v>
      </c>
      <c r="AQ1793" s="26">
        <v>44615</v>
      </c>
      <c r="AR1793" s="24">
        <v>44651</v>
      </c>
      <c r="AS1793" s="24"/>
      <c r="AT1793" s="24">
        <v>44652</v>
      </c>
      <c r="AU1793" s="418">
        <f t="shared" si="110"/>
        <v>4</v>
      </c>
      <c r="AV1793" s="418">
        <f t="shared" si="111"/>
        <v>2022</v>
      </c>
      <c r="AW1793" s="24"/>
      <c r="AX1793" s="24"/>
      <c r="AY1793" s="24" t="s">
        <v>3199</v>
      </c>
      <c r="AZ1793" s="24" t="s">
        <v>37</v>
      </c>
      <c r="BA1793" s="24"/>
      <c r="BB1793" s="24" t="s">
        <v>3291</v>
      </c>
      <c r="BC1793" s="128" t="s">
        <v>6600</v>
      </c>
      <c r="BD1793" s="24">
        <v>44548</v>
      </c>
      <c r="BE1793" s="24" t="s">
        <v>6601</v>
      </c>
      <c r="BF1793" s="24" t="s">
        <v>6601</v>
      </c>
      <c r="BG1793" s="135" t="s">
        <v>52</v>
      </c>
      <c r="BH1793" s="135" t="s">
        <v>6602</v>
      </c>
      <c r="BI1793" s="314" t="s">
        <v>3</v>
      </c>
      <c r="BJ1793" s="314" t="s">
        <v>148</v>
      </c>
      <c r="BK1793" s="24"/>
      <c r="BL1793" s="24"/>
      <c r="BM1793" s="24"/>
      <c r="BN1793" s="24"/>
      <c r="BO1793" s="24"/>
      <c r="BP1793" s="24"/>
      <c r="BQ1793" s="24" t="s">
        <v>6603</v>
      </c>
      <c r="BR1793" s="24">
        <v>44617</v>
      </c>
      <c r="BS1793" s="24" t="s">
        <v>38</v>
      </c>
      <c r="BT1793" s="24" t="s">
        <v>11</v>
      </c>
      <c r="BU1793" s="24"/>
      <c r="BV1793" s="132" t="e">
        <f>IF(#REF!="COMPLETO","OK","PENDIENTE")</f>
        <v>#REF!</v>
      </c>
      <c r="BW1793" s="132"/>
      <c r="BX1793" s="132"/>
      <c r="BY1793" s="132"/>
      <c r="BZ1793" s="132"/>
      <c r="CA1793" s="132"/>
      <c r="CB1793" s="132"/>
      <c r="CC1793" s="269" t="s">
        <v>6853</v>
      </c>
      <c r="CG1793" s="132" t="s">
        <v>105</v>
      </c>
      <c r="CH1793" s="132"/>
      <c r="CI1793" s="24"/>
      <c r="CJ1793" s="24"/>
    </row>
    <row r="1794" spans="1:88" ht="15" customHeight="1">
      <c r="A1794" s="18">
        <v>2021</v>
      </c>
      <c r="B1794" s="18" t="s">
        <v>6191</v>
      </c>
      <c r="C1794" s="360" t="s">
        <v>484</v>
      </c>
      <c r="D1794" s="150" t="s">
        <v>77</v>
      </c>
      <c r="E1794" s="132"/>
      <c r="F1794" s="132"/>
      <c r="G1794" s="346">
        <v>8000001796</v>
      </c>
      <c r="H1794" s="18" t="s">
        <v>6854</v>
      </c>
      <c r="I1794" s="329"/>
      <c r="J1794" s="346">
        <v>8000001796</v>
      </c>
      <c r="K1794" s="24"/>
      <c r="L1794" s="24">
        <v>44627</v>
      </c>
      <c r="M1794" s="24">
        <v>44659</v>
      </c>
      <c r="N1794" s="340" t="s">
        <v>486</v>
      </c>
      <c r="O1794" s="334">
        <v>205996</v>
      </c>
      <c r="P1794" s="25" t="s">
        <v>376</v>
      </c>
      <c r="Q1794" s="127" t="s">
        <v>4498</v>
      </c>
      <c r="R1794" s="232" t="s">
        <v>544</v>
      </c>
      <c r="S1794" s="89">
        <v>44505</v>
      </c>
      <c r="T1794" s="36" t="s">
        <v>19</v>
      </c>
      <c r="U1794" s="125"/>
      <c r="V1794" s="147" t="s">
        <v>6598</v>
      </c>
      <c r="W1794" s="129"/>
      <c r="X1794" s="88">
        <v>44594</v>
      </c>
      <c r="Y1794" s="130" t="s">
        <v>20</v>
      </c>
      <c r="Z1794" s="133" t="s">
        <v>60</v>
      </c>
      <c r="AA1794" s="133"/>
      <c r="AB1794" s="241">
        <v>162.5</v>
      </c>
      <c r="AC1794" s="134">
        <v>2855</v>
      </c>
      <c r="AD1794" s="134"/>
      <c r="AE1794" s="403">
        <f t="shared" ref="AE1794:AE1857" si="118">AB1794*AC1794</f>
        <v>463937.5</v>
      </c>
      <c r="AF1794" s="132"/>
      <c r="AG1794" s="130" t="s">
        <v>58</v>
      </c>
      <c r="AH1794" s="130"/>
      <c r="AI1794" s="130" t="s">
        <v>34</v>
      </c>
      <c r="AJ1794" s="278">
        <v>1.25</v>
      </c>
      <c r="AK1794" s="130" t="s">
        <v>6599</v>
      </c>
      <c r="AL1794" s="135" t="s">
        <v>6852</v>
      </c>
      <c r="AM1794" s="314"/>
      <c r="AN1794" s="26">
        <f>BL1794</f>
        <v>0</v>
      </c>
      <c r="AO1794" s="26">
        <v>44555</v>
      </c>
      <c r="AP1794" s="26">
        <f t="shared" si="117"/>
        <v>44615</v>
      </c>
      <c r="AQ1794" s="26">
        <v>44615</v>
      </c>
      <c r="AR1794" s="24">
        <v>44651</v>
      </c>
      <c r="AS1794" s="24"/>
      <c r="AT1794" s="24">
        <v>44658</v>
      </c>
      <c r="AU1794" s="418">
        <f t="shared" si="110"/>
        <v>4</v>
      </c>
      <c r="AV1794" s="418">
        <f t="shared" si="111"/>
        <v>2022</v>
      </c>
      <c r="AW1794" s="24"/>
      <c r="AX1794" s="24"/>
      <c r="AY1794" s="24" t="s">
        <v>3199</v>
      </c>
      <c r="AZ1794" s="24" t="s">
        <v>37</v>
      </c>
      <c r="BA1794" s="24"/>
      <c r="BB1794" s="24" t="s">
        <v>3291</v>
      </c>
      <c r="BC1794" s="128" t="s">
        <v>6600</v>
      </c>
      <c r="BD1794" s="24">
        <v>44548</v>
      </c>
      <c r="BE1794" s="24" t="s">
        <v>6601</v>
      </c>
      <c r="BF1794" s="24" t="s">
        <v>6601</v>
      </c>
      <c r="BG1794" s="135" t="s">
        <v>52</v>
      </c>
      <c r="BH1794" s="135" t="s">
        <v>6602</v>
      </c>
      <c r="BI1794" s="314" t="s">
        <v>3</v>
      </c>
      <c r="BJ1794" s="314" t="s">
        <v>148</v>
      </c>
      <c r="BK1794" s="24"/>
      <c r="BL1794" s="24"/>
      <c r="BM1794" s="24"/>
      <c r="BN1794" s="24"/>
      <c r="BO1794" s="24"/>
      <c r="BP1794" s="24"/>
      <c r="BQ1794" s="24" t="s">
        <v>6603</v>
      </c>
      <c r="BR1794" s="24">
        <v>44617</v>
      </c>
      <c r="BS1794" s="24" t="s">
        <v>38</v>
      </c>
      <c r="BT1794" s="24" t="s">
        <v>11</v>
      </c>
      <c r="BU1794" s="24"/>
      <c r="BV1794" s="132" t="e">
        <f>IF(#REF!="COMPLETO","OK","PENDIENTE")</f>
        <v>#REF!</v>
      </c>
      <c r="BW1794" s="132"/>
      <c r="BX1794" s="132"/>
      <c r="BY1794" s="132"/>
      <c r="BZ1794" s="132"/>
      <c r="CA1794" s="132"/>
      <c r="CB1794" s="132"/>
      <c r="CC1794" s="269"/>
      <c r="CG1794" s="132" t="s">
        <v>105</v>
      </c>
      <c r="CH1794" s="132"/>
      <c r="CI1794" s="24"/>
      <c r="CJ1794" s="24"/>
    </row>
    <row r="1795" spans="1:88" ht="15" customHeight="1">
      <c r="A1795" s="18">
        <v>2021</v>
      </c>
      <c r="B1795" s="18" t="str">
        <f>+INDEX(BDD!F:F,MATCH(P1795,BDD!D:D,0))&amp;"-"&amp;INDEX(BDD!E:E,MATCH(P1795,BDD!D:D,0))</f>
        <v>E-E</v>
      </c>
      <c r="C1795" s="125" t="s">
        <v>484</v>
      </c>
      <c r="D1795" s="150" t="s">
        <v>77</v>
      </c>
      <c r="E1795" s="132"/>
      <c r="F1795" s="132"/>
      <c r="G1795" s="346">
        <v>8000001704</v>
      </c>
      <c r="H1795" s="18" t="s">
        <v>6855</v>
      </c>
      <c r="I1795" s="329" t="s">
        <v>6323</v>
      </c>
      <c r="J1795" s="346">
        <v>8000001704</v>
      </c>
      <c r="K1795" s="24"/>
      <c r="L1795" s="24">
        <v>44672</v>
      </c>
      <c r="M1795" s="24">
        <v>44686</v>
      </c>
      <c r="N1795" s="340" t="s">
        <v>486</v>
      </c>
      <c r="O1795" s="334">
        <v>205996</v>
      </c>
      <c r="P1795" s="406" t="s">
        <v>376</v>
      </c>
      <c r="Q1795" s="407" t="s">
        <v>4498</v>
      </c>
      <c r="R1795" s="232" t="s">
        <v>544</v>
      </c>
      <c r="S1795" s="89">
        <v>44505</v>
      </c>
      <c r="T1795" s="36" t="s">
        <v>19</v>
      </c>
      <c r="U1795" s="125"/>
      <c r="V1795" s="147" t="s">
        <v>6856</v>
      </c>
      <c r="W1795" s="129">
        <v>44617</v>
      </c>
      <c r="X1795" s="88"/>
      <c r="Y1795" s="130" t="s">
        <v>20</v>
      </c>
      <c r="Z1795" s="133" t="s">
        <v>60</v>
      </c>
      <c r="AA1795" s="133" t="s">
        <v>6619</v>
      </c>
      <c r="AB1795" s="414">
        <v>127.5</v>
      </c>
      <c r="AC1795" s="409">
        <v>2885</v>
      </c>
      <c r="AD1795" s="409"/>
      <c r="AE1795" s="403">
        <f t="shared" si="118"/>
        <v>367837.5</v>
      </c>
      <c r="AF1795" s="410"/>
      <c r="AG1795" s="130" t="s">
        <v>58</v>
      </c>
      <c r="AH1795" s="130"/>
      <c r="AI1795" s="130" t="s">
        <v>34</v>
      </c>
      <c r="AJ1795" s="285">
        <v>1.25</v>
      </c>
      <c r="AK1795" s="130" t="s">
        <v>6599</v>
      </c>
      <c r="AL1795" s="411" t="s">
        <v>6852</v>
      </c>
      <c r="AM1795" s="410"/>
      <c r="AN1795" s="385">
        <f t="shared" si="114"/>
        <v>0</v>
      </c>
      <c r="AO1795" s="385">
        <v>44591</v>
      </c>
      <c r="AP1795" s="385">
        <f t="shared" si="117"/>
        <v>44656</v>
      </c>
      <c r="AQ1795" s="385">
        <v>44656</v>
      </c>
      <c r="AR1795" s="412">
        <f>AQ1795+10</f>
        <v>44666</v>
      </c>
      <c r="AS1795" s="412"/>
      <c r="AT1795" s="412">
        <v>44688</v>
      </c>
      <c r="AU1795" s="418">
        <f t="shared" ref="AU1795:AU1859" si="119">MONTH(AT1795)</f>
        <v>5</v>
      </c>
      <c r="AV1795" s="418">
        <f t="shared" ref="AV1795:AV1859" si="120">YEAR(AT1795)</f>
        <v>2022</v>
      </c>
      <c r="AW1795" s="412"/>
      <c r="AX1795" s="412" t="s">
        <v>5402</v>
      </c>
      <c r="AY1795" s="412" t="s">
        <v>3199</v>
      </c>
      <c r="AZ1795" s="412" t="s">
        <v>37</v>
      </c>
      <c r="BA1795" s="412" t="s">
        <v>6329</v>
      </c>
      <c r="BB1795" s="412" t="s">
        <v>3291</v>
      </c>
      <c r="BC1795" s="413" t="s">
        <v>6857</v>
      </c>
      <c r="BD1795" s="412">
        <v>44585</v>
      </c>
      <c r="BE1795" s="412" t="s">
        <v>6328</v>
      </c>
      <c r="BF1795" s="412" t="s">
        <v>6328</v>
      </c>
      <c r="BG1795" s="135" t="s">
        <v>52</v>
      </c>
      <c r="BH1795" s="135" t="s">
        <v>6330</v>
      </c>
      <c r="BI1795" s="314" t="s">
        <v>124</v>
      </c>
      <c r="BJ1795" s="314" t="s">
        <v>143</v>
      </c>
      <c r="BK1795" s="24"/>
      <c r="BL1795" s="24"/>
      <c r="BM1795" s="24"/>
      <c r="BN1795" s="24"/>
      <c r="BO1795" s="24"/>
      <c r="BP1795" s="24"/>
      <c r="BQ1795" s="24" t="s">
        <v>6858</v>
      </c>
      <c r="BR1795" s="24">
        <v>44652</v>
      </c>
      <c r="BS1795" s="24" t="s">
        <v>38</v>
      </c>
      <c r="BT1795" s="24" t="s">
        <v>11</v>
      </c>
      <c r="BU1795" s="24"/>
      <c r="BV1795" s="132" t="s">
        <v>6087</v>
      </c>
      <c r="BW1795" s="132"/>
      <c r="BX1795" s="132"/>
      <c r="BY1795" s="132"/>
      <c r="BZ1795" s="132"/>
      <c r="CA1795" s="132"/>
      <c r="CB1795" s="132"/>
      <c r="CC1795" s="366"/>
      <c r="CG1795" s="132" t="s">
        <v>105</v>
      </c>
      <c r="CH1795" s="132"/>
      <c r="CI1795" s="24"/>
      <c r="CJ1795" s="24"/>
    </row>
    <row r="1796" spans="1:88" ht="15" customHeight="1">
      <c r="A1796" s="18">
        <v>2021</v>
      </c>
      <c r="B1796" s="18" t="str">
        <f>+INDEX(BDD!F:F,MATCH(P1796,BDD!D:D,0))&amp;"-"&amp;INDEX(BDD!E:E,MATCH(P1796,BDD!D:D,0))</f>
        <v>E-E</v>
      </c>
      <c r="C1796" s="360" t="s">
        <v>484</v>
      </c>
      <c r="D1796" s="150" t="s">
        <v>77</v>
      </c>
      <c r="E1796" s="132"/>
      <c r="F1796" s="132"/>
      <c r="G1796" s="346">
        <v>8000001895</v>
      </c>
      <c r="H1796" s="18" t="s">
        <v>6859</v>
      </c>
      <c r="I1796" s="329" t="s">
        <v>6323</v>
      </c>
      <c r="J1796" s="346">
        <v>8000001895</v>
      </c>
      <c r="K1796" s="24"/>
      <c r="L1796" s="24">
        <v>72</v>
      </c>
      <c r="M1796" s="24">
        <v>44678</v>
      </c>
      <c r="N1796" s="340" t="s">
        <v>486</v>
      </c>
      <c r="O1796" s="334">
        <v>205996</v>
      </c>
      <c r="P1796" s="406" t="s">
        <v>376</v>
      </c>
      <c r="Q1796" s="407" t="s">
        <v>4498</v>
      </c>
      <c r="R1796" s="232" t="s">
        <v>544</v>
      </c>
      <c r="S1796" s="89">
        <v>44505</v>
      </c>
      <c r="T1796" s="36" t="s">
        <v>19</v>
      </c>
      <c r="U1796" s="125"/>
      <c r="V1796" s="147" t="s">
        <v>6856</v>
      </c>
      <c r="W1796" s="129">
        <v>44617</v>
      </c>
      <c r="X1796" s="88"/>
      <c r="Y1796" s="130" t="s">
        <v>20</v>
      </c>
      <c r="Z1796" s="133" t="s">
        <v>60</v>
      </c>
      <c r="AA1796" s="133" t="s">
        <v>6619</v>
      </c>
      <c r="AB1796" s="414">
        <v>31.5</v>
      </c>
      <c r="AC1796" s="409">
        <v>2885</v>
      </c>
      <c r="AD1796" s="415">
        <v>129.457142857142</v>
      </c>
      <c r="AE1796" s="403">
        <f t="shared" si="118"/>
        <v>90877.5</v>
      </c>
      <c r="AF1796" s="410"/>
      <c r="AG1796" s="130" t="s">
        <v>58</v>
      </c>
      <c r="AH1796" s="130"/>
      <c r="AI1796" s="130" t="s">
        <v>34</v>
      </c>
      <c r="AJ1796" s="286">
        <v>1.05</v>
      </c>
      <c r="AK1796" s="130" t="s">
        <v>6599</v>
      </c>
      <c r="AL1796" s="411" t="s">
        <v>6852</v>
      </c>
      <c r="AM1796" s="410"/>
      <c r="AN1796" s="385">
        <f>BL1796</f>
        <v>0</v>
      </c>
      <c r="AO1796" s="385">
        <v>44591</v>
      </c>
      <c r="AP1796" s="385">
        <f>AQ1796</f>
        <v>44656</v>
      </c>
      <c r="AQ1796" s="385">
        <v>44656</v>
      </c>
      <c r="AR1796" s="412">
        <f>AQ1796+10</f>
        <v>44666</v>
      </c>
      <c r="AS1796" s="412">
        <v>44676</v>
      </c>
      <c r="AT1796" s="412">
        <v>44676</v>
      </c>
      <c r="AU1796" s="418">
        <f t="shared" si="119"/>
        <v>4</v>
      </c>
      <c r="AV1796" s="418">
        <f t="shared" si="120"/>
        <v>2022</v>
      </c>
      <c r="AW1796" s="412"/>
      <c r="AX1796" s="412" t="s">
        <v>5402</v>
      </c>
      <c r="AY1796" s="412" t="s">
        <v>3199</v>
      </c>
      <c r="AZ1796" s="412" t="s">
        <v>37</v>
      </c>
      <c r="BA1796" s="412" t="s">
        <v>6329</v>
      </c>
      <c r="BB1796" s="412" t="s">
        <v>3291</v>
      </c>
      <c r="BC1796" s="413" t="s">
        <v>6860</v>
      </c>
      <c r="BD1796" s="412">
        <v>44586</v>
      </c>
      <c r="BE1796" s="412" t="s">
        <v>6328</v>
      </c>
      <c r="BF1796" s="412" t="s">
        <v>6328</v>
      </c>
      <c r="BG1796" s="135" t="s">
        <v>52</v>
      </c>
      <c r="BH1796" s="135" t="s">
        <v>6330</v>
      </c>
      <c r="BI1796" s="314" t="s">
        <v>124</v>
      </c>
      <c r="BJ1796" s="314" t="s">
        <v>143</v>
      </c>
      <c r="BK1796" s="24"/>
      <c r="BL1796" s="24"/>
      <c r="BM1796" s="24"/>
      <c r="BN1796" s="24"/>
      <c r="BO1796" s="24"/>
      <c r="BP1796" s="24"/>
      <c r="BQ1796" s="24" t="s">
        <v>6861</v>
      </c>
      <c r="BR1796" s="24">
        <v>44652</v>
      </c>
      <c r="BS1796" s="24" t="s">
        <v>38</v>
      </c>
      <c r="BT1796" s="24" t="s">
        <v>11</v>
      </c>
      <c r="BU1796" s="24"/>
      <c r="BV1796" s="132" t="s">
        <v>6087</v>
      </c>
      <c r="BW1796" s="132"/>
      <c r="BX1796" s="132"/>
      <c r="BY1796" s="132"/>
      <c r="BZ1796" s="132"/>
      <c r="CA1796" s="132"/>
      <c r="CB1796" s="132"/>
      <c r="CC1796" s="367" t="s">
        <v>6862</v>
      </c>
      <c r="CG1796" s="132" t="s">
        <v>105</v>
      </c>
      <c r="CH1796" s="132"/>
      <c r="CI1796" s="24"/>
      <c r="CJ1796" s="24"/>
    </row>
    <row r="1797" spans="1:88" ht="15" customHeight="1">
      <c r="A1797" s="18">
        <v>2021</v>
      </c>
      <c r="B1797" s="18" t="s">
        <v>6191</v>
      </c>
      <c r="C1797" s="125" t="s">
        <v>484</v>
      </c>
      <c r="D1797" s="150" t="s">
        <v>20</v>
      </c>
      <c r="E1797" s="132" t="s">
        <v>1622</v>
      </c>
      <c r="F1797" s="132"/>
      <c r="G1797" s="346"/>
      <c r="H1797" s="18" t="s">
        <v>6863</v>
      </c>
      <c r="I1797" s="329"/>
      <c r="J1797" s="346"/>
      <c r="K1797" s="24"/>
      <c r="L1797" s="24"/>
      <c r="M1797" s="24"/>
      <c r="N1797" s="340"/>
      <c r="O1797" s="334"/>
      <c r="P1797" s="25" t="s">
        <v>376</v>
      </c>
      <c r="Q1797" s="127" t="s">
        <v>4498</v>
      </c>
      <c r="R1797" s="232"/>
      <c r="S1797" s="89"/>
      <c r="T1797" s="36"/>
      <c r="U1797" s="125"/>
      <c r="V1797" s="147"/>
      <c r="W1797" s="129"/>
      <c r="X1797" s="88"/>
      <c r="Y1797" s="130"/>
      <c r="Z1797" s="133"/>
      <c r="AA1797" s="133"/>
      <c r="AB1797" s="241"/>
      <c r="AC1797" s="134"/>
      <c r="AD1797" s="134"/>
      <c r="AE1797" s="403">
        <f t="shared" si="118"/>
        <v>0</v>
      </c>
      <c r="AF1797" s="132"/>
      <c r="AG1797" s="130"/>
      <c r="AH1797" s="130"/>
      <c r="AI1797" s="130"/>
      <c r="AJ1797" s="130"/>
      <c r="AK1797" s="130"/>
      <c r="AL1797" s="135"/>
      <c r="AM1797" s="314"/>
      <c r="AN1797" s="26"/>
      <c r="AO1797" s="26"/>
      <c r="AP1797" s="26"/>
      <c r="AQ1797" s="26"/>
      <c r="AR1797" s="24"/>
      <c r="AS1797" s="24"/>
      <c r="AT1797" s="24"/>
      <c r="AU1797" s="418">
        <f t="shared" si="119"/>
        <v>1</v>
      </c>
      <c r="AV1797" s="418">
        <f t="shared" si="120"/>
        <v>1900</v>
      </c>
      <c r="AW1797" s="24"/>
      <c r="AX1797" s="24"/>
      <c r="AY1797" s="24"/>
      <c r="AZ1797" s="24"/>
      <c r="BA1797" s="24"/>
      <c r="BB1797" s="24"/>
      <c r="BC1797" s="128"/>
      <c r="BD1797" s="24"/>
      <c r="BE1797" s="24"/>
      <c r="BF1797" s="24"/>
      <c r="BG1797" s="135"/>
      <c r="BH1797" s="135"/>
      <c r="BI1797" s="314"/>
      <c r="BJ1797" s="314"/>
      <c r="BK1797" s="24"/>
      <c r="BL1797" s="24"/>
      <c r="BM1797" s="24"/>
      <c r="BN1797" s="24"/>
      <c r="BO1797" s="24"/>
      <c r="BP1797" s="24"/>
      <c r="BQ1797" s="24"/>
      <c r="BR1797" s="24"/>
      <c r="BS1797" s="24"/>
      <c r="BT1797" s="24"/>
      <c r="BU1797" s="24"/>
      <c r="BV1797" s="132"/>
      <c r="BW1797" s="132"/>
      <c r="BX1797" s="132"/>
      <c r="BY1797" s="132"/>
      <c r="BZ1797" s="132"/>
      <c r="CA1797" s="132"/>
      <c r="CB1797" s="132"/>
      <c r="CC1797" s="365"/>
      <c r="CG1797" s="132"/>
      <c r="CH1797" s="132"/>
      <c r="CI1797" s="24"/>
      <c r="CJ1797" s="24"/>
    </row>
    <row r="1798" spans="1:88" ht="15" customHeight="1">
      <c r="A1798" s="18">
        <v>2021</v>
      </c>
      <c r="B1798" s="18" t="s">
        <v>6191</v>
      </c>
      <c r="C1798" s="360" t="s">
        <v>484</v>
      </c>
      <c r="D1798" s="150" t="s">
        <v>77</v>
      </c>
      <c r="E1798" s="132"/>
      <c r="F1798" s="132"/>
      <c r="G1798" s="346">
        <v>8000001718</v>
      </c>
      <c r="H1798" s="18" t="s">
        <v>6864</v>
      </c>
      <c r="I1798" s="329"/>
      <c r="J1798" s="346">
        <v>8000001718</v>
      </c>
      <c r="K1798" s="24"/>
      <c r="L1798" s="24">
        <v>44603</v>
      </c>
      <c r="M1798" s="24">
        <v>44603</v>
      </c>
      <c r="N1798" s="340" t="s">
        <v>486</v>
      </c>
      <c r="O1798" s="334">
        <v>203616</v>
      </c>
      <c r="P1798" s="25" t="s">
        <v>357</v>
      </c>
      <c r="Q1798" s="127" t="s">
        <v>273</v>
      </c>
      <c r="R1798" s="232" t="s">
        <v>6865</v>
      </c>
      <c r="S1798" s="89">
        <v>44566</v>
      </c>
      <c r="T1798" s="36">
        <v>180</v>
      </c>
      <c r="U1798" s="125" t="s">
        <v>118</v>
      </c>
      <c r="V1798" s="147" t="s">
        <v>6866</v>
      </c>
      <c r="W1798" s="129"/>
      <c r="X1798" s="88">
        <v>44582</v>
      </c>
      <c r="Y1798" s="130" t="s">
        <v>20</v>
      </c>
      <c r="Z1798" s="133" t="s">
        <v>60</v>
      </c>
      <c r="AA1798" s="133"/>
      <c r="AB1798" s="241">
        <v>3300</v>
      </c>
      <c r="AC1798" s="134">
        <v>516.42999999999995</v>
      </c>
      <c r="AD1798" s="134">
        <v>66.400000000000006</v>
      </c>
      <c r="AE1798" s="403">
        <f t="shared" si="118"/>
        <v>1704218.9999999998</v>
      </c>
      <c r="AF1798" s="132"/>
      <c r="AG1798" s="130" t="s">
        <v>46</v>
      </c>
      <c r="AH1798" s="130"/>
      <c r="AI1798" s="130" t="s">
        <v>100</v>
      </c>
      <c r="AJ1798" s="130"/>
      <c r="AK1798" s="130"/>
      <c r="AL1798" s="135" t="s">
        <v>6678</v>
      </c>
      <c r="AM1798" s="314"/>
      <c r="AN1798" s="26">
        <f t="shared" si="114"/>
        <v>0</v>
      </c>
      <c r="AO1798" s="26">
        <v>44570</v>
      </c>
      <c r="AP1798" s="26">
        <f t="shared" si="117"/>
        <v>44600</v>
      </c>
      <c r="AQ1798" s="26">
        <v>44600</v>
      </c>
      <c r="AR1798" s="24">
        <f>AQ1798+2</f>
        <v>44602</v>
      </c>
      <c r="AS1798" s="24"/>
      <c r="AT1798" s="24">
        <v>44602</v>
      </c>
      <c r="AU1798" s="418">
        <f t="shared" si="119"/>
        <v>2</v>
      </c>
      <c r="AV1798" s="418">
        <f t="shared" si="120"/>
        <v>2022</v>
      </c>
      <c r="AW1798" s="24"/>
      <c r="AX1798" s="135"/>
      <c r="AY1798" s="135" t="s">
        <v>5642</v>
      </c>
      <c r="AZ1798" s="24" t="s">
        <v>9</v>
      </c>
      <c r="BA1798" s="24"/>
      <c r="BB1798" s="132" t="s">
        <v>3264</v>
      </c>
      <c r="BC1798" s="128" t="s">
        <v>6867</v>
      </c>
      <c r="BD1798" s="24">
        <v>44570</v>
      </c>
      <c r="BE1798" s="24" t="s">
        <v>6868</v>
      </c>
      <c r="BF1798" s="24" t="s">
        <v>6868</v>
      </c>
      <c r="BG1798" s="135" t="s">
        <v>52</v>
      </c>
      <c r="BH1798" s="135"/>
      <c r="BI1798" s="314" t="s">
        <v>3</v>
      </c>
      <c r="BJ1798" s="314"/>
      <c r="BK1798" s="24"/>
      <c r="BL1798" s="24"/>
      <c r="BM1798" s="24"/>
      <c r="BN1798" s="24"/>
      <c r="BO1798" s="24"/>
      <c r="BP1798" s="24"/>
      <c r="BQ1798" s="24" t="s">
        <v>6869</v>
      </c>
      <c r="BR1798" s="24">
        <v>44599</v>
      </c>
      <c r="BS1798" s="24" t="s">
        <v>51</v>
      </c>
      <c r="BT1798" s="24" t="s">
        <v>11</v>
      </c>
      <c r="BU1798" s="24"/>
      <c r="BV1798" s="132" t="s">
        <v>3</v>
      </c>
      <c r="BW1798" s="132"/>
      <c r="BX1798" s="132"/>
      <c r="BY1798" s="132"/>
      <c r="BZ1798" s="132"/>
      <c r="CA1798" s="132"/>
      <c r="CB1798" s="132"/>
      <c r="CC1798" s="362"/>
      <c r="CG1798" s="132" t="s">
        <v>105</v>
      </c>
      <c r="CH1798" s="132"/>
      <c r="CI1798" s="24"/>
      <c r="CJ1798" s="24"/>
    </row>
    <row r="1799" spans="1:88" ht="15" customHeight="1">
      <c r="A1799" s="18">
        <v>2021</v>
      </c>
      <c r="B1799" s="18" t="s">
        <v>6191</v>
      </c>
      <c r="C1799" s="360" t="s">
        <v>484</v>
      </c>
      <c r="D1799" s="150" t="s">
        <v>77</v>
      </c>
      <c r="E1799" s="132"/>
      <c r="F1799" s="132"/>
      <c r="G1799" s="346">
        <v>8000001810</v>
      </c>
      <c r="H1799" s="18" t="s">
        <v>6870</v>
      </c>
      <c r="I1799" s="329"/>
      <c r="J1799" s="346">
        <v>8000001810</v>
      </c>
      <c r="K1799" s="24"/>
      <c r="L1799" s="24">
        <v>44608</v>
      </c>
      <c r="M1799" s="24">
        <v>44608</v>
      </c>
      <c r="N1799" s="340" t="s">
        <v>486</v>
      </c>
      <c r="O1799" s="334">
        <v>203616</v>
      </c>
      <c r="P1799" s="25" t="s">
        <v>357</v>
      </c>
      <c r="Q1799" s="127" t="s">
        <v>273</v>
      </c>
      <c r="R1799" s="232" t="s">
        <v>6865</v>
      </c>
      <c r="S1799" s="89">
        <v>44566</v>
      </c>
      <c r="T1799" s="36">
        <v>180</v>
      </c>
      <c r="U1799" s="125" t="s">
        <v>118</v>
      </c>
      <c r="V1799" s="147" t="s">
        <v>6871</v>
      </c>
      <c r="W1799" s="129"/>
      <c r="X1799" s="88">
        <v>44582</v>
      </c>
      <c r="Y1799" s="130" t="s">
        <v>20</v>
      </c>
      <c r="Z1799" s="133" t="s">
        <v>60</v>
      </c>
      <c r="AA1799" s="133"/>
      <c r="AB1799" s="241">
        <v>2800</v>
      </c>
      <c r="AC1799" s="134">
        <v>516.42999999999995</v>
      </c>
      <c r="AD1799" s="134">
        <v>66.400000000000006</v>
      </c>
      <c r="AE1799" s="403">
        <f t="shared" si="118"/>
        <v>1446003.9999999998</v>
      </c>
      <c r="AF1799" s="132"/>
      <c r="AG1799" s="130" t="s">
        <v>46</v>
      </c>
      <c r="AH1799" s="130"/>
      <c r="AI1799" s="130" t="s">
        <v>100</v>
      </c>
      <c r="AJ1799" s="130"/>
      <c r="AK1799" s="130"/>
      <c r="AL1799" s="135" t="s">
        <v>6678</v>
      </c>
      <c r="AM1799" s="314"/>
      <c r="AN1799" s="26">
        <f t="shared" si="114"/>
        <v>0</v>
      </c>
      <c r="AO1799" s="26">
        <v>44570</v>
      </c>
      <c r="AP1799" s="26">
        <f t="shared" ref="AP1799:AP1816" si="121">AQ1799</f>
        <v>44604</v>
      </c>
      <c r="AQ1799" s="26">
        <v>44604</v>
      </c>
      <c r="AR1799" s="24">
        <f>AQ1799+2</f>
        <v>44606</v>
      </c>
      <c r="AS1799" s="24"/>
      <c r="AT1799" s="24">
        <v>44606</v>
      </c>
      <c r="AU1799" s="418">
        <f t="shared" si="119"/>
        <v>2</v>
      </c>
      <c r="AV1799" s="418">
        <f t="shared" si="120"/>
        <v>2022</v>
      </c>
      <c r="AW1799" s="24"/>
      <c r="AX1799" s="135"/>
      <c r="AY1799" s="135" t="s">
        <v>5642</v>
      </c>
      <c r="AZ1799" s="24" t="s">
        <v>25</v>
      </c>
      <c r="BA1799" s="24"/>
      <c r="BB1799" s="24" t="s">
        <v>3264</v>
      </c>
      <c r="BC1799" s="128" t="s">
        <v>6872</v>
      </c>
      <c r="BD1799" s="24">
        <v>44570</v>
      </c>
      <c r="BE1799" s="24" t="s">
        <v>6868</v>
      </c>
      <c r="BF1799" s="24" t="s">
        <v>6868</v>
      </c>
      <c r="BG1799" s="135" t="s">
        <v>52</v>
      </c>
      <c r="BH1799" s="135"/>
      <c r="BI1799" s="314" t="s">
        <v>3</v>
      </c>
      <c r="BJ1799" s="314"/>
      <c r="BK1799" s="24"/>
      <c r="BL1799" s="24"/>
      <c r="BM1799" s="24"/>
      <c r="BN1799" s="24"/>
      <c r="BO1799" s="24"/>
      <c r="BP1799" s="24"/>
      <c r="BQ1799" s="24" t="s">
        <v>6873</v>
      </c>
      <c r="BR1799" s="24">
        <v>44602</v>
      </c>
      <c r="BS1799" s="24" t="s">
        <v>51</v>
      </c>
      <c r="BT1799" s="24" t="s">
        <v>11</v>
      </c>
      <c r="BU1799" s="24"/>
      <c r="BV1799" s="132" t="s">
        <v>3</v>
      </c>
      <c r="BW1799" s="132"/>
      <c r="BX1799" s="132"/>
      <c r="BY1799" s="132"/>
      <c r="BZ1799" s="132"/>
      <c r="CA1799" s="132"/>
      <c r="CB1799" s="132"/>
      <c r="CC1799" s="362"/>
      <c r="CG1799" s="132" t="s">
        <v>105</v>
      </c>
      <c r="CH1799" s="132"/>
      <c r="CI1799" s="24"/>
      <c r="CJ1799" s="24"/>
    </row>
    <row r="1800" spans="1:88" ht="15" customHeight="1">
      <c r="A1800" s="18">
        <v>2021</v>
      </c>
      <c r="B1800" s="18" t="s">
        <v>6191</v>
      </c>
      <c r="C1800" s="360" t="s">
        <v>484</v>
      </c>
      <c r="D1800" s="150" t="s">
        <v>77</v>
      </c>
      <c r="E1800" s="132"/>
      <c r="F1800" s="132"/>
      <c r="G1800" s="346">
        <v>8000001811</v>
      </c>
      <c r="H1800" s="18" t="s">
        <v>6874</v>
      </c>
      <c r="I1800" s="329"/>
      <c r="J1800" s="346">
        <v>8000001811</v>
      </c>
      <c r="K1800" s="24"/>
      <c r="L1800" s="24">
        <v>44613</v>
      </c>
      <c r="M1800" s="24">
        <v>44613</v>
      </c>
      <c r="N1800" s="340" t="s">
        <v>486</v>
      </c>
      <c r="O1800" s="334">
        <v>203616</v>
      </c>
      <c r="P1800" s="25" t="s">
        <v>357</v>
      </c>
      <c r="Q1800" s="127" t="s">
        <v>273</v>
      </c>
      <c r="R1800" s="232" t="s">
        <v>6865</v>
      </c>
      <c r="S1800" s="89">
        <v>44566</v>
      </c>
      <c r="T1800" s="36">
        <v>180</v>
      </c>
      <c r="U1800" s="125" t="s">
        <v>118</v>
      </c>
      <c r="V1800" s="147" t="s">
        <v>6875</v>
      </c>
      <c r="W1800" s="129"/>
      <c r="X1800" s="88">
        <v>44582</v>
      </c>
      <c r="Y1800" s="130" t="s">
        <v>20</v>
      </c>
      <c r="Z1800" s="133" t="s">
        <v>60</v>
      </c>
      <c r="AA1800" s="133"/>
      <c r="AB1800" s="241">
        <v>550</v>
      </c>
      <c r="AC1800" s="134">
        <v>516.42999999999995</v>
      </c>
      <c r="AD1800" s="134">
        <v>66.400000000000006</v>
      </c>
      <c r="AE1800" s="403">
        <f t="shared" si="118"/>
        <v>284036.5</v>
      </c>
      <c r="AF1800" s="132"/>
      <c r="AG1800" s="130" t="s">
        <v>46</v>
      </c>
      <c r="AH1800" s="130"/>
      <c r="AI1800" s="130" t="s">
        <v>100</v>
      </c>
      <c r="AJ1800" s="130"/>
      <c r="AK1800" s="130"/>
      <c r="AL1800" s="135" t="s">
        <v>6678</v>
      </c>
      <c r="AM1800" s="314"/>
      <c r="AN1800" s="26">
        <f t="shared" si="114"/>
        <v>0</v>
      </c>
      <c r="AO1800" s="26">
        <v>44570</v>
      </c>
      <c r="AP1800" s="26">
        <f t="shared" si="121"/>
        <v>44607</v>
      </c>
      <c r="AQ1800" s="26">
        <v>44607</v>
      </c>
      <c r="AR1800" s="24">
        <f>AQ1800+2</f>
        <v>44609</v>
      </c>
      <c r="AS1800" s="24"/>
      <c r="AT1800" s="24">
        <v>44609</v>
      </c>
      <c r="AU1800" s="418">
        <f t="shared" si="119"/>
        <v>2</v>
      </c>
      <c r="AV1800" s="418">
        <f t="shared" si="120"/>
        <v>2022</v>
      </c>
      <c r="AW1800" s="24"/>
      <c r="AX1800" s="135"/>
      <c r="AY1800" s="135" t="s">
        <v>5642</v>
      </c>
      <c r="AZ1800" s="24" t="s">
        <v>37</v>
      </c>
      <c r="BA1800" s="24"/>
      <c r="BB1800" s="132" t="s">
        <v>3593</v>
      </c>
      <c r="BC1800" s="128" t="s">
        <v>6876</v>
      </c>
      <c r="BD1800" s="24">
        <v>44570</v>
      </c>
      <c r="BE1800" s="24" t="s">
        <v>6868</v>
      </c>
      <c r="BF1800" s="24" t="s">
        <v>6868</v>
      </c>
      <c r="BG1800" s="135" t="s">
        <v>52</v>
      </c>
      <c r="BH1800" s="135"/>
      <c r="BI1800" s="314" t="s">
        <v>3</v>
      </c>
      <c r="BJ1800" s="314"/>
      <c r="BK1800" s="24"/>
      <c r="BL1800" s="24"/>
      <c r="BM1800" s="24"/>
      <c r="BN1800" s="24"/>
      <c r="BO1800" s="24"/>
      <c r="BP1800" s="24"/>
      <c r="BQ1800" s="24" t="s">
        <v>6877</v>
      </c>
      <c r="BR1800" s="24">
        <v>44607</v>
      </c>
      <c r="BS1800" s="24" t="s">
        <v>51</v>
      </c>
      <c r="BT1800" s="24" t="s">
        <v>11</v>
      </c>
      <c r="BU1800" s="24"/>
      <c r="BV1800" s="132" t="s">
        <v>3</v>
      </c>
      <c r="BW1800" s="132"/>
      <c r="BX1800" s="132"/>
      <c r="BY1800" s="132"/>
      <c r="BZ1800" s="132"/>
      <c r="CA1800" s="132"/>
      <c r="CB1800" s="132"/>
      <c r="CC1800" s="362"/>
      <c r="CG1800" s="132" t="s">
        <v>105</v>
      </c>
      <c r="CH1800" s="132"/>
      <c r="CI1800" s="24"/>
      <c r="CJ1800" s="24"/>
    </row>
    <row r="1801" spans="1:88" ht="15" customHeight="1">
      <c r="A1801" s="18">
        <v>2021</v>
      </c>
      <c r="B1801" s="18" t="s">
        <v>6191</v>
      </c>
      <c r="C1801" s="360" t="s">
        <v>484</v>
      </c>
      <c r="D1801" s="150" t="s">
        <v>77</v>
      </c>
      <c r="E1801" s="132"/>
      <c r="F1801" s="132"/>
      <c r="G1801" s="346">
        <v>8000001812</v>
      </c>
      <c r="H1801" s="18" t="s">
        <v>6878</v>
      </c>
      <c r="I1801" s="329"/>
      <c r="J1801" s="346">
        <v>8000001812</v>
      </c>
      <c r="K1801" s="24"/>
      <c r="L1801" s="24">
        <v>44614</v>
      </c>
      <c r="M1801" s="24">
        <v>44614</v>
      </c>
      <c r="N1801" s="340" t="s">
        <v>486</v>
      </c>
      <c r="O1801" s="334">
        <v>203616</v>
      </c>
      <c r="P1801" s="25" t="s">
        <v>357</v>
      </c>
      <c r="Q1801" s="127" t="s">
        <v>273</v>
      </c>
      <c r="R1801" s="232" t="s">
        <v>6865</v>
      </c>
      <c r="S1801" s="89">
        <v>44566</v>
      </c>
      <c r="T1801" s="36">
        <v>180</v>
      </c>
      <c r="U1801" s="125" t="s">
        <v>118</v>
      </c>
      <c r="V1801" s="147" t="s">
        <v>6879</v>
      </c>
      <c r="W1801" s="129"/>
      <c r="X1801" s="88">
        <v>44582</v>
      </c>
      <c r="Y1801" s="130" t="s">
        <v>20</v>
      </c>
      <c r="Z1801" s="133" t="s">
        <v>60</v>
      </c>
      <c r="AA1801" s="133"/>
      <c r="AB1801" s="241">
        <v>500</v>
      </c>
      <c r="AC1801" s="134">
        <v>516.42999999999995</v>
      </c>
      <c r="AD1801" s="134">
        <v>66.400000000000006</v>
      </c>
      <c r="AE1801" s="403">
        <f t="shared" si="118"/>
        <v>258214.99999999997</v>
      </c>
      <c r="AF1801" s="132"/>
      <c r="AG1801" s="130" t="s">
        <v>46</v>
      </c>
      <c r="AH1801" s="130"/>
      <c r="AI1801" s="130" t="s">
        <v>100</v>
      </c>
      <c r="AJ1801" s="130"/>
      <c r="AK1801" s="130"/>
      <c r="AL1801" s="135" t="s">
        <v>6678</v>
      </c>
      <c r="AM1801" s="314"/>
      <c r="AN1801" s="26">
        <f t="shared" si="114"/>
        <v>0</v>
      </c>
      <c r="AO1801" s="26">
        <v>44570</v>
      </c>
      <c r="AP1801" s="26">
        <f t="shared" si="121"/>
        <v>44611</v>
      </c>
      <c r="AQ1801" s="26">
        <v>44611</v>
      </c>
      <c r="AR1801" s="24">
        <f>AQ1801+1</f>
        <v>44612</v>
      </c>
      <c r="AS1801" s="24"/>
      <c r="AT1801" s="24">
        <v>44611</v>
      </c>
      <c r="AU1801" s="418">
        <f t="shared" si="119"/>
        <v>2</v>
      </c>
      <c r="AV1801" s="418">
        <f t="shared" si="120"/>
        <v>2022</v>
      </c>
      <c r="AW1801" s="24"/>
      <c r="AX1801" s="135"/>
      <c r="AY1801" s="135" t="s">
        <v>5642</v>
      </c>
      <c r="AZ1801" s="24" t="s">
        <v>62</v>
      </c>
      <c r="BA1801" s="24"/>
      <c r="BB1801" s="24" t="s">
        <v>3264</v>
      </c>
      <c r="BC1801" s="128" t="s">
        <v>6880</v>
      </c>
      <c r="BD1801" s="24">
        <v>44570</v>
      </c>
      <c r="BE1801" s="24" t="s">
        <v>6868</v>
      </c>
      <c r="BF1801" s="24" t="s">
        <v>6868</v>
      </c>
      <c r="BG1801" s="135" t="s">
        <v>52</v>
      </c>
      <c r="BH1801" s="135"/>
      <c r="BI1801" s="314" t="s">
        <v>3</v>
      </c>
      <c r="BJ1801" s="314"/>
      <c r="BK1801" s="24"/>
      <c r="BL1801" s="24"/>
      <c r="BM1801" s="24"/>
      <c r="BN1801" s="24"/>
      <c r="BO1801" s="24"/>
      <c r="BP1801" s="24"/>
      <c r="BQ1801" s="24" t="s">
        <v>6881</v>
      </c>
      <c r="BR1801" s="24">
        <v>44609</v>
      </c>
      <c r="BS1801" s="24" t="s">
        <v>51</v>
      </c>
      <c r="BT1801" s="24" t="s">
        <v>39</v>
      </c>
      <c r="BU1801" s="24"/>
      <c r="BV1801" s="132" t="s">
        <v>3</v>
      </c>
      <c r="BW1801" s="132"/>
      <c r="BX1801" s="132"/>
      <c r="BY1801" s="132"/>
      <c r="BZ1801" s="132"/>
      <c r="CA1801" s="132"/>
      <c r="CB1801" s="132"/>
      <c r="CC1801" s="362"/>
      <c r="CG1801" s="132" t="s">
        <v>105</v>
      </c>
      <c r="CH1801" s="132"/>
      <c r="CI1801" s="24"/>
      <c r="CJ1801" s="24"/>
    </row>
    <row r="1802" spans="1:88" ht="15" customHeight="1">
      <c r="A1802" s="18">
        <v>2021</v>
      </c>
      <c r="B1802" s="18" t="s">
        <v>6191</v>
      </c>
      <c r="C1802" s="360" t="s">
        <v>484</v>
      </c>
      <c r="D1802" s="150" t="s">
        <v>77</v>
      </c>
      <c r="E1802" s="132"/>
      <c r="F1802" s="132"/>
      <c r="G1802" s="346">
        <v>8000001813</v>
      </c>
      <c r="H1802" s="18" t="s">
        <v>6882</v>
      </c>
      <c r="I1802" s="329"/>
      <c r="J1802" s="346">
        <v>8000001813</v>
      </c>
      <c r="K1802" s="24"/>
      <c r="L1802" s="24">
        <v>44603</v>
      </c>
      <c r="M1802" s="24">
        <v>44603</v>
      </c>
      <c r="N1802" s="340" t="s">
        <v>486</v>
      </c>
      <c r="O1802" s="334">
        <v>208300</v>
      </c>
      <c r="P1802" s="25" t="s">
        <v>332</v>
      </c>
      <c r="Q1802" s="127" t="s">
        <v>273</v>
      </c>
      <c r="R1802" s="232" t="s">
        <v>6865</v>
      </c>
      <c r="S1802" s="89">
        <v>44566</v>
      </c>
      <c r="T1802" s="36">
        <v>180</v>
      </c>
      <c r="U1802" s="125" t="s">
        <v>118</v>
      </c>
      <c r="V1802" s="147" t="s">
        <v>6883</v>
      </c>
      <c r="W1802" s="129"/>
      <c r="X1802" s="88">
        <v>44582</v>
      </c>
      <c r="Y1802" s="130" t="s">
        <v>20</v>
      </c>
      <c r="Z1802" s="133" t="s">
        <v>60</v>
      </c>
      <c r="AA1802" s="133"/>
      <c r="AB1802" s="241">
        <v>125</v>
      </c>
      <c r="AC1802" s="134">
        <v>602.5</v>
      </c>
      <c r="AD1802" s="134">
        <v>66.400000000000006</v>
      </c>
      <c r="AE1802" s="403">
        <f t="shared" si="118"/>
        <v>75312.5</v>
      </c>
      <c r="AF1802" s="132"/>
      <c r="AG1802" s="130" t="s">
        <v>46</v>
      </c>
      <c r="AH1802" s="130"/>
      <c r="AI1802" s="130" t="s">
        <v>100</v>
      </c>
      <c r="AJ1802" s="130"/>
      <c r="AK1802" s="130"/>
      <c r="AL1802" s="135" t="s">
        <v>6678</v>
      </c>
      <c r="AM1802" s="314"/>
      <c r="AN1802" s="26">
        <f t="shared" si="114"/>
        <v>0</v>
      </c>
      <c r="AO1802" s="26">
        <v>44570</v>
      </c>
      <c r="AP1802" s="26">
        <f t="shared" si="121"/>
        <v>44600</v>
      </c>
      <c r="AQ1802" s="26">
        <v>44600</v>
      </c>
      <c r="AR1802" s="24">
        <f>AQ1802+2</f>
        <v>44602</v>
      </c>
      <c r="AS1802" s="24"/>
      <c r="AT1802" s="24">
        <v>44602</v>
      </c>
      <c r="AU1802" s="418">
        <f t="shared" si="119"/>
        <v>2</v>
      </c>
      <c r="AV1802" s="418">
        <f t="shared" si="120"/>
        <v>2022</v>
      </c>
      <c r="AW1802" s="24"/>
      <c r="AX1802" s="135"/>
      <c r="AY1802" s="135" t="s">
        <v>5642</v>
      </c>
      <c r="AZ1802" s="24" t="s">
        <v>9</v>
      </c>
      <c r="BA1802" s="24"/>
      <c r="BB1802" s="132" t="s">
        <v>3264</v>
      </c>
      <c r="BC1802" s="128" t="s">
        <v>6884</v>
      </c>
      <c r="BD1802" s="24">
        <v>44570</v>
      </c>
      <c r="BE1802" s="24" t="s">
        <v>6868</v>
      </c>
      <c r="BF1802" s="24" t="s">
        <v>6868</v>
      </c>
      <c r="BG1802" s="135" t="s">
        <v>52</v>
      </c>
      <c r="BH1802" s="135"/>
      <c r="BI1802" s="314" t="s">
        <v>3</v>
      </c>
      <c r="BJ1802" s="314"/>
      <c r="BK1802" s="24"/>
      <c r="BL1802" s="24"/>
      <c r="BM1802" s="24"/>
      <c r="BN1802" s="24"/>
      <c r="BO1802" s="24"/>
      <c r="BP1802" s="24"/>
      <c r="BQ1802" s="24" t="s">
        <v>6885</v>
      </c>
      <c r="BR1802" s="24">
        <v>44599</v>
      </c>
      <c r="BS1802" s="24" t="s">
        <v>51</v>
      </c>
      <c r="BT1802" s="24" t="s">
        <v>39</v>
      </c>
      <c r="BU1802" s="24"/>
      <c r="BV1802" s="132" t="s">
        <v>3</v>
      </c>
      <c r="BW1802" s="132"/>
      <c r="BX1802" s="132"/>
      <c r="BY1802" s="132"/>
      <c r="BZ1802" s="132"/>
      <c r="CA1802" s="132"/>
      <c r="CB1802" s="132"/>
      <c r="CC1802" s="362"/>
      <c r="CG1802" s="132" t="s">
        <v>105</v>
      </c>
      <c r="CH1802" s="132"/>
      <c r="CI1802" s="24"/>
      <c r="CJ1802" s="24"/>
    </row>
    <row r="1803" spans="1:88" ht="15" customHeight="1">
      <c r="A1803" s="18">
        <v>2021</v>
      </c>
      <c r="B1803" s="18" t="s">
        <v>6191</v>
      </c>
      <c r="C1803" s="360" t="s">
        <v>484</v>
      </c>
      <c r="D1803" s="150" t="s">
        <v>77</v>
      </c>
      <c r="E1803" s="132"/>
      <c r="F1803" s="132"/>
      <c r="G1803" s="346">
        <v>8000001814</v>
      </c>
      <c r="H1803" s="18" t="s">
        <v>6886</v>
      </c>
      <c r="I1803" s="329"/>
      <c r="J1803" s="346">
        <v>8000001814</v>
      </c>
      <c r="K1803" s="24"/>
      <c r="L1803" s="24">
        <v>44613</v>
      </c>
      <c r="M1803" s="24">
        <v>44613</v>
      </c>
      <c r="N1803" s="340" t="s">
        <v>486</v>
      </c>
      <c r="O1803" s="334">
        <v>208300</v>
      </c>
      <c r="P1803" s="25" t="s">
        <v>332</v>
      </c>
      <c r="Q1803" s="127" t="s">
        <v>273</v>
      </c>
      <c r="R1803" s="232" t="s">
        <v>6865</v>
      </c>
      <c r="S1803" s="89">
        <v>44566</v>
      </c>
      <c r="T1803" s="36">
        <v>180</v>
      </c>
      <c r="U1803" s="125" t="s">
        <v>118</v>
      </c>
      <c r="V1803" s="147" t="s">
        <v>6887</v>
      </c>
      <c r="W1803" s="129"/>
      <c r="X1803" s="88">
        <v>44582</v>
      </c>
      <c r="Y1803" s="130" t="s">
        <v>20</v>
      </c>
      <c r="Z1803" s="133" t="s">
        <v>60</v>
      </c>
      <c r="AA1803" s="133"/>
      <c r="AB1803" s="241">
        <v>125</v>
      </c>
      <c r="AC1803" s="134">
        <v>602.5</v>
      </c>
      <c r="AD1803" s="134">
        <v>66.400000000000006</v>
      </c>
      <c r="AE1803" s="403">
        <f t="shared" si="118"/>
        <v>75312.5</v>
      </c>
      <c r="AF1803" s="132"/>
      <c r="AG1803" s="130" t="s">
        <v>46</v>
      </c>
      <c r="AH1803" s="130"/>
      <c r="AI1803" s="130" t="s">
        <v>100</v>
      </c>
      <c r="AJ1803" s="130"/>
      <c r="AK1803" s="130"/>
      <c r="AL1803" s="135" t="s">
        <v>6678</v>
      </c>
      <c r="AM1803" s="314"/>
      <c r="AN1803" s="26">
        <f t="shared" si="114"/>
        <v>0</v>
      </c>
      <c r="AO1803" s="26">
        <v>44570</v>
      </c>
      <c r="AP1803" s="26">
        <f t="shared" si="121"/>
        <v>44607</v>
      </c>
      <c r="AQ1803" s="26">
        <v>44607</v>
      </c>
      <c r="AR1803" s="24">
        <f>AQ1803+2</f>
        <v>44609</v>
      </c>
      <c r="AS1803" s="24"/>
      <c r="AT1803" s="24">
        <v>44609</v>
      </c>
      <c r="AU1803" s="418">
        <f t="shared" si="119"/>
        <v>2</v>
      </c>
      <c r="AV1803" s="418">
        <f t="shared" si="120"/>
        <v>2022</v>
      </c>
      <c r="AW1803" s="24"/>
      <c r="AX1803" s="135"/>
      <c r="AY1803" s="135" t="s">
        <v>5642</v>
      </c>
      <c r="AZ1803" s="24" t="s">
        <v>37</v>
      </c>
      <c r="BA1803" s="24"/>
      <c r="BB1803" s="132" t="s">
        <v>3291</v>
      </c>
      <c r="BC1803" s="128" t="s">
        <v>6888</v>
      </c>
      <c r="BD1803" s="24">
        <v>44570</v>
      </c>
      <c r="BE1803" s="24" t="s">
        <v>6868</v>
      </c>
      <c r="BF1803" s="24" t="s">
        <v>6868</v>
      </c>
      <c r="BG1803" s="135" t="s">
        <v>52</v>
      </c>
      <c r="BH1803" s="135"/>
      <c r="BI1803" s="314" t="s">
        <v>3</v>
      </c>
      <c r="BJ1803" s="314"/>
      <c r="BK1803" s="24"/>
      <c r="BL1803" s="24"/>
      <c r="BM1803" s="24"/>
      <c r="BN1803" s="24"/>
      <c r="BO1803" s="24"/>
      <c r="BP1803" s="24"/>
      <c r="BQ1803" s="24" t="s">
        <v>6889</v>
      </c>
      <c r="BR1803" s="24">
        <v>44607</v>
      </c>
      <c r="BS1803" s="24" t="s">
        <v>51</v>
      </c>
      <c r="BT1803" s="24" t="s">
        <v>11</v>
      </c>
      <c r="BU1803" s="24"/>
      <c r="BV1803" s="132" t="s">
        <v>3</v>
      </c>
      <c r="BW1803" s="132"/>
      <c r="BX1803" s="132"/>
      <c r="BY1803" s="132"/>
      <c r="BZ1803" s="132"/>
      <c r="CA1803" s="132"/>
      <c r="CB1803" s="132"/>
      <c r="CC1803" s="362"/>
      <c r="CG1803" s="132" t="s">
        <v>105</v>
      </c>
      <c r="CH1803" s="132"/>
      <c r="CI1803" s="24"/>
      <c r="CJ1803" s="24"/>
    </row>
    <row r="1804" spans="1:88" ht="15" customHeight="1">
      <c r="A1804" s="18">
        <v>2021</v>
      </c>
      <c r="B1804" s="18" t="s">
        <v>6191</v>
      </c>
      <c r="C1804" s="360" t="s">
        <v>484</v>
      </c>
      <c r="D1804" s="150" t="s">
        <v>77</v>
      </c>
      <c r="E1804" s="132"/>
      <c r="F1804" s="132"/>
      <c r="G1804" s="346">
        <v>8000001719</v>
      </c>
      <c r="H1804" s="18" t="s">
        <v>6890</v>
      </c>
      <c r="I1804" s="329"/>
      <c r="J1804" s="346">
        <v>8000001719</v>
      </c>
      <c r="K1804" s="24"/>
      <c r="L1804" s="24">
        <v>44614</v>
      </c>
      <c r="M1804" s="24">
        <v>44614</v>
      </c>
      <c r="N1804" s="340" t="s">
        <v>486</v>
      </c>
      <c r="O1804" s="334">
        <v>208300</v>
      </c>
      <c r="P1804" s="25" t="s">
        <v>332</v>
      </c>
      <c r="Q1804" s="127" t="s">
        <v>273</v>
      </c>
      <c r="R1804" s="232" t="s">
        <v>6865</v>
      </c>
      <c r="S1804" s="89">
        <v>44566</v>
      </c>
      <c r="T1804" s="36">
        <v>180</v>
      </c>
      <c r="U1804" s="125" t="s">
        <v>118</v>
      </c>
      <c r="V1804" s="147" t="s">
        <v>6891</v>
      </c>
      <c r="W1804" s="129"/>
      <c r="X1804" s="88">
        <v>44582</v>
      </c>
      <c r="Y1804" s="130" t="s">
        <v>20</v>
      </c>
      <c r="Z1804" s="133" t="s">
        <v>60</v>
      </c>
      <c r="AA1804" s="133"/>
      <c r="AB1804" s="241">
        <v>300</v>
      </c>
      <c r="AC1804" s="134">
        <v>602.5</v>
      </c>
      <c r="AD1804" s="134">
        <v>66.400000000000006</v>
      </c>
      <c r="AE1804" s="403">
        <f t="shared" si="118"/>
        <v>180750</v>
      </c>
      <c r="AF1804" s="132"/>
      <c r="AG1804" s="130" t="s">
        <v>46</v>
      </c>
      <c r="AH1804" s="130"/>
      <c r="AI1804" s="130" t="s">
        <v>100</v>
      </c>
      <c r="AJ1804" s="130"/>
      <c r="AK1804" s="130"/>
      <c r="AL1804" s="135" t="s">
        <v>6678</v>
      </c>
      <c r="AM1804" s="314"/>
      <c r="AN1804" s="26">
        <f t="shared" si="114"/>
        <v>0</v>
      </c>
      <c r="AO1804" s="26">
        <v>44570</v>
      </c>
      <c r="AP1804" s="26">
        <f t="shared" si="121"/>
        <v>44611</v>
      </c>
      <c r="AQ1804" s="26">
        <v>44611</v>
      </c>
      <c r="AR1804" s="24">
        <f>AQ1804+1</f>
        <v>44612</v>
      </c>
      <c r="AS1804" s="24"/>
      <c r="AT1804" s="24">
        <v>44611</v>
      </c>
      <c r="AU1804" s="418">
        <f t="shared" si="119"/>
        <v>2</v>
      </c>
      <c r="AV1804" s="418">
        <f t="shared" si="120"/>
        <v>2022</v>
      </c>
      <c r="AW1804" s="24"/>
      <c r="AX1804" s="135"/>
      <c r="AY1804" s="135" t="s">
        <v>5642</v>
      </c>
      <c r="AZ1804" s="24" t="s">
        <v>62</v>
      </c>
      <c r="BA1804" s="24"/>
      <c r="BB1804" s="24" t="s">
        <v>3264</v>
      </c>
      <c r="BC1804" s="128" t="s">
        <v>6892</v>
      </c>
      <c r="BD1804" s="24">
        <v>44570</v>
      </c>
      <c r="BE1804" s="24" t="s">
        <v>6868</v>
      </c>
      <c r="BF1804" s="24" t="s">
        <v>6868</v>
      </c>
      <c r="BG1804" s="135" t="s">
        <v>52</v>
      </c>
      <c r="BH1804" s="135"/>
      <c r="BI1804" s="314" t="s">
        <v>3</v>
      </c>
      <c r="BJ1804" s="314"/>
      <c r="BK1804" s="24"/>
      <c r="BL1804" s="24"/>
      <c r="BM1804" s="24"/>
      <c r="BN1804" s="24"/>
      <c r="BO1804" s="24"/>
      <c r="BP1804" s="24"/>
      <c r="BQ1804" s="24" t="s">
        <v>6893</v>
      </c>
      <c r="BR1804" s="24">
        <v>44609</v>
      </c>
      <c r="BS1804" s="24" t="s">
        <v>51</v>
      </c>
      <c r="BT1804" s="24" t="s">
        <v>27</v>
      </c>
      <c r="BU1804" s="24"/>
      <c r="BV1804" s="132" t="s">
        <v>3</v>
      </c>
      <c r="BW1804" s="132"/>
      <c r="BX1804" s="132"/>
      <c r="BY1804" s="132"/>
      <c r="BZ1804" s="132"/>
      <c r="CA1804" s="132"/>
      <c r="CB1804" s="132"/>
      <c r="CC1804" s="362"/>
      <c r="CG1804" s="132" t="s">
        <v>105</v>
      </c>
      <c r="CH1804" s="132"/>
      <c r="CI1804" s="24"/>
      <c r="CJ1804" s="24"/>
    </row>
    <row r="1805" spans="1:88" ht="15" customHeight="1">
      <c r="A1805" s="18">
        <v>2021</v>
      </c>
      <c r="B1805" s="18" t="s">
        <v>6191</v>
      </c>
      <c r="C1805" s="360" t="s">
        <v>484</v>
      </c>
      <c r="D1805" s="150" t="s">
        <v>77</v>
      </c>
      <c r="E1805" s="132" t="s">
        <v>51</v>
      </c>
      <c r="F1805" s="132"/>
      <c r="G1805" s="346">
        <v>8000001720</v>
      </c>
      <c r="H1805" s="18" t="s">
        <v>6894</v>
      </c>
      <c r="I1805" s="329"/>
      <c r="J1805" s="346">
        <v>8000001720</v>
      </c>
      <c r="K1805" s="24"/>
      <c r="L1805" s="24">
        <v>44595</v>
      </c>
      <c r="M1805" s="24">
        <v>44595</v>
      </c>
      <c r="N1805" s="340" t="s">
        <v>486</v>
      </c>
      <c r="O1805" s="334">
        <v>207579</v>
      </c>
      <c r="P1805" s="25" t="s">
        <v>238</v>
      </c>
      <c r="Q1805" s="127" t="s">
        <v>264</v>
      </c>
      <c r="R1805" s="232" t="s">
        <v>6895</v>
      </c>
      <c r="S1805" s="89">
        <v>44511</v>
      </c>
      <c r="T1805" s="36">
        <v>90</v>
      </c>
      <c r="U1805" s="125" t="s">
        <v>118</v>
      </c>
      <c r="V1805" s="147" t="s">
        <v>6895</v>
      </c>
      <c r="W1805" s="129"/>
      <c r="X1805" s="88">
        <f>+BD1805+T1805</f>
        <v>44637</v>
      </c>
      <c r="Y1805" s="130" t="s">
        <v>20</v>
      </c>
      <c r="Z1805" s="133" t="s">
        <v>60</v>
      </c>
      <c r="AA1805" s="133"/>
      <c r="AB1805" s="241">
        <v>700</v>
      </c>
      <c r="AC1805" s="134">
        <v>449</v>
      </c>
      <c r="AD1805" s="134"/>
      <c r="AE1805" s="403">
        <f t="shared" si="118"/>
        <v>314300</v>
      </c>
      <c r="AF1805" s="132"/>
      <c r="AG1805" s="130" t="s">
        <v>58</v>
      </c>
      <c r="AH1805" s="130"/>
      <c r="AI1805" s="130" t="s">
        <v>34</v>
      </c>
      <c r="AJ1805" s="130"/>
      <c r="AK1805" s="130"/>
      <c r="AL1805" s="135" t="s">
        <v>6412</v>
      </c>
      <c r="AM1805" s="314"/>
      <c r="AN1805" s="26">
        <f>BL1805</f>
        <v>0</v>
      </c>
      <c r="AO1805" s="26">
        <v>44547</v>
      </c>
      <c r="AP1805" s="26">
        <f t="shared" si="121"/>
        <v>44591</v>
      </c>
      <c r="AQ1805" s="26">
        <v>44591</v>
      </c>
      <c r="AR1805" s="24">
        <f>AQ1805+3</f>
        <v>44594</v>
      </c>
      <c r="AS1805" s="24"/>
      <c r="AT1805" s="24">
        <v>44604</v>
      </c>
      <c r="AU1805" s="418">
        <f t="shared" si="119"/>
        <v>2</v>
      </c>
      <c r="AV1805" s="418">
        <f t="shared" si="120"/>
        <v>2022</v>
      </c>
      <c r="AW1805" s="24"/>
      <c r="AX1805" s="24"/>
      <c r="AY1805" s="24" t="s">
        <v>311</v>
      </c>
      <c r="AZ1805" s="24" t="s">
        <v>50</v>
      </c>
      <c r="BA1805" s="24"/>
      <c r="BB1805" s="24" t="s">
        <v>2956</v>
      </c>
      <c r="BC1805" s="128" t="s">
        <v>6896</v>
      </c>
      <c r="BD1805" s="24">
        <v>44547</v>
      </c>
      <c r="BE1805" s="24" t="s">
        <v>6535</v>
      </c>
      <c r="BF1805" s="24" t="s">
        <v>6535</v>
      </c>
      <c r="BG1805" s="135" t="s">
        <v>52</v>
      </c>
      <c r="BH1805" s="135"/>
      <c r="BI1805" s="314" t="s">
        <v>3</v>
      </c>
      <c r="BJ1805" s="314"/>
      <c r="BK1805" s="24"/>
      <c r="BL1805" s="24"/>
      <c r="BM1805" s="24"/>
      <c r="BN1805" s="24"/>
      <c r="BO1805" s="24"/>
      <c r="BP1805" s="24"/>
      <c r="BQ1805" s="24" t="s">
        <v>6897</v>
      </c>
      <c r="BR1805" s="24">
        <v>44586</v>
      </c>
      <c r="BS1805" s="24" t="s">
        <v>38</v>
      </c>
      <c r="BT1805" s="24" t="s">
        <v>11</v>
      </c>
      <c r="BU1805" s="24"/>
      <c r="BV1805" s="132" t="s">
        <v>3</v>
      </c>
      <c r="BW1805" s="132"/>
      <c r="BX1805" s="132"/>
      <c r="BY1805" s="132"/>
      <c r="BZ1805" s="132"/>
      <c r="CA1805" s="132"/>
      <c r="CB1805" s="132"/>
      <c r="CC1805" s="362"/>
      <c r="CG1805" s="132" t="s">
        <v>105</v>
      </c>
      <c r="CH1805" s="132"/>
      <c r="CI1805" s="24"/>
      <c r="CJ1805" s="24"/>
    </row>
    <row r="1806" spans="1:88" ht="15" customHeight="1">
      <c r="A1806" s="18">
        <v>2021</v>
      </c>
      <c r="B1806" s="18" t="s">
        <v>6191</v>
      </c>
      <c r="C1806" s="360" t="s">
        <v>484</v>
      </c>
      <c r="D1806" s="150" t="s">
        <v>77</v>
      </c>
      <c r="E1806" s="132"/>
      <c r="F1806" s="132"/>
      <c r="G1806" s="346">
        <v>8000001797</v>
      </c>
      <c r="H1806" s="18" t="s">
        <v>6898</v>
      </c>
      <c r="I1806" s="329"/>
      <c r="J1806" s="346">
        <v>8000001797</v>
      </c>
      <c r="K1806" s="24"/>
      <c r="L1806" s="24">
        <v>44595</v>
      </c>
      <c r="M1806" s="24">
        <v>44595</v>
      </c>
      <c r="N1806" s="340" t="s">
        <v>486</v>
      </c>
      <c r="O1806" s="334">
        <v>206914</v>
      </c>
      <c r="P1806" s="25" t="s">
        <v>335</v>
      </c>
      <c r="Q1806" s="127" t="s">
        <v>264</v>
      </c>
      <c r="R1806" s="232" t="s">
        <v>6899</v>
      </c>
      <c r="S1806" s="89">
        <v>44513</v>
      </c>
      <c r="T1806" s="36">
        <v>90</v>
      </c>
      <c r="U1806" s="125" t="s">
        <v>118</v>
      </c>
      <c r="V1806" s="147" t="s">
        <v>6900</v>
      </c>
      <c r="W1806" s="129"/>
      <c r="X1806" s="88">
        <f>+BD1806+T1806</f>
        <v>44637</v>
      </c>
      <c r="Y1806" s="130" t="s">
        <v>20</v>
      </c>
      <c r="Z1806" s="133" t="s">
        <v>60</v>
      </c>
      <c r="AA1806" s="133"/>
      <c r="AB1806" s="241">
        <v>1340</v>
      </c>
      <c r="AC1806" s="134">
        <v>311</v>
      </c>
      <c r="AD1806" s="134"/>
      <c r="AE1806" s="403">
        <f t="shared" si="118"/>
        <v>416740</v>
      </c>
      <c r="AF1806" s="132"/>
      <c r="AG1806" s="130" t="s">
        <v>58</v>
      </c>
      <c r="AH1806" s="130"/>
      <c r="AI1806" s="130" t="s">
        <v>34</v>
      </c>
      <c r="AJ1806" s="130"/>
      <c r="AK1806" s="130"/>
      <c r="AL1806" s="135" t="s">
        <v>6678</v>
      </c>
      <c r="AM1806" s="314"/>
      <c r="AN1806" s="26">
        <f>BL1806</f>
        <v>0</v>
      </c>
      <c r="AO1806" s="26">
        <v>44547</v>
      </c>
      <c r="AP1806" s="26">
        <f t="shared" si="121"/>
        <v>44591</v>
      </c>
      <c r="AQ1806" s="26">
        <v>44591</v>
      </c>
      <c r="AR1806" s="24">
        <f>AQ1806+3</f>
        <v>44594</v>
      </c>
      <c r="AS1806" s="24"/>
      <c r="AT1806" s="24">
        <v>44597</v>
      </c>
      <c r="AU1806" s="418">
        <f t="shared" si="119"/>
        <v>2</v>
      </c>
      <c r="AV1806" s="418">
        <f t="shared" si="120"/>
        <v>2022</v>
      </c>
      <c r="AW1806" s="24"/>
      <c r="AX1806" s="24"/>
      <c r="AY1806" s="24" t="s">
        <v>311</v>
      </c>
      <c r="AZ1806" s="24" t="s">
        <v>50</v>
      </c>
      <c r="BA1806" s="24"/>
      <c r="BB1806" s="24" t="s">
        <v>2956</v>
      </c>
      <c r="BC1806" s="128" t="s">
        <v>6901</v>
      </c>
      <c r="BD1806" s="24">
        <v>44547</v>
      </c>
      <c r="BE1806" s="24" t="s">
        <v>6535</v>
      </c>
      <c r="BF1806" s="24" t="s">
        <v>6535</v>
      </c>
      <c r="BG1806" s="135" t="s">
        <v>52</v>
      </c>
      <c r="BH1806" s="135"/>
      <c r="BI1806" s="314" t="s">
        <v>3</v>
      </c>
      <c r="BJ1806" s="314"/>
      <c r="BK1806" s="24"/>
      <c r="BL1806" s="24"/>
      <c r="BM1806" s="24"/>
      <c r="BN1806" s="24"/>
      <c r="BO1806" s="24"/>
      <c r="BP1806" s="24"/>
      <c r="BQ1806" s="24" t="s">
        <v>6902</v>
      </c>
      <c r="BR1806" s="24">
        <v>44586</v>
      </c>
      <c r="BS1806" s="24" t="s">
        <v>38</v>
      </c>
      <c r="BT1806" s="24" t="s">
        <v>11</v>
      </c>
      <c r="BU1806" s="24"/>
      <c r="BV1806" s="132" t="s">
        <v>3</v>
      </c>
      <c r="BW1806" s="132"/>
      <c r="BX1806" s="132"/>
      <c r="BY1806" s="132"/>
      <c r="BZ1806" s="132"/>
      <c r="CA1806" s="132"/>
      <c r="CB1806" s="132"/>
      <c r="CC1806" s="362"/>
      <c r="CG1806" s="132" t="s">
        <v>105</v>
      </c>
      <c r="CH1806" s="132"/>
      <c r="CI1806" s="24"/>
      <c r="CJ1806" s="24"/>
    </row>
    <row r="1807" spans="1:88" ht="15" customHeight="1">
      <c r="A1807" s="18">
        <v>2021</v>
      </c>
      <c r="B1807" s="18" t="s">
        <v>6191</v>
      </c>
      <c r="C1807" s="360" t="s">
        <v>484</v>
      </c>
      <c r="D1807" s="150" t="s">
        <v>77</v>
      </c>
      <c r="E1807" s="132"/>
      <c r="F1807" s="132"/>
      <c r="G1807" s="346">
        <v>8000001721</v>
      </c>
      <c r="H1807" s="18" t="s">
        <v>6903</v>
      </c>
      <c r="I1807" s="329"/>
      <c r="J1807" s="346">
        <v>8000001721</v>
      </c>
      <c r="K1807" s="24"/>
      <c r="L1807" s="24">
        <v>44626</v>
      </c>
      <c r="M1807" s="24">
        <v>44630</v>
      </c>
      <c r="N1807" s="340" t="s">
        <v>486</v>
      </c>
      <c r="O1807" s="334">
        <v>206914</v>
      </c>
      <c r="P1807" s="25" t="s">
        <v>335</v>
      </c>
      <c r="Q1807" s="127" t="s">
        <v>264</v>
      </c>
      <c r="R1807" s="232" t="s">
        <v>6899</v>
      </c>
      <c r="S1807" s="89">
        <v>44512</v>
      </c>
      <c r="T1807" s="36">
        <v>90</v>
      </c>
      <c r="U1807" s="125" t="s">
        <v>118</v>
      </c>
      <c r="V1807" s="147" t="s">
        <v>6904</v>
      </c>
      <c r="W1807" s="129"/>
      <c r="X1807" s="88">
        <f>+BD1807+T1807</f>
        <v>44657</v>
      </c>
      <c r="Y1807" s="130" t="s">
        <v>20</v>
      </c>
      <c r="Z1807" s="133" t="s">
        <v>60</v>
      </c>
      <c r="AA1807" s="133" t="s">
        <v>6619</v>
      </c>
      <c r="AB1807" s="241">
        <v>1660</v>
      </c>
      <c r="AC1807" s="134">
        <v>311</v>
      </c>
      <c r="AD1807" s="134">
        <v>1068.37813504823</v>
      </c>
      <c r="AE1807" s="403">
        <f t="shared" si="118"/>
        <v>516260</v>
      </c>
      <c r="AF1807" s="132"/>
      <c r="AG1807" s="130" t="s">
        <v>58</v>
      </c>
      <c r="AH1807" s="130"/>
      <c r="AI1807" s="130" t="s">
        <v>34</v>
      </c>
      <c r="AJ1807" s="130"/>
      <c r="AK1807" s="130"/>
      <c r="AL1807" s="135" t="s">
        <v>6678</v>
      </c>
      <c r="AM1807" s="314"/>
      <c r="AN1807" s="26">
        <f t="shared" ref="AN1807:AN1814" si="122">BL1807</f>
        <v>0</v>
      </c>
      <c r="AO1807" s="26">
        <v>44567</v>
      </c>
      <c r="AP1807" s="26">
        <f t="shared" si="121"/>
        <v>44621</v>
      </c>
      <c r="AQ1807" s="26">
        <v>44621</v>
      </c>
      <c r="AR1807" s="24">
        <f>AQ1807+1</f>
        <v>44622</v>
      </c>
      <c r="AS1807" s="24"/>
      <c r="AT1807" s="24">
        <v>44628</v>
      </c>
      <c r="AU1807" s="418">
        <f t="shared" si="119"/>
        <v>3</v>
      </c>
      <c r="AV1807" s="418">
        <f t="shared" si="120"/>
        <v>2022</v>
      </c>
      <c r="AW1807" s="24"/>
      <c r="AX1807" s="24"/>
      <c r="AY1807" s="24" t="s">
        <v>311</v>
      </c>
      <c r="AZ1807" s="24" t="s">
        <v>50</v>
      </c>
      <c r="BA1807" s="24"/>
      <c r="BB1807" s="24" t="s">
        <v>2956</v>
      </c>
      <c r="BC1807" s="128" t="s">
        <v>6905</v>
      </c>
      <c r="BD1807" s="24">
        <v>44567</v>
      </c>
      <c r="BE1807" s="24" t="s">
        <v>6906</v>
      </c>
      <c r="BF1807" s="24" t="s">
        <v>6906</v>
      </c>
      <c r="BG1807" s="135" t="s">
        <v>52</v>
      </c>
      <c r="BH1807" s="135"/>
      <c r="BI1807" s="314" t="s">
        <v>3</v>
      </c>
      <c r="BJ1807" s="314" t="s">
        <v>143</v>
      </c>
      <c r="BK1807" s="24"/>
      <c r="BL1807" s="24"/>
      <c r="BM1807" s="24"/>
      <c r="BN1807" s="24"/>
      <c r="BO1807" s="41"/>
      <c r="BP1807" s="41"/>
      <c r="BQ1807" s="41" t="s">
        <v>6907</v>
      </c>
      <c r="BR1807" s="24">
        <v>44617</v>
      </c>
      <c r="BS1807" s="41" t="s">
        <v>38</v>
      </c>
      <c r="BT1807" s="41" t="s">
        <v>11</v>
      </c>
      <c r="BU1807" s="41"/>
      <c r="BV1807" s="132" t="s">
        <v>3</v>
      </c>
      <c r="BW1807" s="132"/>
      <c r="BX1807" s="132"/>
      <c r="BY1807" s="132"/>
      <c r="BZ1807" s="132"/>
      <c r="CA1807" s="132"/>
      <c r="CB1807" s="132"/>
      <c r="CC1807" s="362"/>
      <c r="CG1807" s="132" t="s">
        <v>105</v>
      </c>
      <c r="CH1807" s="132"/>
      <c r="CI1807" s="24"/>
      <c r="CJ1807" s="24"/>
    </row>
    <row r="1808" spans="1:88" ht="15" customHeight="1">
      <c r="A1808" s="18">
        <v>2021</v>
      </c>
      <c r="B1808" s="18" t="str">
        <f>+INDEX(BDD!F:F,MATCH(P1808,BDD!D:D,0))&amp;"-"&amp;INDEX(BDD!E:E,MATCH(P1808,BDD!D:D,0))</f>
        <v>S-S</v>
      </c>
      <c r="C1808" s="360" t="s">
        <v>484</v>
      </c>
      <c r="D1808" s="150" t="s">
        <v>77</v>
      </c>
      <c r="E1808" s="132"/>
      <c r="F1808" s="132"/>
      <c r="G1808" s="346">
        <v>8000001722</v>
      </c>
      <c r="H1808" s="18" t="s">
        <v>6908</v>
      </c>
      <c r="I1808" s="329" t="s">
        <v>6909</v>
      </c>
      <c r="J1808" s="346">
        <v>8000001722</v>
      </c>
      <c r="K1808" s="24"/>
      <c r="L1808" s="24">
        <v>44676</v>
      </c>
      <c r="M1808" s="24">
        <v>44683</v>
      </c>
      <c r="N1808" s="340" t="s">
        <v>486</v>
      </c>
      <c r="O1808" s="334">
        <v>206713</v>
      </c>
      <c r="P1808" s="25" t="s">
        <v>340</v>
      </c>
      <c r="Q1808" s="127" t="s">
        <v>297</v>
      </c>
      <c r="R1808" s="232" t="s">
        <v>6910</v>
      </c>
      <c r="S1808" s="89">
        <v>44532</v>
      </c>
      <c r="T1808" s="36" t="s">
        <v>19</v>
      </c>
      <c r="U1808" s="125"/>
      <c r="V1808" s="147" t="s">
        <v>6911</v>
      </c>
      <c r="W1808" s="129">
        <v>44621</v>
      </c>
      <c r="X1808" s="88"/>
      <c r="Y1808" s="130" t="s">
        <v>20</v>
      </c>
      <c r="Z1808" s="133" t="s">
        <v>60</v>
      </c>
      <c r="AA1808" s="133" t="s">
        <v>6326</v>
      </c>
      <c r="AB1808" s="241">
        <v>3094.8</v>
      </c>
      <c r="AC1808" s="134">
        <f>857+AD1808</f>
        <v>1028.5</v>
      </c>
      <c r="AD1808" s="134">
        <v>171.5</v>
      </c>
      <c r="AE1808" s="403">
        <f t="shared" si="118"/>
        <v>3183001.8000000003</v>
      </c>
      <c r="AF1808" s="132"/>
      <c r="AG1808" s="130" t="s">
        <v>58</v>
      </c>
      <c r="AH1808" s="130"/>
      <c r="AI1808" s="130" t="s">
        <v>6029</v>
      </c>
      <c r="AJ1808" s="274">
        <v>1.2</v>
      </c>
      <c r="AK1808" s="130" t="s">
        <v>944</v>
      </c>
      <c r="AL1808" s="135" t="s">
        <v>6912</v>
      </c>
      <c r="AM1808" s="314"/>
      <c r="AN1808" s="26">
        <f t="shared" si="122"/>
        <v>0</v>
      </c>
      <c r="AO1808" s="26">
        <v>44621</v>
      </c>
      <c r="AP1808" s="26">
        <f t="shared" si="121"/>
        <v>44672</v>
      </c>
      <c r="AQ1808" s="26">
        <v>44672</v>
      </c>
      <c r="AR1808" s="24">
        <f>AQ1808+2</f>
        <v>44674</v>
      </c>
      <c r="AS1808" s="24">
        <v>44680</v>
      </c>
      <c r="AT1808" s="24">
        <v>44681</v>
      </c>
      <c r="AU1808" s="418">
        <f t="shared" si="119"/>
        <v>4</v>
      </c>
      <c r="AV1808" s="418">
        <f t="shared" si="120"/>
        <v>2022</v>
      </c>
      <c r="AW1808" s="24"/>
      <c r="AX1808" s="135" t="s">
        <v>6915</v>
      </c>
      <c r="AY1808" s="135" t="s">
        <v>6914</v>
      </c>
      <c r="AZ1808" s="24" t="s">
        <v>25</v>
      </c>
      <c r="BA1808" s="24" t="s">
        <v>6917</v>
      </c>
      <c r="BB1808" s="132" t="s">
        <v>3264</v>
      </c>
      <c r="BC1808" s="128" t="s">
        <v>6913</v>
      </c>
      <c r="BD1808" s="24">
        <v>44621</v>
      </c>
      <c r="BE1808" s="24" t="s">
        <v>6916</v>
      </c>
      <c r="BF1808" s="24" t="s">
        <v>6916</v>
      </c>
      <c r="BG1808" s="135" t="s">
        <v>52</v>
      </c>
      <c r="BH1808" s="135" t="s">
        <v>6917</v>
      </c>
      <c r="BI1808" s="314" t="s">
        <v>3</v>
      </c>
      <c r="BJ1808" s="314"/>
      <c r="BK1808" s="24"/>
      <c r="BL1808" s="24"/>
      <c r="BM1808" s="24"/>
      <c r="BN1808" s="24"/>
      <c r="BO1808" s="41"/>
      <c r="BP1808" s="41"/>
      <c r="BQ1808" s="41" t="s">
        <v>6918</v>
      </c>
      <c r="BR1808" s="24">
        <v>44673</v>
      </c>
      <c r="BS1808" s="41" t="s">
        <v>6919</v>
      </c>
      <c r="BT1808" s="41" t="s">
        <v>11</v>
      </c>
      <c r="BU1808" s="41"/>
      <c r="BV1808" s="132" t="s">
        <v>6087</v>
      </c>
      <c r="BW1808" s="132"/>
      <c r="BX1808" s="132"/>
      <c r="BY1808" s="132"/>
      <c r="BZ1808" s="132"/>
      <c r="CA1808" s="132"/>
      <c r="CB1808" s="132"/>
      <c r="CC1808" s="368" t="s">
        <v>6920</v>
      </c>
      <c r="CG1808" s="132" t="s">
        <v>105</v>
      </c>
      <c r="CH1808" s="132"/>
      <c r="CI1808" s="24"/>
      <c r="CJ1808" s="24"/>
    </row>
    <row r="1809" spans="1:88" ht="15" customHeight="1">
      <c r="A1809" s="18">
        <v>2021</v>
      </c>
      <c r="B1809" s="18" t="str">
        <f>+INDEX(BDD!F:F,MATCH(P1809,BDD!D:D,0))&amp;"-"&amp;INDEX(BDD!E:E,MATCH(P1809,BDD!D:D,0))</f>
        <v>S-S</v>
      </c>
      <c r="C1809" s="360" t="s">
        <v>484</v>
      </c>
      <c r="D1809" s="150" t="s">
        <v>77</v>
      </c>
      <c r="E1809" s="132"/>
      <c r="F1809" s="132"/>
      <c r="G1809" s="346">
        <v>8000001990</v>
      </c>
      <c r="H1809" s="18" t="s">
        <v>6921</v>
      </c>
      <c r="I1809" s="329" t="s">
        <v>6909</v>
      </c>
      <c r="J1809" s="346">
        <v>8000001990</v>
      </c>
      <c r="K1809" s="24"/>
      <c r="L1809" s="24">
        <v>44683</v>
      </c>
      <c r="M1809" s="24">
        <v>0</v>
      </c>
      <c r="N1809" s="340" t="s">
        <v>486</v>
      </c>
      <c r="O1809" s="334">
        <v>206713</v>
      </c>
      <c r="P1809" s="25" t="s">
        <v>340</v>
      </c>
      <c r="Q1809" s="127" t="s">
        <v>297</v>
      </c>
      <c r="R1809" s="232" t="s">
        <v>6910</v>
      </c>
      <c r="S1809" s="89">
        <v>44532</v>
      </c>
      <c r="T1809" s="36" t="s">
        <v>19</v>
      </c>
      <c r="U1809" s="125"/>
      <c r="V1809" s="147" t="s">
        <v>6922</v>
      </c>
      <c r="W1809" s="129">
        <v>44621</v>
      </c>
      <c r="X1809" s="88"/>
      <c r="Y1809" s="130" t="s">
        <v>20</v>
      </c>
      <c r="Z1809" s="133" t="s">
        <v>60</v>
      </c>
      <c r="AA1809" s="133" t="s">
        <v>6326</v>
      </c>
      <c r="AB1809" s="241">
        <v>2000.4</v>
      </c>
      <c r="AC1809" s="134">
        <f>857+AD1809</f>
        <v>1028.5</v>
      </c>
      <c r="AD1809" s="134">
        <v>171.5</v>
      </c>
      <c r="AE1809" s="403">
        <f t="shared" si="118"/>
        <v>2057411.4000000001</v>
      </c>
      <c r="AF1809" s="132"/>
      <c r="AG1809" s="130" t="s">
        <v>58</v>
      </c>
      <c r="AH1809" s="130"/>
      <c r="AI1809" s="130" t="s">
        <v>6029</v>
      </c>
      <c r="AJ1809" s="274">
        <v>1.2</v>
      </c>
      <c r="AK1809" s="130" t="s">
        <v>944</v>
      </c>
      <c r="AL1809" s="135" t="s">
        <v>6912</v>
      </c>
      <c r="AM1809" s="314"/>
      <c r="AN1809" s="26">
        <f>BL1809</f>
        <v>0</v>
      </c>
      <c r="AO1809" s="26">
        <v>44621</v>
      </c>
      <c r="AP1809" s="26">
        <f t="shared" si="121"/>
        <v>44683</v>
      </c>
      <c r="AQ1809" s="26">
        <v>44683</v>
      </c>
      <c r="AR1809" s="24">
        <f>AQ1809</f>
        <v>44683</v>
      </c>
      <c r="AS1809" s="24">
        <v>44683</v>
      </c>
      <c r="AT1809" s="24">
        <v>44684</v>
      </c>
      <c r="AU1809" s="418">
        <f t="shared" si="119"/>
        <v>5</v>
      </c>
      <c r="AV1809" s="418">
        <f t="shared" si="120"/>
        <v>2022</v>
      </c>
      <c r="AW1809" s="24"/>
      <c r="AX1809" s="135" t="s">
        <v>6915</v>
      </c>
      <c r="AY1809" s="135" t="s">
        <v>6914</v>
      </c>
      <c r="AZ1809" s="24" t="s">
        <v>50</v>
      </c>
      <c r="BA1809" s="24" t="s">
        <v>6917</v>
      </c>
      <c r="BB1809" s="26" t="s">
        <v>2956</v>
      </c>
      <c r="BC1809" s="128" t="s">
        <v>6923</v>
      </c>
      <c r="BD1809" s="24">
        <v>44621</v>
      </c>
      <c r="BE1809" s="24" t="s">
        <v>6916</v>
      </c>
      <c r="BF1809" s="24" t="s">
        <v>6916</v>
      </c>
      <c r="BG1809" s="135" t="s">
        <v>52</v>
      </c>
      <c r="BH1809" s="135" t="s">
        <v>6917</v>
      </c>
      <c r="BI1809" s="314" t="s">
        <v>3</v>
      </c>
      <c r="BJ1809" s="314"/>
      <c r="BK1809" s="24"/>
      <c r="BL1809" s="24"/>
      <c r="BM1809" s="24"/>
      <c r="BN1809" s="24"/>
      <c r="BO1809" s="41"/>
      <c r="BP1809" s="41"/>
      <c r="BQ1809" s="41" t="s">
        <v>6924</v>
      </c>
      <c r="BR1809" s="24">
        <v>44680</v>
      </c>
      <c r="BS1809" s="41" t="s">
        <v>38</v>
      </c>
      <c r="BT1809" s="41" t="s">
        <v>11</v>
      </c>
      <c r="BU1809" s="41"/>
      <c r="BV1809" s="132" t="s">
        <v>6087</v>
      </c>
      <c r="BW1809" s="132"/>
      <c r="BX1809" s="132"/>
      <c r="BY1809" s="132"/>
      <c r="BZ1809" s="132"/>
      <c r="CA1809" s="132"/>
      <c r="CB1809" s="132"/>
      <c r="CC1809" s="294" t="s">
        <v>6925</v>
      </c>
      <c r="CG1809" s="132" t="s">
        <v>105</v>
      </c>
      <c r="CH1809" s="132"/>
      <c r="CI1809" s="24"/>
      <c r="CJ1809" s="24"/>
    </row>
    <row r="1810" spans="1:88" ht="15" customHeight="1">
      <c r="A1810" s="18">
        <v>2021</v>
      </c>
      <c r="B1810" s="18" t="str">
        <f>+INDEX(BDD!F:F,MATCH(P1810,BDD!D:D,0))&amp;"-"&amp;INDEX(BDD!E:E,MATCH(P1810,BDD!D:D,0))</f>
        <v>E-S</v>
      </c>
      <c r="C1810" s="360" t="s">
        <v>484</v>
      </c>
      <c r="D1810" s="150" t="s">
        <v>77</v>
      </c>
      <c r="E1810" s="132"/>
      <c r="F1810" s="132"/>
      <c r="G1810" s="346">
        <v>8000001723</v>
      </c>
      <c r="H1810" s="18" t="s">
        <v>6926</v>
      </c>
      <c r="I1810" s="330"/>
      <c r="J1810" s="346">
        <v>8000001723</v>
      </c>
      <c r="K1810" s="24"/>
      <c r="L1810" s="24">
        <v>44607</v>
      </c>
      <c r="M1810" s="24">
        <v>44607</v>
      </c>
      <c r="N1810" s="340" t="s">
        <v>486</v>
      </c>
      <c r="O1810" s="334" t="s">
        <v>4596</v>
      </c>
      <c r="P1810" s="25" t="s">
        <v>351</v>
      </c>
      <c r="Q1810" s="127" t="s">
        <v>6927</v>
      </c>
      <c r="R1810" s="232" t="s">
        <v>6928</v>
      </c>
      <c r="S1810" s="89">
        <v>44512</v>
      </c>
      <c r="T1810" s="36" t="s">
        <v>19</v>
      </c>
      <c r="U1810" s="125"/>
      <c r="V1810" s="147" t="s">
        <v>6929</v>
      </c>
      <c r="W1810" s="129"/>
      <c r="X1810" s="88">
        <v>44578</v>
      </c>
      <c r="Y1810" s="130" t="s">
        <v>20</v>
      </c>
      <c r="Z1810" s="133" t="s">
        <v>60</v>
      </c>
      <c r="AA1810" s="133"/>
      <c r="AB1810" s="241">
        <v>513.6</v>
      </c>
      <c r="AC1810" s="134">
        <v>1030</v>
      </c>
      <c r="AD1810" s="134"/>
      <c r="AE1810" s="403">
        <f t="shared" si="118"/>
        <v>529008</v>
      </c>
      <c r="AF1810" s="132">
        <v>18</v>
      </c>
      <c r="AG1810" s="130" t="s">
        <v>21</v>
      </c>
      <c r="AH1810" s="130"/>
      <c r="AI1810" s="130" t="s">
        <v>71</v>
      </c>
      <c r="AJ1810" s="130"/>
      <c r="AK1810" s="130"/>
      <c r="AL1810" s="135" t="s">
        <v>6930</v>
      </c>
      <c r="AM1810" s="314"/>
      <c r="AN1810" s="26">
        <f t="shared" si="122"/>
        <v>0</v>
      </c>
      <c r="AO1810" s="26">
        <v>44568</v>
      </c>
      <c r="AP1810" s="26">
        <f t="shared" si="121"/>
        <v>44603</v>
      </c>
      <c r="AQ1810" s="26">
        <v>44603</v>
      </c>
      <c r="AR1810" s="24">
        <f>AQ1810+4</f>
        <v>44607</v>
      </c>
      <c r="AS1810" s="24"/>
      <c r="AT1810" s="24">
        <v>44607</v>
      </c>
      <c r="AU1810" s="418">
        <f t="shared" si="119"/>
        <v>2</v>
      </c>
      <c r="AV1810" s="418">
        <f t="shared" si="120"/>
        <v>2022</v>
      </c>
      <c r="AW1810" s="24"/>
      <c r="AX1810" s="135"/>
      <c r="AY1810" s="135" t="s">
        <v>281</v>
      </c>
      <c r="AZ1810" s="24" t="s">
        <v>37</v>
      </c>
      <c r="BA1810" s="24"/>
      <c r="BB1810" s="132" t="s">
        <v>3291</v>
      </c>
      <c r="BC1810" s="128" t="s">
        <v>6931</v>
      </c>
      <c r="BD1810" s="24">
        <v>44568</v>
      </c>
      <c r="BE1810" s="24" t="s">
        <v>6932</v>
      </c>
      <c r="BF1810" s="24" t="s">
        <v>6932</v>
      </c>
      <c r="BG1810" s="135" t="s">
        <v>65</v>
      </c>
      <c r="BH1810" s="135"/>
      <c r="BI1810" s="314" t="s">
        <v>3</v>
      </c>
      <c r="BJ1810" s="314" t="s">
        <v>148</v>
      </c>
      <c r="BK1810" s="24"/>
      <c r="BL1810" s="24"/>
      <c r="BM1810" s="24"/>
      <c r="BN1810" s="24"/>
      <c r="BO1810" s="24">
        <f>AQ1810+13</f>
        <v>44616</v>
      </c>
      <c r="BP1810" s="24"/>
      <c r="BQ1810" s="24" t="s">
        <v>6933</v>
      </c>
      <c r="BR1810" s="24">
        <v>44602</v>
      </c>
      <c r="BS1810" s="24" t="s">
        <v>38</v>
      </c>
      <c r="BT1810" s="24" t="s">
        <v>11</v>
      </c>
      <c r="BU1810" s="24"/>
      <c r="BV1810" s="132" t="s">
        <v>3</v>
      </c>
      <c r="BW1810" s="132"/>
      <c r="BX1810" s="132"/>
      <c r="BY1810" s="132"/>
      <c r="BZ1810" s="132"/>
      <c r="CA1810" s="132"/>
      <c r="CB1810" s="132"/>
      <c r="CC1810" s="362"/>
      <c r="CG1810" s="132" t="s">
        <v>105</v>
      </c>
      <c r="CH1810" s="132"/>
      <c r="CI1810" s="24"/>
      <c r="CJ1810" s="24"/>
    </row>
    <row r="1811" spans="1:88" ht="15" customHeight="1">
      <c r="A1811" s="18">
        <v>2021</v>
      </c>
      <c r="B1811" s="18" t="str">
        <f>+INDEX(BDD!F:F,MATCH(P1811,BDD!D:D,0))&amp;"-"&amp;INDEX(BDD!E:E,MATCH(P1811,BDD!D:D,0))</f>
        <v>E-S</v>
      </c>
      <c r="C1811" s="360" t="s">
        <v>484</v>
      </c>
      <c r="D1811" s="150" t="s">
        <v>77</v>
      </c>
      <c r="E1811" s="132"/>
      <c r="F1811" s="24"/>
      <c r="G1811" s="346">
        <v>8000001714</v>
      </c>
      <c r="H1811" s="18" t="s">
        <v>6934</v>
      </c>
      <c r="I1811" s="330"/>
      <c r="J1811" s="346">
        <v>8000001714</v>
      </c>
      <c r="K1811" s="24"/>
      <c r="L1811" s="24">
        <v>44595</v>
      </c>
      <c r="M1811" s="24">
        <v>44595</v>
      </c>
      <c r="N1811" s="340" t="s">
        <v>486</v>
      </c>
      <c r="O1811" s="334">
        <v>209865</v>
      </c>
      <c r="P1811" s="25" t="s">
        <v>277</v>
      </c>
      <c r="Q1811" s="127" t="s">
        <v>297</v>
      </c>
      <c r="R1811" s="232" t="s">
        <v>6935</v>
      </c>
      <c r="S1811" s="89">
        <v>44518</v>
      </c>
      <c r="T1811" s="36">
        <v>90</v>
      </c>
      <c r="U1811" s="125" t="s">
        <v>118</v>
      </c>
      <c r="V1811" s="147" t="s">
        <v>6936</v>
      </c>
      <c r="W1811" s="129"/>
      <c r="X1811" s="88">
        <v>44651</v>
      </c>
      <c r="Y1811" s="130" t="s">
        <v>20</v>
      </c>
      <c r="Z1811" s="133" t="s">
        <v>72</v>
      </c>
      <c r="AA1811" s="133"/>
      <c r="AB1811" s="241">
        <v>10.42</v>
      </c>
      <c r="AC1811" s="134">
        <v>12859.884836852199</v>
      </c>
      <c r="AD1811" s="134"/>
      <c r="AE1811" s="403">
        <f t="shared" si="118"/>
        <v>133999.99999999991</v>
      </c>
      <c r="AF1811" s="132">
        <v>1</v>
      </c>
      <c r="AG1811" s="130" t="s">
        <v>5</v>
      </c>
      <c r="AH1811" s="130"/>
      <c r="AI1811" s="130" t="s">
        <v>93</v>
      </c>
      <c r="AJ1811" s="130"/>
      <c r="AK1811" s="130"/>
      <c r="AL1811" s="135" t="s">
        <v>6937</v>
      </c>
      <c r="AM1811" s="314"/>
      <c r="AN1811" s="26">
        <f t="shared" si="122"/>
        <v>0</v>
      </c>
      <c r="AO1811" s="26">
        <v>44557</v>
      </c>
      <c r="AP1811" s="26">
        <f t="shared" si="121"/>
        <v>44588</v>
      </c>
      <c r="AQ1811" s="26">
        <v>44588</v>
      </c>
      <c r="AR1811" s="24">
        <f>AQ1811+4</f>
        <v>44592</v>
      </c>
      <c r="AS1811" s="24"/>
      <c r="AT1811" s="24">
        <v>44593</v>
      </c>
      <c r="AU1811" s="418">
        <f t="shared" si="119"/>
        <v>2</v>
      </c>
      <c r="AV1811" s="418">
        <f t="shared" si="120"/>
        <v>2022</v>
      </c>
      <c r="AW1811" s="24"/>
      <c r="AX1811" s="135"/>
      <c r="AY1811" s="135" t="s">
        <v>102</v>
      </c>
      <c r="AZ1811" s="24" t="s">
        <v>37</v>
      </c>
      <c r="BA1811" s="24"/>
      <c r="BB1811" s="132" t="s">
        <v>2956</v>
      </c>
      <c r="BC1811" s="128" t="s">
        <v>6938</v>
      </c>
      <c r="BD1811" s="24">
        <v>44561</v>
      </c>
      <c r="BE1811" s="24" t="s">
        <v>3111</v>
      </c>
      <c r="BF1811" s="24" t="s">
        <v>3111</v>
      </c>
      <c r="BG1811" s="135" t="s">
        <v>52</v>
      </c>
      <c r="BH1811" s="135"/>
      <c r="BI1811" s="314" t="s">
        <v>3</v>
      </c>
      <c r="BJ1811" s="314" t="s">
        <v>143</v>
      </c>
      <c r="BK1811" s="24"/>
      <c r="BL1811" s="24"/>
      <c r="BM1811" s="24"/>
      <c r="BN1811" s="24"/>
      <c r="BO1811" s="24"/>
      <c r="BP1811" s="24"/>
      <c r="BQ1811" s="24"/>
      <c r="BR1811" s="24"/>
      <c r="BS1811" s="24"/>
      <c r="BT1811" s="24"/>
      <c r="BU1811" s="24"/>
      <c r="BV1811" s="132" t="e">
        <f>IF(#REF!="COMPLETO","OK","PENDIENTE")</f>
        <v>#REF!</v>
      </c>
      <c r="BW1811" s="132"/>
      <c r="BX1811" s="132"/>
      <c r="BY1811" s="132"/>
      <c r="BZ1811" s="132"/>
      <c r="CA1811" s="132"/>
      <c r="CB1811" s="132"/>
      <c r="CC1811" s="362"/>
      <c r="CG1811" s="24" t="s">
        <v>105</v>
      </c>
      <c r="CH1811" s="24"/>
      <c r="CI1811" s="24"/>
      <c r="CJ1811" s="24"/>
    </row>
    <row r="1812" spans="1:88" ht="15" customHeight="1">
      <c r="A1812" s="18">
        <v>2021</v>
      </c>
      <c r="B1812" s="18" t="str">
        <f>+INDEX(BDD!F:F,MATCH(P1812,BDD!D:D,0))&amp;"-"&amp;INDEX(BDD!E:E,MATCH(P1812,BDD!D:D,0))</f>
        <v>G-S</v>
      </c>
      <c r="C1812" s="360" t="s">
        <v>484</v>
      </c>
      <c r="D1812" s="150" t="s">
        <v>77</v>
      </c>
      <c r="E1812" s="132"/>
      <c r="F1812" s="132"/>
      <c r="G1812" s="346">
        <v>8000001726</v>
      </c>
      <c r="H1812" s="18" t="s">
        <v>6939</v>
      </c>
      <c r="I1812" s="330"/>
      <c r="J1812" s="346">
        <v>8000001726</v>
      </c>
      <c r="K1812" s="24"/>
      <c r="L1812" s="24">
        <v>44571</v>
      </c>
      <c r="M1812" s="24">
        <v>44571</v>
      </c>
      <c r="N1812" s="340" t="s">
        <v>486</v>
      </c>
      <c r="O1812" s="334">
        <v>207951</v>
      </c>
      <c r="P1812" s="25" t="s">
        <v>354</v>
      </c>
      <c r="Q1812" s="127" t="s">
        <v>237</v>
      </c>
      <c r="R1812" s="232" t="s">
        <v>6940</v>
      </c>
      <c r="S1812" s="89">
        <v>44518</v>
      </c>
      <c r="T1812" s="36" t="s">
        <v>19</v>
      </c>
      <c r="U1812" s="125"/>
      <c r="V1812" s="147" t="s">
        <v>6941</v>
      </c>
      <c r="W1812" s="129"/>
      <c r="X1812" s="88"/>
      <c r="Y1812" s="130" t="s">
        <v>20</v>
      </c>
      <c r="Z1812" s="133" t="s">
        <v>60</v>
      </c>
      <c r="AA1812" s="133"/>
      <c r="AB1812" s="241">
        <v>1320</v>
      </c>
      <c r="AC1812" s="134">
        <v>980</v>
      </c>
      <c r="AD1812" s="134">
        <v>110</v>
      </c>
      <c r="AE1812" s="403">
        <f t="shared" si="118"/>
        <v>1293600</v>
      </c>
      <c r="AF1812" s="132"/>
      <c r="AG1812" s="130" t="s">
        <v>46</v>
      </c>
      <c r="AH1812" s="130"/>
      <c r="AI1812" s="130" t="s">
        <v>100</v>
      </c>
      <c r="AJ1812" s="130"/>
      <c r="AK1812" s="130"/>
      <c r="AL1812" s="135" t="s">
        <v>6942</v>
      </c>
      <c r="AM1812" s="314"/>
      <c r="AN1812" s="26">
        <f>BL1812</f>
        <v>0</v>
      </c>
      <c r="AO1812" s="26">
        <v>44523</v>
      </c>
      <c r="AP1812" s="26">
        <f t="shared" si="121"/>
        <v>44569</v>
      </c>
      <c r="AQ1812" s="26">
        <v>44569</v>
      </c>
      <c r="AR1812" s="24">
        <f>AQ1812+2</f>
        <v>44571</v>
      </c>
      <c r="AS1812" s="24"/>
      <c r="AT1812" s="24">
        <v>44570</v>
      </c>
      <c r="AU1812" s="418">
        <f t="shared" si="119"/>
        <v>1</v>
      </c>
      <c r="AV1812" s="418">
        <f t="shared" si="120"/>
        <v>2022</v>
      </c>
      <c r="AW1812" s="24"/>
      <c r="AX1812" s="135"/>
      <c r="AY1812" s="135" t="s">
        <v>205</v>
      </c>
      <c r="AZ1812" s="24" t="s">
        <v>25</v>
      </c>
      <c r="BA1812" s="24"/>
      <c r="BB1812" s="132" t="s">
        <v>3264</v>
      </c>
      <c r="BC1812" s="128">
        <v>5</v>
      </c>
      <c r="BD1812" s="24">
        <v>44522</v>
      </c>
      <c r="BE1812" s="24" t="s">
        <v>6943</v>
      </c>
      <c r="BF1812" s="24" t="s">
        <v>6943</v>
      </c>
      <c r="BG1812" s="135" t="s">
        <v>52</v>
      </c>
      <c r="BH1812" s="135"/>
      <c r="BI1812" s="314" t="s">
        <v>3</v>
      </c>
      <c r="BJ1812" s="314"/>
      <c r="BK1812" s="24"/>
      <c r="BL1812" s="24"/>
      <c r="BM1812" s="24"/>
      <c r="BN1812" s="24"/>
      <c r="BO1812" s="24"/>
      <c r="BP1812" s="24"/>
      <c r="BQ1812" s="24"/>
      <c r="BR1812" s="24"/>
      <c r="BS1812" s="24"/>
      <c r="BT1812" s="24"/>
      <c r="BU1812" s="24"/>
      <c r="BV1812" s="132" t="e">
        <f>IF(#REF!="COMPLETO","OK","PENDIENTE")</f>
        <v>#REF!</v>
      </c>
      <c r="BW1812" s="132"/>
      <c r="BX1812" s="132"/>
      <c r="BY1812" s="132"/>
      <c r="BZ1812" s="132"/>
      <c r="CA1812" s="132"/>
      <c r="CB1812" s="132"/>
      <c r="CC1812" s="362"/>
      <c r="CG1812" s="132" t="s">
        <v>105</v>
      </c>
      <c r="CH1812" s="132"/>
      <c r="CI1812" s="24"/>
      <c r="CJ1812" s="24"/>
    </row>
    <row r="1813" spans="1:88" ht="15" customHeight="1">
      <c r="A1813" s="18">
        <v>2021</v>
      </c>
      <c r="B1813" s="18" t="str">
        <f>+INDEX(BDD!F:F,MATCH(P1813,BDD!D:D,0))&amp;"-"&amp;INDEX(BDD!E:E,MATCH(P1813,BDD!D:D,0))</f>
        <v>G-S</v>
      </c>
      <c r="C1813" s="360" t="s">
        <v>484</v>
      </c>
      <c r="D1813" s="150" t="s">
        <v>77</v>
      </c>
      <c r="E1813" s="132"/>
      <c r="F1813" s="132"/>
      <c r="G1813" s="346">
        <v>8000001724</v>
      </c>
      <c r="H1813" s="18" t="s">
        <v>6944</v>
      </c>
      <c r="I1813" s="330"/>
      <c r="J1813" s="346">
        <v>8000001724</v>
      </c>
      <c r="K1813" s="24"/>
      <c r="L1813" s="24">
        <v>44580</v>
      </c>
      <c r="M1813" s="24">
        <v>44580</v>
      </c>
      <c r="N1813" s="340" t="s">
        <v>486</v>
      </c>
      <c r="O1813" s="334">
        <v>207951</v>
      </c>
      <c r="P1813" s="25" t="s">
        <v>354</v>
      </c>
      <c r="Q1813" s="127" t="s">
        <v>237</v>
      </c>
      <c r="R1813" s="232" t="s">
        <v>6940</v>
      </c>
      <c r="S1813" s="89">
        <v>44518</v>
      </c>
      <c r="T1813" s="36" t="s">
        <v>19</v>
      </c>
      <c r="U1813" s="125"/>
      <c r="V1813" s="147" t="s">
        <v>6945</v>
      </c>
      <c r="W1813" s="129"/>
      <c r="X1813" s="88"/>
      <c r="Y1813" s="130" t="s">
        <v>20</v>
      </c>
      <c r="Z1813" s="133" t="s">
        <v>60</v>
      </c>
      <c r="AA1813" s="133"/>
      <c r="AB1813" s="241">
        <v>1980</v>
      </c>
      <c r="AC1813" s="134">
        <v>980</v>
      </c>
      <c r="AD1813" s="134"/>
      <c r="AE1813" s="403">
        <f t="shared" si="118"/>
        <v>1940400</v>
      </c>
      <c r="AF1813" s="132"/>
      <c r="AG1813" s="130" t="s">
        <v>46</v>
      </c>
      <c r="AH1813" s="130"/>
      <c r="AI1813" s="130" t="s">
        <v>100</v>
      </c>
      <c r="AJ1813" s="130"/>
      <c r="AK1813" s="130"/>
      <c r="AL1813" s="135" t="s">
        <v>6942</v>
      </c>
      <c r="AM1813" s="314"/>
      <c r="AN1813" s="26">
        <f t="shared" si="122"/>
        <v>0</v>
      </c>
      <c r="AO1813" s="26">
        <v>44523</v>
      </c>
      <c r="AP1813" s="26">
        <f t="shared" si="121"/>
        <v>44572</v>
      </c>
      <c r="AQ1813" s="26">
        <v>44572</v>
      </c>
      <c r="AR1813" s="24">
        <f>AQ1813+3</f>
        <v>44575</v>
      </c>
      <c r="AS1813" s="24"/>
      <c r="AT1813" s="24">
        <v>44580</v>
      </c>
      <c r="AU1813" s="418">
        <f t="shared" si="119"/>
        <v>1</v>
      </c>
      <c r="AV1813" s="418">
        <f t="shared" si="120"/>
        <v>2022</v>
      </c>
      <c r="AW1813" s="24"/>
      <c r="AX1813" s="135"/>
      <c r="AY1813" s="135" t="s">
        <v>205</v>
      </c>
      <c r="AZ1813" s="24" t="s">
        <v>37</v>
      </c>
      <c r="BA1813" s="24"/>
      <c r="BB1813" s="132" t="s">
        <v>3291</v>
      </c>
      <c r="BC1813" s="128">
        <v>6</v>
      </c>
      <c r="BD1813" s="24">
        <v>44522</v>
      </c>
      <c r="BE1813" s="24" t="s">
        <v>6943</v>
      </c>
      <c r="BF1813" s="24" t="s">
        <v>6943</v>
      </c>
      <c r="BG1813" s="135" t="s">
        <v>52</v>
      </c>
      <c r="BH1813" s="135"/>
      <c r="BI1813" s="314" t="s">
        <v>3</v>
      </c>
      <c r="BJ1813" s="314"/>
      <c r="BK1813" s="24"/>
      <c r="BL1813" s="24"/>
      <c r="BM1813" s="24"/>
      <c r="BN1813" s="24"/>
      <c r="BO1813" s="24"/>
      <c r="BP1813" s="24"/>
      <c r="BQ1813" s="24"/>
      <c r="BR1813" s="24"/>
      <c r="BS1813" s="24"/>
      <c r="BT1813" s="24"/>
      <c r="BU1813" s="24"/>
      <c r="BV1813" s="132" t="e">
        <f>IF(#REF!="COMPLETO","OK","PENDIENTE")</f>
        <v>#REF!</v>
      </c>
      <c r="BW1813" s="132"/>
      <c r="BX1813" s="132"/>
      <c r="BY1813" s="132"/>
      <c r="BZ1813" s="132"/>
      <c r="CA1813" s="132"/>
      <c r="CB1813" s="132"/>
      <c r="CC1813" s="362"/>
      <c r="CG1813" s="132" t="s">
        <v>105</v>
      </c>
      <c r="CH1813" s="132"/>
      <c r="CI1813" s="24"/>
      <c r="CJ1813" s="24"/>
    </row>
    <row r="1814" spans="1:88" ht="14.45" customHeight="1">
      <c r="A1814" s="18">
        <v>2021</v>
      </c>
      <c r="B1814" s="18" t="str">
        <f>+INDEX(BDD!F:F,MATCH(P1814,BDD!D:D,0))&amp;"-"&amp;INDEX(BDD!E:E,MATCH(P1814,BDD!D:D,0))</f>
        <v>G-S</v>
      </c>
      <c r="C1814" s="360" t="s">
        <v>484</v>
      </c>
      <c r="D1814" s="150" t="s">
        <v>77</v>
      </c>
      <c r="E1814" s="132"/>
      <c r="F1814" s="132"/>
      <c r="G1814" s="346">
        <v>8000001727</v>
      </c>
      <c r="H1814" s="18" t="s">
        <v>6946</v>
      </c>
      <c r="I1814" s="330"/>
      <c r="J1814" s="346">
        <v>8000001727</v>
      </c>
      <c r="K1814" s="24"/>
      <c r="L1814" s="24">
        <v>44571</v>
      </c>
      <c r="M1814" s="24">
        <v>44571</v>
      </c>
      <c r="N1814" s="340" t="s">
        <v>486</v>
      </c>
      <c r="O1814" s="334">
        <v>207485</v>
      </c>
      <c r="P1814" s="25" t="s">
        <v>353</v>
      </c>
      <c r="Q1814" s="127" t="s">
        <v>237</v>
      </c>
      <c r="R1814" s="232" t="s">
        <v>6947</v>
      </c>
      <c r="S1814" s="89">
        <v>44518</v>
      </c>
      <c r="T1814" s="36" t="s">
        <v>19</v>
      </c>
      <c r="U1814" s="125"/>
      <c r="V1814" s="147" t="s">
        <v>6948</v>
      </c>
      <c r="W1814" s="129"/>
      <c r="X1814" s="88"/>
      <c r="Y1814" s="130" t="s">
        <v>20</v>
      </c>
      <c r="Z1814" s="133" t="s">
        <v>60</v>
      </c>
      <c r="AA1814" s="133"/>
      <c r="AB1814" s="241">
        <v>685</v>
      </c>
      <c r="AC1814" s="134">
        <v>990</v>
      </c>
      <c r="AD1814" s="134">
        <v>110</v>
      </c>
      <c r="AE1814" s="403">
        <f t="shared" si="118"/>
        <v>678150</v>
      </c>
      <c r="AF1814" s="132"/>
      <c r="AG1814" s="130" t="s">
        <v>46</v>
      </c>
      <c r="AH1814" s="130"/>
      <c r="AI1814" s="130" t="s">
        <v>100</v>
      </c>
      <c r="AJ1814" s="130"/>
      <c r="AK1814" s="130"/>
      <c r="AL1814" s="135" t="s">
        <v>6942</v>
      </c>
      <c r="AM1814" s="314"/>
      <c r="AN1814" s="26">
        <f t="shared" si="122"/>
        <v>0</v>
      </c>
      <c r="AO1814" s="26">
        <v>44523</v>
      </c>
      <c r="AP1814" s="26">
        <f t="shared" si="121"/>
        <v>44569</v>
      </c>
      <c r="AQ1814" s="26">
        <v>44569</v>
      </c>
      <c r="AR1814" s="24">
        <f>AQ1814+2</f>
        <v>44571</v>
      </c>
      <c r="AS1814" s="24"/>
      <c r="AT1814" s="24">
        <v>44570</v>
      </c>
      <c r="AU1814" s="418">
        <f t="shared" si="119"/>
        <v>1</v>
      </c>
      <c r="AV1814" s="418">
        <f t="shared" si="120"/>
        <v>2022</v>
      </c>
      <c r="AW1814" s="24"/>
      <c r="AX1814" s="135"/>
      <c r="AY1814" s="135" t="s">
        <v>205</v>
      </c>
      <c r="AZ1814" s="24" t="s">
        <v>25</v>
      </c>
      <c r="BA1814" s="24"/>
      <c r="BB1814" s="132" t="s">
        <v>3264</v>
      </c>
      <c r="BC1814" s="128">
        <v>13</v>
      </c>
      <c r="BD1814" s="24">
        <v>44521</v>
      </c>
      <c r="BE1814" s="24" t="s">
        <v>6943</v>
      </c>
      <c r="BF1814" s="24" t="s">
        <v>6943</v>
      </c>
      <c r="BG1814" s="135" t="s">
        <v>52</v>
      </c>
      <c r="BH1814" s="135"/>
      <c r="BI1814" s="314" t="s">
        <v>3</v>
      </c>
      <c r="BJ1814" s="314"/>
      <c r="BK1814" s="24"/>
      <c r="BL1814" s="24"/>
      <c r="BM1814" s="24"/>
      <c r="BN1814" s="24"/>
      <c r="BO1814" s="24"/>
      <c r="BP1814" s="24"/>
      <c r="BQ1814" s="24"/>
      <c r="BR1814" s="24"/>
      <c r="BS1814" s="24"/>
      <c r="BT1814" s="24"/>
      <c r="BU1814" s="24"/>
      <c r="BV1814" s="132" t="e">
        <f>IF(#REF!="COMPLETO","OK","PENDIENTE")</f>
        <v>#REF!</v>
      </c>
      <c r="BW1814" s="132"/>
      <c r="BX1814" s="132"/>
      <c r="BY1814" s="132"/>
      <c r="BZ1814" s="132"/>
      <c r="CA1814" s="132"/>
      <c r="CB1814" s="132"/>
      <c r="CC1814" s="362"/>
      <c r="CG1814" s="132" t="s">
        <v>105</v>
      </c>
      <c r="CH1814" s="132"/>
      <c r="CI1814" s="24"/>
      <c r="CJ1814" s="24"/>
    </row>
    <row r="1815" spans="1:88" ht="14.45" customHeight="1">
      <c r="A1815" s="18">
        <v>2021</v>
      </c>
      <c r="B1815" s="18" t="str">
        <f>+INDEX(BDD!F:F,MATCH(P1815,BDD!D:D,0))&amp;"-"&amp;INDEX(BDD!E:E,MATCH(P1815,BDD!D:D,0))</f>
        <v>G-S</v>
      </c>
      <c r="C1815" s="360" t="s">
        <v>484</v>
      </c>
      <c r="D1815" s="150" t="s">
        <v>77</v>
      </c>
      <c r="E1815" s="132"/>
      <c r="F1815" s="132"/>
      <c r="G1815" s="346">
        <v>8000001725</v>
      </c>
      <c r="H1815" s="18" t="s">
        <v>6949</v>
      </c>
      <c r="I1815" s="330"/>
      <c r="J1815" s="346">
        <v>8000001725</v>
      </c>
      <c r="K1815" s="24"/>
      <c r="L1815" s="24">
        <v>44571</v>
      </c>
      <c r="M1815" s="24">
        <v>44571</v>
      </c>
      <c r="N1815" s="340" t="s">
        <v>486</v>
      </c>
      <c r="O1815" s="334">
        <v>207485</v>
      </c>
      <c r="P1815" s="25" t="s">
        <v>353</v>
      </c>
      <c r="Q1815" s="127" t="s">
        <v>237</v>
      </c>
      <c r="R1815" s="232" t="s">
        <v>6947</v>
      </c>
      <c r="S1815" s="89">
        <v>44518</v>
      </c>
      <c r="T1815" s="36" t="s">
        <v>19</v>
      </c>
      <c r="U1815" s="125"/>
      <c r="V1815" s="147" t="s">
        <v>6950</v>
      </c>
      <c r="W1815" s="129"/>
      <c r="X1815" s="88"/>
      <c r="Y1815" s="130" t="s">
        <v>20</v>
      </c>
      <c r="Z1815" s="133" t="s">
        <v>60</v>
      </c>
      <c r="AA1815" s="133"/>
      <c r="AB1815" s="241">
        <v>195</v>
      </c>
      <c r="AC1815" s="134">
        <v>990</v>
      </c>
      <c r="AD1815" s="134">
        <v>110</v>
      </c>
      <c r="AE1815" s="403">
        <f t="shared" si="118"/>
        <v>193050</v>
      </c>
      <c r="AF1815" s="132"/>
      <c r="AG1815" s="130" t="s">
        <v>46</v>
      </c>
      <c r="AH1815" s="130"/>
      <c r="AI1815" s="130" t="s">
        <v>100</v>
      </c>
      <c r="AJ1815" s="130"/>
      <c r="AK1815" s="130"/>
      <c r="AL1815" s="135" t="s">
        <v>6942</v>
      </c>
      <c r="AM1815" s="314"/>
      <c r="AN1815" s="26">
        <f>BL1815</f>
        <v>0</v>
      </c>
      <c r="AO1815" s="26">
        <v>44523</v>
      </c>
      <c r="AP1815" s="26">
        <f t="shared" si="121"/>
        <v>44569</v>
      </c>
      <c r="AQ1815" s="26">
        <v>44569</v>
      </c>
      <c r="AR1815" s="24">
        <f>AQ1815+2</f>
        <v>44571</v>
      </c>
      <c r="AS1815" s="24"/>
      <c r="AT1815" s="24">
        <v>44570</v>
      </c>
      <c r="AU1815" s="418">
        <f t="shared" si="119"/>
        <v>1</v>
      </c>
      <c r="AV1815" s="418">
        <f t="shared" si="120"/>
        <v>2022</v>
      </c>
      <c r="AW1815" s="24"/>
      <c r="AX1815" s="135"/>
      <c r="AY1815" s="135" t="s">
        <v>205</v>
      </c>
      <c r="AZ1815" s="24" t="s">
        <v>25</v>
      </c>
      <c r="BA1815" s="24"/>
      <c r="BB1815" s="132" t="s">
        <v>3264</v>
      </c>
      <c r="BC1815" s="128">
        <v>14</v>
      </c>
      <c r="BD1815" s="24">
        <v>44521</v>
      </c>
      <c r="BE1815" s="24" t="s">
        <v>6943</v>
      </c>
      <c r="BF1815" s="24" t="s">
        <v>6943</v>
      </c>
      <c r="BG1815" s="135" t="s">
        <v>52</v>
      </c>
      <c r="BH1815" s="135"/>
      <c r="BI1815" s="314" t="s">
        <v>3</v>
      </c>
      <c r="BJ1815" s="314"/>
      <c r="BK1815" s="24"/>
      <c r="BL1815" s="24"/>
      <c r="BM1815" s="24"/>
      <c r="BN1815" s="24"/>
      <c r="BO1815" s="24"/>
      <c r="BP1815" s="24"/>
      <c r="BQ1815" s="24"/>
      <c r="BR1815" s="24"/>
      <c r="BS1815" s="24"/>
      <c r="BT1815" s="24"/>
      <c r="BU1815" s="24"/>
      <c r="BV1815" s="132" t="e">
        <f>IF(#REF!="COMPLETO","OK","PENDIENTE")</f>
        <v>#REF!</v>
      </c>
      <c r="BW1815" s="132"/>
      <c r="BX1815" s="132"/>
      <c r="BY1815" s="132"/>
      <c r="BZ1815" s="132"/>
      <c r="CA1815" s="132"/>
      <c r="CB1815" s="132"/>
      <c r="CC1815" s="362"/>
      <c r="CG1815" s="132" t="s">
        <v>105</v>
      </c>
      <c r="CH1815" s="132"/>
      <c r="CI1815" s="24"/>
      <c r="CJ1815" s="24"/>
    </row>
    <row r="1816" spans="1:88" ht="14.45" customHeight="1">
      <c r="A1816" s="18">
        <v>2021</v>
      </c>
      <c r="B1816" s="18" t="str">
        <f>+INDEX(BDD!F:F,MATCH(P1816,BDD!D:D,0))&amp;"-"&amp;INDEX(BDD!E:E,MATCH(P1816,BDD!D:D,0))</f>
        <v>G-S</v>
      </c>
      <c r="C1816" s="360" t="s">
        <v>484</v>
      </c>
      <c r="D1816" s="150" t="s">
        <v>77</v>
      </c>
      <c r="E1816" s="132"/>
      <c r="F1816" s="132"/>
      <c r="G1816" s="346">
        <v>8000001758</v>
      </c>
      <c r="H1816" s="18" t="s">
        <v>6951</v>
      </c>
      <c r="I1816" s="330"/>
      <c r="J1816" s="346">
        <v>8000001758</v>
      </c>
      <c r="K1816" s="24"/>
      <c r="L1816" s="24">
        <v>44580</v>
      </c>
      <c r="M1816" s="24">
        <v>44580</v>
      </c>
      <c r="N1816" s="340" t="s">
        <v>486</v>
      </c>
      <c r="O1816" s="334">
        <v>207485</v>
      </c>
      <c r="P1816" s="25" t="s">
        <v>353</v>
      </c>
      <c r="Q1816" s="127" t="s">
        <v>237</v>
      </c>
      <c r="R1816" s="232" t="s">
        <v>6947</v>
      </c>
      <c r="S1816" s="89">
        <v>44518</v>
      </c>
      <c r="T1816" s="36" t="s">
        <v>19</v>
      </c>
      <c r="U1816" s="125"/>
      <c r="V1816" s="147" t="s">
        <v>6952</v>
      </c>
      <c r="W1816" s="129"/>
      <c r="X1816" s="88"/>
      <c r="Y1816" s="130" t="s">
        <v>20</v>
      </c>
      <c r="Z1816" s="133" t="s">
        <v>60</v>
      </c>
      <c r="AA1816" s="133"/>
      <c r="AB1816" s="241">
        <v>770</v>
      </c>
      <c r="AC1816" s="134">
        <v>990</v>
      </c>
      <c r="AD1816" s="134"/>
      <c r="AE1816" s="403">
        <f t="shared" si="118"/>
        <v>762300</v>
      </c>
      <c r="AF1816" s="132"/>
      <c r="AG1816" s="130" t="s">
        <v>46</v>
      </c>
      <c r="AH1816" s="130"/>
      <c r="AI1816" s="130" t="s">
        <v>100</v>
      </c>
      <c r="AJ1816" s="130"/>
      <c r="AK1816" s="130"/>
      <c r="AL1816" s="135" t="s">
        <v>6942</v>
      </c>
      <c r="AM1816" s="314"/>
      <c r="AN1816" s="26">
        <f>BL1816</f>
        <v>0</v>
      </c>
      <c r="AO1816" s="26">
        <v>44523</v>
      </c>
      <c r="AP1816" s="26">
        <f t="shared" si="121"/>
        <v>44572</v>
      </c>
      <c r="AQ1816" s="26">
        <v>44572</v>
      </c>
      <c r="AR1816" s="24">
        <f>AQ1816+3</f>
        <v>44575</v>
      </c>
      <c r="AS1816" s="24"/>
      <c r="AT1816" s="24">
        <v>44580</v>
      </c>
      <c r="AU1816" s="418">
        <f t="shared" si="119"/>
        <v>1</v>
      </c>
      <c r="AV1816" s="418">
        <f t="shared" si="120"/>
        <v>2022</v>
      </c>
      <c r="AW1816" s="24"/>
      <c r="AX1816" s="135"/>
      <c r="AY1816" s="135" t="s">
        <v>205</v>
      </c>
      <c r="AZ1816" s="24" t="s">
        <v>37</v>
      </c>
      <c r="BA1816" s="24"/>
      <c r="BB1816" s="132" t="s">
        <v>3593</v>
      </c>
      <c r="BC1816" s="128">
        <v>15</v>
      </c>
      <c r="BD1816" s="24">
        <v>44521</v>
      </c>
      <c r="BE1816" s="24" t="s">
        <v>6943</v>
      </c>
      <c r="BF1816" s="24" t="s">
        <v>6943</v>
      </c>
      <c r="BG1816" s="135" t="s">
        <v>52</v>
      </c>
      <c r="BH1816" s="135"/>
      <c r="BI1816" s="314" t="s">
        <v>3</v>
      </c>
      <c r="BJ1816" s="314"/>
      <c r="BK1816" s="24"/>
      <c r="BL1816" s="24"/>
      <c r="BM1816" s="24"/>
      <c r="BN1816" s="24"/>
      <c r="BO1816" s="24"/>
      <c r="BP1816" s="24"/>
      <c r="BQ1816" s="24"/>
      <c r="BR1816" s="24"/>
      <c r="BS1816" s="24"/>
      <c r="BT1816" s="24"/>
      <c r="BU1816" s="24"/>
      <c r="BV1816" s="132" t="e">
        <f>IF(#REF!="COMPLETO","OK","PENDIENTE")</f>
        <v>#REF!</v>
      </c>
      <c r="BW1816" s="132"/>
      <c r="BX1816" s="132"/>
      <c r="BY1816" s="132"/>
      <c r="BZ1816" s="132"/>
      <c r="CA1816" s="132"/>
      <c r="CB1816" s="132"/>
      <c r="CC1816" s="362"/>
      <c r="CG1816" s="132" t="s">
        <v>105</v>
      </c>
      <c r="CH1816" s="132"/>
      <c r="CI1816" s="24"/>
      <c r="CJ1816" s="24"/>
    </row>
    <row r="1817" spans="1:88" ht="15" customHeight="1">
      <c r="A1817" s="18">
        <v>2021</v>
      </c>
      <c r="B1817" s="18" t="e">
        <f>+INDEX(BDD!F:F,MATCH(P1817,BDD!D:D,0))&amp;"-"&amp;INDEX(BDD!E:E,MATCH(P1817,BDD!D:D,0))</f>
        <v>#N/A</v>
      </c>
      <c r="C1817" s="360" t="s">
        <v>484</v>
      </c>
      <c r="D1817" s="150" t="s">
        <v>77</v>
      </c>
      <c r="E1817" s="132"/>
      <c r="F1817" s="132"/>
      <c r="G1817" s="346">
        <v>8000001728</v>
      </c>
      <c r="H1817" s="18" t="s">
        <v>6953</v>
      </c>
      <c r="I1817" s="330"/>
      <c r="J1817" s="346">
        <v>8000001728</v>
      </c>
      <c r="K1817" s="24"/>
      <c r="L1817" s="24">
        <v>44607</v>
      </c>
      <c r="M1817" s="24">
        <v>44634</v>
      </c>
      <c r="N1817" s="340" t="s">
        <v>486</v>
      </c>
      <c r="O1817" s="334">
        <v>203583</v>
      </c>
      <c r="P1817" s="25" t="s">
        <v>6954</v>
      </c>
      <c r="Q1817" s="127" t="s">
        <v>6955</v>
      </c>
      <c r="R1817" s="232" t="s">
        <v>944</v>
      </c>
      <c r="S1817" s="89">
        <v>44516</v>
      </c>
      <c r="T1817" s="36">
        <v>90</v>
      </c>
      <c r="U1817" s="125" t="s">
        <v>118</v>
      </c>
      <c r="V1817" s="147" t="s">
        <v>6956</v>
      </c>
      <c r="W1817" s="129"/>
      <c r="X1817" s="88">
        <v>44670</v>
      </c>
      <c r="Y1817" s="130" t="s">
        <v>20</v>
      </c>
      <c r="Z1817" s="133" t="s">
        <v>60</v>
      </c>
      <c r="AA1817" s="133"/>
      <c r="AB1817" s="241">
        <v>5.5620000000000003</v>
      </c>
      <c r="AC1817" s="134">
        <v>2327.1736785328999</v>
      </c>
      <c r="AD1817" s="134"/>
      <c r="AE1817" s="403">
        <f t="shared" si="118"/>
        <v>12943.739999999991</v>
      </c>
      <c r="AF1817" s="132"/>
      <c r="AG1817" s="130" t="s">
        <v>5</v>
      </c>
      <c r="AH1817" s="130"/>
      <c r="AI1817" s="130" t="s">
        <v>6299</v>
      </c>
      <c r="AJ1817" s="130" t="s">
        <v>944</v>
      </c>
      <c r="AK1817" s="130" t="s">
        <v>6957</v>
      </c>
      <c r="AL1817" s="135" t="s">
        <v>6412</v>
      </c>
      <c r="AM1817" s="314"/>
      <c r="AN1817" s="26">
        <v>44550</v>
      </c>
      <c r="AO1817" s="26">
        <v>44579</v>
      </c>
      <c r="AP1817" s="26" t="e">
        <f>#REF!+50</f>
        <v>#REF!</v>
      </c>
      <c r="AQ1817" s="26">
        <v>44624</v>
      </c>
      <c r="AR1817" s="24">
        <f>AQ1817+4</f>
        <v>44628</v>
      </c>
      <c r="AS1817" s="24"/>
      <c r="AT1817" s="24">
        <v>44629</v>
      </c>
      <c r="AU1817" s="418">
        <f t="shared" si="119"/>
        <v>3</v>
      </c>
      <c r="AV1817" s="418">
        <f t="shared" si="120"/>
        <v>2022</v>
      </c>
      <c r="AW1817" s="24"/>
      <c r="AX1817" s="135" t="s">
        <v>6959</v>
      </c>
      <c r="AY1817" s="135" t="s">
        <v>6958</v>
      </c>
      <c r="AZ1817" s="24" t="s">
        <v>37</v>
      </c>
      <c r="BA1817" s="24"/>
      <c r="BB1817" s="24" t="s">
        <v>3291</v>
      </c>
      <c r="BC1817" s="128">
        <v>1103283</v>
      </c>
      <c r="BD1817" s="24">
        <v>44598</v>
      </c>
      <c r="BE1817" s="24" t="s">
        <v>2668</v>
      </c>
      <c r="BF1817" s="24" t="s">
        <v>2668</v>
      </c>
      <c r="BG1817" s="135" t="s">
        <v>6960</v>
      </c>
      <c r="BH1817" s="135"/>
      <c r="BI1817" s="314" t="s">
        <v>117</v>
      </c>
      <c r="BJ1817" s="314"/>
      <c r="BK1817" s="24"/>
      <c r="BL1817" s="24"/>
      <c r="BM1817" s="24"/>
      <c r="BN1817" s="24"/>
      <c r="BO1817" s="24"/>
      <c r="BP1817" s="24"/>
      <c r="BQ1817" s="24" t="s">
        <v>6961</v>
      </c>
      <c r="BR1817" s="24">
        <v>44623</v>
      </c>
      <c r="BS1817" s="24" t="s">
        <v>26</v>
      </c>
      <c r="BT1817" s="24" t="s">
        <v>11</v>
      </c>
      <c r="BU1817" s="24"/>
      <c r="BV1817" s="132" t="e">
        <f>IF(#REF!="COMPLETO","OK","PENDIENTE")</f>
        <v>#REF!</v>
      </c>
      <c r="BW1817" s="132"/>
      <c r="BX1817" s="132"/>
      <c r="BY1817" s="132"/>
      <c r="BZ1817" s="132"/>
      <c r="CA1817" s="132"/>
      <c r="CB1817" s="132"/>
      <c r="CC1817" s="362"/>
      <c r="CG1817" s="132" t="s">
        <v>105</v>
      </c>
      <c r="CH1817" s="132"/>
      <c r="CI1817" s="24"/>
      <c r="CJ1817" s="24"/>
    </row>
    <row r="1818" spans="1:88" ht="15" customHeight="1">
      <c r="A1818" s="18">
        <v>2021</v>
      </c>
      <c r="B1818" s="18" t="s">
        <v>6191</v>
      </c>
      <c r="C1818" s="360" t="s">
        <v>5398</v>
      </c>
      <c r="D1818" s="150" t="s">
        <v>3</v>
      </c>
      <c r="E1818" s="132" t="s">
        <v>7904</v>
      </c>
      <c r="F1818" s="132"/>
      <c r="G1818" s="346">
        <v>8000001745</v>
      </c>
      <c r="H1818" s="18" t="s">
        <v>6962</v>
      </c>
      <c r="I1818" s="346" t="s">
        <v>8050</v>
      </c>
      <c r="J1818" s="346">
        <v>8000001745</v>
      </c>
      <c r="K1818" s="24">
        <v>44526</v>
      </c>
      <c r="L1818" s="24"/>
      <c r="M1818" s="24"/>
      <c r="N1818" s="340" t="s">
        <v>3</v>
      </c>
      <c r="O1818" s="334">
        <v>203557</v>
      </c>
      <c r="P1818" s="25" t="s">
        <v>6963</v>
      </c>
      <c r="Q1818" s="127" t="s">
        <v>303</v>
      </c>
      <c r="R1818" s="401" t="s">
        <v>6964</v>
      </c>
      <c r="S1818" s="89">
        <v>44526</v>
      </c>
      <c r="T1818" s="36" t="s">
        <v>19</v>
      </c>
      <c r="U1818" s="125"/>
      <c r="V1818" s="147"/>
      <c r="W1818" s="129"/>
      <c r="X1818" s="88"/>
      <c r="Y1818" s="130" t="s">
        <v>3</v>
      </c>
      <c r="Z1818" s="133" t="s">
        <v>60</v>
      </c>
      <c r="AA1818" s="133" t="s">
        <v>1622</v>
      </c>
      <c r="AB1818" s="241">
        <v>3.96</v>
      </c>
      <c r="AC1818" s="267">
        <v>6050</v>
      </c>
      <c r="AD1818" s="267"/>
      <c r="AE1818" s="403">
        <f t="shared" si="118"/>
        <v>23958</v>
      </c>
      <c r="AF1818" s="132">
        <v>1</v>
      </c>
      <c r="AG1818" s="130" t="s">
        <v>5</v>
      </c>
      <c r="AH1818" s="130"/>
      <c r="AI1818" s="256" t="s">
        <v>6024</v>
      </c>
      <c r="AJ1818" s="256" t="s">
        <v>944</v>
      </c>
      <c r="AK1818" s="256" t="s">
        <v>7819</v>
      </c>
      <c r="AL1818" s="135" t="s">
        <v>6678</v>
      </c>
      <c r="AM1818" s="314">
        <v>2022</v>
      </c>
      <c r="AN1818" s="26">
        <v>44687</v>
      </c>
      <c r="AO1818" s="385">
        <v>44732</v>
      </c>
      <c r="AP1818" s="26">
        <f t="shared" ref="AP1818:AP1826" si="123">AQ1818</f>
        <v>44770</v>
      </c>
      <c r="AQ1818" s="385">
        <f>AO1818+38</f>
        <v>44770</v>
      </c>
      <c r="AR1818" s="24">
        <f>AQ1818+4</f>
        <v>44774</v>
      </c>
      <c r="AS1818" s="24"/>
      <c r="AT1818" s="24">
        <v>44774</v>
      </c>
      <c r="AU1818" s="418">
        <f t="shared" si="119"/>
        <v>8</v>
      </c>
      <c r="AV1818" s="418">
        <f t="shared" si="120"/>
        <v>2022</v>
      </c>
      <c r="AW1818" s="24" t="s">
        <v>7874</v>
      </c>
      <c r="AX1818" s="135" t="s">
        <v>6966</v>
      </c>
      <c r="AY1818" s="135" t="s">
        <v>6965</v>
      </c>
      <c r="AZ1818" s="24" t="s">
        <v>37</v>
      </c>
      <c r="BA1818" s="24"/>
      <c r="BB1818" s="24" t="s">
        <v>3291</v>
      </c>
      <c r="BC1818" s="128"/>
      <c r="BD1818" s="24"/>
      <c r="BE1818" s="24" t="s">
        <v>6967</v>
      </c>
      <c r="BF1818" s="24"/>
      <c r="BG1818" s="135" t="s">
        <v>29</v>
      </c>
      <c r="BH1818" s="135" t="s">
        <v>6219</v>
      </c>
      <c r="BI1818" s="314" t="s">
        <v>3</v>
      </c>
      <c r="BJ1818" s="314" t="s">
        <v>148</v>
      </c>
      <c r="BK1818" s="24"/>
      <c r="BL1818" s="24"/>
      <c r="BM1818" s="24"/>
      <c r="BN1818" s="24"/>
      <c r="BO1818" s="24"/>
      <c r="BP1818" s="24"/>
      <c r="BQ1818" s="24"/>
      <c r="BR1818" s="24"/>
      <c r="BS1818" s="24"/>
      <c r="BT1818" s="24"/>
      <c r="BU1818" s="24"/>
      <c r="BV1818" s="132" t="e">
        <f>IF(#REF!="COMPLETO","OK","PENDIENTE")</f>
        <v>#REF!</v>
      </c>
      <c r="BW1818" s="132" t="s">
        <v>1622</v>
      </c>
      <c r="BX1818" s="132" t="s">
        <v>1622</v>
      </c>
      <c r="BY1818" s="132" t="s">
        <v>1622</v>
      </c>
      <c r="BZ1818" s="132" t="s">
        <v>1622</v>
      </c>
      <c r="CA1818" s="132" t="s">
        <v>1622</v>
      </c>
      <c r="CB1818" s="132" t="s">
        <v>1622</v>
      </c>
      <c r="CC1818" s="362"/>
      <c r="CG1818" s="132"/>
      <c r="CH1818" s="132"/>
      <c r="CI1818" s="24"/>
      <c r="CJ1818" s="24"/>
    </row>
    <row r="1819" spans="1:88" ht="14.45" customHeight="1">
      <c r="A1819" s="18">
        <v>2021</v>
      </c>
      <c r="B1819" s="18" t="s">
        <v>6191</v>
      </c>
      <c r="C1819" s="360" t="s">
        <v>5398</v>
      </c>
      <c r="D1819" s="150" t="s">
        <v>3</v>
      </c>
      <c r="E1819" s="132" t="s">
        <v>7904</v>
      </c>
      <c r="F1819" s="132"/>
      <c r="G1819" s="346">
        <v>8000001746</v>
      </c>
      <c r="H1819" s="18" t="s">
        <v>6968</v>
      </c>
      <c r="I1819" s="346" t="s">
        <v>8050</v>
      </c>
      <c r="J1819" s="346">
        <v>8000001746</v>
      </c>
      <c r="K1819" s="24">
        <v>44705</v>
      </c>
      <c r="L1819" s="24"/>
      <c r="M1819" s="24"/>
      <c r="N1819" s="340" t="s">
        <v>3</v>
      </c>
      <c r="O1819" s="334">
        <v>203558</v>
      </c>
      <c r="P1819" s="25" t="s">
        <v>6969</v>
      </c>
      <c r="Q1819" s="127" t="s">
        <v>303</v>
      </c>
      <c r="R1819" s="401" t="s">
        <v>6964</v>
      </c>
      <c r="S1819" s="89">
        <v>44526</v>
      </c>
      <c r="T1819" s="36" t="s">
        <v>19</v>
      </c>
      <c r="U1819" s="125"/>
      <c r="V1819" s="147"/>
      <c r="W1819" s="129"/>
      <c r="X1819" s="88"/>
      <c r="Y1819" s="130" t="s">
        <v>3</v>
      </c>
      <c r="Z1819" s="133" t="s">
        <v>60</v>
      </c>
      <c r="AA1819" s="133" t="s">
        <v>1622</v>
      </c>
      <c r="AB1819" s="241">
        <v>3.9</v>
      </c>
      <c r="AC1819" s="267">
        <v>5300</v>
      </c>
      <c r="AD1819" s="267"/>
      <c r="AE1819" s="403">
        <f t="shared" si="118"/>
        <v>20670</v>
      </c>
      <c r="AF1819" s="132">
        <v>1</v>
      </c>
      <c r="AG1819" s="130" t="s">
        <v>5</v>
      </c>
      <c r="AH1819" s="130"/>
      <c r="AI1819" s="130" t="s">
        <v>6299</v>
      </c>
      <c r="AJ1819" s="130" t="s">
        <v>944</v>
      </c>
      <c r="AK1819" s="130" t="s">
        <v>7819</v>
      </c>
      <c r="AL1819" s="135" t="s">
        <v>6678</v>
      </c>
      <c r="AM1819" s="314">
        <v>2022</v>
      </c>
      <c r="AN1819" s="26">
        <v>44687</v>
      </c>
      <c r="AO1819" s="385">
        <v>44732</v>
      </c>
      <c r="AP1819" s="26">
        <f t="shared" si="123"/>
        <v>44770</v>
      </c>
      <c r="AQ1819" s="385">
        <f>AO1819+38</f>
        <v>44770</v>
      </c>
      <c r="AR1819" s="24">
        <f>AQ1819+4</f>
        <v>44774</v>
      </c>
      <c r="AS1819" s="24"/>
      <c r="AT1819" s="24">
        <v>44774</v>
      </c>
      <c r="AU1819" s="418">
        <f t="shared" si="119"/>
        <v>8</v>
      </c>
      <c r="AV1819" s="418">
        <f t="shared" si="120"/>
        <v>2022</v>
      </c>
      <c r="AW1819" s="209" t="s">
        <v>7874</v>
      </c>
      <c r="AX1819" s="135" t="s">
        <v>6966</v>
      </c>
      <c r="AY1819" s="135" t="s">
        <v>6965</v>
      </c>
      <c r="AZ1819" s="24" t="s">
        <v>37</v>
      </c>
      <c r="BA1819" s="24"/>
      <c r="BB1819" s="24" t="s">
        <v>3291</v>
      </c>
      <c r="BC1819" s="128"/>
      <c r="BD1819" s="24"/>
      <c r="BE1819" s="24" t="s">
        <v>6967</v>
      </c>
      <c r="BF1819" s="24"/>
      <c r="BG1819" s="135" t="s">
        <v>29</v>
      </c>
      <c r="BH1819" s="135" t="s">
        <v>6219</v>
      </c>
      <c r="BI1819" s="314" t="s">
        <v>3</v>
      </c>
      <c r="BJ1819" s="314" t="s">
        <v>148</v>
      </c>
      <c r="BK1819" s="24"/>
      <c r="BL1819" s="24"/>
      <c r="BM1819" s="24"/>
      <c r="BN1819" s="24"/>
      <c r="BO1819" s="24"/>
      <c r="BP1819" s="24"/>
      <c r="BQ1819" s="24"/>
      <c r="BR1819" s="24"/>
      <c r="BS1819" s="24"/>
      <c r="BT1819" s="24"/>
      <c r="BU1819" s="24"/>
      <c r="BV1819" s="132" t="e">
        <f>IF(#REF!="COMPLETO","OK","PENDIENTE")</f>
        <v>#REF!</v>
      </c>
      <c r="BW1819" s="132" t="s">
        <v>1622</v>
      </c>
      <c r="BX1819" s="132" t="s">
        <v>1622</v>
      </c>
      <c r="BY1819" s="132" t="s">
        <v>1622</v>
      </c>
      <c r="BZ1819" s="132" t="s">
        <v>1622</v>
      </c>
      <c r="CA1819" s="132" t="s">
        <v>1622</v>
      </c>
      <c r="CB1819" s="132" t="s">
        <v>1622</v>
      </c>
      <c r="CC1819" s="362"/>
      <c r="CG1819" s="132"/>
      <c r="CH1819" s="132"/>
      <c r="CI1819" s="24"/>
      <c r="CJ1819" s="24"/>
    </row>
    <row r="1820" spans="1:88" ht="15" customHeight="1">
      <c r="A1820" s="18">
        <v>2021</v>
      </c>
      <c r="B1820" s="18" t="s">
        <v>6191</v>
      </c>
      <c r="C1820" s="360" t="s">
        <v>5398</v>
      </c>
      <c r="D1820" s="150" t="s">
        <v>3</v>
      </c>
      <c r="E1820" s="132" t="s">
        <v>7904</v>
      </c>
      <c r="F1820" s="132"/>
      <c r="G1820" s="346">
        <v>8000001747</v>
      </c>
      <c r="H1820" s="18" t="s">
        <v>6970</v>
      </c>
      <c r="I1820" s="346" t="s">
        <v>8050</v>
      </c>
      <c r="J1820" s="346">
        <v>8000001747</v>
      </c>
      <c r="K1820" s="24">
        <v>44526</v>
      </c>
      <c r="L1820" s="24"/>
      <c r="M1820" s="24"/>
      <c r="N1820" s="340" t="s">
        <v>3</v>
      </c>
      <c r="O1820" s="334">
        <v>208077</v>
      </c>
      <c r="P1820" s="25" t="s">
        <v>6971</v>
      </c>
      <c r="Q1820" s="127" t="s">
        <v>303</v>
      </c>
      <c r="R1820" s="401" t="s">
        <v>6964</v>
      </c>
      <c r="S1820" s="89">
        <v>44526</v>
      </c>
      <c r="T1820" s="36" t="s">
        <v>19</v>
      </c>
      <c r="U1820" s="125"/>
      <c r="V1820" s="147"/>
      <c r="W1820" s="129"/>
      <c r="X1820" s="129"/>
      <c r="Y1820" s="130" t="s">
        <v>3</v>
      </c>
      <c r="Z1820" s="133" t="s">
        <v>60</v>
      </c>
      <c r="AA1820" s="133" t="s">
        <v>1622</v>
      </c>
      <c r="AB1820" s="241">
        <v>1.92</v>
      </c>
      <c r="AC1820" s="267">
        <v>5600</v>
      </c>
      <c r="AD1820" s="267"/>
      <c r="AE1820" s="403">
        <f t="shared" si="118"/>
        <v>10752</v>
      </c>
      <c r="AF1820" s="132">
        <v>1</v>
      </c>
      <c r="AG1820" s="130" t="s">
        <v>5</v>
      </c>
      <c r="AH1820" s="130"/>
      <c r="AI1820" s="130" t="s">
        <v>6299</v>
      </c>
      <c r="AJ1820" s="130" t="s">
        <v>944</v>
      </c>
      <c r="AK1820" s="130" t="s">
        <v>7891</v>
      </c>
      <c r="AL1820" s="135" t="s">
        <v>6678</v>
      </c>
      <c r="AM1820" s="314">
        <v>2022</v>
      </c>
      <c r="AN1820" s="26">
        <v>44687</v>
      </c>
      <c r="AO1820" s="385">
        <v>44732</v>
      </c>
      <c r="AP1820" s="26">
        <f t="shared" si="123"/>
        <v>44770</v>
      </c>
      <c r="AQ1820" s="385">
        <f>AO1820+38</f>
        <v>44770</v>
      </c>
      <c r="AR1820" s="24">
        <f>AQ1820+4</f>
        <v>44774</v>
      </c>
      <c r="AS1820" s="24"/>
      <c r="AT1820" s="24">
        <v>44775</v>
      </c>
      <c r="AU1820" s="418">
        <f t="shared" si="119"/>
        <v>8</v>
      </c>
      <c r="AV1820" s="418">
        <f t="shared" si="120"/>
        <v>2022</v>
      </c>
      <c r="AW1820" s="209" t="s">
        <v>7874</v>
      </c>
      <c r="AX1820" s="135" t="s">
        <v>6966</v>
      </c>
      <c r="AY1820" s="135" t="s">
        <v>6965</v>
      </c>
      <c r="AZ1820" s="24" t="s">
        <v>37</v>
      </c>
      <c r="BA1820" s="24"/>
      <c r="BB1820" s="24" t="s">
        <v>3291</v>
      </c>
      <c r="BC1820" s="128"/>
      <c r="BD1820" s="24"/>
      <c r="BE1820" s="24" t="s">
        <v>6967</v>
      </c>
      <c r="BF1820" s="24"/>
      <c r="BG1820" s="135" t="s">
        <v>29</v>
      </c>
      <c r="BH1820" s="135" t="s">
        <v>6219</v>
      </c>
      <c r="BI1820" s="314" t="s">
        <v>3</v>
      </c>
      <c r="BJ1820" s="314" t="s">
        <v>148</v>
      </c>
      <c r="BK1820" s="24"/>
      <c r="BL1820" s="24"/>
      <c r="BM1820" s="24"/>
      <c r="BN1820" s="24"/>
      <c r="BO1820" s="24"/>
      <c r="BP1820" s="24"/>
      <c r="BQ1820" s="24"/>
      <c r="BR1820" s="24"/>
      <c r="BS1820" s="24"/>
      <c r="BT1820" s="24"/>
      <c r="BU1820" s="24"/>
      <c r="BV1820" s="132" t="e">
        <f>IF(#REF!="COMPLETO","OK","PENDIENTE")</f>
        <v>#REF!</v>
      </c>
      <c r="BW1820" s="132" t="s">
        <v>1622</v>
      </c>
      <c r="BX1820" s="132" t="s">
        <v>1622</v>
      </c>
      <c r="BY1820" s="132" t="s">
        <v>1622</v>
      </c>
      <c r="BZ1820" s="132" t="s">
        <v>1622</v>
      </c>
      <c r="CA1820" s="132" t="s">
        <v>1622</v>
      </c>
      <c r="CB1820" s="132" t="s">
        <v>1622</v>
      </c>
      <c r="CC1820" s="362"/>
      <c r="CG1820" s="132"/>
      <c r="CH1820" s="132"/>
      <c r="CI1820" s="24"/>
      <c r="CJ1820" s="24"/>
    </row>
    <row r="1821" spans="1:88" ht="15" customHeight="1">
      <c r="A1821" s="18">
        <v>2021</v>
      </c>
      <c r="B1821" s="18"/>
      <c r="C1821" s="360" t="s">
        <v>484</v>
      </c>
      <c r="D1821" s="150" t="s">
        <v>77</v>
      </c>
      <c r="E1821" s="132"/>
      <c r="F1821" s="132"/>
      <c r="G1821" s="348"/>
      <c r="H1821" s="18" t="s">
        <v>6972</v>
      </c>
      <c r="I1821" s="330"/>
      <c r="J1821" s="348"/>
      <c r="K1821" s="24"/>
      <c r="L1821" s="24"/>
      <c r="M1821" s="24"/>
      <c r="N1821" s="340"/>
      <c r="O1821" s="334"/>
      <c r="P1821" s="25" t="s">
        <v>406</v>
      </c>
      <c r="Q1821" s="127" t="s">
        <v>6955</v>
      </c>
      <c r="R1821" s="232" t="s">
        <v>944</v>
      </c>
      <c r="S1821" s="89" t="s">
        <v>944</v>
      </c>
      <c r="T1821" s="36" t="s">
        <v>6022</v>
      </c>
      <c r="U1821" s="125" t="s">
        <v>6023</v>
      </c>
      <c r="V1821" s="147" t="s">
        <v>6973</v>
      </c>
      <c r="W1821" s="129"/>
      <c r="X1821" s="88" t="s">
        <v>944</v>
      </c>
      <c r="Y1821" s="130" t="s">
        <v>944</v>
      </c>
      <c r="Z1821" s="133" t="s">
        <v>48</v>
      </c>
      <c r="AA1821" s="133"/>
      <c r="AB1821" s="241">
        <v>0.02</v>
      </c>
      <c r="AC1821" s="134">
        <v>500</v>
      </c>
      <c r="AD1821" s="134"/>
      <c r="AE1821" s="403">
        <f t="shared" si="118"/>
        <v>10</v>
      </c>
      <c r="AF1821" s="132"/>
      <c r="AG1821" s="130" t="s">
        <v>5</v>
      </c>
      <c r="AH1821" s="130"/>
      <c r="AI1821" s="130" t="s">
        <v>6299</v>
      </c>
      <c r="AJ1821" s="130"/>
      <c r="AK1821" s="130"/>
      <c r="AL1821" s="135" t="s">
        <v>6646</v>
      </c>
      <c r="AM1821" s="314"/>
      <c r="AN1821" s="26">
        <f t="shared" ref="AN1821:AN1826" si="124">BL1821</f>
        <v>0</v>
      </c>
      <c r="AO1821" s="26">
        <v>44523</v>
      </c>
      <c r="AP1821" s="26">
        <f t="shared" si="123"/>
        <v>44531</v>
      </c>
      <c r="AQ1821" s="26">
        <v>44531</v>
      </c>
      <c r="AR1821" s="24">
        <f>AQ1821+1</f>
        <v>44532</v>
      </c>
      <c r="AS1821" s="24"/>
      <c r="AT1821" s="24">
        <f>AR1821</f>
        <v>44532</v>
      </c>
      <c r="AU1821" s="418">
        <f t="shared" si="119"/>
        <v>12</v>
      </c>
      <c r="AV1821" s="418">
        <f t="shared" si="120"/>
        <v>2021</v>
      </c>
      <c r="AW1821" s="24"/>
      <c r="AX1821" s="135" t="s">
        <v>6959</v>
      </c>
      <c r="AY1821" s="135" t="s">
        <v>6958</v>
      </c>
      <c r="AZ1821" s="24" t="s">
        <v>37</v>
      </c>
      <c r="BA1821" s="24"/>
      <c r="BB1821" s="132"/>
      <c r="BC1821" s="128" t="s">
        <v>6974</v>
      </c>
      <c r="BD1821" s="24"/>
      <c r="BE1821" s="24" t="s">
        <v>6975</v>
      </c>
      <c r="BF1821" s="24" t="s">
        <v>6975</v>
      </c>
      <c r="BG1821" s="135" t="s">
        <v>52</v>
      </c>
      <c r="BH1821" s="135"/>
      <c r="BI1821" s="314" t="s">
        <v>117</v>
      </c>
      <c r="BJ1821" s="314" t="s">
        <v>148</v>
      </c>
      <c r="BK1821" s="24"/>
      <c r="BL1821" s="24"/>
      <c r="BM1821" s="24"/>
      <c r="BN1821" s="24"/>
      <c r="BO1821" s="24"/>
      <c r="BP1821" s="24"/>
      <c r="BQ1821" s="24"/>
      <c r="BR1821" s="24"/>
      <c r="BS1821" s="24"/>
      <c r="BT1821" s="24"/>
      <c r="BU1821" s="24"/>
      <c r="BV1821" s="132" t="s">
        <v>6087</v>
      </c>
      <c r="BW1821" s="132"/>
      <c r="BX1821" s="132"/>
      <c r="BY1821" s="132"/>
      <c r="BZ1821" s="132"/>
      <c r="CA1821" s="132"/>
      <c r="CB1821" s="132"/>
      <c r="CC1821" s="362"/>
      <c r="CG1821" s="132" t="s">
        <v>105</v>
      </c>
      <c r="CH1821" s="132"/>
      <c r="CI1821" s="24"/>
      <c r="CJ1821" s="24"/>
    </row>
    <row r="1822" spans="1:88" ht="15" customHeight="1">
      <c r="A1822" s="18">
        <v>2021</v>
      </c>
      <c r="B1822" s="18" t="str">
        <f>+INDEX(BDD!F:F,MATCH(P1822,BDD!D:D,0))&amp;"-"&amp;INDEX(BDD!E:E,MATCH(P1822,BDD!D:D,0))</f>
        <v>O-S</v>
      </c>
      <c r="C1822" s="360" t="s">
        <v>484</v>
      </c>
      <c r="D1822" s="150" t="s">
        <v>77</v>
      </c>
      <c r="E1822" s="132"/>
      <c r="F1822" s="132"/>
      <c r="G1822" s="346">
        <v>8000001933</v>
      </c>
      <c r="H1822" s="18" t="s">
        <v>6976</v>
      </c>
      <c r="I1822" s="350" t="s">
        <v>6977</v>
      </c>
      <c r="J1822" s="346">
        <v>8000001933</v>
      </c>
      <c r="K1822" s="24"/>
      <c r="L1822" s="24">
        <v>44627</v>
      </c>
      <c r="M1822" s="24">
        <v>44670</v>
      </c>
      <c r="N1822" s="340" t="s">
        <v>486</v>
      </c>
      <c r="O1822" s="334">
        <v>204750</v>
      </c>
      <c r="P1822" s="25" t="s">
        <v>390</v>
      </c>
      <c r="Q1822" s="127" t="s">
        <v>303</v>
      </c>
      <c r="R1822" s="232" t="s">
        <v>6978</v>
      </c>
      <c r="S1822" s="89">
        <v>44532</v>
      </c>
      <c r="T1822" s="36" t="s">
        <v>19</v>
      </c>
      <c r="U1822" s="125"/>
      <c r="V1822" s="147" t="s">
        <v>6979</v>
      </c>
      <c r="W1822" s="129">
        <v>44645</v>
      </c>
      <c r="X1822" s="88">
        <v>44649</v>
      </c>
      <c r="Y1822" s="130" t="s">
        <v>20</v>
      </c>
      <c r="Z1822" s="133" t="s">
        <v>72</v>
      </c>
      <c r="AA1822" s="133"/>
      <c r="AB1822" s="241">
        <v>462</v>
      </c>
      <c r="AC1822" s="134">
        <v>943.9</v>
      </c>
      <c r="AD1822" s="134"/>
      <c r="AE1822" s="403">
        <f t="shared" si="118"/>
        <v>436081.8</v>
      </c>
      <c r="AF1822" s="132">
        <v>21</v>
      </c>
      <c r="AG1822" s="130" t="s">
        <v>5</v>
      </c>
      <c r="AH1822" s="130"/>
      <c r="AI1822" s="130" t="s">
        <v>47</v>
      </c>
      <c r="AJ1822" s="130" t="s">
        <v>944</v>
      </c>
      <c r="AK1822" s="130" t="s">
        <v>6980</v>
      </c>
      <c r="AL1822" s="135" t="s">
        <v>6678</v>
      </c>
      <c r="AM1822" s="314"/>
      <c r="AN1822" s="26">
        <f t="shared" si="124"/>
        <v>0</v>
      </c>
      <c r="AO1822" s="26">
        <v>44624</v>
      </c>
      <c r="AP1822" s="26">
        <f t="shared" si="123"/>
        <v>44651</v>
      </c>
      <c r="AQ1822" s="26">
        <v>44651</v>
      </c>
      <c r="AR1822" s="24">
        <f>AQ1822+3</f>
        <v>44654</v>
      </c>
      <c r="AS1822" s="41">
        <f>AQ1822-AO1822</f>
        <v>27</v>
      </c>
      <c r="AT1822" s="24">
        <v>44660</v>
      </c>
      <c r="AU1822" s="418">
        <f t="shared" si="119"/>
        <v>4</v>
      </c>
      <c r="AV1822" s="418">
        <f t="shared" si="120"/>
        <v>2022</v>
      </c>
      <c r="AW1822" s="24"/>
      <c r="AX1822" s="24" t="s">
        <v>6982</v>
      </c>
      <c r="AY1822" s="24" t="s">
        <v>3415</v>
      </c>
      <c r="AZ1822" s="24" t="s">
        <v>62</v>
      </c>
      <c r="BA1822" s="24"/>
      <c r="BB1822" s="132" t="s">
        <v>3264</v>
      </c>
      <c r="BC1822" s="128" t="s">
        <v>6981</v>
      </c>
      <c r="BD1822" s="24">
        <v>44624</v>
      </c>
      <c r="BE1822" s="24" t="s">
        <v>5944</v>
      </c>
      <c r="BF1822" s="24" t="s">
        <v>1938</v>
      </c>
      <c r="BG1822" s="135" t="s">
        <v>29</v>
      </c>
      <c r="BH1822" s="135" t="s">
        <v>6219</v>
      </c>
      <c r="BI1822" s="314" t="s">
        <v>124</v>
      </c>
      <c r="BJ1822" s="314" t="s">
        <v>148</v>
      </c>
      <c r="BK1822" s="24"/>
      <c r="BL1822" s="24"/>
      <c r="BM1822" s="24"/>
      <c r="BN1822" s="24"/>
      <c r="BO1822" s="24">
        <f>AQ1822+14</f>
        <v>44665</v>
      </c>
      <c r="BP1822" s="24"/>
      <c r="BQ1822" s="24" t="s">
        <v>6983</v>
      </c>
      <c r="BR1822" s="24">
        <v>44650</v>
      </c>
      <c r="BS1822" s="24" t="s">
        <v>38</v>
      </c>
      <c r="BT1822" s="24" t="s">
        <v>27</v>
      </c>
      <c r="BU1822" s="24"/>
      <c r="BV1822" s="132" t="e">
        <f>IF(#REF!="COMPLETO","OK","PENDIENTE")</f>
        <v>#REF!</v>
      </c>
      <c r="BW1822" s="132"/>
      <c r="BX1822" s="132"/>
      <c r="BY1822" s="132"/>
      <c r="BZ1822" s="132"/>
      <c r="CA1822" s="132"/>
      <c r="CB1822" s="132"/>
      <c r="CC1822" s="369" t="s">
        <v>6984</v>
      </c>
      <c r="CG1822" s="132" t="s">
        <v>105</v>
      </c>
      <c r="CH1822" s="132"/>
      <c r="CI1822" s="24"/>
      <c r="CJ1822" s="24"/>
    </row>
    <row r="1823" spans="1:88" ht="15" customHeight="1">
      <c r="A1823" s="18">
        <v>2021</v>
      </c>
      <c r="B1823" s="18" t="str">
        <f>+INDEX(BDD!F:F,MATCH(P1823,BDD!D:D,0))&amp;"-"&amp;INDEX(BDD!E:E,MATCH(P1823,BDD!D:D,0))</f>
        <v>O-S</v>
      </c>
      <c r="C1823" s="360" t="s">
        <v>484</v>
      </c>
      <c r="D1823" s="150" t="s">
        <v>77</v>
      </c>
      <c r="E1823" s="132"/>
      <c r="F1823" s="24"/>
      <c r="G1823" s="346">
        <v>8000001764</v>
      </c>
      <c r="H1823" s="18" t="s">
        <v>6985</v>
      </c>
      <c r="I1823" s="330"/>
      <c r="J1823" s="346">
        <v>8000001764</v>
      </c>
      <c r="K1823" s="24"/>
      <c r="L1823" s="24">
        <v>44596</v>
      </c>
      <c r="M1823" s="24">
        <v>44596</v>
      </c>
      <c r="N1823" s="340" t="s">
        <v>486</v>
      </c>
      <c r="O1823" s="334">
        <v>204749</v>
      </c>
      <c r="P1823" s="25" t="s">
        <v>390</v>
      </c>
      <c r="Q1823" s="127" t="s">
        <v>303</v>
      </c>
      <c r="R1823" s="232" t="s">
        <v>6986</v>
      </c>
      <c r="S1823" s="89">
        <v>44532</v>
      </c>
      <c r="T1823" s="36" t="s">
        <v>19</v>
      </c>
      <c r="U1823" s="125"/>
      <c r="V1823" s="147" t="s">
        <v>6987</v>
      </c>
      <c r="W1823" s="129"/>
      <c r="X1823" s="88">
        <v>44586</v>
      </c>
      <c r="Y1823" s="130" t="s">
        <v>20</v>
      </c>
      <c r="Z1823" s="133" t="s">
        <v>60</v>
      </c>
      <c r="AA1823" s="133"/>
      <c r="AB1823" s="241">
        <v>176</v>
      </c>
      <c r="AC1823" s="134">
        <v>889.86</v>
      </c>
      <c r="AD1823" s="134"/>
      <c r="AE1823" s="403">
        <f t="shared" si="118"/>
        <v>156615.36000000002</v>
      </c>
      <c r="AF1823" s="132">
        <v>8</v>
      </c>
      <c r="AG1823" s="130" t="s">
        <v>5</v>
      </c>
      <c r="AH1823" s="130"/>
      <c r="AI1823" s="130" t="s">
        <v>47</v>
      </c>
      <c r="AJ1823" s="130"/>
      <c r="AK1823" s="130" t="s">
        <v>6980</v>
      </c>
      <c r="AL1823" s="135" t="s">
        <v>6678</v>
      </c>
      <c r="AM1823" s="314"/>
      <c r="AN1823" s="26">
        <f t="shared" si="124"/>
        <v>0</v>
      </c>
      <c r="AO1823" s="26">
        <v>44581</v>
      </c>
      <c r="AP1823" s="26">
        <f t="shared" si="123"/>
        <v>44589</v>
      </c>
      <c r="AQ1823" s="26">
        <v>44589</v>
      </c>
      <c r="AR1823" s="24">
        <f>AQ1823+3</f>
        <v>44592</v>
      </c>
      <c r="AS1823" s="24"/>
      <c r="AT1823" s="24">
        <v>44594</v>
      </c>
      <c r="AU1823" s="418">
        <f t="shared" si="119"/>
        <v>2</v>
      </c>
      <c r="AV1823" s="418">
        <f t="shared" si="120"/>
        <v>2022</v>
      </c>
      <c r="AW1823" s="24"/>
      <c r="AX1823" s="24"/>
      <c r="AY1823" s="24" t="s">
        <v>3415</v>
      </c>
      <c r="AZ1823" s="24" t="s">
        <v>37</v>
      </c>
      <c r="BA1823" s="24"/>
      <c r="BB1823" s="132" t="s">
        <v>3291</v>
      </c>
      <c r="BC1823" s="128" t="s">
        <v>6988</v>
      </c>
      <c r="BD1823" s="24">
        <v>44581</v>
      </c>
      <c r="BE1823" s="24" t="s">
        <v>814</v>
      </c>
      <c r="BF1823" s="24" t="s">
        <v>814</v>
      </c>
      <c r="BG1823" s="135" t="s">
        <v>64</v>
      </c>
      <c r="BH1823" s="135"/>
      <c r="BI1823" s="314" t="s">
        <v>3</v>
      </c>
      <c r="BJ1823" s="314" t="s">
        <v>148</v>
      </c>
      <c r="BK1823" s="24"/>
      <c r="BL1823" s="24"/>
      <c r="BM1823" s="24"/>
      <c r="BN1823" s="24"/>
      <c r="BO1823" s="24"/>
      <c r="BP1823" s="24"/>
      <c r="BQ1823" s="24" t="s">
        <v>6989</v>
      </c>
      <c r="BR1823" s="24">
        <v>44588</v>
      </c>
      <c r="BS1823" s="24" t="s">
        <v>26</v>
      </c>
      <c r="BT1823" s="24" t="s">
        <v>11</v>
      </c>
      <c r="BU1823" s="24"/>
      <c r="BV1823" s="132" t="e">
        <f>IF(#REF!="COMPLETO","OK","PENDIENTE")</f>
        <v>#REF!</v>
      </c>
      <c r="BW1823" s="132"/>
      <c r="BX1823" s="132"/>
      <c r="BY1823" s="132"/>
      <c r="BZ1823" s="132"/>
      <c r="CA1823" s="132"/>
      <c r="CB1823" s="132"/>
      <c r="CC1823" s="362"/>
      <c r="CG1823" s="24" t="s">
        <v>105</v>
      </c>
      <c r="CH1823" s="24"/>
      <c r="CI1823" s="24"/>
      <c r="CJ1823" s="24"/>
    </row>
    <row r="1824" spans="1:88" ht="15" customHeight="1">
      <c r="A1824" s="18">
        <v>2021</v>
      </c>
      <c r="B1824" s="18" t="str">
        <f>+INDEX(BDD!F:F,MATCH(P1824,BDD!D:D,0))&amp;"-"&amp;INDEX(BDD!E:E,MATCH(P1824,BDD!D:D,0))</f>
        <v>O-S</v>
      </c>
      <c r="C1824" s="360" t="s">
        <v>484</v>
      </c>
      <c r="D1824" s="150" t="s">
        <v>77</v>
      </c>
      <c r="E1824" s="132"/>
      <c r="F1824" s="24"/>
      <c r="G1824" s="346">
        <v>8000001822</v>
      </c>
      <c r="H1824" s="18" t="s">
        <v>6990</v>
      </c>
      <c r="I1824" s="330"/>
      <c r="J1824" s="346">
        <v>8000001822</v>
      </c>
      <c r="K1824" s="24"/>
      <c r="L1824" s="24">
        <v>44597</v>
      </c>
      <c r="M1824" s="24">
        <v>44597</v>
      </c>
      <c r="N1824" s="340" t="s">
        <v>486</v>
      </c>
      <c r="O1824" s="334">
        <v>204749</v>
      </c>
      <c r="P1824" s="25" t="s">
        <v>390</v>
      </c>
      <c r="Q1824" s="127" t="s">
        <v>303</v>
      </c>
      <c r="R1824" s="232" t="s">
        <v>6986</v>
      </c>
      <c r="S1824" s="89">
        <v>44532</v>
      </c>
      <c r="T1824" s="36">
        <v>30</v>
      </c>
      <c r="U1824" s="125" t="s">
        <v>131</v>
      </c>
      <c r="V1824" s="147" t="s">
        <v>6991</v>
      </c>
      <c r="W1824" s="129"/>
      <c r="X1824" s="88">
        <v>44617</v>
      </c>
      <c r="Y1824" s="130" t="s">
        <v>20</v>
      </c>
      <c r="Z1824" s="133" t="s">
        <v>60</v>
      </c>
      <c r="AA1824" s="133"/>
      <c r="AB1824" s="241">
        <v>88</v>
      </c>
      <c r="AC1824" s="134">
        <v>883.13</v>
      </c>
      <c r="AD1824" s="134"/>
      <c r="AE1824" s="403">
        <f t="shared" si="118"/>
        <v>77715.44</v>
      </c>
      <c r="AF1824" s="132">
        <v>4</v>
      </c>
      <c r="AG1824" s="130" t="s">
        <v>5</v>
      </c>
      <c r="AH1824" s="130"/>
      <c r="AI1824" s="130" t="s">
        <v>47</v>
      </c>
      <c r="AJ1824" s="130"/>
      <c r="AK1824" s="130" t="s">
        <v>6980</v>
      </c>
      <c r="AL1824" s="135" t="s">
        <v>6678</v>
      </c>
      <c r="AM1824" s="314"/>
      <c r="AN1824" s="26">
        <f t="shared" si="124"/>
        <v>0</v>
      </c>
      <c r="AO1824" s="26">
        <v>44581</v>
      </c>
      <c r="AP1824" s="26">
        <f t="shared" si="123"/>
        <v>44589</v>
      </c>
      <c r="AQ1824" s="26">
        <v>44589</v>
      </c>
      <c r="AR1824" s="24">
        <f>AQ1824+3</f>
        <v>44592</v>
      </c>
      <c r="AS1824" s="24"/>
      <c r="AT1824" s="24">
        <v>44596</v>
      </c>
      <c r="AU1824" s="418">
        <f t="shared" si="119"/>
        <v>2</v>
      </c>
      <c r="AV1824" s="418">
        <f t="shared" si="120"/>
        <v>2022</v>
      </c>
      <c r="AW1824" s="24"/>
      <c r="AX1824" s="24"/>
      <c r="AY1824" s="24" t="s">
        <v>3415</v>
      </c>
      <c r="AZ1824" s="24" t="s">
        <v>37</v>
      </c>
      <c r="BA1824" s="24"/>
      <c r="BB1824" s="132" t="s">
        <v>3291</v>
      </c>
      <c r="BC1824" s="128" t="s">
        <v>6992</v>
      </c>
      <c r="BD1824" s="24">
        <v>44581</v>
      </c>
      <c r="BE1824" s="24" t="s">
        <v>814</v>
      </c>
      <c r="BF1824" s="24" t="s">
        <v>814</v>
      </c>
      <c r="BG1824" s="135" t="s">
        <v>29</v>
      </c>
      <c r="BH1824" s="135"/>
      <c r="BI1824" s="314" t="s">
        <v>3</v>
      </c>
      <c r="BJ1824" s="314" t="s">
        <v>148</v>
      </c>
      <c r="BK1824" s="24"/>
      <c r="BL1824" s="24"/>
      <c r="BM1824" s="24"/>
      <c r="BN1824" s="24"/>
      <c r="BO1824" s="24"/>
      <c r="BP1824" s="24"/>
      <c r="BQ1824" s="24" t="s">
        <v>6993</v>
      </c>
      <c r="BR1824" s="24">
        <v>44588</v>
      </c>
      <c r="BS1824" s="24" t="s">
        <v>26</v>
      </c>
      <c r="BT1824" s="24" t="s">
        <v>11</v>
      </c>
      <c r="BU1824" s="24"/>
      <c r="BV1824" s="132" t="e">
        <f>IF(#REF!="COMPLETO","OK","PENDIENTE")</f>
        <v>#REF!</v>
      </c>
      <c r="BW1824" s="132"/>
      <c r="BX1824" s="132"/>
      <c r="BY1824" s="132"/>
      <c r="BZ1824" s="132"/>
      <c r="CA1824" s="132"/>
      <c r="CB1824" s="132"/>
      <c r="CC1824" s="362"/>
      <c r="CG1824" s="24" t="s">
        <v>105</v>
      </c>
      <c r="CH1824" s="24"/>
      <c r="CI1824" s="24"/>
      <c r="CJ1824" s="24"/>
    </row>
    <row r="1825" spans="1:88" ht="15" customHeight="1">
      <c r="A1825" s="18">
        <v>2021</v>
      </c>
      <c r="B1825" s="18" t="str">
        <f>+INDEX(BDD!F:F,MATCH(P1825,BDD!D:D,0))&amp;"-"&amp;INDEX(BDD!E:E,MATCH(P1825,BDD!D:D,0))</f>
        <v>T-S</v>
      </c>
      <c r="C1825" s="360" t="s">
        <v>484</v>
      </c>
      <c r="D1825" s="150" t="s">
        <v>77</v>
      </c>
      <c r="E1825" s="132"/>
      <c r="F1825" s="132"/>
      <c r="G1825" s="346">
        <v>8000001765</v>
      </c>
      <c r="H1825" s="18" t="s">
        <v>6994</v>
      </c>
      <c r="I1825" s="330"/>
      <c r="J1825" s="346">
        <v>8000001765</v>
      </c>
      <c r="K1825" s="24"/>
      <c r="L1825" s="24">
        <v>44610</v>
      </c>
      <c r="M1825" s="24">
        <v>44610</v>
      </c>
      <c r="N1825" s="340" t="s">
        <v>486</v>
      </c>
      <c r="O1825" s="334">
        <v>208057</v>
      </c>
      <c r="P1825" s="25" t="s">
        <v>391</v>
      </c>
      <c r="Q1825" s="127" t="s">
        <v>303</v>
      </c>
      <c r="R1825" s="232" t="s">
        <v>6995</v>
      </c>
      <c r="S1825" s="89">
        <v>44532</v>
      </c>
      <c r="T1825" s="36" t="s">
        <v>19</v>
      </c>
      <c r="U1825" s="125"/>
      <c r="V1825" s="147" t="s">
        <v>6996</v>
      </c>
      <c r="W1825" s="129"/>
      <c r="X1825" s="88">
        <v>44611</v>
      </c>
      <c r="Y1825" s="130" t="s">
        <v>20</v>
      </c>
      <c r="Z1825" s="133" t="s">
        <v>72</v>
      </c>
      <c r="AA1825" s="133"/>
      <c r="AB1825" s="241">
        <v>66</v>
      </c>
      <c r="AC1825" s="134">
        <v>851.96</v>
      </c>
      <c r="AD1825" s="134"/>
      <c r="AE1825" s="403">
        <f t="shared" si="118"/>
        <v>56229.36</v>
      </c>
      <c r="AF1825" s="132">
        <v>3</v>
      </c>
      <c r="AG1825" s="130" t="s">
        <v>5</v>
      </c>
      <c r="AH1825" s="130" t="s">
        <v>7027</v>
      </c>
      <c r="AI1825" s="130" t="s">
        <v>47</v>
      </c>
      <c r="AJ1825" s="130"/>
      <c r="AK1825" s="130"/>
      <c r="AL1825" s="135" t="s">
        <v>6678</v>
      </c>
      <c r="AM1825" s="314"/>
      <c r="AN1825" s="26">
        <f t="shared" si="124"/>
        <v>0</v>
      </c>
      <c r="AO1825" s="26">
        <v>44603</v>
      </c>
      <c r="AP1825" s="26">
        <f t="shared" si="123"/>
        <v>44607</v>
      </c>
      <c r="AQ1825" s="26">
        <f>AO1825+4</f>
        <v>44607</v>
      </c>
      <c r="AR1825" s="24">
        <f>AQ1825+4</f>
        <v>44611</v>
      </c>
      <c r="AS1825" s="24"/>
      <c r="AT1825" s="24">
        <v>44610</v>
      </c>
      <c r="AU1825" s="418">
        <f t="shared" si="119"/>
        <v>2</v>
      </c>
      <c r="AV1825" s="418">
        <f t="shared" si="120"/>
        <v>2022</v>
      </c>
      <c r="AW1825" s="24"/>
      <c r="AX1825" s="24"/>
      <c r="AY1825" s="24" t="s">
        <v>3415</v>
      </c>
      <c r="AZ1825" s="24" t="s">
        <v>9</v>
      </c>
      <c r="BA1825" s="24"/>
      <c r="BB1825" s="132" t="s">
        <v>3264</v>
      </c>
      <c r="BC1825" s="128" t="s">
        <v>6997</v>
      </c>
      <c r="BD1825" s="24">
        <v>44603</v>
      </c>
      <c r="BE1825" s="24" t="s">
        <v>947</v>
      </c>
      <c r="BF1825" s="24" t="s">
        <v>947</v>
      </c>
      <c r="BG1825" s="135" t="s">
        <v>29</v>
      </c>
      <c r="BH1825" s="135"/>
      <c r="BI1825" s="314" t="s">
        <v>3</v>
      </c>
      <c r="BJ1825" s="314" t="s">
        <v>148</v>
      </c>
      <c r="BK1825" s="24"/>
      <c r="BL1825" s="24"/>
      <c r="BM1825" s="24"/>
      <c r="BN1825" s="24"/>
      <c r="BO1825" s="41"/>
      <c r="BP1825" s="41"/>
      <c r="BQ1825" s="41" t="s">
        <v>6998</v>
      </c>
      <c r="BR1825" s="24">
        <v>44607</v>
      </c>
      <c r="BS1825" s="41" t="s">
        <v>38</v>
      </c>
      <c r="BT1825" s="41" t="s">
        <v>11</v>
      </c>
      <c r="BU1825" s="41"/>
      <c r="BV1825" s="132" t="e">
        <f>IF(#REF!="COMPLETO","OK","PENDIENTE")</f>
        <v>#REF!</v>
      </c>
      <c r="BW1825" s="132"/>
      <c r="BX1825" s="132"/>
      <c r="BY1825" s="132"/>
      <c r="BZ1825" s="132"/>
      <c r="CA1825" s="132"/>
      <c r="CB1825" s="132"/>
      <c r="CC1825" s="362"/>
      <c r="CG1825" s="132" t="s">
        <v>105</v>
      </c>
      <c r="CH1825" s="132"/>
      <c r="CI1825" s="24"/>
      <c r="CJ1825" s="24"/>
    </row>
    <row r="1826" spans="1:88" ht="15" customHeight="1">
      <c r="A1826" s="18">
        <v>2021</v>
      </c>
      <c r="B1826" s="18" t="str">
        <f>+INDEX(BDD!F:F,MATCH(P1826,BDD!D:D,0))&amp;"-"&amp;INDEX(BDD!E:E,MATCH(P1826,BDD!D:D,0))</f>
        <v>T-S</v>
      </c>
      <c r="C1826" s="360" t="s">
        <v>484</v>
      </c>
      <c r="D1826" s="150" t="s">
        <v>77</v>
      </c>
      <c r="E1826" s="132"/>
      <c r="F1826" s="132"/>
      <c r="G1826" s="346">
        <v>8000001766</v>
      </c>
      <c r="H1826" s="18" t="s">
        <v>6999</v>
      </c>
      <c r="I1826" s="330"/>
      <c r="J1826" s="346">
        <v>8000001766</v>
      </c>
      <c r="K1826" s="24"/>
      <c r="L1826" s="24">
        <v>44613</v>
      </c>
      <c r="M1826" s="24">
        <v>44613</v>
      </c>
      <c r="N1826" s="340" t="s">
        <v>486</v>
      </c>
      <c r="O1826" s="334">
        <v>208057</v>
      </c>
      <c r="P1826" s="25" t="s">
        <v>391</v>
      </c>
      <c r="Q1826" s="127" t="s">
        <v>303</v>
      </c>
      <c r="R1826" s="232" t="s">
        <v>7000</v>
      </c>
      <c r="S1826" s="89">
        <v>44532</v>
      </c>
      <c r="T1826" s="36" t="s">
        <v>19</v>
      </c>
      <c r="U1826" s="125"/>
      <c r="V1826" s="147" t="s">
        <v>7001</v>
      </c>
      <c r="W1826" s="129"/>
      <c r="X1826" s="88">
        <v>44607</v>
      </c>
      <c r="Y1826" s="130" t="s">
        <v>20</v>
      </c>
      <c r="Z1826" s="133" t="s">
        <v>72</v>
      </c>
      <c r="AA1826" s="133"/>
      <c r="AB1826" s="241">
        <v>242</v>
      </c>
      <c r="AC1826" s="134">
        <v>835.86</v>
      </c>
      <c r="AD1826" s="134"/>
      <c r="AE1826" s="403">
        <f t="shared" si="118"/>
        <v>202278.12</v>
      </c>
      <c r="AF1826" s="132">
        <v>11</v>
      </c>
      <c r="AG1826" s="130" t="s">
        <v>5</v>
      </c>
      <c r="AH1826" s="130" t="s">
        <v>7027</v>
      </c>
      <c r="AI1826" s="130" t="s">
        <v>47</v>
      </c>
      <c r="AJ1826" s="130"/>
      <c r="AK1826" s="130"/>
      <c r="AL1826" s="135" t="s">
        <v>6678</v>
      </c>
      <c r="AM1826" s="314"/>
      <c r="AN1826" s="26">
        <f t="shared" si="124"/>
        <v>0</v>
      </c>
      <c r="AO1826" s="26">
        <v>44589</v>
      </c>
      <c r="AP1826" s="26">
        <f t="shared" si="123"/>
        <v>44603</v>
      </c>
      <c r="AQ1826" s="26">
        <v>44603</v>
      </c>
      <c r="AR1826" s="24">
        <f>AQ1826+3</f>
        <v>44606</v>
      </c>
      <c r="AS1826" s="24"/>
      <c r="AT1826" s="24">
        <v>44609</v>
      </c>
      <c r="AU1826" s="418">
        <f t="shared" si="119"/>
        <v>2</v>
      </c>
      <c r="AV1826" s="418">
        <f t="shared" si="120"/>
        <v>2022</v>
      </c>
      <c r="AW1826" s="24"/>
      <c r="AX1826" s="24"/>
      <c r="AY1826" s="24" t="s">
        <v>3415</v>
      </c>
      <c r="AZ1826" s="24" t="s">
        <v>62</v>
      </c>
      <c r="BA1826" s="24"/>
      <c r="BB1826" s="24" t="s">
        <v>3264</v>
      </c>
      <c r="BC1826" s="128" t="s">
        <v>7002</v>
      </c>
      <c r="BD1826" s="24" t="e">
        <f>#REF!</f>
        <v>#REF!</v>
      </c>
      <c r="BE1826" s="24" t="s">
        <v>947</v>
      </c>
      <c r="BF1826" s="24" t="s">
        <v>1938</v>
      </c>
      <c r="BG1826" s="135" t="s">
        <v>29</v>
      </c>
      <c r="BH1826" s="135"/>
      <c r="BI1826" s="314" t="s">
        <v>3</v>
      </c>
      <c r="BJ1826" s="314" t="s">
        <v>148</v>
      </c>
      <c r="BK1826" s="24"/>
      <c r="BL1826" s="24"/>
      <c r="BM1826" s="24"/>
      <c r="BN1826" s="24"/>
      <c r="BO1826" s="41"/>
      <c r="BP1826" s="41"/>
      <c r="BQ1826" s="41" t="s">
        <v>7003</v>
      </c>
      <c r="BR1826" s="24">
        <v>44603</v>
      </c>
      <c r="BS1826" s="41" t="s">
        <v>38</v>
      </c>
      <c r="BT1826" s="41" t="s">
        <v>11</v>
      </c>
      <c r="BU1826" s="41"/>
      <c r="BV1826" s="132" t="e">
        <f>IF(#REF!="COMPLETO","OK","PENDIENTE")</f>
        <v>#REF!</v>
      </c>
      <c r="BW1826" s="132"/>
      <c r="BX1826" s="132"/>
      <c r="BY1826" s="132"/>
      <c r="BZ1826" s="132"/>
      <c r="CA1826" s="132"/>
      <c r="CB1826" s="132"/>
      <c r="CC1826" s="362"/>
      <c r="CG1826" s="132" t="s">
        <v>105</v>
      </c>
      <c r="CH1826" s="132"/>
      <c r="CI1826" s="24"/>
      <c r="CJ1826" s="24"/>
    </row>
    <row r="1827" spans="1:88" ht="15" customHeight="1">
      <c r="A1827" s="18">
        <v>2021</v>
      </c>
      <c r="B1827" s="18" t="e">
        <f>+INDEX(BDD!F:F,MATCH(P1827,BDD!D:D,0))&amp;"-"&amp;INDEX(BDD!E:E,MATCH(P1827,BDD!D:D,0))</f>
        <v>#N/A</v>
      </c>
      <c r="C1827" s="125" t="s">
        <v>484</v>
      </c>
      <c r="D1827" s="150" t="s">
        <v>77</v>
      </c>
      <c r="E1827" s="132" t="s">
        <v>51</v>
      </c>
      <c r="F1827" s="132"/>
      <c r="G1827" s="429">
        <v>8000002032</v>
      </c>
      <c r="H1827" s="18" t="s">
        <v>7004</v>
      </c>
      <c r="I1827" s="330" t="s">
        <v>7005</v>
      </c>
      <c r="J1827" s="429">
        <v>8000002032</v>
      </c>
      <c r="K1827" s="24">
        <v>44711</v>
      </c>
      <c r="L1827" s="24">
        <v>44704</v>
      </c>
      <c r="M1827" s="24">
        <v>44706</v>
      </c>
      <c r="N1827" s="340" t="s">
        <v>3</v>
      </c>
      <c r="O1827" s="334">
        <v>204925</v>
      </c>
      <c r="P1827" s="25" t="s">
        <v>8082</v>
      </c>
      <c r="Q1827" s="127" t="s">
        <v>7006</v>
      </c>
      <c r="R1827" s="232" t="s">
        <v>944</v>
      </c>
      <c r="S1827" s="89">
        <v>44537</v>
      </c>
      <c r="T1827" s="36" t="s">
        <v>7007</v>
      </c>
      <c r="U1827" s="125"/>
      <c r="V1827" s="147" t="s">
        <v>7008</v>
      </c>
      <c r="W1827" s="88">
        <v>44636</v>
      </c>
      <c r="X1827" s="88"/>
      <c r="Y1827" s="130" t="s">
        <v>3</v>
      </c>
      <c r="Z1827" s="133" t="s">
        <v>60</v>
      </c>
      <c r="AA1827" s="133" t="s">
        <v>1622</v>
      </c>
      <c r="AB1827" s="241">
        <v>300</v>
      </c>
      <c r="AC1827" s="134">
        <v>1384</v>
      </c>
      <c r="AD1827" s="134">
        <v>480</v>
      </c>
      <c r="AE1827" s="403">
        <f t="shared" si="118"/>
        <v>415200</v>
      </c>
      <c r="AF1827" s="132">
        <v>12</v>
      </c>
      <c r="AG1827" s="130" t="s">
        <v>5</v>
      </c>
      <c r="AH1827" s="130" t="s">
        <v>6388</v>
      </c>
      <c r="AI1827" s="130" t="s">
        <v>7009</v>
      </c>
      <c r="AJ1827" s="130" t="s">
        <v>944</v>
      </c>
      <c r="AK1827" s="130" t="s">
        <v>5400</v>
      </c>
      <c r="AL1827" s="135" t="s">
        <v>6678</v>
      </c>
      <c r="AM1827" s="314">
        <v>2022</v>
      </c>
      <c r="AN1827" s="26">
        <v>44581</v>
      </c>
      <c r="AO1827" s="385">
        <v>44648</v>
      </c>
      <c r="AP1827" s="26">
        <f>AQ1827</f>
        <v>44701</v>
      </c>
      <c r="AQ1827" s="359">
        <v>44701</v>
      </c>
      <c r="AR1827" s="24">
        <f>AQ1827+4</f>
        <v>44705</v>
      </c>
      <c r="AS1827" s="24">
        <v>44704</v>
      </c>
      <c r="AT1827" s="24">
        <v>44705</v>
      </c>
      <c r="AU1827" s="418">
        <f t="shared" si="119"/>
        <v>5</v>
      </c>
      <c r="AV1827" s="418">
        <f t="shared" si="120"/>
        <v>2022</v>
      </c>
      <c r="AW1827" s="24" t="s">
        <v>7888</v>
      </c>
      <c r="AX1827" s="135" t="s">
        <v>7012</v>
      </c>
      <c r="AY1827" s="135" t="s">
        <v>7011</v>
      </c>
      <c r="AZ1827" s="24" t="s">
        <v>37</v>
      </c>
      <c r="BA1827" s="41">
        <f>AQ1827-AO1827</f>
        <v>53</v>
      </c>
      <c r="BB1827" s="24" t="s">
        <v>3291</v>
      </c>
      <c r="BC1827" s="128" t="s">
        <v>7010</v>
      </c>
      <c r="BD1827" s="24">
        <v>44648</v>
      </c>
      <c r="BE1827" s="24" t="s">
        <v>7013</v>
      </c>
      <c r="BF1827" s="24" t="s">
        <v>5802</v>
      </c>
      <c r="BG1827" s="135" t="s">
        <v>64</v>
      </c>
      <c r="BH1827" s="132" t="s">
        <v>6414</v>
      </c>
      <c r="BI1827" s="314" t="s">
        <v>124</v>
      </c>
      <c r="BJ1827" s="314" t="s">
        <v>148</v>
      </c>
      <c r="BK1827" s="24"/>
      <c r="BL1827" s="24"/>
      <c r="BM1827" s="24"/>
      <c r="BN1827" s="24">
        <v>44700</v>
      </c>
      <c r="BO1827" s="24">
        <f>AQ1827+4</f>
        <v>44705</v>
      </c>
      <c r="BP1827" s="24"/>
      <c r="BQ1827" s="24" t="s">
        <v>7994</v>
      </c>
      <c r="BR1827" s="24">
        <v>44699</v>
      </c>
      <c r="BS1827" s="24" t="s">
        <v>26</v>
      </c>
      <c r="BT1827" s="24" t="s">
        <v>11</v>
      </c>
      <c r="BU1827" s="24"/>
      <c r="BV1827" s="132" t="s">
        <v>6087</v>
      </c>
      <c r="BW1827" s="132" t="s">
        <v>1622</v>
      </c>
      <c r="BX1827" s="132" t="s">
        <v>1622</v>
      </c>
      <c r="BY1827" s="132" t="s">
        <v>1622</v>
      </c>
      <c r="BZ1827" s="132" t="s">
        <v>1622</v>
      </c>
      <c r="CA1827" s="132" t="s">
        <v>1622</v>
      </c>
      <c r="CB1827" s="132" t="s">
        <v>1622</v>
      </c>
      <c r="CC1827" s="132" t="s">
        <v>7920</v>
      </c>
      <c r="CD1827" s="67"/>
      <c r="CE1827" s="67" t="s">
        <v>8103</v>
      </c>
      <c r="CG1827" s="132"/>
      <c r="CH1827" s="132"/>
      <c r="CI1827" s="24"/>
      <c r="CJ1827" s="24"/>
    </row>
    <row r="1828" spans="1:88" ht="15" customHeight="1">
      <c r="A1828" s="18">
        <v>2021</v>
      </c>
      <c r="B1828" s="18" t="e">
        <f>+INDEX(BDD!F:F,MATCH(P1828,BDD!D:D,0))&amp;"-"&amp;INDEX(BDD!E:E,MATCH(P1828,BDD!D:D,0))</f>
        <v>#N/A</v>
      </c>
      <c r="C1828" s="360" t="s">
        <v>5398</v>
      </c>
      <c r="D1828" s="150" t="s">
        <v>18</v>
      </c>
      <c r="E1828" s="132" t="s">
        <v>51</v>
      </c>
      <c r="F1828" s="132"/>
      <c r="G1828" s="429">
        <v>8000002033</v>
      </c>
      <c r="H1828" s="18" t="s">
        <v>7014</v>
      </c>
      <c r="I1828" s="330" t="s">
        <v>7005</v>
      </c>
      <c r="J1828" s="429">
        <v>8000002033</v>
      </c>
      <c r="K1828" s="24">
        <v>44711</v>
      </c>
      <c r="L1828" s="24"/>
      <c r="M1828" s="24"/>
      <c r="N1828" s="340" t="s">
        <v>3</v>
      </c>
      <c r="O1828" s="334">
        <v>204925</v>
      </c>
      <c r="P1828" s="25" t="s">
        <v>8082</v>
      </c>
      <c r="Q1828" s="127" t="s">
        <v>7006</v>
      </c>
      <c r="R1828" s="232" t="s">
        <v>944</v>
      </c>
      <c r="S1828" s="89">
        <v>44537</v>
      </c>
      <c r="T1828" s="36" t="s">
        <v>7007</v>
      </c>
      <c r="U1828" s="125"/>
      <c r="V1828" s="147" t="s">
        <v>7015</v>
      </c>
      <c r="W1828" s="88">
        <v>44661</v>
      </c>
      <c r="X1828" s="88"/>
      <c r="Y1828" s="130" t="s">
        <v>3</v>
      </c>
      <c r="Z1828" s="133" t="s">
        <v>60</v>
      </c>
      <c r="AA1828" s="133" t="s">
        <v>1622</v>
      </c>
      <c r="AB1828" s="241">
        <v>150</v>
      </c>
      <c r="AC1828" s="134">
        <v>1384</v>
      </c>
      <c r="AD1828" s="134">
        <v>480</v>
      </c>
      <c r="AE1828" s="403">
        <f t="shared" si="118"/>
        <v>207600</v>
      </c>
      <c r="AF1828" s="132">
        <v>6</v>
      </c>
      <c r="AG1828" s="130" t="s">
        <v>5</v>
      </c>
      <c r="AH1828" s="130" t="s">
        <v>6388</v>
      </c>
      <c r="AI1828" s="130" t="s">
        <v>7009</v>
      </c>
      <c r="AJ1828" s="130" t="s">
        <v>944</v>
      </c>
      <c r="AK1828" s="130" t="s">
        <v>5400</v>
      </c>
      <c r="AL1828" s="135" t="s">
        <v>6678</v>
      </c>
      <c r="AM1828" s="314">
        <v>2022</v>
      </c>
      <c r="AN1828" s="26">
        <v>44581</v>
      </c>
      <c r="AO1828" s="385">
        <v>44669</v>
      </c>
      <c r="AP1828" s="26">
        <f>AN1828+52</f>
        <v>44633</v>
      </c>
      <c r="AQ1828" s="385">
        <v>44729</v>
      </c>
      <c r="AR1828" s="24">
        <f>AQ1828+4</f>
        <v>44733</v>
      </c>
      <c r="AS1828" s="41"/>
      <c r="AT1828" s="24">
        <v>44733</v>
      </c>
      <c r="AU1828" s="418">
        <f t="shared" si="119"/>
        <v>6</v>
      </c>
      <c r="AV1828" s="418">
        <f t="shared" si="120"/>
        <v>2022</v>
      </c>
      <c r="AW1828" s="24" t="s">
        <v>7888</v>
      </c>
      <c r="AX1828" s="135" t="s">
        <v>7012</v>
      </c>
      <c r="AY1828" s="135" t="s">
        <v>7011</v>
      </c>
      <c r="AZ1828" s="24" t="s">
        <v>37</v>
      </c>
      <c r="BA1828" s="41"/>
      <c r="BB1828" s="24" t="s">
        <v>3291</v>
      </c>
      <c r="BC1828" s="128" t="s">
        <v>7016</v>
      </c>
      <c r="BD1828" s="24">
        <v>44670</v>
      </c>
      <c r="BE1828" s="24" t="s">
        <v>7017</v>
      </c>
      <c r="BF1828" s="24" t="s">
        <v>6967</v>
      </c>
      <c r="BG1828" s="135" t="s">
        <v>64</v>
      </c>
      <c r="BH1828" s="132" t="s">
        <v>6414</v>
      </c>
      <c r="BI1828" s="314" t="s">
        <v>3</v>
      </c>
      <c r="BJ1828" s="314" t="s">
        <v>148</v>
      </c>
      <c r="BK1828" s="24"/>
      <c r="BL1828" s="24"/>
      <c r="BM1828" s="24"/>
      <c r="BN1828" s="24"/>
      <c r="BO1828" s="24">
        <f t="shared" ref="BO1828:BO1831" si="125">AQ1828+4</f>
        <v>44733</v>
      </c>
      <c r="BP1828" s="24"/>
      <c r="BQ1828" s="24"/>
      <c r="BR1828" s="24"/>
      <c r="BS1828" s="24"/>
      <c r="BT1828" s="24"/>
      <c r="BU1828" s="24"/>
      <c r="BV1828" s="132" t="e">
        <f>IF(#REF!="COMPLETO","OK","PENDIENTE")</f>
        <v>#REF!</v>
      </c>
      <c r="BW1828" s="132" t="s">
        <v>1622</v>
      </c>
      <c r="BX1828" s="132" t="s">
        <v>1622</v>
      </c>
      <c r="BY1828" s="132" t="s">
        <v>1622</v>
      </c>
      <c r="BZ1828" s="132" t="s">
        <v>1622</v>
      </c>
      <c r="CA1828" s="132" t="s">
        <v>1622</v>
      </c>
      <c r="CB1828" s="132" t="s">
        <v>1622</v>
      </c>
      <c r="CC1828" s="294" t="s">
        <v>7018</v>
      </c>
      <c r="CE1828" s="67" t="s">
        <v>8099</v>
      </c>
      <c r="CG1828" s="132"/>
      <c r="CH1828" s="132"/>
      <c r="CI1828" s="24"/>
      <c r="CJ1828" s="24"/>
    </row>
    <row r="1829" spans="1:88" ht="15" customHeight="1">
      <c r="A1829" s="18">
        <v>2021</v>
      </c>
      <c r="B1829" s="18" t="e">
        <f>+INDEX(BDD!F:F,MATCH(P1829,BDD!D:D,0))&amp;"-"&amp;INDEX(BDD!E:E,MATCH(P1829,BDD!D:D,0))</f>
        <v>#N/A</v>
      </c>
      <c r="C1829" s="360" t="s">
        <v>5398</v>
      </c>
      <c r="D1829" s="150" t="s">
        <v>18</v>
      </c>
      <c r="E1829" s="132" t="s">
        <v>51</v>
      </c>
      <c r="F1829" s="132"/>
      <c r="G1829" s="429">
        <v>8000002034</v>
      </c>
      <c r="H1829" s="18" t="s">
        <v>7019</v>
      </c>
      <c r="I1829" s="330" t="s">
        <v>7005</v>
      </c>
      <c r="J1829" s="429">
        <v>8000002034</v>
      </c>
      <c r="K1829" s="24">
        <v>44711</v>
      </c>
      <c r="L1829" s="24"/>
      <c r="M1829" s="24"/>
      <c r="N1829" s="340" t="s">
        <v>3</v>
      </c>
      <c r="O1829" s="334">
        <v>202925</v>
      </c>
      <c r="P1829" s="25" t="s">
        <v>8082</v>
      </c>
      <c r="Q1829" s="127" t="s">
        <v>7006</v>
      </c>
      <c r="R1829" s="232" t="s">
        <v>944</v>
      </c>
      <c r="S1829" s="89">
        <v>44537</v>
      </c>
      <c r="T1829" s="36" t="s">
        <v>7007</v>
      </c>
      <c r="U1829" s="125"/>
      <c r="V1829" s="147" t="s">
        <v>8076</v>
      </c>
      <c r="W1829" s="88">
        <v>44661</v>
      </c>
      <c r="X1829" s="88"/>
      <c r="Y1829" s="130" t="s">
        <v>3</v>
      </c>
      <c r="Z1829" s="133" t="s">
        <v>60</v>
      </c>
      <c r="AA1829" s="133" t="s">
        <v>1622</v>
      </c>
      <c r="AB1829" s="241">
        <v>175</v>
      </c>
      <c r="AC1829" s="134">
        <v>1384</v>
      </c>
      <c r="AD1829" s="134">
        <v>480</v>
      </c>
      <c r="AE1829" s="403">
        <f t="shared" si="118"/>
        <v>242200</v>
      </c>
      <c r="AF1829" s="132">
        <v>7</v>
      </c>
      <c r="AG1829" s="130" t="s">
        <v>5</v>
      </c>
      <c r="AH1829" s="130" t="s">
        <v>6388</v>
      </c>
      <c r="AI1829" s="130" t="s">
        <v>7009</v>
      </c>
      <c r="AJ1829" s="130" t="s">
        <v>944</v>
      </c>
      <c r="AK1829" s="130" t="s">
        <v>5400</v>
      </c>
      <c r="AL1829" s="135" t="s">
        <v>6678</v>
      </c>
      <c r="AM1829" s="314">
        <v>2022</v>
      </c>
      <c r="AN1829" s="26">
        <v>44581</v>
      </c>
      <c r="AO1829" s="385">
        <v>44679</v>
      </c>
      <c r="AP1829" s="26">
        <f>AN1829+52</f>
        <v>44633</v>
      </c>
      <c r="AQ1829" s="26">
        <v>44749</v>
      </c>
      <c r="AR1829" s="24">
        <f>AQ1829+4</f>
        <v>44753</v>
      </c>
      <c r="AS1829" s="41"/>
      <c r="AT1829" s="24">
        <v>44754</v>
      </c>
      <c r="AU1829" s="418">
        <f t="shared" si="119"/>
        <v>7</v>
      </c>
      <c r="AV1829" s="418">
        <f t="shared" si="120"/>
        <v>2022</v>
      </c>
      <c r="AW1829" s="24" t="s">
        <v>7888</v>
      </c>
      <c r="AX1829" s="135" t="s">
        <v>7012</v>
      </c>
      <c r="AY1829" s="318" t="s">
        <v>7011</v>
      </c>
      <c r="AZ1829" s="24" t="s">
        <v>37</v>
      </c>
      <c r="BA1829" s="41"/>
      <c r="BB1829" s="24" t="s">
        <v>3291</v>
      </c>
      <c r="BC1829" s="128" t="s">
        <v>7020</v>
      </c>
      <c r="BD1829" s="24">
        <v>44680</v>
      </c>
      <c r="BE1829" s="24" t="s">
        <v>7021</v>
      </c>
      <c r="BF1829" s="24" t="s">
        <v>5438</v>
      </c>
      <c r="BG1829" s="135" t="s">
        <v>64</v>
      </c>
      <c r="BH1829" s="132" t="s">
        <v>6414</v>
      </c>
      <c r="BI1829" s="314" t="s">
        <v>3</v>
      </c>
      <c r="BJ1829" s="314" t="s">
        <v>148</v>
      </c>
      <c r="BK1829" s="24"/>
      <c r="BL1829" s="24"/>
      <c r="BM1829" s="382"/>
      <c r="BN1829" s="382"/>
      <c r="BO1829" s="24">
        <f t="shared" si="125"/>
        <v>44753</v>
      </c>
      <c r="BP1829" s="384"/>
      <c r="BQ1829" s="382"/>
      <c r="BR1829" s="382"/>
      <c r="BS1829" s="382"/>
      <c r="BT1829" s="382"/>
      <c r="BU1829" s="382"/>
      <c r="BV1829" s="132" t="e">
        <f>IF(#REF!="COMPLETO","OK","PENDIENTE")</f>
        <v>#REF!</v>
      </c>
      <c r="BW1829" s="132" t="s">
        <v>1622</v>
      </c>
      <c r="BX1829" s="132" t="s">
        <v>1622</v>
      </c>
      <c r="BY1829" s="132" t="s">
        <v>1622</v>
      </c>
      <c r="BZ1829" s="132" t="s">
        <v>1622</v>
      </c>
      <c r="CA1829" s="132" t="s">
        <v>1622</v>
      </c>
      <c r="CB1829" s="132" t="s">
        <v>1622</v>
      </c>
      <c r="CC1829" s="362"/>
      <c r="CE1829" s="67" t="s">
        <v>8101</v>
      </c>
      <c r="CG1829" s="132"/>
      <c r="CH1829" s="132"/>
      <c r="CI1829" s="382"/>
      <c r="CJ1829" s="24"/>
    </row>
    <row r="1830" spans="1:88" ht="15" customHeight="1">
      <c r="A1830" s="18">
        <v>2021</v>
      </c>
      <c r="B1830" s="18" t="e">
        <f>+INDEX(BDD!F:F,MATCH(P1830,BDD!D:D,0))&amp;"-"&amp;INDEX(BDD!E:E,MATCH(P1830,BDD!D:D,0))</f>
        <v>#N/A</v>
      </c>
      <c r="C1830" s="360" t="s">
        <v>5398</v>
      </c>
      <c r="D1830" s="150" t="s">
        <v>18</v>
      </c>
      <c r="E1830" s="132" t="s">
        <v>51</v>
      </c>
      <c r="F1830" s="132"/>
      <c r="G1830" s="429">
        <v>8000002035</v>
      </c>
      <c r="H1830" s="18" t="s">
        <v>7022</v>
      </c>
      <c r="I1830" s="330" t="s">
        <v>7005</v>
      </c>
      <c r="J1830" s="429">
        <v>8000002035</v>
      </c>
      <c r="K1830" s="24">
        <v>44711</v>
      </c>
      <c r="L1830" s="24"/>
      <c r="M1830" s="24"/>
      <c r="N1830" s="340" t="s">
        <v>3</v>
      </c>
      <c r="O1830" s="334">
        <v>204925</v>
      </c>
      <c r="P1830" s="25" t="s">
        <v>8082</v>
      </c>
      <c r="Q1830" s="127" t="s">
        <v>7006</v>
      </c>
      <c r="R1830" s="232" t="s">
        <v>944</v>
      </c>
      <c r="S1830" s="89">
        <v>44537</v>
      </c>
      <c r="T1830" s="36" t="s">
        <v>7007</v>
      </c>
      <c r="U1830" s="125"/>
      <c r="V1830" s="147"/>
      <c r="W1830" s="129"/>
      <c r="X1830" s="88"/>
      <c r="Y1830" s="130" t="s">
        <v>3</v>
      </c>
      <c r="Z1830" s="133" t="s">
        <v>60</v>
      </c>
      <c r="AA1830" s="133" t="s">
        <v>1622</v>
      </c>
      <c r="AB1830" s="241">
        <v>175</v>
      </c>
      <c r="AC1830" s="134">
        <v>1384</v>
      </c>
      <c r="AD1830" s="134"/>
      <c r="AE1830" s="403">
        <f t="shared" si="118"/>
        <v>242200</v>
      </c>
      <c r="AF1830" s="132">
        <v>7</v>
      </c>
      <c r="AG1830" s="130" t="s">
        <v>5</v>
      </c>
      <c r="AH1830" s="130" t="s">
        <v>6388</v>
      </c>
      <c r="AI1830" s="130" t="s">
        <v>7009</v>
      </c>
      <c r="AJ1830" s="130" t="s">
        <v>944</v>
      </c>
      <c r="AK1830" s="130" t="s">
        <v>5400</v>
      </c>
      <c r="AL1830" s="135" t="s">
        <v>6678</v>
      </c>
      <c r="AM1830" s="314">
        <v>2022</v>
      </c>
      <c r="AN1830" s="26">
        <v>44581</v>
      </c>
      <c r="AO1830" s="385">
        <v>44693</v>
      </c>
      <c r="AP1830" s="26">
        <f>AN1830+52</f>
        <v>44633</v>
      </c>
      <c r="AQ1830" s="26">
        <v>44749</v>
      </c>
      <c r="AR1830" s="24">
        <f t="shared" ref="AR1830" si="126">AQ1830+4</f>
        <v>44753</v>
      </c>
      <c r="AS1830" s="41"/>
      <c r="AT1830" s="24">
        <v>44754</v>
      </c>
      <c r="AU1830" s="418">
        <f t="shared" si="119"/>
        <v>7</v>
      </c>
      <c r="AV1830" s="418">
        <f t="shared" si="120"/>
        <v>2022</v>
      </c>
      <c r="AW1830" s="24" t="s">
        <v>7888</v>
      </c>
      <c r="AX1830" s="135" t="s">
        <v>7012</v>
      </c>
      <c r="AY1830" s="318" t="s">
        <v>7011</v>
      </c>
      <c r="AZ1830" s="24" t="s">
        <v>37</v>
      </c>
      <c r="BA1830" s="41"/>
      <c r="BB1830" s="24" t="s">
        <v>3291</v>
      </c>
      <c r="BC1830" s="128" t="s">
        <v>7940</v>
      </c>
      <c r="BD1830" s="24">
        <v>44693</v>
      </c>
      <c r="BE1830" s="24" t="s">
        <v>7013</v>
      </c>
      <c r="BF1830" s="24" t="s">
        <v>5438</v>
      </c>
      <c r="BG1830" s="135" t="s">
        <v>64</v>
      </c>
      <c r="BH1830" s="135" t="s">
        <v>6414</v>
      </c>
      <c r="BI1830" s="314" t="s">
        <v>3</v>
      </c>
      <c r="BJ1830" s="314" t="s">
        <v>148</v>
      </c>
      <c r="BK1830" s="24"/>
      <c r="BL1830" s="382"/>
      <c r="BM1830" s="382"/>
      <c r="BN1830" s="382"/>
      <c r="BO1830" s="24">
        <f t="shared" si="125"/>
        <v>44753</v>
      </c>
      <c r="BP1830" s="382"/>
      <c r="BQ1830" s="382"/>
      <c r="BR1830" s="382"/>
      <c r="BS1830" s="382"/>
      <c r="BT1830" s="382"/>
      <c r="BU1830" s="382"/>
      <c r="BV1830" s="132" t="e">
        <f>IF(#REF!="COMPLETO","OK","PENDIENTE")</f>
        <v>#REF!</v>
      </c>
      <c r="BW1830" s="132" t="s">
        <v>1622</v>
      </c>
      <c r="BX1830" s="132" t="s">
        <v>1622</v>
      </c>
      <c r="BY1830" s="132" t="s">
        <v>1622</v>
      </c>
      <c r="BZ1830" s="132" t="s">
        <v>1622</v>
      </c>
      <c r="CA1830" s="132" t="s">
        <v>1622</v>
      </c>
      <c r="CB1830" s="132" t="s">
        <v>1622</v>
      </c>
      <c r="CC1830" s="362"/>
      <c r="CE1830" s="67" t="s">
        <v>8100</v>
      </c>
      <c r="CG1830" s="132"/>
      <c r="CH1830" s="132"/>
      <c r="CI1830" s="382"/>
      <c r="CJ1830" s="24"/>
    </row>
    <row r="1831" spans="1:88" ht="15" customHeight="1">
      <c r="A1831" s="18">
        <v>2021</v>
      </c>
      <c r="B1831" s="18" t="e">
        <f>+INDEX(BDD!F:F,MATCH(P1831,BDD!D:D,0))&amp;"-"&amp;INDEX(BDD!E:E,MATCH(P1831,BDD!D:D,0))</f>
        <v>#N/A</v>
      </c>
      <c r="C1831" s="360" t="s">
        <v>5398</v>
      </c>
      <c r="D1831" s="150" t="s">
        <v>18</v>
      </c>
      <c r="E1831" s="132" t="s">
        <v>51</v>
      </c>
      <c r="F1831" s="132"/>
      <c r="G1831" s="429">
        <v>8000002036</v>
      </c>
      <c r="H1831" s="18" t="s">
        <v>7023</v>
      </c>
      <c r="I1831" s="330" t="s">
        <v>7005</v>
      </c>
      <c r="J1831" s="429">
        <v>8000002036</v>
      </c>
      <c r="K1831" s="24">
        <v>44711</v>
      </c>
      <c r="L1831" s="24"/>
      <c r="M1831" s="24"/>
      <c r="N1831" s="340" t="s">
        <v>3</v>
      </c>
      <c r="O1831" s="334">
        <v>204925</v>
      </c>
      <c r="P1831" s="25" t="s">
        <v>8082</v>
      </c>
      <c r="Q1831" s="127" t="s">
        <v>7006</v>
      </c>
      <c r="R1831" s="232" t="s">
        <v>944</v>
      </c>
      <c r="S1831" s="89">
        <v>44537</v>
      </c>
      <c r="T1831" s="36" t="s">
        <v>7007</v>
      </c>
      <c r="U1831" s="125"/>
      <c r="V1831" s="147"/>
      <c r="W1831" s="129"/>
      <c r="X1831" s="88"/>
      <c r="Y1831" s="130" t="s">
        <v>3</v>
      </c>
      <c r="Z1831" s="133" t="s">
        <v>60</v>
      </c>
      <c r="AA1831" s="133" t="s">
        <v>1622</v>
      </c>
      <c r="AB1831" s="241">
        <v>400</v>
      </c>
      <c r="AC1831" s="134">
        <v>1384</v>
      </c>
      <c r="AD1831" s="134"/>
      <c r="AE1831" s="403">
        <f t="shared" si="118"/>
        <v>553600</v>
      </c>
      <c r="AF1831" s="132">
        <v>16</v>
      </c>
      <c r="AG1831" s="130" t="s">
        <v>5</v>
      </c>
      <c r="AH1831" s="130" t="s">
        <v>6388</v>
      </c>
      <c r="AI1831" s="130" t="s">
        <v>7009</v>
      </c>
      <c r="AJ1831" s="130" t="s">
        <v>944</v>
      </c>
      <c r="AK1831" s="130" t="s">
        <v>5400</v>
      </c>
      <c r="AL1831" s="135" t="s">
        <v>6678</v>
      </c>
      <c r="AM1831" s="314">
        <v>2022</v>
      </c>
      <c r="AN1831" s="26">
        <v>44581</v>
      </c>
      <c r="AO1831" s="385">
        <v>44707</v>
      </c>
      <c r="AP1831" s="26">
        <f>AN1831+52</f>
        <v>44633</v>
      </c>
      <c r="AQ1831" s="385">
        <v>44757</v>
      </c>
      <c r="AR1831" s="24">
        <f t="shared" ref="AR1831" si="127">AQ1831+4</f>
        <v>44761</v>
      </c>
      <c r="AS1831" s="41"/>
      <c r="AT1831" s="24">
        <v>44761</v>
      </c>
      <c r="AU1831" s="418">
        <f t="shared" si="119"/>
        <v>7</v>
      </c>
      <c r="AV1831" s="418">
        <f t="shared" si="120"/>
        <v>2022</v>
      </c>
      <c r="AW1831" s="24" t="s">
        <v>7888</v>
      </c>
      <c r="AX1831" s="135" t="s">
        <v>7012</v>
      </c>
      <c r="AY1831" s="318" t="s">
        <v>7011</v>
      </c>
      <c r="AZ1831" s="24" t="s">
        <v>37</v>
      </c>
      <c r="BA1831" s="41"/>
      <c r="BB1831" s="24" t="s">
        <v>3291</v>
      </c>
      <c r="BC1831" s="128" t="s">
        <v>7973</v>
      </c>
      <c r="BD1831" s="24"/>
      <c r="BE1831" s="24" t="s">
        <v>8032</v>
      </c>
      <c r="BF1831" s="24" t="s">
        <v>6095</v>
      </c>
      <c r="BG1831" s="135" t="s">
        <v>64</v>
      </c>
      <c r="BH1831" s="135" t="s">
        <v>6414</v>
      </c>
      <c r="BI1831" s="314" t="s">
        <v>3</v>
      </c>
      <c r="BJ1831" s="314" t="s">
        <v>148</v>
      </c>
      <c r="BK1831" s="24"/>
      <c r="BL1831" s="382"/>
      <c r="BM1831" s="382"/>
      <c r="BN1831" s="382"/>
      <c r="BO1831" s="24">
        <f t="shared" si="125"/>
        <v>44761</v>
      </c>
      <c r="BP1831" s="382"/>
      <c r="BQ1831" s="382"/>
      <c r="BR1831" s="382"/>
      <c r="BS1831" s="382"/>
      <c r="BT1831" s="382"/>
      <c r="BU1831" s="382"/>
      <c r="BV1831" s="132" t="e">
        <f>IF(#REF!="COMPLETO","OK","PENDIENTE")</f>
        <v>#REF!</v>
      </c>
      <c r="BW1831" s="132" t="s">
        <v>1622</v>
      </c>
      <c r="BX1831" s="132" t="s">
        <v>1622</v>
      </c>
      <c r="BY1831" s="132" t="s">
        <v>1622</v>
      </c>
      <c r="BZ1831" s="132" t="s">
        <v>1622</v>
      </c>
      <c r="CA1831" s="132" t="s">
        <v>1622</v>
      </c>
      <c r="CB1831" s="132" t="s">
        <v>1622</v>
      </c>
      <c r="CC1831" s="362"/>
      <c r="CG1831" s="132"/>
      <c r="CH1831" s="132"/>
      <c r="CI1831" s="382"/>
      <c r="CJ1831" s="24"/>
    </row>
    <row r="1832" spans="1:88" ht="15" customHeight="1">
      <c r="A1832" s="18">
        <v>2021</v>
      </c>
      <c r="B1832" s="18" t="str">
        <f>+INDEX(BDD!F:F,MATCH(P1832,BDD!D:D,0))&amp;"-"&amp;INDEX(BDD!E:E,MATCH(P1832,BDD!D:D,0))</f>
        <v>S-C</v>
      </c>
      <c r="C1832" s="360" t="s">
        <v>484</v>
      </c>
      <c r="D1832" s="150" t="s">
        <v>77</v>
      </c>
      <c r="E1832" s="132"/>
      <c r="F1832" s="132"/>
      <c r="G1832" s="346">
        <v>8000001769</v>
      </c>
      <c r="H1832" s="18" t="s">
        <v>7024</v>
      </c>
      <c r="I1832" s="329"/>
      <c r="J1832" s="346">
        <v>8000001769</v>
      </c>
      <c r="K1832" s="24"/>
      <c r="L1832" s="24">
        <v>44643</v>
      </c>
      <c r="M1832" s="24">
        <v>44649</v>
      </c>
      <c r="N1832" s="340" t="s">
        <v>486</v>
      </c>
      <c r="O1832" s="334">
        <v>207580</v>
      </c>
      <c r="P1832" s="25" t="s">
        <v>241</v>
      </c>
      <c r="Q1832" s="127" t="s">
        <v>7025</v>
      </c>
      <c r="R1832" s="232" t="s">
        <v>944</v>
      </c>
      <c r="S1832" s="89">
        <v>44537</v>
      </c>
      <c r="T1832" s="36" t="s">
        <v>7007</v>
      </c>
      <c r="U1832" s="125"/>
      <c r="V1832" s="147" t="s">
        <v>7026</v>
      </c>
      <c r="W1832" s="129"/>
      <c r="X1832" s="88"/>
      <c r="Y1832" s="130" t="s">
        <v>20</v>
      </c>
      <c r="Z1832" s="133" t="s">
        <v>60</v>
      </c>
      <c r="AA1832" s="133"/>
      <c r="AB1832" s="241">
        <v>540</v>
      </c>
      <c r="AC1832" s="134">
        <v>1625</v>
      </c>
      <c r="AD1832" s="134"/>
      <c r="AE1832" s="403">
        <f t="shared" si="118"/>
        <v>877500</v>
      </c>
      <c r="AF1832" s="132">
        <v>20</v>
      </c>
      <c r="AG1832" s="130" t="s">
        <v>5</v>
      </c>
      <c r="AH1832" s="130" t="s">
        <v>7027</v>
      </c>
      <c r="AI1832" s="130" t="s">
        <v>34</v>
      </c>
      <c r="AJ1832" s="130"/>
      <c r="AK1832" s="130" t="s">
        <v>5400</v>
      </c>
      <c r="AL1832" s="135" t="s">
        <v>6678</v>
      </c>
      <c r="AM1832" s="314"/>
      <c r="AN1832" s="26">
        <f>BL1832</f>
        <v>0</v>
      </c>
      <c r="AO1832" s="26">
        <v>44588</v>
      </c>
      <c r="AP1832" s="26" t="e">
        <f>#REF!+45</f>
        <v>#REF!</v>
      </c>
      <c r="AQ1832" s="26">
        <v>44637</v>
      </c>
      <c r="AR1832" s="24">
        <v>44650</v>
      </c>
      <c r="AS1832" s="382"/>
      <c r="AT1832" s="24">
        <v>44644</v>
      </c>
      <c r="AU1832" s="418">
        <f t="shared" si="119"/>
        <v>3</v>
      </c>
      <c r="AV1832" s="418">
        <f t="shared" si="120"/>
        <v>2022</v>
      </c>
      <c r="AW1832" s="24"/>
      <c r="AX1832" s="135" t="s">
        <v>5402</v>
      </c>
      <c r="AY1832" s="135" t="s">
        <v>7029</v>
      </c>
      <c r="AZ1832" s="24" t="s">
        <v>37</v>
      </c>
      <c r="BA1832" s="24"/>
      <c r="BB1832" s="24" t="s">
        <v>3291</v>
      </c>
      <c r="BC1832" s="128" t="s">
        <v>7028</v>
      </c>
      <c r="BD1832" s="24">
        <v>44606</v>
      </c>
      <c r="BE1832" s="24" t="s">
        <v>7030</v>
      </c>
      <c r="BF1832" s="24" t="s">
        <v>7031</v>
      </c>
      <c r="BG1832" s="135" t="s">
        <v>29</v>
      </c>
      <c r="BH1832" s="135"/>
      <c r="BI1832" s="314" t="s">
        <v>3</v>
      </c>
      <c r="BJ1832" s="314" t="s">
        <v>143</v>
      </c>
      <c r="BK1832" s="24"/>
      <c r="BL1832" s="24"/>
      <c r="BM1832" s="24"/>
      <c r="BN1832" s="24"/>
      <c r="BO1832" s="24">
        <f>AQ1832+13</f>
        <v>44650</v>
      </c>
      <c r="BP1832" s="24"/>
      <c r="BQ1832" s="24" t="s">
        <v>7032</v>
      </c>
      <c r="BR1832" s="24">
        <v>44636</v>
      </c>
      <c r="BS1832" s="24" t="s">
        <v>26</v>
      </c>
      <c r="BT1832" s="24" t="s">
        <v>11</v>
      </c>
      <c r="BU1832" s="24"/>
      <c r="BV1832" s="132" t="s">
        <v>6087</v>
      </c>
      <c r="BW1832" s="132"/>
      <c r="BX1832" s="132"/>
      <c r="BY1832" s="132"/>
      <c r="BZ1832" s="132"/>
      <c r="CA1832" s="132"/>
      <c r="CB1832" s="132"/>
      <c r="CC1832" s="370" t="s">
        <v>7033</v>
      </c>
      <c r="CG1832" s="132" t="s">
        <v>105</v>
      </c>
      <c r="CH1832" s="132"/>
      <c r="CI1832" s="24"/>
      <c r="CJ1832" s="24"/>
    </row>
    <row r="1833" spans="1:88" ht="15" customHeight="1">
      <c r="A1833" s="18">
        <v>2021</v>
      </c>
      <c r="B1833" s="18" t="str">
        <f>+INDEX(BDD!F:F,MATCH(P1833,BDD!D:D,0))&amp;"-"&amp;INDEX(BDD!E:E,MATCH(P1833,BDD!D:D,0))</f>
        <v>S-C</v>
      </c>
      <c r="C1833" s="360" t="s">
        <v>484</v>
      </c>
      <c r="D1833" s="150" t="s">
        <v>77</v>
      </c>
      <c r="E1833" s="132"/>
      <c r="F1833" s="132"/>
      <c r="G1833" s="346">
        <v>8000001889</v>
      </c>
      <c r="H1833" s="18" t="s">
        <v>7034</v>
      </c>
      <c r="I1833" s="329" t="s">
        <v>7035</v>
      </c>
      <c r="J1833" s="346">
        <v>8000001889</v>
      </c>
      <c r="K1833" s="24"/>
      <c r="L1833" s="24">
        <v>44662</v>
      </c>
      <c r="M1833" s="24">
        <v>44670</v>
      </c>
      <c r="N1833" s="340" t="s">
        <v>486</v>
      </c>
      <c r="O1833" s="334">
        <v>207580</v>
      </c>
      <c r="P1833" s="25" t="s">
        <v>241</v>
      </c>
      <c r="Q1833" s="127" t="s">
        <v>7025</v>
      </c>
      <c r="R1833" s="232" t="s">
        <v>944</v>
      </c>
      <c r="S1833" s="89">
        <v>44537</v>
      </c>
      <c r="T1833" s="36" t="s">
        <v>7007</v>
      </c>
      <c r="U1833" s="125"/>
      <c r="V1833" s="147" t="s">
        <v>7036</v>
      </c>
      <c r="W1833" s="129"/>
      <c r="X1833" s="88"/>
      <c r="Y1833" s="130" t="s">
        <v>20</v>
      </c>
      <c r="Z1833" s="133" t="s">
        <v>60</v>
      </c>
      <c r="AA1833" s="133"/>
      <c r="AB1833" s="241">
        <v>540</v>
      </c>
      <c r="AC1833" s="134">
        <v>1625</v>
      </c>
      <c r="AD1833" s="134"/>
      <c r="AE1833" s="403">
        <f t="shared" si="118"/>
        <v>877500</v>
      </c>
      <c r="AF1833" s="132">
        <v>20</v>
      </c>
      <c r="AG1833" s="130" t="s">
        <v>5</v>
      </c>
      <c r="AH1833" s="130" t="s">
        <v>7027</v>
      </c>
      <c r="AI1833" s="130" t="s">
        <v>34</v>
      </c>
      <c r="AJ1833" s="130" t="s">
        <v>944</v>
      </c>
      <c r="AK1833" s="130" t="s">
        <v>5400</v>
      </c>
      <c r="AL1833" s="135" t="s">
        <v>6678</v>
      </c>
      <c r="AM1833" s="314"/>
      <c r="AN1833" s="26">
        <f>BL1833</f>
        <v>0</v>
      </c>
      <c r="AO1833" s="26">
        <v>44609</v>
      </c>
      <c r="AP1833" s="26" t="e">
        <f>#REF!+45</f>
        <v>#REF!</v>
      </c>
      <c r="AQ1833" s="26">
        <v>44651</v>
      </c>
      <c r="AR1833" s="24">
        <v>44684</v>
      </c>
      <c r="AS1833" s="382"/>
      <c r="AT1833" s="24">
        <v>44659</v>
      </c>
      <c r="AU1833" s="418">
        <f t="shared" si="119"/>
        <v>4</v>
      </c>
      <c r="AV1833" s="418">
        <f t="shared" si="120"/>
        <v>2022</v>
      </c>
      <c r="AW1833" s="24"/>
      <c r="AX1833" s="135" t="s">
        <v>5402</v>
      </c>
      <c r="AY1833" s="135" t="s">
        <v>7038</v>
      </c>
      <c r="AZ1833" s="24" t="s">
        <v>37</v>
      </c>
      <c r="BA1833" s="24" t="s">
        <v>6121</v>
      </c>
      <c r="BB1833" s="24" t="s">
        <v>3291</v>
      </c>
      <c r="BC1833" s="128" t="s">
        <v>7037</v>
      </c>
      <c r="BD1833" s="24">
        <v>44609</v>
      </c>
      <c r="BE1833" s="24" t="s">
        <v>7030</v>
      </c>
      <c r="BF1833" s="24" t="s">
        <v>7039</v>
      </c>
      <c r="BG1833" s="135" t="s">
        <v>29</v>
      </c>
      <c r="BH1833" s="135" t="s">
        <v>6219</v>
      </c>
      <c r="BI1833" s="314" t="s">
        <v>3</v>
      </c>
      <c r="BJ1833" s="314" t="s">
        <v>143</v>
      </c>
      <c r="BK1833" s="24"/>
      <c r="BL1833" s="24"/>
      <c r="BM1833" s="24"/>
      <c r="BN1833" s="24"/>
      <c r="BO1833" s="24">
        <f>AQ1833+13</f>
        <v>44664</v>
      </c>
      <c r="BP1833" s="24"/>
      <c r="BQ1833" s="24" t="s">
        <v>7040</v>
      </c>
      <c r="BR1833" s="24">
        <v>44649</v>
      </c>
      <c r="BS1833" s="24" t="s">
        <v>26</v>
      </c>
      <c r="BT1833" s="24" t="s">
        <v>11</v>
      </c>
      <c r="BU1833" s="24"/>
      <c r="BV1833" s="132" t="s">
        <v>6087</v>
      </c>
      <c r="BW1833" s="132"/>
      <c r="BX1833" s="132"/>
      <c r="BY1833" s="132"/>
      <c r="BZ1833" s="132"/>
      <c r="CA1833" s="132"/>
      <c r="CB1833" s="132"/>
      <c r="CC1833" s="371" t="s">
        <v>7041</v>
      </c>
      <c r="CG1833" s="132" t="s">
        <v>105</v>
      </c>
      <c r="CH1833" s="132"/>
      <c r="CI1833" s="24"/>
      <c r="CJ1833" s="24"/>
    </row>
    <row r="1834" spans="1:88" ht="15" customHeight="1">
      <c r="A1834" s="18">
        <v>2021</v>
      </c>
      <c r="B1834" s="18" t="str">
        <f>+INDEX(BDD!F:F,MATCH(P1834,BDD!D:D,0))&amp;"-"&amp;INDEX(BDD!E:E,MATCH(P1834,BDD!D:D,0))</f>
        <v>S-C</v>
      </c>
      <c r="C1834" s="360" t="s">
        <v>484</v>
      </c>
      <c r="D1834" s="150" t="s">
        <v>77</v>
      </c>
      <c r="E1834" s="132"/>
      <c r="F1834" s="132"/>
      <c r="G1834" s="346">
        <v>8000001890</v>
      </c>
      <c r="H1834" s="18" t="s">
        <v>7042</v>
      </c>
      <c r="I1834" s="329" t="s">
        <v>7035</v>
      </c>
      <c r="J1834" s="346">
        <v>8000001890</v>
      </c>
      <c r="K1834" s="24"/>
      <c r="L1834" s="24">
        <v>44662</v>
      </c>
      <c r="M1834" s="24">
        <v>44671</v>
      </c>
      <c r="N1834" s="340" t="s">
        <v>486</v>
      </c>
      <c r="O1834" s="334">
        <v>207580</v>
      </c>
      <c r="P1834" s="25" t="s">
        <v>241</v>
      </c>
      <c r="Q1834" s="127" t="s">
        <v>7025</v>
      </c>
      <c r="R1834" s="232" t="s">
        <v>944</v>
      </c>
      <c r="S1834" s="89">
        <v>44537</v>
      </c>
      <c r="T1834" s="36" t="s">
        <v>7007</v>
      </c>
      <c r="U1834" s="125"/>
      <c r="V1834" s="147" t="s">
        <v>7043</v>
      </c>
      <c r="W1834" s="88">
        <v>44540</v>
      </c>
      <c r="X1834" s="88"/>
      <c r="Y1834" s="130" t="s">
        <v>3</v>
      </c>
      <c r="Z1834" s="133" t="s">
        <v>60</v>
      </c>
      <c r="AA1834" s="133"/>
      <c r="AB1834" s="241">
        <v>270</v>
      </c>
      <c r="AC1834" s="134">
        <v>1625</v>
      </c>
      <c r="AD1834" s="134"/>
      <c r="AE1834" s="403">
        <f t="shared" si="118"/>
        <v>438750</v>
      </c>
      <c r="AF1834" s="132">
        <v>10</v>
      </c>
      <c r="AG1834" s="130" t="s">
        <v>5</v>
      </c>
      <c r="AH1834" s="130" t="s">
        <v>7027</v>
      </c>
      <c r="AI1834" s="130" t="s">
        <v>34</v>
      </c>
      <c r="AJ1834" s="130" t="s">
        <v>944</v>
      </c>
      <c r="AK1834" s="130" t="s">
        <v>5400</v>
      </c>
      <c r="AL1834" s="135" t="s">
        <v>6678</v>
      </c>
      <c r="AM1834" s="314"/>
      <c r="AN1834" s="26">
        <v>44606</v>
      </c>
      <c r="AO1834" s="26">
        <v>44621</v>
      </c>
      <c r="AP1834" s="26">
        <v>44640</v>
      </c>
      <c r="AQ1834" s="26">
        <v>44662</v>
      </c>
      <c r="AR1834" s="24">
        <v>44676</v>
      </c>
      <c r="AS1834" s="382"/>
      <c r="AT1834" s="24">
        <v>44664</v>
      </c>
      <c r="AU1834" s="418">
        <f t="shared" si="119"/>
        <v>4</v>
      </c>
      <c r="AV1834" s="418">
        <f t="shared" si="120"/>
        <v>2022</v>
      </c>
      <c r="AW1834" s="24"/>
      <c r="AX1834" s="135" t="s">
        <v>5402</v>
      </c>
      <c r="AY1834" s="135" t="s">
        <v>7029</v>
      </c>
      <c r="AZ1834" s="24" t="s">
        <v>37</v>
      </c>
      <c r="BA1834" s="24" t="s">
        <v>6329</v>
      </c>
      <c r="BB1834" s="24" t="s">
        <v>3291</v>
      </c>
      <c r="BC1834" s="128">
        <v>913751184</v>
      </c>
      <c r="BD1834" s="24">
        <v>44621</v>
      </c>
      <c r="BE1834" s="24" t="s">
        <v>7044</v>
      </c>
      <c r="BF1834" s="24" t="s">
        <v>7045</v>
      </c>
      <c r="BG1834" s="135" t="s">
        <v>65</v>
      </c>
      <c r="BH1834" s="135" t="s">
        <v>7046</v>
      </c>
      <c r="BI1834" s="314" t="s">
        <v>3</v>
      </c>
      <c r="BJ1834" s="314" t="s">
        <v>143</v>
      </c>
      <c r="BK1834" s="24"/>
      <c r="BL1834" s="24"/>
      <c r="BM1834" s="24"/>
      <c r="BN1834" s="24"/>
      <c r="BO1834" s="24">
        <f>AQ1834+13</f>
        <v>44675</v>
      </c>
      <c r="BP1834" s="24"/>
      <c r="BQ1834" s="24" t="s">
        <v>7047</v>
      </c>
      <c r="BR1834" s="24">
        <v>44659</v>
      </c>
      <c r="BS1834" s="24" t="s">
        <v>38</v>
      </c>
      <c r="BT1834" s="24" t="s">
        <v>11</v>
      </c>
      <c r="BU1834" s="24"/>
      <c r="BV1834" s="132" t="e">
        <f>IF(#REF!="COMPLETO","OK","PENDIENTE")</f>
        <v>#REF!</v>
      </c>
      <c r="BW1834" s="132"/>
      <c r="BX1834" s="132"/>
      <c r="BY1834" s="132"/>
      <c r="BZ1834" s="132"/>
      <c r="CA1834" s="132"/>
      <c r="CB1834" s="132"/>
      <c r="CC1834" s="372" t="s">
        <v>7048</v>
      </c>
      <c r="CG1834" s="132" t="s">
        <v>105</v>
      </c>
      <c r="CH1834" s="132"/>
      <c r="CI1834" s="24"/>
      <c r="CJ1834" s="24"/>
    </row>
    <row r="1835" spans="1:88" ht="15" customHeight="1">
      <c r="A1835" s="18">
        <v>2021</v>
      </c>
      <c r="B1835" s="18" t="str">
        <f>+INDEX(BDD!F:F,MATCH(P1835,BDD!D:D,0))&amp;"-"&amp;INDEX(BDD!E:E,MATCH(P1835,BDD!D:D,0))</f>
        <v>S-C</v>
      </c>
      <c r="C1835" s="360" t="s">
        <v>484</v>
      </c>
      <c r="D1835" s="150" t="s">
        <v>77</v>
      </c>
      <c r="E1835" s="132"/>
      <c r="F1835" s="132"/>
      <c r="G1835" s="346">
        <v>8000001891</v>
      </c>
      <c r="H1835" s="18" t="s">
        <v>7049</v>
      </c>
      <c r="I1835" s="329" t="s">
        <v>7035</v>
      </c>
      <c r="J1835" s="346">
        <v>8000001891</v>
      </c>
      <c r="K1835" s="24"/>
      <c r="L1835" s="24">
        <v>44670</v>
      </c>
      <c r="M1835" s="24">
        <v>44676</v>
      </c>
      <c r="N1835" s="340" t="s">
        <v>486</v>
      </c>
      <c r="O1835" s="334">
        <v>207580</v>
      </c>
      <c r="P1835" s="25" t="s">
        <v>241</v>
      </c>
      <c r="Q1835" s="127" t="s">
        <v>7025</v>
      </c>
      <c r="R1835" s="232" t="s">
        <v>944</v>
      </c>
      <c r="S1835" s="89">
        <v>44537</v>
      </c>
      <c r="T1835" s="36" t="s">
        <v>7007</v>
      </c>
      <c r="U1835" s="125"/>
      <c r="V1835" s="147" t="s">
        <v>7050</v>
      </c>
      <c r="W1835" s="129"/>
      <c r="X1835" s="88"/>
      <c r="Y1835" s="130" t="s">
        <v>3</v>
      </c>
      <c r="Z1835" s="133" t="s">
        <v>60</v>
      </c>
      <c r="AA1835" s="133"/>
      <c r="AB1835" s="241">
        <v>162</v>
      </c>
      <c r="AC1835" s="134">
        <v>1625</v>
      </c>
      <c r="AD1835" s="134"/>
      <c r="AE1835" s="403">
        <f t="shared" si="118"/>
        <v>263250</v>
      </c>
      <c r="AF1835" s="132">
        <v>6</v>
      </c>
      <c r="AG1835" s="130" t="s">
        <v>5</v>
      </c>
      <c r="AH1835" s="130" t="s">
        <v>7027</v>
      </c>
      <c r="AI1835" s="130" t="s">
        <v>34</v>
      </c>
      <c r="AJ1835" s="130" t="s">
        <v>944</v>
      </c>
      <c r="AK1835" s="130" t="s">
        <v>5400</v>
      </c>
      <c r="AL1835" s="135" t="s">
        <v>6678</v>
      </c>
      <c r="AM1835" s="314"/>
      <c r="AN1835" s="26">
        <v>44606</v>
      </c>
      <c r="AO1835" s="26">
        <v>44634</v>
      </c>
      <c r="AP1835" s="26">
        <v>44640</v>
      </c>
      <c r="AQ1835" s="26">
        <v>44667</v>
      </c>
      <c r="AR1835" s="24">
        <v>44684</v>
      </c>
      <c r="AS1835" s="24">
        <v>44673</v>
      </c>
      <c r="AT1835" s="24">
        <v>44673</v>
      </c>
      <c r="AU1835" s="418">
        <f t="shared" si="119"/>
        <v>4</v>
      </c>
      <c r="AV1835" s="418">
        <f t="shared" si="120"/>
        <v>2022</v>
      </c>
      <c r="AW1835" s="24"/>
      <c r="AX1835" s="135" t="s">
        <v>5402</v>
      </c>
      <c r="AY1835" s="135" t="s">
        <v>7029</v>
      </c>
      <c r="AZ1835" s="24" t="s">
        <v>37</v>
      </c>
      <c r="BA1835" s="24" t="s">
        <v>6121</v>
      </c>
      <c r="BB1835" s="24" t="s">
        <v>3291</v>
      </c>
      <c r="BC1835" s="128" t="s">
        <v>7051</v>
      </c>
      <c r="BD1835" s="24">
        <v>44630</v>
      </c>
      <c r="BE1835" s="24" t="s">
        <v>7052</v>
      </c>
      <c r="BF1835" s="24" t="s">
        <v>2505</v>
      </c>
      <c r="BG1835" s="135" t="s">
        <v>29</v>
      </c>
      <c r="BH1835" s="135" t="s">
        <v>6219</v>
      </c>
      <c r="BI1835" s="314" t="s">
        <v>3</v>
      </c>
      <c r="BJ1835" s="314" t="s">
        <v>143</v>
      </c>
      <c r="BK1835" s="24"/>
      <c r="BL1835" s="24"/>
      <c r="BM1835" s="24"/>
      <c r="BN1835" s="24"/>
      <c r="BO1835" s="24">
        <f>AQ1835+13</f>
        <v>44680</v>
      </c>
      <c r="BP1835" s="24"/>
      <c r="BQ1835" s="24" t="s">
        <v>7053</v>
      </c>
      <c r="BR1835" s="24">
        <v>44663</v>
      </c>
      <c r="BS1835" s="24" t="s">
        <v>26</v>
      </c>
      <c r="BT1835" s="24" t="s">
        <v>11</v>
      </c>
      <c r="BU1835" s="24"/>
      <c r="BV1835" s="132" t="e">
        <f>IF(#REF!="COMPLETO","OK","PENDIENTE")</f>
        <v>#REF!</v>
      </c>
      <c r="BW1835" s="132"/>
      <c r="BX1835" s="132"/>
      <c r="BY1835" s="132"/>
      <c r="BZ1835" s="132"/>
      <c r="CA1835" s="132"/>
      <c r="CB1835" s="132"/>
      <c r="CC1835" s="371" t="s">
        <v>7054</v>
      </c>
      <c r="CG1835" s="132" t="s">
        <v>105</v>
      </c>
      <c r="CH1835" s="132"/>
      <c r="CI1835" s="24"/>
      <c r="CJ1835" s="24"/>
    </row>
    <row r="1836" spans="1:88" ht="15" customHeight="1">
      <c r="A1836" s="18">
        <v>2021</v>
      </c>
      <c r="B1836" s="18" t="str">
        <f>+INDEX(BDD!F:F,MATCH(P1836,BDD!D:D,0))&amp;"-"&amp;INDEX(BDD!E:E,MATCH(P1836,BDD!D:D,0))</f>
        <v>S-P</v>
      </c>
      <c r="C1836" s="125" t="s">
        <v>484</v>
      </c>
      <c r="D1836" s="150" t="s">
        <v>77</v>
      </c>
      <c r="E1836" s="132" t="s">
        <v>51</v>
      </c>
      <c r="F1836" s="132"/>
      <c r="G1836" s="429">
        <v>8000001772</v>
      </c>
      <c r="H1836" s="18" t="s">
        <v>7055</v>
      </c>
      <c r="I1836" s="450" t="s">
        <v>7987</v>
      </c>
      <c r="J1836" s="429">
        <v>8000001772</v>
      </c>
      <c r="K1836" s="24">
        <v>44699</v>
      </c>
      <c r="L1836" s="24">
        <v>44701</v>
      </c>
      <c r="M1836" s="24">
        <v>44701</v>
      </c>
      <c r="N1836" s="340" t="s">
        <v>486</v>
      </c>
      <c r="O1836" s="334">
        <v>206766</v>
      </c>
      <c r="P1836" s="25" t="s">
        <v>2</v>
      </c>
      <c r="Q1836" s="127" t="s">
        <v>237</v>
      </c>
      <c r="R1836" s="232" t="s">
        <v>7056</v>
      </c>
      <c r="S1836" s="89">
        <v>44538</v>
      </c>
      <c r="T1836" s="36">
        <v>90</v>
      </c>
      <c r="U1836" s="125" t="s">
        <v>118</v>
      </c>
      <c r="V1836" s="147" t="s">
        <v>7057</v>
      </c>
      <c r="W1836" s="88">
        <v>44664</v>
      </c>
      <c r="X1836" s="88">
        <v>44754</v>
      </c>
      <c r="Y1836" s="130" t="s">
        <v>3</v>
      </c>
      <c r="Z1836" s="133" t="s">
        <v>60</v>
      </c>
      <c r="AA1836" s="133" t="s">
        <v>1622</v>
      </c>
      <c r="AB1836" s="241">
        <v>312</v>
      </c>
      <c r="AC1836" s="134">
        <v>2178</v>
      </c>
      <c r="AD1836" s="134" t="s">
        <v>7058</v>
      </c>
      <c r="AE1836" s="403">
        <f t="shared" si="118"/>
        <v>679536</v>
      </c>
      <c r="AF1836" s="132">
        <v>15</v>
      </c>
      <c r="AG1836" s="130" t="s">
        <v>5</v>
      </c>
      <c r="AH1836" s="130" t="s">
        <v>6388</v>
      </c>
      <c r="AI1836" s="130" t="s">
        <v>47</v>
      </c>
      <c r="AJ1836" s="130" t="s">
        <v>944</v>
      </c>
      <c r="AK1836" s="130" t="s">
        <v>5634</v>
      </c>
      <c r="AL1836" s="135" t="s">
        <v>7059</v>
      </c>
      <c r="AM1836" s="314">
        <v>2022</v>
      </c>
      <c r="AN1836" s="26">
        <v>44664</v>
      </c>
      <c r="AO1836" s="385">
        <v>44664</v>
      </c>
      <c r="AP1836" s="26">
        <v>44655</v>
      </c>
      <c r="AQ1836" s="26">
        <v>44693</v>
      </c>
      <c r="AR1836" s="24">
        <f>AQ1836+4</f>
        <v>44697</v>
      </c>
      <c r="AS1836" s="24">
        <v>44700</v>
      </c>
      <c r="AT1836" s="24">
        <v>44701</v>
      </c>
      <c r="AU1836" s="418">
        <f t="shared" si="119"/>
        <v>5</v>
      </c>
      <c r="AV1836" s="418">
        <f t="shared" si="120"/>
        <v>2022</v>
      </c>
      <c r="AW1836" s="24" t="s">
        <v>7888</v>
      </c>
      <c r="AX1836" s="24" t="s">
        <v>6406</v>
      </c>
      <c r="AY1836" s="24" t="s">
        <v>7061</v>
      </c>
      <c r="AZ1836" s="24" t="s">
        <v>9</v>
      </c>
      <c r="BA1836" s="24" t="s">
        <v>7130</v>
      </c>
      <c r="BB1836" s="132" t="s">
        <v>3264</v>
      </c>
      <c r="BC1836" s="128" t="s">
        <v>7060</v>
      </c>
      <c r="BD1836" s="24">
        <v>44664</v>
      </c>
      <c r="BE1836" s="24" t="s">
        <v>515</v>
      </c>
      <c r="BF1836" s="24" t="s">
        <v>994</v>
      </c>
      <c r="BG1836" s="135" t="s">
        <v>41</v>
      </c>
      <c r="BH1836" s="135" t="s">
        <v>6414</v>
      </c>
      <c r="BI1836" s="314" t="s">
        <v>124</v>
      </c>
      <c r="BJ1836" s="314" t="s">
        <v>148</v>
      </c>
      <c r="BK1836" s="24" t="s">
        <v>7924</v>
      </c>
      <c r="BL1836" s="24"/>
      <c r="BM1836" s="24"/>
      <c r="BN1836" s="24">
        <v>44699</v>
      </c>
      <c r="BO1836" s="24">
        <f>AQ1836+14</f>
        <v>44707</v>
      </c>
      <c r="BP1836" s="24"/>
      <c r="BQ1836" s="24" t="s">
        <v>7925</v>
      </c>
      <c r="BR1836" s="24">
        <v>44692</v>
      </c>
      <c r="BS1836" s="24" t="s">
        <v>7929</v>
      </c>
      <c r="BT1836" s="24" t="s">
        <v>11</v>
      </c>
      <c r="BU1836" s="24"/>
      <c r="BV1836" s="132" t="e">
        <f>IF(#REF!="COMPLETO","OK","PENDIENTE")</f>
        <v>#REF!</v>
      </c>
      <c r="BW1836" s="132" t="s">
        <v>1622</v>
      </c>
      <c r="BX1836" s="132" t="s">
        <v>1622</v>
      </c>
      <c r="BY1836" s="132" t="s">
        <v>1622</v>
      </c>
      <c r="BZ1836" s="132" t="s">
        <v>1622</v>
      </c>
      <c r="CA1836" s="132" t="s">
        <v>1622</v>
      </c>
      <c r="CB1836" s="132" t="s">
        <v>1622</v>
      </c>
      <c r="CC1836" s="362" t="s">
        <v>7986</v>
      </c>
      <c r="CG1836" s="132"/>
      <c r="CH1836" s="132"/>
      <c r="CI1836" s="24"/>
      <c r="CJ1836" s="24"/>
    </row>
    <row r="1837" spans="1:88" ht="15" customHeight="1">
      <c r="A1837" s="18">
        <v>2021</v>
      </c>
      <c r="B1837" s="18" t="str">
        <f>+INDEX(BDD!F:F,MATCH(P1837,BDD!D:D,0))&amp;"-"&amp;INDEX(BDD!E:E,MATCH(P1837,BDD!D:D,0))</f>
        <v>S-P</v>
      </c>
      <c r="C1837" s="360" t="s">
        <v>5398</v>
      </c>
      <c r="D1837" s="150" t="s">
        <v>18</v>
      </c>
      <c r="E1837" s="132" t="s">
        <v>51</v>
      </c>
      <c r="F1837" s="132"/>
      <c r="G1837" s="346"/>
      <c r="H1837" s="18" t="s">
        <v>7063</v>
      </c>
      <c r="I1837" s="330" t="s">
        <v>7987</v>
      </c>
      <c r="J1837" s="346"/>
      <c r="K1837" s="24">
        <v>44537</v>
      </c>
      <c r="L1837" s="24"/>
      <c r="M1837" s="24"/>
      <c r="N1837" s="340" t="s">
        <v>3</v>
      </c>
      <c r="O1837" s="334">
        <v>208510</v>
      </c>
      <c r="P1837" s="25" t="s">
        <v>2</v>
      </c>
      <c r="Q1837" s="127" t="s">
        <v>237</v>
      </c>
      <c r="R1837" s="232" t="s">
        <v>7056</v>
      </c>
      <c r="S1837" s="89">
        <v>44538</v>
      </c>
      <c r="T1837" s="36">
        <v>90</v>
      </c>
      <c r="U1837" s="125" t="s">
        <v>118</v>
      </c>
      <c r="V1837" s="147" t="s">
        <v>7990</v>
      </c>
      <c r="W1837" s="88">
        <v>44703</v>
      </c>
      <c r="X1837" s="88">
        <f>+W1837+T1837</f>
        <v>44793</v>
      </c>
      <c r="Y1837" s="130" t="s">
        <v>3</v>
      </c>
      <c r="Z1837" s="133" t="s">
        <v>60</v>
      </c>
      <c r="AA1837" s="133"/>
      <c r="AB1837" s="241">
        <v>372.4</v>
      </c>
      <c r="AC1837" s="134">
        <v>2178</v>
      </c>
      <c r="AD1837" s="134"/>
      <c r="AE1837" s="403">
        <f t="shared" si="118"/>
        <v>811087.2</v>
      </c>
      <c r="AF1837" s="132">
        <v>14</v>
      </c>
      <c r="AG1837" s="130" t="s">
        <v>5</v>
      </c>
      <c r="AH1837" s="130"/>
      <c r="AI1837" s="130" t="s">
        <v>5633</v>
      </c>
      <c r="AJ1837" s="130" t="s">
        <v>944</v>
      </c>
      <c r="AK1837" s="130" t="s">
        <v>5634</v>
      </c>
      <c r="AL1837" s="135" t="s">
        <v>7059</v>
      </c>
      <c r="AM1837" s="314">
        <v>2022</v>
      </c>
      <c r="AN1837" s="26">
        <v>44704</v>
      </c>
      <c r="AO1837" s="385">
        <v>44708</v>
      </c>
      <c r="AP1837" s="26">
        <v>44655</v>
      </c>
      <c r="AQ1837" s="385">
        <v>44764</v>
      </c>
      <c r="AR1837" s="24">
        <f>AQ1837+4</f>
        <v>44768</v>
      </c>
      <c r="AS1837" s="24"/>
      <c r="AT1837" s="24">
        <v>44768</v>
      </c>
      <c r="AU1837" s="418">
        <f t="shared" si="119"/>
        <v>7</v>
      </c>
      <c r="AV1837" s="418">
        <f t="shared" si="120"/>
        <v>2022</v>
      </c>
      <c r="AW1837" s="24" t="s">
        <v>7888</v>
      </c>
      <c r="AX1837" s="24" t="s">
        <v>5402</v>
      </c>
      <c r="AY1837" s="28" t="s">
        <v>8010</v>
      </c>
      <c r="AZ1837" s="24" t="s">
        <v>9</v>
      </c>
      <c r="BA1837" s="24" t="s">
        <v>7130</v>
      </c>
      <c r="BB1837" s="132" t="s">
        <v>7062</v>
      </c>
      <c r="BC1837" s="128" t="s">
        <v>8040</v>
      </c>
      <c r="BD1837" s="24"/>
      <c r="BE1837" s="24" t="s">
        <v>8041</v>
      </c>
      <c r="BF1837" s="24" t="s">
        <v>8042</v>
      </c>
      <c r="BG1837" s="135" t="s">
        <v>41</v>
      </c>
      <c r="BH1837" s="135" t="s">
        <v>7046</v>
      </c>
      <c r="BI1837" s="314" t="s">
        <v>3</v>
      </c>
      <c r="BJ1837" s="314" t="s">
        <v>143</v>
      </c>
      <c r="BK1837" s="24"/>
      <c r="BL1837" s="24"/>
      <c r="BM1837" s="24"/>
      <c r="BN1837" s="24"/>
      <c r="BO1837" s="24">
        <f>AQ1837+6</f>
        <v>44770</v>
      </c>
      <c r="BP1837" s="24"/>
      <c r="BQ1837" s="24"/>
      <c r="BR1837" s="24"/>
      <c r="BS1837" s="24"/>
      <c r="BT1837" s="24"/>
      <c r="BU1837" s="24"/>
      <c r="BV1837" s="132" t="e">
        <f>IF(#REF!="COMPLETO","OK","PENDIENTE")</f>
        <v>#REF!</v>
      </c>
      <c r="BW1837" s="132" t="s">
        <v>1622</v>
      </c>
      <c r="BX1837" s="132" t="s">
        <v>1622</v>
      </c>
      <c r="BY1837" s="132" t="s">
        <v>1622</v>
      </c>
      <c r="BZ1837" s="132" t="s">
        <v>1622</v>
      </c>
      <c r="CA1837" s="132" t="s">
        <v>1622</v>
      </c>
      <c r="CB1837" s="132" t="s">
        <v>1622</v>
      </c>
      <c r="CC1837" s="362"/>
      <c r="CG1837" s="132"/>
      <c r="CH1837" s="132"/>
      <c r="CI1837" s="24"/>
      <c r="CJ1837" s="24"/>
    </row>
    <row r="1838" spans="1:88" ht="15" customHeight="1">
      <c r="A1838" s="18">
        <v>2021</v>
      </c>
      <c r="B1838" s="18" t="str">
        <f>+INDEX(BDD!F:F,MATCH(P1838,BDD!D:D,0))&amp;"-"&amp;INDEX(BDD!E:E,MATCH(P1838,BDD!D:D,0))</f>
        <v>S-S</v>
      </c>
      <c r="C1838" s="360" t="s">
        <v>484</v>
      </c>
      <c r="D1838" s="150" t="s">
        <v>77</v>
      </c>
      <c r="E1838" s="132" t="s">
        <v>51</v>
      </c>
      <c r="F1838" s="132"/>
      <c r="G1838" s="346">
        <v>8000001773</v>
      </c>
      <c r="H1838" s="18" t="s">
        <v>7064</v>
      </c>
      <c r="I1838" s="330"/>
      <c r="J1838" s="346">
        <v>8000001773</v>
      </c>
      <c r="K1838" s="24"/>
      <c r="L1838" s="24">
        <v>44626</v>
      </c>
      <c r="M1838" s="24">
        <v>44626</v>
      </c>
      <c r="N1838" s="340" t="s">
        <v>486</v>
      </c>
      <c r="O1838" s="334">
        <v>207579</v>
      </c>
      <c r="P1838" s="25" t="s">
        <v>238</v>
      </c>
      <c r="Q1838" s="127" t="s">
        <v>264</v>
      </c>
      <c r="R1838" s="232" t="s">
        <v>7065</v>
      </c>
      <c r="S1838" s="89">
        <v>44538</v>
      </c>
      <c r="T1838" s="36">
        <v>90</v>
      </c>
      <c r="U1838" s="125" t="s">
        <v>118</v>
      </c>
      <c r="V1838" s="147" t="s">
        <v>7065</v>
      </c>
      <c r="W1838" s="129"/>
      <c r="X1838" s="88">
        <f>+BD1838+T1838</f>
        <v>44657</v>
      </c>
      <c r="Y1838" s="130" t="s">
        <v>20</v>
      </c>
      <c r="Z1838" s="133" t="s">
        <v>60</v>
      </c>
      <c r="AA1838" s="133" t="s">
        <v>6619</v>
      </c>
      <c r="AB1838" s="241">
        <v>400</v>
      </c>
      <c r="AC1838" s="134">
        <v>448</v>
      </c>
      <c r="AD1838" s="134"/>
      <c r="AE1838" s="403">
        <f t="shared" si="118"/>
        <v>179200</v>
      </c>
      <c r="AF1838" s="132"/>
      <c r="AG1838" s="130" t="s">
        <v>58</v>
      </c>
      <c r="AH1838" s="130"/>
      <c r="AI1838" s="130" t="s">
        <v>34</v>
      </c>
      <c r="AJ1838" s="130"/>
      <c r="AK1838" s="130"/>
      <c r="AL1838" s="135" t="s">
        <v>6678</v>
      </c>
      <c r="AM1838" s="314"/>
      <c r="AN1838" s="26">
        <f>BL1838</f>
        <v>0</v>
      </c>
      <c r="AO1838" s="26">
        <v>44567</v>
      </c>
      <c r="AP1838" s="26" t="e">
        <f>#REF!+45</f>
        <v>#REF!</v>
      </c>
      <c r="AQ1838" s="26">
        <v>44621</v>
      </c>
      <c r="AR1838" s="24">
        <f>AQ1838+1</f>
        <v>44622</v>
      </c>
      <c r="AS1838" s="24"/>
      <c r="AT1838" s="24">
        <v>44624</v>
      </c>
      <c r="AU1838" s="418">
        <f t="shared" si="119"/>
        <v>3</v>
      </c>
      <c r="AV1838" s="418">
        <f t="shared" si="120"/>
        <v>2022</v>
      </c>
      <c r="AW1838" s="24"/>
      <c r="AX1838" s="24"/>
      <c r="AY1838" s="24" t="s">
        <v>311</v>
      </c>
      <c r="AZ1838" s="24" t="s">
        <v>50</v>
      </c>
      <c r="BA1838" s="24"/>
      <c r="BB1838" s="24" t="s">
        <v>2956</v>
      </c>
      <c r="BC1838" s="128" t="s">
        <v>7066</v>
      </c>
      <c r="BD1838" s="24">
        <v>44567</v>
      </c>
      <c r="BE1838" s="24" t="s">
        <v>6906</v>
      </c>
      <c r="BF1838" s="24" t="s">
        <v>6906</v>
      </c>
      <c r="BG1838" s="135" t="s">
        <v>52</v>
      </c>
      <c r="BH1838" s="135"/>
      <c r="BI1838" s="314" t="s">
        <v>3</v>
      </c>
      <c r="BJ1838" s="314" t="s">
        <v>143</v>
      </c>
      <c r="BK1838" s="24"/>
      <c r="BL1838" s="24"/>
      <c r="BM1838" s="24"/>
      <c r="BN1838" s="24"/>
      <c r="BO1838" s="24"/>
      <c r="BP1838" s="24"/>
      <c r="BQ1838" s="24" t="s">
        <v>7067</v>
      </c>
      <c r="BR1838" s="24">
        <v>44617</v>
      </c>
      <c r="BS1838" s="24" t="s">
        <v>38</v>
      </c>
      <c r="BT1838" s="24" t="s">
        <v>11</v>
      </c>
      <c r="BU1838" s="24"/>
      <c r="BV1838" s="132" t="e">
        <f>IF(#REF!="COMPLETO","OK","PENDIENTE")</f>
        <v>#REF!</v>
      </c>
      <c r="BW1838" s="132"/>
      <c r="BX1838" s="132"/>
      <c r="BY1838" s="132"/>
      <c r="BZ1838" s="132"/>
      <c r="CA1838" s="132"/>
      <c r="CB1838" s="132"/>
      <c r="CC1838" s="362"/>
      <c r="CG1838" s="132" t="s">
        <v>105</v>
      </c>
      <c r="CH1838" s="132"/>
      <c r="CI1838" s="24"/>
      <c r="CJ1838" s="24"/>
    </row>
    <row r="1839" spans="1:88" ht="15" customHeight="1">
      <c r="A1839" s="18">
        <v>2021</v>
      </c>
      <c r="B1839" s="18" t="str">
        <f>+INDEX(BDD!F:F,MATCH(P1839,BDD!D:D,0))&amp;"-"&amp;INDEX(BDD!E:E,MATCH(P1839,BDD!D:D,0))</f>
        <v>S-S</v>
      </c>
      <c r="C1839" s="360" t="s">
        <v>5398</v>
      </c>
      <c r="D1839" s="150" t="s">
        <v>18</v>
      </c>
      <c r="E1839" s="132" t="s">
        <v>51</v>
      </c>
      <c r="F1839" s="132"/>
      <c r="G1839" s="346">
        <v>8000001787</v>
      </c>
      <c r="H1839" s="18" t="s">
        <v>7068</v>
      </c>
      <c r="I1839" s="329"/>
      <c r="J1839" s="346">
        <v>8000001787</v>
      </c>
      <c r="K1839" s="24">
        <v>44547</v>
      </c>
      <c r="L1839" s="24"/>
      <c r="M1839" s="24"/>
      <c r="N1839" s="340" t="s">
        <v>3</v>
      </c>
      <c r="O1839" s="334">
        <v>206622</v>
      </c>
      <c r="P1839" s="25" t="s">
        <v>152</v>
      </c>
      <c r="Q1839" s="127" t="s">
        <v>110</v>
      </c>
      <c r="R1839" s="232" t="s">
        <v>7069</v>
      </c>
      <c r="S1839" s="89">
        <v>44538</v>
      </c>
      <c r="T1839" s="36">
        <v>90</v>
      </c>
      <c r="U1839" s="125" t="s">
        <v>118</v>
      </c>
      <c r="V1839" s="147" t="s">
        <v>7890</v>
      </c>
      <c r="W1839" s="88">
        <v>44671</v>
      </c>
      <c r="X1839" s="88">
        <f>W1839+90</f>
        <v>44761</v>
      </c>
      <c r="Y1839" s="130" t="s">
        <v>3</v>
      </c>
      <c r="Z1839" s="133" t="s">
        <v>60</v>
      </c>
      <c r="AA1839" s="133" t="s">
        <v>6619</v>
      </c>
      <c r="AB1839" s="241">
        <v>648</v>
      </c>
      <c r="AC1839" s="134">
        <v>1315</v>
      </c>
      <c r="AD1839" s="134"/>
      <c r="AE1839" s="403">
        <f t="shared" si="118"/>
        <v>852120</v>
      </c>
      <c r="AF1839" s="132" t="s">
        <v>1622</v>
      </c>
      <c r="AG1839" s="130" t="s">
        <v>58</v>
      </c>
      <c r="AH1839" s="130" t="s">
        <v>944</v>
      </c>
      <c r="AI1839" s="130" t="s">
        <v>6029</v>
      </c>
      <c r="AJ1839" s="274">
        <v>1</v>
      </c>
      <c r="AK1839" s="130" t="s">
        <v>944</v>
      </c>
      <c r="AL1839" s="135" t="s">
        <v>6412</v>
      </c>
      <c r="AM1839" s="314">
        <v>2022</v>
      </c>
      <c r="AN1839" s="26">
        <v>44682</v>
      </c>
      <c r="AO1839" s="385">
        <v>44682</v>
      </c>
      <c r="AP1839" s="26">
        <v>44722</v>
      </c>
      <c r="AQ1839" s="26">
        <v>44722</v>
      </c>
      <c r="AR1839" s="24">
        <f>AQ1839+10</f>
        <v>44732</v>
      </c>
      <c r="AS1839" s="41"/>
      <c r="AT1839" s="24">
        <v>44726</v>
      </c>
      <c r="AU1839" s="418">
        <f t="shared" si="119"/>
        <v>6</v>
      </c>
      <c r="AV1839" s="418">
        <f t="shared" si="120"/>
        <v>2022</v>
      </c>
      <c r="AW1839" s="24" t="s">
        <v>7888</v>
      </c>
      <c r="AX1839" s="24" t="s">
        <v>5402</v>
      </c>
      <c r="AY1839" s="135" t="s">
        <v>6800</v>
      </c>
      <c r="AZ1839" s="24" t="s">
        <v>37</v>
      </c>
      <c r="BA1839" s="24"/>
      <c r="BB1839" s="24" t="s">
        <v>3291</v>
      </c>
      <c r="BC1839" s="128"/>
      <c r="BD1839" s="24">
        <v>44679</v>
      </c>
      <c r="BE1839" s="24" t="s">
        <v>7070</v>
      </c>
      <c r="BF1839" s="24" t="s">
        <v>7070</v>
      </c>
      <c r="BG1839" s="135" t="s">
        <v>52</v>
      </c>
      <c r="BH1839" s="135" t="s">
        <v>7895</v>
      </c>
      <c r="BI1839" s="314" t="s">
        <v>3</v>
      </c>
      <c r="BJ1839" s="314"/>
      <c r="BK1839" s="24"/>
      <c r="BL1839" s="24"/>
      <c r="BM1839" s="24"/>
      <c r="BN1839" s="24"/>
      <c r="BO1839" s="41"/>
      <c r="BP1839" s="41"/>
      <c r="BQ1839" s="41"/>
      <c r="BR1839" s="24"/>
      <c r="BS1839" s="41"/>
      <c r="BT1839" s="41"/>
      <c r="BU1839" s="41"/>
      <c r="BV1839" s="132" t="s">
        <v>6087</v>
      </c>
      <c r="BW1839" s="132" t="s">
        <v>1622</v>
      </c>
      <c r="BX1839" s="132" t="s">
        <v>1622</v>
      </c>
      <c r="BY1839" s="132" t="s">
        <v>1622</v>
      </c>
      <c r="BZ1839" s="132" t="s">
        <v>1622</v>
      </c>
      <c r="CA1839" s="132" t="s">
        <v>1622</v>
      </c>
      <c r="CB1839" s="132" t="s">
        <v>1622</v>
      </c>
      <c r="CC1839" s="362"/>
      <c r="CD1839" s="67" t="s">
        <v>6801</v>
      </c>
      <c r="CE1839" s="67"/>
      <c r="CG1839" s="132"/>
      <c r="CH1839" s="132"/>
      <c r="CI1839" s="24"/>
      <c r="CJ1839" s="24"/>
    </row>
    <row r="1840" spans="1:88" ht="15" customHeight="1">
      <c r="A1840" s="18">
        <v>2021</v>
      </c>
      <c r="B1840" s="18" t="str">
        <f>+INDEX(BDD!F:F,MATCH(P1840,BDD!D:D,0))&amp;"-"&amp;INDEX(BDD!E:E,MATCH(P1840,BDD!D:D,0))</f>
        <v>S-S</v>
      </c>
      <c r="C1840" s="360" t="s">
        <v>5398</v>
      </c>
      <c r="D1840" s="150" t="s">
        <v>3</v>
      </c>
      <c r="E1840" s="132" t="s">
        <v>51</v>
      </c>
      <c r="F1840" s="132"/>
      <c r="G1840" s="346">
        <v>8000001954</v>
      </c>
      <c r="H1840" s="18" t="s">
        <v>7071</v>
      </c>
      <c r="I1840" s="329" t="s">
        <v>7072</v>
      </c>
      <c r="J1840" s="346">
        <v>8000001954</v>
      </c>
      <c r="K1840" s="24">
        <v>44677</v>
      </c>
      <c r="L1840" s="24"/>
      <c r="M1840" s="24"/>
      <c r="N1840" s="340" t="s">
        <v>3</v>
      </c>
      <c r="O1840" s="334">
        <v>206622</v>
      </c>
      <c r="P1840" s="25" t="s">
        <v>152</v>
      </c>
      <c r="Q1840" s="127" t="s">
        <v>110</v>
      </c>
      <c r="R1840" s="401" t="s">
        <v>7069</v>
      </c>
      <c r="S1840" s="89">
        <v>44538</v>
      </c>
      <c r="T1840" s="36">
        <v>90</v>
      </c>
      <c r="U1840" s="125" t="s">
        <v>118</v>
      </c>
      <c r="V1840" s="147"/>
      <c r="W1840" s="129"/>
      <c r="X1840" s="88"/>
      <c r="Y1840" s="130" t="s">
        <v>3</v>
      </c>
      <c r="Z1840" s="133" t="s">
        <v>60</v>
      </c>
      <c r="AA1840" s="133"/>
      <c r="AB1840" s="241">
        <v>300</v>
      </c>
      <c r="AC1840" s="134">
        <v>1315</v>
      </c>
      <c r="AD1840" s="134"/>
      <c r="AE1840" s="403">
        <f t="shared" si="118"/>
        <v>394500</v>
      </c>
      <c r="AF1840" s="132"/>
      <c r="AG1840" s="130" t="s">
        <v>58</v>
      </c>
      <c r="AH1840" s="130"/>
      <c r="AI1840" s="130" t="s">
        <v>6029</v>
      </c>
      <c r="AJ1840" s="274">
        <v>1</v>
      </c>
      <c r="AK1840" s="130" t="s">
        <v>944</v>
      </c>
      <c r="AL1840" s="135" t="s">
        <v>6412</v>
      </c>
      <c r="AM1840" s="314">
        <v>2022</v>
      </c>
      <c r="AN1840" s="26">
        <v>44668</v>
      </c>
      <c r="AO1840" s="385">
        <v>44717</v>
      </c>
      <c r="AP1840" s="26">
        <f>AN1840+46</f>
        <v>44714</v>
      </c>
      <c r="AQ1840" s="385">
        <f>AO1840+46</f>
        <v>44763</v>
      </c>
      <c r="AR1840" s="24">
        <f>AQ1840+10</f>
        <v>44773</v>
      </c>
      <c r="AS1840" s="41"/>
      <c r="AT1840" s="24">
        <v>44767</v>
      </c>
      <c r="AU1840" s="418">
        <f t="shared" si="119"/>
        <v>7</v>
      </c>
      <c r="AV1840" s="418">
        <f t="shared" si="120"/>
        <v>2022</v>
      </c>
      <c r="AW1840" s="24" t="s">
        <v>7875</v>
      </c>
      <c r="AX1840" s="24" t="s">
        <v>5402</v>
      </c>
      <c r="AY1840" s="135" t="s">
        <v>6800</v>
      </c>
      <c r="AZ1840" s="24" t="s">
        <v>37</v>
      </c>
      <c r="BA1840" s="24"/>
      <c r="BB1840" s="24" t="s">
        <v>3291</v>
      </c>
      <c r="BC1840" s="128"/>
      <c r="BD1840" s="24"/>
      <c r="BE1840" s="24"/>
      <c r="BF1840" s="24"/>
      <c r="BG1840" s="135" t="s">
        <v>52</v>
      </c>
      <c r="BH1840" s="135"/>
      <c r="BI1840" s="314" t="s">
        <v>3</v>
      </c>
      <c r="BJ1840" s="314"/>
      <c r="BK1840" s="24"/>
      <c r="BL1840" s="24"/>
      <c r="BM1840" s="24"/>
      <c r="BN1840" s="24"/>
      <c r="BO1840" s="41"/>
      <c r="BP1840" s="41"/>
      <c r="BQ1840" s="41"/>
      <c r="BR1840" s="24"/>
      <c r="BS1840" s="41"/>
      <c r="BT1840" s="41"/>
      <c r="BU1840" s="41"/>
      <c r="BV1840" s="132" t="e">
        <f>IF(#REF!="COMPLETO","OK","PENDIENTE")</f>
        <v>#REF!</v>
      </c>
      <c r="BW1840" s="132"/>
      <c r="BX1840" s="132"/>
      <c r="BY1840" s="132"/>
      <c r="BZ1840" s="132"/>
      <c r="CA1840" s="132"/>
      <c r="CB1840" s="132"/>
      <c r="CC1840" s="362"/>
      <c r="CD1840" s="67" t="s">
        <v>6801</v>
      </c>
      <c r="CE1840" s="67" t="s">
        <v>7899</v>
      </c>
      <c r="CG1840" s="132"/>
      <c r="CH1840" s="132"/>
      <c r="CI1840" s="24"/>
      <c r="CJ1840" s="24"/>
    </row>
    <row r="1841" spans="1:88" ht="15" customHeight="1">
      <c r="A1841" s="18">
        <v>2021</v>
      </c>
      <c r="B1841" s="18" t="str">
        <f>+INDEX(BDD!F:F,MATCH(P1841,BDD!D:D,0))&amp;"-"&amp;INDEX(BDD!E:E,MATCH(P1841,BDD!D:D,0))</f>
        <v>S-S</v>
      </c>
      <c r="C1841" s="360" t="s">
        <v>5398</v>
      </c>
      <c r="D1841" s="150" t="s">
        <v>3</v>
      </c>
      <c r="E1841" s="132" t="s">
        <v>51</v>
      </c>
      <c r="F1841" s="132"/>
      <c r="G1841" s="346"/>
      <c r="H1841" s="404" t="s">
        <v>7073</v>
      </c>
      <c r="I1841" s="329"/>
      <c r="J1841" s="346"/>
      <c r="K1841" s="24"/>
      <c r="L1841" s="24"/>
      <c r="M1841" s="24"/>
      <c r="N1841" s="340" t="s">
        <v>3</v>
      </c>
      <c r="O1841" s="334">
        <v>206622</v>
      </c>
      <c r="P1841" s="25" t="s">
        <v>152</v>
      </c>
      <c r="Q1841" s="127" t="s">
        <v>110</v>
      </c>
      <c r="R1841" s="232" t="s">
        <v>7069</v>
      </c>
      <c r="S1841" s="89">
        <v>44538</v>
      </c>
      <c r="T1841" s="36">
        <v>90</v>
      </c>
      <c r="U1841" s="125" t="s">
        <v>118</v>
      </c>
      <c r="V1841" s="147"/>
      <c r="W1841" s="129"/>
      <c r="X1841" s="88"/>
      <c r="Y1841" s="130" t="s">
        <v>3</v>
      </c>
      <c r="Z1841" s="133" t="s">
        <v>60</v>
      </c>
      <c r="AA1841" s="133"/>
      <c r="AB1841" s="241">
        <v>550</v>
      </c>
      <c r="AC1841" s="134">
        <v>1315</v>
      </c>
      <c r="AD1841" s="134"/>
      <c r="AE1841" s="403">
        <f t="shared" si="118"/>
        <v>723250</v>
      </c>
      <c r="AF1841" s="132"/>
      <c r="AG1841" s="130" t="s">
        <v>58</v>
      </c>
      <c r="AH1841" s="130"/>
      <c r="AI1841" s="130" t="s">
        <v>6029</v>
      </c>
      <c r="AJ1841" s="274">
        <v>1</v>
      </c>
      <c r="AK1841" s="130" t="s">
        <v>944</v>
      </c>
      <c r="AL1841" s="135" t="s">
        <v>6412</v>
      </c>
      <c r="AM1841" s="314">
        <v>2022</v>
      </c>
      <c r="AN1841" s="26">
        <v>44668</v>
      </c>
      <c r="AO1841" s="385">
        <v>44746</v>
      </c>
      <c r="AP1841" s="26">
        <f>AN1841+46</f>
        <v>44714</v>
      </c>
      <c r="AQ1841" s="385">
        <f>AO1841+46</f>
        <v>44792</v>
      </c>
      <c r="AR1841" s="24">
        <f>AQ1841+10</f>
        <v>44802</v>
      </c>
      <c r="AS1841" s="41"/>
      <c r="AT1841" s="24">
        <v>44796</v>
      </c>
      <c r="AU1841" s="418">
        <f t="shared" si="119"/>
        <v>8</v>
      </c>
      <c r="AV1841" s="418">
        <f t="shared" si="120"/>
        <v>2022</v>
      </c>
      <c r="AW1841" s="24" t="s">
        <v>7874</v>
      </c>
      <c r="AX1841" s="24" t="s">
        <v>5402</v>
      </c>
      <c r="AY1841" s="135" t="s">
        <v>6800</v>
      </c>
      <c r="AZ1841" s="24" t="s">
        <v>37</v>
      </c>
      <c r="BA1841" s="24"/>
      <c r="BB1841" s="24" t="s">
        <v>3291</v>
      </c>
      <c r="BC1841" s="128"/>
      <c r="BD1841" s="24"/>
      <c r="BE1841" s="24"/>
      <c r="BF1841" s="24"/>
      <c r="BG1841" s="135" t="s">
        <v>52</v>
      </c>
      <c r="BH1841" s="135"/>
      <c r="BI1841" s="314" t="s">
        <v>3</v>
      </c>
      <c r="BJ1841" s="314"/>
      <c r="BK1841" s="24"/>
      <c r="BL1841" s="24"/>
      <c r="BM1841" s="24"/>
      <c r="BN1841" s="24"/>
      <c r="BO1841" s="41"/>
      <c r="BP1841" s="41"/>
      <c r="BQ1841" s="41"/>
      <c r="BR1841" s="24"/>
      <c r="BS1841" s="41"/>
      <c r="BT1841" s="41"/>
      <c r="BU1841" s="41"/>
      <c r="BV1841" s="132" t="e">
        <f>IF(#REF!="COMPLETO","OK","PENDIENTE")</f>
        <v>#REF!</v>
      </c>
      <c r="BW1841" s="132"/>
      <c r="BX1841" s="132"/>
      <c r="BY1841" s="132"/>
      <c r="BZ1841" s="132"/>
      <c r="CA1841" s="132"/>
      <c r="CB1841" s="132"/>
      <c r="CC1841" s="362"/>
      <c r="CD1841" s="67" t="s">
        <v>6801</v>
      </c>
      <c r="CE1841" s="67"/>
      <c r="CG1841" s="132"/>
      <c r="CH1841" s="132"/>
      <c r="CI1841" s="24"/>
      <c r="CJ1841" s="24"/>
    </row>
    <row r="1842" spans="1:88" ht="15" customHeight="1">
      <c r="A1842" s="18">
        <v>2021</v>
      </c>
      <c r="B1842" s="18" t="str">
        <f>+INDEX(BDD!F:F,MATCH(P1842,BDD!D:D,0))&amp;"-"&amp;INDEX(BDD!E:E,MATCH(P1842,BDD!D:D,0))</f>
        <v>O-S</v>
      </c>
      <c r="C1842" s="360" t="s">
        <v>484</v>
      </c>
      <c r="D1842" s="150" t="s">
        <v>77</v>
      </c>
      <c r="E1842" s="132"/>
      <c r="F1842" s="24"/>
      <c r="G1842" s="346">
        <v>8000001781</v>
      </c>
      <c r="H1842" s="18" t="s">
        <v>7074</v>
      </c>
      <c r="I1842" s="329"/>
      <c r="J1842" s="346">
        <v>8000001781</v>
      </c>
      <c r="K1842" s="24"/>
      <c r="L1842" s="24">
        <v>44593</v>
      </c>
      <c r="M1842" s="24">
        <v>44593</v>
      </c>
      <c r="N1842" s="340" t="s">
        <v>486</v>
      </c>
      <c r="O1842" s="334">
        <v>203553</v>
      </c>
      <c r="P1842" s="25" t="s">
        <v>386</v>
      </c>
      <c r="Q1842" s="127" t="s">
        <v>303</v>
      </c>
      <c r="R1842" s="232" t="s">
        <v>7075</v>
      </c>
      <c r="S1842" s="89">
        <v>44484</v>
      </c>
      <c r="T1842" s="36" t="s">
        <v>19</v>
      </c>
      <c r="U1842" s="125"/>
      <c r="V1842" s="147" t="s">
        <v>7076</v>
      </c>
      <c r="W1842" s="129"/>
      <c r="X1842" s="88">
        <v>44585</v>
      </c>
      <c r="Y1842" s="130" t="s">
        <v>20</v>
      </c>
      <c r="Z1842" s="133" t="s">
        <v>60</v>
      </c>
      <c r="AA1842" s="133"/>
      <c r="AB1842" s="241">
        <v>107.82</v>
      </c>
      <c r="AC1842" s="134">
        <v>475.68</v>
      </c>
      <c r="AD1842" s="134"/>
      <c r="AE1842" s="403">
        <f t="shared" si="118"/>
        <v>51287.817599999995</v>
      </c>
      <c r="AF1842" s="132">
        <v>4</v>
      </c>
      <c r="AG1842" s="130" t="s">
        <v>5</v>
      </c>
      <c r="AH1842" s="130"/>
      <c r="AI1842" s="130" t="s">
        <v>100</v>
      </c>
      <c r="AJ1842" s="130"/>
      <c r="AK1842" s="130"/>
      <c r="AL1842" s="256" t="s">
        <v>6646</v>
      </c>
      <c r="AM1842" s="314"/>
      <c r="AN1842" s="26">
        <f t="shared" ref="AN1842:AN1854" si="128">BL1842</f>
        <v>0</v>
      </c>
      <c r="AO1842" s="26">
        <v>44531</v>
      </c>
      <c r="AP1842" s="26">
        <f>AQ1842</f>
        <v>44588</v>
      </c>
      <c r="AQ1842" s="26">
        <v>44588</v>
      </c>
      <c r="AR1842" s="24">
        <f>AQ1842+3</f>
        <v>44591</v>
      </c>
      <c r="AS1842" s="24"/>
      <c r="AT1842" s="24">
        <v>44592</v>
      </c>
      <c r="AU1842" s="418">
        <f t="shared" si="119"/>
        <v>1</v>
      </c>
      <c r="AV1842" s="418">
        <f t="shared" si="120"/>
        <v>2022</v>
      </c>
      <c r="AW1842" s="24"/>
      <c r="AX1842" s="24"/>
      <c r="AY1842" s="24" t="s">
        <v>8</v>
      </c>
      <c r="AZ1842" s="135" t="s">
        <v>62</v>
      </c>
      <c r="BA1842" s="135"/>
      <c r="BB1842" s="24" t="s">
        <v>3264</v>
      </c>
      <c r="BC1842" s="128" t="s">
        <v>7077</v>
      </c>
      <c r="BD1842" s="24">
        <v>44531</v>
      </c>
      <c r="BE1842" s="24" t="s">
        <v>2668</v>
      </c>
      <c r="BF1842" s="24" t="s">
        <v>1938</v>
      </c>
      <c r="BG1842" s="135" t="s">
        <v>29</v>
      </c>
      <c r="BH1842" s="135" t="s">
        <v>6219</v>
      </c>
      <c r="BI1842" s="314" t="s">
        <v>3</v>
      </c>
      <c r="BJ1842" s="314" t="s">
        <v>148</v>
      </c>
      <c r="BK1842" s="24"/>
      <c r="BL1842" s="24"/>
      <c r="BM1842" s="24"/>
      <c r="BN1842" s="24"/>
      <c r="BO1842" s="41"/>
      <c r="BP1842" s="41"/>
      <c r="BQ1842" s="41" t="s">
        <v>7078</v>
      </c>
      <c r="BR1842" s="24">
        <v>44587</v>
      </c>
      <c r="BS1842" s="41" t="s">
        <v>38</v>
      </c>
      <c r="BT1842" s="41" t="s">
        <v>11</v>
      </c>
      <c r="BU1842" s="41"/>
      <c r="BV1842" s="132" t="e">
        <f>IF(#REF!="COMPLETO","OK","PENDIENTE")</f>
        <v>#REF!</v>
      </c>
      <c r="BW1842" s="132"/>
      <c r="BX1842" s="132"/>
      <c r="BY1842" s="132"/>
      <c r="BZ1842" s="132"/>
      <c r="CA1842" s="132"/>
      <c r="CB1842" s="132"/>
      <c r="CC1842" s="362"/>
      <c r="CG1842" s="24" t="s">
        <v>105</v>
      </c>
      <c r="CH1842" s="24"/>
      <c r="CI1842" s="24"/>
      <c r="CJ1842" s="24"/>
    </row>
    <row r="1843" spans="1:88" ht="15" customHeight="1">
      <c r="A1843" s="18">
        <v>2021</v>
      </c>
      <c r="B1843" s="18" t="str">
        <f>+INDEX(BDD!F:F,MATCH(P1843,BDD!D:D,0))&amp;"-"&amp;INDEX(BDD!E:E,MATCH(P1843,BDD!D:D,0))</f>
        <v>E-S</v>
      </c>
      <c r="C1843" s="360" t="s">
        <v>484</v>
      </c>
      <c r="D1843" s="150" t="s">
        <v>77</v>
      </c>
      <c r="E1843" s="132"/>
      <c r="F1843" s="132"/>
      <c r="G1843" s="346">
        <v>8000001926</v>
      </c>
      <c r="H1843" s="18" t="s">
        <v>7079</v>
      </c>
      <c r="I1843" s="329"/>
      <c r="J1843" s="346">
        <v>8000001926</v>
      </c>
      <c r="K1843" s="24"/>
      <c r="L1843" s="24">
        <v>44672</v>
      </c>
      <c r="M1843" s="24">
        <v>44672</v>
      </c>
      <c r="N1843" s="340" t="s">
        <v>486</v>
      </c>
      <c r="O1843" s="334">
        <v>207522</v>
      </c>
      <c r="P1843" s="25" t="s">
        <v>298</v>
      </c>
      <c r="Q1843" s="127" t="s">
        <v>183</v>
      </c>
      <c r="R1843" s="232" t="s">
        <v>7080</v>
      </c>
      <c r="S1843" s="89">
        <v>44539</v>
      </c>
      <c r="T1843" s="36" t="s">
        <v>19</v>
      </c>
      <c r="U1843" s="125"/>
      <c r="V1843" s="147" t="s">
        <v>7081</v>
      </c>
      <c r="W1843" s="129">
        <v>44633</v>
      </c>
      <c r="X1843" s="88">
        <v>44643</v>
      </c>
      <c r="Y1843" s="130" t="s">
        <v>20</v>
      </c>
      <c r="Z1843" s="133" t="s">
        <v>60</v>
      </c>
      <c r="AA1843" s="133" t="s">
        <v>944</v>
      </c>
      <c r="AB1843" s="257">
        <v>363.33199999999999</v>
      </c>
      <c r="AC1843" s="134">
        <v>405</v>
      </c>
      <c r="AD1843" s="134"/>
      <c r="AE1843" s="403">
        <f t="shared" si="118"/>
        <v>147149.46</v>
      </c>
      <c r="AF1843" s="132">
        <v>13</v>
      </c>
      <c r="AG1843" s="130" t="s">
        <v>5</v>
      </c>
      <c r="AH1843" s="130"/>
      <c r="AI1843" s="130" t="s">
        <v>100</v>
      </c>
      <c r="AJ1843" s="130" t="s">
        <v>944</v>
      </c>
      <c r="AK1843" s="130" t="s">
        <v>5634</v>
      </c>
      <c r="AL1843" s="135" t="s">
        <v>6678</v>
      </c>
      <c r="AM1843" s="314"/>
      <c r="AN1843" s="26">
        <f t="shared" si="128"/>
        <v>0</v>
      </c>
      <c r="AO1843" s="26">
        <v>44633</v>
      </c>
      <c r="AP1843" s="26" t="e">
        <f>#REF!+22</f>
        <v>#REF!</v>
      </c>
      <c r="AQ1843" s="26">
        <v>44662</v>
      </c>
      <c r="AR1843" s="24">
        <f>AQ1843+4</f>
        <v>44666</v>
      </c>
      <c r="AS1843" s="24"/>
      <c r="AT1843" s="24">
        <v>44664</v>
      </c>
      <c r="AU1843" s="418">
        <f t="shared" si="119"/>
        <v>4</v>
      </c>
      <c r="AV1843" s="418">
        <f t="shared" si="120"/>
        <v>2022</v>
      </c>
      <c r="AW1843" s="24"/>
      <c r="AX1843" s="135" t="s">
        <v>6218</v>
      </c>
      <c r="AY1843" s="135" t="s">
        <v>8</v>
      </c>
      <c r="AZ1843" s="24" t="s">
        <v>37</v>
      </c>
      <c r="BA1843" s="24" t="s">
        <v>6121</v>
      </c>
      <c r="BB1843" s="24" t="s">
        <v>3291</v>
      </c>
      <c r="BC1843" s="128" t="s">
        <v>7082</v>
      </c>
      <c r="BD1843" s="24">
        <v>44633</v>
      </c>
      <c r="BE1843" s="24" t="s">
        <v>814</v>
      </c>
      <c r="BF1843" s="24" t="s">
        <v>814</v>
      </c>
      <c r="BG1843" s="135" t="s">
        <v>29</v>
      </c>
      <c r="BH1843" s="135" t="s">
        <v>6219</v>
      </c>
      <c r="BI1843" s="314" t="s">
        <v>3</v>
      </c>
      <c r="BJ1843" s="314" t="s">
        <v>143</v>
      </c>
      <c r="BK1843" s="24"/>
      <c r="BL1843" s="24"/>
      <c r="BM1843" s="24"/>
      <c r="BN1843" s="24"/>
      <c r="BO1843" s="24">
        <f>AQ1843+12</f>
        <v>44674</v>
      </c>
      <c r="BP1843" s="24"/>
      <c r="BQ1843" s="24" t="s">
        <v>7083</v>
      </c>
      <c r="BR1843" s="24">
        <v>44651</v>
      </c>
      <c r="BS1843" s="24" t="s">
        <v>26</v>
      </c>
      <c r="BT1843" s="24" t="s">
        <v>11</v>
      </c>
      <c r="BU1843" s="24"/>
      <c r="BV1843" s="132" t="e">
        <f>IF(#REF!="COMPLETO","OK","PENDIENTE")</f>
        <v>#REF!</v>
      </c>
      <c r="BW1843" s="132"/>
      <c r="BX1843" s="132"/>
      <c r="BY1843" s="132"/>
      <c r="BZ1843" s="132"/>
      <c r="CA1843" s="132"/>
      <c r="CB1843" s="132"/>
      <c r="CC1843" s="373" t="s">
        <v>7084</v>
      </c>
      <c r="CG1843" s="132" t="s">
        <v>105</v>
      </c>
      <c r="CH1843" s="132"/>
      <c r="CI1843" s="24"/>
      <c r="CJ1843" s="24"/>
    </row>
    <row r="1844" spans="1:88" ht="15" customHeight="1">
      <c r="A1844" s="18">
        <v>2021</v>
      </c>
      <c r="B1844" s="18" t="str">
        <f>+INDEX(BDD!F:F,MATCH(P1844,BDD!D:D,0))&amp;"-"&amp;INDEX(BDD!E:E,MATCH(P1844,BDD!D:D,0))</f>
        <v>E-S</v>
      </c>
      <c r="C1844" s="360" t="s">
        <v>484</v>
      </c>
      <c r="D1844" s="150" t="s">
        <v>77</v>
      </c>
      <c r="E1844" s="132"/>
      <c r="F1844" s="132"/>
      <c r="G1844" s="346">
        <v>8000001927</v>
      </c>
      <c r="H1844" s="18" t="s">
        <v>7085</v>
      </c>
      <c r="I1844" s="329"/>
      <c r="J1844" s="346">
        <v>8000001927</v>
      </c>
      <c r="K1844" s="24"/>
      <c r="L1844" s="24">
        <v>44670</v>
      </c>
      <c r="M1844" s="24">
        <v>44672</v>
      </c>
      <c r="N1844" s="340" t="s">
        <v>486</v>
      </c>
      <c r="O1844" s="334">
        <v>207522</v>
      </c>
      <c r="P1844" s="25" t="s">
        <v>298</v>
      </c>
      <c r="Q1844" s="127" t="s">
        <v>183</v>
      </c>
      <c r="R1844" s="232" t="s">
        <v>7080</v>
      </c>
      <c r="S1844" s="89">
        <v>44539</v>
      </c>
      <c r="T1844" s="36" t="s">
        <v>19</v>
      </c>
      <c r="U1844" s="125"/>
      <c r="V1844" s="147" t="s">
        <v>7081</v>
      </c>
      <c r="W1844" s="129">
        <v>44633</v>
      </c>
      <c r="X1844" s="88">
        <v>44643</v>
      </c>
      <c r="Y1844" s="130" t="s">
        <v>20</v>
      </c>
      <c r="Z1844" s="133" t="s">
        <v>60</v>
      </c>
      <c r="AA1844" s="133" t="s">
        <v>944</v>
      </c>
      <c r="AB1844" s="257">
        <v>27.948</v>
      </c>
      <c r="AC1844" s="134">
        <v>405</v>
      </c>
      <c r="AD1844" s="134"/>
      <c r="AE1844" s="403">
        <f t="shared" si="118"/>
        <v>11318.94</v>
      </c>
      <c r="AF1844" s="132">
        <v>1</v>
      </c>
      <c r="AG1844" s="130" t="s">
        <v>5</v>
      </c>
      <c r="AH1844" s="130"/>
      <c r="AI1844" s="130" t="s">
        <v>100</v>
      </c>
      <c r="AJ1844" s="130" t="s">
        <v>944</v>
      </c>
      <c r="AK1844" s="130" t="s">
        <v>5634</v>
      </c>
      <c r="AL1844" s="135" t="s">
        <v>6678</v>
      </c>
      <c r="AM1844" s="314"/>
      <c r="AN1844" s="26">
        <f t="shared" si="128"/>
        <v>0</v>
      </c>
      <c r="AO1844" s="26">
        <v>44632</v>
      </c>
      <c r="AP1844" s="26">
        <v>44663</v>
      </c>
      <c r="AQ1844" s="26">
        <v>44664</v>
      </c>
      <c r="AR1844" s="24">
        <f>AQ1844+4</f>
        <v>44668</v>
      </c>
      <c r="AS1844" s="24">
        <v>44671</v>
      </c>
      <c r="AT1844" s="24">
        <v>44671</v>
      </c>
      <c r="AU1844" s="418">
        <f t="shared" si="119"/>
        <v>4</v>
      </c>
      <c r="AV1844" s="418">
        <f t="shared" si="120"/>
        <v>2022</v>
      </c>
      <c r="AW1844" s="24"/>
      <c r="AX1844" s="135" t="s">
        <v>6218</v>
      </c>
      <c r="AY1844" s="135" t="s">
        <v>8</v>
      </c>
      <c r="AZ1844" s="24" t="s">
        <v>37</v>
      </c>
      <c r="BA1844" s="24" t="s">
        <v>6121</v>
      </c>
      <c r="BB1844" s="24" t="s">
        <v>3291</v>
      </c>
      <c r="BC1844" s="128" t="s">
        <v>7082</v>
      </c>
      <c r="BD1844" s="24">
        <v>44633</v>
      </c>
      <c r="BE1844" s="24" t="s">
        <v>814</v>
      </c>
      <c r="BF1844" s="24" t="s">
        <v>814</v>
      </c>
      <c r="BG1844" s="135" t="s">
        <v>29</v>
      </c>
      <c r="BH1844" s="135" t="s">
        <v>6219</v>
      </c>
      <c r="BI1844" s="314" t="s">
        <v>3</v>
      </c>
      <c r="BJ1844" s="314" t="s">
        <v>143</v>
      </c>
      <c r="BK1844" s="24"/>
      <c r="BL1844" s="24"/>
      <c r="BM1844" s="24"/>
      <c r="BN1844" s="24"/>
      <c r="BO1844" s="24">
        <f>AQ1844+12</f>
        <v>44676</v>
      </c>
      <c r="BP1844" s="24"/>
      <c r="BQ1844" s="24" t="s">
        <v>7086</v>
      </c>
      <c r="BR1844" s="24">
        <v>44659</v>
      </c>
      <c r="BS1844" s="24" t="s">
        <v>26</v>
      </c>
      <c r="BT1844" s="24" t="s">
        <v>11</v>
      </c>
      <c r="BU1844" s="24"/>
      <c r="BV1844" s="132" t="e">
        <f>IF(#REF!="COMPLETO","OK","PENDIENTE")</f>
        <v>#REF!</v>
      </c>
      <c r="BW1844" s="132"/>
      <c r="BX1844" s="132"/>
      <c r="BY1844" s="132"/>
      <c r="BZ1844" s="132"/>
      <c r="CA1844" s="132"/>
      <c r="CB1844" s="132"/>
      <c r="CC1844" s="362" t="s">
        <v>7087</v>
      </c>
      <c r="CG1844" s="132" t="s">
        <v>105</v>
      </c>
      <c r="CH1844" s="132"/>
      <c r="CI1844" s="24"/>
      <c r="CJ1844" s="24"/>
    </row>
    <row r="1845" spans="1:88" ht="15" customHeight="1">
      <c r="A1845" s="18">
        <v>2021</v>
      </c>
      <c r="B1845" s="18" t="e">
        <f>+INDEX(BDD!F:F,MATCH(P1845,BDD!D:D,0))&amp;"-"&amp;INDEX(BDD!E:E,MATCH(P1845,BDD!D:D,0))</f>
        <v>#N/A</v>
      </c>
      <c r="C1845" s="360" t="s">
        <v>5398</v>
      </c>
      <c r="D1845" s="150" t="s">
        <v>3</v>
      </c>
      <c r="E1845" s="132" t="s">
        <v>7904</v>
      </c>
      <c r="F1845" s="132"/>
      <c r="G1845" s="346">
        <v>8000001779</v>
      </c>
      <c r="H1845" s="18" t="s">
        <v>8051</v>
      </c>
      <c r="I1845" s="329"/>
      <c r="J1845" s="346">
        <v>8000001779</v>
      </c>
      <c r="K1845" s="24">
        <v>44540</v>
      </c>
      <c r="L1845" s="24"/>
      <c r="M1845" s="24"/>
      <c r="N1845" s="334" t="s">
        <v>3</v>
      </c>
      <c r="O1845" s="334">
        <v>203585</v>
      </c>
      <c r="P1845" s="25" t="s">
        <v>7088</v>
      </c>
      <c r="Q1845" s="127" t="s">
        <v>110</v>
      </c>
      <c r="R1845" s="401" t="s">
        <v>7089</v>
      </c>
      <c r="S1845" s="89">
        <v>44543</v>
      </c>
      <c r="T1845" s="36">
        <v>90</v>
      </c>
      <c r="U1845" s="125" t="s">
        <v>118</v>
      </c>
      <c r="V1845" s="147"/>
      <c r="W1845" s="129"/>
      <c r="X1845" s="88"/>
      <c r="Y1845" s="130" t="s">
        <v>3</v>
      </c>
      <c r="Z1845" s="133" t="s">
        <v>60</v>
      </c>
      <c r="AA1845" s="133"/>
      <c r="AB1845" s="241">
        <v>500</v>
      </c>
      <c r="AC1845" s="134">
        <v>435</v>
      </c>
      <c r="AD1845" s="134"/>
      <c r="AE1845" s="403">
        <f t="shared" si="118"/>
        <v>217500</v>
      </c>
      <c r="AF1845" s="132"/>
      <c r="AG1845" s="130" t="s">
        <v>58</v>
      </c>
      <c r="AH1845" s="130"/>
      <c r="AI1845" s="130" t="s">
        <v>34</v>
      </c>
      <c r="AJ1845" s="274">
        <v>1.25</v>
      </c>
      <c r="AK1845" s="130" t="s">
        <v>7090</v>
      </c>
      <c r="AL1845" s="135" t="s">
        <v>6678</v>
      </c>
      <c r="AM1845" s="314">
        <v>2022</v>
      </c>
      <c r="AN1845" s="26">
        <v>44715</v>
      </c>
      <c r="AO1845" s="385">
        <v>44746</v>
      </c>
      <c r="AP1845" s="26">
        <f>AN1845+46</f>
        <v>44761</v>
      </c>
      <c r="AQ1845" s="385">
        <f>AO1845+46</f>
        <v>44792</v>
      </c>
      <c r="AR1845" s="24">
        <f>AQ1845+10</f>
        <v>44802</v>
      </c>
      <c r="AS1845" s="41"/>
      <c r="AT1845" s="24">
        <v>44796</v>
      </c>
      <c r="AU1845" s="418">
        <f t="shared" si="119"/>
        <v>8</v>
      </c>
      <c r="AV1845" s="418">
        <f t="shared" si="120"/>
        <v>2022</v>
      </c>
      <c r="AW1845" s="24" t="s">
        <v>7874</v>
      </c>
      <c r="AX1845" s="24" t="s">
        <v>5402</v>
      </c>
      <c r="AY1845" s="135" t="s">
        <v>6800</v>
      </c>
      <c r="AZ1845" s="24" t="s">
        <v>37</v>
      </c>
      <c r="BA1845" s="24"/>
      <c r="BB1845" s="24" t="s">
        <v>3291</v>
      </c>
      <c r="BC1845" s="128"/>
      <c r="BD1845" s="24"/>
      <c r="BE1845" s="24"/>
      <c r="BF1845" s="24"/>
      <c r="BG1845" s="135" t="s">
        <v>52</v>
      </c>
      <c r="BH1845" s="135"/>
      <c r="BI1845" s="314" t="s">
        <v>3</v>
      </c>
      <c r="BJ1845" s="314"/>
      <c r="BK1845" s="24"/>
      <c r="BL1845" s="24"/>
      <c r="BM1845" s="24"/>
      <c r="BN1845" s="24"/>
      <c r="BO1845" s="41"/>
      <c r="BP1845" s="41"/>
      <c r="BQ1845" s="41"/>
      <c r="BR1845" s="24"/>
      <c r="BS1845" s="41"/>
      <c r="BT1845" s="41"/>
      <c r="BU1845" s="41"/>
      <c r="BV1845" s="132" t="e">
        <f>IF(#REF!="COMPLETO","OK","PENDIENTE")</f>
        <v>#REF!</v>
      </c>
      <c r="BW1845" s="132"/>
      <c r="BX1845" s="132"/>
      <c r="BY1845" s="132"/>
      <c r="BZ1845" s="132"/>
      <c r="CA1845" s="132"/>
      <c r="CB1845" s="132"/>
      <c r="CC1845" s="362"/>
      <c r="CD1845" s="67" t="s">
        <v>6801</v>
      </c>
      <c r="CE1845" s="67" t="s">
        <v>7898</v>
      </c>
      <c r="CG1845" s="132"/>
      <c r="CH1845" s="132"/>
      <c r="CI1845" s="24"/>
      <c r="CJ1845" s="24"/>
    </row>
    <row r="1846" spans="1:88" ht="15" customHeight="1">
      <c r="A1846" s="18">
        <v>2021</v>
      </c>
      <c r="B1846" s="18" t="e">
        <f>+INDEX(BDD!F:F,MATCH(P1846,BDD!D:D,0))&amp;"-"&amp;INDEX(BDD!E:E,MATCH(P1846,BDD!D:D,0))</f>
        <v>#N/A</v>
      </c>
      <c r="C1846" s="360" t="s">
        <v>5398</v>
      </c>
      <c r="D1846" s="150" t="s">
        <v>3</v>
      </c>
      <c r="E1846" s="132" t="s">
        <v>7904</v>
      </c>
      <c r="F1846" s="132"/>
      <c r="G1846" s="346">
        <v>8000001779</v>
      </c>
      <c r="H1846" s="18" t="s">
        <v>8052</v>
      </c>
      <c r="I1846" s="329"/>
      <c r="J1846" s="346">
        <v>8000001779</v>
      </c>
      <c r="K1846" s="24">
        <v>44540</v>
      </c>
      <c r="L1846" s="24"/>
      <c r="M1846" s="24"/>
      <c r="N1846" s="334" t="s">
        <v>3</v>
      </c>
      <c r="O1846" s="334">
        <v>203585</v>
      </c>
      <c r="P1846" s="25" t="s">
        <v>7088</v>
      </c>
      <c r="Q1846" s="127" t="s">
        <v>110</v>
      </c>
      <c r="R1846" s="401" t="s">
        <v>7089</v>
      </c>
      <c r="S1846" s="89">
        <v>44543</v>
      </c>
      <c r="T1846" s="36">
        <v>90</v>
      </c>
      <c r="U1846" s="125" t="s">
        <v>118</v>
      </c>
      <c r="V1846" s="147"/>
      <c r="W1846" s="129"/>
      <c r="X1846" s="88"/>
      <c r="Y1846" s="130" t="s">
        <v>3</v>
      </c>
      <c r="Z1846" s="133" t="s">
        <v>60</v>
      </c>
      <c r="AA1846" s="133"/>
      <c r="AB1846" s="241">
        <v>2500</v>
      </c>
      <c r="AC1846" s="134">
        <v>435</v>
      </c>
      <c r="AD1846" s="134"/>
      <c r="AE1846" s="403">
        <f t="shared" si="118"/>
        <v>1087500</v>
      </c>
      <c r="AF1846" s="132"/>
      <c r="AG1846" s="130" t="s">
        <v>58</v>
      </c>
      <c r="AH1846" s="130"/>
      <c r="AI1846" s="130" t="s">
        <v>34</v>
      </c>
      <c r="AJ1846" s="274">
        <v>1.25</v>
      </c>
      <c r="AK1846" s="130" t="s">
        <v>7090</v>
      </c>
      <c r="AL1846" s="135" t="s">
        <v>6678</v>
      </c>
      <c r="AM1846" s="314">
        <v>2022</v>
      </c>
      <c r="AN1846" s="26">
        <v>44715</v>
      </c>
      <c r="AO1846" s="385">
        <v>44757</v>
      </c>
      <c r="AP1846" s="26">
        <f>AN1846+46</f>
        <v>44761</v>
      </c>
      <c r="AQ1846" s="385">
        <f>AO1846+46</f>
        <v>44803</v>
      </c>
      <c r="AR1846" s="24">
        <f>AQ1846+10</f>
        <v>44813</v>
      </c>
      <c r="AS1846" s="41"/>
      <c r="AT1846" s="24">
        <v>44807</v>
      </c>
      <c r="AU1846" s="418">
        <f t="shared" ref="AU1846" si="129">MONTH(AT1846)</f>
        <v>9</v>
      </c>
      <c r="AV1846" s="418">
        <f t="shared" ref="AV1846" si="130">YEAR(AT1846)</f>
        <v>2022</v>
      </c>
      <c r="AW1846" s="24" t="s">
        <v>7874</v>
      </c>
      <c r="AX1846" s="24" t="s">
        <v>5402</v>
      </c>
      <c r="AY1846" s="135" t="s">
        <v>6800</v>
      </c>
      <c r="AZ1846" s="24" t="s">
        <v>37</v>
      </c>
      <c r="BA1846" s="24"/>
      <c r="BB1846" s="24" t="s">
        <v>3291</v>
      </c>
      <c r="BC1846" s="128"/>
      <c r="BD1846" s="24"/>
      <c r="BE1846" s="24"/>
      <c r="BF1846" s="24"/>
      <c r="BG1846" s="135" t="s">
        <v>52</v>
      </c>
      <c r="BH1846" s="135"/>
      <c r="BI1846" s="314" t="s">
        <v>3</v>
      </c>
      <c r="BJ1846" s="314"/>
      <c r="BK1846" s="24"/>
      <c r="BL1846" s="24"/>
      <c r="BM1846" s="24"/>
      <c r="BN1846" s="24"/>
      <c r="BO1846" s="41"/>
      <c r="BP1846" s="41"/>
      <c r="BQ1846" s="41"/>
      <c r="BR1846" s="24"/>
      <c r="BS1846" s="41"/>
      <c r="BT1846" s="41"/>
      <c r="BU1846" s="41"/>
      <c r="BV1846" s="132" t="e">
        <f>IF(#REF!="COMPLETO","OK","PENDIENTE")</f>
        <v>#REF!</v>
      </c>
      <c r="BW1846" s="132"/>
      <c r="BX1846" s="132"/>
      <c r="BY1846" s="132"/>
      <c r="BZ1846" s="132"/>
      <c r="CA1846" s="132"/>
      <c r="CB1846" s="132"/>
      <c r="CC1846" s="362"/>
      <c r="CD1846" s="67" t="s">
        <v>6801</v>
      </c>
      <c r="CE1846" s="67" t="s">
        <v>7898</v>
      </c>
      <c r="CG1846" s="132"/>
      <c r="CH1846" s="132"/>
      <c r="CI1846" s="24"/>
      <c r="CJ1846" s="24"/>
    </row>
    <row r="1847" spans="1:88" ht="15" customHeight="1">
      <c r="A1847" s="18">
        <v>2021</v>
      </c>
      <c r="B1847" s="18" t="str">
        <f>+INDEX(BDD!F:F,MATCH(P1847,BDD!D:D,0))&amp;"-"&amp;INDEX(BDD!E:E,MATCH(P1847,BDD!D:D,0))</f>
        <v>S-S</v>
      </c>
      <c r="C1847" s="360" t="s">
        <v>484</v>
      </c>
      <c r="D1847" s="150" t="s">
        <v>77</v>
      </c>
      <c r="E1847" s="132"/>
      <c r="F1847" s="132"/>
      <c r="G1847" s="346">
        <v>8000001788</v>
      </c>
      <c r="H1847" s="18" t="s">
        <v>7091</v>
      </c>
      <c r="I1847" s="329"/>
      <c r="J1847" s="346">
        <v>8000001788</v>
      </c>
      <c r="K1847" s="24"/>
      <c r="L1847" s="24">
        <v>44600</v>
      </c>
      <c r="M1847" s="24">
        <v>44600</v>
      </c>
      <c r="N1847" s="340" t="s">
        <v>486</v>
      </c>
      <c r="O1847" s="334">
        <v>206615</v>
      </c>
      <c r="P1847" s="25" t="s">
        <v>387</v>
      </c>
      <c r="Q1847" s="127" t="s">
        <v>6000</v>
      </c>
      <c r="R1847" s="232" t="s">
        <v>544</v>
      </c>
      <c r="S1847" s="89">
        <v>44546</v>
      </c>
      <c r="T1847" s="36">
        <v>60</v>
      </c>
      <c r="U1847" s="125" t="s">
        <v>131</v>
      </c>
      <c r="V1847" s="147" t="s">
        <v>7092</v>
      </c>
      <c r="W1847" s="129"/>
      <c r="X1847" s="88">
        <v>44647</v>
      </c>
      <c r="Y1847" s="130" t="s">
        <v>20</v>
      </c>
      <c r="Z1847" s="133" t="s">
        <v>87</v>
      </c>
      <c r="AA1847" s="133"/>
      <c r="AB1847" s="241">
        <v>112</v>
      </c>
      <c r="AC1847" s="134">
        <v>1300</v>
      </c>
      <c r="AD1847" s="134"/>
      <c r="AE1847" s="403">
        <f t="shared" si="118"/>
        <v>145600</v>
      </c>
      <c r="AF1847" s="132">
        <v>4</v>
      </c>
      <c r="AG1847" s="130" t="s">
        <v>33</v>
      </c>
      <c r="AH1847" s="130"/>
      <c r="AI1847" s="130" t="s">
        <v>34</v>
      </c>
      <c r="AJ1847" s="130"/>
      <c r="AK1847" s="130"/>
      <c r="AL1847" s="135" t="s">
        <v>6678</v>
      </c>
      <c r="AM1847" s="314"/>
      <c r="AN1847" s="26">
        <f t="shared" si="128"/>
        <v>0</v>
      </c>
      <c r="AO1847" s="26">
        <v>44595</v>
      </c>
      <c r="AP1847" s="26">
        <f t="shared" ref="AP1847:AP1854" si="131">AQ1847</f>
        <v>44596</v>
      </c>
      <c r="AQ1847" s="26">
        <v>44596</v>
      </c>
      <c r="AR1847" s="24">
        <v>44613</v>
      </c>
      <c r="AS1847" s="24"/>
      <c r="AT1847" s="24">
        <v>44596</v>
      </c>
      <c r="AU1847" s="418">
        <f t="shared" si="119"/>
        <v>2</v>
      </c>
      <c r="AV1847" s="418">
        <f t="shared" si="120"/>
        <v>2022</v>
      </c>
      <c r="AW1847" s="24"/>
      <c r="AX1847" s="24"/>
      <c r="AY1847" s="24" t="s">
        <v>181</v>
      </c>
      <c r="AZ1847" s="24" t="s">
        <v>62</v>
      </c>
      <c r="BA1847" s="24"/>
      <c r="BB1847" s="132" t="s">
        <v>3264</v>
      </c>
      <c r="BC1847" s="128">
        <v>7637</v>
      </c>
      <c r="BD1847" s="24">
        <v>44587</v>
      </c>
      <c r="BE1847" s="24" t="s">
        <v>6003</v>
      </c>
      <c r="BF1847" s="24" t="s">
        <v>6003</v>
      </c>
      <c r="BG1847" s="135" t="s">
        <v>7093</v>
      </c>
      <c r="BH1847" s="135"/>
      <c r="BI1847" s="314" t="s">
        <v>117</v>
      </c>
      <c r="BJ1847" s="314" t="s">
        <v>143</v>
      </c>
      <c r="BK1847" s="24"/>
      <c r="BL1847" s="24"/>
      <c r="BM1847" s="24"/>
      <c r="BN1847" s="24"/>
      <c r="BO1847" s="24"/>
      <c r="BP1847" s="24"/>
      <c r="BQ1847" s="24" t="s">
        <v>7094</v>
      </c>
      <c r="BR1847" s="24">
        <v>44592</v>
      </c>
      <c r="BS1847" s="24" t="s">
        <v>26</v>
      </c>
      <c r="BT1847" s="24" t="s">
        <v>11</v>
      </c>
      <c r="BU1847" s="24"/>
      <c r="BV1847" s="132" t="e">
        <f>IF(#REF!="COMPLETO","OK","PENDIENTE")</f>
        <v>#REF!</v>
      </c>
      <c r="BW1847" s="132"/>
      <c r="BX1847" s="132"/>
      <c r="BY1847" s="132"/>
      <c r="BZ1847" s="132"/>
      <c r="CA1847" s="132"/>
      <c r="CB1847" s="132"/>
      <c r="CC1847" s="362"/>
      <c r="CG1847" s="132" t="s">
        <v>105</v>
      </c>
      <c r="CH1847" s="132"/>
      <c r="CI1847" s="24"/>
      <c r="CJ1847" s="24"/>
    </row>
    <row r="1848" spans="1:88" ht="15" customHeight="1">
      <c r="A1848" s="18">
        <v>2021</v>
      </c>
      <c r="B1848" s="18" t="str">
        <f>+INDEX(BDD!F:F,MATCH(P1848,BDD!D:D,0))&amp;"-"&amp;INDEX(BDD!E:E,MATCH(P1848,BDD!D:D,0))</f>
        <v>O-S</v>
      </c>
      <c r="C1848" s="360" t="s">
        <v>484</v>
      </c>
      <c r="D1848" s="150" t="s">
        <v>77</v>
      </c>
      <c r="E1848" s="132"/>
      <c r="F1848" s="132"/>
      <c r="G1848" s="346">
        <v>8000001806</v>
      </c>
      <c r="H1848" s="18" t="s">
        <v>7095</v>
      </c>
      <c r="I1848" s="329"/>
      <c r="J1848" s="346">
        <v>8000001806</v>
      </c>
      <c r="K1848" s="24"/>
      <c r="L1848" s="24">
        <v>44613</v>
      </c>
      <c r="M1848" s="24">
        <v>44613</v>
      </c>
      <c r="N1848" s="340" t="s">
        <v>486</v>
      </c>
      <c r="O1848" s="334">
        <v>208060</v>
      </c>
      <c r="P1848" s="25" t="s">
        <v>380</v>
      </c>
      <c r="Q1848" s="127" t="s">
        <v>303</v>
      </c>
      <c r="R1848" s="232" t="s">
        <v>7096</v>
      </c>
      <c r="S1848" s="89">
        <v>44545</v>
      </c>
      <c r="T1848" s="36">
        <v>60</v>
      </c>
      <c r="U1848" s="125" t="s">
        <v>131</v>
      </c>
      <c r="V1848" s="147" t="s">
        <v>7097</v>
      </c>
      <c r="W1848" s="129"/>
      <c r="X1848" s="88">
        <v>44611</v>
      </c>
      <c r="Y1848" s="130" t="s">
        <v>20</v>
      </c>
      <c r="Z1848" s="133" t="s">
        <v>60</v>
      </c>
      <c r="AA1848" s="133"/>
      <c r="AB1848" s="241">
        <v>220</v>
      </c>
      <c r="AC1848" s="134">
        <v>923.96</v>
      </c>
      <c r="AD1848" s="134"/>
      <c r="AE1848" s="403">
        <f t="shared" si="118"/>
        <v>203271.2</v>
      </c>
      <c r="AF1848" s="132">
        <v>10</v>
      </c>
      <c r="AG1848" s="130" t="s">
        <v>5</v>
      </c>
      <c r="AH1848" s="130"/>
      <c r="AI1848" s="130" t="s">
        <v>47</v>
      </c>
      <c r="AJ1848" s="130"/>
      <c r="AK1848" s="130"/>
      <c r="AL1848" s="135" t="s">
        <v>6678</v>
      </c>
      <c r="AM1848" s="314"/>
      <c r="AN1848" s="26">
        <f t="shared" si="128"/>
        <v>0</v>
      </c>
      <c r="AO1848" s="26">
        <v>44603</v>
      </c>
      <c r="AP1848" s="26">
        <f t="shared" si="131"/>
        <v>44607</v>
      </c>
      <c r="AQ1848" s="26">
        <f>AO1848+4</f>
        <v>44607</v>
      </c>
      <c r="AR1848" s="24">
        <f>AQ1848+4</f>
        <v>44611</v>
      </c>
      <c r="AS1848" s="24"/>
      <c r="AT1848" s="24">
        <v>44610</v>
      </c>
      <c r="AU1848" s="418">
        <f t="shared" si="119"/>
        <v>2</v>
      </c>
      <c r="AV1848" s="418">
        <f t="shared" si="120"/>
        <v>2022</v>
      </c>
      <c r="AW1848" s="24"/>
      <c r="AX1848" s="135" t="s">
        <v>6982</v>
      </c>
      <c r="AY1848" s="135" t="s">
        <v>7360</v>
      </c>
      <c r="AZ1848" s="24" t="s">
        <v>9</v>
      </c>
      <c r="BA1848" s="24"/>
      <c r="BB1848" s="132" t="s">
        <v>3264</v>
      </c>
      <c r="BC1848" s="128" t="s">
        <v>7098</v>
      </c>
      <c r="BD1848" s="24">
        <v>44603</v>
      </c>
      <c r="BE1848" s="24" t="s">
        <v>947</v>
      </c>
      <c r="BF1848" s="24" t="s">
        <v>947</v>
      </c>
      <c r="BG1848" s="135" t="s">
        <v>29</v>
      </c>
      <c r="BH1848" s="135"/>
      <c r="BI1848" s="314" t="s">
        <v>3</v>
      </c>
      <c r="BJ1848" s="314" t="s">
        <v>148</v>
      </c>
      <c r="BK1848" s="24"/>
      <c r="BL1848" s="24"/>
      <c r="BM1848" s="24"/>
      <c r="BN1848" s="24"/>
      <c r="BO1848" s="24"/>
      <c r="BP1848" s="24"/>
      <c r="BQ1848" s="24" t="s">
        <v>7099</v>
      </c>
      <c r="BR1848" s="24">
        <v>44607</v>
      </c>
      <c r="BS1848" s="24" t="s">
        <v>38</v>
      </c>
      <c r="BT1848" s="24" t="s">
        <v>11</v>
      </c>
      <c r="BU1848" s="24"/>
      <c r="BV1848" s="132" t="e">
        <f>IF(#REF!="COMPLETO","OK","PENDIENTE")</f>
        <v>#REF!</v>
      </c>
      <c r="BW1848" s="132"/>
      <c r="BX1848" s="132"/>
      <c r="BY1848" s="132"/>
      <c r="BZ1848" s="132"/>
      <c r="CA1848" s="132"/>
      <c r="CB1848" s="132"/>
      <c r="CC1848" s="362"/>
      <c r="CG1848" s="132" t="s">
        <v>105</v>
      </c>
      <c r="CH1848" s="132"/>
      <c r="CI1848" s="24"/>
      <c r="CJ1848" s="24"/>
    </row>
    <row r="1849" spans="1:88" ht="15" customHeight="1">
      <c r="A1849" s="18">
        <v>2021</v>
      </c>
      <c r="B1849" s="18" t="str">
        <f>+INDEX(BDD!F:F,MATCH(P1849,BDD!D:D,0))&amp;"-"&amp;INDEX(BDD!E:E,MATCH(P1849,BDD!D:D,0))</f>
        <v>O-S</v>
      </c>
      <c r="C1849" s="360" t="s">
        <v>484</v>
      </c>
      <c r="D1849" s="150" t="s">
        <v>77</v>
      </c>
      <c r="E1849" s="132"/>
      <c r="F1849" s="132"/>
      <c r="G1849" s="346">
        <v>8000001807</v>
      </c>
      <c r="H1849" s="18" t="s">
        <v>7100</v>
      </c>
      <c r="I1849" s="329"/>
      <c r="J1849" s="346">
        <v>8000001807</v>
      </c>
      <c r="K1849" s="24"/>
      <c r="L1849" s="24">
        <v>44613</v>
      </c>
      <c r="M1849" s="24">
        <v>44613</v>
      </c>
      <c r="N1849" s="340" t="s">
        <v>486</v>
      </c>
      <c r="O1849" s="334">
        <v>208060</v>
      </c>
      <c r="P1849" s="25" t="s">
        <v>380</v>
      </c>
      <c r="Q1849" s="127" t="s">
        <v>303</v>
      </c>
      <c r="R1849" s="232" t="s">
        <v>7101</v>
      </c>
      <c r="S1849" s="89">
        <v>44545</v>
      </c>
      <c r="T1849" s="36">
        <v>60</v>
      </c>
      <c r="U1849" s="125" t="s">
        <v>131</v>
      </c>
      <c r="V1849" s="147" t="s">
        <v>7102</v>
      </c>
      <c r="W1849" s="129"/>
      <c r="X1849" s="88">
        <v>44600</v>
      </c>
      <c r="Y1849" s="130" t="s">
        <v>20</v>
      </c>
      <c r="Z1849" s="133" t="s">
        <v>60</v>
      </c>
      <c r="AA1849" s="133"/>
      <c r="AB1849" s="241">
        <v>154</v>
      </c>
      <c r="AC1849" s="134">
        <v>893.18</v>
      </c>
      <c r="AD1849" s="134"/>
      <c r="AE1849" s="403">
        <f t="shared" si="118"/>
        <v>137549.72</v>
      </c>
      <c r="AF1849" s="132">
        <v>7</v>
      </c>
      <c r="AG1849" s="130" t="s">
        <v>5</v>
      </c>
      <c r="AH1849" s="130"/>
      <c r="AI1849" s="130" t="s">
        <v>47</v>
      </c>
      <c r="AJ1849" s="130"/>
      <c r="AK1849" s="130"/>
      <c r="AL1849" s="135" t="s">
        <v>6678</v>
      </c>
      <c r="AM1849" s="314"/>
      <c r="AN1849" s="26">
        <f t="shared" si="128"/>
        <v>0</v>
      </c>
      <c r="AO1849" s="26">
        <v>44591</v>
      </c>
      <c r="AP1849" s="26">
        <f t="shared" si="131"/>
        <v>44606</v>
      </c>
      <c r="AQ1849" s="26">
        <v>44606</v>
      </c>
      <c r="AR1849" s="24">
        <f>AQ1849+4</f>
        <v>44610</v>
      </c>
      <c r="AS1849" s="24"/>
      <c r="AT1849" s="24">
        <v>44609</v>
      </c>
      <c r="AU1849" s="418">
        <f t="shared" si="119"/>
        <v>2</v>
      </c>
      <c r="AV1849" s="418">
        <f t="shared" si="120"/>
        <v>2022</v>
      </c>
      <c r="AW1849" s="24"/>
      <c r="AX1849" s="135" t="s">
        <v>6982</v>
      </c>
      <c r="AY1849" s="135" t="s">
        <v>7360</v>
      </c>
      <c r="AZ1849" s="24" t="s">
        <v>37</v>
      </c>
      <c r="BA1849" s="24"/>
      <c r="BB1849" s="132" t="s">
        <v>3291</v>
      </c>
      <c r="BC1849" s="128" t="s">
        <v>7103</v>
      </c>
      <c r="BD1849" s="24">
        <v>44591</v>
      </c>
      <c r="BE1849" s="24" t="s">
        <v>756</v>
      </c>
      <c r="BF1849" s="24" t="s">
        <v>756</v>
      </c>
      <c r="BG1849" s="135" t="s">
        <v>64</v>
      </c>
      <c r="BH1849" s="135"/>
      <c r="BI1849" s="314" t="s">
        <v>3</v>
      </c>
      <c r="BJ1849" s="314" t="s">
        <v>148</v>
      </c>
      <c r="BK1849" s="24"/>
      <c r="BL1849" s="24"/>
      <c r="BM1849" s="24"/>
      <c r="BN1849" s="24"/>
      <c r="BO1849" s="24"/>
      <c r="BP1849" s="24"/>
      <c r="BQ1849" s="24" t="s">
        <v>7104</v>
      </c>
      <c r="BR1849" s="24">
        <v>44596</v>
      </c>
      <c r="BS1849" s="24" t="s">
        <v>26</v>
      </c>
      <c r="BT1849" s="24" t="s">
        <v>11</v>
      </c>
      <c r="BU1849" s="24"/>
      <c r="BV1849" s="132" t="e">
        <f>IF(#REF!="COMPLETO","OK","PENDIENTE")</f>
        <v>#REF!</v>
      </c>
      <c r="BW1849" s="132"/>
      <c r="BX1849" s="132"/>
      <c r="BY1849" s="132"/>
      <c r="BZ1849" s="132"/>
      <c r="CA1849" s="132"/>
      <c r="CB1849" s="132"/>
      <c r="CC1849" s="362"/>
      <c r="CG1849" s="132" t="s">
        <v>105</v>
      </c>
      <c r="CH1849" s="132"/>
      <c r="CI1849" s="24"/>
      <c r="CJ1849" s="24"/>
    </row>
    <row r="1850" spans="1:88" ht="15" customHeight="1">
      <c r="A1850" s="18">
        <v>2021</v>
      </c>
      <c r="B1850" s="18" t="str">
        <f>+INDEX(BDD!F:F,MATCH(P1850,BDD!D:D,0))&amp;"-"&amp;INDEX(BDD!E:E,MATCH(P1850,BDD!D:D,0))</f>
        <v>O-S</v>
      </c>
      <c r="C1850" s="360" t="s">
        <v>484</v>
      </c>
      <c r="D1850" s="150" t="s">
        <v>77</v>
      </c>
      <c r="E1850" s="132"/>
      <c r="F1850" s="132"/>
      <c r="G1850" s="346">
        <v>8000001808</v>
      </c>
      <c r="H1850" s="18" t="s">
        <v>7105</v>
      </c>
      <c r="I1850" s="329"/>
      <c r="J1850" s="346">
        <v>8000001808</v>
      </c>
      <c r="K1850" s="24"/>
      <c r="L1850" s="24">
        <v>44613</v>
      </c>
      <c r="M1850" s="24">
        <v>44613</v>
      </c>
      <c r="N1850" s="340" t="s">
        <v>486</v>
      </c>
      <c r="O1850" s="334">
        <v>208060</v>
      </c>
      <c r="P1850" s="25" t="s">
        <v>380</v>
      </c>
      <c r="Q1850" s="127" t="s">
        <v>303</v>
      </c>
      <c r="R1850" s="232" t="s">
        <v>7106</v>
      </c>
      <c r="S1850" s="89">
        <v>44545</v>
      </c>
      <c r="T1850" s="36" t="s">
        <v>19</v>
      </c>
      <c r="U1850" s="125"/>
      <c r="V1850" s="147" t="s">
        <v>7107</v>
      </c>
      <c r="W1850" s="129"/>
      <c r="X1850" s="88">
        <v>44607</v>
      </c>
      <c r="Y1850" s="130" t="s">
        <v>20</v>
      </c>
      <c r="Z1850" s="133" t="s">
        <v>60</v>
      </c>
      <c r="AA1850" s="133"/>
      <c r="AB1850" s="241">
        <v>220</v>
      </c>
      <c r="AC1850" s="134">
        <v>907.86</v>
      </c>
      <c r="AD1850" s="134"/>
      <c r="AE1850" s="403">
        <f t="shared" si="118"/>
        <v>199729.2</v>
      </c>
      <c r="AF1850" s="132">
        <v>10</v>
      </c>
      <c r="AG1850" s="130" t="s">
        <v>5</v>
      </c>
      <c r="AH1850" s="130"/>
      <c r="AI1850" s="130" t="s">
        <v>47</v>
      </c>
      <c r="AJ1850" s="130"/>
      <c r="AK1850" s="130"/>
      <c r="AL1850" s="135" t="s">
        <v>6412</v>
      </c>
      <c r="AM1850" s="314"/>
      <c r="AN1850" s="26">
        <f t="shared" si="128"/>
        <v>0</v>
      </c>
      <c r="AO1850" s="26">
        <v>44589</v>
      </c>
      <c r="AP1850" s="26">
        <f t="shared" si="131"/>
        <v>44603</v>
      </c>
      <c r="AQ1850" s="26">
        <v>44603</v>
      </c>
      <c r="AR1850" s="24">
        <f>AQ1850+3</f>
        <v>44606</v>
      </c>
      <c r="AS1850" s="24"/>
      <c r="AT1850" s="24">
        <v>44611</v>
      </c>
      <c r="AU1850" s="418">
        <f t="shared" si="119"/>
        <v>2</v>
      </c>
      <c r="AV1850" s="418">
        <f t="shared" si="120"/>
        <v>2022</v>
      </c>
      <c r="AW1850" s="24"/>
      <c r="AX1850" s="135" t="s">
        <v>6982</v>
      </c>
      <c r="AY1850" s="135" t="s">
        <v>7360</v>
      </c>
      <c r="AZ1850" s="24" t="s">
        <v>62</v>
      </c>
      <c r="BA1850" s="24"/>
      <c r="BB1850" s="24" t="s">
        <v>3264</v>
      </c>
      <c r="BC1850" s="128" t="s">
        <v>7002</v>
      </c>
      <c r="BD1850" s="24">
        <v>44589</v>
      </c>
      <c r="BE1850" s="24" t="s">
        <v>947</v>
      </c>
      <c r="BF1850" s="24" t="s">
        <v>1938</v>
      </c>
      <c r="BG1850" s="135" t="s">
        <v>29</v>
      </c>
      <c r="BH1850" s="135"/>
      <c r="BI1850" s="314" t="s">
        <v>3</v>
      </c>
      <c r="BJ1850" s="314" t="s">
        <v>148</v>
      </c>
      <c r="BK1850" s="24" t="s">
        <v>7933</v>
      </c>
      <c r="BL1850" s="24"/>
      <c r="BM1850" s="24"/>
      <c r="BN1850" s="24"/>
      <c r="BO1850" s="24"/>
      <c r="BP1850" s="24"/>
      <c r="BQ1850" s="24" t="s">
        <v>7932</v>
      </c>
      <c r="BR1850" s="24">
        <v>44603</v>
      </c>
      <c r="BS1850" s="24" t="s">
        <v>38</v>
      </c>
      <c r="BT1850" s="24" t="s">
        <v>11</v>
      </c>
      <c r="BU1850" s="24">
        <v>44603</v>
      </c>
      <c r="BV1850" s="132" t="e">
        <f>IF(#REF!="COMPLETO","OK","PENDIENTE")</f>
        <v>#REF!</v>
      </c>
      <c r="BW1850" s="132"/>
      <c r="BX1850" s="132"/>
      <c r="BY1850" s="132"/>
      <c r="BZ1850" s="132"/>
      <c r="CA1850" s="132"/>
      <c r="CB1850" s="132"/>
      <c r="CC1850" s="362"/>
      <c r="CG1850" s="132" t="s">
        <v>105</v>
      </c>
      <c r="CH1850" s="132"/>
      <c r="CI1850" s="24"/>
      <c r="CJ1850" s="24"/>
    </row>
    <row r="1851" spans="1:88" ht="15" customHeight="1">
      <c r="A1851" s="18">
        <v>2021</v>
      </c>
      <c r="B1851" s="18" t="str">
        <f>+INDEX(BDD!F:F,MATCH(P1851,BDD!D:D,0))&amp;"-"&amp;INDEX(BDD!E:E,MATCH(P1851,BDD!D:D,0))</f>
        <v>S-S</v>
      </c>
      <c r="C1851" s="360" t="s">
        <v>484</v>
      </c>
      <c r="D1851" s="150" t="s">
        <v>77</v>
      </c>
      <c r="E1851" s="132"/>
      <c r="F1851" s="132"/>
      <c r="G1851" s="346">
        <v>8000001815</v>
      </c>
      <c r="H1851" s="18" t="s">
        <v>7108</v>
      </c>
      <c r="I1851" s="329"/>
      <c r="J1851" s="346">
        <v>8000001815</v>
      </c>
      <c r="K1851" s="24"/>
      <c r="L1851" s="24">
        <v>44603</v>
      </c>
      <c r="M1851" s="24">
        <v>44603</v>
      </c>
      <c r="N1851" s="340" t="s">
        <v>486</v>
      </c>
      <c r="O1851" s="334">
        <v>206914</v>
      </c>
      <c r="P1851" s="25" t="s">
        <v>335</v>
      </c>
      <c r="Q1851" s="127" t="s">
        <v>273</v>
      </c>
      <c r="R1851" s="232" t="s">
        <v>6865</v>
      </c>
      <c r="S1851" s="89">
        <v>44566</v>
      </c>
      <c r="T1851" s="36">
        <v>180</v>
      </c>
      <c r="U1851" s="125" t="s">
        <v>118</v>
      </c>
      <c r="V1851" s="147" t="s">
        <v>7109</v>
      </c>
      <c r="W1851" s="129"/>
      <c r="X1851" s="88">
        <v>44582</v>
      </c>
      <c r="Y1851" s="130" t="s">
        <v>20</v>
      </c>
      <c r="Z1851" s="133" t="s">
        <v>60</v>
      </c>
      <c r="AA1851" s="133"/>
      <c r="AB1851" s="241">
        <v>1300</v>
      </c>
      <c r="AC1851" s="134">
        <v>313.91000000000003</v>
      </c>
      <c r="AD1851" s="134">
        <v>66.400000000000006</v>
      </c>
      <c r="AE1851" s="403">
        <f t="shared" si="118"/>
        <v>408083.00000000006</v>
      </c>
      <c r="AF1851" s="132"/>
      <c r="AG1851" s="130" t="s">
        <v>58</v>
      </c>
      <c r="AH1851" s="130"/>
      <c r="AI1851" s="130" t="s">
        <v>34</v>
      </c>
      <c r="AJ1851" s="130"/>
      <c r="AK1851" s="130"/>
      <c r="AL1851" s="135" t="s">
        <v>6678</v>
      </c>
      <c r="AM1851" s="314"/>
      <c r="AN1851" s="26">
        <f t="shared" si="128"/>
        <v>0</v>
      </c>
      <c r="AO1851" s="26">
        <v>44570</v>
      </c>
      <c r="AP1851" s="26">
        <f t="shared" si="131"/>
        <v>44600</v>
      </c>
      <c r="AQ1851" s="26">
        <v>44600</v>
      </c>
      <c r="AR1851" s="24">
        <f>AQ1851+2</f>
        <v>44602</v>
      </c>
      <c r="AS1851" s="24"/>
      <c r="AT1851" s="24">
        <v>44603</v>
      </c>
      <c r="AU1851" s="418">
        <f t="shared" si="119"/>
        <v>2</v>
      </c>
      <c r="AV1851" s="418">
        <f t="shared" si="120"/>
        <v>2022</v>
      </c>
      <c r="AW1851" s="24"/>
      <c r="AX1851" s="135"/>
      <c r="AY1851" s="135" t="s">
        <v>5642</v>
      </c>
      <c r="AZ1851" s="24" t="s">
        <v>9</v>
      </c>
      <c r="BA1851" s="24"/>
      <c r="BB1851" s="132" t="s">
        <v>3519</v>
      </c>
      <c r="BC1851" s="128" t="s">
        <v>7110</v>
      </c>
      <c r="BD1851" s="24">
        <v>44570</v>
      </c>
      <c r="BE1851" s="24" t="s">
        <v>6868</v>
      </c>
      <c r="BF1851" s="24" t="s">
        <v>6868</v>
      </c>
      <c r="BG1851" s="135" t="s">
        <v>52</v>
      </c>
      <c r="BH1851" s="135"/>
      <c r="BI1851" s="314" t="s">
        <v>3</v>
      </c>
      <c r="BJ1851" s="314"/>
      <c r="BK1851" s="24"/>
      <c r="BL1851" s="24"/>
      <c r="BM1851" s="24"/>
      <c r="BN1851" s="24"/>
      <c r="BO1851" s="24"/>
      <c r="BP1851" s="24"/>
      <c r="BQ1851" s="24" t="s">
        <v>7111</v>
      </c>
      <c r="BR1851" s="24">
        <v>44599</v>
      </c>
      <c r="BS1851" s="24" t="s">
        <v>38</v>
      </c>
      <c r="BT1851" s="24" t="s">
        <v>11</v>
      </c>
      <c r="BU1851" s="24"/>
      <c r="BV1851" s="132" t="s">
        <v>3</v>
      </c>
      <c r="BW1851" s="132"/>
      <c r="BX1851" s="132"/>
      <c r="BY1851" s="132"/>
      <c r="BZ1851" s="132"/>
      <c r="CA1851" s="132"/>
      <c r="CB1851" s="132"/>
      <c r="CC1851" s="362"/>
      <c r="CG1851" s="132" t="s">
        <v>105</v>
      </c>
      <c r="CH1851" s="132"/>
      <c r="CI1851" s="24"/>
      <c r="CJ1851" s="24"/>
    </row>
    <row r="1852" spans="1:88" ht="15" customHeight="1">
      <c r="A1852" s="18">
        <v>2021</v>
      </c>
      <c r="B1852" s="18" t="str">
        <f>+INDEX(BDD!F:F,MATCH(P1852,BDD!D:D,0))&amp;"-"&amp;INDEX(BDD!E:E,MATCH(P1852,BDD!D:D,0))</f>
        <v>S-S</v>
      </c>
      <c r="C1852" s="360" t="s">
        <v>484</v>
      </c>
      <c r="D1852" s="150" t="s">
        <v>77</v>
      </c>
      <c r="E1852" s="132"/>
      <c r="F1852" s="132"/>
      <c r="G1852" s="346">
        <v>8000001816</v>
      </c>
      <c r="H1852" s="18" t="s">
        <v>7112</v>
      </c>
      <c r="I1852" s="329"/>
      <c r="J1852" s="346">
        <v>8000001816</v>
      </c>
      <c r="K1852" s="24"/>
      <c r="L1852" s="24">
        <v>44607</v>
      </c>
      <c r="M1852" s="24">
        <v>44607</v>
      </c>
      <c r="N1852" s="340" t="s">
        <v>486</v>
      </c>
      <c r="O1852" s="334">
        <v>206914</v>
      </c>
      <c r="P1852" s="25" t="s">
        <v>335</v>
      </c>
      <c r="Q1852" s="127" t="s">
        <v>273</v>
      </c>
      <c r="R1852" s="232" t="s">
        <v>6865</v>
      </c>
      <c r="S1852" s="89">
        <v>44566</v>
      </c>
      <c r="T1852" s="36">
        <v>180</v>
      </c>
      <c r="U1852" s="125" t="s">
        <v>118</v>
      </c>
      <c r="V1852" s="147" t="s">
        <v>7113</v>
      </c>
      <c r="W1852" s="129"/>
      <c r="X1852" s="88">
        <v>44582</v>
      </c>
      <c r="Y1852" s="130" t="s">
        <v>20</v>
      </c>
      <c r="Z1852" s="133" t="s">
        <v>60</v>
      </c>
      <c r="AA1852" s="133"/>
      <c r="AB1852" s="241">
        <v>1700</v>
      </c>
      <c r="AC1852" s="134">
        <v>313.91000000000003</v>
      </c>
      <c r="AD1852" s="134">
        <v>66.400000000000006</v>
      </c>
      <c r="AE1852" s="403">
        <f t="shared" si="118"/>
        <v>533647</v>
      </c>
      <c r="AF1852" s="132"/>
      <c r="AG1852" s="130" t="s">
        <v>58</v>
      </c>
      <c r="AH1852" s="130"/>
      <c r="AI1852" s="130" t="s">
        <v>34</v>
      </c>
      <c r="AJ1852" s="130"/>
      <c r="AK1852" s="130"/>
      <c r="AL1852" s="135" t="s">
        <v>6678</v>
      </c>
      <c r="AM1852" s="314"/>
      <c r="AN1852" s="26">
        <f t="shared" si="128"/>
        <v>0</v>
      </c>
      <c r="AO1852" s="26">
        <v>44570</v>
      </c>
      <c r="AP1852" s="26">
        <f t="shared" si="131"/>
        <v>44604</v>
      </c>
      <c r="AQ1852" s="26">
        <v>44604</v>
      </c>
      <c r="AR1852" s="24">
        <f>AQ1852+2</f>
        <v>44606</v>
      </c>
      <c r="AS1852" s="24"/>
      <c r="AT1852" s="24">
        <v>44606</v>
      </c>
      <c r="AU1852" s="418">
        <f t="shared" si="119"/>
        <v>2</v>
      </c>
      <c r="AV1852" s="418">
        <f t="shared" si="120"/>
        <v>2022</v>
      </c>
      <c r="AW1852" s="24"/>
      <c r="AX1852" s="135"/>
      <c r="AY1852" s="135" t="s">
        <v>5642</v>
      </c>
      <c r="AZ1852" s="24" t="s">
        <v>25</v>
      </c>
      <c r="BA1852" s="24"/>
      <c r="BB1852" s="24" t="s">
        <v>3264</v>
      </c>
      <c r="BC1852" s="128" t="s">
        <v>7114</v>
      </c>
      <c r="BD1852" s="24">
        <v>44570</v>
      </c>
      <c r="BE1852" s="24" t="s">
        <v>6868</v>
      </c>
      <c r="BF1852" s="24" t="s">
        <v>6868</v>
      </c>
      <c r="BG1852" s="135" t="s">
        <v>52</v>
      </c>
      <c r="BH1852" s="135"/>
      <c r="BI1852" s="314" t="s">
        <v>3</v>
      </c>
      <c r="BJ1852" s="314"/>
      <c r="BK1852" s="24"/>
      <c r="BL1852" s="24"/>
      <c r="BM1852" s="24"/>
      <c r="BN1852" s="24"/>
      <c r="BO1852" s="24"/>
      <c r="BP1852" s="24"/>
      <c r="BQ1852" s="24" t="s">
        <v>7115</v>
      </c>
      <c r="BR1852" s="24">
        <v>44603</v>
      </c>
      <c r="BS1852" s="24" t="s">
        <v>38</v>
      </c>
      <c r="BT1852" s="24" t="s">
        <v>11</v>
      </c>
      <c r="BU1852" s="24"/>
      <c r="BV1852" s="132" t="s">
        <v>3</v>
      </c>
      <c r="BW1852" s="132"/>
      <c r="BX1852" s="132"/>
      <c r="BY1852" s="132"/>
      <c r="BZ1852" s="132"/>
      <c r="CA1852" s="132"/>
      <c r="CB1852" s="132"/>
      <c r="CC1852" s="362"/>
      <c r="CG1852" s="132" t="s">
        <v>105</v>
      </c>
      <c r="CH1852" s="132"/>
      <c r="CI1852" s="24"/>
      <c r="CJ1852" s="24"/>
    </row>
    <row r="1853" spans="1:88" ht="15" customHeight="1">
      <c r="A1853" s="18">
        <v>2021</v>
      </c>
      <c r="B1853" s="18" t="str">
        <f>+INDEX(BDD!F:F,MATCH(P1853,BDD!D:D,0))&amp;"-"&amp;INDEX(BDD!E:E,MATCH(P1853,BDD!D:D,0))</f>
        <v>S-S</v>
      </c>
      <c r="C1853" s="360" t="s">
        <v>484</v>
      </c>
      <c r="D1853" s="150" t="s">
        <v>77</v>
      </c>
      <c r="E1853" s="132"/>
      <c r="F1853" s="132"/>
      <c r="G1853" s="346">
        <v>8000001817</v>
      </c>
      <c r="H1853" s="18" t="s">
        <v>7116</v>
      </c>
      <c r="I1853" s="329"/>
      <c r="J1853" s="346">
        <v>8000001817</v>
      </c>
      <c r="K1853" s="24"/>
      <c r="L1853" s="24">
        <v>44603</v>
      </c>
      <c r="M1853" s="24">
        <v>44603</v>
      </c>
      <c r="N1853" s="340" t="s">
        <v>486</v>
      </c>
      <c r="O1853" s="334">
        <v>205257</v>
      </c>
      <c r="P1853" s="25" t="s">
        <v>344</v>
      </c>
      <c r="Q1853" s="127" t="s">
        <v>273</v>
      </c>
      <c r="R1853" s="232" t="s">
        <v>6865</v>
      </c>
      <c r="S1853" s="89">
        <v>44566</v>
      </c>
      <c r="T1853" s="36">
        <v>180</v>
      </c>
      <c r="U1853" s="125" t="s">
        <v>118</v>
      </c>
      <c r="V1853" s="147" t="s">
        <v>7117</v>
      </c>
      <c r="W1853" s="129"/>
      <c r="X1853" s="88">
        <v>44582</v>
      </c>
      <c r="Y1853" s="130" t="s">
        <v>20</v>
      </c>
      <c r="Z1853" s="133" t="s">
        <v>60</v>
      </c>
      <c r="AA1853" s="133"/>
      <c r="AB1853" s="241">
        <v>100</v>
      </c>
      <c r="AC1853" s="134">
        <v>313.91000000000003</v>
      </c>
      <c r="AD1853" s="134">
        <v>66.400000000000006</v>
      </c>
      <c r="AE1853" s="403">
        <f t="shared" si="118"/>
        <v>31391.000000000004</v>
      </c>
      <c r="AF1853" s="132"/>
      <c r="AG1853" s="130" t="s">
        <v>58</v>
      </c>
      <c r="AH1853" s="130"/>
      <c r="AI1853" s="130" t="s">
        <v>34</v>
      </c>
      <c r="AJ1853" s="130"/>
      <c r="AK1853" s="130"/>
      <c r="AL1853" s="135" t="s">
        <v>6678</v>
      </c>
      <c r="AM1853" s="314"/>
      <c r="AN1853" s="26">
        <f t="shared" si="128"/>
        <v>0</v>
      </c>
      <c r="AO1853" s="26">
        <v>44570</v>
      </c>
      <c r="AP1853" s="26">
        <f t="shared" si="131"/>
        <v>44600</v>
      </c>
      <c r="AQ1853" s="26">
        <v>44600</v>
      </c>
      <c r="AR1853" s="24">
        <f>AQ1853+2</f>
        <v>44602</v>
      </c>
      <c r="AS1853" s="24"/>
      <c r="AT1853" s="24">
        <v>44602</v>
      </c>
      <c r="AU1853" s="418">
        <f t="shared" si="119"/>
        <v>2</v>
      </c>
      <c r="AV1853" s="418">
        <f t="shared" si="120"/>
        <v>2022</v>
      </c>
      <c r="AW1853" s="24"/>
      <c r="AX1853" s="135"/>
      <c r="AY1853" s="135" t="s">
        <v>5642</v>
      </c>
      <c r="AZ1853" s="24" t="s">
        <v>9</v>
      </c>
      <c r="BA1853" s="24"/>
      <c r="BB1853" s="132" t="s">
        <v>3519</v>
      </c>
      <c r="BC1853" s="128" t="s">
        <v>7118</v>
      </c>
      <c r="BD1853" s="24">
        <v>44570</v>
      </c>
      <c r="BE1853" s="24" t="s">
        <v>6868</v>
      </c>
      <c r="BF1853" s="24" t="s">
        <v>6868</v>
      </c>
      <c r="BG1853" s="135" t="s">
        <v>52</v>
      </c>
      <c r="BH1853" s="135"/>
      <c r="BI1853" s="314" t="s">
        <v>3</v>
      </c>
      <c r="BJ1853" s="314"/>
      <c r="BK1853" s="24"/>
      <c r="BL1853" s="24"/>
      <c r="BM1853" s="24"/>
      <c r="BN1853" s="24"/>
      <c r="BO1853" s="24"/>
      <c r="BP1853" s="24"/>
      <c r="BQ1853" s="24" t="s">
        <v>7119</v>
      </c>
      <c r="BR1853" s="24">
        <v>44599</v>
      </c>
      <c r="BS1853" s="24" t="s">
        <v>38</v>
      </c>
      <c r="BT1853" s="24" t="s">
        <v>11</v>
      </c>
      <c r="BU1853" s="24"/>
      <c r="BV1853" s="132" t="s">
        <v>3</v>
      </c>
      <c r="BW1853" s="132"/>
      <c r="BX1853" s="132"/>
      <c r="BY1853" s="132"/>
      <c r="BZ1853" s="132"/>
      <c r="CA1853" s="132"/>
      <c r="CB1853" s="132"/>
      <c r="CC1853" s="362"/>
      <c r="CG1853" s="132" t="s">
        <v>105</v>
      </c>
      <c r="CH1853" s="132"/>
      <c r="CI1853" s="24"/>
      <c r="CJ1853" s="24"/>
    </row>
    <row r="1854" spans="1:88" ht="15" customHeight="1">
      <c r="A1854" s="18">
        <v>2021</v>
      </c>
      <c r="B1854" s="18" t="str">
        <f>+INDEX(BDD!F:F,MATCH(P1854,BDD!D:D,0))&amp;"-"&amp;INDEX(BDD!E:E,MATCH(P1854,BDD!D:D,0))</f>
        <v>S-S</v>
      </c>
      <c r="C1854" s="360" t="s">
        <v>484</v>
      </c>
      <c r="D1854" s="150" t="s">
        <v>77</v>
      </c>
      <c r="E1854" s="132"/>
      <c r="F1854" s="132"/>
      <c r="G1854" s="346">
        <v>8000001818</v>
      </c>
      <c r="H1854" s="18" t="s">
        <v>7120</v>
      </c>
      <c r="I1854" s="329"/>
      <c r="J1854" s="346">
        <v>8000001818</v>
      </c>
      <c r="K1854" s="24"/>
      <c r="L1854" s="24">
        <v>44607</v>
      </c>
      <c r="M1854" s="24">
        <v>44607</v>
      </c>
      <c r="N1854" s="340" t="s">
        <v>486</v>
      </c>
      <c r="O1854" s="334">
        <v>205257</v>
      </c>
      <c r="P1854" s="25" t="s">
        <v>344</v>
      </c>
      <c r="Q1854" s="127" t="s">
        <v>273</v>
      </c>
      <c r="R1854" s="232" t="s">
        <v>6865</v>
      </c>
      <c r="S1854" s="89">
        <v>44566</v>
      </c>
      <c r="T1854" s="36">
        <v>180</v>
      </c>
      <c r="U1854" s="125" t="s">
        <v>118</v>
      </c>
      <c r="V1854" s="147" t="s">
        <v>7121</v>
      </c>
      <c r="W1854" s="129"/>
      <c r="X1854" s="88">
        <v>44582</v>
      </c>
      <c r="Y1854" s="130" t="s">
        <v>20</v>
      </c>
      <c r="Z1854" s="133" t="s">
        <v>60</v>
      </c>
      <c r="AA1854" s="133"/>
      <c r="AB1854" s="241">
        <v>100</v>
      </c>
      <c r="AC1854" s="134">
        <v>313.91000000000003</v>
      </c>
      <c r="AD1854" s="134">
        <v>66.400000000000006</v>
      </c>
      <c r="AE1854" s="403">
        <f t="shared" si="118"/>
        <v>31391.000000000004</v>
      </c>
      <c r="AF1854" s="132"/>
      <c r="AG1854" s="130" t="s">
        <v>58</v>
      </c>
      <c r="AH1854" s="130"/>
      <c r="AI1854" s="130" t="s">
        <v>34</v>
      </c>
      <c r="AJ1854" s="130"/>
      <c r="AK1854" s="130"/>
      <c r="AL1854" s="135" t="s">
        <v>6678</v>
      </c>
      <c r="AM1854" s="314"/>
      <c r="AN1854" s="26">
        <f t="shared" si="128"/>
        <v>0</v>
      </c>
      <c r="AO1854" s="26">
        <v>44570</v>
      </c>
      <c r="AP1854" s="26">
        <f t="shared" si="131"/>
        <v>44604</v>
      </c>
      <c r="AQ1854" s="26">
        <v>44604</v>
      </c>
      <c r="AR1854" s="24">
        <f>AQ1854+2</f>
        <v>44606</v>
      </c>
      <c r="AS1854" s="24"/>
      <c r="AT1854" s="24">
        <v>44606</v>
      </c>
      <c r="AU1854" s="418">
        <f t="shared" si="119"/>
        <v>2</v>
      </c>
      <c r="AV1854" s="418">
        <f t="shared" si="120"/>
        <v>2022</v>
      </c>
      <c r="AW1854" s="24"/>
      <c r="AX1854" s="135"/>
      <c r="AY1854" s="135" t="s">
        <v>5642</v>
      </c>
      <c r="AZ1854" s="24" t="s">
        <v>25</v>
      </c>
      <c r="BA1854" s="24"/>
      <c r="BB1854" s="24" t="s">
        <v>3264</v>
      </c>
      <c r="BC1854" s="128" t="s">
        <v>7122</v>
      </c>
      <c r="BD1854" s="24">
        <v>44570</v>
      </c>
      <c r="BE1854" s="24" t="s">
        <v>6868</v>
      </c>
      <c r="BF1854" s="24" t="s">
        <v>6868</v>
      </c>
      <c r="BG1854" s="135" t="s">
        <v>52</v>
      </c>
      <c r="BH1854" s="135"/>
      <c r="BI1854" s="314" t="s">
        <v>3</v>
      </c>
      <c r="BJ1854" s="314"/>
      <c r="BK1854" s="24"/>
      <c r="BL1854" s="24"/>
      <c r="BM1854" s="24"/>
      <c r="BN1854" s="24"/>
      <c r="BO1854" s="24"/>
      <c r="BP1854" s="24"/>
      <c r="BQ1854" s="24" t="s">
        <v>7123</v>
      </c>
      <c r="BR1854" s="24">
        <v>44603</v>
      </c>
      <c r="BS1854" s="24" t="s">
        <v>38</v>
      </c>
      <c r="BT1854" s="24" t="s">
        <v>11</v>
      </c>
      <c r="BU1854" s="24"/>
      <c r="BV1854" s="132" t="s">
        <v>3</v>
      </c>
      <c r="BW1854" s="132"/>
      <c r="BX1854" s="132"/>
      <c r="BY1854" s="132"/>
      <c r="BZ1854" s="132"/>
      <c r="CA1854" s="132"/>
      <c r="CB1854" s="132"/>
      <c r="CC1854" s="362"/>
      <c r="CG1854" s="132" t="s">
        <v>105</v>
      </c>
      <c r="CH1854" s="132"/>
      <c r="CI1854" s="24"/>
      <c r="CJ1854" s="24"/>
    </row>
    <row r="1855" spans="1:88" ht="15" customHeight="1">
      <c r="A1855" s="18">
        <v>2021</v>
      </c>
      <c r="B1855" s="18" t="str">
        <f>+INDEX(BDD!F:F,MATCH(P1855,BDD!D:D,0))&amp;"-"&amp;INDEX(BDD!E:E,MATCH(P1855,BDD!D:D,0))</f>
        <v>O-S</v>
      </c>
      <c r="C1855" s="360" t="s">
        <v>484</v>
      </c>
      <c r="D1855" s="150" t="s">
        <v>92</v>
      </c>
      <c r="E1855" s="132" t="s">
        <v>1622</v>
      </c>
      <c r="F1855" s="132"/>
      <c r="G1855" s="346"/>
      <c r="H1855" s="18" t="s">
        <v>7124</v>
      </c>
      <c r="I1855" s="330"/>
      <c r="J1855" s="346"/>
      <c r="K1855" s="24"/>
      <c r="L1855" s="24"/>
      <c r="M1855" s="24"/>
      <c r="N1855" s="340"/>
      <c r="O1855" s="334"/>
      <c r="P1855" s="25" t="s">
        <v>386</v>
      </c>
      <c r="Q1855" s="127" t="s">
        <v>303</v>
      </c>
      <c r="R1855" s="232"/>
      <c r="S1855" s="89"/>
      <c r="T1855" s="36"/>
      <c r="U1855" s="125"/>
      <c r="V1855" s="132"/>
      <c r="W1855" s="156"/>
      <c r="X1855" s="133"/>
      <c r="Y1855" s="130"/>
      <c r="Z1855" s="133"/>
      <c r="AA1855" s="133"/>
      <c r="AB1855" s="241"/>
      <c r="AC1855" s="134"/>
      <c r="AD1855" s="134"/>
      <c r="AE1855" s="403">
        <f t="shared" si="118"/>
        <v>0</v>
      </c>
      <c r="AF1855" s="132"/>
      <c r="AG1855" s="130"/>
      <c r="AH1855" s="130"/>
      <c r="AI1855" s="130"/>
      <c r="AJ1855" s="130"/>
      <c r="AK1855" s="130"/>
      <c r="AL1855" s="135"/>
      <c r="AM1855" s="314"/>
      <c r="AN1855" s="26"/>
      <c r="AO1855" s="26"/>
      <c r="AP1855" s="26"/>
      <c r="AQ1855" s="26"/>
      <c r="AR1855" s="24"/>
      <c r="AS1855" s="24"/>
      <c r="AT1855" s="24"/>
      <c r="AU1855" s="418">
        <f t="shared" si="119"/>
        <v>1</v>
      </c>
      <c r="AV1855" s="418">
        <f t="shared" si="120"/>
        <v>1900</v>
      </c>
      <c r="AW1855" s="24"/>
      <c r="AX1855" s="24"/>
      <c r="AY1855" s="24"/>
      <c r="AZ1855" s="24"/>
      <c r="BA1855" s="24"/>
      <c r="BB1855" s="132"/>
      <c r="BC1855" s="128"/>
      <c r="BD1855" s="24"/>
      <c r="BE1855" s="24"/>
      <c r="BF1855" s="24"/>
      <c r="BG1855" s="135"/>
      <c r="BH1855" s="135"/>
      <c r="BI1855" s="314"/>
      <c r="BJ1855" s="314"/>
      <c r="BK1855" s="24"/>
      <c r="BL1855" s="24"/>
      <c r="BM1855" s="24"/>
      <c r="BN1855" s="24"/>
      <c r="BO1855" s="24"/>
      <c r="BP1855" s="24"/>
      <c r="BQ1855" s="24"/>
      <c r="BR1855" s="24"/>
      <c r="BS1855" s="24"/>
      <c r="BT1855" s="24"/>
      <c r="BU1855" s="24"/>
      <c r="BV1855" s="132"/>
      <c r="BW1855" s="132"/>
      <c r="BX1855" s="132"/>
      <c r="BY1855" s="132"/>
      <c r="BZ1855" s="132"/>
      <c r="CA1855" s="132"/>
      <c r="CB1855" s="132"/>
      <c r="CC1855" s="362"/>
      <c r="CD1855" s="22"/>
      <c r="CE1855" s="22"/>
      <c r="CF1855" s="22"/>
      <c r="CG1855" s="132"/>
      <c r="CH1855" s="132"/>
      <c r="CI1855" s="24"/>
      <c r="CJ1855" s="24"/>
    </row>
    <row r="1856" spans="1:88" ht="15" customHeight="1">
      <c r="A1856" s="18">
        <v>2021</v>
      </c>
      <c r="B1856" s="18" t="str">
        <f>+INDEX(BDD!F:F,MATCH(P1856,BDD!D:D,0))&amp;"-"&amp;INDEX(BDD!E:E,MATCH(P1856,BDD!D:D,0))</f>
        <v>O-S</v>
      </c>
      <c r="C1856" s="360" t="s">
        <v>484</v>
      </c>
      <c r="D1856" s="150" t="s">
        <v>77</v>
      </c>
      <c r="E1856" s="132"/>
      <c r="F1856" s="132"/>
      <c r="G1856" s="346">
        <v>8000001884</v>
      </c>
      <c r="H1856" s="18" t="s">
        <v>7125</v>
      </c>
      <c r="I1856" s="329" t="s">
        <v>7126</v>
      </c>
      <c r="J1856" s="346">
        <v>8000001884</v>
      </c>
      <c r="K1856" s="24"/>
      <c r="L1856" s="24">
        <v>44671</v>
      </c>
      <c r="M1856" s="24">
        <v>44658</v>
      </c>
      <c r="N1856" s="340" t="s">
        <v>486</v>
      </c>
      <c r="O1856" s="334">
        <v>203553</v>
      </c>
      <c r="P1856" s="25" t="s">
        <v>386</v>
      </c>
      <c r="Q1856" s="127" t="s">
        <v>303</v>
      </c>
      <c r="R1856" s="232" t="s">
        <v>7127</v>
      </c>
      <c r="S1856" s="89">
        <v>44545</v>
      </c>
      <c r="T1856" s="36" t="s">
        <v>19</v>
      </c>
      <c r="U1856" s="125"/>
      <c r="V1856" s="147" t="s">
        <v>7128</v>
      </c>
      <c r="W1856" s="129"/>
      <c r="X1856" s="88">
        <v>44649</v>
      </c>
      <c r="Y1856" s="130" t="s">
        <v>20</v>
      </c>
      <c r="Z1856" s="133" t="s">
        <v>60</v>
      </c>
      <c r="AA1856" s="133" t="s">
        <v>944</v>
      </c>
      <c r="AB1856" s="241">
        <v>188.7</v>
      </c>
      <c r="AC1856" s="134">
        <v>620.55999999999995</v>
      </c>
      <c r="AD1856" s="134">
        <v>130.55998940116586</v>
      </c>
      <c r="AE1856" s="403">
        <f t="shared" si="118"/>
        <v>117099.67199999998</v>
      </c>
      <c r="AF1856" s="132">
        <v>7</v>
      </c>
      <c r="AG1856" s="130" t="s">
        <v>5</v>
      </c>
      <c r="AH1856" s="130"/>
      <c r="AI1856" s="130" t="s">
        <v>100</v>
      </c>
      <c r="AJ1856" s="130" t="s">
        <v>944</v>
      </c>
      <c r="AK1856" s="130" t="s">
        <v>5634</v>
      </c>
      <c r="AL1856" s="135" t="s">
        <v>6678</v>
      </c>
      <c r="AM1856" s="314"/>
      <c r="AN1856" s="26">
        <v>44591</v>
      </c>
      <c r="AO1856" s="26">
        <v>44629</v>
      </c>
      <c r="AP1856" s="26">
        <f t="shared" ref="AP1856:AP1862" si="132">AQ1856</f>
        <v>44649</v>
      </c>
      <c r="AQ1856" s="26">
        <v>44649</v>
      </c>
      <c r="AR1856" s="24">
        <f t="shared" ref="AR1856:AR1865" si="133">AQ1856+4</f>
        <v>44653</v>
      </c>
      <c r="AS1856" s="24"/>
      <c r="AT1856" s="24">
        <v>44653</v>
      </c>
      <c r="AU1856" s="418">
        <f t="shared" si="119"/>
        <v>4</v>
      </c>
      <c r="AV1856" s="418">
        <f t="shared" si="120"/>
        <v>2022</v>
      </c>
      <c r="AW1856" s="24"/>
      <c r="AX1856" s="135"/>
      <c r="AY1856" s="135" t="s">
        <v>8</v>
      </c>
      <c r="AZ1856" s="24" t="s">
        <v>9</v>
      </c>
      <c r="BA1856" s="24" t="s">
        <v>7130</v>
      </c>
      <c r="BB1856" s="24" t="s">
        <v>3264</v>
      </c>
      <c r="BC1856" s="128" t="s">
        <v>7129</v>
      </c>
      <c r="BD1856" s="24">
        <v>44629</v>
      </c>
      <c r="BE1856" s="24" t="s">
        <v>870</v>
      </c>
      <c r="BF1856" s="24" t="s">
        <v>6706</v>
      </c>
      <c r="BG1856" s="135" t="s">
        <v>29</v>
      </c>
      <c r="BH1856" s="135" t="s">
        <v>6219</v>
      </c>
      <c r="BI1856" s="314" t="s">
        <v>124</v>
      </c>
      <c r="BJ1856" s="314" t="s">
        <v>148</v>
      </c>
      <c r="BK1856" s="24"/>
      <c r="BL1856" s="24"/>
      <c r="BM1856" s="24"/>
      <c r="BN1856" s="24"/>
      <c r="BO1856" s="24">
        <f>AQ1856+14</f>
        <v>44663</v>
      </c>
      <c r="BP1856" s="24"/>
      <c r="BQ1856" s="24" t="s">
        <v>7131</v>
      </c>
      <c r="BR1856" s="24">
        <v>44646</v>
      </c>
      <c r="BS1856" s="24" t="s">
        <v>38</v>
      </c>
      <c r="BT1856" s="24" t="s">
        <v>11</v>
      </c>
      <c r="BU1856" s="24"/>
      <c r="BV1856" s="132" t="e">
        <f>IF(#REF!="COMPLETO","OK","PENDIENTE")</f>
        <v>#REF!</v>
      </c>
      <c r="BW1856" s="132"/>
      <c r="BX1856" s="132"/>
      <c r="BY1856" s="132"/>
      <c r="BZ1856" s="132"/>
      <c r="CA1856" s="132"/>
      <c r="CB1856" s="132"/>
      <c r="CC1856" s="294" t="s">
        <v>7132</v>
      </c>
      <c r="CG1856" s="132" t="s">
        <v>105</v>
      </c>
      <c r="CH1856" s="132"/>
      <c r="CI1856" s="24"/>
      <c r="CJ1856" s="24"/>
    </row>
    <row r="1857" spans="1:88" ht="15" customHeight="1">
      <c r="A1857" s="18">
        <v>2021</v>
      </c>
      <c r="B1857" s="18" t="str">
        <f>+INDEX(BDD!F:F,MATCH(P1857,BDD!D:D,0))&amp;"-"&amp;INDEX(BDD!E:E,MATCH(P1857,BDD!D:D,0))</f>
        <v>O-S</v>
      </c>
      <c r="C1857" s="360" t="s">
        <v>484</v>
      </c>
      <c r="D1857" s="150" t="s">
        <v>77</v>
      </c>
      <c r="E1857" s="132"/>
      <c r="F1857" s="132"/>
      <c r="G1857" s="346">
        <v>8000001885</v>
      </c>
      <c r="H1857" s="18" t="s">
        <v>7133</v>
      </c>
      <c r="I1857" s="329" t="s">
        <v>7134</v>
      </c>
      <c r="J1857" s="346">
        <v>8000001885</v>
      </c>
      <c r="K1857" s="24"/>
      <c r="L1857" s="24">
        <v>44657</v>
      </c>
      <c r="M1857" s="24">
        <v>44656</v>
      </c>
      <c r="N1857" s="340" t="s">
        <v>486</v>
      </c>
      <c r="O1857" s="334">
        <v>203553</v>
      </c>
      <c r="P1857" s="25" t="s">
        <v>386</v>
      </c>
      <c r="Q1857" s="127" t="s">
        <v>303</v>
      </c>
      <c r="R1857" s="232" t="s">
        <v>7135</v>
      </c>
      <c r="S1857" s="89">
        <v>44545</v>
      </c>
      <c r="T1857" s="36" t="s">
        <v>19</v>
      </c>
      <c r="U1857" s="125"/>
      <c r="V1857" s="147" t="s">
        <v>7136</v>
      </c>
      <c r="W1857" s="129"/>
      <c r="X1857" s="88">
        <v>44649</v>
      </c>
      <c r="Y1857" s="130" t="s">
        <v>20</v>
      </c>
      <c r="Z1857" s="133" t="s">
        <v>60</v>
      </c>
      <c r="AA1857" s="133" t="s">
        <v>944</v>
      </c>
      <c r="AB1857" s="241">
        <v>26.96</v>
      </c>
      <c r="AC1857" s="134">
        <v>613.76</v>
      </c>
      <c r="AD1857" s="134"/>
      <c r="AE1857" s="403">
        <f t="shared" si="118"/>
        <v>16546.9696</v>
      </c>
      <c r="AF1857" s="132">
        <v>1</v>
      </c>
      <c r="AG1857" s="130" t="s">
        <v>5</v>
      </c>
      <c r="AH1857" s="130"/>
      <c r="AI1857" s="130" t="s">
        <v>100</v>
      </c>
      <c r="AJ1857" s="130" t="s">
        <v>944</v>
      </c>
      <c r="AK1857" s="130" t="s">
        <v>5634</v>
      </c>
      <c r="AL1857" s="135" t="s">
        <v>6678</v>
      </c>
      <c r="AM1857" s="314"/>
      <c r="AN1857" s="26">
        <v>44591</v>
      </c>
      <c r="AO1857" s="26">
        <v>44622</v>
      </c>
      <c r="AP1857" s="26">
        <f t="shared" si="132"/>
        <v>44649</v>
      </c>
      <c r="AQ1857" s="26">
        <v>44649</v>
      </c>
      <c r="AR1857" s="24">
        <f t="shared" si="133"/>
        <v>44653</v>
      </c>
      <c r="AS1857" s="24"/>
      <c r="AT1857" s="24">
        <v>44652</v>
      </c>
      <c r="AU1857" s="418">
        <f t="shared" si="119"/>
        <v>4</v>
      </c>
      <c r="AV1857" s="418">
        <f t="shared" si="120"/>
        <v>2022</v>
      </c>
      <c r="AW1857" s="24"/>
      <c r="AX1857" s="135"/>
      <c r="AY1857" s="135" t="s">
        <v>8</v>
      </c>
      <c r="AZ1857" s="24" t="s">
        <v>37</v>
      </c>
      <c r="BA1857" s="24" t="s">
        <v>6121</v>
      </c>
      <c r="BB1857" s="24" t="s">
        <v>3291</v>
      </c>
      <c r="BC1857" s="128" t="s">
        <v>7137</v>
      </c>
      <c r="BD1857" s="24">
        <v>44622</v>
      </c>
      <c r="BE1857" s="24" t="s">
        <v>5802</v>
      </c>
      <c r="BF1857" s="24" t="s">
        <v>5802</v>
      </c>
      <c r="BG1857" s="135" t="s">
        <v>29</v>
      </c>
      <c r="BH1857" s="135" t="s">
        <v>6219</v>
      </c>
      <c r="BI1857" s="314" t="s">
        <v>124</v>
      </c>
      <c r="BJ1857" s="314" t="s">
        <v>148</v>
      </c>
      <c r="BK1857" s="24"/>
      <c r="BL1857" s="24"/>
      <c r="BM1857" s="24"/>
      <c r="BN1857" s="24"/>
      <c r="BO1857" s="24">
        <f>AQ1857+13</f>
        <v>44662</v>
      </c>
      <c r="BP1857" s="24"/>
      <c r="BQ1857" s="24" t="s">
        <v>7138</v>
      </c>
      <c r="BR1857" s="24">
        <v>44646</v>
      </c>
      <c r="BS1857" s="24" t="s">
        <v>26</v>
      </c>
      <c r="BT1857" s="24" t="s">
        <v>11</v>
      </c>
      <c r="BU1857" s="24"/>
      <c r="BV1857" s="132" t="e">
        <f>IF(#REF!="COMPLETO","OK","PENDIENTE")</f>
        <v>#REF!</v>
      </c>
      <c r="BW1857" s="132"/>
      <c r="BX1857" s="132"/>
      <c r="BY1857" s="132"/>
      <c r="BZ1857" s="132"/>
      <c r="CA1857" s="132"/>
      <c r="CB1857" s="132"/>
      <c r="CC1857" s="294" t="s">
        <v>7139</v>
      </c>
      <c r="CG1857" s="132" t="s">
        <v>105</v>
      </c>
      <c r="CH1857" s="132"/>
      <c r="CI1857" s="24"/>
      <c r="CJ1857" s="24"/>
    </row>
    <row r="1858" spans="1:88" ht="15" customHeight="1">
      <c r="A1858" s="18">
        <v>2021</v>
      </c>
      <c r="B1858" s="18" t="str">
        <f>+INDEX(BDD!F:F,MATCH(P1858,BDD!D:D,0))&amp;"-"&amp;INDEX(BDD!E:E,MATCH(P1858,BDD!D:D,0))</f>
        <v>O-S</v>
      </c>
      <c r="C1858" s="125" t="s">
        <v>484</v>
      </c>
      <c r="D1858" s="150" t="s">
        <v>77</v>
      </c>
      <c r="E1858" s="132" t="s">
        <v>51</v>
      </c>
      <c r="F1858" s="132"/>
      <c r="G1858" s="346">
        <v>8000001886</v>
      </c>
      <c r="H1858" s="18" t="s">
        <v>7140</v>
      </c>
      <c r="I1858" s="329" t="s">
        <v>7141</v>
      </c>
      <c r="J1858" s="346">
        <v>8000001886</v>
      </c>
      <c r="K1858" s="24">
        <v>44683</v>
      </c>
      <c r="L1858" s="24">
        <v>44690</v>
      </c>
      <c r="M1858" s="24">
        <v>44697</v>
      </c>
      <c r="N1858" s="340" t="s">
        <v>486</v>
      </c>
      <c r="O1858" s="334">
        <v>203553</v>
      </c>
      <c r="P1858" s="25" t="s">
        <v>386</v>
      </c>
      <c r="Q1858" s="127" t="s">
        <v>303</v>
      </c>
      <c r="R1858" s="232" t="s">
        <v>7142</v>
      </c>
      <c r="S1858" s="89">
        <v>44545</v>
      </c>
      <c r="T1858" s="36" t="s">
        <v>19</v>
      </c>
      <c r="U1858" s="125"/>
      <c r="V1858" s="147" t="s">
        <v>7143</v>
      </c>
      <c r="W1858" s="88">
        <v>44683</v>
      </c>
      <c r="X1858" s="88">
        <v>44687</v>
      </c>
      <c r="Y1858" s="130" t="s">
        <v>20</v>
      </c>
      <c r="Z1858" s="133" t="s">
        <v>60</v>
      </c>
      <c r="AA1858" s="133"/>
      <c r="AB1858" s="241">
        <v>134.84</v>
      </c>
      <c r="AC1858" s="134">
        <v>1171.82</v>
      </c>
      <c r="AD1858" s="134"/>
      <c r="AE1858" s="403">
        <f t="shared" ref="AE1858:AE1921" si="134">AB1858*AC1858</f>
        <v>158008.20879999999</v>
      </c>
      <c r="AF1858" s="132">
        <v>5</v>
      </c>
      <c r="AG1858" s="130" t="s">
        <v>5</v>
      </c>
      <c r="AH1858" s="130" t="s">
        <v>944</v>
      </c>
      <c r="AI1858" s="130" t="s">
        <v>100</v>
      </c>
      <c r="AJ1858" s="130" t="s">
        <v>944</v>
      </c>
      <c r="AK1858" s="130" t="s">
        <v>5634</v>
      </c>
      <c r="AL1858" s="135" t="s">
        <v>7144</v>
      </c>
      <c r="AM1858" s="314"/>
      <c r="AN1858" s="26">
        <v>44591</v>
      </c>
      <c r="AO1858" s="26">
        <v>44666</v>
      </c>
      <c r="AP1858" s="26">
        <f t="shared" si="132"/>
        <v>44685</v>
      </c>
      <c r="AQ1858" s="26">
        <v>44685</v>
      </c>
      <c r="AR1858" s="24">
        <f t="shared" si="133"/>
        <v>44689</v>
      </c>
      <c r="AS1858" s="24">
        <v>44693</v>
      </c>
      <c r="AT1858" s="24">
        <v>44694</v>
      </c>
      <c r="AU1858" s="418">
        <f t="shared" si="119"/>
        <v>5</v>
      </c>
      <c r="AV1858" s="418">
        <f t="shared" si="120"/>
        <v>2022</v>
      </c>
      <c r="AW1858" s="24"/>
      <c r="AX1858" s="24" t="s">
        <v>6767</v>
      </c>
      <c r="AY1858" s="24" t="s">
        <v>6766</v>
      </c>
      <c r="AZ1858" s="24" t="s">
        <v>9</v>
      </c>
      <c r="BA1858" s="24"/>
      <c r="BB1858" s="24" t="s">
        <v>3264</v>
      </c>
      <c r="BC1858" s="128" t="s">
        <v>7145</v>
      </c>
      <c r="BD1858" s="24">
        <v>44669</v>
      </c>
      <c r="BE1858" s="24" t="s">
        <v>7146</v>
      </c>
      <c r="BF1858" s="24" t="s">
        <v>5944</v>
      </c>
      <c r="BG1858" s="135" t="s">
        <v>29</v>
      </c>
      <c r="BH1858" s="135" t="s">
        <v>6219</v>
      </c>
      <c r="BI1858" s="314" t="s">
        <v>124</v>
      </c>
      <c r="BJ1858" s="314" t="s">
        <v>148</v>
      </c>
      <c r="BK1858" s="41"/>
      <c r="BL1858" s="24"/>
      <c r="BM1858" s="24"/>
      <c r="BN1858" s="24"/>
      <c r="BO1858" s="24">
        <f>AQ1858+11</f>
        <v>44696</v>
      </c>
      <c r="BP1858" s="24"/>
      <c r="BQ1858" s="24" t="s">
        <v>7147</v>
      </c>
      <c r="BR1858" s="24">
        <v>44684</v>
      </c>
      <c r="BS1858" s="24" t="s">
        <v>38</v>
      </c>
      <c r="BT1858" s="24" t="s">
        <v>11</v>
      </c>
      <c r="BU1858" s="24"/>
      <c r="BV1858" s="132" t="e">
        <f>IF(#REF!="COMPLETO","OK","PENDIENTE")</f>
        <v>#REF!</v>
      </c>
      <c r="BW1858" s="132"/>
      <c r="BX1858" s="132"/>
      <c r="BY1858" s="132"/>
      <c r="BZ1858" s="132"/>
      <c r="CA1858" s="132"/>
      <c r="CB1858" s="132"/>
      <c r="CC1858" s="362"/>
      <c r="CG1858" s="132" t="s">
        <v>7148</v>
      </c>
      <c r="CH1858" s="132"/>
      <c r="CI1858" s="24"/>
      <c r="CJ1858" s="24"/>
    </row>
    <row r="1859" spans="1:88" ht="15" customHeight="1">
      <c r="A1859" s="18">
        <v>2021</v>
      </c>
      <c r="B1859" s="18" t="str">
        <f>+INDEX(BDD!F:F,MATCH(P1859,BDD!D:D,0))&amp;"-"&amp;INDEX(BDD!E:E,MATCH(P1859,BDD!D:D,0))</f>
        <v>O-S</v>
      </c>
      <c r="C1859" s="360" t="s">
        <v>484</v>
      </c>
      <c r="D1859" s="150" t="s">
        <v>77</v>
      </c>
      <c r="E1859" s="132"/>
      <c r="F1859" s="132"/>
      <c r="G1859" s="346">
        <v>8000001931</v>
      </c>
      <c r="H1859" s="18" t="s">
        <v>7149</v>
      </c>
      <c r="I1859" s="329"/>
      <c r="J1859" s="346">
        <v>8000001931</v>
      </c>
      <c r="K1859" s="24"/>
      <c r="L1859" s="24">
        <v>44678</v>
      </c>
      <c r="M1859" s="24">
        <v>44680</v>
      </c>
      <c r="N1859" s="340" t="s">
        <v>486</v>
      </c>
      <c r="O1859" s="334">
        <v>203553</v>
      </c>
      <c r="P1859" s="25" t="s">
        <v>386</v>
      </c>
      <c r="Q1859" s="127" t="s">
        <v>303</v>
      </c>
      <c r="R1859" s="232" t="s">
        <v>7150</v>
      </c>
      <c r="S1859" s="89">
        <v>44545</v>
      </c>
      <c r="T1859" s="36" t="s">
        <v>19</v>
      </c>
      <c r="U1859" s="125"/>
      <c r="V1859" s="147" t="s">
        <v>7151</v>
      </c>
      <c r="W1859" s="88">
        <v>44671</v>
      </c>
      <c r="X1859" s="88">
        <v>44675</v>
      </c>
      <c r="Y1859" s="130" t="s">
        <v>20</v>
      </c>
      <c r="Z1859" s="133" t="s">
        <v>60</v>
      </c>
      <c r="AA1859" s="133"/>
      <c r="AB1859" s="241">
        <v>107.7</v>
      </c>
      <c r="AC1859" s="134">
        <v>956.1</v>
      </c>
      <c r="AD1859" s="134"/>
      <c r="AE1859" s="403">
        <f t="shared" si="134"/>
        <v>102971.97</v>
      </c>
      <c r="AF1859" s="132">
        <v>4</v>
      </c>
      <c r="AG1859" s="130" t="s">
        <v>5</v>
      </c>
      <c r="AH1859" s="130"/>
      <c r="AI1859" s="130" t="s">
        <v>100</v>
      </c>
      <c r="AJ1859" s="130" t="s">
        <v>944</v>
      </c>
      <c r="AK1859" s="130" t="s">
        <v>5634</v>
      </c>
      <c r="AL1859" s="135" t="s">
        <v>7144</v>
      </c>
      <c r="AM1859" s="314"/>
      <c r="AN1859" s="26">
        <v>44591</v>
      </c>
      <c r="AO1859" s="26">
        <v>44656</v>
      </c>
      <c r="AP1859" s="26">
        <f t="shared" si="132"/>
        <v>44675</v>
      </c>
      <c r="AQ1859" s="26">
        <v>44675</v>
      </c>
      <c r="AR1859" s="24">
        <f t="shared" si="133"/>
        <v>44679</v>
      </c>
      <c r="AS1859" s="24">
        <v>44678</v>
      </c>
      <c r="AT1859" s="24">
        <v>44678</v>
      </c>
      <c r="AU1859" s="418">
        <f t="shared" si="119"/>
        <v>4</v>
      </c>
      <c r="AV1859" s="418">
        <f t="shared" si="120"/>
        <v>2022</v>
      </c>
      <c r="AW1859" s="24"/>
      <c r="AX1859" s="24" t="s">
        <v>6218</v>
      </c>
      <c r="AY1859" s="24" t="s">
        <v>7153</v>
      </c>
      <c r="AZ1859" s="24" t="s">
        <v>9</v>
      </c>
      <c r="BA1859" s="24" t="s">
        <v>6121</v>
      </c>
      <c r="BB1859" s="24" t="s">
        <v>3291</v>
      </c>
      <c r="BC1859" s="128" t="s">
        <v>7152</v>
      </c>
      <c r="BD1859" s="24">
        <v>44657</v>
      </c>
      <c r="BE1859" s="24" t="s">
        <v>579</v>
      </c>
      <c r="BF1859" s="24" t="s">
        <v>579</v>
      </c>
      <c r="BG1859" s="132" t="s">
        <v>29</v>
      </c>
      <c r="BH1859" s="135" t="s">
        <v>6219</v>
      </c>
      <c r="BI1859" s="314" t="s">
        <v>3</v>
      </c>
      <c r="BJ1859" s="314" t="s">
        <v>148</v>
      </c>
      <c r="BK1859" s="24"/>
      <c r="BL1859" s="24"/>
      <c r="BM1859" s="24"/>
      <c r="BN1859" s="24"/>
      <c r="BO1859" s="24">
        <f>AQ1859+12</f>
        <v>44687</v>
      </c>
      <c r="BP1859" s="24"/>
      <c r="BQ1859" s="24" t="s">
        <v>7154</v>
      </c>
      <c r="BR1859" s="24">
        <v>44672</v>
      </c>
      <c r="BS1859" s="24" t="s">
        <v>26</v>
      </c>
      <c r="BT1859" s="24" t="s">
        <v>11</v>
      </c>
      <c r="BU1859" s="24"/>
      <c r="BV1859" s="132" t="e">
        <f>IF(#REF!="COMPLETO","OK","PENDIENTE")</f>
        <v>#REF!</v>
      </c>
      <c r="BW1859" s="132"/>
      <c r="BX1859" s="132"/>
      <c r="BY1859" s="132"/>
      <c r="BZ1859" s="132"/>
      <c r="CA1859" s="132"/>
      <c r="CB1859" s="132"/>
      <c r="CC1859" s="294" t="s">
        <v>7155</v>
      </c>
      <c r="CD1859" s="67"/>
      <c r="CE1859" s="67"/>
      <c r="CG1859" s="132" t="s">
        <v>105</v>
      </c>
      <c r="CH1859" s="132"/>
      <c r="CI1859" s="24"/>
      <c r="CJ1859" s="24"/>
    </row>
    <row r="1860" spans="1:88" ht="15" customHeight="1">
      <c r="A1860" s="18">
        <v>2021</v>
      </c>
      <c r="B1860" s="18" t="str">
        <f>+INDEX(BDD!F:F,MATCH(P1860,BDD!D:D,0))&amp;"-"&amp;INDEX(BDD!E:E,MATCH(P1860,BDD!D:D,0))</f>
        <v>O-S</v>
      </c>
      <c r="C1860" s="125" t="s">
        <v>484</v>
      </c>
      <c r="D1860" s="150" t="s">
        <v>77</v>
      </c>
      <c r="E1860" s="132" t="s">
        <v>51</v>
      </c>
      <c r="F1860" s="132"/>
      <c r="G1860" s="346">
        <v>8000001909</v>
      </c>
      <c r="H1860" s="18" t="s">
        <v>7156</v>
      </c>
      <c r="I1860" s="329" t="s">
        <v>7157</v>
      </c>
      <c r="J1860" s="346">
        <v>8000001909</v>
      </c>
      <c r="K1860" s="24">
        <v>44683</v>
      </c>
      <c r="L1860" s="24">
        <v>44690</v>
      </c>
      <c r="M1860" s="24">
        <v>44694</v>
      </c>
      <c r="N1860" s="340" t="s">
        <v>486</v>
      </c>
      <c r="O1860" s="334">
        <v>203553</v>
      </c>
      <c r="P1860" s="25" t="s">
        <v>386</v>
      </c>
      <c r="Q1860" s="127" t="s">
        <v>303</v>
      </c>
      <c r="R1860" s="232" t="s">
        <v>7158</v>
      </c>
      <c r="S1860" s="89">
        <v>44545</v>
      </c>
      <c r="T1860" s="36" t="s">
        <v>19</v>
      </c>
      <c r="U1860" s="125"/>
      <c r="V1860" s="147" t="s">
        <v>7159</v>
      </c>
      <c r="W1860" s="88">
        <v>44683</v>
      </c>
      <c r="X1860" s="88">
        <v>44687</v>
      </c>
      <c r="Y1860" s="130" t="s">
        <v>20</v>
      </c>
      <c r="Z1860" s="133" t="s">
        <v>60</v>
      </c>
      <c r="AA1860" s="133"/>
      <c r="AB1860" s="241">
        <v>377.54</v>
      </c>
      <c r="AC1860" s="134">
        <v>1171.46</v>
      </c>
      <c r="AD1860" s="134"/>
      <c r="AE1860" s="403">
        <f t="shared" si="134"/>
        <v>442273.00840000005</v>
      </c>
      <c r="AF1860" s="132">
        <v>14</v>
      </c>
      <c r="AG1860" s="130" t="s">
        <v>5</v>
      </c>
      <c r="AH1860" s="130" t="s">
        <v>944</v>
      </c>
      <c r="AI1860" s="130" t="s">
        <v>100</v>
      </c>
      <c r="AJ1860" s="130" t="s">
        <v>944</v>
      </c>
      <c r="AK1860" s="130" t="s">
        <v>5634</v>
      </c>
      <c r="AL1860" s="135" t="s">
        <v>7160</v>
      </c>
      <c r="AM1860" s="314"/>
      <c r="AN1860" s="26">
        <v>44591</v>
      </c>
      <c r="AO1860" s="26">
        <v>44664</v>
      </c>
      <c r="AP1860" s="26">
        <f t="shared" si="132"/>
        <v>44684</v>
      </c>
      <c r="AQ1860" s="26">
        <v>44684</v>
      </c>
      <c r="AR1860" s="24">
        <f t="shared" si="133"/>
        <v>44688</v>
      </c>
      <c r="AS1860" s="24">
        <v>44693</v>
      </c>
      <c r="AT1860" s="24">
        <v>44694</v>
      </c>
      <c r="AU1860" s="418">
        <f t="shared" ref="AU1860:AU1923" si="135">MONTH(AT1860)</f>
        <v>5</v>
      </c>
      <c r="AV1860" s="418">
        <f t="shared" ref="AV1860:AV1923" si="136">YEAR(AT1860)</f>
        <v>2022</v>
      </c>
      <c r="AW1860" s="24"/>
      <c r="AX1860" s="24" t="s">
        <v>6218</v>
      </c>
      <c r="AY1860" s="24" t="s">
        <v>7153</v>
      </c>
      <c r="AZ1860" s="24" t="s">
        <v>9</v>
      </c>
      <c r="BA1860" s="24"/>
      <c r="BB1860" s="24" t="s">
        <v>3264</v>
      </c>
      <c r="BC1860" s="128" t="s">
        <v>7161</v>
      </c>
      <c r="BD1860" s="24">
        <v>44664</v>
      </c>
      <c r="BE1860" s="24" t="s">
        <v>2668</v>
      </c>
      <c r="BF1860" s="24" t="s">
        <v>5944</v>
      </c>
      <c r="BG1860" s="135" t="s">
        <v>29</v>
      </c>
      <c r="BH1860" s="135" t="s">
        <v>6219</v>
      </c>
      <c r="BI1860" s="314" t="s">
        <v>124</v>
      </c>
      <c r="BJ1860" s="314" t="s">
        <v>148</v>
      </c>
      <c r="BK1860" s="41"/>
      <c r="BL1860" s="24"/>
      <c r="BM1860" s="24"/>
      <c r="BN1860" s="24"/>
      <c r="BO1860" s="24">
        <f>AQ1860+11</f>
        <v>44695</v>
      </c>
      <c r="BP1860" s="24"/>
      <c r="BQ1860" s="24" t="s">
        <v>7162</v>
      </c>
      <c r="BR1860" s="24">
        <v>44684</v>
      </c>
      <c r="BS1860" s="24" t="s">
        <v>38</v>
      </c>
      <c r="BT1860" s="24" t="s">
        <v>11</v>
      </c>
      <c r="BU1860" s="24"/>
      <c r="BV1860" s="132" t="e">
        <f>IF(#REF!="COMPLETO","OK","PENDIENTE")</f>
        <v>#REF!</v>
      </c>
      <c r="BW1860" s="132"/>
      <c r="BX1860" s="132"/>
      <c r="BY1860" s="132"/>
      <c r="BZ1860" s="132"/>
      <c r="CA1860" s="132"/>
      <c r="CB1860" s="132"/>
      <c r="CC1860" s="294" t="s">
        <v>7163</v>
      </c>
      <c r="CG1860" s="132" t="s">
        <v>7148</v>
      </c>
      <c r="CH1860" s="132"/>
      <c r="CI1860" s="24"/>
      <c r="CJ1860" s="24"/>
    </row>
    <row r="1861" spans="1:88" ht="15" customHeight="1">
      <c r="A1861" s="18">
        <v>2021</v>
      </c>
      <c r="B1861" s="18" t="str">
        <f>+INDEX(BDD!F:F,MATCH(P1861,BDD!D:D,0))&amp;"-"&amp;INDEX(BDD!E:E,MATCH(P1861,BDD!D:D,0))</f>
        <v>O-S</v>
      </c>
      <c r="C1861" s="360" t="s">
        <v>484</v>
      </c>
      <c r="D1861" s="150" t="s">
        <v>77</v>
      </c>
      <c r="E1861" s="132"/>
      <c r="F1861" s="132"/>
      <c r="G1861" s="346">
        <v>8000001974</v>
      </c>
      <c r="H1861" s="18" t="s">
        <v>7164</v>
      </c>
      <c r="I1861" s="329" t="s">
        <v>7165</v>
      </c>
      <c r="J1861" s="346">
        <v>8000001974</v>
      </c>
      <c r="K1861" s="24"/>
      <c r="L1861" s="24">
        <v>44684</v>
      </c>
      <c r="M1861" s="24">
        <v>0</v>
      </c>
      <c r="N1861" s="340" t="s">
        <v>486</v>
      </c>
      <c r="O1861" s="334">
        <v>203553</v>
      </c>
      <c r="P1861" s="25" t="s">
        <v>386</v>
      </c>
      <c r="Q1861" s="168" t="s">
        <v>303</v>
      </c>
      <c r="R1861" s="232" t="s">
        <v>7166</v>
      </c>
      <c r="S1861" s="89">
        <v>44545</v>
      </c>
      <c r="T1861" s="36" t="s">
        <v>19</v>
      </c>
      <c r="U1861" s="125"/>
      <c r="V1861" s="147" t="s">
        <v>7167</v>
      </c>
      <c r="W1861" s="88">
        <v>44679</v>
      </c>
      <c r="X1861" s="24">
        <v>44683</v>
      </c>
      <c r="Y1861" s="130" t="s">
        <v>20</v>
      </c>
      <c r="Z1861" s="133" t="s">
        <v>60</v>
      </c>
      <c r="AA1861" s="133"/>
      <c r="AB1861" s="241">
        <v>107.82</v>
      </c>
      <c r="AC1861" s="134">
        <v>963.63</v>
      </c>
      <c r="AD1861" s="134"/>
      <c r="AE1861" s="403">
        <f t="shared" si="134"/>
        <v>103898.5866</v>
      </c>
      <c r="AF1861" s="132">
        <v>4</v>
      </c>
      <c r="AG1861" s="130" t="s">
        <v>5</v>
      </c>
      <c r="AH1861" s="130"/>
      <c r="AI1861" s="130" t="s">
        <v>100</v>
      </c>
      <c r="AJ1861" s="130" t="s">
        <v>944</v>
      </c>
      <c r="AK1861" s="130" t="s">
        <v>944</v>
      </c>
      <c r="AL1861" s="135" t="s">
        <v>7160</v>
      </c>
      <c r="AM1861" s="314"/>
      <c r="AN1861" s="26">
        <v>44591</v>
      </c>
      <c r="AO1861" s="26">
        <v>44664</v>
      </c>
      <c r="AP1861" s="26">
        <f t="shared" si="132"/>
        <v>44681</v>
      </c>
      <c r="AQ1861" s="26">
        <v>44681</v>
      </c>
      <c r="AR1861" s="24">
        <f t="shared" si="133"/>
        <v>44685</v>
      </c>
      <c r="AS1861" s="24"/>
      <c r="AT1861" s="24">
        <f>AQ1861+4</f>
        <v>44685</v>
      </c>
      <c r="AU1861" s="418">
        <f t="shared" si="135"/>
        <v>5</v>
      </c>
      <c r="AV1861" s="418">
        <f t="shared" si="136"/>
        <v>2022</v>
      </c>
      <c r="AW1861" s="24"/>
      <c r="AX1861" s="24" t="s">
        <v>6218</v>
      </c>
      <c r="AY1861" s="24" t="s">
        <v>7153</v>
      </c>
      <c r="AZ1861" s="24" t="s">
        <v>37</v>
      </c>
      <c r="BA1861" s="24" t="s">
        <v>6121</v>
      </c>
      <c r="BB1861" s="24" t="s">
        <v>3291</v>
      </c>
      <c r="BC1861" s="128" t="s">
        <v>7168</v>
      </c>
      <c r="BD1861" s="24">
        <v>44664</v>
      </c>
      <c r="BE1861" s="24" t="s">
        <v>2668</v>
      </c>
      <c r="BF1861" s="24" t="s">
        <v>2668</v>
      </c>
      <c r="BG1861" s="135" t="s">
        <v>29</v>
      </c>
      <c r="BH1861" s="135" t="s">
        <v>6219</v>
      </c>
      <c r="BI1861" s="314" t="s">
        <v>124</v>
      </c>
      <c r="BJ1861" s="314" t="s">
        <v>148</v>
      </c>
      <c r="BK1861" s="24"/>
      <c r="BL1861" s="24"/>
      <c r="BM1861" s="24"/>
      <c r="BN1861" s="24"/>
      <c r="BO1861" s="24">
        <f>AQ1861+11</f>
        <v>44692</v>
      </c>
      <c r="BP1861" s="24"/>
      <c r="BQ1861" s="24" t="s">
        <v>7169</v>
      </c>
      <c r="BR1861" s="24">
        <v>44679</v>
      </c>
      <c r="BS1861" s="24" t="s">
        <v>26</v>
      </c>
      <c r="BT1861" s="24" t="s">
        <v>11</v>
      </c>
      <c r="BU1861" s="24"/>
      <c r="BV1861" s="132" t="e">
        <f>IF(#REF!="COMPLETO","OK","PENDIENTE")</f>
        <v>#REF!</v>
      </c>
      <c r="BW1861" s="132"/>
      <c r="BX1861" s="132"/>
      <c r="BY1861" s="132"/>
      <c r="BZ1861" s="132"/>
      <c r="CA1861" s="132"/>
      <c r="CB1861" s="132"/>
      <c r="CC1861" s="294" t="s">
        <v>7170</v>
      </c>
      <c r="CD1861" s="67" t="s">
        <v>7171</v>
      </c>
      <c r="CE1861" s="67"/>
      <c r="CG1861" s="132" t="s">
        <v>105</v>
      </c>
      <c r="CH1861" s="132"/>
      <c r="CI1861" s="24"/>
      <c r="CJ1861" s="24"/>
    </row>
    <row r="1862" spans="1:88" ht="15" customHeight="1">
      <c r="A1862" s="18">
        <v>2021</v>
      </c>
      <c r="B1862" s="18" t="str">
        <f>+INDEX(BDD!F:F,MATCH(P1862,BDD!D:D,0))&amp;"-"&amp;INDEX(BDD!E:E,MATCH(P1862,BDD!D:D,0))</f>
        <v>T-S</v>
      </c>
      <c r="C1862" s="360" t="s">
        <v>484</v>
      </c>
      <c r="D1862" s="150" t="s">
        <v>77</v>
      </c>
      <c r="E1862" s="132"/>
      <c r="F1862" s="132"/>
      <c r="G1862" s="346">
        <v>8000001826</v>
      </c>
      <c r="H1862" s="18" t="s">
        <v>7172</v>
      </c>
      <c r="I1862" s="329"/>
      <c r="J1862" s="346">
        <v>8000001826</v>
      </c>
      <c r="K1862" s="24"/>
      <c r="L1862" s="24">
        <v>44596</v>
      </c>
      <c r="M1862" s="24">
        <v>44596</v>
      </c>
      <c r="N1862" s="340" t="s">
        <v>486</v>
      </c>
      <c r="O1862" s="334">
        <v>208067</v>
      </c>
      <c r="P1862" s="25" t="s">
        <v>383</v>
      </c>
      <c r="Q1862" s="127" t="s">
        <v>303</v>
      </c>
      <c r="R1862" s="232" t="s">
        <v>7173</v>
      </c>
      <c r="S1862" s="89">
        <v>44545</v>
      </c>
      <c r="T1862" s="36">
        <v>30</v>
      </c>
      <c r="U1862" s="125" t="s">
        <v>131</v>
      </c>
      <c r="V1862" s="147" t="s">
        <v>7174</v>
      </c>
      <c r="W1862" s="129"/>
      <c r="X1862" s="88">
        <v>44649</v>
      </c>
      <c r="Y1862" s="130" t="s">
        <v>20</v>
      </c>
      <c r="Z1862" s="133" t="s">
        <v>60</v>
      </c>
      <c r="AA1862" s="133"/>
      <c r="AB1862" s="241">
        <v>297</v>
      </c>
      <c r="AC1862" s="134">
        <v>372.44</v>
      </c>
      <c r="AD1862" s="134"/>
      <c r="AE1862" s="403">
        <f t="shared" si="134"/>
        <v>110614.68</v>
      </c>
      <c r="AF1862" s="132">
        <v>11</v>
      </c>
      <c r="AG1862" s="130" t="s">
        <v>5</v>
      </c>
      <c r="AH1862" s="130"/>
      <c r="AI1862" s="130" t="s">
        <v>34</v>
      </c>
      <c r="AJ1862" s="130"/>
      <c r="AK1862" s="130"/>
      <c r="AL1862" s="135" t="s">
        <v>6678</v>
      </c>
      <c r="AM1862" s="314"/>
      <c r="AN1862" s="26">
        <v>44591</v>
      </c>
      <c r="AO1862" s="26">
        <v>44589</v>
      </c>
      <c r="AP1862" s="26">
        <f t="shared" si="132"/>
        <v>44593</v>
      </c>
      <c r="AQ1862" s="26">
        <v>44593</v>
      </c>
      <c r="AR1862" s="24">
        <f t="shared" si="133"/>
        <v>44597</v>
      </c>
      <c r="AS1862" s="24"/>
      <c r="AT1862" s="24">
        <v>44599</v>
      </c>
      <c r="AU1862" s="418">
        <f t="shared" si="135"/>
        <v>2</v>
      </c>
      <c r="AV1862" s="418">
        <f t="shared" si="136"/>
        <v>2022</v>
      </c>
      <c r="AW1862" s="24"/>
      <c r="AX1862" s="24"/>
      <c r="AY1862" s="24" t="s">
        <v>3415</v>
      </c>
      <c r="AZ1862" s="24" t="s">
        <v>9</v>
      </c>
      <c r="BA1862" s="24"/>
      <c r="BB1862" s="135" t="s">
        <v>3264</v>
      </c>
      <c r="BC1862" s="128" t="s">
        <v>7175</v>
      </c>
      <c r="BD1862" s="24">
        <v>44589</v>
      </c>
      <c r="BE1862" s="24" t="s">
        <v>947</v>
      </c>
      <c r="BF1862" s="24" t="s">
        <v>947</v>
      </c>
      <c r="BG1862" s="135" t="s">
        <v>29</v>
      </c>
      <c r="BH1862" s="135"/>
      <c r="BI1862" s="314" t="s">
        <v>3</v>
      </c>
      <c r="BJ1862" s="314" t="s">
        <v>148</v>
      </c>
      <c r="BK1862" s="24"/>
      <c r="BL1862" s="24"/>
      <c r="BM1862" s="24"/>
      <c r="BN1862" s="24"/>
      <c r="BO1862" s="24"/>
      <c r="BP1862" s="24"/>
      <c r="BQ1862" s="24" t="s">
        <v>7176</v>
      </c>
      <c r="BR1862" s="24">
        <v>44592</v>
      </c>
      <c r="BS1862" s="24" t="s">
        <v>38</v>
      </c>
      <c r="BT1862" s="24" t="s">
        <v>27</v>
      </c>
      <c r="BU1862" s="24"/>
      <c r="BV1862" s="132" t="e">
        <f>IF(#REF!="COMPLETO","OK","PENDIENTE")</f>
        <v>#REF!</v>
      </c>
      <c r="BW1862" s="132"/>
      <c r="BX1862" s="132"/>
      <c r="BY1862" s="132"/>
      <c r="BZ1862" s="132"/>
      <c r="CA1862" s="132"/>
      <c r="CB1862" s="132"/>
      <c r="CC1862" s="362"/>
      <c r="CG1862" s="132" t="s">
        <v>105</v>
      </c>
      <c r="CH1862" s="132"/>
      <c r="CI1862" s="24"/>
      <c r="CJ1862" s="24"/>
    </row>
    <row r="1863" spans="1:88" ht="15" customHeight="1">
      <c r="A1863" s="18">
        <v>2021</v>
      </c>
      <c r="B1863" s="18" t="str">
        <f>+INDEX(BDD!F:F,MATCH(P1863,BDD!D:D,0))&amp;"-"&amp;INDEX(BDD!E:E,MATCH(P1863,BDD!D:D,0))</f>
        <v>T-S</v>
      </c>
      <c r="C1863" s="360" t="s">
        <v>484</v>
      </c>
      <c r="D1863" s="150" t="s">
        <v>77</v>
      </c>
      <c r="E1863" s="132"/>
      <c r="F1863" s="132"/>
      <c r="G1863" s="346">
        <v>8000001827</v>
      </c>
      <c r="H1863" s="18" t="s">
        <v>7177</v>
      </c>
      <c r="I1863" s="329"/>
      <c r="J1863" s="346">
        <v>8000001827</v>
      </c>
      <c r="K1863" s="24"/>
      <c r="L1863" s="24">
        <v>44596</v>
      </c>
      <c r="M1863" s="24">
        <v>44596</v>
      </c>
      <c r="N1863" s="340" t="s">
        <v>486</v>
      </c>
      <c r="O1863" s="334">
        <v>208067</v>
      </c>
      <c r="P1863" s="25" t="s">
        <v>383</v>
      </c>
      <c r="Q1863" s="127" t="s">
        <v>303</v>
      </c>
      <c r="R1863" s="232" t="s">
        <v>7173</v>
      </c>
      <c r="S1863" s="89">
        <v>44545</v>
      </c>
      <c r="T1863" s="36">
        <v>30</v>
      </c>
      <c r="U1863" s="125" t="s">
        <v>131</v>
      </c>
      <c r="V1863" s="147" t="s">
        <v>7178</v>
      </c>
      <c r="W1863" s="129"/>
      <c r="X1863" s="88">
        <v>44649</v>
      </c>
      <c r="Y1863" s="130" t="s">
        <v>20</v>
      </c>
      <c r="Z1863" s="133" t="s">
        <v>60</v>
      </c>
      <c r="AA1863" s="133"/>
      <c r="AB1863" s="241">
        <v>297</v>
      </c>
      <c r="AC1863" s="134">
        <v>372.44</v>
      </c>
      <c r="AD1863" s="134"/>
      <c r="AE1863" s="403">
        <f t="shared" si="134"/>
        <v>110614.68</v>
      </c>
      <c r="AF1863" s="132">
        <v>11</v>
      </c>
      <c r="AG1863" s="130" t="s">
        <v>5</v>
      </c>
      <c r="AH1863" s="130"/>
      <c r="AI1863" s="130" t="s">
        <v>34</v>
      </c>
      <c r="AJ1863" s="130"/>
      <c r="AK1863" s="130"/>
      <c r="AL1863" s="135" t="s">
        <v>6678</v>
      </c>
      <c r="AM1863" s="314"/>
      <c r="AN1863" s="26">
        <v>44591</v>
      </c>
      <c r="AO1863" s="26">
        <v>44589</v>
      </c>
      <c r="AP1863" s="26">
        <f>AQ1863</f>
        <v>44593</v>
      </c>
      <c r="AQ1863" s="26">
        <v>44593</v>
      </c>
      <c r="AR1863" s="24">
        <f t="shared" si="133"/>
        <v>44597</v>
      </c>
      <c r="AS1863" s="24"/>
      <c r="AT1863" s="24">
        <v>44601</v>
      </c>
      <c r="AU1863" s="418">
        <f t="shared" si="135"/>
        <v>2</v>
      </c>
      <c r="AV1863" s="418">
        <f t="shared" si="136"/>
        <v>2022</v>
      </c>
      <c r="AW1863" s="24"/>
      <c r="AX1863" s="24"/>
      <c r="AY1863" s="24" t="s">
        <v>3415</v>
      </c>
      <c r="AZ1863" s="24" t="s">
        <v>9</v>
      </c>
      <c r="BA1863" s="24"/>
      <c r="BB1863" s="135" t="s">
        <v>3264</v>
      </c>
      <c r="BC1863" s="128" t="s">
        <v>7179</v>
      </c>
      <c r="BD1863" s="24">
        <v>44589</v>
      </c>
      <c r="BE1863" s="24" t="s">
        <v>947</v>
      </c>
      <c r="BF1863" s="24" t="s">
        <v>947</v>
      </c>
      <c r="BG1863" s="135" t="s">
        <v>29</v>
      </c>
      <c r="BH1863" s="135"/>
      <c r="BI1863" s="314" t="s">
        <v>3</v>
      </c>
      <c r="BJ1863" s="314" t="s">
        <v>148</v>
      </c>
      <c r="BK1863" s="24"/>
      <c r="BL1863" s="24"/>
      <c r="BM1863" s="24"/>
      <c r="BN1863" s="24"/>
      <c r="BO1863" s="24"/>
      <c r="BP1863" s="24"/>
      <c r="BQ1863" s="24" t="s">
        <v>7180</v>
      </c>
      <c r="BR1863" s="24">
        <v>44592</v>
      </c>
      <c r="BS1863" s="24" t="s">
        <v>38</v>
      </c>
      <c r="BT1863" s="24" t="s">
        <v>11</v>
      </c>
      <c r="BU1863" s="24"/>
      <c r="BV1863" s="132" t="e">
        <f>IF(#REF!="COMPLETO","OK","PENDIENTE")</f>
        <v>#REF!</v>
      </c>
      <c r="BW1863" s="132"/>
      <c r="BX1863" s="132"/>
      <c r="BY1863" s="132"/>
      <c r="BZ1863" s="132"/>
      <c r="CA1863" s="132"/>
      <c r="CB1863" s="132"/>
      <c r="CC1863" s="362"/>
      <c r="CG1863" s="132" t="s">
        <v>105</v>
      </c>
      <c r="CH1863" s="132"/>
      <c r="CI1863" s="24"/>
      <c r="CJ1863" s="24"/>
    </row>
    <row r="1864" spans="1:88" ht="15" customHeight="1">
      <c r="A1864" s="18">
        <v>2021</v>
      </c>
      <c r="B1864" s="18" t="str">
        <f>+INDEX(BDD!F:F,MATCH(P1864,BDD!D:D,0))&amp;"-"&amp;INDEX(BDD!E:E,MATCH(P1864,BDD!D:D,0))</f>
        <v>T-S</v>
      </c>
      <c r="C1864" s="360" t="s">
        <v>484</v>
      </c>
      <c r="D1864" s="150" t="s">
        <v>77</v>
      </c>
      <c r="E1864" s="132"/>
      <c r="F1864" s="132"/>
      <c r="G1864" s="346">
        <v>8000001824</v>
      </c>
      <c r="H1864" s="18" t="s">
        <v>7181</v>
      </c>
      <c r="I1864" s="329"/>
      <c r="J1864" s="346">
        <v>8000001824</v>
      </c>
      <c r="K1864" s="24"/>
      <c r="L1864" s="24">
        <v>44613</v>
      </c>
      <c r="M1864" s="24">
        <v>44613</v>
      </c>
      <c r="N1864" s="340" t="s">
        <v>486</v>
      </c>
      <c r="O1864" s="334">
        <v>208067</v>
      </c>
      <c r="P1864" s="25" t="s">
        <v>383</v>
      </c>
      <c r="Q1864" s="127" t="s">
        <v>303</v>
      </c>
      <c r="R1864" s="232" t="s">
        <v>7182</v>
      </c>
      <c r="S1864" s="89">
        <v>44545</v>
      </c>
      <c r="T1864" s="36">
        <v>30</v>
      </c>
      <c r="U1864" s="125" t="s">
        <v>131</v>
      </c>
      <c r="V1864" s="147" t="s">
        <v>7183</v>
      </c>
      <c r="W1864" s="129"/>
      <c r="X1864" s="88">
        <v>44634</v>
      </c>
      <c r="Y1864" s="130" t="s">
        <v>20</v>
      </c>
      <c r="Z1864" s="133" t="s">
        <v>60</v>
      </c>
      <c r="AA1864" s="133"/>
      <c r="AB1864" s="241">
        <v>216</v>
      </c>
      <c r="AC1864" s="134">
        <v>372.44</v>
      </c>
      <c r="AD1864" s="134"/>
      <c r="AE1864" s="403">
        <f t="shared" si="134"/>
        <v>80447.039999999994</v>
      </c>
      <c r="AF1864" s="132">
        <v>8</v>
      </c>
      <c r="AG1864" s="130" t="s">
        <v>5</v>
      </c>
      <c r="AH1864" s="130"/>
      <c r="AI1864" s="130" t="s">
        <v>34</v>
      </c>
      <c r="AJ1864" s="130"/>
      <c r="AK1864" s="130"/>
      <c r="AL1864" s="135" t="s">
        <v>6678</v>
      </c>
      <c r="AM1864" s="314"/>
      <c r="AN1864" s="26">
        <v>44591</v>
      </c>
      <c r="AO1864" s="26">
        <v>44574</v>
      </c>
      <c r="AP1864" s="26" t="e">
        <f>#REF!+8</f>
        <v>#REF!</v>
      </c>
      <c r="AQ1864" s="26">
        <v>44601</v>
      </c>
      <c r="AR1864" s="24">
        <f t="shared" si="133"/>
        <v>44605</v>
      </c>
      <c r="AS1864" s="24"/>
      <c r="AT1864" s="24">
        <v>44610</v>
      </c>
      <c r="AU1864" s="418">
        <f t="shared" si="135"/>
        <v>2</v>
      </c>
      <c r="AV1864" s="418">
        <f t="shared" si="136"/>
        <v>2022</v>
      </c>
      <c r="AW1864" s="24"/>
      <c r="AX1864" s="24"/>
      <c r="AY1864" s="24" t="s">
        <v>3415</v>
      </c>
      <c r="AZ1864" s="24" t="s">
        <v>37</v>
      </c>
      <c r="BA1864" s="24"/>
      <c r="BB1864" s="132" t="s">
        <v>3593</v>
      </c>
      <c r="BC1864" s="128" t="s">
        <v>7184</v>
      </c>
      <c r="BD1864" s="24">
        <v>44574</v>
      </c>
      <c r="BE1864" s="24" t="s">
        <v>6095</v>
      </c>
      <c r="BF1864" s="24" t="s">
        <v>6095</v>
      </c>
      <c r="BG1864" s="135" t="s">
        <v>64</v>
      </c>
      <c r="BH1864" s="135" t="s">
        <v>7046</v>
      </c>
      <c r="BI1864" s="314" t="s">
        <v>3</v>
      </c>
      <c r="BJ1864" s="314" t="s">
        <v>148</v>
      </c>
      <c r="BK1864" s="24"/>
      <c r="BL1864" s="24"/>
      <c r="BM1864" s="24"/>
      <c r="BN1864" s="24"/>
      <c r="BO1864" s="41"/>
      <c r="BP1864" s="41"/>
      <c r="BQ1864" s="41"/>
      <c r="BR1864" s="24"/>
      <c r="BS1864" s="41"/>
      <c r="BT1864" s="41"/>
      <c r="BU1864" s="41"/>
      <c r="BV1864" s="132" t="e">
        <f>IF(#REF!="COMPLETO","OK","PENDIENTE")</f>
        <v>#REF!</v>
      </c>
      <c r="BW1864" s="132"/>
      <c r="BX1864" s="132"/>
      <c r="BY1864" s="132"/>
      <c r="BZ1864" s="132"/>
      <c r="CA1864" s="132"/>
      <c r="CB1864" s="132"/>
      <c r="CC1864" s="362"/>
      <c r="CG1864" s="132" t="s">
        <v>105</v>
      </c>
      <c r="CH1864" s="132"/>
      <c r="CI1864" s="24"/>
      <c r="CJ1864" s="24"/>
    </row>
    <row r="1865" spans="1:88" ht="15" customHeight="1">
      <c r="A1865" s="18">
        <v>2021</v>
      </c>
      <c r="B1865" s="18" t="str">
        <f>+INDEX(BDD!F:F,MATCH(P1865,BDD!D:D,0))&amp;"-"&amp;INDEX(BDD!E:E,MATCH(P1865,BDD!D:D,0))</f>
        <v>T-S</v>
      </c>
      <c r="C1865" s="360" t="s">
        <v>484</v>
      </c>
      <c r="D1865" s="150" t="s">
        <v>77</v>
      </c>
      <c r="E1865" s="132"/>
      <c r="F1865" s="24"/>
      <c r="G1865" s="346">
        <v>8000001823</v>
      </c>
      <c r="H1865" s="18" t="s">
        <v>7185</v>
      </c>
      <c r="I1865" s="329"/>
      <c r="J1865" s="346">
        <v>8000001823</v>
      </c>
      <c r="K1865" s="24"/>
      <c r="L1865" s="24">
        <v>44596</v>
      </c>
      <c r="M1865" s="24">
        <v>44596</v>
      </c>
      <c r="N1865" s="340" t="s">
        <v>486</v>
      </c>
      <c r="O1865" s="334">
        <v>208067</v>
      </c>
      <c r="P1865" s="25" t="s">
        <v>383</v>
      </c>
      <c r="Q1865" s="127" t="s">
        <v>303</v>
      </c>
      <c r="R1865" s="232" t="s">
        <v>7182</v>
      </c>
      <c r="S1865" s="89">
        <v>44545</v>
      </c>
      <c r="T1865" s="36">
        <v>30</v>
      </c>
      <c r="U1865" s="125" t="s">
        <v>131</v>
      </c>
      <c r="V1865" s="147" t="s">
        <v>7186</v>
      </c>
      <c r="W1865" s="129"/>
      <c r="X1865" s="88">
        <v>44641</v>
      </c>
      <c r="Y1865" s="130" t="s">
        <v>20</v>
      </c>
      <c r="Z1865" s="133" t="s">
        <v>60</v>
      </c>
      <c r="AA1865" s="133"/>
      <c r="AB1865" s="241">
        <v>108</v>
      </c>
      <c r="AC1865" s="134">
        <v>372.44</v>
      </c>
      <c r="AD1865" s="134"/>
      <c r="AE1865" s="403">
        <f t="shared" si="134"/>
        <v>40223.519999999997</v>
      </c>
      <c r="AF1865" s="132">
        <v>4</v>
      </c>
      <c r="AG1865" s="130" t="s">
        <v>5</v>
      </c>
      <c r="AH1865" s="130"/>
      <c r="AI1865" s="130" t="s">
        <v>34</v>
      </c>
      <c r="AJ1865" s="130"/>
      <c r="AK1865" s="130"/>
      <c r="AL1865" s="135" t="s">
        <v>6678</v>
      </c>
      <c r="AM1865" s="314"/>
      <c r="AN1865" s="26">
        <f>BL1865</f>
        <v>0</v>
      </c>
      <c r="AO1865" s="26">
        <v>44581</v>
      </c>
      <c r="AP1865" s="26">
        <f>AQ1865</f>
        <v>44589</v>
      </c>
      <c r="AQ1865" s="26">
        <v>44589</v>
      </c>
      <c r="AR1865" s="24">
        <f t="shared" si="133"/>
        <v>44593</v>
      </c>
      <c r="AS1865" s="24"/>
      <c r="AT1865" s="24">
        <v>44596</v>
      </c>
      <c r="AU1865" s="418">
        <f t="shared" si="135"/>
        <v>2</v>
      </c>
      <c r="AV1865" s="418">
        <f t="shared" si="136"/>
        <v>2022</v>
      </c>
      <c r="AW1865" s="24"/>
      <c r="AX1865" s="24"/>
      <c r="AY1865" s="24" t="s">
        <v>3415</v>
      </c>
      <c r="AZ1865" s="24" t="s">
        <v>37</v>
      </c>
      <c r="BA1865" s="24"/>
      <c r="BB1865" s="132" t="s">
        <v>3291</v>
      </c>
      <c r="BC1865" s="128" t="s">
        <v>6992</v>
      </c>
      <c r="BD1865" s="24">
        <v>44581</v>
      </c>
      <c r="BE1865" s="24" t="s">
        <v>814</v>
      </c>
      <c r="BF1865" s="24" t="s">
        <v>814</v>
      </c>
      <c r="BG1865" s="135" t="s">
        <v>29</v>
      </c>
      <c r="BH1865" s="135"/>
      <c r="BI1865" s="314" t="s">
        <v>3</v>
      </c>
      <c r="BJ1865" s="314" t="s">
        <v>148</v>
      </c>
      <c r="BK1865" s="24"/>
      <c r="BL1865" s="24"/>
      <c r="BM1865" s="24"/>
      <c r="BN1865" s="24"/>
      <c r="BO1865" s="41"/>
      <c r="BP1865" s="41"/>
      <c r="BQ1865" s="41"/>
      <c r="BR1865" s="24"/>
      <c r="BS1865" s="41"/>
      <c r="BT1865" s="41"/>
      <c r="BU1865" s="41"/>
      <c r="BV1865" s="132" t="e">
        <f>IF(#REF!="COMPLETO","OK","PENDIENTE")</f>
        <v>#REF!</v>
      </c>
      <c r="BW1865" s="132"/>
      <c r="BX1865" s="132"/>
      <c r="BY1865" s="132"/>
      <c r="BZ1865" s="132"/>
      <c r="CA1865" s="132"/>
      <c r="CB1865" s="132"/>
      <c r="CC1865" s="362"/>
      <c r="CG1865" s="24" t="s">
        <v>105</v>
      </c>
      <c r="CH1865" s="24"/>
      <c r="CI1865" s="24"/>
      <c r="CJ1865" s="24"/>
    </row>
    <row r="1866" spans="1:88" ht="15" customHeight="1">
      <c r="A1866" s="18">
        <v>2021</v>
      </c>
      <c r="B1866" s="18" t="str">
        <f>+INDEX(BDD!F:F,MATCH(P1866,BDD!D:D,0))&amp;"-"&amp;INDEX(BDD!E:E,MATCH(P1866,BDD!D:D,0))</f>
        <v>T-S</v>
      </c>
      <c r="C1866" s="360" t="s">
        <v>484</v>
      </c>
      <c r="D1866" s="150" t="s">
        <v>77</v>
      </c>
      <c r="E1866" s="132"/>
      <c r="F1866" s="132"/>
      <c r="G1866" s="346">
        <v>8000001828</v>
      </c>
      <c r="H1866" s="18" t="s">
        <v>7187</v>
      </c>
      <c r="I1866" s="329"/>
      <c r="J1866" s="346">
        <v>8000001828</v>
      </c>
      <c r="K1866" s="24"/>
      <c r="L1866" s="24">
        <v>44613</v>
      </c>
      <c r="M1866" s="24">
        <v>44613</v>
      </c>
      <c r="N1866" s="340" t="s">
        <v>486</v>
      </c>
      <c r="O1866" s="334">
        <v>208067</v>
      </c>
      <c r="P1866" s="25" t="s">
        <v>383</v>
      </c>
      <c r="Q1866" s="127" t="s">
        <v>303</v>
      </c>
      <c r="R1866" s="232" t="s">
        <v>7188</v>
      </c>
      <c r="S1866" s="89">
        <v>44545</v>
      </c>
      <c r="T1866" s="36">
        <v>30</v>
      </c>
      <c r="U1866" s="125" t="s">
        <v>131</v>
      </c>
      <c r="V1866" s="147" t="s">
        <v>7189</v>
      </c>
      <c r="W1866" s="129"/>
      <c r="X1866" s="88">
        <v>44649</v>
      </c>
      <c r="Y1866" s="130" t="s">
        <v>20</v>
      </c>
      <c r="Z1866" s="133" t="s">
        <v>60</v>
      </c>
      <c r="AA1866" s="133"/>
      <c r="AB1866" s="241">
        <v>81</v>
      </c>
      <c r="AC1866" s="134">
        <v>372.44</v>
      </c>
      <c r="AD1866" s="134"/>
      <c r="AE1866" s="403">
        <f t="shared" si="134"/>
        <v>30167.64</v>
      </c>
      <c r="AF1866" s="132">
        <v>3</v>
      </c>
      <c r="AG1866" s="130" t="s">
        <v>5</v>
      </c>
      <c r="AH1866" s="130"/>
      <c r="AI1866" s="130" t="s">
        <v>34</v>
      </c>
      <c r="AJ1866" s="130"/>
      <c r="AK1866" s="130"/>
      <c r="AL1866" s="135" t="s">
        <v>6678</v>
      </c>
      <c r="AM1866" s="314"/>
      <c r="AN1866" s="26">
        <v>44591</v>
      </c>
      <c r="AO1866" s="26">
        <v>44589</v>
      </c>
      <c r="AP1866" s="26">
        <f>AQ1866</f>
        <v>44603</v>
      </c>
      <c r="AQ1866" s="26">
        <v>44603</v>
      </c>
      <c r="AR1866" s="24">
        <f>AQ1866+3</f>
        <v>44606</v>
      </c>
      <c r="AS1866" s="24"/>
      <c r="AT1866" s="24">
        <v>44610</v>
      </c>
      <c r="AU1866" s="418">
        <f t="shared" si="135"/>
        <v>2</v>
      </c>
      <c r="AV1866" s="418">
        <f t="shared" si="136"/>
        <v>2022</v>
      </c>
      <c r="AW1866" s="24"/>
      <c r="AX1866" s="24"/>
      <c r="AY1866" s="24" t="s">
        <v>3415</v>
      </c>
      <c r="AZ1866" s="24" t="s">
        <v>62</v>
      </c>
      <c r="BA1866" s="24"/>
      <c r="BB1866" s="24" t="s">
        <v>3264</v>
      </c>
      <c r="BC1866" s="128" t="s">
        <v>7190</v>
      </c>
      <c r="BD1866" s="24">
        <v>44589</v>
      </c>
      <c r="BE1866" s="24" t="s">
        <v>947</v>
      </c>
      <c r="BF1866" s="24" t="s">
        <v>1938</v>
      </c>
      <c r="BG1866" s="135" t="s">
        <v>29</v>
      </c>
      <c r="BH1866" s="135"/>
      <c r="BI1866" s="314" t="s">
        <v>3</v>
      </c>
      <c r="BJ1866" s="314" t="s">
        <v>148</v>
      </c>
      <c r="BK1866" s="24"/>
      <c r="BL1866" s="24"/>
      <c r="BM1866" s="24"/>
      <c r="BN1866" s="24"/>
      <c r="BO1866" s="41"/>
      <c r="BP1866" s="41"/>
      <c r="BQ1866" s="41" t="s">
        <v>7191</v>
      </c>
      <c r="BR1866" s="24">
        <v>44602</v>
      </c>
      <c r="BS1866" s="41" t="s">
        <v>38</v>
      </c>
      <c r="BT1866" s="41" t="s">
        <v>11</v>
      </c>
      <c r="BU1866" s="41"/>
      <c r="BV1866" s="132" t="e">
        <f>IF(#REF!="COMPLETO","OK","PENDIENTE")</f>
        <v>#REF!</v>
      </c>
      <c r="BW1866" s="132"/>
      <c r="BX1866" s="132"/>
      <c r="BY1866" s="132"/>
      <c r="BZ1866" s="132"/>
      <c r="CA1866" s="132"/>
      <c r="CB1866" s="132"/>
      <c r="CC1866" s="362"/>
      <c r="CG1866" s="132" t="s">
        <v>105</v>
      </c>
      <c r="CH1866" s="132"/>
      <c r="CI1866" s="24"/>
      <c r="CJ1866" s="24"/>
    </row>
    <row r="1867" spans="1:88" ht="15" customHeight="1">
      <c r="A1867" s="18">
        <v>2021</v>
      </c>
      <c r="B1867" s="18" t="str">
        <f>+INDEX(BDD!F:F,MATCH(P1867,BDD!D:D,0))&amp;"-"&amp;INDEX(BDD!E:E,MATCH(P1867,BDD!D:D,0))</f>
        <v>T-S</v>
      </c>
      <c r="C1867" s="360" t="s">
        <v>484</v>
      </c>
      <c r="D1867" s="150" t="s">
        <v>77</v>
      </c>
      <c r="E1867" s="132"/>
      <c r="F1867" s="132"/>
      <c r="G1867" s="346">
        <v>8000001851</v>
      </c>
      <c r="H1867" s="18" t="s">
        <v>7192</v>
      </c>
      <c r="I1867" s="329"/>
      <c r="J1867" s="346">
        <v>8000001851</v>
      </c>
      <c r="K1867" s="24"/>
      <c r="L1867" s="24">
        <v>44617</v>
      </c>
      <c r="M1867" s="24">
        <v>44617</v>
      </c>
      <c r="N1867" s="340" t="s">
        <v>486</v>
      </c>
      <c r="O1867" s="334">
        <v>208067</v>
      </c>
      <c r="P1867" s="25" t="s">
        <v>383</v>
      </c>
      <c r="Q1867" s="127" t="s">
        <v>303</v>
      </c>
      <c r="R1867" s="232" t="s">
        <v>7193</v>
      </c>
      <c r="S1867" s="89">
        <v>44545</v>
      </c>
      <c r="T1867" s="36">
        <v>30</v>
      </c>
      <c r="U1867" s="125" t="s">
        <v>131</v>
      </c>
      <c r="V1867" s="147" t="s">
        <v>7194</v>
      </c>
      <c r="W1867" s="129"/>
      <c r="X1867" s="88">
        <v>44645</v>
      </c>
      <c r="Y1867" s="130" t="s">
        <v>20</v>
      </c>
      <c r="Z1867" s="133" t="s">
        <v>60</v>
      </c>
      <c r="AA1867" s="133"/>
      <c r="AB1867" s="241">
        <v>486</v>
      </c>
      <c r="AC1867" s="134">
        <v>500</v>
      </c>
      <c r="AD1867" s="134"/>
      <c r="AE1867" s="403">
        <f t="shared" si="134"/>
        <v>243000</v>
      </c>
      <c r="AF1867" s="132">
        <v>18</v>
      </c>
      <c r="AG1867" s="130" t="s">
        <v>5</v>
      </c>
      <c r="AH1867" s="130"/>
      <c r="AI1867" s="130" t="s">
        <v>34</v>
      </c>
      <c r="AJ1867" s="130"/>
      <c r="AK1867" s="130"/>
      <c r="AL1867" s="135" t="s">
        <v>7144</v>
      </c>
      <c r="AM1867" s="314"/>
      <c r="AN1867" s="26">
        <v>44591</v>
      </c>
      <c r="AO1867" s="26">
        <v>44610</v>
      </c>
      <c r="AP1867" s="26">
        <f>AQ1867</f>
        <v>44614</v>
      </c>
      <c r="AQ1867" s="26">
        <v>44614</v>
      </c>
      <c r="AR1867" s="24">
        <f>AQ1867+4</f>
        <v>44618</v>
      </c>
      <c r="AS1867" s="24"/>
      <c r="AT1867" s="24">
        <v>44621</v>
      </c>
      <c r="AU1867" s="418">
        <f t="shared" si="135"/>
        <v>3</v>
      </c>
      <c r="AV1867" s="418">
        <f t="shared" si="136"/>
        <v>2022</v>
      </c>
      <c r="AW1867" s="24"/>
      <c r="AX1867" s="24"/>
      <c r="AY1867" s="24" t="s">
        <v>3415</v>
      </c>
      <c r="AZ1867" s="24" t="s">
        <v>9</v>
      </c>
      <c r="BA1867" s="24"/>
      <c r="BB1867" s="132" t="s">
        <v>3264</v>
      </c>
      <c r="BC1867" s="24" t="s">
        <v>7195</v>
      </c>
      <c r="BD1867" s="24">
        <v>44610</v>
      </c>
      <c r="BE1867" s="24" t="s">
        <v>5944</v>
      </c>
      <c r="BF1867" s="24" t="s">
        <v>5944</v>
      </c>
      <c r="BG1867" s="135" t="s">
        <v>29</v>
      </c>
      <c r="BH1867" s="135"/>
      <c r="BI1867" s="314" t="s">
        <v>3</v>
      </c>
      <c r="BJ1867" s="314" t="s">
        <v>148</v>
      </c>
      <c r="BK1867" s="24"/>
      <c r="BL1867" s="24"/>
      <c r="BM1867" s="24"/>
      <c r="BN1867" s="24"/>
      <c r="BO1867" s="24">
        <v>44628</v>
      </c>
      <c r="BP1867" s="24"/>
      <c r="BQ1867" s="24" t="s">
        <v>7196</v>
      </c>
      <c r="BR1867" s="24">
        <v>44616</v>
      </c>
      <c r="BS1867" s="24" t="s">
        <v>38</v>
      </c>
      <c r="BT1867" s="24" t="s">
        <v>11</v>
      </c>
      <c r="BU1867" s="24"/>
      <c r="BV1867" s="132" t="e">
        <f>IF(#REF!="COMPLETO","OK","PENDIENTE")</f>
        <v>#REF!</v>
      </c>
      <c r="BW1867" s="132"/>
      <c r="BX1867" s="132"/>
      <c r="BY1867" s="132"/>
      <c r="BZ1867" s="132"/>
      <c r="CA1867" s="132"/>
      <c r="CB1867" s="132"/>
      <c r="CC1867" s="373" t="s">
        <v>7197</v>
      </c>
      <c r="CG1867" s="132" t="s">
        <v>105</v>
      </c>
      <c r="CH1867" s="132"/>
      <c r="CI1867" s="24"/>
      <c r="CJ1867" s="24"/>
    </row>
    <row r="1868" spans="1:88" ht="15" customHeight="1">
      <c r="A1868" s="18">
        <v>2021</v>
      </c>
      <c r="B1868" s="18" t="str">
        <f>+INDEX(BDD!F:F,MATCH(P1868,BDD!D:D,0))&amp;"-"&amp;INDEX(BDD!E:E,MATCH(P1868,BDD!D:D,0))</f>
        <v>T-S</v>
      </c>
      <c r="C1868" s="360" t="s">
        <v>484</v>
      </c>
      <c r="D1868" s="150" t="s">
        <v>77</v>
      </c>
      <c r="E1868" s="132"/>
      <c r="F1868" s="132"/>
      <c r="G1868" s="346">
        <v>8000001857</v>
      </c>
      <c r="H1868" s="18" t="s">
        <v>7198</v>
      </c>
      <c r="I1868" s="329"/>
      <c r="J1868" s="346">
        <v>8000001857</v>
      </c>
      <c r="K1868" s="24"/>
      <c r="L1868" s="24">
        <v>44626</v>
      </c>
      <c r="M1868" s="24">
        <v>44628</v>
      </c>
      <c r="N1868" s="340" t="s">
        <v>486</v>
      </c>
      <c r="O1868" s="334">
        <v>208067</v>
      </c>
      <c r="P1868" s="25" t="s">
        <v>383</v>
      </c>
      <c r="Q1868" s="127" t="s">
        <v>303</v>
      </c>
      <c r="R1868" s="232" t="s">
        <v>7199</v>
      </c>
      <c r="S1868" s="89">
        <v>44545</v>
      </c>
      <c r="T1868" s="36">
        <v>30</v>
      </c>
      <c r="U1868" s="125" t="s">
        <v>131</v>
      </c>
      <c r="V1868" s="147" t="s">
        <v>7200</v>
      </c>
      <c r="W1868" s="129"/>
      <c r="X1868" s="88">
        <v>44650</v>
      </c>
      <c r="Y1868" s="130" t="s">
        <v>20</v>
      </c>
      <c r="Z1868" s="133" t="s">
        <v>60</v>
      </c>
      <c r="AA1868" s="133"/>
      <c r="AB1868" s="241">
        <v>216</v>
      </c>
      <c r="AC1868" s="134">
        <v>500</v>
      </c>
      <c r="AD1868" s="134"/>
      <c r="AE1868" s="403">
        <f t="shared" si="134"/>
        <v>108000</v>
      </c>
      <c r="AF1868" s="132">
        <v>8</v>
      </c>
      <c r="AG1868" s="130" t="s">
        <v>5</v>
      </c>
      <c r="AH1868" s="130"/>
      <c r="AI1868" s="130" t="s">
        <v>34</v>
      </c>
      <c r="AJ1868" s="130"/>
      <c r="AK1868" s="130"/>
      <c r="AL1868" s="135" t="s">
        <v>7144</v>
      </c>
      <c r="AM1868" s="314"/>
      <c r="AN1868" s="26">
        <v>44591</v>
      </c>
      <c r="AO1868" s="26">
        <v>44615</v>
      </c>
      <c r="AP1868" s="26" t="e">
        <f>#REF!+8</f>
        <v>#REF!</v>
      </c>
      <c r="AQ1868" s="26">
        <v>44624</v>
      </c>
      <c r="AR1868" s="24">
        <f>AQ1868+4</f>
        <v>44628</v>
      </c>
      <c r="AS1868" s="24"/>
      <c r="AT1868" s="24">
        <v>44629</v>
      </c>
      <c r="AU1868" s="418">
        <f t="shared" si="135"/>
        <v>3</v>
      </c>
      <c r="AV1868" s="418">
        <f t="shared" si="136"/>
        <v>2022</v>
      </c>
      <c r="AW1868" s="24"/>
      <c r="AX1868" s="24"/>
      <c r="AY1868" s="24" t="s">
        <v>3415</v>
      </c>
      <c r="AZ1868" s="24" t="s">
        <v>37</v>
      </c>
      <c r="BA1868" s="24"/>
      <c r="BB1868" s="24" t="s">
        <v>3291</v>
      </c>
      <c r="BC1868" s="24" t="s">
        <v>7201</v>
      </c>
      <c r="BD1868" s="24">
        <v>44615</v>
      </c>
      <c r="BE1868" s="24" t="s">
        <v>7202</v>
      </c>
      <c r="BF1868" s="24" t="s">
        <v>5438</v>
      </c>
      <c r="BG1868" s="135" t="s">
        <v>64</v>
      </c>
      <c r="BH1868" s="135"/>
      <c r="BI1868" s="314" t="s">
        <v>124</v>
      </c>
      <c r="BJ1868" s="314" t="s">
        <v>138</v>
      </c>
      <c r="BK1868" s="24"/>
      <c r="BL1868" s="24"/>
      <c r="BM1868" s="24"/>
      <c r="BN1868" s="24"/>
      <c r="BO1868" s="24">
        <f>AQ1868+13</f>
        <v>44637</v>
      </c>
      <c r="BP1868" s="24"/>
      <c r="BQ1868" s="41" t="s">
        <v>7203</v>
      </c>
      <c r="BR1868" s="24">
        <v>44621</v>
      </c>
      <c r="BS1868" s="24" t="s">
        <v>26</v>
      </c>
      <c r="BT1868" s="24" t="s">
        <v>11</v>
      </c>
      <c r="BU1868" s="24"/>
      <c r="BV1868" s="132" t="e">
        <f>IF(#REF!="COMPLETO","OK","PENDIENTE")</f>
        <v>#REF!</v>
      </c>
      <c r="BW1868" s="132"/>
      <c r="BX1868" s="132"/>
      <c r="BY1868" s="132"/>
      <c r="BZ1868" s="132"/>
      <c r="CA1868" s="132"/>
      <c r="CB1868" s="132"/>
      <c r="CC1868" s="362"/>
      <c r="CG1868" s="132" t="s">
        <v>105</v>
      </c>
      <c r="CH1868" s="132"/>
      <c r="CI1868" s="24"/>
      <c r="CJ1868" s="24"/>
    </row>
    <row r="1869" spans="1:88" ht="15" customHeight="1">
      <c r="A1869" s="18">
        <v>2021</v>
      </c>
      <c r="B1869" s="18" t="str">
        <f>+INDEX(BDD!F:F,MATCH(P1869,BDD!D:D,0))&amp;"-"&amp;INDEX(BDD!E:E,MATCH(P1869,BDD!D:D,0))</f>
        <v>T-S</v>
      </c>
      <c r="C1869" s="360" t="s">
        <v>484</v>
      </c>
      <c r="D1869" s="150" t="s">
        <v>77</v>
      </c>
      <c r="E1869" s="132"/>
      <c r="F1869" s="132"/>
      <c r="G1869" s="346">
        <v>8000001855</v>
      </c>
      <c r="H1869" s="18" t="s">
        <v>7204</v>
      </c>
      <c r="I1869" s="329"/>
      <c r="J1869" s="346">
        <v>8000001855</v>
      </c>
      <c r="K1869" s="24"/>
      <c r="L1869" s="24">
        <v>44621</v>
      </c>
      <c r="M1869" s="24">
        <v>44621</v>
      </c>
      <c r="N1869" s="340" t="s">
        <v>486</v>
      </c>
      <c r="O1869" s="334">
        <v>208067</v>
      </c>
      <c r="P1869" s="25" t="s">
        <v>383</v>
      </c>
      <c r="Q1869" s="127" t="s">
        <v>303</v>
      </c>
      <c r="R1869" s="232" t="s">
        <v>7199</v>
      </c>
      <c r="S1869" s="89">
        <v>44545</v>
      </c>
      <c r="T1869" s="36">
        <v>30</v>
      </c>
      <c r="U1869" s="125" t="s">
        <v>131</v>
      </c>
      <c r="V1869" s="88" t="s">
        <v>7205</v>
      </c>
      <c r="W1869" s="129"/>
      <c r="X1869" s="88">
        <v>44646</v>
      </c>
      <c r="Y1869" s="130" t="s">
        <v>20</v>
      </c>
      <c r="Z1869" s="133" t="s">
        <v>60</v>
      </c>
      <c r="AA1869" s="133"/>
      <c r="AB1869" s="241">
        <v>216</v>
      </c>
      <c r="AC1869" s="134">
        <v>500</v>
      </c>
      <c r="AD1869" s="134"/>
      <c r="AE1869" s="403">
        <f t="shared" si="134"/>
        <v>108000</v>
      </c>
      <c r="AF1869" s="132">
        <v>8</v>
      </c>
      <c r="AG1869" s="130" t="s">
        <v>5</v>
      </c>
      <c r="AH1869" s="130"/>
      <c r="AI1869" s="130" t="s">
        <v>34</v>
      </c>
      <c r="AJ1869" s="130"/>
      <c r="AK1869" s="130"/>
      <c r="AL1869" s="135" t="s">
        <v>7144</v>
      </c>
      <c r="AM1869" s="314"/>
      <c r="AN1869" s="26">
        <v>44591</v>
      </c>
      <c r="AO1869" s="26">
        <v>44609</v>
      </c>
      <c r="AP1869" s="26" t="e">
        <f>#REF!+8</f>
        <v>#REF!</v>
      </c>
      <c r="AQ1869" s="26">
        <f>AO1869+7</f>
        <v>44616</v>
      </c>
      <c r="AR1869" s="24">
        <f>AQ1869+4</f>
        <v>44620</v>
      </c>
      <c r="AS1869" s="24"/>
      <c r="AT1869" s="24">
        <v>44622</v>
      </c>
      <c r="AU1869" s="418">
        <f t="shared" si="135"/>
        <v>3</v>
      </c>
      <c r="AV1869" s="418">
        <f t="shared" si="136"/>
        <v>2022</v>
      </c>
      <c r="AW1869" s="24"/>
      <c r="AX1869" s="24"/>
      <c r="AY1869" s="24" t="s">
        <v>3415</v>
      </c>
      <c r="AZ1869" s="24" t="s">
        <v>37</v>
      </c>
      <c r="BA1869" s="24"/>
      <c r="BB1869" s="132" t="s">
        <v>3291</v>
      </c>
      <c r="BC1869" s="128" t="s">
        <v>7206</v>
      </c>
      <c r="BD1869" s="24">
        <v>44609</v>
      </c>
      <c r="BE1869" s="24" t="s">
        <v>2668</v>
      </c>
      <c r="BF1869" s="24" t="s">
        <v>2668</v>
      </c>
      <c r="BG1869" s="135" t="s">
        <v>64</v>
      </c>
      <c r="BH1869" s="135"/>
      <c r="BI1869" s="314" t="s">
        <v>3</v>
      </c>
      <c r="BJ1869" s="314" t="s">
        <v>148</v>
      </c>
      <c r="BK1869" s="24"/>
      <c r="BL1869" s="24"/>
      <c r="BM1869" s="24"/>
      <c r="BN1869" s="24"/>
      <c r="BO1869" s="24">
        <f>AQ1869+13</f>
        <v>44629</v>
      </c>
      <c r="BP1869" s="24"/>
      <c r="BQ1869" s="24" t="s">
        <v>7207</v>
      </c>
      <c r="BR1869" s="24">
        <v>44616</v>
      </c>
      <c r="BS1869" s="24" t="s">
        <v>26</v>
      </c>
      <c r="BT1869" s="24" t="s">
        <v>11</v>
      </c>
      <c r="BU1869" s="24"/>
      <c r="BV1869" s="132" t="e">
        <f>IF(#REF!="COMPLETO","OK","PENDIENTE")</f>
        <v>#REF!</v>
      </c>
      <c r="BW1869" s="132"/>
      <c r="BX1869" s="132"/>
      <c r="BY1869" s="132"/>
      <c r="BZ1869" s="132"/>
      <c r="CA1869" s="132"/>
      <c r="CB1869" s="132"/>
      <c r="CC1869" s="362"/>
      <c r="CG1869" s="132" t="s">
        <v>105</v>
      </c>
      <c r="CH1869" s="132"/>
      <c r="CI1869" s="24"/>
      <c r="CJ1869" s="24"/>
    </row>
    <row r="1870" spans="1:88" ht="15" customHeight="1">
      <c r="A1870" s="18">
        <v>2021</v>
      </c>
      <c r="B1870" s="18" t="str">
        <f>+INDEX(BDD!F:F,MATCH(P1870,BDD!D:D,0))&amp;"-"&amp;INDEX(BDD!E:E,MATCH(P1870,BDD!D:D,0))</f>
        <v>T-S</v>
      </c>
      <c r="C1870" s="360" t="s">
        <v>484</v>
      </c>
      <c r="D1870" s="150" t="s">
        <v>77</v>
      </c>
      <c r="E1870" s="132"/>
      <c r="F1870" s="132"/>
      <c r="G1870" s="346">
        <v>8000001858</v>
      </c>
      <c r="H1870" s="18" t="s">
        <v>7208</v>
      </c>
      <c r="I1870" s="329"/>
      <c r="J1870" s="346">
        <v>8000001858</v>
      </c>
      <c r="K1870" s="24"/>
      <c r="L1870" s="24">
        <v>44623</v>
      </c>
      <c r="M1870" s="24">
        <v>44623</v>
      </c>
      <c r="N1870" s="340" t="s">
        <v>486</v>
      </c>
      <c r="O1870" s="334">
        <v>208067</v>
      </c>
      <c r="P1870" s="25" t="s">
        <v>383</v>
      </c>
      <c r="Q1870" s="127" t="s">
        <v>303</v>
      </c>
      <c r="R1870" s="232" t="s">
        <v>7209</v>
      </c>
      <c r="S1870" s="89">
        <v>44545</v>
      </c>
      <c r="T1870" s="36">
        <v>30</v>
      </c>
      <c r="U1870" s="125" t="s">
        <v>131</v>
      </c>
      <c r="V1870" s="147" t="s">
        <v>7210</v>
      </c>
      <c r="W1870" s="129"/>
      <c r="X1870" s="88">
        <v>44650</v>
      </c>
      <c r="Y1870" s="130" t="s">
        <v>20</v>
      </c>
      <c r="Z1870" s="133" t="s">
        <v>60</v>
      </c>
      <c r="AA1870" s="133"/>
      <c r="AB1870" s="241">
        <v>81</v>
      </c>
      <c r="AC1870" s="134">
        <v>500</v>
      </c>
      <c r="AD1870" s="134"/>
      <c r="AE1870" s="403">
        <f t="shared" si="134"/>
        <v>40500</v>
      </c>
      <c r="AF1870" s="132">
        <v>3</v>
      </c>
      <c r="AG1870" s="130" t="s">
        <v>5</v>
      </c>
      <c r="AH1870" s="130"/>
      <c r="AI1870" s="130" t="s">
        <v>34</v>
      </c>
      <c r="AJ1870" s="130"/>
      <c r="AK1870" s="130"/>
      <c r="AL1870" s="135" t="s">
        <v>7144</v>
      </c>
      <c r="AM1870" s="314"/>
      <c r="AN1870" s="26">
        <v>44591</v>
      </c>
      <c r="AO1870" s="26">
        <v>44617</v>
      </c>
      <c r="AP1870" s="26">
        <f>AQ1870</f>
        <v>44621</v>
      </c>
      <c r="AQ1870" s="26">
        <f>AO1870+4</f>
        <v>44621</v>
      </c>
      <c r="AR1870" s="24">
        <f>AQ1870+4</f>
        <v>44625</v>
      </c>
      <c r="AS1870" s="24"/>
      <c r="AT1870" s="24">
        <v>44623</v>
      </c>
      <c r="AU1870" s="418">
        <f t="shared" si="135"/>
        <v>3</v>
      </c>
      <c r="AV1870" s="418">
        <f t="shared" si="136"/>
        <v>2022</v>
      </c>
      <c r="AW1870" s="24"/>
      <c r="AX1870" s="24"/>
      <c r="AY1870" s="24" t="s">
        <v>3415</v>
      </c>
      <c r="AZ1870" s="24" t="s">
        <v>9</v>
      </c>
      <c r="BA1870" s="24"/>
      <c r="BB1870" s="132" t="s">
        <v>3264</v>
      </c>
      <c r="BC1870" s="24" t="s">
        <v>7211</v>
      </c>
      <c r="BD1870" s="24">
        <v>44617</v>
      </c>
      <c r="BE1870" s="24" t="s">
        <v>6400</v>
      </c>
      <c r="BF1870" s="24" t="s">
        <v>6400</v>
      </c>
      <c r="BG1870" s="135" t="s">
        <v>29</v>
      </c>
      <c r="BH1870" s="135"/>
      <c r="BI1870" s="314" t="s">
        <v>3</v>
      </c>
      <c r="BJ1870" s="314" t="s">
        <v>148</v>
      </c>
      <c r="BK1870" s="24"/>
      <c r="BL1870" s="24"/>
      <c r="BM1870" s="24"/>
      <c r="BN1870" s="24"/>
      <c r="BO1870" s="24">
        <f>AQ1870+14</f>
        <v>44635</v>
      </c>
      <c r="BP1870" s="24"/>
      <c r="BQ1870" s="24" t="s">
        <v>7212</v>
      </c>
      <c r="BR1870" s="24">
        <v>44621</v>
      </c>
      <c r="BS1870" s="24" t="s">
        <v>38</v>
      </c>
      <c r="BT1870" s="24" t="s">
        <v>11</v>
      </c>
      <c r="BU1870" s="24"/>
      <c r="BV1870" s="132" t="e">
        <f>IF(#REF!="COMPLETO","OK","PENDIENTE")</f>
        <v>#REF!</v>
      </c>
      <c r="BW1870" s="132"/>
      <c r="BX1870" s="132"/>
      <c r="BY1870" s="132"/>
      <c r="BZ1870" s="132"/>
      <c r="CA1870" s="132"/>
      <c r="CB1870" s="132"/>
      <c r="CC1870" s="362"/>
      <c r="CG1870" s="132" t="s">
        <v>105</v>
      </c>
      <c r="CH1870" s="132"/>
      <c r="CI1870" s="24"/>
      <c r="CJ1870" s="24"/>
    </row>
    <row r="1871" spans="1:88" ht="15" customHeight="1">
      <c r="A1871" s="18">
        <v>2021</v>
      </c>
      <c r="B1871" s="18" t="str">
        <f>+INDEX(BDD!F:F,MATCH(P1871,BDD!D:D,0))&amp;"-"&amp;INDEX(BDD!E:E,MATCH(P1871,BDD!D:D,0))</f>
        <v>T-S</v>
      </c>
      <c r="C1871" s="360" t="s">
        <v>484</v>
      </c>
      <c r="D1871" s="150" t="s">
        <v>77</v>
      </c>
      <c r="E1871" s="132"/>
      <c r="F1871" s="132"/>
      <c r="G1871" s="346">
        <v>8000001875</v>
      </c>
      <c r="H1871" s="18" t="s">
        <v>7213</v>
      </c>
      <c r="I1871" s="329" t="s">
        <v>7214</v>
      </c>
      <c r="J1871" s="346">
        <v>8000001875</v>
      </c>
      <c r="K1871" s="24"/>
      <c r="L1871" s="24">
        <v>44642</v>
      </c>
      <c r="M1871" s="24">
        <v>44641</v>
      </c>
      <c r="N1871" s="340" t="s">
        <v>486</v>
      </c>
      <c r="O1871" s="334">
        <v>208067</v>
      </c>
      <c r="P1871" s="25" t="s">
        <v>383</v>
      </c>
      <c r="Q1871" s="127" t="s">
        <v>303</v>
      </c>
      <c r="R1871" s="232" t="s">
        <v>7215</v>
      </c>
      <c r="S1871" s="89">
        <v>44545</v>
      </c>
      <c r="T1871" s="36">
        <v>30</v>
      </c>
      <c r="U1871" s="125" t="s">
        <v>131</v>
      </c>
      <c r="V1871" s="147" t="s">
        <v>7216</v>
      </c>
      <c r="W1871" s="129"/>
      <c r="X1871" s="88">
        <v>44665</v>
      </c>
      <c r="Y1871" s="130" t="s">
        <v>20</v>
      </c>
      <c r="Z1871" s="133" t="s">
        <v>60</v>
      </c>
      <c r="AA1871" s="133"/>
      <c r="AB1871" s="241">
        <v>324</v>
      </c>
      <c r="AC1871" s="134">
        <v>500</v>
      </c>
      <c r="AD1871" s="134"/>
      <c r="AE1871" s="403">
        <f t="shared" si="134"/>
        <v>162000</v>
      </c>
      <c r="AF1871" s="132">
        <v>12</v>
      </c>
      <c r="AG1871" s="130" t="s">
        <v>5</v>
      </c>
      <c r="AH1871" s="130"/>
      <c r="AI1871" s="130" t="s">
        <v>34</v>
      </c>
      <c r="AJ1871" s="130"/>
      <c r="AK1871" s="130"/>
      <c r="AL1871" s="135" t="s">
        <v>7160</v>
      </c>
      <c r="AM1871" s="314"/>
      <c r="AN1871" s="26">
        <v>44591</v>
      </c>
      <c r="AO1871" s="26">
        <v>44631</v>
      </c>
      <c r="AP1871" s="26">
        <f>AQ1871</f>
        <v>44635</v>
      </c>
      <c r="AQ1871" s="26">
        <f>AO1871+4</f>
        <v>44635</v>
      </c>
      <c r="AR1871" s="24">
        <f>AQ1871+4</f>
        <v>44639</v>
      </c>
      <c r="AS1871" s="24"/>
      <c r="AT1871" s="24">
        <v>44641</v>
      </c>
      <c r="AU1871" s="418">
        <f t="shared" si="135"/>
        <v>3</v>
      </c>
      <c r="AV1871" s="418">
        <f t="shared" si="136"/>
        <v>2022</v>
      </c>
      <c r="AW1871" s="24"/>
      <c r="AX1871" s="24"/>
      <c r="AY1871" s="24" t="s">
        <v>3415</v>
      </c>
      <c r="AZ1871" s="24" t="s">
        <v>9</v>
      </c>
      <c r="BA1871" s="24"/>
      <c r="BB1871" s="24" t="s">
        <v>3264</v>
      </c>
      <c r="BC1871" s="128" t="s">
        <v>7217</v>
      </c>
      <c r="BD1871" s="24">
        <v>44631</v>
      </c>
      <c r="BE1871" s="24" t="s">
        <v>947</v>
      </c>
      <c r="BF1871" s="24" t="s">
        <v>947</v>
      </c>
      <c r="BG1871" s="135" t="s">
        <v>29</v>
      </c>
      <c r="BH1871" s="135"/>
      <c r="BI1871" s="314" t="s">
        <v>3</v>
      </c>
      <c r="BJ1871" s="314" t="s">
        <v>148</v>
      </c>
      <c r="BK1871" s="24"/>
      <c r="BL1871" s="24"/>
      <c r="BM1871" s="24"/>
      <c r="BN1871" s="24"/>
      <c r="BO1871" s="24">
        <f>AQ1871+14</f>
        <v>44649</v>
      </c>
      <c r="BP1871" s="24"/>
      <c r="BQ1871" s="24" t="s">
        <v>7218</v>
      </c>
      <c r="BR1871" s="24">
        <v>44635</v>
      </c>
      <c r="BS1871" s="24" t="s">
        <v>38</v>
      </c>
      <c r="BT1871" s="24" t="s">
        <v>11</v>
      </c>
      <c r="BU1871" s="24"/>
      <c r="BV1871" s="132" t="e">
        <f>IF(#REF!="COMPLETO","OK","PENDIENTE")</f>
        <v>#REF!</v>
      </c>
      <c r="BW1871" s="132"/>
      <c r="BX1871" s="132"/>
      <c r="BY1871" s="132"/>
      <c r="BZ1871" s="132"/>
      <c r="CA1871" s="132"/>
      <c r="CB1871" s="132"/>
      <c r="CC1871" s="362"/>
      <c r="CG1871" s="132" t="s">
        <v>105</v>
      </c>
      <c r="CH1871" s="132"/>
      <c r="CI1871" s="24"/>
      <c r="CJ1871" s="24"/>
    </row>
    <row r="1872" spans="1:88" ht="15" customHeight="1">
      <c r="A1872" s="18">
        <v>2021</v>
      </c>
      <c r="B1872" s="18" t="str">
        <f>+INDEX(BDD!F:F,MATCH(P1872,BDD!D:D,0))&amp;"-"&amp;INDEX(BDD!E:E,MATCH(P1872,BDD!D:D,0))</f>
        <v>T-S</v>
      </c>
      <c r="C1872" s="360" t="s">
        <v>484</v>
      </c>
      <c r="D1872" s="150" t="s">
        <v>77</v>
      </c>
      <c r="E1872" s="132"/>
      <c r="F1872" s="132"/>
      <c r="G1872" s="346">
        <v>8000001879</v>
      </c>
      <c r="H1872" s="18" t="s">
        <v>7219</v>
      </c>
      <c r="I1872" s="329" t="s">
        <v>7214</v>
      </c>
      <c r="J1872" s="346">
        <v>8000001879</v>
      </c>
      <c r="K1872" s="24"/>
      <c r="L1872" s="24">
        <v>44643</v>
      </c>
      <c r="M1872" s="24">
        <v>44651</v>
      </c>
      <c r="N1872" s="340" t="s">
        <v>486</v>
      </c>
      <c r="O1872" s="334">
        <v>208067</v>
      </c>
      <c r="P1872" s="25" t="s">
        <v>383</v>
      </c>
      <c r="Q1872" s="127" t="s">
        <v>303</v>
      </c>
      <c r="R1872" s="232" t="s">
        <v>7215</v>
      </c>
      <c r="S1872" s="89">
        <v>44545</v>
      </c>
      <c r="T1872" s="36">
        <v>30</v>
      </c>
      <c r="U1872" s="125" t="s">
        <v>131</v>
      </c>
      <c r="V1872" s="147" t="s">
        <v>7220</v>
      </c>
      <c r="W1872" s="88">
        <v>44641</v>
      </c>
      <c r="X1872" s="88">
        <v>44671</v>
      </c>
      <c r="Y1872" s="130" t="s">
        <v>20</v>
      </c>
      <c r="Z1872" s="133" t="s">
        <v>60</v>
      </c>
      <c r="AA1872" s="133"/>
      <c r="AB1872" s="241">
        <v>135</v>
      </c>
      <c r="AC1872" s="134">
        <v>500</v>
      </c>
      <c r="AD1872" s="134"/>
      <c r="AE1872" s="403">
        <f t="shared" si="134"/>
        <v>67500</v>
      </c>
      <c r="AF1872" s="132">
        <v>5</v>
      </c>
      <c r="AG1872" s="130" t="s">
        <v>5</v>
      </c>
      <c r="AH1872" s="130"/>
      <c r="AI1872" s="130" t="s">
        <v>34</v>
      </c>
      <c r="AJ1872" s="130" t="s">
        <v>944</v>
      </c>
      <c r="AK1872" s="130" t="s">
        <v>6704</v>
      </c>
      <c r="AL1872" s="135" t="s">
        <v>7160</v>
      </c>
      <c r="AM1872" s="314"/>
      <c r="AN1872" s="26">
        <v>44591</v>
      </c>
      <c r="AO1872" s="26">
        <v>44638</v>
      </c>
      <c r="AP1872" s="26">
        <f>AQ1872</f>
        <v>44642</v>
      </c>
      <c r="AQ1872" s="26">
        <f>AO1872+4</f>
        <v>44642</v>
      </c>
      <c r="AR1872" s="24">
        <v>44650</v>
      </c>
      <c r="AS1872" s="24"/>
      <c r="AT1872" s="24">
        <v>44650</v>
      </c>
      <c r="AU1872" s="418">
        <f t="shared" si="135"/>
        <v>3</v>
      </c>
      <c r="AV1872" s="418">
        <f t="shared" si="136"/>
        <v>2022</v>
      </c>
      <c r="AW1872" s="24"/>
      <c r="AX1872" s="24"/>
      <c r="AY1872" s="24" t="s">
        <v>3415</v>
      </c>
      <c r="AZ1872" s="24" t="s">
        <v>9</v>
      </c>
      <c r="BA1872" s="24"/>
      <c r="BB1872" s="24" t="s">
        <v>3264</v>
      </c>
      <c r="BC1872" s="128" t="s">
        <v>7221</v>
      </c>
      <c r="BD1872" s="24">
        <v>44638</v>
      </c>
      <c r="BE1872" s="24" t="s">
        <v>5944</v>
      </c>
      <c r="BF1872" s="24" t="s">
        <v>5944</v>
      </c>
      <c r="BG1872" s="135" t="s">
        <v>29</v>
      </c>
      <c r="BH1872" s="135"/>
      <c r="BI1872" s="314" t="s">
        <v>124</v>
      </c>
      <c r="BJ1872" s="314" t="s">
        <v>148</v>
      </c>
      <c r="BK1872" s="24"/>
      <c r="BL1872" s="24"/>
      <c r="BM1872" s="24"/>
      <c r="BN1872" s="24"/>
      <c r="BO1872" s="41"/>
      <c r="BP1872" s="41"/>
      <c r="BQ1872" s="41" t="s">
        <v>7222</v>
      </c>
      <c r="BR1872" s="24">
        <v>44642</v>
      </c>
      <c r="BS1872" s="41" t="s">
        <v>38</v>
      </c>
      <c r="BT1872" s="41" t="s">
        <v>11</v>
      </c>
      <c r="BU1872" s="41"/>
      <c r="BV1872" s="132" t="e">
        <f>IF(#REF!="COMPLETO","OK","PENDIENTE")</f>
        <v>#REF!</v>
      </c>
      <c r="BW1872" s="132"/>
      <c r="BX1872" s="132"/>
      <c r="BY1872" s="132"/>
      <c r="BZ1872" s="132"/>
      <c r="CA1872" s="132"/>
      <c r="CB1872" s="132"/>
      <c r="CC1872" s="294" t="s">
        <v>6221</v>
      </c>
      <c r="CG1872" s="132" t="s">
        <v>105</v>
      </c>
      <c r="CH1872" s="132"/>
      <c r="CI1872" s="24"/>
      <c r="CJ1872" s="24"/>
    </row>
    <row r="1873" spans="1:88" ht="15" customHeight="1">
      <c r="A1873" s="18">
        <v>2021</v>
      </c>
      <c r="B1873" s="18" t="str">
        <f>+INDEX(BDD!F:F,MATCH(P1873,BDD!D:D,0))&amp;"-"&amp;INDEX(BDD!E:E,MATCH(P1873,BDD!D:D,0))</f>
        <v>T-S</v>
      </c>
      <c r="C1873" s="360" t="s">
        <v>484</v>
      </c>
      <c r="D1873" s="150" t="s">
        <v>77</v>
      </c>
      <c r="E1873" s="132"/>
      <c r="F1873" s="132"/>
      <c r="G1873" s="346">
        <v>8000001918</v>
      </c>
      <c r="H1873" s="18" t="s">
        <v>7223</v>
      </c>
      <c r="I1873" s="329" t="s">
        <v>7214</v>
      </c>
      <c r="J1873" s="346">
        <v>8000001918</v>
      </c>
      <c r="K1873" s="24"/>
      <c r="L1873" s="24">
        <v>44656</v>
      </c>
      <c r="M1873" s="24">
        <v>44672</v>
      </c>
      <c r="N1873" s="340" t="s">
        <v>486</v>
      </c>
      <c r="O1873" s="334">
        <v>208067</v>
      </c>
      <c r="P1873" s="25" t="s">
        <v>383</v>
      </c>
      <c r="Q1873" s="127" t="s">
        <v>303</v>
      </c>
      <c r="R1873" s="232">
        <v>4600019507</v>
      </c>
      <c r="S1873" s="89">
        <v>44545</v>
      </c>
      <c r="T1873" s="36">
        <v>30</v>
      </c>
      <c r="U1873" s="125" t="s">
        <v>131</v>
      </c>
      <c r="V1873" s="147" t="s">
        <v>7224</v>
      </c>
      <c r="W1873" s="88">
        <v>44662</v>
      </c>
      <c r="X1873" s="88">
        <v>44692</v>
      </c>
      <c r="Y1873" s="130" t="s">
        <v>20</v>
      </c>
      <c r="Z1873" s="133" t="s">
        <v>60</v>
      </c>
      <c r="AA1873" s="133"/>
      <c r="AB1873" s="241">
        <v>189</v>
      </c>
      <c r="AC1873" s="134">
        <v>850</v>
      </c>
      <c r="AD1873" s="134"/>
      <c r="AE1873" s="403">
        <f t="shared" si="134"/>
        <v>160650</v>
      </c>
      <c r="AF1873" s="132">
        <v>7</v>
      </c>
      <c r="AG1873" s="130" t="s">
        <v>5</v>
      </c>
      <c r="AH1873" s="130"/>
      <c r="AI1873" s="130" t="s">
        <v>34</v>
      </c>
      <c r="AJ1873" s="130" t="s">
        <v>944</v>
      </c>
      <c r="AK1873" s="130" t="s">
        <v>6704</v>
      </c>
      <c r="AL1873" s="135" t="s">
        <v>7160</v>
      </c>
      <c r="AM1873" s="314"/>
      <c r="AN1873" s="26">
        <v>44591</v>
      </c>
      <c r="AO1873" s="26">
        <v>44658</v>
      </c>
      <c r="AP1873" s="26">
        <f>AQ1873</f>
        <v>44664</v>
      </c>
      <c r="AQ1873" s="26">
        <v>44664</v>
      </c>
      <c r="AR1873" s="24">
        <f t="shared" ref="AR1873:AR1879" si="137">AQ1873+4</f>
        <v>44668</v>
      </c>
      <c r="AS1873" s="24"/>
      <c r="AT1873" s="24">
        <v>44670</v>
      </c>
      <c r="AU1873" s="418">
        <f t="shared" si="135"/>
        <v>4</v>
      </c>
      <c r="AV1873" s="418">
        <f t="shared" si="136"/>
        <v>2022</v>
      </c>
      <c r="AW1873" s="24"/>
      <c r="AX1873" s="24" t="s">
        <v>6982</v>
      </c>
      <c r="AY1873" s="24" t="s">
        <v>3415</v>
      </c>
      <c r="AZ1873" s="24" t="s">
        <v>9</v>
      </c>
      <c r="BA1873" s="24" t="s">
        <v>7130</v>
      </c>
      <c r="BB1873" s="24" t="s">
        <v>3264</v>
      </c>
      <c r="BC1873" s="128" t="s">
        <v>7225</v>
      </c>
      <c r="BD1873" s="24">
        <v>44659</v>
      </c>
      <c r="BE1873" s="24" t="s">
        <v>947</v>
      </c>
      <c r="BF1873" s="24" t="s">
        <v>947</v>
      </c>
      <c r="BG1873" s="135" t="s">
        <v>29</v>
      </c>
      <c r="BH1873" s="135" t="s">
        <v>6219</v>
      </c>
      <c r="BI1873" s="314" t="s">
        <v>124</v>
      </c>
      <c r="BJ1873" s="314" t="s">
        <v>148</v>
      </c>
      <c r="BK1873" s="24"/>
      <c r="BL1873" s="24"/>
      <c r="BM1873" s="24"/>
      <c r="BN1873" s="24"/>
      <c r="BO1873" s="24">
        <v>44677</v>
      </c>
      <c r="BP1873" s="24"/>
      <c r="BQ1873" s="24" t="s">
        <v>7226</v>
      </c>
      <c r="BR1873" s="24">
        <v>44662</v>
      </c>
      <c r="BS1873" s="24" t="s">
        <v>38</v>
      </c>
      <c r="BT1873" s="24" t="s">
        <v>11</v>
      </c>
      <c r="BU1873" s="24"/>
      <c r="BV1873" s="132" t="s">
        <v>6087</v>
      </c>
      <c r="BW1873" s="132"/>
      <c r="BX1873" s="132"/>
      <c r="BY1873" s="132"/>
      <c r="BZ1873" s="132"/>
      <c r="CA1873" s="132"/>
      <c r="CB1873" s="132"/>
      <c r="CC1873" s="373" t="s">
        <v>7227</v>
      </c>
      <c r="CG1873" s="132" t="s">
        <v>105</v>
      </c>
      <c r="CH1873" s="132"/>
      <c r="CI1873" s="24"/>
      <c r="CJ1873" s="24"/>
    </row>
    <row r="1874" spans="1:88" ht="15" customHeight="1">
      <c r="A1874" s="18">
        <v>2021</v>
      </c>
      <c r="B1874" s="18" t="str">
        <f>+INDEX(BDD!F:F,MATCH(P1874,BDD!D:D,0))&amp;"-"&amp;INDEX(BDD!E:E,MATCH(P1874,BDD!D:D,0))</f>
        <v>T-S</v>
      </c>
      <c r="C1874" s="360" t="s">
        <v>484</v>
      </c>
      <c r="D1874" s="150" t="s">
        <v>77</v>
      </c>
      <c r="E1874" s="132"/>
      <c r="F1874" s="132"/>
      <c r="G1874" s="346">
        <v>8000001911</v>
      </c>
      <c r="H1874" s="18" t="s">
        <v>7228</v>
      </c>
      <c r="I1874" s="329" t="s">
        <v>7214</v>
      </c>
      <c r="J1874" s="346">
        <v>8000001911</v>
      </c>
      <c r="K1874" s="24"/>
      <c r="L1874" s="24">
        <v>44670</v>
      </c>
      <c r="M1874" s="24">
        <v>44672</v>
      </c>
      <c r="N1874" s="340" t="s">
        <v>486</v>
      </c>
      <c r="O1874" s="334">
        <v>208067</v>
      </c>
      <c r="P1874" s="25" t="s">
        <v>383</v>
      </c>
      <c r="Q1874" s="127" t="s">
        <v>303</v>
      </c>
      <c r="R1874" s="232" t="s">
        <v>7215</v>
      </c>
      <c r="S1874" s="89">
        <v>44545</v>
      </c>
      <c r="T1874" s="36">
        <v>30</v>
      </c>
      <c r="U1874" s="125" t="s">
        <v>131</v>
      </c>
      <c r="V1874" s="147" t="s">
        <v>7229</v>
      </c>
      <c r="W1874" s="88">
        <v>44662</v>
      </c>
      <c r="X1874" s="88">
        <v>44692</v>
      </c>
      <c r="Y1874" s="130" t="s">
        <v>20</v>
      </c>
      <c r="Z1874" s="133" t="s">
        <v>60</v>
      </c>
      <c r="AA1874" s="133"/>
      <c r="AB1874" s="241">
        <v>324</v>
      </c>
      <c r="AC1874" s="134">
        <v>850</v>
      </c>
      <c r="AD1874" s="134"/>
      <c r="AE1874" s="403">
        <f t="shared" si="134"/>
        <v>275400</v>
      </c>
      <c r="AF1874" s="132">
        <v>12</v>
      </c>
      <c r="AG1874" s="130" t="s">
        <v>5</v>
      </c>
      <c r="AH1874" s="130"/>
      <c r="AI1874" s="130" t="s">
        <v>34</v>
      </c>
      <c r="AJ1874" s="130" t="s">
        <v>944</v>
      </c>
      <c r="AK1874" s="130" t="s">
        <v>6704</v>
      </c>
      <c r="AL1874" s="135" t="s">
        <v>7160</v>
      </c>
      <c r="AM1874" s="314"/>
      <c r="AN1874" s="26">
        <v>44591</v>
      </c>
      <c r="AO1874" s="26">
        <v>44658</v>
      </c>
      <c r="AP1874" s="26">
        <f>AQ1874</f>
        <v>44664</v>
      </c>
      <c r="AQ1874" s="26">
        <f>AO1874+6</f>
        <v>44664</v>
      </c>
      <c r="AR1874" s="24">
        <f t="shared" si="137"/>
        <v>44668</v>
      </c>
      <c r="AS1874" s="24"/>
      <c r="AT1874" s="24">
        <v>44670</v>
      </c>
      <c r="AU1874" s="418">
        <f t="shared" si="135"/>
        <v>4</v>
      </c>
      <c r="AV1874" s="418">
        <f t="shared" si="136"/>
        <v>2022</v>
      </c>
      <c r="AW1874" s="24"/>
      <c r="AX1874" s="24" t="s">
        <v>6982</v>
      </c>
      <c r="AY1874" s="24" t="s">
        <v>3415</v>
      </c>
      <c r="AZ1874" s="24" t="s">
        <v>9</v>
      </c>
      <c r="BA1874" s="24" t="s">
        <v>7130</v>
      </c>
      <c r="BB1874" s="24" t="s">
        <v>3264</v>
      </c>
      <c r="BC1874" s="128" t="s">
        <v>7230</v>
      </c>
      <c r="BD1874" s="24">
        <v>44659</v>
      </c>
      <c r="BE1874" s="24" t="s">
        <v>947</v>
      </c>
      <c r="BF1874" s="24" t="s">
        <v>947</v>
      </c>
      <c r="BG1874" s="135" t="s">
        <v>29</v>
      </c>
      <c r="BH1874" s="135" t="s">
        <v>6219</v>
      </c>
      <c r="BI1874" s="314" t="s">
        <v>124</v>
      </c>
      <c r="BJ1874" s="314" t="s">
        <v>148</v>
      </c>
      <c r="BK1874" s="24"/>
      <c r="BL1874" s="24"/>
      <c r="BM1874" s="24"/>
      <c r="BN1874" s="24"/>
      <c r="BO1874" s="24">
        <v>44677</v>
      </c>
      <c r="BP1874" s="24"/>
      <c r="BQ1874" s="24" t="s">
        <v>7231</v>
      </c>
      <c r="BR1874" s="24">
        <v>44662</v>
      </c>
      <c r="BS1874" s="24" t="s">
        <v>38</v>
      </c>
      <c r="BT1874" s="24" t="s">
        <v>11</v>
      </c>
      <c r="BU1874" s="24"/>
      <c r="BV1874" s="132" t="s">
        <v>6087</v>
      </c>
      <c r="BW1874" s="132"/>
      <c r="BX1874" s="132"/>
      <c r="BY1874" s="132"/>
      <c r="BZ1874" s="132"/>
      <c r="CA1874" s="132"/>
      <c r="CB1874" s="132"/>
      <c r="CC1874" s="373" t="s">
        <v>7227</v>
      </c>
      <c r="CG1874" s="132" t="s">
        <v>105</v>
      </c>
      <c r="CH1874" s="132"/>
      <c r="CI1874" s="24"/>
      <c r="CJ1874" s="24"/>
    </row>
    <row r="1875" spans="1:88" ht="15" customHeight="1">
      <c r="A1875" s="18">
        <v>2021</v>
      </c>
      <c r="B1875" s="18" t="str">
        <f>+INDEX(BDD!F:F,MATCH(P1875,BDD!D:D,0))&amp;"-"&amp;INDEX(BDD!E:E,MATCH(P1875,BDD!D:D,0))</f>
        <v>T-S</v>
      </c>
      <c r="C1875" s="360" t="s">
        <v>484</v>
      </c>
      <c r="D1875" s="150" t="s">
        <v>77</v>
      </c>
      <c r="E1875" s="132"/>
      <c r="F1875" s="132"/>
      <c r="G1875" s="346">
        <v>8000001925</v>
      </c>
      <c r="H1875" s="18" t="s">
        <v>7232</v>
      </c>
      <c r="I1875" s="329" t="s">
        <v>7233</v>
      </c>
      <c r="J1875" s="346">
        <v>8000001925</v>
      </c>
      <c r="K1875" s="24"/>
      <c r="L1875" s="24">
        <v>44670</v>
      </c>
      <c r="M1875" s="24">
        <v>44672</v>
      </c>
      <c r="N1875" s="340" t="s">
        <v>486</v>
      </c>
      <c r="O1875" s="334">
        <v>208067</v>
      </c>
      <c r="P1875" s="25" t="s">
        <v>383</v>
      </c>
      <c r="Q1875" s="127" t="s">
        <v>303</v>
      </c>
      <c r="R1875" s="232" t="s">
        <v>7234</v>
      </c>
      <c r="S1875" s="89">
        <v>44545</v>
      </c>
      <c r="T1875" s="36">
        <v>30</v>
      </c>
      <c r="U1875" s="125" t="s">
        <v>131</v>
      </c>
      <c r="V1875" s="147" t="s">
        <v>7235</v>
      </c>
      <c r="W1875" s="88">
        <v>44643</v>
      </c>
      <c r="X1875" s="88">
        <v>44673</v>
      </c>
      <c r="Y1875" s="130" t="s">
        <v>20</v>
      </c>
      <c r="Z1875" s="133" t="s">
        <v>60</v>
      </c>
      <c r="AA1875" s="133"/>
      <c r="AB1875" s="241">
        <v>27.1</v>
      </c>
      <c r="AC1875" s="134">
        <v>500</v>
      </c>
      <c r="AD1875" s="134"/>
      <c r="AE1875" s="403">
        <f t="shared" si="134"/>
        <v>13550</v>
      </c>
      <c r="AF1875" s="132">
        <v>1</v>
      </c>
      <c r="AG1875" s="130" t="s">
        <v>5</v>
      </c>
      <c r="AH1875" s="130"/>
      <c r="AI1875" s="130" t="s">
        <v>34</v>
      </c>
      <c r="AJ1875" s="130" t="s">
        <v>944</v>
      </c>
      <c r="AK1875" s="130" t="s">
        <v>6704</v>
      </c>
      <c r="AL1875" s="135" t="s">
        <v>7160</v>
      </c>
      <c r="AM1875" s="314"/>
      <c r="AN1875" s="26">
        <v>44591</v>
      </c>
      <c r="AO1875" s="26">
        <v>44644</v>
      </c>
      <c r="AP1875" s="26" t="e">
        <f>#REF!+8</f>
        <v>#REF!</v>
      </c>
      <c r="AQ1875" s="26">
        <v>44654</v>
      </c>
      <c r="AR1875" s="24">
        <f t="shared" si="137"/>
        <v>44658</v>
      </c>
      <c r="AS1875" s="24"/>
      <c r="AT1875" s="24">
        <v>44659</v>
      </c>
      <c r="AU1875" s="418">
        <f t="shared" si="135"/>
        <v>4</v>
      </c>
      <c r="AV1875" s="418">
        <f t="shared" si="136"/>
        <v>2022</v>
      </c>
      <c r="AW1875" s="24"/>
      <c r="AX1875" s="24" t="s">
        <v>6982</v>
      </c>
      <c r="AY1875" s="24" t="s">
        <v>3415</v>
      </c>
      <c r="AZ1875" s="24" t="s">
        <v>37</v>
      </c>
      <c r="BA1875" s="24" t="s">
        <v>6121</v>
      </c>
      <c r="BB1875" s="24" t="s">
        <v>3291</v>
      </c>
      <c r="BC1875" s="128" t="s">
        <v>7236</v>
      </c>
      <c r="BD1875" s="24">
        <v>44645</v>
      </c>
      <c r="BE1875" s="24" t="s">
        <v>870</v>
      </c>
      <c r="BF1875" s="24" t="s">
        <v>814</v>
      </c>
      <c r="BG1875" s="135" t="s">
        <v>29</v>
      </c>
      <c r="BH1875" s="135" t="s">
        <v>6219</v>
      </c>
      <c r="BI1875" s="314" t="s">
        <v>124</v>
      </c>
      <c r="BJ1875" s="314" t="s">
        <v>148</v>
      </c>
      <c r="BK1875" s="24"/>
      <c r="BL1875" s="24"/>
      <c r="BM1875" s="24"/>
      <c r="BN1875" s="24"/>
      <c r="BO1875" s="24">
        <f>AQ1875+14</f>
        <v>44668</v>
      </c>
      <c r="BP1875" s="24"/>
      <c r="BQ1875" s="24" t="s">
        <v>7083</v>
      </c>
      <c r="BR1875" s="24">
        <v>44651</v>
      </c>
      <c r="BS1875" s="24" t="s">
        <v>26</v>
      </c>
      <c r="BT1875" s="24" t="s">
        <v>11</v>
      </c>
      <c r="BU1875" s="24"/>
      <c r="BV1875" s="132" t="e">
        <f>IF(#REF!="COMPLETO","OK","PENDIENTE")</f>
        <v>#REF!</v>
      </c>
      <c r="BW1875" s="132"/>
      <c r="BX1875" s="132"/>
      <c r="BY1875" s="132"/>
      <c r="BZ1875" s="132"/>
      <c r="CA1875" s="132"/>
      <c r="CB1875" s="132"/>
      <c r="CC1875" s="294" t="s">
        <v>7237</v>
      </c>
      <c r="CG1875" s="132" t="s">
        <v>105</v>
      </c>
      <c r="CH1875" s="132"/>
      <c r="CI1875" s="24"/>
      <c r="CJ1875" s="24"/>
    </row>
    <row r="1876" spans="1:88" ht="14.45" customHeight="1">
      <c r="A1876" s="18">
        <v>2021</v>
      </c>
      <c r="B1876" s="18" t="str">
        <f>+INDEX(BDD!F:F,MATCH(P1876,BDD!D:D,0))&amp;"-"&amp;INDEX(BDD!E:E,MATCH(P1876,BDD!D:D,0))</f>
        <v>T-S</v>
      </c>
      <c r="C1876" s="360" t="s">
        <v>484</v>
      </c>
      <c r="D1876" s="150" t="s">
        <v>77</v>
      </c>
      <c r="E1876" s="132"/>
      <c r="F1876" s="132"/>
      <c r="G1876" s="346">
        <v>8000001920</v>
      </c>
      <c r="H1876" s="18" t="s">
        <v>7238</v>
      </c>
      <c r="I1876" s="329" t="s">
        <v>7233</v>
      </c>
      <c r="J1876" s="346">
        <v>8000001920</v>
      </c>
      <c r="K1876" s="24"/>
      <c r="L1876" s="24">
        <v>44662</v>
      </c>
      <c r="M1876" s="24">
        <v>44672</v>
      </c>
      <c r="N1876" s="340" t="s">
        <v>486</v>
      </c>
      <c r="O1876" s="334">
        <v>208067</v>
      </c>
      <c r="P1876" s="25" t="s">
        <v>383</v>
      </c>
      <c r="Q1876" s="127" t="s">
        <v>303</v>
      </c>
      <c r="R1876" s="232" t="s">
        <v>7234</v>
      </c>
      <c r="S1876" s="89">
        <v>44545</v>
      </c>
      <c r="T1876" s="36">
        <v>30</v>
      </c>
      <c r="U1876" s="125" t="s">
        <v>131</v>
      </c>
      <c r="V1876" s="147" t="s">
        <v>7235</v>
      </c>
      <c r="W1876" s="88">
        <v>44643</v>
      </c>
      <c r="X1876" s="88">
        <v>44673</v>
      </c>
      <c r="Y1876" s="130" t="s">
        <v>20</v>
      </c>
      <c r="Z1876" s="133" t="s">
        <v>60</v>
      </c>
      <c r="AA1876" s="133"/>
      <c r="AB1876" s="241">
        <f>216-27.1</f>
        <v>188.9</v>
      </c>
      <c r="AC1876" s="134">
        <v>500</v>
      </c>
      <c r="AD1876" s="134"/>
      <c r="AE1876" s="403">
        <f t="shared" si="134"/>
        <v>94450</v>
      </c>
      <c r="AF1876" s="132">
        <v>7</v>
      </c>
      <c r="AG1876" s="130" t="s">
        <v>5</v>
      </c>
      <c r="AH1876" s="130"/>
      <c r="AI1876" s="130" t="s">
        <v>34</v>
      </c>
      <c r="AJ1876" s="130" t="s">
        <v>944</v>
      </c>
      <c r="AK1876" s="130" t="s">
        <v>6704</v>
      </c>
      <c r="AL1876" s="135" t="s">
        <v>7160</v>
      </c>
      <c r="AM1876" s="314"/>
      <c r="AN1876" s="26">
        <v>44591</v>
      </c>
      <c r="AO1876" s="26">
        <v>44644</v>
      </c>
      <c r="AP1876" s="26" t="e">
        <f>#REF!+8</f>
        <v>#REF!</v>
      </c>
      <c r="AQ1876" s="26">
        <v>44664</v>
      </c>
      <c r="AR1876" s="24">
        <f t="shared" si="137"/>
        <v>44668</v>
      </c>
      <c r="AS1876" s="24"/>
      <c r="AT1876" s="24">
        <v>44670</v>
      </c>
      <c r="AU1876" s="418">
        <f t="shared" si="135"/>
        <v>4</v>
      </c>
      <c r="AV1876" s="418">
        <f t="shared" si="136"/>
        <v>2022</v>
      </c>
      <c r="AW1876" s="24"/>
      <c r="AX1876" s="24" t="s">
        <v>6982</v>
      </c>
      <c r="AY1876" s="24" t="s">
        <v>3415</v>
      </c>
      <c r="AZ1876" s="24" t="s">
        <v>37</v>
      </c>
      <c r="BA1876" s="24" t="s">
        <v>6121</v>
      </c>
      <c r="BB1876" s="24" t="s">
        <v>3291</v>
      </c>
      <c r="BC1876" s="128" t="s">
        <v>7236</v>
      </c>
      <c r="BD1876" s="24">
        <v>44645</v>
      </c>
      <c r="BE1876" s="24" t="s">
        <v>7239</v>
      </c>
      <c r="BF1876" s="24" t="s">
        <v>7239</v>
      </c>
      <c r="BG1876" s="135" t="s">
        <v>29</v>
      </c>
      <c r="BH1876" s="135" t="s">
        <v>6219</v>
      </c>
      <c r="BI1876" s="314" t="s">
        <v>124</v>
      </c>
      <c r="BJ1876" s="314" t="s">
        <v>148</v>
      </c>
      <c r="BK1876" s="24"/>
      <c r="BL1876" s="24"/>
      <c r="BM1876" s="24"/>
      <c r="BN1876" s="24"/>
      <c r="BO1876" s="24">
        <f>AQ1876+14</f>
        <v>44678</v>
      </c>
      <c r="BP1876" s="24"/>
      <c r="BQ1876" s="24" t="s">
        <v>7240</v>
      </c>
      <c r="BR1876" s="24">
        <v>44663</v>
      </c>
      <c r="BS1876" s="24" t="s">
        <v>26</v>
      </c>
      <c r="BT1876" s="24" t="s">
        <v>11</v>
      </c>
      <c r="BU1876" s="24"/>
      <c r="BV1876" s="132" t="e">
        <f>IF(#REF!="COMPLETO","OK","PENDIENTE")</f>
        <v>#REF!</v>
      </c>
      <c r="BW1876" s="132"/>
      <c r="BX1876" s="132"/>
      <c r="BY1876" s="132"/>
      <c r="BZ1876" s="132"/>
      <c r="CA1876" s="132"/>
      <c r="CB1876" s="132"/>
      <c r="CC1876" s="373" t="s">
        <v>7241</v>
      </c>
      <c r="CG1876" s="132" t="s">
        <v>105</v>
      </c>
      <c r="CH1876" s="132"/>
      <c r="CI1876" s="24"/>
      <c r="CJ1876" s="24"/>
    </row>
    <row r="1877" spans="1:88" ht="15" customHeight="1">
      <c r="A1877" s="18">
        <v>2021</v>
      </c>
      <c r="B1877" s="18" t="str">
        <f>+INDEX(BDD!F:F,MATCH(P1877,BDD!D:D,0))&amp;"-"&amp;INDEX(BDD!E:E,MATCH(P1877,BDD!D:D,0))</f>
        <v>T-S</v>
      </c>
      <c r="C1877" s="360" t="s">
        <v>484</v>
      </c>
      <c r="D1877" s="150" t="s">
        <v>77</v>
      </c>
      <c r="E1877" s="132"/>
      <c r="F1877" s="132"/>
      <c r="G1877" s="346">
        <v>8000001866</v>
      </c>
      <c r="H1877" s="18" t="s">
        <v>7242</v>
      </c>
      <c r="I1877" s="329" t="s">
        <v>7233</v>
      </c>
      <c r="J1877" s="346">
        <v>8000001866</v>
      </c>
      <c r="K1877" s="24"/>
      <c r="L1877" s="24">
        <v>44643</v>
      </c>
      <c r="M1877" s="24">
        <v>44648</v>
      </c>
      <c r="N1877" s="340" t="s">
        <v>486</v>
      </c>
      <c r="O1877" s="334">
        <v>208067</v>
      </c>
      <c r="P1877" s="25" t="s">
        <v>383</v>
      </c>
      <c r="Q1877" s="127" t="s">
        <v>303</v>
      </c>
      <c r="R1877" s="232" t="s">
        <v>7234</v>
      </c>
      <c r="S1877" s="89">
        <v>44545</v>
      </c>
      <c r="T1877" s="36">
        <v>30</v>
      </c>
      <c r="U1877" s="125" t="s">
        <v>131</v>
      </c>
      <c r="V1877" s="147" t="s">
        <v>7243</v>
      </c>
      <c r="W1877" s="129"/>
      <c r="X1877" s="88">
        <v>44661</v>
      </c>
      <c r="Y1877" s="130" t="s">
        <v>20</v>
      </c>
      <c r="Z1877" s="133" t="s">
        <v>60</v>
      </c>
      <c r="AA1877" s="133"/>
      <c r="AB1877" s="241">
        <v>108</v>
      </c>
      <c r="AC1877" s="134">
        <v>500</v>
      </c>
      <c r="AD1877" s="134"/>
      <c r="AE1877" s="403">
        <f t="shared" si="134"/>
        <v>54000</v>
      </c>
      <c r="AF1877" s="132">
        <v>4</v>
      </c>
      <c r="AG1877" s="130" t="s">
        <v>5</v>
      </c>
      <c r="AH1877" s="130"/>
      <c r="AI1877" s="130" t="s">
        <v>34</v>
      </c>
      <c r="AJ1877" s="130" t="s">
        <v>944</v>
      </c>
      <c r="AK1877" s="130" t="s">
        <v>6704</v>
      </c>
      <c r="AL1877" s="135" t="s">
        <v>7160</v>
      </c>
      <c r="AM1877" s="314"/>
      <c r="AN1877" s="26">
        <v>44591</v>
      </c>
      <c r="AO1877" s="26">
        <v>44628</v>
      </c>
      <c r="AP1877" s="26" t="e">
        <f>#REF!+8</f>
        <v>#REF!</v>
      </c>
      <c r="AQ1877" s="26">
        <v>44642</v>
      </c>
      <c r="AR1877" s="24">
        <f t="shared" si="137"/>
        <v>44646</v>
      </c>
      <c r="AS1877" s="24"/>
      <c r="AT1877" s="24">
        <v>44645</v>
      </c>
      <c r="AU1877" s="418">
        <f t="shared" si="135"/>
        <v>3</v>
      </c>
      <c r="AV1877" s="418">
        <f t="shared" si="136"/>
        <v>2022</v>
      </c>
      <c r="AW1877" s="24"/>
      <c r="AX1877" s="24"/>
      <c r="AY1877" s="24" t="s">
        <v>3415</v>
      </c>
      <c r="AZ1877" s="24" t="s">
        <v>37</v>
      </c>
      <c r="BA1877" s="24"/>
      <c r="BB1877" s="24" t="s">
        <v>3291</v>
      </c>
      <c r="BC1877" s="128" t="s">
        <v>7244</v>
      </c>
      <c r="BD1877" s="24">
        <v>44628</v>
      </c>
      <c r="BE1877" s="24" t="s">
        <v>6095</v>
      </c>
      <c r="BF1877" s="24" t="s">
        <v>6095</v>
      </c>
      <c r="BG1877" s="135" t="s">
        <v>64</v>
      </c>
      <c r="BH1877" s="135"/>
      <c r="BI1877" s="314" t="s">
        <v>124</v>
      </c>
      <c r="BJ1877" s="314" t="s">
        <v>138</v>
      </c>
      <c r="BK1877" s="24"/>
      <c r="BL1877" s="24"/>
      <c r="BM1877" s="24"/>
      <c r="BN1877" s="24"/>
      <c r="BO1877" s="24">
        <f>+AQ1877+14</f>
        <v>44656</v>
      </c>
      <c r="BP1877" s="24"/>
      <c r="BQ1877" s="24" t="s">
        <v>7245</v>
      </c>
      <c r="BR1877" s="24">
        <v>44639</v>
      </c>
      <c r="BS1877" s="24" t="s">
        <v>26</v>
      </c>
      <c r="BT1877" s="24" t="s">
        <v>11</v>
      </c>
      <c r="BU1877" s="24"/>
      <c r="BV1877" s="132" t="e">
        <f>IF(#REF!="COMPLETO","OK","PENDIENTE")</f>
        <v>#REF!</v>
      </c>
      <c r="BW1877" s="132"/>
      <c r="BX1877" s="132"/>
      <c r="BY1877" s="132"/>
      <c r="BZ1877" s="132"/>
      <c r="CA1877" s="132"/>
      <c r="CB1877" s="132"/>
      <c r="CC1877" s="374" t="s">
        <v>6763</v>
      </c>
      <c r="CG1877" s="132" t="s">
        <v>105</v>
      </c>
      <c r="CH1877" s="132"/>
      <c r="CI1877" s="24"/>
      <c r="CJ1877" s="24"/>
    </row>
    <row r="1878" spans="1:88" ht="15" customHeight="1">
      <c r="A1878" s="18">
        <v>2021</v>
      </c>
      <c r="B1878" s="18" t="str">
        <f>+INDEX(BDD!F:F,MATCH(P1878,BDD!D:D,0))&amp;"-"&amp;INDEX(BDD!E:E,MATCH(P1878,BDD!D:D,0))</f>
        <v>T-S</v>
      </c>
      <c r="C1878" s="360" t="s">
        <v>484</v>
      </c>
      <c r="D1878" s="150" t="s">
        <v>77</v>
      </c>
      <c r="E1878" s="132"/>
      <c r="F1878" s="132"/>
      <c r="G1878" s="346">
        <v>8000001803</v>
      </c>
      <c r="H1878" s="18" t="s">
        <v>7246</v>
      </c>
      <c r="I1878" s="329" t="s">
        <v>7214</v>
      </c>
      <c r="J1878" s="346">
        <v>8000001803</v>
      </c>
      <c r="K1878" s="24"/>
      <c r="L1878" s="24">
        <v>44629</v>
      </c>
      <c r="M1878" s="24">
        <v>44630</v>
      </c>
      <c r="N1878" s="340" t="s">
        <v>486</v>
      </c>
      <c r="O1878" s="334">
        <v>208067</v>
      </c>
      <c r="P1878" s="25" t="s">
        <v>383</v>
      </c>
      <c r="Q1878" s="127" t="s">
        <v>303</v>
      </c>
      <c r="R1878" s="232" t="s">
        <v>7247</v>
      </c>
      <c r="S1878" s="89">
        <v>44545</v>
      </c>
      <c r="T1878" s="36">
        <v>30</v>
      </c>
      <c r="U1878" s="125" t="s">
        <v>131</v>
      </c>
      <c r="V1878" s="147" t="s">
        <v>7248</v>
      </c>
      <c r="W1878" s="129"/>
      <c r="X1878" s="88">
        <v>44658</v>
      </c>
      <c r="Y1878" s="130" t="s">
        <v>20</v>
      </c>
      <c r="Z1878" s="133" t="s">
        <v>60</v>
      </c>
      <c r="AA1878" s="133"/>
      <c r="AB1878" s="241">
        <v>27</v>
      </c>
      <c r="AC1878" s="134">
        <v>500</v>
      </c>
      <c r="AD1878" s="134"/>
      <c r="AE1878" s="403">
        <f t="shared" si="134"/>
        <v>13500</v>
      </c>
      <c r="AF1878" s="132">
        <v>1</v>
      </c>
      <c r="AG1878" s="130" t="s">
        <v>5</v>
      </c>
      <c r="AH1878" s="130"/>
      <c r="AI1878" s="130" t="s">
        <v>34</v>
      </c>
      <c r="AJ1878" s="130" t="s">
        <v>944</v>
      </c>
      <c r="AK1878" s="130"/>
      <c r="AL1878" s="135" t="s">
        <v>7160</v>
      </c>
      <c r="AM1878" s="314"/>
      <c r="AN1878" s="26">
        <v>44591</v>
      </c>
      <c r="AO1878" s="26">
        <v>44624</v>
      </c>
      <c r="AP1878" s="26">
        <f>AQ1878</f>
        <v>44629</v>
      </c>
      <c r="AQ1878" s="26">
        <v>44629</v>
      </c>
      <c r="AR1878" s="24">
        <f t="shared" si="137"/>
        <v>44633</v>
      </c>
      <c r="AS1878" s="24"/>
      <c r="AT1878" s="24">
        <v>44630</v>
      </c>
      <c r="AU1878" s="418">
        <f t="shared" si="135"/>
        <v>3</v>
      </c>
      <c r="AV1878" s="418">
        <f t="shared" si="136"/>
        <v>2022</v>
      </c>
      <c r="AW1878" s="24"/>
      <c r="AX1878" s="24"/>
      <c r="AY1878" s="24" t="s">
        <v>3415</v>
      </c>
      <c r="AZ1878" s="24" t="s">
        <v>9</v>
      </c>
      <c r="BA1878" s="24"/>
      <c r="BB1878" s="24" t="s">
        <v>3264</v>
      </c>
      <c r="BC1878" s="128" t="s">
        <v>7249</v>
      </c>
      <c r="BD1878" s="24">
        <v>44624</v>
      </c>
      <c r="BE1878" s="24" t="s">
        <v>5944</v>
      </c>
      <c r="BF1878" s="24" t="s">
        <v>5944</v>
      </c>
      <c r="BG1878" s="135" t="s">
        <v>29</v>
      </c>
      <c r="BH1878" s="135"/>
      <c r="BI1878" s="314" t="s">
        <v>124</v>
      </c>
      <c r="BJ1878" s="314" t="s">
        <v>148</v>
      </c>
      <c r="BK1878" s="24"/>
      <c r="BL1878" s="24"/>
      <c r="BM1878" s="24"/>
      <c r="BN1878" s="24"/>
      <c r="BO1878" s="41"/>
      <c r="BP1878" s="41"/>
      <c r="BQ1878" s="41" t="s">
        <v>7250</v>
      </c>
      <c r="BR1878" s="24">
        <v>44628</v>
      </c>
      <c r="BS1878" s="41" t="s">
        <v>26</v>
      </c>
      <c r="BT1878" s="41" t="s">
        <v>11</v>
      </c>
      <c r="BU1878" s="41"/>
      <c r="BV1878" s="132" t="e">
        <f>IF(#REF!="COMPLETO","OK","PENDIENTE")</f>
        <v>#REF!</v>
      </c>
      <c r="BW1878" s="132"/>
      <c r="BX1878" s="132"/>
      <c r="BY1878" s="132"/>
      <c r="BZ1878" s="132"/>
      <c r="CA1878" s="132"/>
      <c r="CB1878" s="132"/>
      <c r="CC1878" s="373" t="s">
        <v>7251</v>
      </c>
      <c r="CG1878" s="132" t="s">
        <v>105</v>
      </c>
      <c r="CH1878" s="132"/>
      <c r="CI1878" s="24"/>
      <c r="CJ1878" s="24"/>
    </row>
    <row r="1879" spans="1:88" ht="15" customHeight="1">
      <c r="A1879" s="18">
        <v>2021</v>
      </c>
      <c r="B1879" s="18" t="e">
        <f>+INDEX(BDD!F:F,MATCH(P1879,BDD!D:D,0))&amp;"-"&amp;INDEX(BDD!E:E,MATCH(P1879,BDD!D:D,0))</f>
        <v>#N/A</v>
      </c>
      <c r="C1879" s="125" t="s">
        <v>484</v>
      </c>
      <c r="D1879" s="150" t="s">
        <v>77</v>
      </c>
      <c r="E1879" s="132" t="s">
        <v>7904</v>
      </c>
      <c r="F1879" s="132"/>
      <c r="G1879" s="346">
        <v>8000001888</v>
      </c>
      <c r="H1879" s="18" t="s">
        <v>7252</v>
      </c>
      <c r="I1879" s="329" t="s">
        <v>7253</v>
      </c>
      <c r="J1879" s="346">
        <v>8000001888</v>
      </c>
      <c r="K1879" s="24">
        <v>44547</v>
      </c>
      <c r="L1879" s="24">
        <v>44706</v>
      </c>
      <c r="M1879" s="24">
        <v>44707</v>
      </c>
      <c r="N1879" s="340" t="s">
        <v>486</v>
      </c>
      <c r="O1879" s="334">
        <v>206630</v>
      </c>
      <c r="P1879" s="25" t="s">
        <v>7254</v>
      </c>
      <c r="Q1879" s="127" t="s">
        <v>297</v>
      </c>
      <c r="R1879" s="232" t="s">
        <v>7255</v>
      </c>
      <c r="S1879" s="89">
        <v>44560</v>
      </c>
      <c r="T1879" s="36" t="s">
        <v>19</v>
      </c>
      <c r="U1879" s="125"/>
      <c r="V1879" s="147" t="s">
        <v>7256</v>
      </c>
      <c r="W1879" s="24">
        <v>44626</v>
      </c>
      <c r="X1879" s="88">
        <v>44631</v>
      </c>
      <c r="Y1879" s="130" t="s">
        <v>20</v>
      </c>
      <c r="Z1879" s="133" t="s">
        <v>72</v>
      </c>
      <c r="AA1879" s="133" t="s">
        <v>1622</v>
      </c>
      <c r="AB1879" s="241">
        <v>100</v>
      </c>
      <c r="AC1879" s="134">
        <v>600.5</v>
      </c>
      <c r="AD1879" s="134">
        <v>281.5</v>
      </c>
      <c r="AE1879" s="403">
        <f t="shared" si="134"/>
        <v>60050</v>
      </c>
      <c r="AF1879" s="132">
        <v>5</v>
      </c>
      <c r="AG1879" s="130" t="s">
        <v>5</v>
      </c>
      <c r="AH1879" s="130" t="s">
        <v>6388</v>
      </c>
      <c r="AI1879" s="130" t="s">
        <v>6029</v>
      </c>
      <c r="AJ1879" s="287">
        <v>1</v>
      </c>
      <c r="AK1879" s="130" t="s">
        <v>944</v>
      </c>
      <c r="AL1879" s="135" t="s">
        <v>6912</v>
      </c>
      <c r="AM1879" s="314">
        <v>2022</v>
      </c>
      <c r="AN1879" s="26">
        <v>44626</v>
      </c>
      <c r="AO1879" s="385">
        <v>44626</v>
      </c>
      <c r="AP1879" s="26">
        <f>AQ1879</f>
        <v>44701</v>
      </c>
      <c r="AQ1879" s="26">
        <v>44701</v>
      </c>
      <c r="AR1879" s="24">
        <f t="shared" si="137"/>
        <v>44705</v>
      </c>
      <c r="AS1879" s="24">
        <v>44705</v>
      </c>
      <c r="AT1879" s="24">
        <v>44705</v>
      </c>
      <c r="AU1879" s="418">
        <f t="shared" si="135"/>
        <v>5</v>
      </c>
      <c r="AV1879" s="418">
        <f t="shared" si="136"/>
        <v>2022</v>
      </c>
      <c r="AW1879" s="24" t="s">
        <v>7888</v>
      </c>
      <c r="AX1879" s="24" t="s">
        <v>7259</v>
      </c>
      <c r="AY1879" s="24" t="s">
        <v>7258</v>
      </c>
      <c r="AZ1879" s="24" t="s">
        <v>9</v>
      </c>
      <c r="BA1879" s="24" t="s">
        <v>7130</v>
      </c>
      <c r="BB1879" s="24" t="s">
        <v>3264</v>
      </c>
      <c r="BC1879" s="24" t="s">
        <v>7257</v>
      </c>
      <c r="BD1879" s="24">
        <v>44626</v>
      </c>
      <c r="BE1879" s="24" t="s">
        <v>7260</v>
      </c>
      <c r="BF1879" s="24" t="s">
        <v>7261</v>
      </c>
      <c r="BG1879" s="135" t="s">
        <v>14</v>
      </c>
      <c r="BH1879" s="135" t="s">
        <v>5367</v>
      </c>
      <c r="BI1879" s="314" t="s">
        <v>124</v>
      </c>
      <c r="BJ1879" s="314" t="s">
        <v>148</v>
      </c>
      <c r="BK1879" s="24"/>
      <c r="BL1879" s="24"/>
      <c r="BM1879" s="24"/>
      <c r="BN1879" s="24">
        <v>44693</v>
      </c>
      <c r="BO1879" s="24">
        <f>AQ1879+5</f>
        <v>44706</v>
      </c>
      <c r="BP1879" s="24"/>
      <c r="BQ1879" s="24" t="s">
        <v>7985</v>
      </c>
      <c r="BR1879" s="24">
        <v>44698</v>
      </c>
      <c r="BS1879" s="24" t="s">
        <v>38</v>
      </c>
      <c r="BT1879" s="24" t="s">
        <v>39</v>
      </c>
      <c r="BU1879" s="24"/>
      <c r="BV1879" s="132" t="s">
        <v>6087</v>
      </c>
      <c r="BW1879" s="132"/>
      <c r="BX1879" s="132" t="s">
        <v>7951</v>
      </c>
      <c r="BY1879" s="132"/>
      <c r="BZ1879" s="132"/>
      <c r="CA1879" s="24">
        <v>44692</v>
      </c>
      <c r="CB1879" s="132" t="s">
        <v>7919</v>
      </c>
      <c r="CC1879" s="132" t="s">
        <v>7950</v>
      </c>
      <c r="CG1879" s="132"/>
      <c r="CH1879" s="132"/>
      <c r="CI1879" s="24"/>
      <c r="CJ1879" s="24"/>
    </row>
    <row r="1880" spans="1:88" ht="15" customHeight="1">
      <c r="A1880" s="18">
        <v>2022</v>
      </c>
      <c r="B1880" s="18" t="str">
        <f>+INDEX(BDD!F:F,MATCH(P1880,BDD!D:D,0))&amp;"-"&amp;INDEX(BDD!E:E,MATCH(P1880,BDD!D:D,0))</f>
        <v>S-C</v>
      </c>
      <c r="C1880" s="125" t="s">
        <v>484</v>
      </c>
      <c r="D1880" s="150" t="s">
        <v>77</v>
      </c>
      <c r="E1880" s="132" t="s">
        <v>51</v>
      </c>
      <c r="F1880" s="132"/>
      <c r="G1880" s="346">
        <v>8000001840</v>
      </c>
      <c r="H1880" s="18" t="s">
        <v>7262</v>
      </c>
      <c r="I1880" s="329" t="s">
        <v>7280</v>
      </c>
      <c r="J1880" s="346">
        <v>8000001840</v>
      </c>
      <c r="K1880" s="24">
        <v>44610</v>
      </c>
      <c r="L1880" s="24">
        <v>44690</v>
      </c>
      <c r="M1880" s="24">
        <v>44697</v>
      </c>
      <c r="N1880" s="340" t="s">
        <v>486</v>
      </c>
      <c r="O1880" s="334">
        <v>207580</v>
      </c>
      <c r="P1880" s="25" t="s">
        <v>241</v>
      </c>
      <c r="Q1880" s="127" t="s">
        <v>297</v>
      </c>
      <c r="R1880" s="232" t="s">
        <v>7263</v>
      </c>
      <c r="S1880" s="89">
        <v>44567</v>
      </c>
      <c r="T1880" s="36">
        <v>90</v>
      </c>
      <c r="U1880" s="125" t="s">
        <v>118</v>
      </c>
      <c r="V1880" s="147" t="s">
        <v>7264</v>
      </c>
      <c r="W1880" s="88">
        <v>44609</v>
      </c>
      <c r="X1880" s="88">
        <v>44699</v>
      </c>
      <c r="Y1880" s="130" t="s">
        <v>20</v>
      </c>
      <c r="Z1880" s="133" t="s">
        <v>72</v>
      </c>
      <c r="AA1880" s="133"/>
      <c r="AB1880" s="241">
        <v>275</v>
      </c>
      <c r="AC1880" s="134">
        <v>1531</v>
      </c>
      <c r="AD1880" s="134">
        <v>418.18</v>
      </c>
      <c r="AE1880" s="403">
        <f t="shared" si="134"/>
        <v>421025</v>
      </c>
      <c r="AF1880" s="132">
        <v>10</v>
      </c>
      <c r="AG1880" s="130" t="s">
        <v>5</v>
      </c>
      <c r="AH1880" s="130" t="s">
        <v>7027</v>
      </c>
      <c r="AI1880" s="130" t="s">
        <v>34</v>
      </c>
      <c r="AJ1880" s="130" t="s">
        <v>944</v>
      </c>
      <c r="AK1880" s="130" t="s">
        <v>7090</v>
      </c>
      <c r="AL1880" s="135" t="s">
        <v>7265</v>
      </c>
      <c r="AM1880" s="314">
        <v>2022</v>
      </c>
      <c r="AN1880" s="26">
        <v>44609</v>
      </c>
      <c r="AO1880" s="385">
        <v>44609</v>
      </c>
      <c r="AP1880" s="26">
        <f>AN1880+40</f>
        <v>44649</v>
      </c>
      <c r="AQ1880" s="26">
        <v>44687</v>
      </c>
      <c r="AR1880" s="24">
        <v>44701</v>
      </c>
      <c r="AS1880" s="24"/>
      <c r="AT1880" s="24">
        <v>44692</v>
      </c>
      <c r="AU1880" s="418">
        <f t="shared" si="135"/>
        <v>5</v>
      </c>
      <c r="AV1880" s="418">
        <f t="shared" si="136"/>
        <v>2022</v>
      </c>
      <c r="AW1880" s="24" t="s">
        <v>7888</v>
      </c>
      <c r="AX1880" s="24" t="s">
        <v>5402</v>
      </c>
      <c r="AY1880" s="24" t="s">
        <v>7267</v>
      </c>
      <c r="AZ1880" s="24" t="s">
        <v>9</v>
      </c>
      <c r="BA1880" s="24" t="s">
        <v>7130</v>
      </c>
      <c r="BB1880" s="24" t="s">
        <v>3264</v>
      </c>
      <c r="BC1880" s="24" t="s">
        <v>7266</v>
      </c>
      <c r="BD1880" s="24">
        <v>44609</v>
      </c>
      <c r="BE1880" s="24" t="s">
        <v>7268</v>
      </c>
      <c r="BF1880" s="24" t="s">
        <v>7269</v>
      </c>
      <c r="BG1880" s="135" t="s">
        <v>14</v>
      </c>
      <c r="BH1880" s="135" t="s">
        <v>5367</v>
      </c>
      <c r="BI1880" s="314" t="s">
        <v>124</v>
      </c>
      <c r="BJ1880" s="314" t="s">
        <v>143</v>
      </c>
      <c r="BK1880" s="24"/>
      <c r="BL1880" s="24"/>
      <c r="BM1880" s="24"/>
      <c r="BN1880" s="24"/>
      <c r="BO1880" s="24">
        <f>AQ1880+14</f>
        <v>44701</v>
      </c>
      <c r="BP1880" s="24"/>
      <c r="BQ1880" s="24" t="s">
        <v>7270</v>
      </c>
      <c r="BR1880" s="24">
        <v>44683</v>
      </c>
      <c r="BS1880" s="24" t="s">
        <v>38</v>
      </c>
      <c r="BT1880" s="24" t="s">
        <v>11</v>
      </c>
      <c r="BU1880" s="24"/>
      <c r="BV1880" s="132" t="e">
        <f>IF(#REF!="COMPLETO","OK","PENDIENTE")</f>
        <v>#REF!</v>
      </c>
      <c r="BW1880" s="132" t="s">
        <v>7271</v>
      </c>
      <c r="BX1880" s="132">
        <v>202200123301</v>
      </c>
      <c r="BY1880" s="132">
        <v>2022252389</v>
      </c>
      <c r="BZ1880" s="24">
        <v>44694</v>
      </c>
      <c r="CA1880" s="24">
        <v>44700</v>
      </c>
      <c r="CB1880" s="132" t="s">
        <v>7918</v>
      </c>
      <c r="CC1880" s="362"/>
      <c r="CD1880" s="277" t="s">
        <v>6395</v>
      </c>
      <c r="CE1880" s="277"/>
      <c r="CG1880" s="132" t="s">
        <v>105</v>
      </c>
      <c r="CH1880" s="132"/>
      <c r="CI1880" s="24"/>
      <c r="CJ1880" s="24"/>
    </row>
    <row r="1881" spans="1:88" ht="15" customHeight="1">
      <c r="A1881" s="18">
        <v>2022</v>
      </c>
      <c r="B1881" s="18" t="str">
        <f>+INDEX(BDD!F:F,MATCH(P1881,BDD!D:D,0))&amp;"-"&amp;INDEX(BDD!E:E,MATCH(P1881,BDD!D:D,0))</f>
        <v>S-C</v>
      </c>
      <c r="C1881" s="360" t="s">
        <v>5398</v>
      </c>
      <c r="D1881" s="150" t="s">
        <v>68</v>
      </c>
      <c r="E1881" s="132" t="s">
        <v>51</v>
      </c>
      <c r="F1881" s="132"/>
      <c r="G1881" s="346">
        <v>8000001841</v>
      </c>
      <c r="H1881" s="18" t="s">
        <v>7272</v>
      </c>
      <c r="I1881" s="329"/>
      <c r="J1881" s="346">
        <v>8000001841</v>
      </c>
      <c r="K1881" s="24">
        <v>44610</v>
      </c>
      <c r="L1881" s="24">
        <v>44711</v>
      </c>
      <c r="M1881" s="24"/>
      <c r="N1881" s="339" t="s">
        <v>3</v>
      </c>
      <c r="O1881" s="334">
        <v>207580</v>
      </c>
      <c r="P1881" s="25" t="s">
        <v>241</v>
      </c>
      <c r="Q1881" s="127" t="s">
        <v>297</v>
      </c>
      <c r="R1881" s="232" t="s">
        <v>7263</v>
      </c>
      <c r="S1881" s="89">
        <v>44567</v>
      </c>
      <c r="T1881" s="36">
        <v>90</v>
      </c>
      <c r="U1881" s="125" t="s">
        <v>118</v>
      </c>
      <c r="V1881" s="147" t="s">
        <v>7273</v>
      </c>
      <c r="W1881" s="88">
        <v>44628</v>
      </c>
      <c r="X1881" s="88">
        <v>44718</v>
      </c>
      <c r="Y1881" s="130" t="s">
        <v>3</v>
      </c>
      <c r="Z1881" s="133" t="s">
        <v>72</v>
      </c>
      <c r="AA1881" s="133" t="s">
        <v>1622</v>
      </c>
      <c r="AB1881" s="241">
        <v>275</v>
      </c>
      <c r="AC1881" s="134">
        <v>1531</v>
      </c>
      <c r="AD1881" s="134">
        <v>418.2</v>
      </c>
      <c r="AE1881" s="403">
        <f t="shared" si="134"/>
        <v>421025</v>
      </c>
      <c r="AF1881" s="132">
        <v>10</v>
      </c>
      <c r="AG1881" s="130" t="s">
        <v>5</v>
      </c>
      <c r="AH1881" s="130" t="s">
        <v>7027</v>
      </c>
      <c r="AI1881" s="130" t="s">
        <v>34</v>
      </c>
      <c r="AJ1881" s="130" t="s">
        <v>944</v>
      </c>
      <c r="AK1881" s="130" t="s">
        <v>7090</v>
      </c>
      <c r="AL1881" s="135" t="s">
        <v>7265</v>
      </c>
      <c r="AM1881" s="314">
        <v>2022</v>
      </c>
      <c r="AN1881" s="26">
        <v>44628</v>
      </c>
      <c r="AO1881" s="385">
        <v>44628</v>
      </c>
      <c r="AP1881" s="26">
        <f>AN1881+40</f>
        <v>44668</v>
      </c>
      <c r="AQ1881" s="26">
        <v>44708</v>
      </c>
      <c r="AR1881" s="24">
        <f>AT1881+7</f>
        <v>44718</v>
      </c>
      <c r="AS1881" s="24">
        <v>44709</v>
      </c>
      <c r="AT1881" s="24">
        <v>44711</v>
      </c>
      <c r="AU1881" s="418">
        <f t="shared" si="135"/>
        <v>5</v>
      </c>
      <c r="AV1881" s="418">
        <f t="shared" si="136"/>
        <v>2022</v>
      </c>
      <c r="AW1881" s="24" t="s">
        <v>7888</v>
      </c>
      <c r="AX1881" s="24" t="s">
        <v>5402</v>
      </c>
      <c r="AY1881" s="24" t="s">
        <v>7267</v>
      </c>
      <c r="AZ1881" s="24" t="s">
        <v>9</v>
      </c>
      <c r="BA1881" s="24" t="s">
        <v>7130</v>
      </c>
      <c r="BB1881" s="24" t="s">
        <v>3264</v>
      </c>
      <c r="BC1881" s="128" t="s">
        <v>7274</v>
      </c>
      <c r="BD1881" s="24">
        <v>44628</v>
      </c>
      <c r="BE1881" s="24" t="s">
        <v>1764</v>
      </c>
      <c r="BF1881" s="24" t="s">
        <v>7269</v>
      </c>
      <c r="BG1881" s="135" t="s">
        <v>14</v>
      </c>
      <c r="BH1881" s="135" t="s">
        <v>5367</v>
      </c>
      <c r="BI1881" s="314" t="s">
        <v>124</v>
      </c>
      <c r="BJ1881" s="314" t="s">
        <v>148</v>
      </c>
      <c r="BK1881" s="24"/>
      <c r="BL1881" s="24"/>
      <c r="BM1881" s="24"/>
      <c r="BN1881" s="24">
        <v>44701</v>
      </c>
      <c r="BO1881" s="24">
        <v>44721</v>
      </c>
      <c r="BP1881" s="24"/>
      <c r="BQ1881" s="24" t="s">
        <v>8068</v>
      </c>
      <c r="BR1881" s="24">
        <v>44707</v>
      </c>
      <c r="BS1881" s="24" t="s">
        <v>26</v>
      </c>
      <c r="BT1881" s="24" t="s">
        <v>11</v>
      </c>
      <c r="BU1881" s="24"/>
      <c r="BV1881" s="132" t="s">
        <v>6087</v>
      </c>
      <c r="BW1881" s="132" t="s">
        <v>7271</v>
      </c>
      <c r="BX1881" s="132">
        <v>202200149561</v>
      </c>
      <c r="BY1881" s="132">
        <v>2022299634</v>
      </c>
      <c r="BZ1881" s="132"/>
      <c r="CA1881" s="132"/>
      <c r="CB1881" s="132" t="s">
        <v>3</v>
      </c>
      <c r="CC1881" s="132" t="s">
        <v>8086</v>
      </c>
      <c r="CD1881" s="67" t="s">
        <v>7275</v>
      </c>
      <c r="CE1881" s="67"/>
      <c r="CG1881" s="132"/>
      <c r="CH1881" s="132"/>
      <c r="CI1881" s="24"/>
      <c r="CJ1881" s="24"/>
    </row>
    <row r="1882" spans="1:88" ht="15" customHeight="1">
      <c r="A1882" s="18">
        <v>2022</v>
      </c>
      <c r="B1882" s="18" t="str">
        <f>+INDEX(BDD!F:F,MATCH(P1882,BDD!D:D,0))&amp;"-"&amp;INDEX(BDD!E:E,MATCH(P1882,BDD!D:D,0))</f>
        <v>S-C</v>
      </c>
      <c r="C1882" s="125" t="s">
        <v>484</v>
      </c>
      <c r="D1882" s="150" t="s">
        <v>77</v>
      </c>
      <c r="E1882" s="132" t="s">
        <v>51</v>
      </c>
      <c r="F1882" s="132"/>
      <c r="G1882" s="346">
        <v>8000002014</v>
      </c>
      <c r="H1882" s="404" t="s">
        <v>7276</v>
      </c>
      <c r="I1882" s="329" t="s">
        <v>7280</v>
      </c>
      <c r="J1882" s="346">
        <v>8000002014</v>
      </c>
      <c r="K1882" s="24">
        <v>44699</v>
      </c>
      <c r="L1882" s="24">
        <v>44698</v>
      </c>
      <c r="M1882" s="24">
        <v>44699</v>
      </c>
      <c r="N1882" s="339" t="s">
        <v>486</v>
      </c>
      <c r="O1882" s="334">
        <v>207580</v>
      </c>
      <c r="P1882" s="25" t="s">
        <v>241</v>
      </c>
      <c r="Q1882" s="127" t="s">
        <v>297</v>
      </c>
      <c r="R1882" s="232" t="s">
        <v>7263</v>
      </c>
      <c r="S1882" s="89">
        <v>44567</v>
      </c>
      <c r="T1882" s="36">
        <v>90</v>
      </c>
      <c r="U1882" s="125" t="s">
        <v>118</v>
      </c>
      <c r="V1882" s="147" t="s">
        <v>7277</v>
      </c>
      <c r="W1882" s="88">
        <v>44636</v>
      </c>
      <c r="X1882" s="88">
        <v>44726</v>
      </c>
      <c r="Y1882" s="130" t="s">
        <v>3</v>
      </c>
      <c r="Z1882" s="133" t="s">
        <v>72</v>
      </c>
      <c r="AA1882" s="133" t="s">
        <v>1622</v>
      </c>
      <c r="AB1882" s="241">
        <v>275</v>
      </c>
      <c r="AC1882" s="134">
        <v>1531</v>
      </c>
      <c r="AD1882" s="134">
        <v>418.2</v>
      </c>
      <c r="AE1882" s="403">
        <f t="shared" si="134"/>
        <v>421025</v>
      </c>
      <c r="AF1882" s="132">
        <v>10</v>
      </c>
      <c r="AG1882" s="130" t="s">
        <v>5</v>
      </c>
      <c r="AH1882" s="130" t="s">
        <v>7027</v>
      </c>
      <c r="AI1882" s="130" t="s">
        <v>34</v>
      </c>
      <c r="AJ1882" s="130" t="s">
        <v>944</v>
      </c>
      <c r="AK1882" s="130" t="s">
        <v>7090</v>
      </c>
      <c r="AL1882" s="135" t="s">
        <v>7265</v>
      </c>
      <c r="AM1882" s="314">
        <v>2022</v>
      </c>
      <c r="AN1882" s="26">
        <v>44636</v>
      </c>
      <c r="AO1882" s="385">
        <v>44636</v>
      </c>
      <c r="AP1882" s="26">
        <f>AN1882+40</f>
        <v>44676</v>
      </c>
      <c r="AQ1882" s="26">
        <v>44693</v>
      </c>
      <c r="AR1882" s="412">
        <v>44708</v>
      </c>
      <c r="AS1882" s="24">
        <v>44697</v>
      </c>
      <c r="AT1882" s="24">
        <v>44699</v>
      </c>
      <c r="AU1882" s="418">
        <f t="shared" si="135"/>
        <v>5</v>
      </c>
      <c r="AV1882" s="418">
        <f t="shared" si="136"/>
        <v>2022</v>
      </c>
      <c r="AW1882" s="24" t="s">
        <v>7888</v>
      </c>
      <c r="AX1882" s="24" t="s">
        <v>5402</v>
      </c>
      <c r="AY1882" s="24" t="s">
        <v>7267</v>
      </c>
      <c r="AZ1882" s="24" t="s">
        <v>9</v>
      </c>
      <c r="BA1882" s="24" t="s">
        <v>7130</v>
      </c>
      <c r="BB1882" s="24" t="s">
        <v>3264</v>
      </c>
      <c r="BC1882" s="287">
        <v>596852542</v>
      </c>
      <c r="BD1882" s="24">
        <v>44636</v>
      </c>
      <c r="BE1882" s="24" t="s">
        <v>7278</v>
      </c>
      <c r="BF1882" s="24" t="s">
        <v>994</v>
      </c>
      <c r="BG1882" s="135" t="s">
        <v>65</v>
      </c>
      <c r="BH1882" s="135" t="s">
        <v>7046</v>
      </c>
      <c r="BI1882" s="314" t="s">
        <v>124</v>
      </c>
      <c r="BJ1882" s="314" t="s">
        <v>143</v>
      </c>
      <c r="BK1882" s="24" t="s">
        <v>7924</v>
      </c>
      <c r="BL1882" s="24"/>
      <c r="BM1882" s="24"/>
      <c r="BN1882" s="24">
        <v>44691</v>
      </c>
      <c r="BO1882" s="24">
        <f>AQ1882+6</f>
        <v>44699</v>
      </c>
      <c r="BP1882" s="24"/>
      <c r="BQ1882" s="24" t="s">
        <v>7923</v>
      </c>
      <c r="BR1882" s="24">
        <v>44692</v>
      </c>
      <c r="BS1882" s="24" t="s">
        <v>26</v>
      </c>
      <c r="BT1882" s="24" t="s">
        <v>11</v>
      </c>
      <c r="BU1882" s="24"/>
      <c r="BV1882" s="132" t="s">
        <v>6087</v>
      </c>
      <c r="BW1882" s="132" t="s">
        <v>7271</v>
      </c>
      <c r="BX1882" s="132">
        <v>202200134598</v>
      </c>
      <c r="BY1882" s="132">
        <v>2022273244</v>
      </c>
      <c r="BZ1882" s="24">
        <v>44704</v>
      </c>
      <c r="CA1882" s="132"/>
      <c r="CB1882" s="132" t="s">
        <v>7918</v>
      </c>
      <c r="CC1882" s="362"/>
      <c r="CD1882" s="67" t="s">
        <v>7275</v>
      </c>
      <c r="CE1882" s="422" t="s">
        <v>7984</v>
      </c>
      <c r="CG1882" s="132"/>
      <c r="CH1882" s="132"/>
      <c r="CI1882" s="24"/>
      <c r="CJ1882" s="24"/>
    </row>
    <row r="1883" spans="1:88" ht="15" customHeight="1">
      <c r="A1883" s="18">
        <v>2022</v>
      </c>
      <c r="B1883" s="18" t="str">
        <f>+INDEX(BDD!F:F,MATCH(P1883,BDD!D:D,0))&amp;"-"&amp;INDEX(BDD!E:E,MATCH(P1883,BDD!D:D,0))</f>
        <v>S-C</v>
      </c>
      <c r="C1883" s="125" t="s">
        <v>484</v>
      </c>
      <c r="D1883" s="150" t="s">
        <v>77</v>
      </c>
      <c r="E1883" s="132" t="s">
        <v>51</v>
      </c>
      <c r="F1883" s="132"/>
      <c r="G1883" s="346">
        <v>8000001912</v>
      </c>
      <c r="H1883" s="18" t="s">
        <v>7279</v>
      </c>
      <c r="I1883" s="329" t="s">
        <v>7280</v>
      </c>
      <c r="J1883" s="346">
        <v>8000001912</v>
      </c>
      <c r="K1883" s="24">
        <v>44658</v>
      </c>
      <c r="L1883" s="24">
        <v>44698</v>
      </c>
      <c r="M1883" s="24">
        <v>44699</v>
      </c>
      <c r="N1883" s="339" t="s">
        <v>486</v>
      </c>
      <c r="O1883" s="334">
        <v>207580</v>
      </c>
      <c r="P1883" s="25" t="s">
        <v>241</v>
      </c>
      <c r="Q1883" s="127" t="s">
        <v>297</v>
      </c>
      <c r="R1883" s="232" t="s">
        <v>7263</v>
      </c>
      <c r="S1883" s="89">
        <v>44567</v>
      </c>
      <c r="T1883" s="36">
        <v>90</v>
      </c>
      <c r="U1883" s="125" t="s">
        <v>118</v>
      </c>
      <c r="V1883" s="147" t="s">
        <v>7281</v>
      </c>
      <c r="W1883" s="88">
        <v>44636</v>
      </c>
      <c r="X1883" s="88">
        <v>44726</v>
      </c>
      <c r="Y1883" s="130" t="s">
        <v>3</v>
      </c>
      <c r="Z1883" s="133" t="s">
        <v>72</v>
      </c>
      <c r="AA1883" s="133" t="s">
        <v>1622</v>
      </c>
      <c r="AB1883" s="241">
        <v>275</v>
      </c>
      <c r="AC1883" s="134">
        <v>1531</v>
      </c>
      <c r="AD1883" s="134">
        <v>418.2</v>
      </c>
      <c r="AE1883" s="403">
        <f t="shared" si="134"/>
        <v>421025</v>
      </c>
      <c r="AF1883" s="132">
        <v>10</v>
      </c>
      <c r="AG1883" s="130" t="s">
        <v>5</v>
      </c>
      <c r="AH1883" s="130" t="s">
        <v>7027</v>
      </c>
      <c r="AI1883" s="130" t="s">
        <v>34</v>
      </c>
      <c r="AJ1883" s="130" t="s">
        <v>944</v>
      </c>
      <c r="AK1883" s="130" t="s">
        <v>7090</v>
      </c>
      <c r="AL1883" s="135" t="s">
        <v>7265</v>
      </c>
      <c r="AM1883" s="314">
        <v>2022</v>
      </c>
      <c r="AN1883" s="26">
        <v>44636</v>
      </c>
      <c r="AO1883" s="385">
        <v>44636</v>
      </c>
      <c r="AP1883" s="26">
        <f>AN1883+40</f>
        <v>44676</v>
      </c>
      <c r="AQ1883" s="26">
        <v>44693</v>
      </c>
      <c r="AR1883" s="412">
        <v>44708</v>
      </c>
      <c r="AS1883" s="24">
        <v>44698</v>
      </c>
      <c r="AT1883" s="24">
        <v>44699</v>
      </c>
      <c r="AU1883" s="418">
        <f t="shared" si="135"/>
        <v>5</v>
      </c>
      <c r="AV1883" s="418">
        <f t="shared" si="136"/>
        <v>2022</v>
      </c>
      <c r="AW1883" s="24" t="s">
        <v>7888</v>
      </c>
      <c r="AX1883" s="24" t="s">
        <v>5402</v>
      </c>
      <c r="AY1883" s="24" t="s">
        <v>7267</v>
      </c>
      <c r="AZ1883" s="24" t="s">
        <v>9</v>
      </c>
      <c r="BA1883" s="24" t="s">
        <v>7130</v>
      </c>
      <c r="BB1883" s="24" t="s">
        <v>3264</v>
      </c>
      <c r="BC1883" s="287">
        <v>596852543</v>
      </c>
      <c r="BD1883" s="24">
        <v>44636</v>
      </c>
      <c r="BE1883" s="24" t="s">
        <v>7278</v>
      </c>
      <c r="BF1883" s="24" t="s">
        <v>994</v>
      </c>
      <c r="BG1883" s="135" t="s">
        <v>65</v>
      </c>
      <c r="BH1883" s="135" t="s">
        <v>7046</v>
      </c>
      <c r="BI1883" s="314" t="s">
        <v>124</v>
      </c>
      <c r="BJ1883" s="314" t="s">
        <v>143</v>
      </c>
      <c r="BK1883" s="24" t="s">
        <v>7924</v>
      </c>
      <c r="BL1883" s="24"/>
      <c r="BM1883" s="24"/>
      <c r="BN1883" s="24">
        <v>44691</v>
      </c>
      <c r="BO1883" s="24">
        <f>AQ1883+6</f>
        <v>44699</v>
      </c>
      <c r="BP1883" s="24"/>
      <c r="BQ1883" s="24" t="s">
        <v>7926</v>
      </c>
      <c r="BR1883" s="24">
        <v>44692</v>
      </c>
      <c r="BS1883" s="24" t="s">
        <v>26</v>
      </c>
      <c r="BT1883" s="24" t="s">
        <v>11</v>
      </c>
      <c r="BU1883" s="24"/>
      <c r="BV1883" s="132" t="s">
        <v>6087</v>
      </c>
      <c r="BW1883" s="132" t="s">
        <v>7271</v>
      </c>
      <c r="BX1883" s="132">
        <v>202200134599</v>
      </c>
      <c r="BY1883" s="132">
        <v>2022273249</v>
      </c>
      <c r="BZ1883" s="24">
        <v>44704</v>
      </c>
      <c r="CA1883" s="132"/>
      <c r="CB1883" s="132" t="s">
        <v>7918</v>
      </c>
      <c r="CC1883" s="362"/>
      <c r="CG1883" s="132"/>
      <c r="CH1883" s="132"/>
      <c r="CI1883" s="24"/>
      <c r="CJ1883" s="24"/>
    </row>
    <row r="1884" spans="1:88" ht="15" customHeight="1">
      <c r="A1884" s="18">
        <v>2022</v>
      </c>
      <c r="B1884" s="18" t="str">
        <f>+INDEX(BDD!F:F,MATCH(P1884,BDD!D:D,0))&amp;"-"&amp;INDEX(BDD!E:E,MATCH(P1884,BDD!D:D,0))</f>
        <v>S-C</v>
      </c>
      <c r="C1884" s="125" t="s">
        <v>484</v>
      </c>
      <c r="D1884" s="150" t="s">
        <v>77</v>
      </c>
      <c r="E1884" s="132" t="s">
        <v>51</v>
      </c>
      <c r="F1884" s="132"/>
      <c r="G1884" s="346">
        <v>8000001913</v>
      </c>
      <c r="H1884" s="18" t="s">
        <v>7282</v>
      </c>
      <c r="I1884" s="329" t="s">
        <v>7280</v>
      </c>
      <c r="J1884" s="346">
        <v>8000001913</v>
      </c>
      <c r="K1884" s="24">
        <v>44658</v>
      </c>
      <c r="L1884" s="24">
        <v>44698</v>
      </c>
      <c r="M1884" s="24">
        <v>44698</v>
      </c>
      <c r="N1884" s="339" t="s">
        <v>486</v>
      </c>
      <c r="O1884" s="334">
        <v>207580</v>
      </c>
      <c r="P1884" s="25" t="s">
        <v>241</v>
      </c>
      <c r="Q1884" s="127" t="s">
        <v>297</v>
      </c>
      <c r="R1884" s="232" t="s">
        <v>7263</v>
      </c>
      <c r="S1884" s="89">
        <v>44567</v>
      </c>
      <c r="T1884" s="36">
        <v>90</v>
      </c>
      <c r="U1884" s="125" t="s">
        <v>118</v>
      </c>
      <c r="V1884" s="147" t="s">
        <v>7283</v>
      </c>
      <c r="W1884" s="88">
        <v>44636</v>
      </c>
      <c r="X1884" s="88">
        <v>44726</v>
      </c>
      <c r="Y1884" s="130" t="s">
        <v>3</v>
      </c>
      <c r="Z1884" s="133" t="s">
        <v>72</v>
      </c>
      <c r="AA1884" s="133" t="s">
        <v>1622</v>
      </c>
      <c r="AB1884" s="241">
        <v>165</v>
      </c>
      <c r="AC1884" s="134">
        <v>1531</v>
      </c>
      <c r="AD1884" s="134">
        <v>418.2</v>
      </c>
      <c r="AE1884" s="403">
        <f t="shared" si="134"/>
        <v>252615</v>
      </c>
      <c r="AF1884" s="132">
        <v>6</v>
      </c>
      <c r="AG1884" s="130" t="s">
        <v>5</v>
      </c>
      <c r="AH1884" s="130" t="s">
        <v>7027</v>
      </c>
      <c r="AI1884" s="130" t="s">
        <v>34</v>
      </c>
      <c r="AJ1884" s="130" t="s">
        <v>944</v>
      </c>
      <c r="AK1884" s="130" t="s">
        <v>7090</v>
      </c>
      <c r="AL1884" s="135" t="s">
        <v>7265</v>
      </c>
      <c r="AM1884" s="314">
        <v>2022</v>
      </c>
      <c r="AN1884" s="26">
        <v>44636</v>
      </c>
      <c r="AO1884" s="385">
        <v>44636</v>
      </c>
      <c r="AP1884" s="26">
        <f>AO1884+40</f>
        <v>44676</v>
      </c>
      <c r="AQ1884" s="26">
        <v>44693</v>
      </c>
      <c r="AR1884" s="24">
        <v>44706</v>
      </c>
      <c r="AS1884" s="24">
        <v>44695</v>
      </c>
      <c r="AT1884" s="24">
        <v>44695</v>
      </c>
      <c r="AU1884" s="418">
        <f t="shared" si="135"/>
        <v>5</v>
      </c>
      <c r="AV1884" s="418">
        <f t="shared" si="136"/>
        <v>2022</v>
      </c>
      <c r="AW1884" s="24" t="s">
        <v>7888</v>
      </c>
      <c r="AX1884" s="24" t="s">
        <v>5402</v>
      </c>
      <c r="AY1884" s="24" t="s">
        <v>7267</v>
      </c>
      <c r="AZ1884" s="24" t="s">
        <v>9</v>
      </c>
      <c r="BA1884" s="24" t="s">
        <v>7130</v>
      </c>
      <c r="BB1884" s="24" t="s">
        <v>3264</v>
      </c>
      <c r="BC1884" s="287">
        <v>596852545</v>
      </c>
      <c r="BD1884" s="24">
        <v>44636</v>
      </c>
      <c r="BE1884" s="24" t="s">
        <v>7278</v>
      </c>
      <c r="BF1884" s="24" t="s">
        <v>994</v>
      </c>
      <c r="BG1884" s="135" t="s">
        <v>65</v>
      </c>
      <c r="BH1884" s="135" t="s">
        <v>7046</v>
      </c>
      <c r="BI1884" s="314" t="s">
        <v>124</v>
      </c>
      <c r="BJ1884" s="314" t="s">
        <v>143</v>
      </c>
      <c r="BK1884" s="24" t="s">
        <v>7924</v>
      </c>
      <c r="BL1884" s="24"/>
      <c r="BM1884" s="24"/>
      <c r="BN1884" s="24">
        <v>44691</v>
      </c>
      <c r="BO1884" s="24">
        <f>AQ1884+6</f>
        <v>44699</v>
      </c>
      <c r="BP1884" s="24"/>
      <c r="BQ1884" s="24" t="s">
        <v>7927</v>
      </c>
      <c r="BR1884" s="24">
        <v>44692</v>
      </c>
      <c r="BS1884" s="24" t="s">
        <v>26</v>
      </c>
      <c r="BT1884" s="24" t="s">
        <v>11</v>
      </c>
      <c r="BU1884" s="24"/>
      <c r="BV1884" s="132" t="s">
        <v>6087</v>
      </c>
      <c r="BW1884" s="132" t="s">
        <v>7271</v>
      </c>
      <c r="BX1884" s="132">
        <v>202200134609</v>
      </c>
      <c r="BY1884" s="132">
        <v>2022273251</v>
      </c>
      <c r="BZ1884" s="24">
        <v>44699</v>
      </c>
      <c r="CA1884" s="24">
        <v>44701</v>
      </c>
      <c r="CB1884" s="132" t="s">
        <v>7918</v>
      </c>
      <c r="CC1884" s="362" t="s">
        <v>7996</v>
      </c>
      <c r="CG1884" s="132"/>
      <c r="CH1884" s="132"/>
      <c r="CI1884" s="24"/>
      <c r="CJ1884" s="24"/>
    </row>
    <row r="1885" spans="1:88" ht="15" customHeight="1">
      <c r="A1885" s="18">
        <v>2022</v>
      </c>
      <c r="B1885" s="18" t="str">
        <f>+INDEX(BDD!F:F,MATCH(P1885,BDD!D:D,0))&amp;"-"&amp;INDEX(BDD!E:E,MATCH(P1885,BDD!D:D,0))</f>
        <v>S-C</v>
      </c>
      <c r="C1885" s="125" t="s">
        <v>484</v>
      </c>
      <c r="D1885" s="150" t="s">
        <v>77</v>
      </c>
      <c r="E1885" s="132" t="s">
        <v>51</v>
      </c>
      <c r="F1885" s="132"/>
      <c r="G1885" s="346">
        <v>8000001892</v>
      </c>
      <c r="H1885" s="18" t="s">
        <v>7284</v>
      </c>
      <c r="I1885" s="329" t="s">
        <v>7280</v>
      </c>
      <c r="J1885" s="346">
        <v>8000001892</v>
      </c>
      <c r="K1885" s="24">
        <v>44645</v>
      </c>
      <c r="L1885" s="24">
        <v>44698</v>
      </c>
      <c r="M1885" s="24">
        <v>44698</v>
      </c>
      <c r="N1885" s="339" t="s">
        <v>486</v>
      </c>
      <c r="O1885" s="334">
        <v>207580</v>
      </c>
      <c r="P1885" s="25" t="s">
        <v>241</v>
      </c>
      <c r="Q1885" s="127" t="s">
        <v>297</v>
      </c>
      <c r="R1885" s="232" t="s">
        <v>7263</v>
      </c>
      <c r="S1885" s="89">
        <v>44567</v>
      </c>
      <c r="T1885" s="36">
        <v>90</v>
      </c>
      <c r="U1885" s="125" t="s">
        <v>118</v>
      </c>
      <c r="V1885" s="147" t="s">
        <v>7285</v>
      </c>
      <c r="W1885" s="88">
        <v>44644</v>
      </c>
      <c r="X1885" s="88">
        <v>44734</v>
      </c>
      <c r="Y1885" s="130" t="s">
        <v>3</v>
      </c>
      <c r="Z1885" s="133" t="s">
        <v>72</v>
      </c>
      <c r="AA1885" s="133" t="s">
        <v>1622</v>
      </c>
      <c r="AB1885" s="241">
        <v>275</v>
      </c>
      <c r="AC1885" s="134">
        <v>1531</v>
      </c>
      <c r="AD1885" s="134">
        <v>418.2</v>
      </c>
      <c r="AE1885" s="403">
        <f t="shared" si="134"/>
        <v>421025</v>
      </c>
      <c r="AF1885" s="132">
        <v>10</v>
      </c>
      <c r="AG1885" s="130" t="s">
        <v>5</v>
      </c>
      <c r="AH1885" s="130" t="s">
        <v>7027</v>
      </c>
      <c r="AI1885" s="130" t="s">
        <v>34</v>
      </c>
      <c r="AJ1885" s="130" t="s">
        <v>944</v>
      </c>
      <c r="AK1885" s="130" t="s">
        <v>7090</v>
      </c>
      <c r="AL1885" s="135" t="s">
        <v>7265</v>
      </c>
      <c r="AM1885" s="314">
        <v>2022</v>
      </c>
      <c r="AN1885" s="26">
        <v>44644</v>
      </c>
      <c r="AO1885" s="385">
        <v>44644</v>
      </c>
      <c r="AP1885" s="26">
        <f>AN1885+40</f>
        <v>44684</v>
      </c>
      <c r="AQ1885" s="26">
        <v>44693</v>
      </c>
      <c r="AR1885" s="24">
        <v>44706</v>
      </c>
      <c r="AS1885" s="24">
        <v>44695</v>
      </c>
      <c r="AT1885" s="24">
        <v>44697</v>
      </c>
      <c r="AU1885" s="418">
        <f t="shared" si="135"/>
        <v>5</v>
      </c>
      <c r="AV1885" s="418">
        <f t="shared" si="136"/>
        <v>2022</v>
      </c>
      <c r="AW1885" s="24" t="s">
        <v>7888</v>
      </c>
      <c r="AX1885" s="24" t="s">
        <v>5402</v>
      </c>
      <c r="AY1885" s="24" t="s">
        <v>7267</v>
      </c>
      <c r="AZ1885" s="24" t="s">
        <v>9</v>
      </c>
      <c r="BA1885" s="24" t="s">
        <v>7130</v>
      </c>
      <c r="BB1885" s="24" t="s">
        <v>3264</v>
      </c>
      <c r="BC1885" s="128">
        <v>596852731</v>
      </c>
      <c r="BD1885" s="24">
        <v>44644</v>
      </c>
      <c r="BE1885" s="24" t="s">
        <v>515</v>
      </c>
      <c r="BF1885" s="24" t="s">
        <v>994</v>
      </c>
      <c r="BG1885" s="135" t="s">
        <v>65</v>
      </c>
      <c r="BH1885" s="135" t="s">
        <v>7046</v>
      </c>
      <c r="BI1885" s="314" t="s">
        <v>124</v>
      </c>
      <c r="BJ1885" s="314" t="s">
        <v>143</v>
      </c>
      <c r="BK1885" s="24" t="s">
        <v>7924</v>
      </c>
      <c r="BL1885" s="24"/>
      <c r="BM1885" s="24"/>
      <c r="BN1885" s="24">
        <v>44691</v>
      </c>
      <c r="BO1885" s="24">
        <f>AQ1885+6</f>
        <v>44699</v>
      </c>
      <c r="BP1885" s="24"/>
      <c r="BQ1885" s="24" t="s">
        <v>7928</v>
      </c>
      <c r="BR1885" s="24">
        <v>44692</v>
      </c>
      <c r="BS1885" s="24" t="s">
        <v>26</v>
      </c>
      <c r="BT1885" s="24" t="s">
        <v>11</v>
      </c>
      <c r="BU1885" s="24"/>
      <c r="BV1885" s="132" t="s">
        <v>6087</v>
      </c>
      <c r="BW1885" s="132" t="s">
        <v>7271</v>
      </c>
      <c r="BX1885" s="132">
        <v>202200134610</v>
      </c>
      <c r="BY1885" s="132">
        <v>2022273252</v>
      </c>
      <c r="BZ1885" s="24">
        <v>44699</v>
      </c>
      <c r="CA1885" s="24">
        <v>44701</v>
      </c>
      <c r="CB1885" s="132" t="s">
        <v>7918</v>
      </c>
      <c r="CC1885" s="362" t="s">
        <v>7996</v>
      </c>
      <c r="CG1885" s="132"/>
      <c r="CH1885" s="132"/>
      <c r="CI1885" s="24"/>
      <c r="CJ1885" s="24"/>
    </row>
    <row r="1886" spans="1:88" ht="15" customHeight="1">
      <c r="A1886" s="18">
        <v>2022</v>
      </c>
      <c r="B1886" s="18" t="str">
        <f>+INDEX(BDD!F:F,MATCH(P1886,BDD!D:D,0))&amp;"-"&amp;INDEX(BDD!E:E,MATCH(P1886,BDD!D:D,0))</f>
        <v>E-S</v>
      </c>
      <c r="C1886" s="360" t="s">
        <v>484</v>
      </c>
      <c r="D1886" s="150" t="s">
        <v>77</v>
      </c>
      <c r="E1886" s="132"/>
      <c r="F1886" s="132"/>
      <c r="G1886" s="346">
        <v>8000001934</v>
      </c>
      <c r="H1886" s="18" t="s">
        <v>7286</v>
      </c>
      <c r="I1886" s="329"/>
      <c r="J1886" s="346">
        <v>8000001934</v>
      </c>
      <c r="K1886" s="24"/>
      <c r="L1886" s="24">
        <v>44671</v>
      </c>
      <c r="M1886" s="24">
        <v>44673</v>
      </c>
      <c r="N1886" s="339" t="s">
        <v>486</v>
      </c>
      <c r="O1886" s="334" t="s">
        <v>4596</v>
      </c>
      <c r="P1886" s="25" t="s">
        <v>351</v>
      </c>
      <c r="Q1886" s="127" t="s">
        <v>6927</v>
      </c>
      <c r="R1886" s="232" t="s">
        <v>7287</v>
      </c>
      <c r="S1886" s="89">
        <v>44579</v>
      </c>
      <c r="T1886" s="36" t="s">
        <v>19</v>
      </c>
      <c r="U1886" s="125"/>
      <c r="V1886" s="147" t="s">
        <v>7288</v>
      </c>
      <c r="W1886" s="129">
        <v>44619</v>
      </c>
      <c r="X1886" s="88">
        <v>44629</v>
      </c>
      <c r="Y1886" s="130" t="s">
        <v>20</v>
      </c>
      <c r="Z1886" s="133" t="s">
        <v>60</v>
      </c>
      <c r="AA1886" s="133"/>
      <c r="AB1886" s="241">
        <v>547.20000000000005</v>
      </c>
      <c r="AC1886" s="134">
        <v>900</v>
      </c>
      <c r="AD1886" s="134"/>
      <c r="AE1886" s="403">
        <f t="shared" si="134"/>
        <v>492480.00000000006</v>
      </c>
      <c r="AF1886" s="132">
        <v>19</v>
      </c>
      <c r="AG1886" s="130" t="s">
        <v>21</v>
      </c>
      <c r="AH1886" s="130"/>
      <c r="AI1886" s="130" t="s">
        <v>71</v>
      </c>
      <c r="AJ1886" s="274">
        <v>0.8</v>
      </c>
      <c r="AK1886" s="130" t="s">
        <v>944</v>
      </c>
      <c r="AL1886" s="135" t="s">
        <v>7144</v>
      </c>
      <c r="AM1886" s="317"/>
      <c r="AN1886" s="26">
        <v>44613</v>
      </c>
      <c r="AO1886" s="26">
        <v>44619</v>
      </c>
      <c r="AP1886" s="26">
        <f>AQ1886</f>
        <v>44666</v>
      </c>
      <c r="AQ1886" s="26">
        <v>44666</v>
      </c>
      <c r="AR1886" s="24">
        <f>AQ1886+4</f>
        <v>44670</v>
      </c>
      <c r="AS1886" s="24"/>
      <c r="AT1886" s="24">
        <v>44667</v>
      </c>
      <c r="AU1886" s="418">
        <f t="shared" si="135"/>
        <v>4</v>
      </c>
      <c r="AV1886" s="418">
        <f t="shared" si="136"/>
        <v>2022</v>
      </c>
      <c r="AW1886" s="24"/>
      <c r="AX1886" s="135" t="s">
        <v>7289</v>
      </c>
      <c r="AY1886" s="135" t="s">
        <v>281</v>
      </c>
      <c r="AZ1886" s="24" t="s">
        <v>37</v>
      </c>
      <c r="BA1886" s="24" t="s">
        <v>6329</v>
      </c>
      <c r="BB1886" s="24" t="s">
        <v>5564</v>
      </c>
      <c r="BC1886" s="128">
        <v>913775401</v>
      </c>
      <c r="BD1886" s="24">
        <v>44619</v>
      </c>
      <c r="BE1886" s="24" t="s">
        <v>3005</v>
      </c>
      <c r="BF1886" s="24" t="s">
        <v>7290</v>
      </c>
      <c r="BG1886" s="135" t="s">
        <v>65</v>
      </c>
      <c r="BH1886" s="135" t="s">
        <v>7046</v>
      </c>
      <c r="BI1886" s="317" t="s">
        <v>3</v>
      </c>
      <c r="BJ1886" s="317" t="s">
        <v>143</v>
      </c>
      <c r="BK1886" s="24"/>
      <c r="BL1886" s="24"/>
      <c r="BM1886" s="24"/>
      <c r="BN1886" s="24"/>
      <c r="BO1886" s="24">
        <f>AQ1886+10</f>
        <v>44676</v>
      </c>
      <c r="BP1886" s="24"/>
      <c r="BQ1886" s="24" t="s">
        <v>7291</v>
      </c>
      <c r="BR1886" s="24">
        <v>44663</v>
      </c>
      <c r="BS1886" s="24" t="s">
        <v>38</v>
      </c>
      <c r="BT1886" s="24" t="s">
        <v>11</v>
      </c>
      <c r="BU1886" s="24"/>
      <c r="BV1886" s="132" t="e">
        <f>IF(#REF!="COMPLETO","OK","PENDIENTE")</f>
        <v>#REF!</v>
      </c>
      <c r="BW1886" s="132"/>
      <c r="BX1886" s="132"/>
      <c r="BY1886" s="132"/>
      <c r="BZ1886" s="132"/>
      <c r="CA1886" s="132"/>
      <c r="CB1886" s="132"/>
      <c r="CC1886" s="294" t="s">
        <v>7292</v>
      </c>
      <c r="CG1886" s="132"/>
      <c r="CH1886" s="132"/>
      <c r="CI1886" s="24"/>
      <c r="CJ1886" s="24"/>
    </row>
    <row r="1887" spans="1:88" ht="15" customHeight="1">
      <c r="A1887" s="18">
        <v>2022</v>
      </c>
      <c r="B1887" s="18"/>
      <c r="C1887" s="360" t="s">
        <v>484</v>
      </c>
      <c r="D1887" s="150" t="s">
        <v>77</v>
      </c>
      <c r="E1887" s="132"/>
      <c r="F1887" s="132"/>
      <c r="G1887" s="346"/>
      <c r="H1887" s="18" t="s">
        <v>7293</v>
      </c>
      <c r="I1887" s="329"/>
      <c r="J1887" s="346"/>
      <c r="K1887" s="24"/>
      <c r="L1887" s="24"/>
      <c r="M1887" s="24"/>
      <c r="N1887" s="339"/>
      <c r="O1887" s="334"/>
      <c r="P1887" s="25" t="s">
        <v>7294</v>
      </c>
      <c r="Q1887" s="127" t="s">
        <v>7295</v>
      </c>
      <c r="R1887" s="232" t="s">
        <v>944</v>
      </c>
      <c r="S1887" s="89" t="s">
        <v>944</v>
      </c>
      <c r="T1887" s="36" t="s">
        <v>6022</v>
      </c>
      <c r="U1887" s="125" t="s">
        <v>6023</v>
      </c>
      <c r="V1887" s="147" t="s">
        <v>7296</v>
      </c>
      <c r="W1887" s="129"/>
      <c r="X1887" s="88" t="s">
        <v>944</v>
      </c>
      <c r="Y1887" s="130" t="s">
        <v>944</v>
      </c>
      <c r="Z1887" s="133" t="s">
        <v>48</v>
      </c>
      <c r="AA1887" s="133"/>
      <c r="AB1887" s="241">
        <v>6</v>
      </c>
      <c r="AC1887" s="134">
        <v>0.5</v>
      </c>
      <c r="AD1887" s="134"/>
      <c r="AE1887" s="403">
        <f t="shared" si="134"/>
        <v>3</v>
      </c>
      <c r="AF1887" s="132"/>
      <c r="AG1887" s="130" t="s">
        <v>944</v>
      </c>
      <c r="AH1887" s="130"/>
      <c r="AI1887" s="130" t="s">
        <v>7297</v>
      </c>
      <c r="AJ1887" s="130"/>
      <c r="AK1887" s="130"/>
      <c r="AL1887" s="135" t="s">
        <v>6678</v>
      </c>
      <c r="AM1887" s="314"/>
      <c r="AN1887" s="26">
        <f>BL1887</f>
        <v>0</v>
      </c>
      <c r="AO1887" s="26">
        <v>44580</v>
      </c>
      <c r="AP1887" s="26">
        <f>AQ1887</f>
        <v>44583</v>
      </c>
      <c r="AQ1887" s="26">
        <v>44583</v>
      </c>
      <c r="AR1887" s="24">
        <f>AQ1887</f>
        <v>44583</v>
      </c>
      <c r="AS1887" s="24"/>
      <c r="AT1887" s="24"/>
      <c r="AU1887" s="418">
        <f t="shared" si="135"/>
        <v>1</v>
      </c>
      <c r="AV1887" s="418">
        <f t="shared" si="136"/>
        <v>1900</v>
      </c>
      <c r="AW1887" s="24"/>
      <c r="AX1887" s="24"/>
      <c r="AY1887" s="24" t="s">
        <v>7298</v>
      </c>
      <c r="AZ1887" s="24" t="s">
        <v>37</v>
      </c>
      <c r="BA1887" s="24"/>
      <c r="BB1887" s="132"/>
      <c r="BC1887" s="128">
        <v>5177147942</v>
      </c>
      <c r="BD1887" s="24"/>
      <c r="BE1887" s="135" t="s">
        <v>6674</v>
      </c>
      <c r="BF1887" s="135" t="s">
        <v>6674</v>
      </c>
      <c r="BG1887" s="135" t="s">
        <v>6674</v>
      </c>
      <c r="BH1887" s="135"/>
      <c r="BI1887" s="314" t="s">
        <v>117</v>
      </c>
      <c r="BJ1887" s="314" t="s">
        <v>148</v>
      </c>
      <c r="BK1887" s="24"/>
      <c r="BL1887" s="24"/>
      <c r="BM1887" s="24"/>
      <c r="BN1887" s="24"/>
      <c r="BO1887" s="41"/>
      <c r="BP1887" s="41"/>
      <c r="BQ1887" s="41"/>
      <c r="BR1887" s="24"/>
      <c r="BS1887" s="41"/>
      <c r="BT1887" s="41"/>
      <c r="BU1887" s="41"/>
      <c r="BV1887" s="132" t="s">
        <v>6087</v>
      </c>
      <c r="BW1887" s="132"/>
      <c r="BX1887" s="132"/>
      <c r="BY1887" s="132"/>
      <c r="BZ1887" s="132"/>
      <c r="CA1887" s="132"/>
      <c r="CB1887" s="132"/>
      <c r="CC1887" s="269"/>
      <c r="CG1887" s="132" t="s">
        <v>105</v>
      </c>
      <c r="CH1887" s="132"/>
      <c r="CI1887" s="24"/>
      <c r="CJ1887" s="24"/>
    </row>
    <row r="1888" spans="1:88" ht="15" customHeight="1">
      <c r="A1888" s="18">
        <v>2022</v>
      </c>
      <c r="B1888" s="18"/>
      <c r="C1888" s="360" t="s">
        <v>484</v>
      </c>
      <c r="D1888" s="150" t="s">
        <v>77</v>
      </c>
      <c r="E1888" s="132"/>
      <c r="F1888" s="132"/>
      <c r="G1888" s="348"/>
      <c r="H1888" s="18" t="s">
        <v>7299</v>
      </c>
      <c r="I1888" s="329"/>
      <c r="J1888" s="348"/>
      <c r="K1888" s="24"/>
      <c r="L1888" s="24"/>
      <c r="M1888" s="24"/>
      <c r="N1888" s="339"/>
      <c r="O1888" s="334"/>
      <c r="P1888" s="25" t="s">
        <v>7300</v>
      </c>
      <c r="Q1888" s="127" t="s">
        <v>7295</v>
      </c>
      <c r="R1888" s="232" t="s">
        <v>944</v>
      </c>
      <c r="S1888" s="89" t="s">
        <v>944</v>
      </c>
      <c r="T1888" s="36" t="s">
        <v>6022</v>
      </c>
      <c r="U1888" s="125" t="s">
        <v>6023</v>
      </c>
      <c r="V1888" s="147" t="s">
        <v>7296</v>
      </c>
      <c r="W1888" s="129"/>
      <c r="X1888" s="88" t="s">
        <v>944</v>
      </c>
      <c r="Y1888" s="130" t="s">
        <v>944</v>
      </c>
      <c r="Z1888" s="133" t="s">
        <v>48</v>
      </c>
      <c r="AA1888" s="133"/>
      <c r="AB1888" s="241">
        <v>6</v>
      </c>
      <c r="AC1888" s="134">
        <v>0.5</v>
      </c>
      <c r="AD1888" s="134"/>
      <c r="AE1888" s="403">
        <f t="shared" si="134"/>
        <v>3</v>
      </c>
      <c r="AF1888" s="132"/>
      <c r="AG1888" s="130" t="s">
        <v>944</v>
      </c>
      <c r="AH1888" s="130"/>
      <c r="AI1888" s="130" t="s">
        <v>7297</v>
      </c>
      <c r="AJ1888" s="130"/>
      <c r="AK1888" s="130"/>
      <c r="AL1888" s="135" t="s">
        <v>6678</v>
      </c>
      <c r="AM1888" s="314"/>
      <c r="AN1888" s="26">
        <f>BL1888</f>
        <v>0</v>
      </c>
      <c r="AO1888" s="26">
        <v>44580</v>
      </c>
      <c r="AP1888" s="26">
        <f>AQ1888</f>
        <v>44583</v>
      </c>
      <c r="AQ1888" s="26">
        <v>44583</v>
      </c>
      <c r="AR1888" s="24">
        <f>AQ1888</f>
        <v>44583</v>
      </c>
      <c r="AS1888" s="24"/>
      <c r="AT1888" s="24"/>
      <c r="AU1888" s="418">
        <f t="shared" si="135"/>
        <v>1</v>
      </c>
      <c r="AV1888" s="418">
        <f t="shared" si="136"/>
        <v>1900</v>
      </c>
      <c r="AW1888" s="24"/>
      <c r="AX1888" s="24"/>
      <c r="AY1888" s="24" t="s">
        <v>7298</v>
      </c>
      <c r="AZ1888" s="24" t="s">
        <v>37</v>
      </c>
      <c r="BA1888" s="24"/>
      <c r="BB1888" s="132"/>
      <c r="BC1888" s="128">
        <v>5177147942</v>
      </c>
      <c r="BD1888" s="24"/>
      <c r="BE1888" s="135" t="s">
        <v>6674</v>
      </c>
      <c r="BF1888" s="135" t="s">
        <v>6674</v>
      </c>
      <c r="BG1888" s="135" t="s">
        <v>6674</v>
      </c>
      <c r="BH1888" s="135"/>
      <c r="BI1888" s="314" t="s">
        <v>117</v>
      </c>
      <c r="BJ1888" s="314" t="s">
        <v>148</v>
      </c>
      <c r="BK1888" s="24"/>
      <c r="BL1888" s="24"/>
      <c r="BM1888" s="24"/>
      <c r="BN1888" s="24"/>
      <c r="BO1888" s="41"/>
      <c r="BP1888" s="41"/>
      <c r="BQ1888" s="41"/>
      <c r="BR1888" s="24"/>
      <c r="BS1888" s="41"/>
      <c r="BT1888" s="41"/>
      <c r="BU1888" s="41"/>
      <c r="BV1888" s="132" t="s">
        <v>6087</v>
      </c>
      <c r="BW1888" s="132"/>
      <c r="BX1888" s="132"/>
      <c r="BY1888" s="132"/>
      <c r="BZ1888" s="132"/>
      <c r="CA1888" s="132"/>
      <c r="CB1888" s="132"/>
      <c r="CC1888" s="362"/>
      <c r="CG1888" s="132" t="s">
        <v>105</v>
      </c>
      <c r="CH1888" s="132"/>
      <c r="CI1888" s="24"/>
      <c r="CJ1888" s="24"/>
    </row>
    <row r="1889" spans="1:88" ht="15" customHeight="1">
      <c r="A1889" s="18">
        <v>2022</v>
      </c>
      <c r="B1889" s="18" t="str">
        <f>+INDEX(BDD!F:F,MATCH(P1889,BDD!D:D,0))&amp;"-"&amp;INDEX(BDD!E:E,MATCH(P1889,BDD!D:D,0))</f>
        <v>G-S</v>
      </c>
      <c r="C1889" s="360" t="s">
        <v>484</v>
      </c>
      <c r="D1889" s="150" t="s">
        <v>77</v>
      </c>
      <c r="E1889" s="132"/>
      <c r="F1889" s="132"/>
      <c r="G1889" s="346">
        <v>8000001835</v>
      </c>
      <c r="H1889" s="18" t="s">
        <v>7301</v>
      </c>
      <c r="I1889" s="329"/>
      <c r="J1889" s="346">
        <v>8000001835</v>
      </c>
      <c r="K1889" s="24"/>
      <c r="L1889" s="24">
        <v>44672</v>
      </c>
      <c r="M1889" s="24">
        <v>44662</v>
      </c>
      <c r="N1889" s="339" t="s">
        <v>486</v>
      </c>
      <c r="O1889" s="334">
        <v>207791</v>
      </c>
      <c r="P1889" s="25" t="s">
        <v>98</v>
      </c>
      <c r="Q1889" s="127" t="s">
        <v>285</v>
      </c>
      <c r="R1889" s="232" t="s">
        <v>7302</v>
      </c>
      <c r="S1889" s="89">
        <v>44599</v>
      </c>
      <c r="T1889" s="36" t="s">
        <v>4</v>
      </c>
      <c r="U1889" s="125"/>
      <c r="V1889" s="147" t="s">
        <v>7303</v>
      </c>
      <c r="W1889" s="129"/>
      <c r="X1889" s="88"/>
      <c r="Y1889" s="130" t="s">
        <v>20</v>
      </c>
      <c r="Z1889" s="133" t="s">
        <v>60</v>
      </c>
      <c r="AA1889" s="133"/>
      <c r="AB1889" s="241">
        <v>900</v>
      </c>
      <c r="AC1889" s="134">
        <v>760</v>
      </c>
      <c r="AD1889" s="134"/>
      <c r="AE1889" s="403">
        <f t="shared" si="134"/>
        <v>684000</v>
      </c>
      <c r="AF1889" s="132"/>
      <c r="AG1889" s="130" t="s">
        <v>46</v>
      </c>
      <c r="AH1889" s="130"/>
      <c r="AI1889" s="130" t="s">
        <v>100</v>
      </c>
      <c r="AJ1889" s="130" t="s">
        <v>944</v>
      </c>
      <c r="AK1889" s="130" t="s">
        <v>944</v>
      </c>
      <c r="AL1889" s="135" t="s">
        <v>7144</v>
      </c>
      <c r="AM1889" s="314"/>
      <c r="AN1889" s="26">
        <v>44620</v>
      </c>
      <c r="AO1889" s="26">
        <v>44623</v>
      </c>
      <c r="AP1889" s="26" t="e">
        <f>#REF!+45</f>
        <v>#REF!</v>
      </c>
      <c r="AQ1889" s="26">
        <v>44659</v>
      </c>
      <c r="AR1889" s="24">
        <f>AQ1889+2</f>
        <v>44661</v>
      </c>
      <c r="AS1889" s="24"/>
      <c r="AT1889" s="24">
        <v>44660</v>
      </c>
      <c r="AU1889" s="418">
        <f t="shared" si="135"/>
        <v>4</v>
      </c>
      <c r="AV1889" s="418">
        <f t="shared" si="136"/>
        <v>2022</v>
      </c>
      <c r="AW1889" s="24"/>
      <c r="AX1889" s="24" t="s">
        <v>7289</v>
      </c>
      <c r="AY1889" s="24" t="s">
        <v>281</v>
      </c>
      <c r="AZ1889" s="24" t="s">
        <v>9</v>
      </c>
      <c r="BA1889" s="24"/>
      <c r="BB1889" s="24" t="s">
        <v>3264</v>
      </c>
      <c r="BC1889" s="132">
        <v>7</v>
      </c>
      <c r="BD1889" s="24">
        <v>44623</v>
      </c>
      <c r="BE1889" s="24" t="s">
        <v>7304</v>
      </c>
      <c r="BF1889" s="24" t="s">
        <v>7304</v>
      </c>
      <c r="BG1889" s="135" t="s">
        <v>52</v>
      </c>
      <c r="BH1889" s="215" t="s">
        <v>6917</v>
      </c>
      <c r="BI1889" s="317" t="s">
        <v>124</v>
      </c>
      <c r="BJ1889" s="314"/>
      <c r="BK1889" s="24"/>
      <c r="BL1889" s="24"/>
      <c r="BM1889" s="24"/>
      <c r="BN1889" s="24"/>
      <c r="BO1889" s="41"/>
      <c r="BP1889" s="41"/>
      <c r="BQ1889" s="41" t="s">
        <v>7305</v>
      </c>
      <c r="BR1889" s="24">
        <v>44657</v>
      </c>
      <c r="BS1889" s="41" t="s">
        <v>51</v>
      </c>
      <c r="BT1889" s="41" t="s">
        <v>11</v>
      </c>
      <c r="BU1889" s="41"/>
      <c r="BV1889" s="132" t="s">
        <v>6087</v>
      </c>
      <c r="BW1889" s="132"/>
      <c r="BX1889" s="132"/>
      <c r="BY1889" s="132"/>
      <c r="BZ1889" s="132"/>
      <c r="CA1889" s="132"/>
      <c r="CB1889" s="132"/>
      <c r="CC1889" s="362"/>
      <c r="CG1889" s="132" t="s">
        <v>105</v>
      </c>
      <c r="CH1889" s="132"/>
      <c r="CI1889" s="24"/>
      <c r="CJ1889" s="24"/>
    </row>
    <row r="1890" spans="1:88" ht="15" customHeight="1">
      <c r="A1890" s="18">
        <v>2022</v>
      </c>
      <c r="B1890" s="18" t="str">
        <f>+INDEX(BDD!F:F,MATCH(P1890,BDD!D:D,0))&amp;"-"&amp;INDEX(BDD!E:E,MATCH(P1890,BDD!D:D,0))</f>
        <v>G-S</v>
      </c>
      <c r="C1890" s="360" t="s">
        <v>484</v>
      </c>
      <c r="D1890" s="150" t="s">
        <v>77</v>
      </c>
      <c r="E1890" s="132"/>
      <c r="F1890" s="132"/>
      <c r="G1890" s="346">
        <v>8000001836</v>
      </c>
      <c r="H1890" s="18" t="s">
        <v>7306</v>
      </c>
      <c r="I1890" s="329"/>
      <c r="J1890" s="346">
        <v>8000001836</v>
      </c>
      <c r="K1890" s="24"/>
      <c r="L1890" s="24">
        <v>44662</v>
      </c>
      <c r="M1890" s="24">
        <v>44670</v>
      </c>
      <c r="N1890" s="339" t="s">
        <v>486</v>
      </c>
      <c r="O1890" s="334">
        <v>207791</v>
      </c>
      <c r="P1890" s="25" t="s">
        <v>98</v>
      </c>
      <c r="Q1890" s="127" t="s">
        <v>285</v>
      </c>
      <c r="R1890" s="232" t="s">
        <v>7302</v>
      </c>
      <c r="S1890" s="89">
        <v>44599</v>
      </c>
      <c r="T1890" s="36" t="s">
        <v>4</v>
      </c>
      <c r="U1890" s="125"/>
      <c r="V1890" s="147" t="s">
        <v>7307</v>
      </c>
      <c r="W1890" s="129">
        <v>44623</v>
      </c>
      <c r="X1890" s="88"/>
      <c r="Y1890" s="130" t="s">
        <v>20</v>
      </c>
      <c r="Z1890" s="133" t="s">
        <v>60</v>
      </c>
      <c r="AA1890" s="133"/>
      <c r="AB1890" s="241">
        <v>750</v>
      </c>
      <c r="AC1890" s="134">
        <v>760</v>
      </c>
      <c r="AD1890" s="134"/>
      <c r="AE1890" s="403">
        <f t="shared" si="134"/>
        <v>570000</v>
      </c>
      <c r="AF1890" s="132"/>
      <c r="AG1890" s="130" t="s">
        <v>46</v>
      </c>
      <c r="AH1890" s="130"/>
      <c r="AI1890" s="130" t="s">
        <v>100</v>
      </c>
      <c r="AJ1890" s="130" t="s">
        <v>944</v>
      </c>
      <c r="AK1890" s="130" t="s">
        <v>944</v>
      </c>
      <c r="AL1890" s="135" t="s">
        <v>7144</v>
      </c>
      <c r="AM1890" s="314"/>
      <c r="AN1890" s="26">
        <v>44620</v>
      </c>
      <c r="AO1890" s="26">
        <v>44623</v>
      </c>
      <c r="AP1890" s="26" t="e">
        <f>#REF!+45</f>
        <v>#REF!</v>
      </c>
      <c r="AQ1890" s="26">
        <f>AQ1889+2</f>
        <v>44661</v>
      </c>
      <c r="AR1890" s="24">
        <f>AQ1890+2</f>
        <v>44663</v>
      </c>
      <c r="AS1890" s="24"/>
      <c r="AT1890" s="24">
        <v>44670</v>
      </c>
      <c r="AU1890" s="418">
        <f t="shared" si="135"/>
        <v>4</v>
      </c>
      <c r="AV1890" s="418">
        <f t="shared" si="136"/>
        <v>2022</v>
      </c>
      <c r="AW1890" s="24"/>
      <c r="AX1890" s="24" t="s">
        <v>7289</v>
      </c>
      <c r="AY1890" s="24" t="s">
        <v>281</v>
      </c>
      <c r="AZ1890" s="24" t="s">
        <v>25</v>
      </c>
      <c r="BA1890" s="24"/>
      <c r="BB1890" s="132" t="s">
        <v>3264</v>
      </c>
      <c r="BC1890" s="132">
        <v>8</v>
      </c>
      <c r="BD1890" s="24">
        <v>44623</v>
      </c>
      <c r="BE1890" s="24" t="s">
        <v>7304</v>
      </c>
      <c r="BF1890" s="24" t="s">
        <v>7304</v>
      </c>
      <c r="BG1890" s="135" t="s">
        <v>52</v>
      </c>
      <c r="BH1890" s="215" t="s">
        <v>6917</v>
      </c>
      <c r="BI1890" s="317" t="s">
        <v>124</v>
      </c>
      <c r="BJ1890" s="314"/>
      <c r="BK1890" s="24"/>
      <c r="BL1890" s="24"/>
      <c r="BM1890" s="24"/>
      <c r="BN1890" s="24"/>
      <c r="BO1890" s="41"/>
      <c r="BP1890" s="41"/>
      <c r="BQ1890" s="41" t="s">
        <v>7308</v>
      </c>
      <c r="BR1890" s="24">
        <v>44664</v>
      </c>
      <c r="BS1890" s="41" t="s">
        <v>51</v>
      </c>
      <c r="BT1890" s="41" t="s">
        <v>11</v>
      </c>
      <c r="BU1890" s="41"/>
      <c r="BV1890" s="132" t="s">
        <v>6087</v>
      </c>
      <c r="BW1890" s="132"/>
      <c r="BX1890" s="132"/>
      <c r="BY1890" s="132"/>
      <c r="BZ1890" s="132"/>
      <c r="CA1890" s="132"/>
      <c r="CB1890" s="132"/>
      <c r="CC1890" s="362"/>
      <c r="CG1890" s="132" t="s">
        <v>105</v>
      </c>
      <c r="CH1890" s="132"/>
      <c r="CI1890" s="24"/>
      <c r="CJ1890" s="24"/>
    </row>
    <row r="1891" spans="1:88" ht="15" customHeight="1">
      <c r="A1891" s="18">
        <v>2022</v>
      </c>
      <c r="B1891" s="18" t="str">
        <f>+INDEX(BDD!F:F,MATCH(P1891,BDD!D:D,0))&amp;"-"&amp;INDEX(BDD!E:E,MATCH(P1891,BDD!D:D,0))</f>
        <v>G-S</v>
      </c>
      <c r="C1891" s="360" t="s">
        <v>484</v>
      </c>
      <c r="D1891" s="150" t="s">
        <v>77</v>
      </c>
      <c r="E1891" s="132"/>
      <c r="F1891" s="132"/>
      <c r="G1891" s="346">
        <v>8000001837</v>
      </c>
      <c r="H1891" s="18" t="s">
        <v>7309</v>
      </c>
      <c r="I1891" s="329" t="s">
        <v>7310</v>
      </c>
      <c r="J1891" s="346">
        <v>8000001837</v>
      </c>
      <c r="K1891" s="24"/>
      <c r="L1891" s="24">
        <v>44678</v>
      </c>
      <c r="M1891" s="24">
        <v>44683</v>
      </c>
      <c r="N1891" s="339" t="s">
        <v>486</v>
      </c>
      <c r="O1891" s="334">
        <v>207791</v>
      </c>
      <c r="P1891" s="25" t="s">
        <v>98</v>
      </c>
      <c r="Q1891" s="127" t="s">
        <v>285</v>
      </c>
      <c r="R1891" s="232" t="s">
        <v>7302</v>
      </c>
      <c r="S1891" s="89">
        <v>44599</v>
      </c>
      <c r="T1891" s="36" t="s">
        <v>4</v>
      </c>
      <c r="U1891" s="125"/>
      <c r="V1891" s="147" t="s">
        <v>7311</v>
      </c>
      <c r="W1891" s="129"/>
      <c r="X1891" s="88"/>
      <c r="Y1891" s="130" t="s">
        <v>20</v>
      </c>
      <c r="Z1891" s="133" t="s">
        <v>60</v>
      </c>
      <c r="AA1891" s="133"/>
      <c r="AB1891" s="241">
        <v>150</v>
      </c>
      <c r="AC1891" s="134">
        <v>760</v>
      </c>
      <c r="AD1891" s="134"/>
      <c r="AE1891" s="403">
        <f t="shared" si="134"/>
        <v>114000</v>
      </c>
      <c r="AF1891" s="132"/>
      <c r="AG1891" s="130" t="s">
        <v>46</v>
      </c>
      <c r="AH1891" s="130"/>
      <c r="AI1891" s="130" t="s">
        <v>100</v>
      </c>
      <c r="AJ1891" s="130" t="s">
        <v>944</v>
      </c>
      <c r="AK1891" s="130" t="s">
        <v>944</v>
      </c>
      <c r="AL1891" s="135" t="s">
        <v>7144</v>
      </c>
      <c r="AM1891" s="314"/>
      <c r="AN1891" s="26">
        <v>44620</v>
      </c>
      <c r="AO1891" s="26">
        <v>44623</v>
      </c>
      <c r="AP1891" s="26" t="e">
        <f>#REF!+45</f>
        <v>#REF!</v>
      </c>
      <c r="AQ1891" s="26">
        <v>44678</v>
      </c>
      <c r="AR1891" s="24">
        <f>AQ1891+3</f>
        <v>44681</v>
      </c>
      <c r="AS1891" s="24">
        <v>44678</v>
      </c>
      <c r="AT1891" s="24">
        <v>44678</v>
      </c>
      <c r="AU1891" s="418">
        <f t="shared" si="135"/>
        <v>4</v>
      </c>
      <c r="AV1891" s="418">
        <f t="shared" si="136"/>
        <v>2022</v>
      </c>
      <c r="AW1891" s="24"/>
      <c r="AX1891" s="24" t="s">
        <v>7289</v>
      </c>
      <c r="AY1891" s="24" t="s">
        <v>7312</v>
      </c>
      <c r="AZ1891" s="24" t="s">
        <v>37</v>
      </c>
      <c r="BA1891" s="24"/>
      <c r="BB1891" s="24" t="s">
        <v>3291</v>
      </c>
      <c r="BC1891" s="132">
        <v>9</v>
      </c>
      <c r="BD1891" s="24">
        <v>44623</v>
      </c>
      <c r="BE1891" s="24" t="s">
        <v>7304</v>
      </c>
      <c r="BF1891" s="24" t="s">
        <v>7304</v>
      </c>
      <c r="BG1891" s="135" t="s">
        <v>52</v>
      </c>
      <c r="BH1891" s="215" t="s">
        <v>6917</v>
      </c>
      <c r="BI1891" s="317" t="s">
        <v>124</v>
      </c>
      <c r="BJ1891" s="314"/>
      <c r="BK1891" s="24"/>
      <c r="BL1891" s="24"/>
      <c r="BM1891" s="24"/>
      <c r="BN1891" s="24"/>
      <c r="BO1891" s="41"/>
      <c r="BP1891" s="41"/>
      <c r="BQ1891" s="41" t="s">
        <v>7313</v>
      </c>
      <c r="BR1891" s="24">
        <v>44674</v>
      </c>
      <c r="BS1891" s="41" t="s">
        <v>38</v>
      </c>
      <c r="BT1891" s="41" t="s">
        <v>11</v>
      </c>
      <c r="BU1891" s="41"/>
      <c r="BV1891" s="132" t="s">
        <v>6087</v>
      </c>
      <c r="BW1891" s="132"/>
      <c r="BX1891" s="132"/>
      <c r="BY1891" s="132"/>
      <c r="BZ1891" s="132"/>
      <c r="CA1891" s="132"/>
      <c r="CB1891" s="132"/>
      <c r="CC1891" s="362"/>
      <c r="CG1891" s="132" t="s">
        <v>105</v>
      </c>
      <c r="CH1891" s="132"/>
      <c r="CI1891" s="24"/>
      <c r="CJ1891" s="24"/>
    </row>
    <row r="1892" spans="1:88" ht="15" customHeight="1">
      <c r="A1892" s="18">
        <v>2022</v>
      </c>
      <c r="B1892" s="18" t="str">
        <f>+INDEX(BDD!F:F,MATCH(P1892,BDD!D:D,0))&amp;"-"&amp;INDEX(BDD!E:E,MATCH(P1892,BDD!D:D,0))</f>
        <v>G-S</v>
      </c>
      <c r="C1892" s="360" t="s">
        <v>484</v>
      </c>
      <c r="D1892" s="150" t="s">
        <v>77</v>
      </c>
      <c r="E1892" s="132"/>
      <c r="F1892" s="132"/>
      <c r="G1892" s="346">
        <v>8000001847</v>
      </c>
      <c r="H1892" s="18" t="s">
        <v>7314</v>
      </c>
      <c r="I1892" s="329"/>
      <c r="J1892" s="346">
        <v>8000001847</v>
      </c>
      <c r="K1892" s="24"/>
      <c r="L1892" s="24">
        <v>44670</v>
      </c>
      <c r="M1892" s="24">
        <v>44670</v>
      </c>
      <c r="N1892" s="339" t="s">
        <v>486</v>
      </c>
      <c r="O1892" s="334">
        <v>206597</v>
      </c>
      <c r="P1892" s="25" t="s">
        <v>104</v>
      </c>
      <c r="Q1892" s="127" t="s">
        <v>285</v>
      </c>
      <c r="R1892" s="232" t="s">
        <v>7315</v>
      </c>
      <c r="S1892" s="89">
        <v>44599</v>
      </c>
      <c r="T1892" s="36">
        <v>30</v>
      </c>
      <c r="U1892" s="125" t="s">
        <v>118</v>
      </c>
      <c r="V1892" s="147" t="s">
        <v>7316</v>
      </c>
      <c r="W1892" s="129">
        <v>44623</v>
      </c>
      <c r="X1892" s="88">
        <v>44653</v>
      </c>
      <c r="Y1892" s="130" t="s">
        <v>20</v>
      </c>
      <c r="Z1892" s="133" t="s">
        <v>60</v>
      </c>
      <c r="AA1892" s="133"/>
      <c r="AB1892" s="241">
        <v>1440</v>
      </c>
      <c r="AC1892" s="134">
        <v>775</v>
      </c>
      <c r="AD1892" s="134"/>
      <c r="AE1892" s="403">
        <f t="shared" si="134"/>
        <v>1116000</v>
      </c>
      <c r="AF1892" s="132"/>
      <c r="AG1892" s="130" t="s">
        <v>46</v>
      </c>
      <c r="AH1892" s="130"/>
      <c r="AI1892" s="130" t="s">
        <v>100</v>
      </c>
      <c r="AJ1892" s="130" t="s">
        <v>944</v>
      </c>
      <c r="AK1892" s="130" t="s">
        <v>944</v>
      </c>
      <c r="AL1892" s="135" t="s">
        <v>7144</v>
      </c>
      <c r="AM1892" s="314"/>
      <c r="AN1892" s="26">
        <v>44620</v>
      </c>
      <c r="AO1892" s="26">
        <v>44623</v>
      </c>
      <c r="AP1892" s="26" t="e">
        <f>#REF!+45</f>
        <v>#REF!</v>
      </c>
      <c r="AQ1892" s="26">
        <v>44661</v>
      </c>
      <c r="AR1892" s="24">
        <f>AQ1892+2</f>
        <v>44663</v>
      </c>
      <c r="AS1892" s="24"/>
      <c r="AT1892" s="24">
        <v>44670</v>
      </c>
      <c r="AU1892" s="418">
        <f t="shared" si="135"/>
        <v>4</v>
      </c>
      <c r="AV1892" s="418">
        <f t="shared" si="136"/>
        <v>2022</v>
      </c>
      <c r="AW1892" s="24"/>
      <c r="AX1892" s="24" t="s">
        <v>7289</v>
      </c>
      <c r="AY1892" s="24" t="s">
        <v>281</v>
      </c>
      <c r="AZ1892" s="24" t="s">
        <v>25</v>
      </c>
      <c r="BA1892" s="24"/>
      <c r="BB1892" s="132" t="s">
        <v>3264</v>
      </c>
      <c r="BC1892" s="132">
        <v>5</v>
      </c>
      <c r="BD1892" s="24">
        <v>44623</v>
      </c>
      <c r="BE1892" s="24" t="s">
        <v>7304</v>
      </c>
      <c r="BF1892" s="24" t="s">
        <v>7304</v>
      </c>
      <c r="BG1892" s="135" t="s">
        <v>52</v>
      </c>
      <c r="BH1892" s="215" t="s">
        <v>6917</v>
      </c>
      <c r="BI1892" s="317" t="s">
        <v>124</v>
      </c>
      <c r="BJ1892" s="314"/>
      <c r="BK1892" s="24"/>
      <c r="BL1892" s="24"/>
      <c r="BM1892" s="24"/>
      <c r="BN1892" s="24"/>
      <c r="BO1892" s="41"/>
      <c r="BP1892" s="41"/>
      <c r="BQ1892" s="41" t="s">
        <v>7317</v>
      </c>
      <c r="BR1892" s="24">
        <v>44664</v>
      </c>
      <c r="BS1892" s="41" t="s">
        <v>51</v>
      </c>
      <c r="BT1892" s="41" t="s">
        <v>27</v>
      </c>
      <c r="BU1892" s="41"/>
      <c r="BV1892" s="132" t="s">
        <v>6087</v>
      </c>
      <c r="BW1892" s="132"/>
      <c r="BX1892" s="132"/>
      <c r="BY1892" s="132"/>
      <c r="BZ1892" s="132"/>
      <c r="CA1892" s="132"/>
      <c r="CB1892" s="132"/>
      <c r="CC1892" s="362"/>
      <c r="CG1892" s="132" t="s">
        <v>105</v>
      </c>
      <c r="CH1892" s="132"/>
      <c r="CI1892" s="24"/>
      <c r="CJ1892" s="24"/>
    </row>
    <row r="1893" spans="1:88" ht="15" customHeight="1">
      <c r="A1893" s="18">
        <v>2022</v>
      </c>
      <c r="B1893" s="18" t="str">
        <f>+INDEX(BDD!F:F,MATCH(P1893,BDD!D:D,0))&amp;"-"&amp;INDEX(BDD!E:E,MATCH(P1893,BDD!D:D,0))</f>
        <v>G-S</v>
      </c>
      <c r="C1893" s="360" t="s">
        <v>484</v>
      </c>
      <c r="D1893" s="150" t="s">
        <v>77</v>
      </c>
      <c r="E1893" s="132"/>
      <c r="F1893" s="132"/>
      <c r="G1893" s="346">
        <v>8000001981</v>
      </c>
      <c r="H1893" s="18" t="s">
        <v>7318</v>
      </c>
      <c r="I1893" s="329" t="s">
        <v>7319</v>
      </c>
      <c r="J1893" s="346">
        <v>8000001981</v>
      </c>
      <c r="K1893" s="24"/>
      <c r="L1893" s="24">
        <v>44678</v>
      </c>
      <c r="M1893" s="24">
        <v>44681</v>
      </c>
      <c r="N1893" s="339" t="s">
        <v>486</v>
      </c>
      <c r="O1893" s="334">
        <v>206597</v>
      </c>
      <c r="P1893" s="25" t="s">
        <v>104</v>
      </c>
      <c r="Q1893" s="127" t="s">
        <v>285</v>
      </c>
      <c r="R1893" s="232" t="s">
        <v>7315</v>
      </c>
      <c r="S1893" s="89">
        <v>44599</v>
      </c>
      <c r="T1893" s="36">
        <v>30</v>
      </c>
      <c r="U1893" s="125" t="s">
        <v>118</v>
      </c>
      <c r="V1893" s="147" t="s">
        <v>7320</v>
      </c>
      <c r="W1893" s="129">
        <v>44623</v>
      </c>
      <c r="X1893" s="88">
        <v>44653</v>
      </c>
      <c r="Y1893" s="130" t="s">
        <v>20</v>
      </c>
      <c r="Z1893" s="133" t="s">
        <v>60</v>
      </c>
      <c r="AA1893" s="133"/>
      <c r="AB1893" s="241">
        <v>2600</v>
      </c>
      <c r="AC1893" s="134">
        <v>775</v>
      </c>
      <c r="AD1893" s="134"/>
      <c r="AE1893" s="403">
        <f t="shared" si="134"/>
        <v>2015000</v>
      </c>
      <c r="AF1893" s="132"/>
      <c r="AG1893" s="130" t="s">
        <v>46</v>
      </c>
      <c r="AH1893" s="130"/>
      <c r="AI1893" s="130" t="s">
        <v>100</v>
      </c>
      <c r="AJ1893" s="130" t="s">
        <v>944</v>
      </c>
      <c r="AK1893" s="130" t="s">
        <v>944</v>
      </c>
      <c r="AL1893" s="135" t="s">
        <v>7144</v>
      </c>
      <c r="AM1893" s="314"/>
      <c r="AN1893" s="26">
        <v>44620</v>
      </c>
      <c r="AO1893" s="26">
        <v>44623</v>
      </c>
      <c r="AP1893" s="26" t="e">
        <f>#REF!+45</f>
        <v>#REF!</v>
      </c>
      <c r="AQ1893" s="26">
        <v>44678</v>
      </c>
      <c r="AR1893" s="24">
        <f>AQ1893+3</f>
        <v>44681</v>
      </c>
      <c r="AS1893" s="24">
        <v>44678</v>
      </c>
      <c r="AT1893" s="24">
        <v>44679</v>
      </c>
      <c r="AU1893" s="418">
        <f t="shared" si="135"/>
        <v>4</v>
      </c>
      <c r="AV1893" s="418">
        <f t="shared" si="136"/>
        <v>2022</v>
      </c>
      <c r="AW1893" s="24"/>
      <c r="AX1893" s="24" t="s">
        <v>7289</v>
      </c>
      <c r="AY1893" s="24" t="s">
        <v>7312</v>
      </c>
      <c r="AZ1893" s="24" t="s">
        <v>37</v>
      </c>
      <c r="BA1893" s="24"/>
      <c r="BB1893" s="24" t="s">
        <v>3593</v>
      </c>
      <c r="BC1893" s="132">
        <v>6</v>
      </c>
      <c r="BD1893" s="24">
        <v>44623</v>
      </c>
      <c r="BE1893" s="24" t="s">
        <v>7304</v>
      </c>
      <c r="BF1893" s="24" t="s">
        <v>7304</v>
      </c>
      <c r="BG1893" s="135" t="s">
        <v>52</v>
      </c>
      <c r="BH1893" s="215" t="s">
        <v>6917</v>
      </c>
      <c r="BI1893" s="317" t="s">
        <v>124</v>
      </c>
      <c r="BJ1893" s="314"/>
      <c r="BK1893" s="24"/>
      <c r="BL1893" s="24"/>
      <c r="BM1893" s="24"/>
      <c r="BN1893" s="24"/>
      <c r="BO1893" s="41"/>
      <c r="BP1893" s="41"/>
      <c r="BQ1893" s="41" t="s">
        <v>7321</v>
      </c>
      <c r="BR1893" s="24">
        <v>44674</v>
      </c>
      <c r="BS1893" s="41" t="s">
        <v>38</v>
      </c>
      <c r="BT1893" s="41" t="s">
        <v>11</v>
      </c>
      <c r="BU1893" s="41"/>
      <c r="BV1893" s="132" t="s">
        <v>6087</v>
      </c>
      <c r="BW1893" s="132"/>
      <c r="BX1893" s="132"/>
      <c r="BY1893" s="132"/>
      <c r="BZ1893" s="132"/>
      <c r="CA1893" s="132"/>
      <c r="CB1893" s="132"/>
      <c r="CC1893" s="375" t="s">
        <v>7322</v>
      </c>
      <c r="CG1893" s="132" t="s">
        <v>105</v>
      </c>
      <c r="CH1893" s="132"/>
      <c r="CI1893" s="24"/>
      <c r="CJ1893" s="24"/>
    </row>
    <row r="1894" spans="1:88" ht="15" customHeight="1">
      <c r="A1894" s="18">
        <v>2022</v>
      </c>
      <c r="B1894" s="18" t="str">
        <f>+INDEX(BDD!F:F,MATCH(P1894,BDD!D:D,0))&amp;"-"&amp;INDEX(BDD!E:E,MATCH(P1894,BDD!D:D,0))</f>
        <v>O-S</v>
      </c>
      <c r="C1894" s="360" t="s">
        <v>5398</v>
      </c>
      <c r="D1894" s="150" t="s">
        <v>18</v>
      </c>
      <c r="E1894" s="132" t="s">
        <v>51</v>
      </c>
      <c r="F1894" s="67"/>
      <c r="G1894" s="346">
        <v>8000001846</v>
      </c>
      <c r="H1894" s="18" t="s">
        <v>7323</v>
      </c>
      <c r="I1894" s="329"/>
      <c r="J1894" s="346">
        <v>8000001846</v>
      </c>
      <c r="K1894" s="24">
        <v>44610</v>
      </c>
      <c r="L1894" s="24"/>
      <c r="M1894" s="24"/>
      <c r="N1894" s="343" t="s">
        <v>3</v>
      </c>
      <c r="O1894" s="336">
        <v>203553</v>
      </c>
      <c r="P1894" s="25" t="s">
        <v>386</v>
      </c>
      <c r="Q1894" s="127" t="s">
        <v>303</v>
      </c>
      <c r="R1894" s="401" t="s">
        <v>7324</v>
      </c>
      <c r="S1894" s="289">
        <v>44602</v>
      </c>
      <c r="T1894" s="36" t="s">
        <v>19</v>
      </c>
      <c r="U1894" s="290"/>
      <c r="V1894" s="232"/>
      <c r="W1894" s="291"/>
      <c r="X1894" s="136"/>
      <c r="Y1894" s="130" t="s">
        <v>3</v>
      </c>
      <c r="Z1894" s="133" t="s">
        <v>60</v>
      </c>
      <c r="AA1894" s="133" t="s">
        <v>1622</v>
      </c>
      <c r="AB1894" s="241">
        <v>23.98</v>
      </c>
      <c r="AC1894" s="134">
        <v>366.37</v>
      </c>
      <c r="AD1894" s="136"/>
      <c r="AE1894" s="403">
        <f t="shared" si="134"/>
        <v>8785.5526000000009</v>
      </c>
      <c r="AF1894" s="132">
        <v>1</v>
      </c>
      <c r="AG1894" s="130" t="s">
        <v>5</v>
      </c>
      <c r="AH1894" s="130" t="s">
        <v>944</v>
      </c>
      <c r="AI1894" s="130" t="s">
        <v>100</v>
      </c>
      <c r="AJ1894" s="130" t="s">
        <v>944</v>
      </c>
      <c r="AK1894" s="130" t="s">
        <v>5634</v>
      </c>
      <c r="AL1894" s="135" t="s">
        <v>7144</v>
      </c>
      <c r="AM1894" s="323">
        <v>2022</v>
      </c>
      <c r="AN1894" s="359">
        <v>44678</v>
      </c>
      <c r="AO1894" s="385">
        <v>44698</v>
      </c>
      <c r="AP1894" s="26">
        <f>AQ1894</f>
        <v>44731</v>
      </c>
      <c r="AQ1894" s="385">
        <v>44731</v>
      </c>
      <c r="AR1894" s="24">
        <f>AQ1894+3</f>
        <v>44734</v>
      </c>
      <c r="AS1894" s="24"/>
      <c r="AT1894" s="24">
        <v>44734</v>
      </c>
      <c r="AU1894" s="418">
        <f t="shared" si="135"/>
        <v>6</v>
      </c>
      <c r="AV1894" s="418">
        <f t="shared" si="136"/>
        <v>2022</v>
      </c>
      <c r="AW1894" s="209" t="s">
        <v>7888</v>
      </c>
      <c r="AX1894" s="24" t="s">
        <v>6218</v>
      </c>
      <c r="AY1894" s="24" t="s">
        <v>7153</v>
      </c>
      <c r="AZ1894" s="209" t="s">
        <v>62</v>
      </c>
      <c r="BA1894" s="209" t="s">
        <v>3334</v>
      </c>
      <c r="BB1894" s="132" t="s">
        <v>3264</v>
      </c>
      <c r="BC1894" s="128" t="s">
        <v>8064</v>
      </c>
      <c r="BD1894" s="24">
        <v>44699</v>
      </c>
      <c r="BE1894" s="24" t="s">
        <v>814</v>
      </c>
      <c r="BF1894" s="24" t="s">
        <v>947</v>
      </c>
      <c r="BG1894" s="135" t="s">
        <v>29</v>
      </c>
      <c r="BH1894" s="215" t="s">
        <v>6219</v>
      </c>
      <c r="BI1894" s="317" t="s">
        <v>3</v>
      </c>
      <c r="BJ1894" s="317" t="s">
        <v>148</v>
      </c>
      <c r="BK1894" s="24"/>
      <c r="BL1894" s="24"/>
      <c r="BM1894" s="24"/>
      <c r="BN1894" s="24"/>
      <c r="BO1894" s="24"/>
      <c r="BP1894" s="24"/>
      <c r="BQ1894" s="24"/>
      <c r="BR1894" s="24"/>
      <c r="BS1894" s="24"/>
      <c r="BT1894" s="24"/>
      <c r="BU1894" s="24"/>
      <c r="BV1894" s="132" t="e">
        <f>IF(#REF!="COMPLETO","OK","PENDIENTE")</f>
        <v>#REF!</v>
      </c>
      <c r="BW1894" s="132" t="s">
        <v>1622</v>
      </c>
      <c r="BX1894" s="132" t="s">
        <v>1622</v>
      </c>
      <c r="BY1894" s="132" t="s">
        <v>1622</v>
      </c>
      <c r="BZ1894" s="132" t="s">
        <v>1622</v>
      </c>
      <c r="CA1894" s="132" t="s">
        <v>1622</v>
      </c>
      <c r="CB1894" s="132" t="s">
        <v>1622</v>
      </c>
      <c r="CC1894" s="375" t="s">
        <v>7325</v>
      </c>
      <c r="CG1894" s="136"/>
      <c r="CH1894" s="136"/>
      <c r="CI1894" s="24"/>
      <c r="CJ1894" s="24"/>
    </row>
    <row r="1895" spans="1:88" ht="15" customHeight="1">
      <c r="A1895" s="18">
        <v>2022</v>
      </c>
      <c r="B1895" s="18" t="str">
        <f>+INDEX(BDD!F:F,MATCH(P1895,BDD!D:D,0))&amp;"-"&amp;INDEX(BDD!E:E,MATCH(P1895,BDD!D:D,0))</f>
        <v>E-S</v>
      </c>
      <c r="C1895" s="360" t="s">
        <v>484</v>
      </c>
      <c r="D1895" s="150" t="s">
        <v>20</v>
      </c>
      <c r="E1895" s="132" t="s">
        <v>1622</v>
      </c>
      <c r="F1895" s="136"/>
      <c r="G1895" s="346">
        <v>8000001845</v>
      </c>
      <c r="H1895" s="18" t="s">
        <v>7326</v>
      </c>
      <c r="I1895" s="329"/>
      <c r="J1895" s="346">
        <v>8000001845</v>
      </c>
      <c r="K1895" s="24"/>
      <c r="L1895" s="24"/>
      <c r="M1895" s="24"/>
      <c r="N1895" s="339"/>
      <c r="O1895" s="334"/>
      <c r="P1895" s="25" t="s">
        <v>351</v>
      </c>
      <c r="Q1895" s="127" t="s">
        <v>6927</v>
      </c>
      <c r="R1895" s="232"/>
      <c r="S1895" s="89"/>
      <c r="T1895" s="36"/>
      <c r="U1895" s="125"/>
      <c r="V1895" s="147"/>
      <c r="W1895" s="129"/>
      <c r="X1895" s="88"/>
      <c r="Y1895" s="130"/>
      <c r="Z1895" s="133"/>
      <c r="AA1895" s="133"/>
      <c r="AB1895" s="241"/>
      <c r="AC1895" s="134"/>
      <c r="AD1895" s="134"/>
      <c r="AE1895" s="403">
        <f t="shared" si="134"/>
        <v>0</v>
      </c>
      <c r="AF1895" s="132"/>
      <c r="AG1895" s="130"/>
      <c r="AH1895" s="130"/>
      <c r="AI1895" s="130"/>
      <c r="AJ1895" s="130"/>
      <c r="AK1895" s="130"/>
      <c r="AL1895" s="135"/>
      <c r="AM1895" s="324"/>
      <c r="AN1895" s="296"/>
      <c r="AO1895" s="26"/>
      <c r="AP1895" s="26"/>
      <c r="AQ1895" s="26"/>
      <c r="AR1895" s="24"/>
      <c r="AS1895" s="24"/>
      <c r="AT1895" s="24"/>
      <c r="AU1895" s="418">
        <f t="shared" si="135"/>
        <v>1</v>
      </c>
      <c r="AV1895" s="418">
        <f t="shared" si="136"/>
        <v>1900</v>
      </c>
      <c r="AW1895" s="209"/>
      <c r="AX1895" s="293"/>
      <c r="AY1895" s="135"/>
      <c r="AZ1895" s="209"/>
      <c r="BA1895" s="209"/>
      <c r="BB1895" s="24"/>
      <c r="BC1895" s="128"/>
      <c r="BD1895" s="24"/>
      <c r="BE1895" s="292"/>
      <c r="BF1895" s="292"/>
      <c r="BG1895" s="292"/>
      <c r="BH1895" s="292"/>
      <c r="BI1895" s="317"/>
      <c r="BJ1895" s="317"/>
      <c r="BK1895" s="26"/>
      <c r="BL1895" s="26"/>
      <c r="BM1895" s="26"/>
      <c r="BN1895" s="26"/>
      <c r="BO1895" s="136"/>
      <c r="BP1895" s="136"/>
      <c r="BQ1895" s="136"/>
      <c r="BR1895" s="24"/>
      <c r="BS1895" s="136"/>
      <c r="BT1895" s="136"/>
      <c r="BU1895" s="136"/>
      <c r="BV1895" s="132"/>
      <c r="BW1895" s="132"/>
      <c r="BX1895" s="132"/>
      <c r="BY1895" s="132"/>
      <c r="BZ1895" s="132"/>
      <c r="CA1895" s="132"/>
      <c r="CB1895" s="132"/>
      <c r="CC1895" s="375"/>
      <c r="CG1895" s="136"/>
      <c r="CH1895" s="136"/>
      <c r="CI1895" s="24"/>
      <c r="CJ1895" s="24"/>
    </row>
    <row r="1896" spans="1:88" ht="15" customHeight="1">
      <c r="A1896" s="18">
        <v>2022</v>
      </c>
      <c r="B1896" s="18" t="str">
        <f>+INDEX(BDD!F:F,MATCH(P1896,BDD!D:D,0))&amp;"-"&amp;INDEX(BDD!E:E,MATCH(P1896,BDD!D:D,0))</f>
        <v>S-C</v>
      </c>
      <c r="C1896" s="360" t="s">
        <v>484</v>
      </c>
      <c r="D1896" s="150" t="s">
        <v>77</v>
      </c>
      <c r="E1896" s="132"/>
      <c r="F1896" s="24"/>
      <c r="G1896" s="346">
        <v>8000001838</v>
      </c>
      <c r="H1896" s="18" t="s">
        <v>7327</v>
      </c>
      <c r="I1896" s="329"/>
      <c r="J1896" s="346">
        <v>8000001838</v>
      </c>
      <c r="K1896" s="24"/>
      <c r="L1896" s="24">
        <v>44635</v>
      </c>
      <c r="M1896" s="24">
        <v>44630</v>
      </c>
      <c r="N1896" s="339" t="s">
        <v>486</v>
      </c>
      <c r="O1896" s="334">
        <v>207580</v>
      </c>
      <c r="P1896" s="25" t="s">
        <v>241</v>
      </c>
      <c r="Q1896" s="127" t="s">
        <v>6000</v>
      </c>
      <c r="R1896" s="232" t="s">
        <v>544</v>
      </c>
      <c r="S1896" s="89">
        <v>44609</v>
      </c>
      <c r="T1896" s="36">
        <v>30</v>
      </c>
      <c r="U1896" s="125" t="s">
        <v>118</v>
      </c>
      <c r="V1896" s="147" t="s">
        <v>7328</v>
      </c>
      <c r="W1896" s="129"/>
      <c r="X1896" s="88">
        <v>44648</v>
      </c>
      <c r="Y1896" s="130" t="s">
        <v>20</v>
      </c>
      <c r="Z1896" s="133" t="s">
        <v>72</v>
      </c>
      <c r="AA1896" s="133"/>
      <c r="AB1896" s="241">
        <v>84</v>
      </c>
      <c r="AC1896" s="134">
        <v>1340</v>
      </c>
      <c r="AD1896" s="134"/>
      <c r="AE1896" s="403">
        <f t="shared" si="134"/>
        <v>112560</v>
      </c>
      <c r="AF1896" s="132">
        <v>3</v>
      </c>
      <c r="AG1896" s="130" t="s">
        <v>33</v>
      </c>
      <c r="AH1896" s="130"/>
      <c r="AI1896" s="130" t="s">
        <v>34</v>
      </c>
      <c r="AJ1896" s="274">
        <v>1.1200000000000001</v>
      </c>
      <c r="AK1896" s="130" t="s">
        <v>7329</v>
      </c>
      <c r="AL1896" s="135" t="s">
        <v>7330</v>
      </c>
      <c r="AM1896" s="324"/>
      <c r="AN1896" s="296">
        <v>44641</v>
      </c>
      <c r="AO1896" s="26">
        <v>44629</v>
      </c>
      <c r="AP1896" s="26">
        <v>44645</v>
      </c>
      <c r="AQ1896" s="26">
        <v>44630</v>
      </c>
      <c r="AR1896" s="24">
        <v>44666</v>
      </c>
      <c r="AS1896" s="24"/>
      <c r="AT1896" s="24">
        <v>44630</v>
      </c>
      <c r="AU1896" s="418">
        <f t="shared" si="135"/>
        <v>3</v>
      </c>
      <c r="AV1896" s="418">
        <f t="shared" si="136"/>
        <v>2022</v>
      </c>
      <c r="AW1896" s="209"/>
      <c r="AX1896" s="209"/>
      <c r="AY1896" s="24" t="s">
        <v>181</v>
      </c>
      <c r="AZ1896" s="209" t="s">
        <v>62</v>
      </c>
      <c r="BA1896" s="209"/>
      <c r="BB1896" s="132" t="s">
        <v>3264</v>
      </c>
      <c r="BC1896" s="24" t="s">
        <v>7331</v>
      </c>
      <c r="BD1896" s="24">
        <v>44621</v>
      </c>
      <c r="BE1896" s="24" t="s">
        <v>6003</v>
      </c>
      <c r="BF1896" s="24" t="s">
        <v>6003</v>
      </c>
      <c r="BG1896" s="135" t="s">
        <v>6451</v>
      </c>
      <c r="BH1896" s="215"/>
      <c r="BI1896" s="317" t="s">
        <v>3</v>
      </c>
      <c r="BJ1896" s="317"/>
      <c r="BK1896" s="24"/>
      <c r="BL1896" s="24"/>
      <c r="BM1896" s="24"/>
      <c r="BN1896" s="24"/>
      <c r="BO1896" s="136"/>
      <c r="BP1896" s="136"/>
      <c r="BQ1896" s="136"/>
      <c r="BR1896" s="24"/>
      <c r="BS1896" s="136"/>
      <c r="BT1896" s="136"/>
      <c r="BU1896" s="136"/>
      <c r="BV1896" s="132" t="e">
        <f>IF(#REF!="COMPLETO","OK","PENDIENTE")</f>
        <v>#REF!</v>
      </c>
      <c r="BW1896" s="132"/>
      <c r="BX1896" s="132"/>
      <c r="BY1896" s="132"/>
      <c r="BZ1896" s="132"/>
      <c r="CA1896" s="132"/>
      <c r="CB1896" s="132"/>
      <c r="CC1896" s="376" t="s">
        <v>7332</v>
      </c>
      <c r="CG1896" s="24" t="s">
        <v>105</v>
      </c>
      <c r="CH1896" s="24"/>
      <c r="CI1896" s="24"/>
      <c r="CJ1896" s="24"/>
    </row>
    <row r="1897" spans="1:88" ht="15" customHeight="1">
      <c r="A1897" s="18">
        <v>2022</v>
      </c>
      <c r="B1897" s="18" t="str">
        <f>+INDEX(BDD!F:F,MATCH(P1897,BDD!D:D,0))&amp;"-"&amp;INDEX(BDD!E:E,MATCH(P1897,BDD!D:D,0))</f>
        <v>S-C</v>
      </c>
      <c r="C1897" s="360" t="s">
        <v>484</v>
      </c>
      <c r="D1897" s="150" t="s">
        <v>77</v>
      </c>
      <c r="E1897" s="132"/>
      <c r="F1897" s="24"/>
      <c r="G1897" s="346">
        <v>8000001881</v>
      </c>
      <c r="H1897" s="18" t="s">
        <v>7333</v>
      </c>
      <c r="I1897" s="329" t="s">
        <v>7334</v>
      </c>
      <c r="J1897" s="346">
        <v>8000001881</v>
      </c>
      <c r="K1897" s="24"/>
      <c r="L1897" s="24">
        <v>44642</v>
      </c>
      <c r="M1897" s="24">
        <v>44642</v>
      </c>
      <c r="N1897" s="339" t="s">
        <v>486</v>
      </c>
      <c r="O1897" s="334">
        <v>207580</v>
      </c>
      <c r="P1897" s="25" t="s">
        <v>241</v>
      </c>
      <c r="Q1897" s="127" t="s">
        <v>6000</v>
      </c>
      <c r="R1897" s="232" t="s">
        <v>544</v>
      </c>
      <c r="S1897" s="89">
        <v>44609</v>
      </c>
      <c r="T1897" s="36">
        <v>30</v>
      </c>
      <c r="U1897" s="125" t="s">
        <v>118</v>
      </c>
      <c r="V1897" s="147" t="s">
        <v>7335</v>
      </c>
      <c r="W1897" s="129"/>
      <c r="X1897" s="88">
        <v>44652</v>
      </c>
      <c r="Y1897" s="130" t="s">
        <v>20</v>
      </c>
      <c r="Z1897" s="133" t="s">
        <v>72</v>
      </c>
      <c r="AA1897" s="133"/>
      <c r="AB1897" s="241">
        <v>140</v>
      </c>
      <c r="AC1897" s="134">
        <v>1340</v>
      </c>
      <c r="AD1897" s="134"/>
      <c r="AE1897" s="403">
        <f t="shared" si="134"/>
        <v>187600</v>
      </c>
      <c r="AF1897" s="132">
        <v>5</v>
      </c>
      <c r="AG1897" s="130" t="s">
        <v>33</v>
      </c>
      <c r="AH1897" s="130"/>
      <c r="AI1897" s="130" t="s">
        <v>34</v>
      </c>
      <c r="AJ1897" s="274">
        <v>1.1200000000000001</v>
      </c>
      <c r="AK1897" s="130" t="s">
        <v>7329</v>
      </c>
      <c r="AL1897" s="135" t="s">
        <v>7330</v>
      </c>
      <c r="AM1897" s="324"/>
      <c r="AN1897" s="296">
        <f>BL1897</f>
        <v>0</v>
      </c>
      <c r="AO1897" s="26">
        <v>44636</v>
      </c>
      <c r="AP1897" s="26">
        <f>AQ1897</f>
        <v>44637</v>
      </c>
      <c r="AQ1897" s="26">
        <v>44637</v>
      </c>
      <c r="AR1897" s="24">
        <v>44666</v>
      </c>
      <c r="AS1897" s="24"/>
      <c r="AT1897" s="24">
        <v>44638</v>
      </c>
      <c r="AU1897" s="418">
        <f t="shared" si="135"/>
        <v>3</v>
      </c>
      <c r="AV1897" s="418">
        <f t="shared" si="136"/>
        <v>2022</v>
      </c>
      <c r="AW1897" s="209"/>
      <c r="AX1897" s="209"/>
      <c r="AY1897" s="24" t="s">
        <v>181</v>
      </c>
      <c r="AZ1897" s="209" t="s">
        <v>62</v>
      </c>
      <c r="BA1897" s="209"/>
      <c r="BB1897" s="132" t="s">
        <v>3264</v>
      </c>
      <c r="BC1897" s="128">
        <v>7836</v>
      </c>
      <c r="BD1897" s="24">
        <v>44622</v>
      </c>
      <c r="BE1897" s="24" t="s">
        <v>6003</v>
      </c>
      <c r="BF1897" s="24" t="s">
        <v>6003</v>
      </c>
      <c r="BG1897" s="135" t="s">
        <v>6004</v>
      </c>
      <c r="BH1897" s="215"/>
      <c r="BI1897" s="317" t="s">
        <v>3</v>
      </c>
      <c r="BJ1897" s="317"/>
      <c r="BK1897" s="24"/>
      <c r="BL1897" s="24"/>
      <c r="BM1897" s="24"/>
      <c r="BN1897" s="24"/>
      <c r="BO1897" s="136"/>
      <c r="BP1897" s="136"/>
      <c r="BQ1897" s="24" t="s">
        <v>7336</v>
      </c>
      <c r="BR1897" s="24">
        <v>44635</v>
      </c>
      <c r="BS1897" s="24" t="s">
        <v>26</v>
      </c>
      <c r="BT1897" s="24" t="s">
        <v>11</v>
      </c>
      <c r="BU1897" s="24"/>
      <c r="BV1897" s="132" t="e">
        <f>IF(#REF!="COMPLETO","OK","PENDIENTE")</f>
        <v>#REF!</v>
      </c>
      <c r="BW1897" s="132"/>
      <c r="BX1897" s="132"/>
      <c r="BY1897" s="132"/>
      <c r="BZ1897" s="132"/>
      <c r="CA1897" s="132"/>
      <c r="CB1897" s="132"/>
      <c r="CC1897" s="376" t="s">
        <v>7337</v>
      </c>
      <c r="CG1897" s="24" t="s">
        <v>105</v>
      </c>
      <c r="CH1897" s="24"/>
      <c r="CI1897" s="24"/>
      <c r="CJ1897" s="24"/>
    </row>
    <row r="1898" spans="1:88" ht="15" customHeight="1">
      <c r="A1898" s="18">
        <v>2022</v>
      </c>
      <c r="B1898" s="18" t="str">
        <f>+INDEX(BDD!F:F,MATCH(P1898,BDD!D:D,0))&amp;"-"&amp;INDEX(BDD!E:E,MATCH(P1898,BDD!D:D,0))</f>
        <v>S-C</v>
      </c>
      <c r="C1898" s="360" t="s">
        <v>484</v>
      </c>
      <c r="D1898" s="150" t="s">
        <v>77</v>
      </c>
      <c r="E1898" s="132"/>
      <c r="F1898" s="132"/>
      <c r="G1898" s="346">
        <v>8000001882</v>
      </c>
      <c r="H1898" s="18" t="s">
        <v>7338</v>
      </c>
      <c r="I1898" s="329" t="s">
        <v>7334</v>
      </c>
      <c r="J1898" s="346">
        <v>8000001882</v>
      </c>
      <c r="K1898" s="24"/>
      <c r="L1898" s="24">
        <v>44642</v>
      </c>
      <c r="M1898" s="24">
        <v>44642</v>
      </c>
      <c r="N1898" s="339" t="s">
        <v>486</v>
      </c>
      <c r="O1898" s="334">
        <v>207580</v>
      </c>
      <c r="P1898" s="25" t="s">
        <v>241</v>
      </c>
      <c r="Q1898" s="127" t="s">
        <v>6000</v>
      </c>
      <c r="R1898" s="232" t="s">
        <v>544</v>
      </c>
      <c r="S1898" s="89">
        <v>44609</v>
      </c>
      <c r="T1898" s="36">
        <v>30</v>
      </c>
      <c r="U1898" s="125" t="s">
        <v>118</v>
      </c>
      <c r="V1898" s="147" t="s">
        <v>7328</v>
      </c>
      <c r="W1898" s="129"/>
      <c r="X1898" s="88">
        <v>44648</v>
      </c>
      <c r="Y1898" s="130" t="s">
        <v>20</v>
      </c>
      <c r="Z1898" s="133" t="s">
        <v>72</v>
      </c>
      <c r="AA1898" s="133"/>
      <c r="AB1898" s="241">
        <v>56</v>
      </c>
      <c r="AC1898" s="134">
        <v>1340</v>
      </c>
      <c r="AD1898" s="134"/>
      <c r="AE1898" s="403">
        <f t="shared" si="134"/>
        <v>75040</v>
      </c>
      <c r="AF1898" s="132">
        <v>2</v>
      </c>
      <c r="AG1898" s="130" t="s">
        <v>33</v>
      </c>
      <c r="AH1898" s="130"/>
      <c r="AI1898" s="130" t="s">
        <v>34</v>
      </c>
      <c r="AJ1898" s="274">
        <v>1.1200000000000001</v>
      </c>
      <c r="AK1898" s="130" t="s">
        <v>7329</v>
      </c>
      <c r="AL1898" s="135" t="s">
        <v>7330</v>
      </c>
      <c r="AM1898" s="324"/>
      <c r="AN1898" s="296">
        <f t="shared" ref="AN1898:AN1909" si="138">BL1898</f>
        <v>0</v>
      </c>
      <c r="AO1898" s="26">
        <v>44635</v>
      </c>
      <c r="AP1898" s="26">
        <f t="shared" ref="AP1898:AP1903" si="139">AQ1898</f>
        <v>44636</v>
      </c>
      <c r="AQ1898" s="26">
        <v>44636</v>
      </c>
      <c r="AR1898" s="24">
        <v>44666</v>
      </c>
      <c r="AS1898" s="24"/>
      <c r="AT1898" s="24">
        <v>44637</v>
      </c>
      <c r="AU1898" s="418">
        <f t="shared" si="135"/>
        <v>3</v>
      </c>
      <c r="AV1898" s="418">
        <f t="shared" si="136"/>
        <v>2022</v>
      </c>
      <c r="AW1898" s="209"/>
      <c r="AX1898" s="209"/>
      <c r="AY1898" s="24" t="s">
        <v>181</v>
      </c>
      <c r="AZ1898" s="209" t="s">
        <v>62</v>
      </c>
      <c r="BA1898" s="209"/>
      <c r="BB1898" s="132" t="s">
        <v>3264</v>
      </c>
      <c r="BC1898" s="24" t="s">
        <v>7339</v>
      </c>
      <c r="BD1898" s="24">
        <v>44634</v>
      </c>
      <c r="BE1898" s="24" t="s">
        <v>6003</v>
      </c>
      <c r="BF1898" s="24" t="s">
        <v>6003</v>
      </c>
      <c r="BG1898" s="135" t="s">
        <v>6451</v>
      </c>
      <c r="BH1898" s="215"/>
      <c r="BI1898" s="317" t="s">
        <v>3</v>
      </c>
      <c r="BJ1898" s="317"/>
      <c r="BK1898" s="24"/>
      <c r="BL1898" s="24"/>
      <c r="BM1898" s="24"/>
      <c r="BN1898" s="24"/>
      <c r="BO1898" s="136"/>
      <c r="BP1898" s="136"/>
      <c r="BQ1898" s="24" t="s">
        <v>7340</v>
      </c>
      <c r="BR1898" s="24">
        <v>44634</v>
      </c>
      <c r="BS1898" s="24" t="s">
        <v>38</v>
      </c>
      <c r="BT1898" s="24" t="s">
        <v>11</v>
      </c>
      <c r="BU1898" s="24"/>
      <c r="BV1898" s="132" t="e">
        <f>IF(#REF!="COMPLETO","OK","PENDIENTE")</f>
        <v>#REF!</v>
      </c>
      <c r="BW1898" s="132"/>
      <c r="BX1898" s="132"/>
      <c r="BY1898" s="132"/>
      <c r="BZ1898" s="132"/>
      <c r="CA1898" s="132"/>
      <c r="CB1898" s="132"/>
      <c r="CC1898" s="376" t="s">
        <v>7341</v>
      </c>
      <c r="CG1898" s="132" t="s">
        <v>105</v>
      </c>
      <c r="CH1898" s="132"/>
      <c r="CI1898" s="24"/>
      <c r="CJ1898" s="24"/>
    </row>
    <row r="1899" spans="1:88" ht="15" customHeight="1">
      <c r="A1899" s="18">
        <v>2022</v>
      </c>
      <c r="B1899" s="18" t="str">
        <f>+INDEX(BDD!F:F,MATCH(P1899,BDD!D:D,0))&amp;"-"&amp;INDEX(BDD!E:E,MATCH(P1899,BDD!D:D,0))</f>
        <v>S-C</v>
      </c>
      <c r="C1899" s="360" t="s">
        <v>484</v>
      </c>
      <c r="D1899" s="150" t="s">
        <v>77</v>
      </c>
      <c r="E1899" s="132"/>
      <c r="F1899" s="132"/>
      <c r="G1899" s="346">
        <v>8000001883</v>
      </c>
      <c r="H1899" s="18" t="s">
        <v>7342</v>
      </c>
      <c r="I1899" s="329" t="s">
        <v>7334</v>
      </c>
      <c r="J1899" s="346">
        <v>8000001883</v>
      </c>
      <c r="K1899" s="24"/>
      <c r="L1899" s="24">
        <v>44642</v>
      </c>
      <c r="M1899" s="24">
        <v>44642</v>
      </c>
      <c r="N1899" s="339" t="s">
        <v>486</v>
      </c>
      <c r="O1899" s="334">
        <v>207580</v>
      </c>
      <c r="P1899" s="25" t="s">
        <v>241</v>
      </c>
      <c r="Q1899" s="127" t="s">
        <v>6000</v>
      </c>
      <c r="R1899" s="232" t="s">
        <v>544</v>
      </c>
      <c r="S1899" s="89">
        <v>44609</v>
      </c>
      <c r="T1899" s="36">
        <v>30</v>
      </c>
      <c r="U1899" s="125" t="s">
        <v>118</v>
      </c>
      <c r="V1899" s="147" t="s">
        <v>7343</v>
      </c>
      <c r="W1899" s="129"/>
      <c r="X1899" s="88">
        <v>44652</v>
      </c>
      <c r="Y1899" s="130" t="s">
        <v>20</v>
      </c>
      <c r="Z1899" s="133" t="s">
        <v>72</v>
      </c>
      <c r="AA1899" s="133"/>
      <c r="AB1899" s="241">
        <v>28</v>
      </c>
      <c r="AC1899" s="134">
        <v>1340</v>
      </c>
      <c r="AD1899" s="134"/>
      <c r="AE1899" s="403">
        <f t="shared" si="134"/>
        <v>37520</v>
      </c>
      <c r="AF1899" s="132">
        <v>1</v>
      </c>
      <c r="AG1899" s="130" t="s">
        <v>33</v>
      </c>
      <c r="AH1899" s="130"/>
      <c r="AI1899" s="130" t="s">
        <v>34</v>
      </c>
      <c r="AJ1899" s="274">
        <v>1.1200000000000001</v>
      </c>
      <c r="AK1899" s="130" t="s">
        <v>7329</v>
      </c>
      <c r="AL1899" s="135" t="s">
        <v>7330</v>
      </c>
      <c r="AM1899" s="324"/>
      <c r="AN1899" s="296">
        <f t="shared" si="138"/>
        <v>0</v>
      </c>
      <c r="AO1899" s="26">
        <v>44635</v>
      </c>
      <c r="AP1899" s="26">
        <f t="shared" si="139"/>
        <v>44636</v>
      </c>
      <c r="AQ1899" s="26">
        <v>44636</v>
      </c>
      <c r="AR1899" s="24">
        <v>44666</v>
      </c>
      <c r="AS1899" s="24"/>
      <c r="AT1899" s="24">
        <v>44637</v>
      </c>
      <c r="AU1899" s="418">
        <f t="shared" si="135"/>
        <v>3</v>
      </c>
      <c r="AV1899" s="418">
        <f t="shared" si="136"/>
        <v>2022</v>
      </c>
      <c r="AW1899" s="209"/>
      <c r="AX1899" s="209"/>
      <c r="AY1899" s="24" t="s">
        <v>181</v>
      </c>
      <c r="AZ1899" s="209" t="s">
        <v>62</v>
      </c>
      <c r="BA1899" s="209"/>
      <c r="BB1899" s="132" t="s">
        <v>3264</v>
      </c>
      <c r="BC1899" s="24" t="s">
        <v>7344</v>
      </c>
      <c r="BD1899" s="24">
        <v>44631</v>
      </c>
      <c r="BE1899" s="24" t="s">
        <v>6003</v>
      </c>
      <c r="BF1899" s="24" t="s">
        <v>6003</v>
      </c>
      <c r="BG1899" s="135" t="s">
        <v>6451</v>
      </c>
      <c r="BH1899" s="215"/>
      <c r="BI1899" s="317" t="s">
        <v>3</v>
      </c>
      <c r="BJ1899" s="317"/>
      <c r="BK1899" s="24"/>
      <c r="BL1899" s="24"/>
      <c r="BM1899" s="24"/>
      <c r="BN1899" s="24"/>
      <c r="BO1899" s="136"/>
      <c r="BP1899" s="136"/>
      <c r="BQ1899" s="24" t="s">
        <v>7345</v>
      </c>
      <c r="BR1899" s="24">
        <v>44634</v>
      </c>
      <c r="BS1899" s="24" t="s">
        <v>38</v>
      </c>
      <c r="BT1899" s="24" t="s">
        <v>11</v>
      </c>
      <c r="BU1899" s="24"/>
      <c r="BV1899" s="132" t="e">
        <f>IF(#REF!="COMPLETO","OK","PENDIENTE")</f>
        <v>#REF!</v>
      </c>
      <c r="BW1899" s="132"/>
      <c r="BX1899" s="132"/>
      <c r="BY1899" s="132"/>
      <c r="BZ1899" s="132"/>
      <c r="CA1899" s="132"/>
      <c r="CB1899" s="132"/>
      <c r="CC1899" s="376" t="s">
        <v>7346</v>
      </c>
      <c r="CG1899" s="132" t="s">
        <v>105</v>
      </c>
      <c r="CH1899" s="132"/>
      <c r="CI1899" s="24"/>
      <c r="CJ1899" s="24"/>
    </row>
    <row r="1900" spans="1:88" ht="15" customHeight="1">
      <c r="A1900" s="18">
        <v>2022</v>
      </c>
      <c r="B1900" s="18" t="str">
        <f>+INDEX(BDD!F:F,MATCH(P1900,BDD!D:D,0))&amp;"-"&amp;INDEX(BDD!E:E,MATCH(P1900,BDD!D:D,0))</f>
        <v>S-S</v>
      </c>
      <c r="C1900" s="360" t="s">
        <v>5398</v>
      </c>
      <c r="D1900" s="150" t="s">
        <v>18</v>
      </c>
      <c r="E1900" s="132" t="s">
        <v>51</v>
      </c>
      <c r="F1900" s="136"/>
      <c r="G1900" s="346">
        <v>8000001839</v>
      </c>
      <c r="H1900" s="18" t="s">
        <v>7347</v>
      </c>
      <c r="I1900" s="329"/>
      <c r="J1900" s="346">
        <v>8000001839</v>
      </c>
      <c r="K1900" s="24">
        <v>44610</v>
      </c>
      <c r="L1900" s="24"/>
      <c r="M1900" s="24"/>
      <c r="N1900" s="334" t="s">
        <v>3</v>
      </c>
      <c r="O1900" s="334">
        <v>207579</v>
      </c>
      <c r="P1900" s="25" t="s">
        <v>238</v>
      </c>
      <c r="Q1900" s="127" t="s">
        <v>133</v>
      </c>
      <c r="R1900" s="232" t="s">
        <v>7348</v>
      </c>
      <c r="S1900" s="89">
        <v>44615</v>
      </c>
      <c r="T1900" s="36" t="s">
        <v>19</v>
      </c>
      <c r="U1900" s="125"/>
      <c r="V1900" s="147"/>
      <c r="W1900" s="129"/>
      <c r="X1900" s="88"/>
      <c r="Y1900" s="130" t="s">
        <v>3</v>
      </c>
      <c r="Z1900" s="133" t="s">
        <v>81</v>
      </c>
      <c r="AA1900" s="133" t="s">
        <v>6619</v>
      </c>
      <c r="AB1900" s="241">
        <v>500</v>
      </c>
      <c r="AC1900" s="134">
        <v>430.5</v>
      </c>
      <c r="AD1900" s="134"/>
      <c r="AE1900" s="403">
        <f t="shared" si="134"/>
        <v>215250</v>
      </c>
      <c r="AF1900" s="132" t="s">
        <v>1622</v>
      </c>
      <c r="AG1900" s="130" t="s">
        <v>58</v>
      </c>
      <c r="AH1900" s="130" t="s">
        <v>944</v>
      </c>
      <c r="AI1900" s="130" t="s">
        <v>34</v>
      </c>
      <c r="AJ1900" s="130"/>
      <c r="AK1900" s="130" t="s">
        <v>5400</v>
      </c>
      <c r="AL1900" s="135" t="s">
        <v>7160</v>
      </c>
      <c r="AM1900" s="324">
        <v>2022</v>
      </c>
      <c r="AN1900" s="385">
        <v>44695</v>
      </c>
      <c r="AO1900" s="385">
        <v>44711</v>
      </c>
      <c r="AP1900" s="26">
        <f t="shared" si="139"/>
        <v>44756</v>
      </c>
      <c r="AQ1900" s="385">
        <f>AO1900+45</f>
        <v>44756</v>
      </c>
      <c r="AR1900" s="24">
        <f>AQ1900+10</f>
        <v>44766</v>
      </c>
      <c r="AS1900" s="24"/>
      <c r="AT1900" s="24">
        <v>44760</v>
      </c>
      <c r="AU1900" s="418">
        <f t="shared" si="135"/>
        <v>7</v>
      </c>
      <c r="AV1900" s="418">
        <f t="shared" si="136"/>
        <v>2022</v>
      </c>
      <c r="AW1900" s="209" t="s">
        <v>7875</v>
      </c>
      <c r="AX1900" s="293" t="s">
        <v>5402</v>
      </c>
      <c r="AY1900" s="135" t="s">
        <v>6800</v>
      </c>
      <c r="AZ1900" s="209" t="s">
        <v>37</v>
      </c>
      <c r="BA1900" s="209"/>
      <c r="BB1900" s="24" t="s">
        <v>3291</v>
      </c>
      <c r="BC1900" s="128" t="s">
        <v>8027</v>
      </c>
      <c r="BD1900" s="24"/>
      <c r="BE1900" s="24" t="s">
        <v>8028</v>
      </c>
      <c r="BF1900" s="24" t="s">
        <v>8028</v>
      </c>
      <c r="BG1900" s="135" t="s">
        <v>52</v>
      </c>
      <c r="BH1900" s="215"/>
      <c r="BI1900" s="317" t="s">
        <v>3</v>
      </c>
      <c r="BJ1900" s="317"/>
      <c r="BK1900" s="24"/>
      <c r="BL1900" s="24"/>
      <c r="BM1900" s="24"/>
      <c r="BN1900" s="24"/>
      <c r="BO1900" s="136"/>
      <c r="BP1900" s="136"/>
      <c r="BQ1900" s="136"/>
      <c r="BR1900" s="24"/>
      <c r="BS1900" s="136"/>
      <c r="BT1900" s="136"/>
      <c r="BU1900" s="136"/>
      <c r="BV1900" s="132" t="e">
        <f>IF(#REF!="COMPLETO","OK","PENDIENTE")</f>
        <v>#REF!</v>
      </c>
      <c r="BW1900" s="132" t="s">
        <v>1622</v>
      </c>
      <c r="BX1900" s="132" t="s">
        <v>1622</v>
      </c>
      <c r="BY1900" s="132" t="s">
        <v>1622</v>
      </c>
      <c r="BZ1900" s="132" t="s">
        <v>1622</v>
      </c>
      <c r="CA1900" s="132" t="s">
        <v>1622</v>
      </c>
      <c r="CB1900" s="132" t="s">
        <v>1622</v>
      </c>
      <c r="CC1900" s="375"/>
      <c r="CG1900" s="136"/>
      <c r="CH1900" s="136"/>
      <c r="CI1900" s="24"/>
      <c r="CJ1900" s="24"/>
    </row>
    <row r="1901" spans="1:88" ht="15" customHeight="1">
      <c r="A1901" s="18">
        <v>2022</v>
      </c>
      <c r="B1901" s="18" t="str">
        <f>+INDEX(BDD!F:F,MATCH(P1901,BDD!D:D,0))&amp;"-"&amp;INDEX(BDD!E:E,MATCH(P1901,BDD!D:D,0))</f>
        <v>S-S</v>
      </c>
      <c r="C1901" s="360" t="s">
        <v>5398</v>
      </c>
      <c r="D1901" s="150" t="s">
        <v>3</v>
      </c>
      <c r="E1901" s="132" t="s">
        <v>51</v>
      </c>
      <c r="F1901" s="136"/>
      <c r="G1901" s="346">
        <v>8000001843</v>
      </c>
      <c r="H1901" s="18" t="s">
        <v>7349</v>
      </c>
      <c r="I1901" s="329"/>
      <c r="J1901" s="346">
        <v>8000001843</v>
      </c>
      <c r="K1901" s="24">
        <v>44610</v>
      </c>
      <c r="L1901" s="24"/>
      <c r="M1901" s="24"/>
      <c r="N1901" s="334" t="s">
        <v>3</v>
      </c>
      <c r="O1901" s="334">
        <v>207579</v>
      </c>
      <c r="P1901" s="25" t="s">
        <v>238</v>
      </c>
      <c r="Q1901" s="127" t="s">
        <v>264</v>
      </c>
      <c r="R1901" s="401" t="s">
        <v>7350</v>
      </c>
      <c r="S1901" s="89">
        <v>44608</v>
      </c>
      <c r="T1901" s="36">
        <v>90</v>
      </c>
      <c r="U1901" s="125" t="s">
        <v>118</v>
      </c>
      <c r="V1901" s="232"/>
      <c r="W1901" s="151"/>
      <c r="X1901" s="88"/>
      <c r="Y1901" s="130" t="s">
        <v>3</v>
      </c>
      <c r="Z1901" s="133" t="s">
        <v>60</v>
      </c>
      <c r="AA1901" s="133" t="s">
        <v>6619</v>
      </c>
      <c r="AB1901" s="241">
        <v>400</v>
      </c>
      <c r="AC1901" s="134">
        <v>420</v>
      </c>
      <c r="AD1901" s="134"/>
      <c r="AE1901" s="403">
        <f t="shared" si="134"/>
        <v>168000</v>
      </c>
      <c r="AF1901" s="132"/>
      <c r="AG1901" s="130" t="s">
        <v>58</v>
      </c>
      <c r="AH1901" s="130"/>
      <c r="AI1901" s="130" t="s">
        <v>34</v>
      </c>
      <c r="AJ1901" s="274">
        <v>1.25</v>
      </c>
      <c r="AK1901" s="130" t="s">
        <v>5400</v>
      </c>
      <c r="AL1901" s="135" t="s">
        <v>7351</v>
      </c>
      <c r="AM1901" s="324">
        <v>2022</v>
      </c>
      <c r="AN1901" s="359">
        <v>44694</v>
      </c>
      <c r="AO1901" s="385">
        <v>44771</v>
      </c>
      <c r="AP1901" s="26">
        <f t="shared" si="139"/>
        <v>44817</v>
      </c>
      <c r="AQ1901" s="385">
        <f>AO1901+46</f>
        <v>44817</v>
      </c>
      <c r="AR1901" s="24">
        <f>AQ1901+10</f>
        <v>44827</v>
      </c>
      <c r="AS1901" s="24"/>
      <c r="AT1901" s="24">
        <v>44820</v>
      </c>
      <c r="AU1901" s="418">
        <f t="shared" si="135"/>
        <v>9</v>
      </c>
      <c r="AV1901" s="418">
        <f t="shared" si="136"/>
        <v>2022</v>
      </c>
      <c r="AW1901" s="24" t="s">
        <v>7874</v>
      </c>
      <c r="AX1901" s="293" t="s">
        <v>5402</v>
      </c>
      <c r="AY1901" s="135" t="s">
        <v>6800</v>
      </c>
      <c r="AZ1901" s="209" t="s">
        <v>37</v>
      </c>
      <c r="BA1901" s="209"/>
      <c r="BB1901" s="24" t="s">
        <v>3291</v>
      </c>
      <c r="BC1901" s="292"/>
      <c r="BD1901" s="24"/>
      <c r="BE1901" s="292"/>
      <c r="BF1901" s="292"/>
      <c r="BG1901" s="135" t="s">
        <v>52</v>
      </c>
      <c r="BH1901" s="215"/>
      <c r="BI1901" s="317" t="s">
        <v>3</v>
      </c>
      <c r="BJ1901" s="317"/>
      <c r="BK1901" s="24"/>
      <c r="BL1901" s="24"/>
      <c r="BM1901" s="24"/>
      <c r="BN1901" s="24"/>
      <c r="BO1901" s="136"/>
      <c r="BP1901" s="136"/>
      <c r="BQ1901" s="136"/>
      <c r="BR1901" s="24"/>
      <c r="BS1901" s="136"/>
      <c r="BT1901" s="136"/>
      <c r="BU1901" s="136"/>
      <c r="BV1901" s="132" t="e">
        <f>IF(#REF!="COMPLETO","OK","PENDIENTE")</f>
        <v>#REF!</v>
      </c>
      <c r="BW1901" s="132"/>
      <c r="BX1901" s="132"/>
      <c r="BY1901" s="132"/>
      <c r="BZ1901" s="132"/>
      <c r="CA1901" s="132"/>
      <c r="CB1901" s="132"/>
      <c r="CC1901" s="375" t="s">
        <v>8031</v>
      </c>
      <c r="CD1901" s="67" t="s">
        <v>7872</v>
      </c>
      <c r="CE1901" s="67"/>
      <c r="CG1901" s="136"/>
      <c r="CH1901" s="136"/>
      <c r="CI1901" s="24"/>
      <c r="CJ1901" s="24"/>
    </row>
    <row r="1902" spans="1:88" ht="15" customHeight="1">
      <c r="A1902" s="18">
        <v>2022</v>
      </c>
      <c r="B1902" s="18" t="str">
        <f>+INDEX(BDD!F:F,MATCH(P1902,BDD!D:D,0))&amp;"-"&amp;INDEX(BDD!E:E,MATCH(P1902,BDD!D:D,0))</f>
        <v>S-S</v>
      </c>
      <c r="C1902" s="360" t="s">
        <v>484</v>
      </c>
      <c r="D1902" s="150" t="s">
        <v>77</v>
      </c>
      <c r="E1902" s="132"/>
      <c r="F1902" s="132"/>
      <c r="G1902" s="346">
        <v>8000001982</v>
      </c>
      <c r="H1902" s="18" t="s">
        <v>7352</v>
      </c>
      <c r="I1902" s="329" t="s">
        <v>6909</v>
      </c>
      <c r="J1902" s="346">
        <v>8000001982</v>
      </c>
      <c r="K1902" s="24"/>
      <c r="L1902" s="24">
        <v>44676</v>
      </c>
      <c r="M1902" s="24">
        <v>44683</v>
      </c>
      <c r="N1902" s="340" t="s">
        <v>486</v>
      </c>
      <c r="O1902" s="334">
        <v>206713</v>
      </c>
      <c r="P1902" s="25" t="s">
        <v>340</v>
      </c>
      <c r="Q1902" s="127" t="s">
        <v>297</v>
      </c>
      <c r="R1902" s="232" t="s">
        <v>7353</v>
      </c>
      <c r="S1902" s="89">
        <v>44608</v>
      </c>
      <c r="T1902" s="36">
        <v>150</v>
      </c>
      <c r="U1902" s="125" t="s">
        <v>118</v>
      </c>
      <c r="V1902" s="147" t="s">
        <v>7354</v>
      </c>
      <c r="W1902" s="129">
        <v>44621</v>
      </c>
      <c r="X1902" s="88">
        <v>44771</v>
      </c>
      <c r="Y1902" s="130" t="s">
        <v>3</v>
      </c>
      <c r="Z1902" s="133" t="s">
        <v>60</v>
      </c>
      <c r="AA1902" s="133" t="s">
        <v>6326</v>
      </c>
      <c r="AB1902" s="241">
        <v>1500</v>
      </c>
      <c r="AC1902" s="134">
        <v>1028.5</v>
      </c>
      <c r="AD1902" s="134">
        <v>171.5</v>
      </c>
      <c r="AE1902" s="403">
        <f t="shared" si="134"/>
        <v>1542750</v>
      </c>
      <c r="AF1902" s="132"/>
      <c r="AG1902" s="130" t="s">
        <v>58</v>
      </c>
      <c r="AH1902" s="130"/>
      <c r="AI1902" s="130" t="s">
        <v>6029</v>
      </c>
      <c r="AJ1902" s="274">
        <v>1.2</v>
      </c>
      <c r="AK1902" s="130" t="s">
        <v>944</v>
      </c>
      <c r="AL1902" s="135" t="s">
        <v>7355</v>
      </c>
      <c r="AM1902" s="324"/>
      <c r="AN1902" s="296">
        <f t="shared" si="138"/>
        <v>0</v>
      </c>
      <c r="AO1902" s="26">
        <v>44621</v>
      </c>
      <c r="AP1902" s="26">
        <f>AQ1902</f>
        <v>44672</v>
      </c>
      <c r="AQ1902" s="26">
        <v>44672</v>
      </c>
      <c r="AR1902" s="24">
        <f>AQ1902+2</f>
        <v>44674</v>
      </c>
      <c r="AS1902" s="24">
        <v>44680</v>
      </c>
      <c r="AT1902" s="24">
        <v>44681</v>
      </c>
      <c r="AU1902" s="418">
        <f t="shared" si="135"/>
        <v>4</v>
      </c>
      <c r="AV1902" s="418">
        <f t="shared" si="136"/>
        <v>2022</v>
      </c>
      <c r="AW1902" s="209"/>
      <c r="AX1902" s="293" t="s">
        <v>6915</v>
      </c>
      <c r="AY1902" s="135" t="s">
        <v>6914</v>
      </c>
      <c r="AZ1902" s="209" t="s">
        <v>25</v>
      </c>
      <c r="BA1902" s="209" t="s">
        <v>6917</v>
      </c>
      <c r="BB1902" s="132" t="s">
        <v>3264</v>
      </c>
      <c r="BC1902" s="128" t="s">
        <v>6913</v>
      </c>
      <c r="BD1902" s="24">
        <v>44621</v>
      </c>
      <c r="BE1902" s="24" t="s">
        <v>6916</v>
      </c>
      <c r="BF1902" s="24" t="s">
        <v>6916</v>
      </c>
      <c r="BG1902" s="135" t="s">
        <v>52</v>
      </c>
      <c r="BH1902" s="135" t="s">
        <v>6917</v>
      </c>
      <c r="BI1902" s="317" t="s">
        <v>3</v>
      </c>
      <c r="BJ1902" s="317" t="s">
        <v>148</v>
      </c>
      <c r="BK1902" s="24"/>
      <c r="BL1902" s="24"/>
      <c r="BM1902" s="24"/>
      <c r="BN1902" s="24"/>
      <c r="BO1902" s="136"/>
      <c r="BP1902" s="136"/>
      <c r="BQ1902" s="41" t="s">
        <v>6918</v>
      </c>
      <c r="BR1902" s="24">
        <v>44673</v>
      </c>
      <c r="BS1902" s="41" t="s">
        <v>6919</v>
      </c>
      <c r="BT1902" s="41" t="s">
        <v>11</v>
      </c>
      <c r="BU1902" s="41"/>
      <c r="BV1902" s="132" t="s">
        <v>6087</v>
      </c>
      <c r="BW1902" s="132"/>
      <c r="BX1902" s="132"/>
      <c r="BY1902" s="132"/>
      <c r="BZ1902" s="132"/>
      <c r="CA1902" s="132"/>
      <c r="CB1902" s="132"/>
      <c r="CC1902" s="294" t="s">
        <v>7356</v>
      </c>
      <c r="CG1902" s="132" t="s">
        <v>105</v>
      </c>
      <c r="CH1902" s="132"/>
      <c r="CI1902" s="24"/>
      <c r="CJ1902" s="24"/>
    </row>
    <row r="1903" spans="1:88" ht="15" customHeight="1">
      <c r="A1903" s="18">
        <v>2022</v>
      </c>
      <c r="B1903" s="18" t="str">
        <f>+INDEX(BDD!F:F,MATCH(P1903,BDD!D:D,0))&amp;"-"&amp;INDEX(BDD!E:E,MATCH(P1903,BDD!D:D,0))</f>
        <v>T-S</v>
      </c>
      <c r="C1903" s="360" t="s">
        <v>5398</v>
      </c>
      <c r="D1903" s="150" t="s">
        <v>3</v>
      </c>
      <c r="E1903" s="132" t="s">
        <v>7904</v>
      </c>
      <c r="F1903" s="67"/>
      <c r="G1903" s="346">
        <v>8000001856</v>
      </c>
      <c r="H1903" s="18" t="s">
        <v>7357</v>
      </c>
      <c r="I1903" s="329" t="s">
        <v>7358</v>
      </c>
      <c r="J1903" s="346">
        <v>8000001856</v>
      </c>
      <c r="K1903" s="24">
        <v>44645</v>
      </c>
      <c r="L1903" s="24"/>
      <c r="M1903" s="24"/>
      <c r="N1903" s="339" t="s">
        <v>3</v>
      </c>
      <c r="O1903" s="334">
        <v>206687</v>
      </c>
      <c r="P1903" s="25" t="s">
        <v>403</v>
      </c>
      <c r="Q1903" s="127" t="s">
        <v>303</v>
      </c>
      <c r="R1903" s="401" t="s">
        <v>7359</v>
      </c>
      <c r="S1903" s="89">
        <v>44609</v>
      </c>
      <c r="T1903" s="36" t="s">
        <v>19</v>
      </c>
      <c r="U1903" s="125"/>
      <c r="V1903" s="147"/>
      <c r="W1903" s="129"/>
      <c r="X1903" s="88"/>
      <c r="Y1903" s="130" t="s">
        <v>3</v>
      </c>
      <c r="Z1903" s="133" t="s">
        <v>60</v>
      </c>
      <c r="AA1903" s="133" t="s">
        <v>1622</v>
      </c>
      <c r="AB1903" s="241">
        <v>16</v>
      </c>
      <c r="AC1903" s="134">
        <v>9520</v>
      </c>
      <c r="AD1903" s="134"/>
      <c r="AE1903" s="403">
        <f t="shared" si="134"/>
        <v>152320</v>
      </c>
      <c r="AF1903" s="132"/>
      <c r="AG1903" s="130" t="s">
        <v>21</v>
      </c>
      <c r="AH1903" s="130"/>
      <c r="AI1903" s="130" t="s">
        <v>3619</v>
      </c>
      <c r="AJ1903" s="130" t="s">
        <v>944</v>
      </c>
      <c r="AK1903" s="130" t="s">
        <v>5634</v>
      </c>
      <c r="AL1903" s="135" t="s">
        <v>7160</v>
      </c>
      <c r="AM1903" s="314">
        <v>2022</v>
      </c>
      <c r="AN1903" s="359">
        <v>44706</v>
      </c>
      <c r="AO1903" s="385">
        <v>44722</v>
      </c>
      <c r="AP1903" s="26">
        <f t="shared" si="139"/>
        <v>44751</v>
      </c>
      <c r="AQ1903" s="385">
        <f>AO1903+29</f>
        <v>44751</v>
      </c>
      <c r="AR1903" s="24">
        <f>AQ1903+4</f>
        <v>44755</v>
      </c>
      <c r="AS1903" s="24"/>
      <c r="AT1903" s="24">
        <v>44755</v>
      </c>
      <c r="AU1903" s="418">
        <f t="shared" si="135"/>
        <v>7</v>
      </c>
      <c r="AV1903" s="418">
        <f t="shared" si="136"/>
        <v>2022</v>
      </c>
      <c r="AW1903" s="24" t="s">
        <v>7874</v>
      </c>
      <c r="AX1903" s="135" t="s">
        <v>7581</v>
      </c>
      <c r="AY1903" s="24" t="s">
        <v>3981</v>
      </c>
      <c r="AZ1903" s="24" t="s">
        <v>37</v>
      </c>
      <c r="BA1903" s="206"/>
      <c r="BB1903" s="24" t="s">
        <v>3291</v>
      </c>
      <c r="BC1903" s="288"/>
      <c r="BD1903" s="24"/>
      <c r="BE1903" s="292"/>
      <c r="BF1903" s="292"/>
      <c r="BG1903" s="292"/>
      <c r="BH1903" s="292"/>
      <c r="BI1903" s="317" t="s">
        <v>3</v>
      </c>
      <c r="BJ1903" s="317"/>
      <c r="BK1903" s="24"/>
      <c r="BL1903" s="24"/>
      <c r="BM1903" s="24"/>
      <c r="BN1903" s="24"/>
      <c r="BO1903" s="136"/>
      <c r="BP1903" s="136"/>
      <c r="BQ1903" s="136"/>
      <c r="BR1903" s="24"/>
      <c r="BS1903" s="136"/>
      <c r="BT1903" s="136"/>
      <c r="BU1903" s="136"/>
      <c r="BV1903" s="132" t="e">
        <f>IF(#REF!="COMPLETO","OK","PENDIENTE")</f>
        <v>#REF!</v>
      </c>
      <c r="BW1903" s="132" t="s">
        <v>1622</v>
      </c>
      <c r="BX1903" s="132" t="s">
        <v>1622</v>
      </c>
      <c r="BY1903" s="132" t="s">
        <v>1622</v>
      </c>
      <c r="BZ1903" s="132" t="s">
        <v>1622</v>
      </c>
      <c r="CA1903" s="132" t="s">
        <v>1622</v>
      </c>
      <c r="CB1903" s="132" t="s">
        <v>1622</v>
      </c>
      <c r="CC1903" s="375"/>
      <c r="CG1903" s="136"/>
      <c r="CH1903" s="136"/>
      <c r="CI1903" s="24"/>
      <c r="CJ1903" s="24"/>
    </row>
    <row r="1904" spans="1:88" ht="15" customHeight="1">
      <c r="A1904" s="18">
        <v>2022</v>
      </c>
      <c r="B1904" s="18" t="str">
        <f>+INDEX(BDD!F:F,MATCH(P1904,BDD!D:D,0))&amp;"-"&amp;INDEX(BDD!E:E,MATCH(P1904,BDD!D:D,0))</f>
        <v>G-S</v>
      </c>
      <c r="C1904" s="360" t="s">
        <v>484</v>
      </c>
      <c r="D1904" s="150" t="s">
        <v>77</v>
      </c>
      <c r="E1904" s="132"/>
      <c r="F1904" s="136"/>
      <c r="G1904" s="346">
        <v>8000001945</v>
      </c>
      <c r="H1904" s="18" t="s">
        <v>7361</v>
      </c>
      <c r="I1904" s="329" t="s">
        <v>7362</v>
      </c>
      <c r="J1904" s="346">
        <v>8000001945</v>
      </c>
      <c r="K1904" s="24"/>
      <c r="L1904" s="24">
        <v>44670</v>
      </c>
      <c r="M1904" s="24">
        <v>44673</v>
      </c>
      <c r="N1904" s="339" t="s">
        <v>486</v>
      </c>
      <c r="O1904" s="334">
        <v>207485</v>
      </c>
      <c r="P1904" s="25" t="s">
        <v>353</v>
      </c>
      <c r="Q1904" s="127" t="s">
        <v>133</v>
      </c>
      <c r="R1904" s="232" t="s">
        <v>7363</v>
      </c>
      <c r="S1904" s="89">
        <v>44617</v>
      </c>
      <c r="T1904" s="36" t="s">
        <v>19</v>
      </c>
      <c r="U1904" s="125"/>
      <c r="V1904" s="147" t="s">
        <v>7364</v>
      </c>
      <c r="W1904" s="88">
        <v>44664</v>
      </c>
      <c r="X1904" s="88">
        <v>44671</v>
      </c>
      <c r="Y1904" s="130" t="s">
        <v>20</v>
      </c>
      <c r="Z1904" s="133" t="s">
        <v>72</v>
      </c>
      <c r="AA1904" s="133"/>
      <c r="AB1904" s="241">
        <v>168</v>
      </c>
      <c r="AC1904" s="134">
        <v>775</v>
      </c>
      <c r="AD1904" s="134"/>
      <c r="AE1904" s="403">
        <f t="shared" si="134"/>
        <v>130200</v>
      </c>
      <c r="AF1904" s="132">
        <v>6</v>
      </c>
      <c r="AG1904" s="130" t="s">
        <v>33</v>
      </c>
      <c r="AH1904" s="130"/>
      <c r="AI1904" s="130" t="s">
        <v>71</v>
      </c>
      <c r="AJ1904" s="295">
        <v>1</v>
      </c>
      <c r="AK1904" s="130" t="s">
        <v>7365</v>
      </c>
      <c r="AL1904" s="135" t="s">
        <v>7160</v>
      </c>
      <c r="AM1904" s="324"/>
      <c r="AN1904" s="296">
        <f t="shared" si="138"/>
        <v>0</v>
      </c>
      <c r="AO1904" s="26">
        <v>44664</v>
      </c>
      <c r="AP1904" s="26">
        <f t="shared" ref="AP1904:AP1912" si="140">AQ1904</f>
        <v>44672</v>
      </c>
      <c r="AQ1904" s="26">
        <v>44672</v>
      </c>
      <c r="AR1904" s="24">
        <f>AQ1904</f>
        <v>44672</v>
      </c>
      <c r="AS1904" s="24">
        <v>44672</v>
      </c>
      <c r="AT1904" s="24">
        <v>44672</v>
      </c>
      <c r="AU1904" s="418">
        <f t="shared" si="135"/>
        <v>4</v>
      </c>
      <c r="AV1904" s="418">
        <f t="shared" si="136"/>
        <v>2022</v>
      </c>
      <c r="AW1904" s="24"/>
      <c r="AX1904" s="135" t="s">
        <v>7368</v>
      </c>
      <c r="AY1904" s="135" t="s">
        <v>7367</v>
      </c>
      <c r="AZ1904" s="24" t="s">
        <v>62</v>
      </c>
      <c r="BA1904" s="206" t="s">
        <v>3334</v>
      </c>
      <c r="BB1904" s="132" t="s">
        <v>3264</v>
      </c>
      <c r="BC1904" s="24" t="s">
        <v>7366</v>
      </c>
      <c r="BD1904" s="24"/>
      <c r="BE1904" s="24" t="s">
        <v>6003</v>
      </c>
      <c r="BF1904" s="24" t="s">
        <v>6003</v>
      </c>
      <c r="BG1904" s="135" t="s">
        <v>6003</v>
      </c>
      <c r="BH1904" s="215" t="s">
        <v>944</v>
      </c>
      <c r="BI1904" s="317" t="s">
        <v>3</v>
      </c>
      <c r="BJ1904" s="317"/>
      <c r="BK1904" s="24"/>
      <c r="BL1904" s="24"/>
      <c r="BM1904" s="24"/>
      <c r="BN1904" s="24"/>
      <c r="BO1904" s="136"/>
      <c r="BP1904" s="136"/>
      <c r="BQ1904" s="41" t="s">
        <v>7369</v>
      </c>
      <c r="BR1904" s="24">
        <v>44669</v>
      </c>
      <c r="BS1904" s="41" t="s">
        <v>26</v>
      </c>
      <c r="BT1904" s="41" t="s">
        <v>11</v>
      </c>
      <c r="BU1904" s="41"/>
      <c r="BV1904" s="132" t="s">
        <v>6087</v>
      </c>
      <c r="BW1904" s="132"/>
      <c r="BX1904" s="132"/>
      <c r="BY1904" s="132"/>
      <c r="BZ1904" s="132"/>
      <c r="CA1904" s="132"/>
      <c r="CB1904" s="132"/>
      <c r="CC1904" s="375" t="s">
        <v>7370</v>
      </c>
      <c r="CG1904" s="136"/>
      <c r="CH1904" s="136"/>
      <c r="CI1904" s="24"/>
      <c r="CJ1904" s="24"/>
    </row>
    <row r="1905" spans="1:88" ht="15" customHeight="1">
      <c r="A1905" s="18">
        <v>2022</v>
      </c>
      <c r="B1905" s="18" t="str">
        <f>+INDEX(BDD!F:F,MATCH(P1905,BDD!D:D,0))&amp;"-"&amp;INDEX(BDD!E:E,MATCH(P1905,BDD!D:D,0))</f>
        <v>G-S</v>
      </c>
      <c r="C1905" s="360" t="s">
        <v>484</v>
      </c>
      <c r="D1905" s="150" t="s">
        <v>77</v>
      </c>
      <c r="E1905" s="132"/>
      <c r="F1905" s="24"/>
      <c r="G1905" s="346">
        <v>8000001935</v>
      </c>
      <c r="H1905" s="18" t="s">
        <v>7371</v>
      </c>
      <c r="I1905" s="329" t="s">
        <v>7362</v>
      </c>
      <c r="J1905" s="346">
        <v>8000001935</v>
      </c>
      <c r="K1905" s="24"/>
      <c r="L1905" s="24">
        <v>44672</v>
      </c>
      <c r="M1905" s="24">
        <v>44673</v>
      </c>
      <c r="N1905" s="339" t="s">
        <v>486</v>
      </c>
      <c r="O1905" s="334">
        <v>207485</v>
      </c>
      <c r="P1905" s="25" t="s">
        <v>353</v>
      </c>
      <c r="Q1905" s="127" t="s">
        <v>133</v>
      </c>
      <c r="R1905" s="232" t="s">
        <v>7363</v>
      </c>
      <c r="S1905" s="89">
        <v>44617</v>
      </c>
      <c r="T1905" s="36" t="s">
        <v>19</v>
      </c>
      <c r="U1905" s="125"/>
      <c r="V1905" s="147" t="s">
        <v>7372</v>
      </c>
      <c r="W1905" s="88">
        <v>44665</v>
      </c>
      <c r="X1905" s="88">
        <v>44673</v>
      </c>
      <c r="Y1905" s="130" t="s">
        <v>20</v>
      </c>
      <c r="Z1905" s="133" t="s">
        <v>72</v>
      </c>
      <c r="AA1905" s="133"/>
      <c r="AB1905" s="241">
        <v>168</v>
      </c>
      <c r="AC1905" s="134">
        <v>775</v>
      </c>
      <c r="AD1905" s="134"/>
      <c r="AE1905" s="403">
        <f t="shared" si="134"/>
        <v>130200</v>
      </c>
      <c r="AF1905" s="132">
        <v>6</v>
      </c>
      <c r="AG1905" s="130" t="s">
        <v>33</v>
      </c>
      <c r="AH1905" s="130"/>
      <c r="AI1905" s="130" t="s">
        <v>71</v>
      </c>
      <c r="AJ1905" s="295">
        <v>1</v>
      </c>
      <c r="AK1905" s="130" t="s">
        <v>7365</v>
      </c>
      <c r="AL1905" s="135" t="s">
        <v>7160</v>
      </c>
      <c r="AM1905" s="324"/>
      <c r="AN1905" s="296">
        <f t="shared" si="138"/>
        <v>0</v>
      </c>
      <c r="AO1905" s="26">
        <v>44671</v>
      </c>
      <c r="AP1905" s="26">
        <f t="shared" si="140"/>
        <v>44673</v>
      </c>
      <c r="AQ1905" s="26">
        <f>AO1905+2</f>
        <v>44673</v>
      </c>
      <c r="AR1905" s="24">
        <f>AQ1905</f>
        <v>44673</v>
      </c>
      <c r="AS1905" s="24">
        <v>44673</v>
      </c>
      <c r="AT1905" s="24">
        <v>44674</v>
      </c>
      <c r="AU1905" s="418">
        <f t="shared" si="135"/>
        <v>4</v>
      </c>
      <c r="AV1905" s="418">
        <f t="shared" si="136"/>
        <v>2022</v>
      </c>
      <c r="AW1905" s="24"/>
      <c r="AX1905" s="135" t="s">
        <v>7368</v>
      </c>
      <c r="AY1905" s="135" t="s">
        <v>7367</v>
      </c>
      <c r="AZ1905" s="24" t="s">
        <v>62</v>
      </c>
      <c r="BA1905" s="206"/>
      <c r="BB1905" s="132" t="s">
        <v>3264</v>
      </c>
      <c r="BC1905" s="24" t="s">
        <v>7373</v>
      </c>
      <c r="BD1905" s="24"/>
      <c r="BE1905" s="24" t="s">
        <v>6003</v>
      </c>
      <c r="BF1905" s="24" t="s">
        <v>6003</v>
      </c>
      <c r="BG1905" s="135" t="s">
        <v>6003</v>
      </c>
      <c r="BH1905" s="215" t="s">
        <v>944</v>
      </c>
      <c r="BI1905" s="317" t="s">
        <v>3</v>
      </c>
      <c r="BJ1905" s="317"/>
      <c r="BK1905" s="24"/>
      <c r="BL1905" s="24"/>
      <c r="BM1905" s="24"/>
      <c r="BN1905" s="24"/>
      <c r="BO1905" s="136"/>
      <c r="BP1905" s="136"/>
      <c r="BQ1905" s="41" t="s">
        <v>7374</v>
      </c>
      <c r="BR1905" s="24">
        <v>44671</v>
      </c>
      <c r="BS1905" s="41" t="s">
        <v>26</v>
      </c>
      <c r="BT1905" s="41" t="s">
        <v>11</v>
      </c>
      <c r="BU1905" s="41"/>
      <c r="BV1905" s="132" t="s">
        <v>6087</v>
      </c>
      <c r="BW1905" s="132"/>
      <c r="BX1905" s="132"/>
      <c r="BY1905" s="132"/>
      <c r="BZ1905" s="132"/>
      <c r="CA1905" s="132"/>
      <c r="CB1905" s="132"/>
      <c r="CC1905" s="375"/>
      <c r="CG1905" s="24" t="s">
        <v>105</v>
      </c>
      <c r="CH1905" s="24"/>
      <c r="CI1905" s="24"/>
      <c r="CJ1905" s="24"/>
    </row>
    <row r="1906" spans="1:88" ht="15" customHeight="1">
      <c r="A1906" s="18">
        <v>2022</v>
      </c>
      <c r="B1906" s="18" t="str">
        <f>+INDEX(BDD!F:F,MATCH(P1906,BDD!D:D,0))&amp;"-"&amp;INDEX(BDD!E:E,MATCH(P1906,BDD!D:D,0))</f>
        <v>G-S</v>
      </c>
      <c r="C1906" s="360" t="s">
        <v>484</v>
      </c>
      <c r="D1906" s="150" t="s">
        <v>77</v>
      </c>
      <c r="E1906" s="132"/>
      <c r="F1906" s="24"/>
      <c r="G1906" s="346">
        <v>8000001936</v>
      </c>
      <c r="H1906" s="18" t="s">
        <v>7375</v>
      </c>
      <c r="I1906" s="329" t="s">
        <v>7362</v>
      </c>
      <c r="J1906" s="346">
        <v>8000001936</v>
      </c>
      <c r="K1906" s="24"/>
      <c r="L1906" s="24">
        <v>44676</v>
      </c>
      <c r="M1906" s="24">
        <v>44677</v>
      </c>
      <c r="N1906" s="339" t="s">
        <v>486</v>
      </c>
      <c r="O1906" s="334">
        <v>204177</v>
      </c>
      <c r="P1906" s="25" t="s">
        <v>353</v>
      </c>
      <c r="Q1906" s="127" t="s">
        <v>133</v>
      </c>
      <c r="R1906" s="232" t="s">
        <v>7363</v>
      </c>
      <c r="S1906" s="89">
        <v>44617</v>
      </c>
      <c r="T1906" s="36" t="s">
        <v>19</v>
      </c>
      <c r="U1906" s="125"/>
      <c r="V1906" s="147" t="s">
        <v>7376</v>
      </c>
      <c r="W1906" s="88">
        <v>44670</v>
      </c>
      <c r="X1906" s="88">
        <v>44676</v>
      </c>
      <c r="Y1906" s="130" t="s">
        <v>20</v>
      </c>
      <c r="Z1906" s="133" t="s">
        <v>72</v>
      </c>
      <c r="AA1906" s="133"/>
      <c r="AB1906" s="241">
        <v>168</v>
      </c>
      <c r="AC1906" s="134">
        <v>775</v>
      </c>
      <c r="AD1906" s="134"/>
      <c r="AE1906" s="403">
        <f t="shared" si="134"/>
        <v>130200</v>
      </c>
      <c r="AF1906" s="132">
        <v>6</v>
      </c>
      <c r="AG1906" s="130" t="s">
        <v>33</v>
      </c>
      <c r="AH1906" s="130"/>
      <c r="AI1906" s="130" t="s">
        <v>71</v>
      </c>
      <c r="AJ1906" s="295">
        <v>1</v>
      </c>
      <c r="AK1906" s="130" t="s">
        <v>7365</v>
      </c>
      <c r="AL1906" s="135" t="s">
        <v>7160</v>
      </c>
      <c r="AM1906" s="324"/>
      <c r="AN1906" s="296">
        <f t="shared" si="138"/>
        <v>0</v>
      </c>
      <c r="AO1906" s="26">
        <v>44672</v>
      </c>
      <c r="AP1906" s="26">
        <f t="shared" si="140"/>
        <v>44674</v>
      </c>
      <c r="AQ1906" s="26">
        <v>44674</v>
      </c>
      <c r="AR1906" s="24">
        <f>AQ1906</f>
        <v>44674</v>
      </c>
      <c r="AS1906" s="24">
        <v>44674</v>
      </c>
      <c r="AT1906" s="24">
        <v>44674</v>
      </c>
      <c r="AU1906" s="418">
        <f t="shared" si="135"/>
        <v>4</v>
      </c>
      <c r="AV1906" s="418">
        <f t="shared" si="136"/>
        <v>2022</v>
      </c>
      <c r="AW1906" s="24"/>
      <c r="AX1906" s="135" t="s">
        <v>7368</v>
      </c>
      <c r="AY1906" s="135" t="s">
        <v>7367</v>
      </c>
      <c r="AZ1906" s="24" t="s">
        <v>62</v>
      </c>
      <c r="BA1906" s="206"/>
      <c r="BB1906" s="132" t="s">
        <v>3264</v>
      </c>
      <c r="BC1906" s="135" t="s">
        <v>7377</v>
      </c>
      <c r="BD1906" s="24"/>
      <c r="BE1906" s="24" t="s">
        <v>6003</v>
      </c>
      <c r="BF1906" s="24" t="s">
        <v>6003</v>
      </c>
      <c r="BG1906" s="135" t="s">
        <v>6003</v>
      </c>
      <c r="BH1906" s="215"/>
      <c r="BI1906" s="317" t="s">
        <v>3</v>
      </c>
      <c r="BJ1906" s="317"/>
      <c r="BK1906" s="24"/>
      <c r="BL1906" s="24"/>
      <c r="BM1906" s="24"/>
      <c r="BN1906" s="24"/>
      <c r="BO1906" s="136"/>
      <c r="BP1906" s="136"/>
      <c r="BQ1906" s="41" t="s">
        <v>7378</v>
      </c>
      <c r="BR1906" s="24">
        <v>44672</v>
      </c>
      <c r="BS1906" s="41" t="s">
        <v>26</v>
      </c>
      <c r="BT1906" s="41" t="s">
        <v>11</v>
      </c>
      <c r="BU1906" s="41"/>
      <c r="BV1906" s="132" t="s">
        <v>6087</v>
      </c>
      <c r="BW1906" s="132"/>
      <c r="BX1906" s="132"/>
      <c r="BY1906" s="132"/>
      <c r="BZ1906" s="132"/>
      <c r="CA1906" s="132"/>
      <c r="CB1906" s="132"/>
      <c r="CC1906" s="375" t="s">
        <v>7379</v>
      </c>
      <c r="CG1906" s="24" t="s">
        <v>105</v>
      </c>
      <c r="CH1906" s="24"/>
      <c r="CI1906" s="24"/>
      <c r="CJ1906" s="24"/>
    </row>
    <row r="1907" spans="1:88" ht="15" customHeight="1">
      <c r="A1907" s="18">
        <v>2022</v>
      </c>
      <c r="B1907" s="18" t="str">
        <f>+INDEX(BDD!F:F,MATCH(P1907,BDD!D:D,0))&amp;"-"&amp;INDEX(BDD!E:E,MATCH(P1907,BDD!D:D,0))</f>
        <v>G-S</v>
      </c>
      <c r="C1907" s="360" t="s">
        <v>484</v>
      </c>
      <c r="D1907" s="150" t="s">
        <v>77</v>
      </c>
      <c r="E1907" s="132"/>
      <c r="F1907" s="24"/>
      <c r="G1907" s="346">
        <v>8000001976</v>
      </c>
      <c r="H1907" s="18" t="s">
        <v>7380</v>
      </c>
      <c r="I1907" s="329" t="s">
        <v>7362</v>
      </c>
      <c r="J1907" s="346">
        <v>8000001976</v>
      </c>
      <c r="K1907" s="24"/>
      <c r="L1907" s="24">
        <v>44676</v>
      </c>
      <c r="M1907" s="24">
        <v>44680</v>
      </c>
      <c r="N1907" s="339" t="s">
        <v>486</v>
      </c>
      <c r="O1907" s="334">
        <v>204177</v>
      </c>
      <c r="P1907" s="25" t="s">
        <v>353</v>
      </c>
      <c r="Q1907" s="127" t="s">
        <v>133</v>
      </c>
      <c r="R1907" s="232" t="s">
        <v>7363</v>
      </c>
      <c r="S1907" s="89">
        <v>44617</v>
      </c>
      <c r="T1907" s="36" t="s">
        <v>19</v>
      </c>
      <c r="U1907" s="125"/>
      <c r="V1907" s="147" t="s">
        <v>7381</v>
      </c>
      <c r="W1907" s="88">
        <v>44672</v>
      </c>
      <c r="X1907" s="88">
        <v>44677</v>
      </c>
      <c r="Y1907" s="130" t="s">
        <v>20</v>
      </c>
      <c r="Z1907" s="133" t="s">
        <v>72</v>
      </c>
      <c r="AA1907" s="133"/>
      <c r="AB1907" s="241">
        <v>168</v>
      </c>
      <c r="AC1907" s="134">
        <v>775</v>
      </c>
      <c r="AD1907" s="134"/>
      <c r="AE1907" s="403">
        <f t="shared" si="134"/>
        <v>130200</v>
      </c>
      <c r="AF1907" s="132">
        <v>6</v>
      </c>
      <c r="AG1907" s="130" t="s">
        <v>33</v>
      </c>
      <c r="AH1907" s="130"/>
      <c r="AI1907" s="130" t="s">
        <v>71</v>
      </c>
      <c r="AJ1907" s="295">
        <v>1</v>
      </c>
      <c r="AK1907" s="130" t="s">
        <v>7365</v>
      </c>
      <c r="AL1907" s="135" t="s">
        <v>7160</v>
      </c>
      <c r="AM1907" s="324"/>
      <c r="AN1907" s="296">
        <f t="shared" si="138"/>
        <v>0</v>
      </c>
      <c r="AO1907" s="26">
        <v>44675</v>
      </c>
      <c r="AP1907" s="26">
        <f t="shared" si="140"/>
        <v>44677</v>
      </c>
      <c r="AQ1907" s="26">
        <v>44677</v>
      </c>
      <c r="AR1907" s="24">
        <v>44678</v>
      </c>
      <c r="AS1907" s="24">
        <v>44677</v>
      </c>
      <c r="AT1907" s="24">
        <v>44678</v>
      </c>
      <c r="AU1907" s="418">
        <f t="shared" si="135"/>
        <v>4</v>
      </c>
      <c r="AV1907" s="418">
        <f t="shared" si="136"/>
        <v>2022</v>
      </c>
      <c r="AW1907" s="24"/>
      <c r="AX1907" s="135" t="s">
        <v>7368</v>
      </c>
      <c r="AY1907" s="135" t="s">
        <v>7367</v>
      </c>
      <c r="AZ1907" s="24" t="s">
        <v>62</v>
      </c>
      <c r="BA1907" s="206" t="s">
        <v>3264</v>
      </c>
      <c r="BB1907" s="132" t="s">
        <v>3264</v>
      </c>
      <c r="BC1907" s="24" t="s">
        <v>1622</v>
      </c>
      <c r="BD1907" s="24"/>
      <c r="BE1907" s="24" t="s">
        <v>6003</v>
      </c>
      <c r="BF1907" s="24" t="s">
        <v>6003</v>
      </c>
      <c r="BG1907" s="135" t="s">
        <v>1622</v>
      </c>
      <c r="BH1907" s="215" t="s">
        <v>1622</v>
      </c>
      <c r="BI1907" s="317" t="s">
        <v>3</v>
      </c>
      <c r="BJ1907" s="317"/>
      <c r="BK1907" s="24"/>
      <c r="BL1907" s="24"/>
      <c r="BM1907" s="24"/>
      <c r="BN1907" s="24"/>
      <c r="BO1907" s="136"/>
      <c r="BP1907" s="136"/>
      <c r="BQ1907" s="41" t="s">
        <v>7382</v>
      </c>
      <c r="BR1907" s="24">
        <v>44674</v>
      </c>
      <c r="BS1907" s="41" t="s">
        <v>26</v>
      </c>
      <c r="BT1907" s="41" t="s">
        <v>11</v>
      </c>
      <c r="BU1907" s="41"/>
      <c r="BV1907" s="132" t="s">
        <v>6087</v>
      </c>
      <c r="BW1907" s="132"/>
      <c r="BX1907" s="132"/>
      <c r="BY1907" s="132"/>
      <c r="BZ1907" s="132"/>
      <c r="CA1907" s="132"/>
      <c r="CB1907" s="132"/>
      <c r="CC1907" s="375" t="s">
        <v>7383</v>
      </c>
      <c r="CG1907" s="24" t="s">
        <v>105</v>
      </c>
      <c r="CH1907" s="24"/>
      <c r="CI1907" s="24"/>
      <c r="CJ1907" s="24"/>
    </row>
    <row r="1908" spans="1:88" ht="15" customHeight="1">
      <c r="A1908" s="18">
        <v>2022</v>
      </c>
      <c r="B1908" s="18" t="str">
        <f>+INDEX(BDD!F:F,MATCH(P1908,BDD!D:D,0))&amp;"-"&amp;INDEX(BDD!E:E,MATCH(P1908,BDD!D:D,0))</f>
        <v>G-S</v>
      </c>
      <c r="C1908" s="360" t="s">
        <v>484</v>
      </c>
      <c r="D1908" s="150" t="s">
        <v>77</v>
      </c>
      <c r="E1908" s="132"/>
      <c r="F1908" s="24"/>
      <c r="G1908" s="346">
        <v>8000001977</v>
      </c>
      <c r="H1908" s="18" t="s">
        <v>7384</v>
      </c>
      <c r="I1908" s="329" t="s">
        <v>7362</v>
      </c>
      <c r="J1908" s="346">
        <v>8000001977</v>
      </c>
      <c r="K1908" s="24"/>
      <c r="L1908" s="24">
        <v>44678</v>
      </c>
      <c r="M1908" s="24">
        <v>44680</v>
      </c>
      <c r="N1908" s="339" t="s">
        <v>486</v>
      </c>
      <c r="O1908" s="334">
        <v>204177</v>
      </c>
      <c r="P1908" s="25" t="s">
        <v>353</v>
      </c>
      <c r="Q1908" s="127" t="s">
        <v>133</v>
      </c>
      <c r="R1908" s="232" t="s">
        <v>7363</v>
      </c>
      <c r="S1908" s="89">
        <v>44617</v>
      </c>
      <c r="T1908" s="36" t="s">
        <v>19</v>
      </c>
      <c r="U1908" s="125"/>
      <c r="V1908" s="147" t="s">
        <v>7385</v>
      </c>
      <c r="W1908" s="88">
        <v>44671</v>
      </c>
      <c r="X1908" s="88"/>
      <c r="Y1908" s="130" t="s">
        <v>20</v>
      </c>
      <c r="Z1908" s="133" t="s">
        <v>72</v>
      </c>
      <c r="AA1908" s="133"/>
      <c r="AB1908" s="241">
        <v>168</v>
      </c>
      <c r="AC1908" s="134">
        <v>775</v>
      </c>
      <c r="AD1908" s="134"/>
      <c r="AE1908" s="403">
        <f t="shared" si="134"/>
        <v>130200</v>
      </c>
      <c r="AF1908" s="132">
        <v>6</v>
      </c>
      <c r="AG1908" s="130" t="s">
        <v>33</v>
      </c>
      <c r="AH1908" s="130"/>
      <c r="AI1908" s="130" t="s">
        <v>71</v>
      </c>
      <c r="AJ1908" s="295">
        <v>1</v>
      </c>
      <c r="AK1908" s="130" t="s">
        <v>7365</v>
      </c>
      <c r="AL1908" s="135" t="s">
        <v>7160</v>
      </c>
      <c r="AM1908" s="324"/>
      <c r="AN1908" s="296">
        <f>BL1908</f>
        <v>0</v>
      </c>
      <c r="AO1908" s="26">
        <f>AQ1908-2</f>
        <v>44675</v>
      </c>
      <c r="AP1908" s="26">
        <f t="shared" si="140"/>
        <v>44677</v>
      </c>
      <c r="AQ1908" s="26">
        <v>44677</v>
      </c>
      <c r="AR1908" s="24">
        <f>AQ1908</f>
        <v>44677</v>
      </c>
      <c r="AS1908" s="24">
        <v>44677</v>
      </c>
      <c r="AT1908" s="24">
        <v>44677</v>
      </c>
      <c r="AU1908" s="418">
        <f t="shared" si="135"/>
        <v>4</v>
      </c>
      <c r="AV1908" s="418">
        <f t="shared" si="136"/>
        <v>2022</v>
      </c>
      <c r="AW1908" s="24"/>
      <c r="AX1908" s="135" t="s">
        <v>7368</v>
      </c>
      <c r="AY1908" s="135" t="s">
        <v>7367</v>
      </c>
      <c r="AZ1908" s="24" t="s">
        <v>62</v>
      </c>
      <c r="BA1908" s="206" t="s">
        <v>3264</v>
      </c>
      <c r="BB1908" s="132" t="s">
        <v>3264</v>
      </c>
      <c r="BC1908" s="24" t="s">
        <v>7386</v>
      </c>
      <c r="BD1908" s="24"/>
      <c r="BE1908" s="24" t="s">
        <v>6003</v>
      </c>
      <c r="BF1908" s="24" t="s">
        <v>6003</v>
      </c>
      <c r="BG1908" s="135" t="s">
        <v>6003</v>
      </c>
      <c r="BH1908" s="215"/>
      <c r="BI1908" s="317" t="s">
        <v>3</v>
      </c>
      <c r="BJ1908" s="317"/>
      <c r="BK1908" s="24"/>
      <c r="BL1908" s="24"/>
      <c r="BM1908" s="24"/>
      <c r="BN1908" s="24"/>
      <c r="BO1908" s="136"/>
      <c r="BP1908" s="136"/>
      <c r="BQ1908" s="41" t="s">
        <v>7387</v>
      </c>
      <c r="BR1908" s="24">
        <v>44676</v>
      </c>
      <c r="BS1908" s="41" t="s">
        <v>26</v>
      </c>
      <c r="BT1908" s="41" t="s">
        <v>11</v>
      </c>
      <c r="BU1908" s="41"/>
      <c r="BV1908" s="132" t="s">
        <v>6087</v>
      </c>
      <c r="BW1908" s="132"/>
      <c r="BX1908" s="132"/>
      <c r="BY1908" s="132"/>
      <c r="BZ1908" s="132"/>
      <c r="CA1908" s="132"/>
      <c r="CB1908" s="132"/>
      <c r="CC1908" s="375" t="s">
        <v>7388</v>
      </c>
      <c r="CG1908" s="24" t="s">
        <v>105</v>
      </c>
      <c r="CH1908" s="24"/>
      <c r="CI1908" s="24"/>
      <c r="CJ1908" s="24"/>
    </row>
    <row r="1909" spans="1:88" ht="15" customHeight="1">
      <c r="A1909" s="18">
        <v>2022</v>
      </c>
      <c r="B1909" s="18" t="str">
        <f>+INDEX(BDD!F:F,MATCH(P1909,BDD!D:D,0))&amp;"-"&amp;INDEX(BDD!E:E,MATCH(P1909,BDD!D:D,0))</f>
        <v>G-S</v>
      </c>
      <c r="C1909" s="360" t="s">
        <v>484</v>
      </c>
      <c r="D1909" s="150" t="s">
        <v>77</v>
      </c>
      <c r="E1909" s="132"/>
      <c r="F1909" s="24"/>
      <c r="G1909" s="346">
        <v>8000001978</v>
      </c>
      <c r="H1909" s="18" t="s">
        <v>7389</v>
      </c>
      <c r="I1909" s="329" t="s">
        <v>7362</v>
      </c>
      <c r="J1909" s="346">
        <v>8000001978</v>
      </c>
      <c r="K1909" s="24"/>
      <c r="L1909" s="24">
        <v>44678</v>
      </c>
      <c r="M1909" s="24">
        <v>44679</v>
      </c>
      <c r="N1909" s="339" t="s">
        <v>486</v>
      </c>
      <c r="O1909" s="334">
        <v>204177</v>
      </c>
      <c r="P1909" s="25" t="s">
        <v>353</v>
      </c>
      <c r="Q1909" s="127" t="s">
        <v>133</v>
      </c>
      <c r="R1909" s="232" t="s">
        <v>7363</v>
      </c>
      <c r="S1909" s="89">
        <v>44617</v>
      </c>
      <c r="T1909" s="36" t="s">
        <v>19</v>
      </c>
      <c r="U1909" s="125"/>
      <c r="V1909" s="147" t="s">
        <v>7390</v>
      </c>
      <c r="W1909" s="88">
        <v>44673</v>
      </c>
      <c r="X1909" s="88"/>
      <c r="Y1909" s="130" t="s">
        <v>20</v>
      </c>
      <c r="Z1909" s="133" t="s">
        <v>72</v>
      </c>
      <c r="AA1909" s="133"/>
      <c r="AB1909" s="241">
        <v>168</v>
      </c>
      <c r="AC1909" s="134">
        <v>775</v>
      </c>
      <c r="AD1909" s="134"/>
      <c r="AE1909" s="403">
        <f t="shared" si="134"/>
        <v>130200</v>
      </c>
      <c r="AF1909" s="132">
        <v>6</v>
      </c>
      <c r="AG1909" s="130" t="s">
        <v>33</v>
      </c>
      <c r="AH1909" s="130"/>
      <c r="AI1909" s="130" t="s">
        <v>71</v>
      </c>
      <c r="AJ1909" s="295">
        <v>1</v>
      </c>
      <c r="AK1909" s="130" t="s">
        <v>7365</v>
      </c>
      <c r="AL1909" s="135" t="s">
        <v>7160</v>
      </c>
      <c r="AM1909" s="324"/>
      <c r="AN1909" s="296">
        <f t="shared" si="138"/>
        <v>0</v>
      </c>
      <c r="AO1909" s="26">
        <f>AQ1909-2</f>
        <v>44676</v>
      </c>
      <c r="AP1909" s="26">
        <f t="shared" si="140"/>
        <v>44678</v>
      </c>
      <c r="AQ1909" s="26">
        <v>44678</v>
      </c>
      <c r="AR1909" s="24">
        <f>AQ1909</f>
        <v>44678</v>
      </c>
      <c r="AS1909" s="24">
        <v>44678</v>
      </c>
      <c r="AT1909" s="24">
        <v>44678</v>
      </c>
      <c r="AU1909" s="418">
        <f t="shared" si="135"/>
        <v>4</v>
      </c>
      <c r="AV1909" s="418">
        <f t="shared" si="136"/>
        <v>2022</v>
      </c>
      <c r="AW1909" s="24"/>
      <c r="AX1909" s="135" t="s">
        <v>7368</v>
      </c>
      <c r="AY1909" s="135" t="s">
        <v>7367</v>
      </c>
      <c r="AZ1909" s="24" t="s">
        <v>62</v>
      </c>
      <c r="BA1909" s="206" t="s">
        <v>7130</v>
      </c>
      <c r="BB1909" s="24" t="s">
        <v>7367</v>
      </c>
      <c r="BC1909" s="24" t="s">
        <v>1622</v>
      </c>
      <c r="BD1909" s="24"/>
      <c r="BE1909" s="24" t="s">
        <v>6003</v>
      </c>
      <c r="BF1909" s="24" t="s">
        <v>6003</v>
      </c>
      <c r="BG1909" s="135" t="s">
        <v>1622</v>
      </c>
      <c r="BH1909" s="215"/>
      <c r="BI1909" s="317" t="s">
        <v>3</v>
      </c>
      <c r="BJ1909" s="317"/>
      <c r="BK1909" s="24"/>
      <c r="BL1909" s="24"/>
      <c r="BM1909" s="24"/>
      <c r="BN1909" s="24"/>
      <c r="BO1909" s="136"/>
      <c r="BP1909" s="136"/>
      <c r="BQ1909" s="41" t="s">
        <v>7391</v>
      </c>
      <c r="BR1909" s="24">
        <v>44677</v>
      </c>
      <c r="BS1909" s="41" t="s">
        <v>26</v>
      </c>
      <c r="BT1909" s="41" t="s">
        <v>11</v>
      </c>
      <c r="BU1909" s="41"/>
      <c r="BV1909" s="132" t="s">
        <v>6087</v>
      </c>
      <c r="BW1909" s="132"/>
      <c r="BX1909" s="132"/>
      <c r="BY1909" s="132"/>
      <c r="BZ1909" s="132"/>
      <c r="CA1909" s="132"/>
      <c r="CB1909" s="132"/>
      <c r="CC1909" s="375" t="s">
        <v>7392</v>
      </c>
      <c r="CG1909" s="24" t="s">
        <v>7367</v>
      </c>
      <c r="CH1909" s="24"/>
      <c r="CI1909" s="24"/>
      <c r="CJ1909" s="24"/>
    </row>
    <row r="1910" spans="1:88" ht="15" customHeight="1">
      <c r="A1910" s="18">
        <v>2022</v>
      </c>
      <c r="B1910" s="18" t="str">
        <f>+INDEX(BDD!F:F,MATCH(P1910,BDD!D:D,0))&amp;"-"&amp;INDEX(BDD!E:E,MATCH(P1910,BDD!D:D,0))</f>
        <v>G-S</v>
      </c>
      <c r="C1910" s="360" t="s">
        <v>484</v>
      </c>
      <c r="D1910" s="150" t="s">
        <v>20</v>
      </c>
      <c r="E1910" s="132" t="s">
        <v>1622</v>
      </c>
      <c r="F1910" s="136"/>
      <c r="G1910" s="346">
        <v>8000001864</v>
      </c>
      <c r="H1910" s="18" t="s">
        <v>7393</v>
      </c>
      <c r="I1910" s="331"/>
      <c r="J1910" s="346">
        <v>8000001864</v>
      </c>
      <c r="K1910" s="24"/>
      <c r="L1910" s="24"/>
      <c r="M1910" s="24"/>
      <c r="N1910" s="340"/>
      <c r="O1910" s="334"/>
      <c r="P1910" s="25" t="s">
        <v>104</v>
      </c>
      <c r="Q1910" s="127" t="s">
        <v>285</v>
      </c>
      <c r="R1910" s="232"/>
      <c r="S1910" s="89"/>
      <c r="T1910" s="36"/>
      <c r="U1910" s="125"/>
      <c r="V1910" s="147"/>
      <c r="W1910" s="129"/>
      <c r="X1910" s="88"/>
      <c r="Y1910" s="130"/>
      <c r="Z1910" s="133"/>
      <c r="AA1910" s="133"/>
      <c r="AB1910" s="241"/>
      <c r="AC1910" s="134"/>
      <c r="AD1910" s="134"/>
      <c r="AE1910" s="403">
        <f t="shared" si="134"/>
        <v>0</v>
      </c>
      <c r="AF1910" s="132"/>
      <c r="AG1910" s="130"/>
      <c r="AH1910" s="130"/>
      <c r="AI1910" s="130"/>
      <c r="AJ1910" s="130"/>
      <c r="AK1910" s="130"/>
      <c r="AL1910" s="135"/>
      <c r="AM1910" s="322"/>
      <c r="AN1910" s="296"/>
      <c r="AO1910" s="26"/>
      <c r="AP1910" s="26"/>
      <c r="AQ1910" s="26"/>
      <c r="AR1910" s="24"/>
      <c r="AS1910" s="24"/>
      <c r="AT1910" s="24"/>
      <c r="AU1910" s="418">
        <f t="shared" si="135"/>
        <v>1</v>
      </c>
      <c r="AV1910" s="418">
        <f t="shared" si="136"/>
        <v>1900</v>
      </c>
      <c r="AW1910" s="24"/>
      <c r="AX1910" s="135"/>
      <c r="AY1910" s="135"/>
      <c r="AZ1910" s="24"/>
      <c r="BA1910" s="206"/>
      <c r="BB1910" s="136"/>
      <c r="BC1910" s="292"/>
      <c r="BD1910" s="24"/>
      <c r="BE1910" s="292"/>
      <c r="BF1910" s="292"/>
      <c r="BG1910" s="135"/>
      <c r="BH1910" s="215"/>
      <c r="BI1910" s="317"/>
      <c r="BJ1910" s="314"/>
      <c r="BK1910" s="24"/>
      <c r="BL1910" s="24"/>
      <c r="BM1910" s="24"/>
      <c r="BN1910" s="24"/>
      <c r="BO1910" s="136"/>
      <c r="BP1910" s="136"/>
      <c r="BQ1910" s="41"/>
      <c r="BR1910" s="24"/>
      <c r="BS1910" s="41"/>
      <c r="BT1910" s="41"/>
      <c r="BU1910" s="41"/>
      <c r="BV1910" s="132"/>
      <c r="BW1910" s="132"/>
      <c r="BX1910" s="132"/>
      <c r="BY1910" s="132"/>
      <c r="BZ1910" s="132"/>
      <c r="CA1910" s="132"/>
      <c r="CB1910" s="132"/>
      <c r="CC1910" s="375"/>
      <c r="CG1910" s="136"/>
      <c r="CH1910" s="136"/>
      <c r="CI1910" s="24"/>
      <c r="CJ1910" s="24"/>
    </row>
    <row r="1911" spans="1:88" ht="15" customHeight="1">
      <c r="A1911" s="18">
        <v>2022</v>
      </c>
      <c r="B1911" s="18" t="str">
        <f>+INDEX(BDD!F:F,MATCH(P1911,BDD!D:D,0))&amp;"-"&amp;INDEX(BDD!E:E,MATCH(P1911,BDD!D:D,0))</f>
        <v>E-S</v>
      </c>
      <c r="C1911" s="125" t="s">
        <v>484</v>
      </c>
      <c r="D1911" s="150" t="s">
        <v>77</v>
      </c>
      <c r="E1911" s="132" t="s">
        <v>7904</v>
      </c>
      <c r="F1911" s="24"/>
      <c r="G1911" s="346">
        <v>8000001991</v>
      </c>
      <c r="H1911" s="404" t="s">
        <v>7394</v>
      </c>
      <c r="I1911" s="329" t="s">
        <v>7395</v>
      </c>
      <c r="J1911" s="346">
        <v>8000001991</v>
      </c>
      <c r="K1911" s="24">
        <v>44690</v>
      </c>
      <c r="L1911" s="24">
        <v>44690</v>
      </c>
      <c r="M1911" s="24">
        <v>44690</v>
      </c>
      <c r="N1911" s="340" t="s">
        <v>486</v>
      </c>
      <c r="O1911" s="334">
        <v>203620</v>
      </c>
      <c r="P1911" s="25" t="s">
        <v>348</v>
      </c>
      <c r="Q1911" s="127" t="s">
        <v>297</v>
      </c>
      <c r="R1911" s="232" t="s">
        <v>7396</v>
      </c>
      <c r="S1911" s="89">
        <v>44624</v>
      </c>
      <c r="T1911" s="36">
        <v>90</v>
      </c>
      <c r="U1911" s="125" t="s">
        <v>118</v>
      </c>
      <c r="V1911" s="147" t="s">
        <v>7397</v>
      </c>
      <c r="W1911" s="88">
        <v>44661</v>
      </c>
      <c r="X1911" s="88">
        <v>44751</v>
      </c>
      <c r="Y1911" s="130" t="s">
        <v>3</v>
      </c>
      <c r="Z1911" s="133" t="s">
        <v>72</v>
      </c>
      <c r="AA1911" s="133"/>
      <c r="AB1911" s="241">
        <v>24.65</v>
      </c>
      <c r="AC1911" s="134">
        <v>1547</v>
      </c>
      <c r="AD1911" s="134"/>
      <c r="AE1911" s="403">
        <f t="shared" si="134"/>
        <v>38133.549999999996</v>
      </c>
      <c r="AF1911" s="132">
        <v>1</v>
      </c>
      <c r="AG1911" s="130" t="s">
        <v>5</v>
      </c>
      <c r="AH1911" s="130" t="s">
        <v>7398</v>
      </c>
      <c r="AI1911" s="130" t="s">
        <v>106</v>
      </c>
      <c r="AJ1911" s="130" t="s">
        <v>944</v>
      </c>
      <c r="AK1911" s="130" t="s">
        <v>5634</v>
      </c>
      <c r="AL1911" s="135" t="s">
        <v>7399</v>
      </c>
      <c r="AM1911" s="322"/>
      <c r="AN1911" s="296">
        <v>44660</v>
      </c>
      <c r="AO1911" s="296">
        <v>44660</v>
      </c>
      <c r="AP1911" s="26">
        <v>44693</v>
      </c>
      <c r="AQ1911" s="26">
        <v>44686</v>
      </c>
      <c r="AR1911" s="24">
        <f>AQ1911+4</f>
        <v>44690</v>
      </c>
      <c r="AS1911" s="24"/>
      <c r="AT1911" s="24">
        <v>44688</v>
      </c>
      <c r="AU1911" s="418">
        <f t="shared" si="135"/>
        <v>5</v>
      </c>
      <c r="AV1911" s="418">
        <f t="shared" si="136"/>
        <v>2022</v>
      </c>
      <c r="AW1911" s="24"/>
      <c r="AX1911" s="135" t="s">
        <v>7402</v>
      </c>
      <c r="AY1911" s="135" t="s">
        <v>7401</v>
      </c>
      <c r="AZ1911" s="24" t="s">
        <v>37</v>
      </c>
      <c r="BA1911" s="24" t="s">
        <v>6329</v>
      </c>
      <c r="BB1911" s="24" t="s">
        <v>3291</v>
      </c>
      <c r="BC1911" s="128" t="s">
        <v>7400</v>
      </c>
      <c r="BD1911" s="24">
        <v>44661</v>
      </c>
      <c r="BE1911" s="24" t="s">
        <v>7403</v>
      </c>
      <c r="BF1911" s="24" t="s">
        <v>7403</v>
      </c>
      <c r="BG1911" s="135" t="s">
        <v>14</v>
      </c>
      <c r="BH1911" s="135" t="s">
        <v>5367</v>
      </c>
      <c r="BI1911" s="317" t="s">
        <v>3</v>
      </c>
      <c r="BJ1911" s="314" t="s">
        <v>148</v>
      </c>
      <c r="BK1911" s="24"/>
      <c r="BL1911" s="24"/>
      <c r="BM1911" s="24"/>
      <c r="BN1911" s="24"/>
      <c r="BO1911" s="24">
        <f>AQ1911+5</f>
        <v>44691</v>
      </c>
      <c r="BP1911" s="24"/>
      <c r="BQ1911" s="41" t="s">
        <v>7404</v>
      </c>
      <c r="BR1911" s="24">
        <v>44683</v>
      </c>
      <c r="BS1911" s="41" t="s">
        <v>38</v>
      </c>
      <c r="BT1911" s="41" t="s">
        <v>11</v>
      </c>
      <c r="BU1911" s="41"/>
      <c r="BV1911" s="132" t="e">
        <f>IF(#REF!="COMPLETO","OK","PENDIENTE")</f>
        <v>#REF!</v>
      </c>
      <c r="BW1911" s="132"/>
      <c r="BX1911" s="132"/>
      <c r="BY1911" s="132"/>
      <c r="BZ1911" s="132"/>
      <c r="CA1911" s="132"/>
      <c r="CB1911" s="132"/>
      <c r="CC1911" s="375" t="s">
        <v>7896</v>
      </c>
      <c r="CG1911" s="24" t="s">
        <v>105</v>
      </c>
      <c r="CH1911" s="24"/>
      <c r="CI1911" s="24"/>
      <c r="CJ1911" s="24"/>
    </row>
    <row r="1912" spans="1:88" ht="15" customHeight="1">
      <c r="A1912" s="18">
        <v>2022</v>
      </c>
      <c r="B1912" s="18" t="str">
        <f>+INDEX(BDD!F:F,MATCH(P1912,BDD!D:D,0))&amp;"-"&amp;INDEX(BDD!E:E,MATCH(P1912,BDD!D:D,0))</f>
        <v>G-S</v>
      </c>
      <c r="C1912" s="360" t="s">
        <v>484</v>
      </c>
      <c r="D1912" s="150" t="s">
        <v>77</v>
      </c>
      <c r="E1912" s="132"/>
      <c r="F1912" s="132"/>
      <c r="G1912" s="346">
        <v>8000001868</v>
      </c>
      <c r="H1912" s="18" t="s">
        <v>7405</v>
      </c>
      <c r="I1912" s="331" t="s">
        <v>7406</v>
      </c>
      <c r="J1912" s="346">
        <v>8000001868</v>
      </c>
      <c r="K1912" s="24"/>
      <c r="L1912" s="24">
        <v>44670</v>
      </c>
      <c r="M1912" s="24">
        <v>44670</v>
      </c>
      <c r="N1912" s="340" t="s">
        <v>486</v>
      </c>
      <c r="O1912" s="334">
        <v>207485</v>
      </c>
      <c r="P1912" s="25" t="s">
        <v>353</v>
      </c>
      <c r="Q1912" s="127" t="s">
        <v>237</v>
      </c>
      <c r="R1912" s="232" t="s">
        <v>7407</v>
      </c>
      <c r="S1912" s="89">
        <v>44629</v>
      </c>
      <c r="T1912" s="36" t="s">
        <v>19</v>
      </c>
      <c r="U1912" s="125"/>
      <c r="V1912" s="147" t="s">
        <v>7408</v>
      </c>
      <c r="W1912" s="129">
        <v>44629</v>
      </c>
      <c r="X1912" s="88"/>
      <c r="Y1912" s="130" t="s">
        <v>20</v>
      </c>
      <c r="Z1912" s="133" t="s">
        <v>60</v>
      </c>
      <c r="AA1912" s="133"/>
      <c r="AB1912" s="241">
        <v>3000</v>
      </c>
      <c r="AC1912" s="134">
        <v>1070</v>
      </c>
      <c r="AD1912" s="134">
        <v>255</v>
      </c>
      <c r="AE1912" s="403">
        <f t="shared" si="134"/>
        <v>3210000</v>
      </c>
      <c r="AF1912" s="132"/>
      <c r="AG1912" s="130" t="s">
        <v>46</v>
      </c>
      <c r="AH1912" s="130"/>
      <c r="AI1912" s="130" t="s">
        <v>100</v>
      </c>
      <c r="AJ1912" s="130" t="s">
        <v>944</v>
      </c>
      <c r="AK1912" s="130" t="s">
        <v>944</v>
      </c>
      <c r="AL1912" s="135" t="s">
        <v>7160</v>
      </c>
      <c r="AM1912" s="322"/>
      <c r="AN1912" s="296">
        <v>44651</v>
      </c>
      <c r="AO1912" s="26">
        <v>44629</v>
      </c>
      <c r="AP1912" s="296">
        <f t="shared" si="140"/>
        <v>44668</v>
      </c>
      <c r="AQ1912" s="296">
        <v>44668</v>
      </c>
      <c r="AR1912" s="24">
        <f>AQ1912+2</f>
        <v>44670</v>
      </c>
      <c r="AS1912" s="24"/>
      <c r="AT1912" s="24">
        <v>44670</v>
      </c>
      <c r="AU1912" s="418">
        <f t="shared" si="135"/>
        <v>4</v>
      </c>
      <c r="AV1912" s="418">
        <f t="shared" si="136"/>
        <v>2022</v>
      </c>
      <c r="AW1912" s="24"/>
      <c r="AX1912" s="135" t="s">
        <v>7411</v>
      </c>
      <c r="AY1912" s="135" t="s">
        <v>7410</v>
      </c>
      <c r="AZ1912" s="24" t="s">
        <v>9</v>
      </c>
      <c r="BA1912" s="24" t="s">
        <v>7130</v>
      </c>
      <c r="BB1912" s="24" t="s">
        <v>3264</v>
      </c>
      <c r="BC1912" s="128" t="s">
        <v>7409</v>
      </c>
      <c r="BD1912" s="24">
        <v>44629</v>
      </c>
      <c r="BE1912" s="24" t="s">
        <v>7412</v>
      </c>
      <c r="BF1912" s="24" t="s">
        <v>7412</v>
      </c>
      <c r="BG1912" s="135" t="s">
        <v>52</v>
      </c>
      <c r="BH1912" s="215" t="s">
        <v>7413</v>
      </c>
      <c r="BI1912" s="317" t="s">
        <v>3</v>
      </c>
      <c r="BJ1912" s="314" t="s">
        <v>143</v>
      </c>
      <c r="BK1912" s="89"/>
      <c r="BL1912" s="89"/>
      <c r="BM1912" s="89"/>
      <c r="BN1912" s="89"/>
      <c r="BO1912" s="136"/>
      <c r="BP1912" s="136"/>
      <c r="BQ1912" s="41" t="s">
        <v>7414</v>
      </c>
      <c r="BR1912" s="24">
        <v>44662</v>
      </c>
      <c r="BS1912" s="41" t="s">
        <v>38</v>
      </c>
      <c r="BT1912" s="41" t="s">
        <v>11</v>
      </c>
      <c r="BU1912" s="41"/>
      <c r="BV1912" s="132" t="s">
        <v>6087</v>
      </c>
      <c r="BW1912" s="132"/>
      <c r="BX1912" s="132"/>
      <c r="BY1912" s="132"/>
      <c r="BZ1912" s="132"/>
      <c r="CA1912" s="132"/>
      <c r="CB1912" s="132"/>
      <c r="CC1912" s="377" t="s">
        <v>7415</v>
      </c>
      <c r="CG1912" s="132" t="s">
        <v>105</v>
      </c>
      <c r="CH1912" s="132"/>
      <c r="CI1912" s="24"/>
      <c r="CJ1912" s="24"/>
    </row>
    <row r="1913" spans="1:88" ht="15" customHeight="1">
      <c r="A1913" s="18">
        <v>2022</v>
      </c>
      <c r="B1913" s="18" t="str">
        <f>+INDEX(BDD!F:F,MATCH(P1913,BDD!D:D,0))&amp;"-"&amp;INDEX(BDD!E:E,MATCH(P1913,BDD!D:D,0))</f>
        <v>S-P</v>
      </c>
      <c r="C1913" s="360" t="s">
        <v>5398</v>
      </c>
      <c r="D1913" s="150" t="s">
        <v>18</v>
      </c>
      <c r="E1913" s="132" t="s">
        <v>51</v>
      </c>
      <c r="F1913" s="136"/>
      <c r="G1913" s="346">
        <v>8000001869</v>
      </c>
      <c r="H1913" s="18" t="s">
        <v>7416</v>
      </c>
      <c r="I1913" s="331" t="s">
        <v>7417</v>
      </c>
      <c r="J1913" s="346">
        <v>8000001869</v>
      </c>
      <c r="K1913" s="24">
        <v>44634</v>
      </c>
      <c r="L1913" s="24"/>
      <c r="M1913" s="24"/>
      <c r="N1913" s="340" t="s">
        <v>3</v>
      </c>
      <c r="O1913" s="334">
        <v>207499</v>
      </c>
      <c r="P1913" s="25" t="s">
        <v>343</v>
      </c>
      <c r="Q1913" s="127" t="s">
        <v>297</v>
      </c>
      <c r="R1913" s="232" t="s">
        <v>7418</v>
      </c>
      <c r="S1913" s="296">
        <v>44635</v>
      </c>
      <c r="T1913" s="36">
        <v>90</v>
      </c>
      <c r="U1913" s="125" t="s">
        <v>118</v>
      </c>
      <c r="V1913" s="147" t="s">
        <v>7917</v>
      </c>
      <c r="W1913" s="88">
        <v>44676</v>
      </c>
      <c r="X1913" s="88">
        <v>44766</v>
      </c>
      <c r="Y1913" s="130" t="s">
        <v>3</v>
      </c>
      <c r="Z1913" s="133" t="s">
        <v>60</v>
      </c>
      <c r="AA1913" s="133" t="s">
        <v>6619</v>
      </c>
      <c r="AB1913" s="241">
        <v>430</v>
      </c>
      <c r="AC1913" s="134">
        <v>867</v>
      </c>
      <c r="AD1913" s="134"/>
      <c r="AE1913" s="403">
        <f t="shared" si="134"/>
        <v>372810</v>
      </c>
      <c r="AF1913" s="132" t="s">
        <v>1622</v>
      </c>
      <c r="AG1913" s="130" t="s">
        <v>58</v>
      </c>
      <c r="AH1913" s="130" t="s">
        <v>944</v>
      </c>
      <c r="AI1913" s="130" t="s">
        <v>34</v>
      </c>
      <c r="AJ1913" s="274">
        <v>1</v>
      </c>
      <c r="AK1913" s="130" t="s">
        <v>5400</v>
      </c>
      <c r="AL1913" s="135" t="s">
        <v>7419</v>
      </c>
      <c r="AM1913" s="322">
        <v>2022</v>
      </c>
      <c r="AN1913" s="359">
        <v>44681</v>
      </c>
      <c r="AO1913" s="385">
        <v>44681</v>
      </c>
      <c r="AP1913" s="296">
        <f>AQ1913</f>
        <v>44761</v>
      </c>
      <c r="AQ1913" s="385">
        <v>44761</v>
      </c>
      <c r="AR1913" s="24">
        <f>AQ1913+10</f>
        <v>44771</v>
      </c>
      <c r="AS1913" s="41"/>
      <c r="AT1913" s="24">
        <v>44743</v>
      </c>
      <c r="AU1913" s="418">
        <f t="shared" si="135"/>
        <v>7</v>
      </c>
      <c r="AV1913" s="418">
        <f t="shared" si="136"/>
        <v>2022</v>
      </c>
      <c r="AW1913" s="24" t="s">
        <v>7875</v>
      </c>
      <c r="AX1913" s="135" t="s">
        <v>5402</v>
      </c>
      <c r="AY1913" s="135" t="s">
        <v>6800</v>
      </c>
      <c r="AZ1913" s="24" t="s">
        <v>37</v>
      </c>
      <c r="BA1913" s="24"/>
      <c r="BB1913" s="24" t="s">
        <v>3291</v>
      </c>
      <c r="BC1913" s="128" t="s">
        <v>7420</v>
      </c>
      <c r="BD1913" s="24">
        <v>44676</v>
      </c>
      <c r="BE1913" s="24" t="s">
        <v>7421</v>
      </c>
      <c r="BF1913" s="24" t="s">
        <v>7421</v>
      </c>
      <c r="BG1913" s="135" t="s">
        <v>52</v>
      </c>
      <c r="BH1913" s="215"/>
      <c r="BI1913" s="317" t="s">
        <v>3</v>
      </c>
      <c r="BJ1913" s="314" t="s">
        <v>143</v>
      </c>
      <c r="BK1913" s="24"/>
      <c r="BL1913" s="24"/>
      <c r="BM1913" s="24"/>
      <c r="BN1913" s="24"/>
      <c r="BO1913" s="136"/>
      <c r="BP1913" s="136"/>
      <c r="BQ1913" s="136"/>
      <c r="BR1913" s="24"/>
      <c r="BS1913" s="136"/>
      <c r="BT1913" s="136"/>
      <c r="BU1913" s="136"/>
      <c r="BV1913" s="132" t="e">
        <f>IF(#REF!="COMPLETO","OK","PENDIENTE")</f>
        <v>#REF!</v>
      </c>
      <c r="BW1913" s="132" t="s">
        <v>1622</v>
      </c>
      <c r="BX1913" s="132" t="s">
        <v>1622</v>
      </c>
      <c r="BY1913" s="132" t="s">
        <v>1622</v>
      </c>
      <c r="BZ1913" s="132" t="s">
        <v>1622</v>
      </c>
      <c r="CA1913" s="132" t="s">
        <v>1622</v>
      </c>
      <c r="CB1913" s="132" t="s">
        <v>1622</v>
      </c>
      <c r="CC1913" s="375" t="s">
        <v>7953</v>
      </c>
      <c r="CG1913" s="136"/>
      <c r="CH1913" s="136"/>
      <c r="CI1913" s="24"/>
      <c r="CJ1913" s="24"/>
    </row>
    <row r="1914" spans="1:88" ht="15" customHeight="1">
      <c r="A1914" s="18">
        <v>2022</v>
      </c>
      <c r="B1914" s="18" t="str">
        <f>+INDEX(BDD!F:F,MATCH(P1914,BDD!D:D,0))&amp;"-"&amp;INDEX(BDD!E:E,MATCH(P1914,BDD!D:D,0))</f>
        <v>S-S</v>
      </c>
      <c r="C1914" s="360" t="s">
        <v>5398</v>
      </c>
      <c r="D1914" s="150" t="s">
        <v>18</v>
      </c>
      <c r="E1914" s="132" t="s">
        <v>51</v>
      </c>
      <c r="F1914" s="136"/>
      <c r="G1914" s="346">
        <v>8000001870</v>
      </c>
      <c r="H1914" s="18" t="s">
        <v>7422</v>
      </c>
      <c r="I1914" s="331" t="s">
        <v>7423</v>
      </c>
      <c r="J1914" s="346">
        <v>8000001870</v>
      </c>
      <c r="K1914" s="24">
        <v>44634</v>
      </c>
      <c r="L1914" s="24"/>
      <c r="M1914" s="24"/>
      <c r="N1914" s="340" t="s">
        <v>3</v>
      </c>
      <c r="O1914" s="334">
        <v>209677</v>
      </c>
      <c r="P1914" s="25" t="s">
        <v>352</v>
      </c>
      <c r="Q1914" s="127" t="s">
        <v>297</v>
      </c>
      <c r="R1914" s="232" t="s">
        <v>7424</v>
      </c>
      <c r="S1914" s="89">
        <v>44635</v>
      </c>
      <c r="T1914" s="36">
        <v>90</v>
      </c>
      <c r="U1914" s="125" t="s">
        <v>118</v>
      </c>
      <c r="V1914" s="147"/>
      <c r="W1914" s="129"/>
      <c r="X1914" s="88"/>
      <c r="Y1914" s="130" t="s">
        <v>3</v>
      </c>
      <c r="Z1914" s="133" t="s">
        <v>60</v>
      </c>
      <c r="AA1914" s="133" t="s">
        <v>6619</v>
      </c>
      <c r="AB1914" s="241">
        <v>135</v>
      </c>
      <c r="AC1914" s="134">
        <v>1424</v>
      </c>
      <c r="AD1914" s="134"/>
      <c r="AE1914" s="403">
        <f t="shared" si="134"/>
        <v>192240</v>
      </c>
      <c r="AF1914" s="132" t="s">
        <v>1622</v>
      </c>
      <c r="AG1914" s="130" t="s">
        <v>58</v>
      </c>
      <c r="AH1914" s="130" t="s">
        <v>944</v>
      </c>
      <c r="AI1914" s="130" t="s">
        <v>34</v>
      </c>
      <c r="AJ1914" s="297">
        <v>1.125</v>
      </c>
      <c r="AK1914" s="130" t="s">
        <v>5400</v>
      </c>
      <c r="AL1914" s="135" t="s">
        <v>7419</v>
      </c>
      <c r="AM1914" s="322">
        <v>2022</v>
      </c>
      <c r="AN1914" s="359">
        <v>44701</v>
      </c>
      <c r="AO1914" s="385">
        <v>44700</v>
      </c>
      <c r="AP1914" s="296">
        <f>AN1914+41</f>
        <v>44742</v>
      </c>
      <c r="AQ1914" s="385">
        <f>AO1914+48</f>
        <v>44748</v>
      </c>
      <c r="AR1914" s="24">
        <f>AQ1914+10</f>
        <v>44758</v>
      </c>
      <c r="AS1914" s="41"/>
      <c r="AT1914" s="24">
        <v>44751</v>
      </c>
      <c r="AU1914" s="418">
        <f t="shared" si="135"/>
        <v>7</v>
      </c>
      <c r="AV1914" s="418">
        <f t="shared" si="136"/>
        <v>2022</v>
      </c>
      <c r="AW1914" s="24" t="s">
        <v>7875</v>
      </c>
      <c r="AX1914" s="135" t="s">
        <v>5402</v>
      </c>
      <c r="AY1914" s="135" t="s">
        <v>6800</v>
      </c>
      <c r="AZ1914" s="24" t="s">
        <v>37</v>
      </c>
      <c r="BA1914" s="24"/>
      <c r="BB1914" s="24" t="s">
        <v>3291</v>
      </c>
      <c r="BC1914" s="128" t="s">
        <v>8067</v>
      </c>
      <c r="BD1914" s="24">
        <v>44699</v>
      </c>
      <c r="BE1914" s="24" t="s">
        <v>7425</v>
      </c>
      <c r="BF1914" s="24" t="s">
        <v>7425</v>
      </c>
      <c r="BG1914" s="135" t="s">
        <v>52</v>
      </c>
      <c r="BH1914" s="215"/>
      <c r="BI1914" s="317" t="s">
        <v>3</v>
      </c>
      <c r="BJ1914" s="314"/>
      <c r="BK1914" s="24"/>
      <c r="BL1914" s="24"/>
      <c r="BM1914" s="24"/>
      <c r="BN1914" s="24"/>
      <c r="BO1914" s="136"/>
      <c r="BP1914" s="136"/>
      <c r="BQ1914" s="136"/>
      <c r="BR1914" s="24"/>
      <c r="BS1914" s="136"/>
      <c r="BT1914" s="136"/>
      <c r="BU1914" s="136"/>
      <c r="BV1914" s="132" t="e">
        <f>IF(#REF!="COMPLETO","OK","PENDIENTE")</f>
        <v>#REF!</v>
      </c>
      <c r="BW1914" s="132" t="s">
        <v>1622</v>
      </c>
      <c r="BX1914" s="132" t="s">
        <v>1622</v>
      </c>
      <c r="BY1914" s="132" t="s">
        <v>1622</v>
      </c>
      <c r="BZ1914" s="132" t="s">
        <v>1622</v>
      </c>
      <c r="CA1914" s="132" t="s">
        <v>1622</v>
      </c>
      <c r="CB1914" s="132" t="s">
        <v>1622</v>
      </c>
      <c r="CC1914" s="375"/>
      <c r="CD1914" s="67" t="s">
        <v>7426</v>
      </c>
      <c r="CE1914" s="67"/>
      <c r="CG1914" s="136"/>
      <c r="CH1914" s="136"/>
      <c r="CI1914" s="24"/>
      <c r="CJ1914" s="24"/>
    </row>
    <row r="1915" spans="1:88" ht="15" customHeight="1">
      <c r="A1915" s="18">
        <v>2022</v>
      </c>
      <c r="B1915" s="18" t="str">
        <f>+INDEX(BDD!F:F,MATCH(P1915,BDD!D:D,0))&amp;"-"&amp;INDEX(BDD!E:E,MATCH(P1915,BDD!D:D,0))</f>
        <v>G-S</v>
      </c>
      <c r="C1915" s="360" t="s">
        <v>5398</v>
      </c>
      <c r="D1915" s="150" t="s">
        <v>18</v>
      </c>
      <c r="E1915" s="132" t="s">
        <v>51</v>
      </c>
      <c r="F1915" s="136"/>
      <c r="G1915" s="346">
        <v>8000001871</v>
      </c>
      <c r="H1915" s="18" t="s">
        <v>7427</v>
      </c>
      <c r="I1915" s="331" t="s">
        <v>7428</v>
      </c>
      <c r="J1915" s="346">
        <v>8000001871</v>
      </c>
      <c r="K1915" s="24">
        <v>44634</v>
      </c>
      <c r="L1915" s="24"/>
      <c r="M1915" s="24"/>
      <c r="N1915" s="340" t="s">
        <v>3</v>
      </c>
      <c r="O1915" s="334">
        <v>209852</v>
      </c>
      <c r="P1915" s="25" t="s">
        <v>337</v>
      </c>
      <c r="Q1915" s="127" t="s">
        <v>297</v>
      </c>
      <c r="R1915" s="232" t="s">
        <v>7429</v>
      </c>
      <c r="S1915" s="89">
        <v>44635</v>
      </c>
      <c r="T1915" s="36">
        <v>90</v>
      </c>
      <c r="U1915" s="125" t="s">
        <v>118</v>
      </c>
      <c r="V1915" s="147" t="s">
        <v>8105</v>
      </c>
      <c r="W1915" s="88">
        <v>44698</v>
      </c>
      <c r="X1915" s="88">
        <f>W1915+90</f>
        <v>44788</v>
      </c>
      <c r="Y1915" s="130" t="s">
        <v>3</v>
      </c>
      <c r="Z1915" s="133" t="s">
        <v>60</v>
      </c>
      <c r="AA1915" s="133" t="s">
        <v>6619</v>
      </c>
      <c r="AB1915" s="241">
        <v>480</v>
      </c>
      <c r="AC1915" s="134">
        <v>315</v>
      </c>
      <c r="AD1915" s="275">
        <v>130.208</v>
      </c>
      <c r="AE1915" s="403">
        <f t="shared" si="134"/>
        <v>151200</v>
      </c>
      <c r="AF1915" s="132" t="s">
        <v>1622</v>
      </c>
      <c r="AG1915" s="130" t="s">
        <v>58</v>
      </c>
      <c r="AH1915" s="130" t="s">
        <v>944</v>
      </c>
      <c r="AI1915" s="130" t="s">
        <v>47</v>
      </c>
      <c r="AJ1915" s="274">
        <v>1.25</v>
      </c>
      <c r="AK1915" s="130" t="s">
        <v>7090</v>
      </c>
      <c r="AL1915" s="135" t="s">
        <v>7430</v>
      </c>
      <c r="AM1915" s="322">
        <v>2022</v>
      </c>
      <c r="AN1915" s="359">
        <v>44690</v>
      </c>
      <c r="AO1915" s="385">
        <v>44698</v>
      </c>
      <c r="AP1915" s="296">
        <f>AN1915+41</f>
        <v>44731</v>
      </c>
      <c r="AQ1915" s="26">
        <f>AO1915+46</f>
        <v>44744</v>
      </c>
      <c r="AR1915" s="24">
        <f>AQ1915+10</f>
        <v>44754</v>
      </c>
      <c r="AS1915" s="41"/>
      <c r="AT1915" s="24">
        <v>44748</v>
      </c>
      <c r="AU1915" s="418">
        <f t="shared" si="135"/>
        <v>7</v>
      </c>
      <c r="AV1915" s="418">
        <f t="shared" si="136"/>
        <v>2022</v>
      </c>
      <c r="AW1915" s="24" t="s">
        <v>7875</v>
      </c>
      <c r="AX1915" s="135" t="s">
        <v>5402</v>
      </c>
      <c r="AY1915" s="135" t="s">
        <v>5635</v>
      </c>
      <c r="AZ1915" s="24" t="s">
        <v>37</v>
      </c>
      <c r="BA1915" s="24"/>
      <c r="BB1915" s="24" t="s">
        <v>3291</v>
      </c>
      <c r="BC1915" s="128" t="s">
        <v>7988</v>
      </c>
      <c r="BD1915" s="24">
        <v>44698</v>
      </c>
      <c r="BE1915" s="24" t="s">
        <v>7873</v>
      </c>
      <c r="BF1915" s="24" t="s">
        <v>7873</v>
      </c>
      <c r="BG1915" s="135" t="s">
        <v>52</v>
      </c>
      <c r="BH1915" s="215"/>
      <c r="BI1915" s="317" t="s">
        <v>3</v>
      </c>
      <c r="BJ1915" s="314" t="s">
        <v>143</v>
      </c>
      <c r="BK1915" s="24"/>
      <c r="BL1915" s="24"/>
      <c r="BM1915" s="24"/>
      <c r="BN1915" s="24"/>
      <c r="BO1915" s="136"/>
      <c r="BP1915" s="136"/>
      <c r="BQ1915" s="136"/>
      <c r="BR1915" s="24"/>
      <c r="BS1915" s="136"/>
      <c r="BT1915" s="136"/>
      <c r="BU1915" s="136"/>
      <c r="BV1915" s="132" t="e">
        <f>IF(#REF!="COMPLETO","OK","PENDIENTE")</f>
        <v>#REF!</v>
      </c>
      <c r="BW1915" s="132" t="s">
        <v>1622</v>
      </c>
      <c r="BX1915" s="132" t="s">
        <v>1622</v>
      </c>
      <c r="BY1915" s="132" t="s">
        <v>1622</v>
      </c>
      <c r="BZ1915" s="132" t="s">
        <v>1622</v>
      </c>
      <c r="CA1915" s="132" t="s">
        <v>1622</v>
      </c>
      <c r="CB1915" s="132" t="s">
        <v>1622</v>
      </c>
      <c r="CC1915" s="375"/>
      <c r="CD1915" s="67" t="s">
        <v>7426</v>
      </c>
      <c r="CE1915" s="67"/>
      <c r="CG1915" s="136"/>
      <c r="CH1915" s="136"/>
      <c r="CI1915" s="24"/>
      <c r="CJ1915" s="24"/>
    </row>
    <row r="1916" spans="1:88" ht="15" customHeight="1">
      <c r="A1916" s="18">
        <v>2022</v>
      </c>
      <c r="B1916" s="18" t="str">
        <f>+INDEX(BDD!F:F,MATCH(P1916,BDD!D:D,0))&amp;"-"&amp;INDEX(BDD!E:E,MATCH(P1916,BDD!D:D,0))</f>
        <v>S-S</v>
      </c>
      <c r="C1916" s="360" t="s">
        <v>5398</v>
      </c>
      <c r="D1916" s="150" t="s">
        <v>3</v>
      </c>
      <c r="E1916" s="132" t="s">
        <v>7904</v>
      </c>
      <c r="F1916" s="136"/>
      <c r="G1916" s="346">
        <v>8000001872</v>
      </c>
      <c r="H1916" s="18" t="s">
        <v>7431</v>
      </c>
      <c r="I1916" s="331" t="s">
        <v>7432</v>
      </c>
      <c r="J1916" s="346">
        <v>8000001872</v>
      </c>
      <c r="K1916" s="24">
        <v>44634</v>
      </c>
      <c r="L1916" s="24"/>
      <c r="M1916" s="24"/>
      <c r="N1916" s="340" t="s">
        <v>3</v>
      </c>
      <c r="O1916" s="334">
        <v>207578</v>
      </c>
      <c r="P1916" s="25" t="s">
        <v>316</v>
      </c>
      <c r="Q1916" s="127" t="s">
        <v>133</v>
      </c>
      <c r="R1916" s="232" t="s">
        <v>7433</v>
      </c>
      <c r="S1916" s="89">
        <v>44650</v>
      </c>
      <c r="T1916" s="36" t="s">
        <v>19</v>
      </c>
      <c r="U1916" s="125"/>
      <c r="V1916" s="147"/>
      <c r="W1916" s="129"/>
      <c r="X1916" s="88"/>
      <c r="Y1916" s="130" t="s">
        <v>3</v>
      </c>
      <c r="Z1916" s="133" t="s">
        <v>60</v>
      </c>
      <c r="AA1916" s="133" t="s">
        <v>6619</v>
      </c>
      <c r="AB1916" s="241">
        <v>1800</v>
      </c>
      <c r="AC1916" s="134">
        <v>502</v>
      </c>
      <c r="AD1916" s="134"/>
      <c r="AE1916" s="403">
        <f t="shared" si="134"/>
        <v>903600</v>
      </c>
      <c r="AF1916" s="132"/>
      <c r="AG1916" s="130" t="s">
        <v>58</v>
      </c>
      <c r="AH1916" s="130"/>
      <c r="AI1916" s="130" t="s">
        <v>34</v>
      </c>
      <c r="AJ1916" s="295"/>
      <c r="AK1916" s="130" t="s">
        <v>7090</v>
      </c>
      <c r="AL1916" s="135" t="s">
        <v>7434</v>
      </c>
      <c r="AM1916" s="322">
        <v>2022</v>
      </c>
      <c r="AN1916" s="385">
        <v>44732</v>
      </c>
      <c r="AO1916" s="385">
        <v>44771</v>
      </c>
      <c r="AP1916" s="26">
        <f t="shared" ref="AP1916:AP1928" si="141">AQ1916</f>
        <v>44817</v>
      </c>
      <c r="AQ1916" s="26">
        <f>AO1916+46</f>
        <v>44817</v>
      </c>
      <c r="AR1916" s="24">
        <f>AQ1916+10</f>
        <v>44827</v>
      </c>
      <c r="AS1916" s="24"/>
      <c r="AT1916" s="24">
        <v>44820</v>
      </c>
      <c r="AU1916" s="418">
        <f t="shared" si="135"/>
        <v>9</v>
      </c>
      <c r="AV1916" s="418">
        <f t="shared" si="136"/>
        <v>2022</v>
      </c>
      <c r="AW1916" s="24" t="s">
        <v>7874</v>
      </c>
      <c r="AX1916" s="135" t="s">
        <v>5402</v>
      </c>
      <c r="AY1916" s="135"/>
      <c r="AZ1916" s="24" t="s">
        <v>37</v>
      </c>
      <c r="BA1916" s="206"/>
      <c r="BB1916" s="132" t="s">
        <v>3264</v>
      </c>
      <c r="BC1916" s="292"/>
      <c r="BD1916" s="24"/>
      <c r="BE1916" s="292"/>
      <c r="BF1916" s="292"/>
      <c r="BG1916" s="135" t="s">
        <v>52</v>
      </c>
      <c r="BH1916" s="215"/>
      <c r="BI1916" s="317" t="s">
        <v>3</v>
      </c>
      <c r="BJ1916" s="314"/>
      <c r="BK1916" s="24"/>
      <c r="BL1916" s="24"/>
      <c r="BM1916" s="24"/>
      <c r="BN1916" s="24"/>
      <c r="BO1916" s="136"/>
      <c r="BP1916" s="136"/>
      <c r="BQ1916" s="136"/>
      <c r="BR1916" s="24"/>
      <c r="BS1916" s="136"/>
      <c r="BT1916" s="136"/>
      <c r="BU1916" s="136"/>
      <c r="BV1916" s="132" t="e">
        <f>IF(#REF!="COMPLETO","OK","PENDIENTE")</f>
        <v>#REF!</v>
      </c>
      <c r="BW1916" s="132"/>
      <c r="BX1916" s="132"/>
      <c r="BY1916" s="132"/>
      <c r="BZ1916" s="132"/>
      <c r="CA1916" s="132"/>
      <c r="CB1916" s="132"/>
      <c r="CC1916" s="375"/>
      <c r="CD1916" s="136" t="s">
        <v>6801</v>
      </c>
      <c r="CG1916" s="136"/>
      <c r="CH1916" s="136"/>
      <c r="CI1916" s="24"/>
      <c r="CJ1916" s="24"/>
    </row>
    <row r="1917" spans="1:88" ht="15" customHeight="1">
      <c r="A1917" s="18">
        <v>2022</v>
      </c>
      <c r="B1917" s="18" t="str">
        <f>+INDEX(BDD!F:F,MATCH(P1917,BDD!D:D,0))&amp;"-"&amp;INDEX(BDD!E:E,MATCH(P1917,BDD!D:D,0))</f>
        <v>S-S</v>
      </c>
      <c r="C1917" s="360" t="s">
        <v>5398</v>
      </c>
      <c r="D1917" s="150" t="s">
        <v>3</v>
      </c>
      <c r="E1917" s="132" t="s">
        <v>7904</v>
      </c>
      <c r="F1917" s="136"/>
      <c r="G1917" s="346">
        <v>8000001873</v>
      </c>
      <c r="H1917" s="18" t="s">
        <v>7435</v>
      </c>
      <c r="I1917" s="331" t="s">
        <v>7436</v>
      </c>
      <c r="J1917" s="346">
        <v>8000001873</v>
      </c>
      <c r="K1917" s="24">
        <v>44652</v>
      </c>
      <c r="L1917" s="24"/>
      <c r="M1917" s="24"/>
      <c r="N1917" s="340" t="s">
        <v>3</v>
      </c>
      <c r="O1917" s="334">
        <v>207578</v>
      </c>
      <c r="P1917" s="25" t="s">
        <v>316</v>
      </c>
      <c r="Q1917" s="127" t="s">
        <v>133</v>
      </c>
      <c r="R1917" s="232" t="s">
        <v>7437</v>
      </c>
      <c r="S1917" s="89">
        <v>44650</v>
      </c>
      <c r="T1917" s="36" t="s">
        <v>19</v>
      </c>
      <c r="U1917" s="125"/>
      <c r="V1917" s="147"/>
      <c r="W1917" s="129"/>
      <c r="X1917" s="88"/>
      <c r="Y1917" s="130" t="s">
        <v>3</v>
      </c>
      <c r="Z1917" s="133" t="s">
        <v>60</v>
      </c>
      <c r="AA1917" s="133" t="s">
        <v>6619</v>
      </c>
      <c r="AB1917" s="241">
        <v>2200</v>
      </c>
      <c r="AC1917" s="134">
        <v>523</v>
      </c>
      <c r="AD1917" s="134"/>
      <c r="AE1917" s="403">
        <f t="shared" si="134"/>
        <v>1150600</v>
      </c>
      <c r="AF1917" s="132"/>
      <c r="AG1917" s="130" t="s">
        <v>58</v>
      </c>
      <c r="AH1917" s="130"/>
      <c r="AI1917" s="130" t="s">
        <v>34</v>
      </c>
      <c r="AJ1917" s="295"/>
      <c r="AK1917" s="130" t="s">
        <v>7090</v>
      </c>
      <c r="AL1917" s="135" t="s">
        <v>7434</v>
      </c>
      <c r="AM1917" s="322">
        <v>2022</v>
      </c>
      <c r="AN1917" s="385">
        <v>44732</v>
      </c>
      <c r="AO1917" s="385">
        <v>44771</v>
      </c>
      <c r="AP1917" s="26">
        <f t="shared" si="141"/>
        <v>44817</v>
      </c>
      <c r="AQ1917" s="26">
        <f>AO1917+46</f>
        <v>44817</v>
      </c>
      <c r="AR1917" s="24">
        <f>AQ1917+7</f>
        <v>44824</v>
      </c>
      <c r="AS1917" s="24"/>
      <c r="AT1917" s="24">
        <v>44820</v>
      </c>
      <c r="AU1917" s="418">
        <f t="shared" si="135"/>
        <v>9</v>
      </c>
      <c r="AV1917" s="418">
        <f t="shared" si="136"/>
        <v>2022</v>
      </c>
      <c r="AW1917" s="24" t="s">
        <v>7874</v>
      </c>
      <c r="AX1917" s="135" t="s">
        <v>5402</v>
      </c>
      <c r="AY1917" s="135"/>
      <c r="AZ1917" s="24" t="s">
        <v>9</v>
      </c>
      <c r="BA1917" s="206" t="s">
        <v>7130</v>
      </c>
      <c r="BB1917" s="24" t="s">
        <v>3264</v>
      </c>
      <c r="BC1917" s="292"/>
      <c r="BD1917" s="24"/>
      <c r="BE1917" s="292"/>
      <c r="BF1917" s="292"/>
      <c r="BG1917" s="135" t="s">
        <v>52</v>
      </c>
      <c r="BH1917" s="215"/>
      <c r="BI1917" s="317" t="s">
        <v>3</v>
      </c>
      <c r="BJ1917" s="314"/>
      <c r="BK1917" s="24"/>
      <c r="BL1917" s="24"/>
      <c r="BM1917" s="24"/>
      <c r="BN1917" s="24"/>
      <c r="BO1917" s="136"/>
      <c r="BP1917" s="136"/>
      <c r="BQ1917" s="136"/>
      <c r="BR1917" s="24"/>
      <c r="BS1917" s="136"/>
      <c r="BT1917" s="136"/>
      <c r="BU1917" s="136"/>
      <c r="BV1917" s="132" t="e">
        <f>IF(#REF!="COMPLETO","OK","PENDIENTE")</f>
        <v>#REF!</v>
      </c>
      <c r="BW1917" s="132"/>
      <c r="BX1917" s="132"/>
      <c r="BY1917" s="132"/>
      <c r="BZ1917" s="132"/>
      <c r="CA1917" s="132"/>
      <c r="CB1917" s="132"/>
      <c r="CC1917" s="375"/>
      <c r="CD1917" s="136" t="s">
        <v>6801</v>
      </c>
      <c r="CG1917" s="136"/>
      <c r="CH1917" s="136"/>
      <c r="CI1917" s="24"/>
      <c r="CJ1917" s="24"/>
    </row>
    <row r="1918" spans="1:88" ht="15" customHeight="1">
      <c r="A1918" s="18">
        <v>2022</v>
      </c>
      <c r="B1918" s="18" t="e">
        <f>+INDEX(BDD!F:F,MATCH(P1918,BDD!D:D,0))&amp;"-"&amp;INDEX(BDD!E:E,MATCH(P1918,BDD!D:D,0))</f>
        <v>#N/A</v>
      </c>
      <c r="C1918" s="360" t="s">
        <v>5398</v>
      </c>
      <c r="D1918" s="150" t="s">
        <v>18</v>
      </c>
      <c r="E1918" s="132" t="s">
        <v>51</v>
      </c>
      <c r="F1918" s="136"/>
      <c r="G1918" s="346">
        <v>8000001874</v>
      </c>
      <c r="H1918" s="18" t="s">
        <v>7438</v>
      </c>
      <c r="I1918" s="331" t="s">
        <v>7439</v>
      </c>
      <c r="J1918" s="346">
        <v>8000001874</v>
      </c>
      <c r="K1918" s="24">
        <v>44634</v>
      </c>
      <c r="L1918" s="24"/>
      <c r="M1918" s="24"/>
      <c r="N1918" s="340" t="s">
        <v>3</v>
      </c>
      <c r="O1918" s="334">
        <v>207951</v>
      </c>
      <c r="P1918" s="25" t="s">
        <v>7440</v>
      </c>
      <c r="Q1918" s="127" t="s">
        <v>237</v>
      </c>
      <c r="R1918" s="232" t="s">
        <v>8045</v>
      </c>
      <c r="S1918" s="89">
        <v>44673</v>
      </c>
      <c r="T1918" s="36">
        <v>150</v>
      </c>
      <c r="U1918" s="125" t="s">
        <v>8016</v>
      </c>
      <c r="V1918" s="147" t="s">
        <v>8017</v>
      </c>
      <c r="W1918" s="26">
        <v>44701</v>
      </c>
      <c r="X1918" s="26">
        <f>BD1918+150</f>
        <v>44831</v>
      </c>
      <c r="Y1918" s="130" t="s">
        <v>3</v>
      </c>
      <c r="Z1918" s="133" t="s">
        <v>60</v>
      </c>
      <c r="AA1918" s="133" t="s">
        <v>944</v>
      </c>
      <c r="AB1918" s="241">
        <v>2400</v>
      </c>
      <c r="AC1918" s="134">
        <v>1148.1199999999999</v>
      </c>
      <c r="AD1918" s="134">
        <v>120</v>
      </c>
      <c r="AE1918" s="403">
        <f t="shared" si="134"/>
        <v>2755487.9999999995</v>
      </c>
      <c r="AF1918" s="132" t="s">
        <v>1622</v>
      </c>
      <c r="AG1918" s="130" t="s">
        <v>46</v>
      </c>
      <c r="AH1918" s="130" t="s">
        <v>944</v>
      </c>
      <c r="AI1918" s="130" t="s">
        <v>100</v>
      </c>
      <c r="AJ1918" s="130" t="s">
        <v>944</v>
      </c>
      <c r="AK1918" s="130" t="s">
        <v>944</v>
      </c>
      <c r="AL1918" s="135" t="s">
        <v>7441</v>
      </c>
      <c r="AM1918" s="322">
        <v>2022</v>
      </c>
      <c r="AN1918" s="296">
        <v>44684</v>
      </c>
      <c r="AO1918" s="402">
        <v>44684</v>
      </c>
      <c r="AP1918" s="296">
        <f t="shared" si="141"/>
        <v>44718</v>
      </c>
      <c r="AQ1918" s="402">
        <v>44718</v>
      </c>
      <c r="AR1918" s="24">
        <f>AQ1918+2</f>
        <v>44720</v>
      </c>
      <c r="AS1918" s="24"/>
      <c r="AT1918" s="24">
        <v>44720</v>
      </c>
      <c r="AU1918" s="418">
        <f t="shared" si="135"/>
        <v>6</v>
      </c>
      <c r="AV1918" s="418">
        <f t="shared" si="136"/>
        <v>2022</v>
      </c>
      <c r="AW1918" s="24" t="s">
        <v>7888</v>
      </c>
      <c r="AX1918" s="135" t="s">
        <v>7443</v>
      </c>
      <c r="AY1918" s="135" t="s">
        <v>7442</v>
      </c>
      <c r="AZ1918" s="24" t="s">
        <v>9</v>
      </c>
      <c r="BA1918" s="24" t="s">
        <v>7130</v>
      </c>
      <c r="BB1918" s="24" t="s">
        <v>3264</v>
      </c>
      <c r="BC1918" s="57" t="s">
        <v>7998</v>
      </c>
      <c r="BD1918" s="24">
        <v>44681</v>
      </c>
      <c r="BE1918" s="24" t="s">
        <v>7444</v>
      </c>
      <c r="BF1918" s="24" t="s">
        <v>7444</v>
      </c>
      <c r="BG1918" s="135" t="s">
        <v>52</v>
      </c>
      <c r="BH1918" s="212" t="s">
        <v>7895</v>
      </c>
      <c r="BI1918" s="317" t="s">
        <v>3</v>
      </c>
      <c r="BJ1918" s="314"/>
      <c r="BK1918" s="89"/>
      <c r="BL1918" s="89"/>
      <c r="BM1918" s="89"/>
      <c r="BN1918" s="89"/>
      <c r="BO1918" s="136"/>
      <c r="BP1918" s="136"/>
      <c r="BQ1918" s="136"/>
      <c r="BR1918" s="24"/>
      <c r="BS1918" s="136"/>
      <c r="BT1918" s="136"/>
      <c r="BU1918" s="136"/>
      <c r="BV1918" s="132" t="s">
        <v>6087</v>
      </c>
      <c r="BW1918" s="132" t="s">
        <v>1622</v>
      </c>
      <c r="BX1918" s="132" t="s">
        <v>1622</v>
      </c>
      <c r="BY1918" s="132" t="s">
        <v>1622</v>
      </c>
      <c r="BZ1918" s="132" t="s">
        <v>1622</v>
      </c>
      <c r="CA1918" s="132" t="s">
        <v>1622</v>
      </c>
      <c r="CB1918" s="132" t="s">
        <v>1622</v>
      </c>
      <c r="CC1918" s="375"/>
      <c r="CG1918" s="136"/>
      <c r="CH1918" s="136"/>
      <c r="CI1918" s="24"/>
      <c r="CJ1918" s="24"/>
    </row>
    <row r="1919" spans="1:88" ht="15" customHeight="1">
      <c r="A1919" s="18">
        <v>2022</v>
      </c>
      <c r="B1919" s="18" t="e">
        <f>+INDEX(BDD!F:F,MATCH(P1919,BDD!D:D,0))&amp;"-"&amp;INDEX(BDD!E:E,MATCH(P1919,BDD!D:D,0))</f>
        <v>#N/A</v>
      </c>
      <c r="C1919" s="360" t="s">
        <v>5398</v>
      </c>
      <c r="D1919" s="150" t="s">
        <v>18</v>
      </c>
      <c r="E1919" s="132" t="s">
        <v>51</v>
      </c>
      <c r="F1919" s="136"/>
      <c r="G1919" s="346"/>
      <c r="H1919" s="18" t="s">
        <v>7445</v>
      </c>
      <c r="I1919" s="331" t="s">
        <v>7439</v>
      </c>
      <c r="J1919" s="346"/>
      <c r="K1919" s="24"/>
      <c r="L1919" s="24"/>
      <c r="M1919" s="24"/>
      <c r="N1919" s="340" t="s">
        <v>3</v>
      </c>
      <c r="O1919" s="334">
        <v>207951</v>
      </c>
      <c r="P1919" s="25" t="s">
        <v>7440</v>
      </c>
      <c r="Q1919" s="127" t="s">
        <v>237</v>
      </c>
      <c r="R1919" s="232" t="s">
        <v>8045</v>
      </c>
      <c r="S1919" s="89">
        <v>44673</v>
      </c>
      <c r="T1919" s="36">
        <v>150</v>
      </c>
      <c r="U1919" s="125" t="s">
        <v>8016</v>
      </c>
      <c r="V1919" s="147" t="s">
        <v>8018</v>
      </c>
      <c r="W1919" s="26">
        <v>44701</v>
      </c>
      <c r="X1919" s="26">
        <f t="shared" ref="X1919:X1921" si="142">BD1919+150</f>
        <v>44831</v>
      </c>
      <c r="Y1919" s="130" t="s">
        <v>3</v>
      </c>
      <c r="Z1919" s="133" t="s">
        <v>60</v>
      </c>
      <c r="AA1919" s="133" t="s">
        <v>944</v>
      </c>
      <c r="AB1919" s="241">
        <v>2400</v>
      </c>
      <c r="AC1919" s="134">
        <v>1148.1199999999999</v>
      </c>
      <c r="AD1919" s="134">
        <v>120</v>
      </c>
      <c r="AE1919" s="403">
        <f t="shared" si="134"/>
        <v>2755487.9999999995</v>
      </c>
      <c r="AF1919" s="132" t="s">
        <v>1622</v>
      </c>
      <c r="AG1919" s="130" t="s">
        <v>46</v>
      </c>
      <c r="AH1919" s="130" t="s">
        <v>944</v>
      </c>
      <c r="AI1919" s="130" t="s">
        <v>100</v>
      </c>
      <c r="AJ1919" s="130" t="s">
        <v>944</v>
      </c>
      <c r="AK1919" s="130" t="s">
        <v>944</v>
      </c>
      <c r="AL1919" s="135" t="s">
        <v>7441</v>
      </c>
      <c r="AM1919" s="322">
        <v>2022</v>
      </c>
      <c r="AN1919" s="296">
        <v>44684</v>
      </c>
      <c r="AO1919" s="402">
        <v>44684</v>
      </c>
      <c r="AP1919" s="296">
        <f t="shared" ref="AP1919:AP1921" si="143">AQ1919</f>
        <v>44723</v>
      </c>
      <c r="AQ1919" s="402">
        <f>AQ1918+5</f>
        <v>44723</v>
      </c>
      <c r="AR1919" s="24">
        <f>AQ1919+2</f>
        <v>44725</v>
      </c>
      <c r="AS1919" s="24"/>
      <c r="AT1919" s="24">
        <v>44725</v>
      </c>
      <c r="AU1919" s="418">
        <f t="shared" si="135"/>
        <v>6</v>
      </c>
      <c r="AV1919" s="418">
        <f t="shared" si="136"/>
        <v>2022</v>
      </c>
      <c r="AW1919" s="24" t="s">
        <v>7888</v>
      </c>
      <c r="AX1919" s="135" t="s">
        <v>7443</v>
      </c>
      <c r="AY1919" s="135" t="s">
        <v>7442</v>
      </c>
      <c r="AZ1919" s="24" t="s">
        <v>25</v>
      </c>
      <c r="BA1919" s="24" t="s">
        <v>3334</v>
      </c>
      <c r="BB1919" s="24" t="s">
        <v>3264</v>
      </c>
      <c r="BC1919" s="57" t="s">
        <v>7999</v>
      </c>
      <c r="BD1919" s="24">
        <v>44681</v>
      </c>
      <c r="BE1919" s="24" t="s">
        <v>7444</v>
      </c>
      <c r="BF1919" s="24" t="s">
        <v>7444</v>
      </c>
      <c r="BG1919" s="135" t="s">
        <v>52</v>
      </c>
      <c r="BH1919" s="212" t="s">
        <v>7895</v>
      </c>
      <c r="BI1919" s="317" t="s">
        <v>3</v>
      </c>
      <c r="BJ1919" s="314"/>
      <c r="BK1919" s="89"/>
      <c r="BL1919" s="89"/>
      <c r="BM1919" s="89"/>
      <c r="BN1919" s="89"/>
      <c r="BO1919" s="136"/>
      <c r="BP1919" s="136"/>
      <c r="BQ1919" s="136"/>
      <c r="BR1919" s="24"/>
      <c r="BS1919" s="136"/>
      <c r="BT1919" s="136"/>
      <c r="BU1919" s="136"/>
      <c r="BV1919" s="132" t="s">
        <v>6087</v>
      </c>
      <c r="BW1919" s="132" t="s">
        <v>1622</v>
      </c>
      <c r="BX1919" s="132" t="s">
        <v>1622</v>
      </c>
      <c r="BY1919" s="132" t="s">
        <v>1622</v>
      </c>
      <c r="BZ1919" s="132" t="s">
        <v>1622</v>
      </c>
      <c r="CA1919" s="132" t="s">
        <v>1622</v>
      </c>
      <c r="CB1919" s="132" t="s">
        <v>1622</v>
      </c>
      <c r="CC1919" s="375"/>
      <c r="CG1919" s="136"/>
      <c r="CH1919" s="136"/>
      <c r="CI1919" s="24"/>
      <c r="CJ1919" s="24"/>
    </row>
    <row r="1920" spans="1:88" ht="15" customHeight="1">
      <c r="A1920" s="18">
        <v>2022</v>
      </c>
      <c r="B1920" s="18" t="e">
        <f>+INDEX(BDD!F:F,MATCH(P1920,BDD!D:D,0))&amp;"-"&amp;INDEX(BDD!E:E,MATCH(P1920,BDD!D:D,0))</f>
        <v>#N/A</v>
      </c>
      <c r="C1920" s="360" t="s">
        <v>5398</v>
      </c>
      <c r="D1920" s="150" t="s">
        <v>18</v>
      </c>
      <c r="E1920" s="132" t="s">
        <v>51</v>
      </c>
      <c r="F1920" s="136"/>
      <c r="G1920" s="346"/>
      <c r="H1920" s="18" t="s">
        <v>7446</v>
      </c>
      <c r="I1920" s="331" t="s">
        <v>7439</v>
      </c>
      <c r="J1920" s="346"/>
      <c r="K1920" s="24"/>
      <c r="L1920" s="24"/>
      <c r="M1920" s="24"/>
      <c r="N1920" s="340" t="s">
        <v>3</v>
      </c>
      <c r="O1920" s="334">
        <v>207951</v>
      </c>
      <c r="P1920" s="25" t="s">
        <v>7440</v>
      </c>
      <c r="Q1920" s="127" t="s">
        <v>237</v>
      </c>
      <c r="R1920" s="232" t="s">
        <v>8045</v>
      </c>
      <c r="S1920" s="89">
        <v>44673</v>
      </c>
      <c r="T1920" s="36">
        <v>150</v>
      </c>
      <c r="U1920" s="125" t="s">
        <v>8016</v>
      </c>
      <c r="V1920" s="147" t="s">
        <v>8019</v>
      </c>
      <c r="W1920" s="26">
        <v>44701</v>
      </c>
      <c r="X1920" s="26">
        <f t="shared" si="142"/>
        <v>44831</v>
      </c>
      <c r="Y1920" s="130" t="s">
        <v>3</v>
      </c>
      <c r="Z1920" s="133" t="s">
        <v>60</v>
      </c>
      <c r="AA1920" s="133" t="s">
        <v>944</v>
      </c>
      <c r="AB1920" s="241">
        <v>3000</v>
      </c>
      <c r="AC1920" s="134">
        <v>1148.1199999999999</v>
      </c>
      <c r="AD1920" s="134">
        <v>120</v>
      </c>
      <c r="AE1920" s="403">
        <f t="shared" si="134"/>
        <v>3444359.9999999995</v>
      </c>
      <c r="AF1920" s="132" t="s">
        <v>1622</v>
      </c>
      <c r="AG1920" s="130" t="s">
        <v>46</v>
      </c>
      <c r="AH1920" s="130" t="s">
        <v>944</v>
      </c>
      <c r="AI1920" s="130" t="s">
        <v>100</v>
      </c>
      <c r="AJ1920" s="130" t="s">
        <v>944</v>
      </c>
      <c r="AK1920" s="130" t="s">
        <v>944</v>
      </c>
      <c r="AL1920" s="135" t="s">
        <v>7441</v>
      </c>
      <c r="AM1920" s="322">
        <v>2022</v>
      </c>
      <c r="AN1920" s="296">
        <v>44684</v>
      </c>
      <c r="AO1920" s="402">
        <v>44684</v>
      </c>
      <c r="AP1920" s="296">
        <f t="shared" si="143"/>
        <v>44727</v>
      </c>
      <c r="AQ1920" s="402">
        <f>AQ1918+9</f>
        <v>44727</v>
      </c>
      <c r="AR1920" s="24">
        <f>AQ1920+3</f>
        <v>44730</v>
      </c>
      <c r="AS1920" s="24"/>
      <c r="AT1920" s="24">
        <v>44729</v>
      </c>
      <c r="AU1920" s="418">
        <f t="shared" si="135"/>
        <v>6</v>
      </c>
      <c r="AV1920" s="418">
        <f t="shared" si="136"/>
        <v>2022</v>
      </c>
      <c r="AW1920" s="24" t="s">
        <v>7888</v>
      </c>
      <c r="AX1920" s="135" t="s">
        <v>7443</v>
      </c>
      <c r="AY1920" s="135" t="s">
        <v>7442</v>
      </c>
      <c r="AZ1920" s="24" t="s">
        <v>37</v>
      </c>
      <c r="BA1920" s="24"/>
      <c r="BB1920" s="24" t="s">
        <v>3291</v>
      </c>
      <c r="BC1920" s="57" t="s">
        <v>7997</v>
      </c>
      <c r="BD1920" s="24">
        <v>44681</v>
      </c>
      <c r="BE1920" s="24" t="s">
        <v>7444</v>
      </c>
      <c r="BF1920" s="24" t="s">
        <v>7444</v>
      </c>
      <c r="BG1920" s="135" t="s">
        <v>52</v>
      </c>
      <c r="BH1920" s="212" t="s">
        <v>7895</v>
      </c>
      <c r="BI1920" s="317" t="s">
        <v>3</v>
      </c>
      <c r="BJ1920" s="314"/>
      <c r="BK1920" s="89"/>
      <c r="BL1920" s="89"/>
      <c r="BM1920" s="89"/>
      <c r="BN1920" s="89"/>
      <c r="BO1920" s="136"/>
      <c r="BP1920" s="136"/>
      <c r="BQ1920" s="136"/>
      <c r="BR1920" s="24"/>
      <c r="BS1920" s="136"/>
      <c r="BT1920" s="136"/>
      <c r="BU1920" s="136"/>
      <c r="BV1920" s="132" t="s">
        <v>6087</v>
      </c>
      <c r="BW1920" s="132" t="s">
        <v>1622</v>
      </c>
      <c r="BX1920" s="132" t="s">
        <v>1622</v>
      </c>
      <c r="BY1920" s="132" t="s">
        <v>1622</v>
      </c>
      <c r="BZ1920" s="132" t="s">
        <v>1622</v>
      </c>
      <c r="CA1920" s="132" t="s">
        <v>1622</v>
      </c>
      <c r="CB1920" s="132" t="s">
        <v>1622</v>
      </c>
      <c r="CC1920" s="375"/>
      <c r="CG1920" s="136"/>
      <c r="CH1920" s="136"/>
      <c r="CI1920" s="24"/>
      <c r="CJ1920" s="24"/>
    </row>
    <row r="1921" spans="1:88" ht="15" customHeight="1">
      <c r="A1921" s="18">
        <v>2022</v>
      </c>
      <c r="B1921" s="18" t="e">
        <f>+INDEX(BDD!F:F,MATCH(P1921,BDD!D:D,0))&amp;"-"&amp;INDEX(BDD!E:E,MATCH(P1921,BDD!D:D,0))</f>
        <v>#N/A</v>
      </c>
      <c r="C1921" s="360" t="s">
        <v>5398</v>
      </c>
      <c r="D1921" s="150" t="s">
        <v>18</v>
      </c>
      <c r="E1921" s="132" t="s">
        <v>51</v>
      </c>
      <c r="F1921" s="136"/>
      <c r="G1921" s="346"/>
      <c r="H1921" s="18" t="s">
        <v>7447</v>
      </c>
      <c r="I1921" s="331" t="s">
        <v>7439</v>
      </c>
      <c r="J1921" s="346"/>
      <c r="K1921" s="24"/>
      <c r="L1921" s="24"/>
      <c r="M1921" s="24"/>
      <c r="N1921" s="340" t="s">
        <v>3</v>
      </c>
      <c r="O1921" s="334">
        <v>207951</v>
      </c>
      <c r="P1921" s="25" t="s">
        <v>7440</v>
      </c>
      <c r="Q1921" s="127" t="s">
        <v>237</v>
      </c>
      <c r="R1921" s="232" t="s">
        <v>8045</v>
      </c>
      <c r="S1921" s="89">
        <v>44673</v>
      </c>
      <c r="T1921" s="36">
        <v>150</v>
      </c>
      <c r="U1921" s="125" t="s">
        <v>8016</v>
      </c>
      <c r="V1921" s="147" t="s">
        <v>8020</v>
      </c>
      <c r="W1921" s="26">
        <v>44701</v>
      </c>
      <c r="X1921" s="26">
        <f t="shared" si="142"/>
        <v>44831</v>
      </c>
      <c r="Y1921" s="130" t="s">
        <v>3</v>
      </c>
      <c r="Z1921" s="133" t="s">
        <v>60</v>
      </c>
      <c r="AA1921" s="133" t="s">
        <v>944</v>
      </c>
      <c r="AB1921" s="241">
        <v>1000</v>
      </c>
      <c r="AC1921" s="134">
        <v>1148.1199999999999</v>
      </c>
      <c r="AD1921" s="134">
        <v>120</v>
      </c>
      <c r="AE1921" s="403">
        <f t="shared" si="134"/>
        <v>1148120</v>
      </c>
      <c r="AF1921" s="132" t="s">
        <v>1622</v>
      </c>
      <c r="AG1921" s="130" t="s">
        <v>46</v>
      </c>
      <c r="AH1921" s="130" t="s">
        <v>944</v>
      </c>
      <c r="AI1921" s="130" t="s">
        <v>100</v>
      </c>
      <c r="AJ1921" s="130" t="s">
        <v>944</v>
      </c>
      <c r="AK1921" s="130" t="s">
        <v>944</v>
      </c>
      <c r="AL1921" s="135" t="s">
        <v>7441</v>
      </c>
      <c r="AM1921" s="322">
        <v>2022</v>
      </c>
      <c r="AN1921" s="296">
        <v>44684</v>
      </c>
      <c r="AO1921" s="402">
        <v>44684</v>
      </c>
      <c r="AP1921" s="296">
        <f t="shared" si="143"/>
        <v>44731</v>
      </c>
      <c r="AQ1921" s="402">
        <f>AQ1918+13</f>
        <v>44731</v>
      </c>
      <c r="AR1921" s="24">
        <f>AQ1921+1</f>
        <v>44732</v>
      </c>
      <c r="AS1921" s="24"/>
      <c r="AT1921" s="24">
        <v>44733</v>
      </c>
      <c r="AU1921" s="418">
        <f t="shared" si="135"/>
        <v>6</v>
      </c>
      <c r="AV1921" s="418">
        <f t="shared" si="136"/>
        <v>2022</v>
      </c>
      <c r="AW1921" s="24" t="s">
        <v>7888</v>
      </c>
      <c r="AX1921" s="135" t="s">
        <v>7443</v>
      </c>
      <c r="AY1921" s="135" t="s">
        <v>7442</v>
      </c>
      <c r="AZ1921" s="24" t="s">
        <v>62</v>
      </c>
      <c r="BA1921" s="24" t="s">
        <v>3334</v>
      </c>
      <c r="BB1921" s="24" t="s">
        <v>3264</v>
      </c>
      <c r="BC1921" s="57" t="s">
        <v>8000</v>
      </c>
      <c r="BD1921" s="24">
        <v>44681</v>
      </c>
      <c r="BE1921" s="24" t="s">
        <v>7444</v>
      </c>
      <c r="BF1921" s="24" t="s">
        <v>7444</v>
      </c>
      <c r="BG1921" s="135" t="s">
        <v>52</v>
      </c>
      <c r="BH1921" s="212" t="s">
        <v>7895</v>
      </c>
      <c r="BI1921" s="317" t="s">
        <v>3</v>
      </c>
      <c r="BJ1921" s="314"/>
      <c r="BK1921" s="89"/>
      <c r="BL1921" s="89"/>
      <c r="BM1921" s="89"/>
      <c r="BN1921" s="89"/>
      <c r="BO1921" s="136"/>
      <c r="BP1921" s="136"/>
      <c r="BQ1921" s="136"/>
      <c r="BR1921" s="24"/>
      <c r="BS1921" s="136"/>
      <c r="BT1921" s="136"/>
      <c r="BU1921" s="136"/>
      <c r="BV1921" s="132" t="s">
        <v>6087</v>
      </c>
      <c r="BW1921" s="132" t="s">
        <v>1622</v>
      </c>
      <c r="BX1921" s="132" t="s">
        <v>1622</v>
      </c>
      <c r="BY1921" s="132" t="s">
        <v>1622</v>
      </c>
      <c r="BZ1921" s="132" t="s">
        <v>1622</v>
      </c>
      <c r="CA1921" s="132" t="s">
        <v>1622</v>
      </c>
      <c r="CB1921" s="132" t="s">
        <v>1622</v>
      </c>
      <c r="CC1921" s="375"/>
      <c r="CG1921" s="136"/>
      <c r="CH1921" s="136"/>
      <c r="CI1921" s="24"/>
      <c r="CJ1921" s="24"/>
    </row>
    <row r="1922" spans="1:88" ht="15" customHeight="1">
      <c r="A1922" s="18">
        <v>2022</v>
      </c>
      <c r="B1922" s="18" t="str">
        <f>+INDEX(BDD!F:F,MATCH(P1922,BDD!D:D,0))&amp;"-"&amp;INDEX(BDD!E:E,MATCH(P1922,BDD!D:D,0))</f>
        <v>T-S</v>
      </c>
      <c r="C1922" s="125" t="s">
        <v>484</v>
      </c>
      <c r="D1922" s="150" t="s">
        <v>77</v>
      </c>
      <c r="E1922" s="132" t="s">
        <v>51</v>
      </c>
      <c r="F1922" s="24"/>
      <c r="G1922" s="346">
        <v>8000001929</v>
      </c>
      <c r="H1922" s="18" t="s">
        <v>7448</v>
      </c>
      <c r="I1922" s="331" t="s">
        <v>7449</v>
      </c>
      <c r="J1922" s="346">
        <v>8000001929</v>
      </c>
      <c r="K1922" s="24"/>
      <c r="L1922" s="24">
        <v>44656</v>
      </c>
      <c r="M1922" s="24">
        <v>0</v>
      </c>
      <c r="N1922" s="339" t="s">
        <v>486</v>
      </c>
      <c r="O1922" s="334">
        <v>208067</v>
      </c>
      <c r="P1922" s="25" t="s">
        <v>383</v>
      </c>
      <c r="Q1922" s="127" t="s">
        <v>303</v>
      </c>
      <c r="R1922" s="232" t="s">
        <v>7450</v>
      </c>
      <c r="S1922" s="89">
        <v>44630</v>
      </c>
      <c r="T1922" s="36">
        <v>30</v>
      </c>
      <c r="U1922" s="125" t="s">
        <v>131</v>
      </c>
      <c r="V1922" s="232" t="s">
        <v>7451</v>
      </c>
      <c r="W1922" s="89">
        <v>44679</v>
      </c>
      <c r="X1922" s="24">
        <v>44709</v>
      </c>
      <c r="Y1922" s="130" t="s">
        <v>20</v>
      </c>
      <c r="Z1922" s="133" t="s">
        <v>60</v>
      </c>
      <c r="AA1922" s="133"/>
      <c r="AB1922" s="241">
        <v>216</v>
      </c>
      <c r="AC1922" s="134">
        <v>850</v>
      </c>
      <c r="AD1922" s="134"/>
      <c r="AE1922" s="403">
        <f t="shared" ref="AE1922:AE1985" si="144">AB1922*AC1922</f>
        <v>183600</v>
      </c>
      <c r="AF1922" s="132">
        <v>8</v>
      </c>
      <c r="AG1922" s="130" t="s">
        <v>5</v>
      </c>
      <c r="AH1922" s="130"/>
      <c r="AI1922" s="130" t="s">
        <v>34</v>
      </c>
      <c r="AJ1922" s="130" t="s">
        <v>944</v>
      </c>
      <c r="AK1922" s="130" t="s">
        <v>6704</v>
      </c>
      <c r="AL1922" s="135" t="s">
        <v>7452</v>
      </c>
      <c r="AM1922" s="324"/>
      <c r="AN1922" s="359">
        <v>44680</v>
      </c>
      <c r="AO1922" s="26">
        <v>44680</v>
      </c>
      <c r="AP1922" s="26">
        <f>AQ1922</f>
        <v>44684</v>
      </c>
      <c r="AQ1922" s="26">
        <v>44684</v>
      </c>
      <c r="AR1922" s="24">
        <f>AQ1922+4</f>
        <v>44688</v>
      </c>
      <c r="AS1922" s="24">
        <v>44686</v>
      </c>
      <c r="AT1922" s="24">
        <v>44687</v>
      </c>
      <c r="AU1922" s="418">
        <f t="shared" si="135"/>
        <v>5</v>
      </c>
      <c r="AV1922" s="418">
        <f t="shared" si="136"/>
        <v>2022</v>
      </c>
      <c r="AW1922" s="24"/>
      <c r="AX1922" s="24" t="s">
        <v>6982</v>
      </c>
      <c r="AY1922" s="24" t="s">
        <v>7360</v>
      </c>
      <c r="AZ1922" s="24" t="s">
        <v>9</v>
      </c>
      <c r="BA1922" s="24"/>
      <c r="BB1922" s="24" t="s">
        <v>3264</v>
      </c>
      <c r="BC1922" s="24" t="s">
        <v>7453</v>
      </c>
      <c r="BD1922" s="382">
        <v>44680</v>
      </c>
      <c r="BE1922" s="24" t="s">
        <v>5944</v>
      </c>
      <c r="BF1922" s="24" t="s">
        <v>5944</v>
      </c>
      <c r="BG1922" s="135" t="s">
        <v>29</v>
      </c>
      <c r="BH1922" s="215" t="s">
        <v>6219</v>
      </c>
      <c r="BI1922" s="317" t="s">
        <v>124</v>
      </c>
      <c r="BJ1922" s="317" t="s">
        <v>148</v>
      </c>
      <c r="BK1922" s="24"/>
      <c r="BL1922" s="24"/>
      <c r="BM1922" s="24"/>
      <c r="BN1922" s="24"/>
      <c r="BO1922" s="24">
        <f>AQ1922+14</f>
        <v>44698</v>
      </c>
      <c r="BP1922" s="24"/>
      <c r="BQ1922" s="24" t="s">
        <v>7454</v>
      </c>
      <c r="BR1922" s="24">
        <v>44681</v>
      </c>
      <c r="BS1922" s="24" t="s">
        <v>38</v>
      </c>
      <c r="BT1922" s="24" t="s">
        <v>11</v>
      </c>
      <c r="BU1922" s="24"/>
      <c r="BV1922" s="132" t="e">
        <f>IF(#REF!="COMPLETO","OK","PENDIENTE")</f>
        <v>#REF!</v>
      </c>
      <c r="BW1922" s="132"/>
      <c r="BX1922" s="132"/>
      <c r="BY1922" s="132"/>
      <c r="BZ1922" s="132"/>
      <c r="CA1922" s="132"/>
      <c r="CB1922" s="132"/>
      <c r="CC1922" s="375"/>
      <c r="CD1922" s="67"/>
      <c r="CE1922" s="67"/>
      <c r="CG1922" s="24" t="s">
        <v>105</v>
      </c>
      <c r="CH1922" s="24"/>
      <c r="CI1922" s="24"/>
      <c r="CJ1922" s="24"/>
    </row>
    <row r="1923" spans="1:88" ht="15" customHeight="1">
      <c r="A1923" s="18">
        <v>2022</v>
      </c>
      <c r="B1923" s="18" t="str">
        <f>+INDEX(BDD!F:F,MATCH(P1923,BDD!D:D,0))&amp;"-"&amp;INDEX(BDD!E:E,MATCH(P1923,BDD!D:D,0))</f>
        <v>T-S</v>
      </c>
      <c r="C1923" s="125" t="s">
        <v>484</v>
      </c>
      <c r="D1923" s="150" t="s">
        <v>77</v>
      </c>
      <c r="E1923" s="132" t="s">
        <v>51</v>
      </c>
      <c r="F1923" s="24" t="s">
        <v>7702</v>
      </c>
      <c r="G1923" s="346">
        <v>8000001930</v>
      </c>
      <c r="H1923" s="18" t="s">
        <v>7455</v>
      </c>
      <c r="I1923" s="331" t="s">
        <v>7449</v>
      </c>
      <c r="J1923" s="346">
        <v>8000001930</v>
      </c>
      <c r="K1923" s="24">
        <v>44686</v>
      </c>
      <c r="L1923" s="24">
        <v>44656</v>
      </c>
      <c r="M1923" s="24">
        <v>44690</v>
      </c>
      <c r="N1923" s="340" t="s">
        <v>486</v>
      </c>
      <c r="O1923" s="334">
        <v>208067</v>
      </c>
      <c r="P1923" s="25" t="s">
        <v>383</v>
      </c>
      <c r="Q1923" s="127" t="s">
        <v>303</v>
      </c>
      <c r="R1923" s="232" t="s">
        <v>7450</v>
      </c>
      <c r="S1923" s="89">
        <v>44630</v>
      </c>
      <c r="T1923" s="36">
        <v>30</v>
      </c>
      <c r="U1923" s="125" t="s">
        <v>131</v>
      </c>
      <c r="V1923" s="22" t="s">
        <v>7456</v>
      </c>
      <c r="W1923" s="24">
        <v>44679</v>
      </c>
      <c r="X1923" s="24">
        <v>44709</v>
      </c>
      <c r="Y1923" s="130" t="s">
        <v>20</v>
      </c>
      <c r="Z1923" s="133" t="s">
        <v>60</v>
      </c>
      <c r="AA1923" s="133"/>
      <c r="AB1923" s="241">
        <v>297</v>
      </c>
      <c r="AC1923" s="134">
        <v>850</v>
      </c>
      <c r="AD1923" s="134"/>
      <c r="AE1923" s="403">
        <f t="shared" si="144"/>
        <v>252450</v>
      </c>
      <c r="AF1923" s="132">
        <v>11</v>
      </c>
      <c r="AG1923" s="130" t="s">
        <v>5</v>
      </c>
      <c r="AH1923" s="130"/>
      <c r="AI1923" s="130" t="s">
        <v>34</v>
      </c>
      <c r="AJ1923" s="130" t="s">
        <v>944</v>
      </c>
      <c r="AK1923" s="130" t="s">
        <v>6704</v>
      </c>
      <c r="AL1923" s="135" t="s">
        <v>7452</v>
      </c>
      <c r="AM1923" s="324"/>
      <c r="AN1923" s="359">
        <v>44680</v>
      </c>
      <c r="AO1923" s="26">
        <v>44680</v>
      </c>
      <c r="AP1923" s="26">
        <f t="shared" si="141"/>
        <v>44684</v>
      </c>
      <c r="AQ1923" s="26">
        <v>44684</v>
      </c>
      <c r="AR1923" s="24">
        <f>AQ1923+4</f>
        <v>44688</v>
      </c>
      <c r="AS1923" s="24">
        <v>44687</v>
      </c>
      <c r="AT1923" s="24">
        <v>44693</v>
      </c>
      <c r="AU1923" s="418">
        <f t="shared" si="135"/>
        <v>5</v>
      </c>
      <c r="AV1923" s="418">
        <f t="shared" si="136"/>
        <v>2022</v>
      </c>
      <c r="AW1923" s="24"/>
      <c r="AX1923" s="24" t="s">
        <v>6982</v>
      </c>
      <c r="AY1923" s="24" t="s">
        <v>7360</v>
      </c>
      <c r="AZ1923" s="24" t="s">
        <v>9</v>
      </c>
      <c r="BA1923" s="24"/>
      <c r="BB1923" s="24" t="s">
        <v>3264</v>
      </c>
      <c r="BC1923" s="24" t="s">
        <v>7457</v>
      </c>
      <c r="BD1923" s="24">
        <v>44680</v>
      </c>
      <c r="BE1923" s="24" t="s">
        <v>5944</v>
      </c>
      <c r="BF1923" s="24" t="s">
        <v>5944</v>
      </c>
      <c r="BG1923" s="135" t="s">
        <v>29</v>
      </c>
      <c r="BH1923" s="215" t="s">
        <v>6219</v>
      </c>
      <c r="BI1923" s="317" t="s">
        <v>124</v>
      </c>
      <c r="BJ1923" s="317" t="s">
        <v>148</v>
      </c>
      <c r="BK1923" s="24"/>
      <c r="BL1923" s="24"/>
      <c r="BM1923" s="24"/>
      <c r="BN1923" s="24"/>
      <c r="BO1923" s="24">
        <f>AQ1923+14</f>
        <v>44698</v>
      </c>
      <c r="BP1923" s="24"/>
      <c r="BQ1923" s="24" t="s">
        <v>7458</v>
      </c>
      <c r="BR1923" s="24">
        <v>44681</v>
      </c>
      <c r="BS1923" s="24" t="s">
        <v>38</v>
      </c>
      <c r="BT1923" s="24" t="s">
        <v>11</v>
      </c>
      <c r="BU1923" s="24"/>
      <c r="BV1923" s="132" t="e">
        <f>IF(#REF!="COMPLETO","OK","PENDIENTE")</f>
        <v>#REF!</v>
      </c>
      <c r="BW1923" s="132"/>
      <c r="BX1923" s="132"/>
      <c r="BY1923" s="132"/>
      <c r="BZ1923" s="132"/>
      <c r="CA1923" s="132"/>
      <c r="CB1923" s="132"/>
      <c r="CC1923" s="377" t="s">
        <v>7935</v>
      </c>
      <c r="CG1923" s="24" t="s">
        <v>105</v>
      </c>
      <c r="CH1923" s="24"/>
      <c r="CI1923" s="24"/>
      <c r="CJ1923" s="24"/>
    </row>
    <row r="1924" spans="1:88" ht="15" customHeight="1">
      <c r="A1924" s="18">
        <v>2022</v>
      </c>
      <c r="B1924" s="18" t="str">
        <f>+INDEX(BDD!F:F,MATCH(P1924,BDD!D:D,0))&amp;"-"&amp;INDEX(BDD!E:E,MATCH(P1924,BDD!D:D,0))</f>
        <v>O-S</v>
      </c>
      <c r="C1924" s="360" t="s">
        <v>5398</v>
      </c>
      <c r="D1924" s="150" t="s">
        <v>18</v>
      </c>
      <c r="E1924" s="132" t="s">
        <v>51</v>
      </c>
      <c r="F1924" s="67"/>
      <c r="G1924" s="346">
        <v>8000001949</v>
      </c>
      <c r="H1924" s="18" t="s">
        <v>7459</v>
      </c>
      <c r="I1924" s="331" t="s">
        <v>7460</v>
      </c>
      <c r="J1924" s="346">
        <v>8000001949</v>
      </c>
      <c r="K1924" s="24">
        <v>44676</v>
      </c>
      <c r="L1924" s="24"/>
      <c r="M1924" s="24"/>
      <c r="N1924" s="339" t="s">
        <v>3</v>
      </c>
      <c r="O1924" s="334">
        <v>203553</v>
      </c>
      <c r="P1924" s="25" t="s">
        <v>386</v>
      </c>
      <c r="Q1924" s="127" t="s">
        <v>303</v>
      </c>
      <c r="R1924" s="401" t="s">
        <v>7461</v>
      </c>
      <c r="S1924" s="89">
        <v>44630</v>
      </c>
      <c r="T1924" s="36" t="s">
        <v>19</v>
      </c>
      <c r="U1924" s="125"/>
      <c r="V1924" s="269"/>
      <c r="W1924" s="43"/>
      <c r="X1924" s="88"/>
      <c r="Y1924" s="130" t="s">
        <v>3</v>
      </c>
      <c r="Z1924" s="133" t="s">
        <v>60</v>
      </c>
      <c r="AA1924" s="133" t="s">
        <v>1622</v>
      </c>
      <c r="AB1924" s="241">
        <v>458.33</v>
      </c>
      <c r="AC1924" s="134">
        <v>956.1</v>
      </c>
      <c r="AD1924" s="134"/>
      <c r="AE1924" s="403">
        <f t="shared" si="144"/>
        <v>438209.31300000002</v>
      </c>
      <c r="AF1924" s="132">
        <v>17</v>
      </c>
      <c r="AG1924" s="130" t="s">
        <v>5</v>
      </c>
      <c r="AH1924" s="130"/>
      <c r="AI1924" s="130" t="s">
        <v>100</v>
      </c>
      <c r="AJ1924" s="130" t="s">
        <v>944</v>
      </c>
      <c r="AK1924" s="130" t="s">
        <v>5634</v>
      </c>
      <c r="AL1924" s="135" t="s">
        <v>7452</v>
      </c>
      <c r="AM1924" s="324">
        <v>2022</v>
      </c>
      <c r="AN1924" s="296">
        <v>44690</v>
      </c>
      <c r="AO1924" s="385">
        <v>44692</v>
      </c>
      <c r="AP1924" s="26">
        <f>AQ1924</f>
        <v>44719</v>
      </c>
      <c r="AQ1924" s="385">
        <v>44719</v>
      </c>
      <c r="AR1924" s="24">
        <f>AQ1924+4</f>
        <v>44723</v>
      </c>
      <c r="AS1924" s="24"/>
      <c r="AT1924" s="24">
        <v>44722</v>
      </c>
      <c r="AU1924" s="418">
        <f t="shared" ref="AU1924:AU1988" si="145">MONTH(AT1924)</f>
        <v>6</v>
      </c>
      <c r="AV1924" s="418">
        <f t="shared" ref="AV1924:AV1988" si="146">YEAR(AT1924)</f>
        <v>2022</v>
      </c>
      <c r="AW1924" s="24" t="s">
        <v>7888</v>
      </c>
      <c r="AX1924" s="355" t="s">
        <v>6218</v>
      </c>
      <c r="AY1924" s="24" t="s">
        <v>7153</v>
      </c>
      <c r="AZ1924" s="24" t="s">
        <v>9</v>
      </c>
      <c r="BA1924" s="206" t="s">
        <v>7130</v>
      </c>
      <c r="BB1924" s="24" t="s">
        <v>3264</v>
      </c>
      <c r="BC1924" s="128" t="s">
        <v>7462</v>
      </c>
      <c r="BD1924" s="24">
        <v>44692</v>
      </c>
      <c r="BE1924" s="24" t="s">
        <v>870</v>
      </c>
      <c r="BF1924" s="24" t="s">
        <v>947</v>
      </c>
      <c r="BG1924" s="135" t="s">
        <v>29</v>
      </c>
      <c r="BH1924" s="215" t="s">
        <v>6219</v>
      </c>
      <c r="BI1924" s="317" t="s">
        <v>3</v>
      </c>
      <c r="BJ1924" s="317" t="s">
        <v>148</v>
      </c>
      <c r="BK1924" s="41"/>
      <c r="BL1924" s="24"/>
      <c r="BM1924" s="24"/>
      <c r="BN1924" s="24"/>
      <c r="BO1924" s="24">
        <f>AQ1924+12</f>
        <v>44731</v>
      </c>
      <c r="BP1924" s="136"/>
      <c r="BQ1924" s="136"/>
      <c r="BR1924" s="24"/>
      <c r="BS1924" s="136"/>
      <c r="BT1924" s="136"/>
      <c r="BU1924" s="136"/>
      <c r="BV1924" s="132" t="s">
        <v>6087</v>
      </c>
      <c r="BW1924" s="132" t="s">
        <v>1622</v>
      </c>
      <c r="BX1924" s="132" t="s">
        <v>1622</v>
      </c>
      <c r="BY1924" s="132" t="s">
        <v>1622</v>
      </c>
      <c r="BZ1924" s="132" t="s">
        <v>1622</v>
      </c>
      <c r="CA1924" s="132" t="s">
        <v>1622</v>
      </c>
      <c r="CB1924" s="132" t="s">
        <v>1622</v>
      </c>
      <c r="CC1924" s="375"/>
      <c r="CG1924" s="136"/>
      <c r="CH1924" s="136"/>
      <c r="CI1924" s="24"/>
      <c r="CJ1924" s="24"/>
    </row>
    <row r="1925" spans="1:88" ht="15" customHeight="1">
      <c r="A1925" s="18">
        <v>2022</v>
      </c>
      <c r="B1925" s="18" t="str">
        <f>+INDEX(BDD!F:F,MATCH(P1925,BDD!D:D,0))&amp;"-"&amp;INDEX(BDD!E:E,MATCH(P1925,BDD!D:D,0))</f>
        <v>G-S</v>
      </c>
      <c r="C1925" s="125" t="s">
        <v>484</v>
      </c>
      <c r="D1925" s="150" t="s">
        <v>77</v>
      </c>
      <c r="E1925" s="132" t="s">
        <v>51</v>
      </c>
      <c r="F1925" s="136"/>
      <c r="G1925" s="346">
        <v>8000001986</v>
      </c>
      <c r="H1925" s="18" t="s">
        <v>7463</v>
      </c>
      <c r="I1925" s="331" t="s">
        <v>7464</v>
      </c>
      <c r="J1925" s="346">
        <v>8000001986</v>
      </c>
      <c r="K1925" s="24">
        <v>44684</v>
      </c>
      <c r="L1925" s="24">
        <v>44699</v>
      </c>
      <c r="M1925" s="24">
        <v>44699</v>
      </c>
      <c r="N1925" s="339" t="s">
        <v>486</v>
      </c>
      <c r="O1925" s="334">
        <v>204177</v>
      </c>
      <c r="P1925" s="25" t="s">
        <v>353</v>
      </c>
      <c r="Q1925" s="127" t="s">
        <v>133</v>
      </c>
      <c r="R1925" s="232" t="s">
        <v>7465</v>
      </c>
      <c r="S1925" s="89">
        <v>44636</v>
      </c>
      <c r="T1925" s="36" t="s">
        <v>19</v>
      </c>
      <c r="U1925" s="125"/>
      <c r="V1925" s="269" t="s">
        <v>7466</v>
      </c>
      <c r="W1925" s="361">
        <v>44693</v>
      </c>
      <c r="X1925" s="88"/>
      <c r="Y1925" s="130" t="s">
        <v>20</v>
      </c>
      <c r="Z1925" s="133" t="s">
        <v>72</v>
      </c>
      <c r="AA1925" s="133" t="s">
        <v>1622</v>
      </c>
      <c r="AB1925" s="241">
        <v>168</v>
      </c>
      <c r="AC1925" s="134">
        <v>975</v>
      </c>
      <c r="AD1925" s="134">
        <v>160</v>
      </c>
      <c r="AE1925" s="403">
        <f t="shared" si="144"/>
        <v>163800</v>
      </c>
      <c r="AF1925" s="132">
        <v>6</v>
      </c>
      <c r="AG1925" s="130" t="s">
        <v>33</v>
      </c>
      <c r="AH1925" s="130"/>
      <c r="AI1925" s="130" t="s">
        <v>71</v>
      </c>
      <c r="AJ1925" s="295">
        <v>1</v>
      </c>
      <c r="AK1925" s="130" t="s">
        <v>7365</v>
      </c>
      <c r="AL1925" s="135" t="s">
        <v>7467</v>
      </c>
      <c r="AM1925" s="324">
        <v>2022</v>
      </c>
      <c r="AN1925" s="296">
        <f>AO1925</f>
        <v>44692</v>
      </c>
      <c r="AO1925" s="385">
        <v>44692</v>
      </c>
      <c r="AP1925" s="26">
        <f t="shared" si="141"/>
        <v>44699</v>
      </c>
      <c r="AQ1925" s="26">
        <v>44699</v>
      </c>
      <c r="AR1925" s="24">
        <f>AQ1925</f>
        <v>44699</v>
      </c>
      <c r="AS1925" s="24">
        <f>+AP1925</f>
        <v>44699</v>
      </c>
      <c r="AT1925" s="24">
        <f>+AQ1925</f>
        <v>44699</v>
      </c>
      <c r="AU1925" s="418">
        <f t="shared" si="145"/>
        <v>5</v>
      </c>
      <c r="AV1925" s="418">
        <f t="shared" si="146"/>
        <v>2022</v>
      </c>
      <c r="AW1925" s="24" t="s">
        <v>7875</v>
      </c>
      <c r="AX1925" s="135" t="s">
        <v>7368</v>
      </c>
      <c r="AY1925" s="135" t="s">
        <v>7367</v>
      </c>
      <c r="AZ1925" s="24" t="s">
        <v>62</v>
      </c>
      <c r="BA1925" s="206" t="s">
        <v>1622</v>
      </c>
      <c r="BB1925" s="24" t="s">
        <v>3264</v>
      </c>
      <c r="BC1925" s="24" t="s">
        <v>7930</v>
      </c>
      <c r="BD1925" s="24">
        <v>44693</v>
      </c>
      <c r="BE1925" s="24" t="s">
        <v>6003</v>
      </c>
      <c r="BF1925" s="24" t="s">
        <v>6003</v>
      </c>
      <c r="BG1925" s="135" t="s">
        <v>6003</v>
      </c>
      <c r="BH1925" s="215" t="s">
        <v>1622</v>
      </c>
      <c r="BI1925" s="317" t="s">
        <v>3</v>
      </c>
      <c r="BJ1925" s="317" t="s">
        <v>143</v>
      </c>
      <c r="BK1925" s="24"/>
      <c r="BL1925" s="24"/>
      <c r="BM1925" s="24"/>
      <c r="BN1925" s="24"/>
      <c r="BO1925" s="136"/>
      <c r="BP1925" s="136"/>
      <c r="BQ1925" s="132" t="s">
        <v>7939</v>
      </c>
      <c r="BR1925" s="24">
        <v>44693</v>
      </c>
      <c r="BS1925" s="132" t="s">
        <v>38</v>
      </c>
      <c r="BT1925" s="132" t="s">
        <v>11</v>
      </c>
      <c r="BU1925" s="136"/>
      <c r="BV1925" s="132" t="s">
        <v>6087</v>
      </c>
      <c r="BW1925" s="132" t="s">
        <v>1622</v>
      </c>
      <c r="BX1925" s="132" t="s">
        <v>1622</v>
      </c>
      <c r="BY1925" s="132" t="s">
        <v>1622</v>
      </c>
      <c r="BZ1925" s="132" t="s">
        <v>1622</v>
      </c>
      <c r="CA1925" s="132" t="s">
        <v>1622</v>
      </c>
      <c r="CB1925" s="132" t="s">
        <v>1622</v>
      </c>
      <c r="CC1925" s="375" t="s">
        <v>7468</v>
      </c>
      <c r="CG1925" s="136"/>
      <c r="CH1925" s="136"/>
      <c r="CI1925" s="24"/>
      <c r="CJ1925" s="24"/>
    </row>
    <row r="1926" spans="1:88" ht="15" customHeight="1">
      <c r="A1926" s="18">
        <v>2022</v>
      </c>
      <c r="B1926" s="18" t="str">
        <f>+INDEX(BDD!F:F,MATCH(P1926,BDD!D:D,0))&amp;"-"&amp;INDEX(BDD!E:E,MATCH(P1926,BDD!D:D,0))</f>
        <v>G-S</v>
      </c>
      <c r="C1926" s="125" t="s">
        <v>484</v>
      </c>
      <c r="D1926" s="150" t="s">
        <v>77</v>
      </c>
      <c r="E1926" s="132" t="s">
        <v>51</v>
      </c>
      <c r="F1926" s="136"/>
      <c r="G1926" s="346">
        <v>8000001987</v>
      </c>
      <c r="H1926" s="18" t="s">
        <v>7469</v>
      </c>
      <c r="I1926" s="331" t="s">
        <v>7464</v>
      </c>
      <c r="J1926" s="346">
        <v>8000001987</v>
      </c>
      <c r="K1926" s="24">
        <v>44684</v>
      </c>
      <c r="L1926" s="24">
        <v>44699</v>
      </c>
      <c r="M1926" s="24">
        <v>44700</v>
      </c>
      <c r="N1926" s="339" t="s">
        <v>486</v>
      </c>
      <c r="O1926" s="334">
        <v>204177</v>
      </c>
      <c r="P1926" s="25" t="s">
        <v>353</v>
      </c>
      <c r="Q1926" s="127" t="s">
        <v>133</v>
      </c>
      <c r="R1926" s="232" t="s">
        <v>7465</v>
      </c>
      <c r="S1926" s="89">
        <v>44636</v>
      </c>
      <c r="T1926" s="36" t="s">
        <v>19</v>
      </c>
      <c r="U1926" s="125"/>
      <c r="V1926" s="147" t="s">
        <v>7470</v>
      </c>
      <c r="W1926" s="354">
        <v>44698</v>
      </c>
      <c r="X1926" s="88"/>
      <c r="Y1926" s="130" t="s">
        <v>20</v>
      </c>
      <c r="Z1926" s="133" t="s">
        <v>72</v>
      </c>
      <c r="AA1926" s="133" t="s">
        <v>1622</v>
      </c>
      <c r="AB1926" s="241">
        <v>196</v>
      </c>
      <c r="AC1926" s="134">
        <v>975</v>
      </c>
      <c r="AD1926" s="134">
        <v>160</v>
      </c>
      <c r="AE1926" s="403">
        <f t="shared" si="144"/>
        <v>191100</v>
      </c>
      <c r="AF1926" s="132">
        <v>7</v>
      </c>
      <c r="AG1926" s="130" t="s">
        <v>33</v>
      </c>
      <c r="AH1926" s="130"/>
      <c r="AI1926" s="130" t="s">
        <v>71</v>
      </c>
      <c r="AJ1926" s="295">
        <v>1</v>
      </c>
      <c r="AK1926" s="130" t="s">
        <v>7365</v>
      </c>
      <c r="AL1926" s="135" t="s">
        <v>7467</v>
      </c>
      <c r="AM1926" s="324">
        <v>2022</v>
      </c>
      <c r="AN1926" s="296">
        <f>AO1926</f>
        <v>44699</v>
      </c>
      <c r="AO1926" s="385">
        <f>AQ1926-3</f>
        <v>44699</v>
      </c>
      <c r="AP1926" s="26">
        <f t="shared" si="141"/>
        <v>44702</v>
      </c>
      <c r="AQ1926" s="26">
        <v>44702</v>
      </c>
      <c r="AR1926" s="24">
        <f>AQ1926</f>
        <v>44702</v>
      </c>
      <c r="AS1926" s="24"/>
      <c r="AT1926" s="24">
        <f>+AQ1926</f>
        <v>44702</v>
      </c>
      <c r="AU1926" s="418">
        <f t="shared" si="145"/>
        <v>5</v>
      </c>
      <c r="AV1926" s="418">
        <f t="shared" si="146"/>
        <v>2022</v>
      </c>
      <c r="AW1926" s="24" t="s">
        <v>7875</v>
      </c>
      <c r="AX1926" s="135" t="s">
        <v>7368</v>
      </c>
      <c r="AY1926" s="135" t="s">
        <v>7367</v>
      </c>
      <c r="AZ1926" s="24" t="s">
        <v>62</v>
      </c>
      <c r="BA1926" s="206" t="s">
        <v>1622</v>
      </c>
      <c r="BB1926" s="24" t="s">
        <v>3264</v>
      </c>
      <c r="BC1926" s="24" t="s">
        <v>7992</v>
      </c>
      <c r="BD1926" s="24">
        <v>44697</v>
      </c>
      <c r="BE1926" s="24" t="s">
        <v>6003</v>
      </c>
      <c r="BF1926" s="24" t="s">
        <v>6003</v>
      </c>
      <c r="BG1926" s="135" t="s">
        <v>6003</v>
      </c>
      <c r="BH1926" s="215" t="s">
        <v>1622</v>
      </c>
      <c r="BI1926" s="317" t="s">
        <v>3</v>
      </c>
      <c r="BJ1926" s="317" t="s">
        <v>143</v>
      </c>
      <c r="BK1926" s="24"/>
      <c r="BL1926" s="24"/>
      <c r="BM1926" s="24"/>
      <c r="BN1926" s="24"/>
      <c r="BO1926" s="136"/>
      <c r="BP1926" s="136"/>
      <c r="BQ1926" s="317" t="s">
        <v>7995</v>
      </c>
      <c r="BR1926" s="24">
        <v>44699</v>
      </c>
      <c r="BS1926" s="317" t="s">
        <v>38</v>
      </c>
      <c r="BT1926" s="317" t="s">
        <v>11</v>
      </c>
      <c r="BU1926" s="136"/>
      <c r="BV1926" s="132" t="s">
        <v>6087</v>
      </c>
      <c r="BW1926" s="132" t="s">
        <v>1622</v>
      </c>
      <c r="BX1926" s="132" t="s">
        <v>1622</v>
      </c>
      <c r="BY1926" s="132" t="s">
        <v>1622</v>
      </c>
      <c r="BZ1926" s="132" t="s">
        <v>1622</v>
      </c>
      <c r="CA1926" s="132" t="s">
        <v>1622</v>
      </c>
      <c r="CB1926" s="132" t="s">
        <v>1622</v>
      </c>
      <c r="CC1926" s="375" t="s">
        <v>7471</v>
      </c>
      <c r="CG1926" s="136"/>
      <c r="CH1926" s="136"/>
      <c r="CI1926" s="24"/>
      <c r="CJ1926" s="24"/>
    </row>
    <row r="1927" spans="1:88" ht="15" customHeight="1">
      <c r="A1927" s="18">
        <v>2022</v>
      </c>
      <c r="B1927" s="18" t="str">
        <f>+INDEX(BDD!F:F,MATCH(P1927,BDD!D:D,0))&amp;"-"&amp;INDEX(BDD!E:E,MATCH(P1927,BDD!D:D,0))</f>
        <v>G-S</v>
      </c>
      <c r="C1927" s="125" t="s">
        <v>484</v>
      </c>
      <c r="D1927" s="150" t="s">
        <v>77</v>
      </c>
      <c r="E1927" s="132" t="s">
        <v>51</v>
      </c>
      <c r="F1927" s="136"/>
      <c r="G1927" s="346">
        <v>8000001988</v>
      </c>
      <c r="H1927" s="18" t="s">
        <v>7472</v>
      </c>
      <c r="I1927" s="331" t="s">
        <v>7464</v>
      </c>
      <c r="J1927" s="346">
        <v>8000001988</v>
      </c>
      <c r="K1927" s="24">
        <v>44701</v>
      </c>
      <c r="L1927" s="24">
        <v>44704</v>
      </c>
      <c r="M1927" s="24">
        <v>44705</v>
      </c>
      <c r="N1927" s="339" t="s">
        <v>486</v>
      </c>
      <c r="O1927" s="334">
        <v>204177</v>
      </c>
      <c r="P1927" s="25" t="s">
        <v>353</v>
      </c>
      <c r="Q1927" s="127" t="s">
        <v>133</v>
      </c>
      <c r="R1927" s="232" t="s">
        <v>7465</v>
      </c>
      <c r="S1927" s="89">
        <v>44636</v>
      </c>
      <c r="T1927" s="36" t="s">
        <v>19</v>
      </c>
      <c r="U1927" s="125"/>
      <c r="V1927" s="147" t="s">
        <v>8007</v>
      </c>
      <c r="W1927" s="354">
        <v>44700</v>
      </c>
      <c r="X1927" s="88"/>
      <c r="Y1927" s="130" t="s">
        <v>20</v>
      </c>
      <c r="Z1927" s="133" t="s">
        <v>72</v>
      </c>
      <c r="AA1927" s="133" t="s">
        <v>1622</v>
      </c>
      <c r="AB1927" s="241">
        <v>196</v>
      </c>
      <c r="AC1927" s="134">
        <v>975</v>
      </c>
      <c r="AD1927" s="134">
        <v>75</v>
      </c>
      <c r="AE1927" s="403">
        <f t="shared" si="144"/>
        <v>191100</v>
      </c>
      <c r="AF1927" s="132">
        <v>7</v>
      </c>
      <c r="AG1927" s="130" t="s">
        <v>33</v>
      </c>
      <c r="AH1927" s="130"/>
      <c r="AI1927" s="130" t="s">
        <v>71</v>
      </c>
      <c r="AJ1927" s="295">
        <v>1</v>
      </c>
      <c r="AK1927" s="130" t="s">
        <v>7365</v>
      </c>
      <c r="AL1927" s="135" t="s">
        <v>7467</v>
      </c>
      <c r="AM1927" s="324">
        <v>2022</v>
      </c>
      <c r="AN1927" s="296">
        <v>44704</v>
      </c>
      <c r="AO1927" s="385">
        <v>44700</v>
      </c>
      <c r="AP1927" s="26">
        <v>44704</v>
      </c>
      <c r="AQ1927" s="385">
        <v>44704</v>
      </c>
      <c r="AR1927" s="24">
        <f>AQ1927</f>
        <v>44704</v>
      </c>
      <c r="AS1927" s="24">
        <v>44704</v>
      </c>
      <c r="AT1927" s="24">
        <f>+AQ1927</f>
        <v>44704</v>
      </c>
      <c r="AU1927" s="418">
        <f t="shared" si="145"/>
        <v>5</v>
      </c>
      <c r="AV1927" s="418">
        <f t="shared" si="146"/>
        <v>2022</v>
      </c>
      <c r="AW1927" s="24" t="s">
        <v>7875</v>
      </c>
      <c r="AX1927" s="135" t="s">
        <v>7368</v>
      </c>
      <c r="AY1927" s="135" t="s">
        <v>7367</v>
      </c>
      <c r="AZ1927" s="24" t="s">
        <v>62</v>
      </c>
      <c r="BA1927" s="206" t="s">
        <v>1622</v>
      </c>
      <c r="BB1927" s="24" t="s">
        <v>3264</v>
      </c>
      <c r="BC1927" s="24" t="s">
        <v>8006</v>
      </c>
      <c r="BD1927" s="24">
        <v>44700</v>
      </c>
      <c r="BE1927" s="24" t="s">
        <v>6003</v>
      </c>
      <c r="BF1927" s="24" t="s">
        <v>6003</v>
      </c>
      <c r="BG1927" s="135" t="s">
        <v>6003</v>
      </c>
      <c r="BH1927" s="215" t="s">
        <v>1622</v>
      </c>
      <c r="BI1927" s="317" t="s">
        <v>3</v>
      </c>
      <c r="BJ1927" s="317" t="s">
        <v>143</v>
      </c>
      <c r="BK1927" s="24"/>
      <c r="BL1927" s="24"/>
      <c r="BM1927" s="24"/>
      <c r="BN1927" s="24"/>
      <c r="BO1927" s="136"/>
      <c r="BP1927" s="136"/>
      <c r="BQ1927" s="132" t="s">
        <v>8022</v>
      </c>
      <c r="BR1927" s="24">
        <v>44700</v>
      </c>
      <c r="BS1927" s="24" t="s">
        <v>38</v>
      </c>
      <c r="BT1927" s="24" t="s">
        <v>11</v>
      </c>
      <c r="BU1927" s="136"/>
      <c r="BV1927" s="132" t="s">
        <v>6087</v>
      </c>
      <c r="BW1927" s="132" t="s">
        <v>1622</v>
      </c>
      <c r="BX1927" s="132" t="s">
        <v>1622</v>
      </c>
      <c r="BY1927" s="132" t="s">
        <v>1622</v>
      </c>
      <c r="BZ1927" s="132" t="s">
        <v>1622</v>
      </c>
      <c r="CA1927" s="132" t="s">
        <v>1622</v>
      </c>
      <c r="CB1927" s="132" t="s">
        <v>1622</v>
      </c>
      <c r="CC1927" s="375" t="s">
        <v>7473</v>
      </c>
      <c r="CG1927" s="136"/>
      <c r="CH1927" s="136"/>
      <c r="CI1927" s="24"/>
      <c r="CJ1927" s="24"/>
    </row>
    <row r="1928" spans="1:88" ht="15" customHeight="1">
      <c r="A1928" s="18">
        <v>2022</v>
      </c>
      <c r="B1928" s="18" t="str">
        <f>+INDEX(BDD!F:F,MATCH(P1928,BDD!D:D,0))&amp;"-"&amp;INDEX(BDD!E:E,MATCH(P1928,BDD!D:D,0))</f>
        <v>G-S</v>
      </c>
      <c r="C1928" s="125" t="s">
        <v>484</v>
      </c>
      <c r="D1928" s="150" t="s">
        <v>77</v>
      </c>
      <c r="E1928" s="132" t="s">
        <v>51</v>
      </c>
      <c r="F1928" s="136"/>
      <c r="G1928" s="346">
        <v>8000001989</v>
      </c>
      <c r="H1928" s="18" t="s">
        <v>7474</v>
      </c>
      <c r="I1928" s="331" t="s">
        <v>7464</v>
      </c>
      <c r="J1928" s="346">
        <v>8000001989</v>
      </c>
      <c r="K1928" s="24">
        <v>44684</v>
      </c>
      <c r="L1928" s="412">
        <v>44707</v>
      </c>
      <c r="M1928" s="412">
        <v>44708</v>
      </c>
      <c r="N1928" s="339" t="s">
        <v>486</v>
      </c>
      <c r="O1928" s="334">
        <v>204177</v>
      </c>
      <c r="P1928" s="25" t="s">
        <v>353</v>
      </c>
      <c r="Q1928" s="127" t="s">
        <v>133</v>
      </c>
      <c r="R1928" s="232" t="s">
        <v>7465</v>
      </c>
      <c r="S1928" s="89">
        <v>44636</v>
      </c>
      <c r="T1928" s="36" t="s">
        <v>19</v>
      </c>
      <c r="U1928" s="125"/>
      <c r="V1928" s="147" t="s">
        <v>8043</v>
      </c>
      <c r="W1928" s="24">
        <v>44701</v>
      </c>
      <c r="X1928" s="88"/>
      <c r="Y1928" s="130" t="s">
        <v>20</v>
      </c>
      <c r="Z1928" s="133" t="s">
        <v>72</v>
      </c>
      <c r="AA1928" s="133" t="s">
        <v>1622</v>
      </c>
      <c r="AB1928" s="241">
        <v>115</v>
      </c>
      <c r="AC1928" s="134">
        <v>975</v>
      </c>
      <c r="AD1928" s="134"/>
      <c r="AE1928" s="403">
        <f t="shared" si="144"/>
        <v>112125</v>
      </c>
      <c r="AF1928" s="132">
        <v>4</v>
      </c>
      <c r="AG1928" s="130" t="s">
        <v>33</v>
      </c>
      <c r="AH1928" s="130"/>
      <c r="AI1928" s="130" t="s">
        <v>71</v>
      </c>
      <c r="AJ1928" s="295">
        <v>1</v>
      </c>
      <c r="AK1928" s="130" t="s">
        <v>7365</v>
      </c>
      <c r="AL1928" s="135" t="s">
        <v>7467</v>
      </c>
      <c r="AM1928" s="324">
        <v>2022</v>
      </c>
      <c r="AN1928" s="296">
        <f>AO1928</f>
        <v>44709</v>
      </c>
      <c r="AO1928" s="385">
        <v>44709</v>
      </c>
      <c r="AP1928" s="26">
        <f t="shared" si="141"/>
        <v>44706</v>
      </c>
      <c r="AQ1928" s="385">
        <v>44706</v>
      </c>
      <c r="AR1928" s="24">
        <f>AQ1928</f>
        <v>44706</v>
      </c>
      <c r="AS1928" s="24"/>
      <c r="AT1928" s="24">
        <f>+AQ1928</f>
        <v>44706</v>
      </c>
      <c r="AU1928" s="418">
        <f t="shared" si="145"/>
        <v>5</v>
      </c>
      <c r="AV1928" s="418">
        <f t="shared" si="146"/>
        <v>2022</v>
      </c>
      <c r="AW1928" s="24" t="s">
        <v>7874</v>
      </c>
      <c r="AX1928" s="135" t="s">
        <v>7368</v>
      </c>
      <c r="AY1928" s="135" t="s">
        <v>7367</v>
      </c>
      <c r="AZ1928" s="24" t="s">
        <v>62</v>
      </c>
      <c r="BA1928" s="206" t="s">
        <v>1622</v>
      </c>
      <c r="BB1928" s="24" t="s">
        <v>3264</v>
      </c>
      <c r="BC1928" s="24" t="s">
        <v>8044</v>
      </c>
      <c r="BD1928" s="24">
        <v>44701</v>
      </c>
      <c r="BE1928" s="24" t="s">
        <v>6003</v>
      </c>
      <c r="BF1928" s="24" t="s">
        <v>6003</v>
      </c>
      <c r="BG1928" s="135" t="s">
        <v>6003</v>
      </c>
      <c r="BH1928" s="215" t="s">
        <v>1622</v>
      </c>
      <c r="BI1928" s="317" t="s">
        <v>3</v>
      </c>
      <c r="BJ1928" s="317" t="s">
        <v>143</v>
      </c>
      <c r="BK1928" s="24"/>
      <c r="BL1928" s="24"/>
      <c r="BM1928" s="24"/>
      <c r="BN1928" s="24"/>
      <c r="BO1928" s="136"/>
      <c r="BP1928" s="136"/>
      <c r="BQ1928" s="212" t="s">
        <v>8049</v>
      </c>
      <c r="BR1928" s="24">
        <v>44705</v>
      </c>
      <c r="BS1928" s="317" t="s">
        <v>38</v>
      </c>
      <c r="BT1928" s="24" t="s">
        <v>11</v>
      </c>
      <c r="BU1928" s="136"/>
      <c r="BV1928" s="132" t="s">
        <v>6087</v>
      </c>
      <c r="BW1928" s="132" t="s">
        <v>1622</v>
      </c>
      <c r="BX1928" s="132" t="s">
        <v>1622</v>
      </c>
      <c r="BY1928" s="132" t="s">
        <v>1622</v>
      </c>
      <c r="BZ1928" s="132" t="s">
        <v>1622</v>
      </c>
      <c r="CA1928" s="132" t="s">
        <v>1622</v>
      </c>
      <c r="CB1928" s="132" t="s">
        <v>1622</v>
      </c>
      <c r="CC1928" s="375" t="s">
        <v>7475</v>
      </c>
      <c r="CG1928" s="136"/>
      <c r="CH1928" s="136"/>
      <c r="CI1928" s="24"/>
      <c r="CJ1928" s="24"/>
    </row>
    <row r="1929" spans="1:88" ht="15" customHeight="1">
      <c r="A1929" s="18">
        <v>2022</v>
      </c>
      <c r="B1929" s="18" t="e">
        <f>+INDEX(BDD!F:F,MATCH(P1929,BDD!D:D,0))&amp;"-"&amp;INDEX(BDD!E:E,MATCH(P1929,BDD!D:D,0))</f>
        <v>#N/A</v>
      </c>
      <c r="C1929" s="360" t="s">
        <v>5398</v>
      </c>
      <c r="D1929" s="150" t="s">
        <v>3</v>
      </c>
      <c r="E1929" s="132" t="s">
        <v>51</v>
      </c>
      <c r="F1929" s="136"/>
      <c r="G1929" s="346">
        <v>8000001880</v>
      </c>
      <c r="H1929" s="18" t="s">
        <v>7476</v>
      </c>
      <c r="I1929" s="331" t="s">
        <v>7477</v>
      </c>
      <c r="J1929" s="346">
        <v>8000001880</v>
      </c>
      <c r="K1929" s="24">
        <v>44638</v>
      </c>
      <c r="L1929" s="24"/>
      <c r="M1929" s="24"/>
      <c r="N1929" s="339" t="s">
        <v>3</v>
      </c>
      <c r="O1929" s="334">
        <v>205258</v>
      </c>
      <c r="P1929" s="25" t="s">
        <v>7478</v>
      </c>
      <c r="Q1929" s="127" t="s">
        <v>7025</v>
      </c>
      <c r="R1929" s="232" t="s">
        <v>944</v>
      </c>
      <c r="S1929" s="89">
        <v>44638</v>
      </c>
      <c r="T1929" s="36" t="s">
        <v>19</v>
      </c>
      <c r="U1929" s="125"/>
      <c r="V1929" s="147"/>
      <c r="W1929" s="129"/>
      <c r="X1929" s="88"/>
      <c r="Y1929" s="130" t="s">
        <v>3</v>
      </c>
      <c r="Z1929" s="133" t="s">
        <v>60</v>
      </c>
      <c r="AA1929" s="133" t="s">
        <v>6619</v>
      </c>
      <c r="AB1929" s="241">
        <v>225</v>
      </c>
      <c r="AC1929" s="134">
        <v>900</v>
      </c>
      <c r="AD1929" s="134"/>
      <c r="AE1929" s="403">
        <f t="shared" si="144"/>
        <v>202500</v>
      </c>
      <c r="AF1929" s="132"/>
      <c r="AG1929" s="130" t="s">
        <v>58</v>
      </c>
      <c r="AH1929" s="130"/>
      <c r="AI1929" s="130" t="s">
        <v>34</v>
      </c>
      <c r="AJ1929" s="295"/>
      <c r="AK1929" s="130" t="s">
        <v>5400</v>
      </c>
      <c r="AL1929" s="135" t="s">
        <v>7452</v>
      </c>
      <c r="AM1929" s="324"/>
      <c r="AN1929" s="359">
        <v>44697</v>
      </c>
      <c r="AO1929" s="385">
        <v>44711</v>
      </c>
      <c r="AP1929" s="26">
        <f>AQ1929</f>
        <v>44742</v>
      </c>
      <c r="AQ1929" s="385">
        <v>44742</v>
      </c>
      <c r="AR1929" s="24">
        <f>AQ1929+10</f>
        <v>44752</v>
      </c>
      <c r="AS1929" s="24"/>
      <c r="AT1929" s="24">
        <v>44746</v>
      </c>
      <c r="AU1929" s="418">
        <f t="shared" si="145"/>
        <v>7</v>
      </c>
      <c r="AV1929" s="418">
        <f t="shared" si="146"/>
        <v>2022</v>
      </c>
      <c r="AW1929" s="24" t="s">
        <v>7875</v>
      </c>
      <c r="AX1929" s="135" t="s">
        <v>5402</v>
      </c>
      <c r="AY1929" s="135"/>
      <c r="AZ1929" s="24" t="s">
        <v>37</v>
      </c>
      <c r="BA1929" s="206"/>
      <c r="BB1929" s="24" t="s">
        <v>3291</v>
      </c>
      <c r="BC1929" s="292"/>
      <c r="BD1929" s="24"/>
      <c r="BE1929" s="292"/>
      <c r="BF1929" s="292"/>
      <c r="BG1929" s="135" t="s">
        <v>52</v>
      </c>
      <c r="BH1929" s="215"/>
      <c r="BI1929" s="317" t="s">
        <v>3</v>
      </c>
      <c r="BJ1929" s="317"/>
      <c r="BK1929" s="24"/>
      <c r="BL1929" s="24"/>
      <c r="BM1929" s="24"/>
      <c r="BN1929" s="24"/>
      <c r="BO1929" s="136"/>
      <c r="BP1929" s="136"/>
      <c r="BQ1929" s="136"/>
      <c r="BR1929" s="24"/>
      <c r="BS1929" s="136"/>
      <c r="BT1929" s="136"/>
      <c r="BU1929" s="136"/>
      <c r="BV1929" s="132" t="e">
        <f>IF(#REF!="COMPLETO","OK","PENDIENTE")</f>
        <v>#REF!</v>
      </c>
      <c r="BW1929" s="132"/>
      <c r="BX1929" s="132"/>
      <c r="BY1929" s="132"/>
      <c r="BZ1929" s="132"/>
      <c r="CA1929" s="132"/>
      <c r="CB1929" s="132"/>
      <c r="CC1929" s="378"/>
      <c r="CG1929" s="136"/>
      <c r="CH1929" s="136"/>
      <c r="CI1929" s="24"/>
      <c r="CJ1929" s="24"/>
    </row>
    <row r="1930" spans="1:88" ht="15" customHeight="1">
      <c r="A1930" s="298">
        <v>2022</v>
      </c>
      <c r="B1930" s="18" t="e">
        <f>+INDEX(BDD!F:F,MATCH(P1930,BDD!D:D,0))&amp;"-"&amp;INDEX(BDD!E:E,MATCH(P1930,BDD!D:D,0))</f>
        <v>#N/A</v>
      </c>
      <c r="C1930" s="360" t="s">
        <v>5398</v>
      </c>
      <c r="D1930" s="150" t="s">
        <v>3</v>
      </c>
      <c r="E1930" s="132" t="s">
        <v>7904</v>
      </c>
      <c r="F1930" s="136"/>
      <c r="G1930" s="346">
        <v>8000001906</v>
      </c>
      <c r="H1930" s="18" t="s">
        <v>7479</v>
      </c>
      <c r="I1930" s="329" t="s">
        <v>7480</v>
      </c>
      <c r="J1930" s="346">
        <v>8000001906</v>
      </c>
      <c r="K1930" s="24">
        <v>44652</v>
      </c>
      <c r="L1930" s="24"/>
      <c r="M1930" s="24"/>
      <c r="N1930" s="340" t="s">
        <v>3</v>
      </c>
      <c r="O1930" s="334">
        <v>206636</v>
      </c>
      <c r="P1930" s="25" t="s">
        <v>7481</v>
      </c>
      <c r="Q1930" s="127" t="s">
        <v>297</v>
      </c>
      <c r="R1930" s="232" t="s">
        <v>7482</v>
      </c>
      <c r="S1930" s="89">
        <v>44651</v>
      </c>
      <c r="T1930" s="36">
        <v>90</v>
      </c>
      <c r="U1930" s="125" t="s">
        <v>118</v>
      </c>
      <c r="V1930" s="147"/>
      <c r="W1930" s="129"/>
      <c r="X1930" s="88"/>
      <c r="Y1930" s="130" t="s">
        <v>3</v>
      </c>
      <c r="Z1930" s="133" t="s">
        <v>60</v>
      </c>
      <c r="AA1930" s="133" t="s">
        <v>6619</v>
      </c>
      <c r="AB1930" s="241">
        <v>310</v>
      </c>
      <c r="AC1930" s="134">
        <v>810</v>
      </c>
      <c r="AD1930" s="134"/>
      <c r="AE1930" s="403">
        <f t="shared" si="144"/>
        <v>251100</v>
      </c>
      <c r="AF1930" s="132" t="s">
        <v>1622</v>
      </c>
      <c r="AG1930" s="130" t="s">
        <v>58</v>
      </c>
      <c r="AH1930" s="130"/>
      <c r="AI1930" s="130" t="s">
        <v>34</v>
      </c>
      <c r="AJ1930" s="295">
        <v>1</v>
      </c>
      <c r="AK1930" s="130" t="s">
        <v>7090</v>
      </c>
      <c r="AL1930" s="135" t="s">
        <v>7467</v>
      </c>
      <c r="AM1930" s="324">
        <v>2022</v>
      </c>
      <c r="AN1930" s="359">
        <v>44697</v>
      </c>
      <c r="AO1930" s="385">
        <v>44726</v>
      </c>
      <c r="AP1930" s="26">
        <f>AQ1930</f>
        <v>44772</v>
      </c>
      <c r="AQ1930" s="385">
        <f>AO1930+46</f>
        <v>44772</v>
      </c>
      <c r="AR1930" s="24">
        <f>AQ1930+17</f>
        <v>44789</v>
      </c>
      <c r="AS1930" s="24"/>
      <c r="AT1930" s="24">
        <v>44776</v>
      </c>
      <c r="AU1930" s="418">
        <f t="shared" si="145"/>
        <v>8</v>
      </c>
      <c r="AV1930" s="418">
        <f t="shared" si="146"/>
        <v>2022</v>
      </c>
      <c r="AW1930" s="24" t="s">
        <v>7874</v>
      </c>
      <c r="AX1930" s="135" t="s">
        <v>5402</v>
      </c>
      <c r="AY1930" s="135" t="s">
        <v>7483</v>
      </c>
      <c r="AZ1930" s="24" t="s">
        <v>37</v>
      </c>
      <c r="BA1930" s="206"/>
      <c r="BB1930" s="24" t="s">
        <v>3291</v>
      </c>
      <c r="BC1930" s="24" t="s">
        <v>8014</v>
      </c>
      <c r="BD1930" s="24">
        <v>44709</v>
      </c>
      <c r="BE1930" s="24" t="s">
        <v>8106</v>
      </c>
      <c r="BF1930" s="24" t="s">
        <v>8011</v>
      </c>
      <c r="BG1930" s="135" t="s">
        <v>52</v>
      </c>
      <c r="BH1930" s="215"/>
      <c r="BI1930" s="317" t="s">
        <v>3</v>
      </c>
      <c r="BJ1930" s="317"/>
      <c r="BK1930" s="24"/>
      <c r="BL1930" s="24"/>
      <c r="BM1930" s="24"/>
      <c r="BN1930" s="24"/>
      <c r="BO1930" s="136"/>
      <c r="BP1930" s="136"/>
      <c r="BQ1930" s="136"/>
      <c r="BR1930" s="24"/>
      <c r="BS1930" s="136"/>
      <c r="BT1930" s="136"/>
      <c r="BU1930" s="136"/>
      <c r="BV1930" s="132" t="e">
        <f>IF(#REF!="COMPLETO","OK","PENDIENTE")</f>
        <v>#REF!</v>
      </c>
      <c r="BW1930" s="132"/>
      <c r="BX1930" s="132"/>
      <c r="BY1930" s="132"/>
      <c r="BZ1930" s="132"/>
      <c r="CA1930" s="132"/>
      <c r="CB1930" s="132"/>
      <c r="CC1930" s="378"/>
      <c r="CG1930" s="136"/>
      <c r="CH1930" s="136"/>
      <c r="CI1930" s="24"/>
      <c r="CJ1930" s="24"/>
    </row>
    <row r="1931" spans="1:88" ht="14.45" customHeight="1">
      <c r="A1931" s="298">
        <v>2022</v>
      </c>
      <c r="B1931" s="18" t="e">
        <f>+INDEX(BDD!F:F,MATCH(P1931,BDD!D:D,0))&amp;"-"&amp;INDEX(BDD!E:E,MATCH(P1931,BDD!D:D,0))</f>
        <v>#N/A</v>
      </c>
      <c r="C1931" s="360" t="s">
        <v>5398</v>
      </c>
      <c r="D1931" s="150" t="s">
        <v>3</v>
      </c>
      <c r="E1931" s="132" t="s">
        <v>7904</v>
      </c>
      <c r="F1931" s="136"/>
      <c r="G1931" s="346">
        <v>8000001907</v>
      </c>
      <c r="H1931" s="18" t="s">
        <v>7484</v>
      </c>
      <c r="I1931" s="329" t="s">
        <v>7485</v>
      </c>
      <c r="J1931" s="346">
        <v>8000001907</v>
      </c>
      <c r="K1931" s="24">
        <v>44652</v>
      </c>
      <c r="L1931" s="24"/>
      <c r="M1931" s="24"/>
      <c r="N1931" s="340" t="s">
        <v>3</v>
      </c>
      <c r="O1931" s="334">
        <v>206636</v>
      </c>
      <c r="P1931" s="25" t="s">
        <v>7481</v>
      </c>
      <c r="Q1931" s="127" t="s">
        <v>297</v>
      </c>
      <c r="R1931" s="232" t="s">
        <v>7482</v>
      </c>
      <c r="S1931" s="89">
        <v>44651</v>
      </c>
      <c r="T1931" s="36">
        <v>90</v>
      </c>
      <c r="U1931" s="125" t="s">
        <v>118</v>
      </c>
      <c r="V1931" s="147"/>
      <c r="W1931" s="129"/>
      <c r="X1931" s="88"/>
      <c r="Y1931" s="130" t="s">
        <v>3</v>
      </c>
      <c r="Z1931" s="133" t="s">
        <v>60</v>
      </c>
      <c r="AA1931" s="133" t="s">
        <v>6619</v>
      </c>
      <c r="AB1931" s="241">
        <v>710</v>
      </c>
      <c r="AC1931" s="134">
        <v>870</v>
      </c>
      <c r="AD1931" s="134"/>
      <c r="AE1931" s="403">
        <f t="shared" si="144"/>
        <v>617700</v>
      </c>
      <c r="AF1931" s="132" t="s">
        <v>1622</v>
      </c>
      <c r="AG1931" s="130" t="s">
        <v>58</v>
      </c>
      <c r="AH1931" s="130"/>
      <c r="AI1931" s="130" t="s">
        <v>34</v>
      </c>
      <c r="AJ1931" s="295">
        <v>1</v>
      </c>
      <c r="AK1931" s="130" t="s">
        <v>7090</v>
      </c>
      <c r="AL1931" s="135" t="s">
        <v>7467</v>
      </c>
      <c r="AM1931" s="324">
        <v>2022</v>
      </c>
      <c r="AN1931" s="359">
        <v>44697</v>
      </c>
      <c r="AO1931" s="385">
        <v>44726</v>
      </c>
      <c r="AP1931" s="26">
        <f>AQ1931</f>
        <v>44772</v>
      </c>
      <c r="AQ1931" s="385">
        <f>AO1931+46</f>
        <v>44772</v>
      </c>
      <c r="AR1931" s="24">
        <f>AQ1931+17</f>
        <v>44789</v>
      </c>
      <c r="AS1931" s="24"/>
      <c r="AT1931" s="24">
        <v>44776</v>
      </c>
      <c r="AU1931" s="418">
        <f t="shared" si="145"/>
        <v>8</v>
      </c>
      <c r="AV1931" s="418">
        <f t="shared" si="146"/>
        <v>2022</v>
      </c>
      <c r="AW1931" s="24" t="s">
        <v>7874</v>
      </c>
      <c r="AX1931" s="135" t="s">
        <v>5402</v>
      </c>
      <c r="AY1931" s="135" t="s">
        <v>7483</v>
      </c>
      <c r="AZ1931" s="24" t="s">
        <v>37</v>
      </c>
      <c r="BA1931" s="206"/>
      <c r="BB1931" s="24" t="s">
        <v>3291</v>
      </c>
      <c r="BC1931" s="24" t="s">
        <v>8014</v>
      </c>
      <c r="BD1931" s="24">
        <v>44709</v>
      </c>
      <c r="BE1931" s="24" t="s">
        <v>8106</v>
      </c>
      <c r="BF1931" s="24" t="s">
        <v>8011</v>
      </c>
      <c r="BG1931" s="135" t="s">
        <v>52</v>
      </c>
      <c r="BH1931" s="215"/>
      <c r="BI1931" s="317" t="s">
        <v>3</v>
      </c>
      <c r="BJ1931" s="317"/>
      <c r="BK1931" s="24"/>
      <c r="BL1931" s="24"/>
      <c r="BM1931" s="24"/>
      <c r="BN1931" s="24"/>
      <c r="BO1931" s="136"/>
      <c r="BP1931" s="136"/>
      <c r="BQ1931" s="136"/>
      <c r="BR1931" s="24"/>
      <c r="BS1931" s="136"/>
      <c r="BT1931" s="136"/>
      <c r="BU1931" s="136"/>
      <c r="BV1931" s="132" t="e">
        <f>IF(#REF!="COMPLETO","OK","PENDIENTE")</f>
        <v>#REF!</v>
      </c>
      <c r="BW1931" s="132"/>
      <c r="BX1931" s="132"/>
      <c r="BY1931" s="132"/>
      <c r="BZ1931" s="132"/>
      <c r="CA1931" s="132"/>
      <c r="CB1931" s="132"/>
      <c r="CC1931" s="378"/>
      <c r="CG1931" s="136"/>
      <c r="CH1931" s="136"/>
      <c r="CI1931" s="24"/>
      <c r="CJ1931" s="24"/>
    </row>
    <row r="1932" spans="1:88" ht="15" customHeight="1">
      <c r="A1932" s="298">
        <v>2022</v>
      </c>
      <c r="B1932" s="18" t="str">
        <f>+INDEX(BDD!F:F,MATCH(P1932,BDD!D:D,0))&amp;"-"&amp;INDEX(BDD!E:E,MATCH(P1932,BDD!D:D,0))</f>
        <v>T-S</v>
      </c>
      <c r="C1932" s="125" t="s">
        <v>484</v>
      </c>
      <c r="D1932" s="150" t="s">
        <v>77</v>
      </c>
      <c r="E1932" s="132" t="s">
        <v>51</v>
      </c>
      <c r="F1932" s="67"/>
      <c r="G1932" s="346">
        <v>8000001896</v>
      </c>
      <c r="H1932" s="18" t="s">
        <v>7486</v>
      </c>
      <c r="I1932" s="329" t="s">
        <v>7487</v>
      </c>
      <c r="J1932" s="346">
        <v>8000001896</v>
      </c>
      <c r="K1932" s="24">
        <v>44693</v>
      </c>
      <c r="L1932" s="24">
        <v>44701</v>
      </c>
      <c r="M1932" s="24">
        <v>44702</v>
      </c>
      <c r="N1932" s="340" t="s">
        <v>486</v>
      </c>
      <c r="O1932" s="334">
        <v>208057</v>
      </c>
      <c r="P1932" s="25" t="s">
        <v>391</v>
      </c>
      <c r="Q1932" s="127" t="s">
        <v>303</v>
      </c>
      <c r="R1932" s="401" t="s">
        <v>7488</v>
      </c>
      <c r="S1932" s="89">
        <v>44636</v>
      </c>
      <c r="T1932" s="36" t="s">
        <v>19</v>
      </c>
      <c r="U1932" s="125"/>
      <c r="V1932" s="147" t="s">
        <v>7968</v>
      </c>
      <c r="W1932" s="89">
        <v>44697</v>
      </c>
      <c r="X1932" s="89">
        <v>44701</v>
      </c>
      <c r="Y1932" s="130" t="s">
        <v>20</v>
      </c>
      <c r="Z1932" s="133" t="s">
        <v>72</v>
      </c>
      <c r="AA1932" s="133" t="s">
        <v>1622</v>
      </c>
      <c r="AB1932" s="241">
        <v>88</v>
      </c>
      <c r="AC1932" s="134">
        <v>957.91</v>
      </c>
      <c r="AD1932" s="134">
        <v>57.91</v>
      </c>
      <c r="AE1932" s="403">
        <f t="shared" si="144"/>
        <v>84296.08</v>
      </c>
      <c r="AF1932" s="132">
        <v>4</v>
      </c>
      <c r="AG1932" s="130" t="s">
        <v>5</v>
      </c>
      <c r="AH1932" s="130" t="s">
        <v>7027</v>
      </c>
      <c r="AI1932" s="130" t="s">
        <v>47</v>
      </c>
      <c r="AJ1932" s="295"/>
      <c r="AK1932" s="130" t="s">
        <v>7489</v>
      </c>
      <c r="AL1932" s="135" t="s">
        <v>7452</v>
      </c>
      <c r="AM1932" s="324">
        <v>2022</v>
      </c>
      <c r="AN1932" s="296">
        <v>44683</v>
      </c>
      <c r="AO1932" s="402">
        <v>44689</v>
      </c>
      <c r="AP1932" s="26">
        <v>44687</v>
      </c>
      <c r="AQ1932" s="402">
        <v>44698</v>
      </c>
      <c r="AR1932" s="24">
        <f>AQ1932+4</f>
        <v>44702</v>
      </c>
      <c r="AS1932" s="24">
        <v>44702</v>
      </c>
      <c r="AT1932" s="24">
        <v>44702</v>
      </c>
      <c r="AU1932" s="418">
        <f t="shared" si="145"/>
        <v>5</v>
      </c>
      <c r="AV1932" s="418">
        <f t="shared" si="146"/>
        <v>2022</v>
      </c>
      <c r="AW1932" s="24" t="s">
        <v>7888</v>
      </c>
      <c r="AX1932" s="135" t="s">
        <v>6982</v>
      </c>
      <c r="AY1932" s="135" t="s">
        <v>7360</v>
      </c>
      <c r="AZ1932" s="24" t="s">
        <v>9</v>
      </c>
      <c r="BA1932" s="206" t="s">
        <v>7130</v>
      </c>
      <c r="BB1932" s="24" t="s">
        <v>3264</v>
      </c>
      <c r="BC1932" s="24" t="s">
        <v>7902</v>
      </c>
      <c r="BD1932" s="24">
        <v>44690</v>
      </c>
      <c r="BE1932" s="24" t="s">
        <v>7881</v>
      </c>
      <c r="BF1932" s="24" t="s">
        <v>7881</v>
      </c>
      <c r="BG1932" s="135" t="s">
        <v>29</v>
      </c>
      <c r="BH1932" s="212" t="s">
        <v>6219</v>
      </c>
      <c r="BI1932" s="314" t="s">
        <v>124</v>
      </c>
      <c r="BJ1932" s="314" t="s">
        <v>148</v>
      </c>
      <c r="BK1932" s="89"/>
      <c r="BL1932" s="89"/>
      <c r="BM1932" s="89"/>
      <c r="BN1932" s="89">
        <v>44698</v>
      </c>
      <c r="BO1932" s="24">
        <f>AQ1932+14</f>
        <v>44712</v>
      </c>
      <c r="BP1932" s="136"/>
      <c r="BQ1932" s="132" t="s">
        <v>7971</v>
      </c>
      <c r="BR1932" s="24">
        <v>44697</v>
      </c>
      <c r="BS1932" s="132" t="s">
        <v>38</v>
      </c>
      <c r="BT1932" s="132" t="s">
        <v>11</v>
      </c>
      <c r="BU1932" s="136"/>
      <c r="BV1932" s="132" t="s">
        <v>6087</v>
      </c>
      <c r="BW1932" s="132" t="s">
        <v>1622</v>
      </c>
      <c r="BX1932" s="132" t="s">
        <v>1622</v>
      </c>
      <c r="BY1932" s="132" t="s">
        <v>1622</v>
      </c>
      <c r="BZ1932" s="132" t="s">
        <v>1622</v>
      </c>
      <c r="CA1932" s="132" t="s">
        <v>1622</v>
      </c>
      <c r="CB1932" s="132" t="s">
        <v>1622</v>
      </c>
      <c r="CC1932" s="132" t="s">
        <v>7921</v>
      </c>
      <c r="CG1932" s="136"/>
      <c r="CH1932" s="136"/>
      <c r="CI1932" s="24"/>
      <c r="CJ1932" s="24"/>
    </row>
    <row r="1933" spans="1:88" ht="15" customHeight="1">
      <c r="A1933" s="298">
        <v>2022</v>
      </c>
      <c r="B1933" s="18" t="str">
        <f>+INDEX(BDD!F:F,MATCH(P1933,BDD!D:D,0))&amp;"-"&amp;INDEX(BDD!E:E,MATCH(P1933,BDD!D:D,0))</f>
        <v>T-S</v>
      </c>
      <c r="C1933" s="360" t="s">
        <v>5398</v>
      </c>
      <c r="D1933" s="150" t="s">
        <v>18</v>
      </c>
      <c r="E1933" s="132" t="s">
        <v>51</v>
      </c>
      <c r="F1933" s="67"/>
      <c r="G1933" s="346">
        <v>8000001897</v>
      </c>
      <c r="H1933" s="18" t="s">
        <v>7490</v>
      </c>
      <c r="I1933" s="329" t="s">
        <v>7491</v>
      </c>
      <c r="J1933" s="346">
        <v>8000001897</v>
      </c>
      <c r="K1933" s="24">
        <v>44650</v>
      </c>
      <c r="L1933" s="24"/>
      <c r="M1933" s="24"/>
      <c r="N1933" s="340" t="s">
        <v>3</v>
      </c>
      <c r="O1933" s="334">
        <v>208057</v>
      </c>
      <c r="P1933" s="25" t="s">
        <v>391</v>
      </c>
      <c r="Q1933" s="127" t="s">
        <v>303</v>
      </c>
      <c r="R1933" s="401" t="s">
        <v>7492</v>
      </c>
      <c r="S1933" s="89">
        <v>44636</v>
      </c>
      <c r="T1933" s="36" t="s">
        <v>19</v>
      </c>
      <c r="U1933" s="125"/>
      <c r="V1933" s="147" t="s">
        <v>8024</v>
      </c>
      <c r="W1933" s="88">
        <v>44701</v>
      </c>
      <c r="X1933" s="88">
        <v>44705</v>
      </c>
      <c r="Y1933" s="130" t="s">
        <v>20</v>
      </c>
      <c r="Z1933" s="133" t="s">
        <v>72</v>
      </c>
      <c r="AA1933" s="133" t="s">
        <v>1622</v>
      </c>
      <c r="AB1933" s="241">
        <v>242</v>
      </c>
      <c r="AC1933" s="134">
        <v>964.9</v>
      </c>
      <c r="AD1933" s="134">
        <v>64.900000000000006</v>
      </c>
      <c r="AE1933" s="403">
        <f t="shared" si="144"/>
        <v>233505.8</v>
      </c>
      <c r="AF1933" s="132">
        <v>11</v>
      </c>
      <c r="AG1933" s="130" t="s">
        <v>5</v>
      </c>
      <c r="AH1933" s="130" t="s">
        <v>7027</v>
      </c>
      <c r="AI1933" s="130" t="s">
        <v>47</v>
      </c>
      <c r="AJ1933" s="295"/>
      <c r="AK1933" s="130" t="s">
        <v>7489</v>
      </c>
      <c r="AL1933" s="135" t="s">
        <v>7493</v>
      </c>
      <c r="AM1933" s="324">
        <v>2022</v>
      </c>
      <c r="AN1933" s="296">
        <v>44683</v>
      </c>
      <c r="AO1933" s="402">
        <v>44689</v>
      </c>
      <c r="AP1933" s="26">
        <v>44710</v>
      </c>
      <c r="AQ1933" s="402">
        <v>44714</v>
      </c>
      <c r="AR1933" s="24">
        <f>AQ1933+3</f>
        <v>44717</v>
      </c>
      <c r="AS1933" s="24"/>
      <c r="AT1933" s="24">
        <v>44718</v>
      </c>
      <c r="AU1933" s="418">
        <f t="shared" si="145"/>
        <v>6</v>
      </c>
      <c r="AV1933" s="418">
        <f t="shared" si="146"/>
        <v>2022</v>
      </c>
      <c r="AW1933" s="24" t="s">
        <v>7888</v>
      </c>
      <c r="AX1933" s="135" t="s">
        <v>6982</v>
      </c>
      <c r="AY1933" s="135" t="s">
        <v>7360</v>
      </c>
      <c r="AZ1933" s="24" t="s">
        <v>62</v>
      </c>
      <c r="BA1933" s="206" t="s">
        <v>3334</v>
      </c>
      <c r="BB1933" s="24" t="s">
        <v>3264</v>
      </c>
      <c r="BC1933" s="24" t="s">
        <v>7914</v>
      </c>
      <c r="BD1933" s="24">
        <v>44690</v>
      </c>
      <c r="BE1933" s="24" t="s">
        <v>7881</v>
      </c>
      <c r="BF1933" s="24" t="s">
        <v>1938</v>
      </c>
      <c r="BG1933" s="135" t="s">
        <v>29</v>
      </c>
      <c r="BH1933" s="212" t="s">
        <v>6219</v>
      </c>
      <c r="BI1933" s="314" t="s">
        <v>124</v>
      </c>
      <c r="BJ1933" s="314" t="s">
        <v>148</v>
      </c>
      <c r="BK1933" s="89"/>
      <c r="BL1933" s="89"/>
      <c r="BM1933" s="89"/>
      <c r="BN1933" s="89">
        <v>44708</v>
      </c>
      <c r="BO1933" s="24">
        <f>AQ1933+14</f>
        <v>44728</v>
      </c>
      <c r="BP1933" s="136"/>
      <c r="BQ1933" s="89" t="s">
        <v>8097</v>
      </c>
      <c r="BR1933" s="89">
        <v>44709</v>
      </c>
      <c r="BS1933" s="89" t="s">
        <v>38</v>
      </c>
      <c r="BT1933" s="89" t="s">
        <v>39</v>
      </c>
      <c r="BU1933" s="136"/>
      <c r="BV1933" s="132" t="s">
        <v>6087</v>
      </c>
      <c r="BW1933" s="132" t="s">
        <v>1622</v>
      </c>
      <c r="BX1933" s="132" t="s">
        <v>1622</v>
      </c>
      <c r="BY1933" s="132" t="s">
        <v>1622</v>
      </c>
      <c r="BZ1933" s="132" t="s">
        <v>1622</v>
      </c>
      <c r="CA1933" s="132" t="s">
        <v>1622</v>
      </c>
      <c r="CB1933" s="132" t="s">
        <v>1622</v>
      </c>
      <c r="CC1933" s="132" t="s">
        <v>7921</v>
      </c>
      <c r="CG1933" s="136"/>
      <c r="CH1933" s="136"/>
      <c r="CI1933" s="24"/>
      <c r="CJ1933" s="24"/>
    </row>
    <row r="1934" spans="1:88" ht="14.45" customHeight="1">
      <c r="A1934" s="298">
        <v>2022</v>
      </c>
      <c r="B1934" s="18" t="str">
        <f>+INDEX(BDD!F:F,MATCH(P1934,BDD!D:D,0))&amp;"-"&amp;INDEX(BDD!E:E,MATCH(P1934,BDD!D:D,0))</f>
        <v>S-C</v>
      </c>
      <c r="C1934" s="125" t="s">
        <v>484</v>
      </c>
      <c r="D1934" s="150" t="s">
        <v>77</v>
      </c>
      <c r="E1934" s="132" t="s">
        <v>51</v>
      </c>
      <c r="F1934" s="256"/>
      <c r="G1934" s="346">
        <v>8000001900</v>
      </c>
      <c r="H1934" s="18" t="s">
        <v>7494</v>
      </c>
      <c r="I1934" s="329" t="s">
        <v>7495</v>
      </c>
      <c r="J1934" s="346">
        <v>8000001900</v>
      </c>
      <c r="K1934" s="24"/>
      <c r="L1934" s="24">
        <v>44684</v>
      </c>
      <c r="M1934" s="24">
        <v>0</v>
      </c>
      <c r="N1934" s="340" t="s">
        <v>486</v>
      </c>
      <c r="O1934" s="337">
        <v>207580</v>
      </c>
      <c r="P1934" s="25" t="s">
        <v>241</v>
      </c>
      <c r="Q1934" s="127" t="s">
        <v>6000</v>
      </c>
      <c r="R1934" s="232" t="s">
        <v>8077</v>
      </c>
      <c r="S1934" s="89">
        <v>44651</v>
      </c>
      <c r="T1934" s="36">
        <v>30</v>
      </c>
      <c r="U1934" s="125" t="s">
        <v>118</v>
      </c>
      <c r="V1934" s="147" t="s">
        <v>7496</v>
      </c>
      <c r="W1934" s="88">
        <v>44675</v>
      </c>
      <c r="X1934" s="88">
        <f>W1934+30</f>
        <v>44705</v>
      </c>
      <c r="Y1934" s="130" t="s">
        <v>20</v>
      </c>
      <c r="Z1934" s="133" t="s">
        <v>72</v>
      </c>
      <c r="AA1934" s="133"/>
      <c r="AB1934" s="241">
        <v>140</v>
      </c>
      <c r="AC1934" s="134">
        <v>1570</v>
      </c>
      <c r="AD1934" s="134">
        <v>62.5</v>
      </c>
      <c r="AE1934" s="403">
        <f t="shared" si="144"/>
        <v>219800</v>
      </c>
      <c r="AF1934" s="132">
        <v>5</v>
      </c>
      <c r="AG1934" s="130" t="s">
        <v>33</v>
      </c>
      <c r="AH1934" s="130" t="s">
        <v>6388</v>
      </c>
      <c r="AI1934" s="130" t="s">
        <v>34</v>
      </c>
      <c r="AJ1934" s="295"/>
      <c r="AK1934" s="130" t="s">
        <v>7329</v>
      </c>
      <c r="AL1934" s="135" t="s">
        <v>7497</v>
      </c>
      <c r="AM1934" s="322"/>
      <c r="AN1934" s="296">
        <v>44698</v>
      </c>
      <c r="AO1934" s="26">
        <v>44653</v>
      </c>
      <c r="AP1934" s="26">
        <f t="shared" ref="AP1934:AP1950" si="147">AN1934+1</f>
        <v>44699</v>
      </c>
      <c r="AQ1934" s="26">
        <v>44685</v>
      </c>
      <c r="AR1934" s="24">
        <f t="shared" ref="AR1934:AR1935" si="148">AQ1934+9</f>
        <v>44694</v>
      </c>
      <c r="AS1934" s="24"/>
      <c r="AT1934" s="24">
        <f t="shared" ref="AT1934:AT1939" si="149">+AQ1934</f>
        <v>44685</v>
      </c>
      <c r="AU1934" s="418">
        <f t="shared" si="145"/>
        <v>5</v>
      </c>
      <c r="AV1934" s="418">
        <f t="shared" si="146"/>
        <v>2022</v>
      </c>
      <c r="AW1934" s="24" t="s">
        <v>7875</v>
      </c>
      <c r="AX1934" s="24" t="s">
        <v>7499</v>
      </c>
      <c r="AY1934" s="24" t="s">
        <v>7498</v>
      </c>
      <c r="AZ1934" s="24" t="s">
        <v>62</v>
      </c>
      <c r="BA1934" s="206"/>
      <c r="BB1934" s="24" t="s">
        <v>3264</v>
      </c>
      <c r="BC1934" s="132">
        <v>8008</v>
      </c>
      <c r="BD1934" s="24">
        <v>44677</v>
      </c>
      <c r="BE1934" s="24" t="s">
        <v>6003</v>
      </c>
      <c r="BF1934" s="24" t="s">
        <v>6003</v>
      </c>
      <c r="BG1934" s="135" t="s">
        <v>6003</v>
      </c>
      <c r="BH1934" s="212" t="s">
        <v>1622</v>
      </c>
      <c r="BI1934" s="314" t="s">
        <v>3</v>
      </c>
      <c r="BJ1934" s="314"/>
      <c r="BK1934" s="24"/>
      <c r="BL1934" s="24"/>
      <c r="BM1934" s="24"/>
      <c r="BN1934" s="24"/>
      <c r="BO1934" s="136"/>
      <c r="BP1934" s="136"/>
      <c r="BQ1934" s="256" t="s">
        <v>7500</v>
      </c>
      <c r="BR1934" s="24">
        <v>44680</v>
      </c>
      <c r="BS1934" s="256" t="s">
        <v>38</v>
      </c>
      <c r="BT1934" s="256" t="s">
        <v>11</v>
      </c>
      <c r="BU1934" s="382">
        <v>44684</v>
      </c>
      <c r="BV1934" s="132" t="e">
        <f>IF(#REF!="COMPLETO","OK","PENDIENTE")</f>
        <v>#REF!</v>
      </c>
      <c r="BW1934" s="132" t="s">
        <v>7271</v>
      </c>
      <c r="BX1934" s="132">
        <v>202200120239</v>
      </c>
      <c r="BY1934" s="132">
        <v>2022247338</v>
      </c>
      <c r="BZ1934" s="24">
        <v>44687</v>
      </c>
      <c r="CA1934" s="24">
        <v>44692</v>
      </c>
      <c r="CB1934" s="132" t="s">
        <v>7918</v>
      </c>
      <c r="CC1934" s="379"/>
      <c r="CG1934" s="256" t="s">
        <v>105</v>
      </c>
      <c r="CH1934" s="256"/>
      <c r="CI1934" s="24"/>
      <c r="CJ1934" s="24"/>
    </row>
    <row r="1935" spans="1:88" ht="14.45" customHeight="1">
      <c r="A1935" s="298">
        <v>2022</v>
      </c>
      <c r="B1935" s="18" t="str">
        <f>+INDEX(BDD!F:F,MATCH(P1935,BDD!D:D,0))&amp;"-"&amp;INDEX(BDD!E:E,MATCH(P1935,BDD!D:D,0))</f>
        <v>S-C</v>
      </c>
      <c r="C1935" s="125" t="s">
        <v>484</v>
      </c>
      <c r="D1935" s="150" t="s">
        <v>77</v>
      </c>
      <c r="E1935" s="132" t="s">
        <v>51</v>
      </c>
      <c r="F1935" s="24"/>
      <c r="G1935" s="346">
        <v>8000001983</v>
      </c>
      <c r="H1935" s="18" t="s">
        <v>7501</v>
      </c>
      <c r="I1935" s="329" t="s">
        <v>7495</v>
      </c>
      <c r="J1935" s="346">
        <v>8000001983</v>
      </c>
      <c r="K1935" s="24"/>
      <c r="L1935" s="24">
        <v>44684</v>
      </c>
      <c r="M1935" s="24">
        <v>0</v>
      </c>
      <c r="N1935" s="340" t="s">
        <v>486</v>
      </c>
      <c r="O1935" s="337">
        <v>207580</v>
      </c>
      <c r="P1935" s="25" t="s">
        <v>241</v>
      </c>
      <c r="Q1935" s="127" t="s">
        <v>6000</v>
      </c>
      <c r="R1935" s="232" t="s">
        <v>8077</v>
      </c>
      <c r="S1935" s="89">
        <v>44651</v>
      </c>
      <c r="T1935" s="36">
        <v>30</v>
      </c>
      <c r="U1935" s="125" t="s">
        <v>118</v>
      </c>
      <c r="V1935" s="147" t="s">
        <v>7502</v>
      </c>
      <c r="W1935" s="88">
        <v>44675</v>
      </c>
      <c r="X1935" s="88">
        <f>W1935+30</f>
        <v>44705</v>
      </c>
      <c r="Y1935" s="130" t="s">
        <v>20</v>
      </c>
      <c r="Z1935" s="133" t="s">
        <v>72</v>
      </c>
      <c r="AA1935" s="133"/>
      <c r="AB1935" s="241">
        <v>140</v>
      </c>
      <c r="AC1935" s="134">
        <v>1570</v>
      </c>
      <c r="AD1935" s="134">
        <v>62.5</v>
      </c>
      <c r="AE1935" s="403">
        <f t="shared" si="144"/>
        <v>219800</v>
      </c>
      <c r="AF1935" s="132">
        <v>5</v>
      </c>
      <c r="AG1935" s="130" t="s">
        <v>33</v>
      </c>
      <c r="AH1935" s="130" t="s">
        <v>6388</v>
      </c>
      <c r="AI1935" s="130" t="s">
        <v>34</v>
      </c>
      <c r="AJ1935" s="295"/>
      <c r="AK1935" s="130" t="s">
        <v>7329</v>
      </c>
      <c r="AL1935" s="135" t="s">
        <v>7497</v>
      </c>
      <c r="AM1935" s="322"/>
      <c r="AN1935" s="296">
        <v>44700</v>
      </c>
      <c r="AO1935" s="26">
        <v>44654</v>
      </c>
      <c r="AP1935" s="26">
        <f t="shared" si="147"/>
        <v>44701</v>
      </c>
      <c r="AQ1935" s="26">
        <v>44686</v>
      </c>
      <c r="AR1935" s="24">
        <f t="shared" si="148"/>
        <v>44695</v>
      </c>
      <c r="AS1935" s="24"/>
      <c r="AT1935" s="24">
        <f t="shared" si="149"/>
        <v>44686</v>
      </c>
      <c r="AU1935" s="418">
        <f t="shared" si="145"/>
        <v>5</v>
      </c>
      <c r="AV1935" s="418">
        <f t="shared" si="146"/>
        <v>2022</v>
      </c>
      <c r="AW1935" s="24" t="s">
        <v>7875</v>
      </c>
      <c r="AX1935" s="24" t="s">
        <v>7499</v>
      </c>
      <c r="AY1935" s="24" t="s">
        <v>7498</v>
      </c>
      <c r="AZ1935" s="24" t="s">
        <v>62</v>
      </c>
      <c r="BA1935" s="206"/>
      <c r="BB1935" s="24" t="s">
        <v>3264</v>
      </c>
      <c r="BC1935" s="128">
        <v>8028</v>
      </c>
      <c r="BD1935" s="24">
        <v>44677</v>
      </c>
      <c r="BE1935" s="24" t="s">
        <v>6003</v>
      </c>
      <c r="BF1935" s="24" t="s">
        <v>6003</v>
      </c>
      <c r="BG1935" s="135" t="s">
        <v>6003</v>
      </c>
      <c r="BH1935" s="212" t="s">
        <v>1622</v>
      </c>
      <c r="BI1935" s="314" t="s">
        <v>3</v>
      </c>
      <c r="BJ1935" s="314"/>
      <c r="BK1935" s="24"/>
      <c r="BL1935" s="24"/>
      <c r="BM1935" s="24"/>
      <c r="BN1935" s="24"/>
      <c r="BO1935" s="136"/>
      <c r="BP1935" s="136"/>
      <c r="BQ1935" s="24" t="s">
        <v>7503</v>
      </c>
      <c r="BR1935" s="24">
        <v>44684</v>
      </c>
      <c r="BS1935" s="24" t="s">
        <v>38</v>
      </c>
      <c r="BT1935" s="24" t="s">
        <v>11</v>
      </c>
      <c r="BU1935" s="24">
        <v>44684</v>
      </c>
      <c r="BV1935" s="132" t="e">
        <f>IF(#REF!="COMPLETO","OK","PENDIENTE")</f>
        <v>#REF!</v>
      </c>
      <c r="BW1935" s="132" t="s">
        <v>7271</v>
      </c>
      <c r="BX1935" s="132">
        <v>202200121886</v>
      </c>
      <c r="BY1935" s="132">
        <v>2022250129</v>
      </c>
      <c r="BZ1935" s="24">
        <v>44687</v>
      </c>
      <c r="CA1935" s="24">
        <v>44692</v>
      </c>
      <c r="CB1935" s="132" t="s">
        <v>7918</v>
      </c>
      <c r="CC1935" s="379"/>
      <c r="CG1935" s="24" t="s">
        <v>105</v>
      </c>
      <c r="CH1935" s="24"/>
      <c r="CI1935" s="24"/>
      <c r="CJ1935" s="24"/>
    </row>
    <row r="1936" spans="1:88" ht="14.45" customHeight="1">
      <c r="A1936" s="298">
        <v>2022</v>
      </c>
      <c r="B1936" s="18" t="str">
        <f>+INDEX(BDD!F:F,MATCH(P1936,BDD!D:D,0))&amp;"-"&amp;INDEX(BDD!E:E,MATCH(P1936,BDD!D:D,0))</f>
        <v>S-C</v>
      </c>
      <c r="C1936" s="125" t="s">
        <v>484</v>
      </c>
      <c r="D1936" s="150" t="s">
        <v>56</v>
      </c>
      <c r="E1936" s="132" t="s">
        <v>51</v>
      </c>
      <c r="F1936" s="136"/>
      <c r="G1936" s="346">
        <v>8000001984</v>
      </c>
      <c r="H1936" s="18" t="s">
        <v>7954</v>
      </c>
      <c r="I1936" s="329" t="s">
        <v>7495</v>
      </c>
      <c r="J1936" s="346">
        <v>8000001984</v>
      </c>
      <c r="K1936" s="24">
        <v>44684</v>
      </c>
      <c r="L1936" s="24">
        <v>44701</v>
      </c>
      <c r="M1936" s="24">
        <v>44701</v>
      </c>
      <c r="N1936" s="340" t="s">
        <v>486</v>
      </c>
      <c r="O1936" s="337">
        <v>207580</v>
      </c>
      <c r="P1936" s="25" t="s">
        <v>241</v>
      </c>
      <c r="Q1936" s="127" t="s">
        <v>6000</v>
      </c>
      <c r="R1936" s="232" t="s">
        <v>8077</v>
      </c>
      <c r="S1936" s="89">
        <v>44651</v>
      </c>
      <c r="T1936" s="36">
        <v>30</v>
      </c>
      <c r="U1936" s="125" t="s">
        <v>118</v>
      </c>
      <c r="V1936" s="147" t="s">
        <v>7903</v>
      </c>
      <c r="W1936" s="24">
        <v>44683</v>
      </c>
      <c r="X1936" s="24">
        <v>44714</v>
      </c>
      <c r="Y1936" s="130" t="s">
        <v>3</v>
      </c>
      <c r="Z1936" s="133" t="s">
        <v>72</v>
      </c>
      <c r="AA1936" s="133" t="s">
        <v>1622</v>
      </c>
      <c r="AB1936" s="241">
        <v>84</v>
      </c>
      <c r="AC1936" s="134">
        <v>1570</v>
      </c>
      <c r="AD1936" s="134">
        <v>104.16</v>
      </c>
      <c r="AE1936" s="403">
        <f t="shared" si="144"/>
        <v>131880</v>
      </c>
      <c r="AF1936" s="132">
        <v>3</v>
      </c>
      <c r="AG1936" s="130" t="s">
        <v>33</v>
      </c>
      <c r="AH1936" s="130" t="s">
        <v>6388</v>
      </c>
      <c r="AI1936" s="130" t="s">
        <v>34</v>
      </c>
      <c r="AJ1936" s="295"/>
      <c r="AK1936" s="130" t="s">
        <v>7329</v>
      </c>
      <c r="AL1936" s="135" t="s">
        <v>7497</v>
      </c>
      <c r="AM1936" s="322">
        <v>2022</v>
      </c>
      <c r="AN1936" s="296">
        <f>AN1934+7</f>
        <v>44705</v>
      </c>
      <c r="AO1936" s="385">
        <v>44698</v>
      </c>
      <c r="AP1936" s="26">
        <f t="shared" si="147"/>
        <v>44706</v>
      </c>
      <c r="AQ1936" s="385">
        <v>44699</v>
      </c>
      <c r="AR1936" s="24">
        <v>44714</v>
      </c>
      <c r="AS1936" s="24">
        <v>44699</v>
      </c>
      <c r="AT1936" s="24">
        <f t="shared" si="149"/>
        <v>44699</v>
      </c>
      <c r="AU1936" s="418">
        <f t="shared" si="145"/>
        <v>5</v>
      </c>
      <c r="AV1936" s="418">
        <f t="shared" si="146"/>
        <v>2022</v>
      </c>
      <c r="AW1936" s="24" t="s">
        <v>7875</v>
      </c>
      <c r="AX1936" s="24" t="s">
        <v>7499</v>
      </c>
      <c r="AY1936" s="24" t="s">
        <v>7498</v>
      </c>
      <c r="AZ1936" s="24" t="s">
        <v>62</v>
      </c>
      <c r="BA1936" s="206" t="s">
        <v>1622</v>
      </c>
      <c r="BB1936" s="24" t="s">
        <v>3264</v>
      </c>
      <c r="BC1936" s="24" t="s">
        <v>7956</v>
      </c>
      <c r="BD1936" s="24">
        <v>44691</v>
      </c>
      <c r="BE1936" s="24" t="s">
        <v>6003</v>
      </c>
      <c r="BF1936" s="24" t="s">
        <v>6003</v>
      </c>
      <c r="BG1936" s="135" t="s">
        <v>6003</v>
      </c>
      <c r="BH1936" s="212" t="s">
        <v>1622</v>
      </c>
      <c r="BI1936" s="314" t="s">
        <v>3</v>
      </c>
      <c r="BJ1936" s="314" t="s">
        <v>143</v>
      </c>
      <c r="BK1936" s="24"/>
      <c r="BL1936" s="24"/>
      <c r="BM1936" s="24"/>
      <c r="BN1936" s="24" t="s">
        <v>1622</v>
      </c>
      <c r="BO1936" s="24" t="s">
        <v>1622</v>
      </c>
      <c r="BP1936" s="24" t="s">
        <v>1622</v>
      </c>
      <c r="BQ1936" s="132" t="s">
        <v>7970</v>
      </c>
      <c r="BR1936" s="24">
        <v>44697</v>
      </c>
      <c r="BS1936" s="132" t="s">
        <v>38</v>
      </c>
      <c r="BT1936" s="132" t="s">
        <v>11</v>
      </c>
      <c r="BU1936" s="136"/>
      <c r="BV1936" s="132" t="s">
        <v>6087</v>
      </c>
      <c r="BW1936" s="132" t="s">
        <v>7271</v>
      </c>
      <c r="BX1936" s="132">
        <v>202200138218</v>
      </c>
      <c r="BY1936" s="132">
        <v>2022279294</v>
      </c>
      <c r="BZ1936" s="24">
        <v>44707</v>
      </c>
      <c r="CA1936" s="132"/>
      <c r="CB1936" s="132" t="s">
        <v>3</v>
      </c>
      <c r="CC1936" s="362" t="s">
        <v>8085</v>
      </c>
      <c r="CG1936" s="136"/>
      <c r="CH1936" s="136"/>
      <c r="CI1936" s="24"/>
      <c r="CJ1936" s="24"/>
    </row>
    <row r="1937" spans="1:88" ht="14.45" customHeight="1">
      <c r="A1937" s="298">
        <v>2022</v>
      </c>
      <c r="B1937" s="18" t="str">
        <f>+INDEX(BDD!F:F,MATCH(P1937,BDD!D:D,0))&amp;"-"&amp;INDEX(BDD!E:E,MATCH(P1937,BDD!D:D,0))</f>
        <v>S-C</v>
      </c>
      <c r="C1937" s="360" t="s">
        <v>5398</v>
      </c>
      <c r="D1937" s="150" t="s">
        <v>56</v>
      </c>
      <c r="E1937" s="132" t="s">
        <v>51</v>
      </c>
      <c r="F1937" s="136"/>
      <c r="G1937" s="346">
        <v>8000002024</v>
      </c>
      <c r="H1937" s="18" t="s">
        <v>7955</v>
      </c>
      <c r="I1937" s="329" t="s">
        <v>7495</v>
      </c>
      <c r="J1937" s="346">
        <v>8000002024</v>
      </c>
      <c r="K1937" s="24">
        <v>44705</v>
      </c>
      <c r="L1937" s="24">
        <v>44704</v>
      </c>
      <c r="M1937" s="24">
        <v>44706</v>
      </c>
      <c r="N1937" s="340" t="s">
        <v>486</v>
      </c>
      <c r="O1937" s="337">
        <v>207580</v>
      </c>
      <c r="P1937" s="25" t="s">
        <v>241</v>
      </c>
      <c r="Q1937" s="127" t="s">
        <v>6000</v>
      </c>
      <c r="R1937" s="232" t="s">
        <v>8077</v>
      </c>
      <c r="S1937" s="89">
        <v>44651</v>
      </c>
      <c r="T1937" s="36">
        <v>30</v>
      </c>
      <c r="U1937" s="125" t="s">
        <v>118</v>
      </c>
      <c r="V1937" s="147" t="s">
        <v>7903</v>
      </c>
      <c r="W1937" s="24">
        <v>44683</v>
      </c>
      <c r="X1937" s="24">
        <v>44714</v>
      </c>
      <c r="Y1937" s="130" t="s">
        <v>3</v>
      </c>
      <c r="Z1937" s="133" t="s">
        <v>72</v>
      </c>
      <c r="AA1937" s="133" t="s">
        <v>1622</v>
      </c>
      <c r="AB1937" s="241">
        <v>56</v>
      </c>
      <c r="AC1937" s="134">
        <v>1570</v>
      </c>
      <c r="AD1937" s="134">
        <v>156.25</v>
      </c>
      <c r="AE1937" s="403">
        <f t="shared" si="144"/>
        <v>87920</v>
      </c>
      <c r="AF1937" s="132">
        <v>2</v>
      </c>
      <c r="AG1937" s="130" t="s">
        <v>33</v>
      </c>
      <c r="AH1937" s="130" t="s">
        <v>6388</v>
      </c>
      <c r="AI1937" s="130" t="s">
        <v>34</v>
      </c>
      <c r="AJ1937" s="295"/>
      <c r="AK1937" s="130" t="s">
        <v>7329</v>
      </c>
      <c r="AL1937" s="135" t="s">
        <v>7497</v>
      </c>
      <c r="AM1937" s="322">
        <v>2022</v>
      </c>
      <c r="AN1937" s="296">
        <f>AN1935+7</f>
        <v>44707</v>
      </c>
      <c r="AO1937" s="296">
        <v>44700</v>
      </c>
      <c r="AP1937" s="26">
        <f>AN1937+1</f>
        <v>44708</v>
      </c>
      <c r="AQ1937" s="385">
        <v>44702</v>
      </c>
      <c r="AR1937" s="24">
        <v>44714</v>
      </c>
      <c r="AS1937" s="24">
        <v>44702</v>
      </c>
      <c r="AT1937" s="24">
        <f t="shared" si="149"/>
        <v>44702</v>
      </c>
      <c r="AU1937" s="418">
        <f t="shared" si="145"/>
        <v>5</v>
      </c>
      <c r="AV1937" s="418">
        <f t="shared" si="146"/>
        <v>2022</v>
      </c>
      <c r="AW1937" s="24" t="s">
        <v>7875</v>
      </c>
      <c r="AX1937" s="24" t="s">
        <v>7499</v>
      </c>
      <c r="AY1937" s="24" t="s">
        <v>7498</v>
      </c>
      <c r="AZ1937" s="24" t="s">
        <v>62</v>
      </c>
      <c r="BA1937" s="206" t="s">
        <v>1622</v>
      </c>
      <c r="BB1937" s="24" t="s">
        <v>3264</v>
      </c>
      <c r="BC1937" s="57" t="s">
        <v>8008</v>
      </c>
      <c r="BD1937" s="24">
        <v>44700</v>
      </c>
      <c r="BE1937" s="24" t="s">
        <v>6003</v>
      </c>
      <c r="BF1937" s="24" t="s">
        <v>6003</v>
      </c>
      <c r="BG1937" s="135" t="s">
        <v>6003</v>
      </c>
      <c r="BH1937" s="212" t="s">
        <v>1622</v>
      </c>
      <c r="BI1937" s="314" t="s">
        <v>3</v>
      </c>
      <c r="BJ1937" s="314" t="s">
        <v>143</v>
      </c>
      <c r="BK1937" s="24"/>
      <c r="BL1937" s="24"/>
      <c r="BM1937" s="24"/>
      <c r="BN1937" s="24" t="s">
        <v>1622</v>
      </c>
      <c r="BO1937" s="24" t="s">
        <v>1622</v>
      </c>
      <c r="BP1937" s="24" t="s">
        <v>1622</v>
      </c>
      <c r="BQ1937" s="132" t="s">
        <v>8023</v>
      </c>
      <c r="BR1937" s="24">
        <v>44700</v>
      </c>
      <c r="BS1937" s="24" t="s">
        <v>38</v>
      </c>
      <c r="BT1937" s="24" t="s">
        <v>11</v>
      </c>
      <c r="BU1937" s="136"/>
      <c r="BV1937" s="132" t="s">
        <v>6087</v>
      </c>
      <c r="BW1937" s="132" t="s">
        <v>7271</v>
      </c>
      <c r="BX1937" s="132">
        <v>202200141705</v>
      </c>
      <c r="BY1937" s="132">
        <v>2022285312</v>
      </c>
      <c r="BZ1937" s="24">
        <v>44707</v>
      </c>
      <c r="CA1937" s="132"/>
      <c r="CB1937" s="132" t="s">
        <v>3</v>
      </c>
      <c r="CC1937" s="362" t="s">
        <v>8085</v>
      </c>
      <c r="CG1937" s="136"/>
      <c r="CH1937" s="136"/>
      <c r="CI1937" s="24"/>
      <c r="CJ1937" s="24"/>
    </row>
    <row r="1938" spans="1:88" ht="14.45" customHeight="1">
      <c r="A1938" s="298">
        <v>2022</v>
      </c>
      <c r="B1938" s="18" t="str">
        <f>+INDEX(BDD!F:F,MATCH(P1938,BDD!D:D,0))&amp;"-"&amp;INDEX(BDD!E:E,MATCH(P1938,BDD!D:D,0))</f>
        <v>S-C</v>
      </c>
      <c r="C1938" s="360" t="s">
        <v>5398</v>
      </c>
      <c r="D1938" s="150" t="s">
        <v>56</v>
      </c>
      <c r="E1938" s="132" t="s">
        <v>51</v>
      </c>
      <c r="F1938" s="136"/>
      <c r="G1938" s="346">
        <v>8000001985</v>
      </c>
      <c r="H1938" s="18" t="s">
        <v>7504</v>
      </c>
      <c r="I1938" s="329" t="s">
        <v>7495</v>
      </c>
      <c r="J1938" s="346">
        <v>8000001985</v>
      </c>
      <c r="K1938" s="24">
        <v>44684</v>
      </c>
      <c r="L1938" s="24">
        <v>44701</v>
      </c>
      <c r="M1938" s="24">
        <v>44705</v>
      </c>
      <c r="N1938" s="340" t="s">
        <v>486</v>
      </c>
      <c r="O1938" s="337">
        <v>207580</v>
      </c>
      <c r="P1938" s="25" t="s">
        <v>241</v>
      </c>
      <c r="Q1938" s="127" t="s">
        <v>6000</v>
      </c>
      <c r="R1938" s="232" t="s">
        <v>8077</v>
      </c>
      <c r="S1938" s="89">
        <v>44651</v>
      </c>
      <c r="T1938" s="36">
        <v>30</v>
      </c>
      <c r="U1938" s="125" t="s">
        <v>118</v>
      </c>
      <c r="V1938" s="147" t="s">
        <v>7952</v>
      </c>
      <c r="W1938" s="24">
        <v>44684</v>
      </c>
      <c r="X1938" s="24">
        <v>44715</v>
      </c>
      <c r="Y1938" s="130" t="s">
        <v>3</v>
      </c>
      <c r="Z1938" s="133" t="s">
        <v>72</v>
      </c>
      <c r="AA1938" s="133" t="s">
        <v>1622</v>
      </c>
      <c r="AB1938" s="241">
        <v>140</v>
      </c>
      <c r="AC1938" s="134">
        <v>1570</v>
      </c>
      <c r="AD1938" s="134">
        <v>62.5</v>
      </c>
      <c r="AE1938" s="403">
        <f t="shared" si="144"/>
        <v>219800</v>
      </c>
      <c r="AF1938" s="132">
        <v>5</v>
      </c>
      <c r="AG1938" s="130" t="s">
        <v>33</v>
      </c>
      <c r="AH1938" s="130" t="s">
        <v>6388</v>
      </c>
      <c r="AI1938" s="130" t="s">
        <v>34</v>
      </c>
      <c r="AJ1938" s="295"/>
      <c r="AK1938" s="130" t="s">
        <v>7329</v>
      </c>
      <c r="AL1938" s="135" t="s">
        <v>7497</v>
      </c>
      <c r="AM1938" s="322">
        <v>2022</v>
      </c>
      <c r="AN1938" s="296">
        <f>AN1936+7</f>
        <v>44712</v>
      </c>
      <c r="AO1938" s="385">
        <f t="shared" ref="AO1938" si="150">AQ1938-2</f>
        <v>44699</v>
      </c>
      <c r="AP1938" s="26">
        <f t="shared" si="147"/>
        <v>44713</v>
      </c>
      <c r="AQ1938" s="385">
        <v>44701</v>
      </c>
      <c r="AR1938" s="24">
        <v>44714</v>
      </c>
      <c r="AS1938" s="24">
        <v>44701</v>
      </c>
      <c r="AT1938" s="24">
        <f t="shared" si="149"/>
        <v>44701</v>
      </c>
      <c r="AU1938" s="418">
        <f t="shared" si="145"/>
        <v>5</v>
      </c>
      <c r="AV1938" s="418">
        <f t="shared" si="146"/>
        <v>2022</v>
      </c>
      <c r="AW1938" s="24" t="s">
        <v>7875</v>
      </c>
      <c r="AX1938" s="24" t="s">
        <v>7499</v>
      </c>
      <c r="AY1938" s="24" t="s">
        <v>7498</v>
      </c>
      <c r="AZ1938" s="24" t="s">
        <v>62</v>
      </c>
      <c r="BA1938" s="206" t="s">
        <v>1622</v>
      </c>
      <c r="BB1938" s="24" t="s">
        <v>3264</v>
      </c>
      <c r="BC1938" s="57">
        <v>8121</v>
      </c>
      <c r="BD1938" s="24">
        <v>44684</v>
      </c>
      <c r="BE1938" s="24" t="s">
        <v>6003</v>
      </c>
      <c r="BF1938" s="24" t="s">
        <v>6003</v>
      </c>
      <c r="BG1938" s="135" t="s">
        <v>6003</v>
      </c>
      <c r="BH1938" s="212" t="s">
        <v>1622</v>
      </c>
      <c r="BI1938" s="314" t="s">
        <v>3</v>
      </c>
      <c r="BJ1938" s="314" t="s">
        <v>143</v>
      </c>
      <c r="BK1938" s="24"/>
      <c r="BL1938" s="24"/>
      <c r="BM1938" s="24"/>
      <c r="BN1938" s="24" t="s">
        <v>1622</v>
      </c>
      <c r="BO1938" s="24" t="s">
        <v>1622</v>
      </c>
      <c r="BP1938" s="24" t="s">
        <v>1622</v>
      </c>
      <c r="BQ1938" s="132" t="s">
        <v>8009</v>
      </c>
      <c r="BR1938" s="24">
        <v>44699</v>
      </c>
      <c r="BS1938" s="24" t="s">
        <v>38</v>
      </c>
      <c r="BT1938" s="24" t="s">
        <v>11</v>
      </c>
      <c r="BU1938" s="136"/>
      <c r="BV1938" s="132" t="s">
        <v>6087</v>
      </c>
      <c r="BW1938" s="132" t="s">
        <v>7271</v>
      </c>
      <c r="BX1938" s="132">
        <v>202200141727</v>
      </c>
      <c r="BY1938" s="132">
        <v>2022285331</v>
      </c>
      <c r="BZ1938" s="24">
        <v>44707</v>
      </c>
      <c r="CA1938" s="132"/>
      <c r="CB1938" s="132" t="s">
        <v>3</v>
      </c>
      <c r="CC1938" s="362" t="s">
        <v>8085</v>
      </c>
      <c r="CG1938" s="136"/>
      <c r="CH1938" s="136"/>
      <c r="CI1938" s="24"/>
      <c r="CJ1938" s="24"/>
    </row>
    <row r="1939" spans="1:88" ht="14.45" customHeight="1">
      <c r="A1939" s="298">
        <v>2022</v>
      </c>
      <c r="B1939" s="18" t="str">
        <f>+INDEX(BDD!F:F,MATCH(P1939,BDD!D:D,0))&amp;"-"&amp;INDEX(BDD!E:E,MATCH(P1939,BDD!D:D,0))</f>
        <v>S-C</v>
      </c>
      <c r="C1939" s="360" t="s">
        <v>5398</v>
      </c>
      <c r="D1939" s="150" t="s">
        <v>56</v>
      </c>
      <c r="E1939" s="132" t="s">
        <v>51</v>
      </c>
      <c r="F1939" s="136"/>
      <c r="G1939" s="346">
        <v>8000002025</v>
      </c>
      <c r="H1939" s="18" t="s">
        <v>8055</v>
      </c>
      <c r="I1939" s="329" t="s">
        <v>7495</v>
      </c>
      <c r="J1939" s="346">
        <v>8000002025</v>
      </c>
      <c r="K1939" s="24">
        <v>44706</v>
      </c>
      <c r="L1939" s="24">
        <v>44707</v>
      </c>
      <c r="M1939" s="24">
        <v>44711</v>
      </c>
      <c r="N1939" s="340" t="s">
        <v>486</v>
      </c>
      <c r="O1939" s="337">
        <v>207580</v>
      </c>
      <c r="P1939" s="25" t="s">
        <v>241</v>
      </c>
      <c r="Q1939" s="127" t="s">
        <v>6000</v>
      </c>
      <c r="R1939" s="232" t="s">
        <v>8077</v>
      </c>
      <c r="S1939" s="89">
        <v>44651</v>
      </c>
      <c r="T1939" s="36">
        <v>30</v>
      </c>
      <c r="U1939" s="125" t="s">
        <v>118</v>
      </c>
      <c r="V1939" s="147" t="s">
        <v>7993</v>
      </c>
      <c r="W1939" s="24">
        <v>44694</v>
      </c>
      <c r="X1939" s="88">
        <f>W1939+30</f>
        <v>44724</v>
      </c>
      <c r="Y1939" s="130" t="s">
        <v>3</v>
      </c>
      <c r="Z1939" s="133" t="s">
        <v>72</v>
      </c>
      <c r="AA1939" s="133" t="s">
        <v>1622</v>
      </c>
      <c r="AB1939" s="241">
        <v>28</v>
      </c>
      <c r="AC1939" s="134">
        <v>1570</v>
      </c>
      <c r="AD1939" s="134">
        <v>64.290000000000006</v>
      </c>
      <c r="AE1939" s="403">
        <f t="shared" si="144"/>
        <v>43960</v>
      </c>
      <c r="AF1939" s="132">
        <v>1</v>
      </c>
      <c r="AG1939" s="130" t="s">
        <v>33</v>
      </c>
      <c r="AH1939" s="130" t="s">
        <v>6388</v>
      </c>
      <c r="AI1939" s="130" t="s">
        <v>34</v>
      </c>
      <c r="AJ1939" s="295"/>
      <c r="AK1939" s="130" t="s">
        <v>7329</v>
      </c>
      <c r="AL1939" s="135" t="s">
        <v>7497</v>
      </c>
      <c r="AM1939" s="322">
        <v>2022</v>
      </c>
      <c r="AN1939" s="296">
        <f>AN1937+7</f>
        <v>44714</v>
      </c>
      <c r="AO1939" s="385">
        <v>44706</v>
      </c>
      <c r="AP1939" s="26">
        <f>AN1939+1</f>
        <v>44715</v>
      </c>
      <c r="AQ1939" s="385">
        <v>44708</v>
      </c>
      <c r="AR1939" s="24">
        <f>AQ1939+11</f>
        <v>44719</v>
      </c>
      <c r="AS1939" s="24">
        <v>44708</v>
      </c>
      <c r="AT1939" s="24">
        <f t="shared" si="149"/>
        <v>44708</v>
      </c>
      <c r="AU1939" s="418">
        <f t="shared" si="145"/>
        <v>5</v>
      </c>
      <c r="AV1939" s="418">
        <f t="shared" si="146"/>
        <v>2022</v>
      </c>
      <c r="AW1939" s="24" t="s">
        <v>7875</v>
      </c>
      <c r="AX1939" s="24" t="s">
        <v>7499</v>
      </c>
      <c r="AY1939" s="24" t="s">
        <v>7498</v>
      </c>
      <c r="AZ1939" s="24" t="s">
        <v>62</v>
      </c>
      <c r="BA1939" s="206" t="s">
        <v>1622</v>
      </c>
      <c r="BB1939" s="24" t="s">
        <v>3264</v>
      </c>
      <c r="BC1939" s="418">
        <v>8136</v>
      </c>
      <c r="BD1939" s="24">
        <v>44705</v>
      </c>
      <c r="BE1939" s="24" t="s">
        <v>6003</v>
      </c>
      <c r="BF1939" s="24" t="s">
        <v>6003</v>
      </c>
      <c r="BG1939" s="135" t="s">
        <v>6003</v>
      </c>
      <c r="BH1939" s="212" t="s">
        <v>1622</v>
      </c>
      <c r="BI1939" s="314" t="s">
        <v>3</v>
      </c>
      <c r="BJ1939" s="314" t="s">
        <v>143</v>
      </c>
      <c r="BK1939" s="24"/>
      <c r="BL1939" s="24"/>
      <c r="BM1939" s="24"/>
      <c r="BN1939" s="24" t="s">
        <v>1622</v>
      </c>
      <c r="BO1939" s="24" t="s">
        <v>1622</v>
      </c>
      <c r="BP1939" s="24" t="s">
        <v>1622</v>
      </c>
      <c r="BQ1939" s="24" t="s">
        <v>8075</v>
      </c>
      <c r="BR1939" s="24">
        <v>44707</v>
      </c>
      <c r="BS1939" s="24" t="s">
        <v>38</v>
      </c>
      <c r="BT1939" s="24" t="s">
        <v>11</v>
      </c>
      <c r="BU1939" s="136"/>
      <c r="BV1939" s="132" t="s">
        <v>6087</v>
      </c>
      <c r="BW1939" s="132" t="s">
        <v>7271</v>
      </c>
      <c r="BX1939" s="132">
        <v>202200150639</v>
      </c>
      <c r="BY1939" s="132">
        <v>2022301356</v>
      </c>
      <c r="BZ1939" s="132"/>
      <c r="CA1939" s="132"/>
      <c r="CB1939" s="132" t="s">
        <v>3</v>
      </c>
      <c r="CC1939" s="362" t="s">
        <v>8085</v>
      </c>
      <c r="CG1939" s="136"/>
      <c r="CH1939" s="136"/>
      <c r="CI1939" s="24"/>
      <c r="CJ1939" s="24"/>
    </row>
    <row r="1940" spans="1:88" ht="14.45" customHeight="1">
      <c r="A1940" s="298">
        <v>2022</v>
      </c>
      <c r="B1940" s="18" t="str">
        <f>+INDEX(BDD!F:F,MATCH(P1940,BDD!D:D,0))&amp;"-"&amp;INDEX(BDD!E:E,MATCH(P1940,BDD!D:D,0))</f>
        <v>S-C</v>
      </c>
      <c r="C1940" s="360" t="s">
        <v>5398</v>
      </c>
      <c r="D1940" s="150" t="s">
        <v>18</v>
      </c>
      <c r="E1940" s="132" t="s">
        <v>51</v>
      </c>
      <c r="F1940" s="136"/>
      <c r="G1940" s="346">
        <v>8000002026</v>
      </c>
      <c r="H1940" s="18" t="s">
        <v>8054</v>
      </c>
      <c r="I1940" s="329" t="s">
        <v>7495</v>
      </c>
      <c r="J1940" s="346">
        <v>8000002026</v>
      </c>
      <c r="K1940" s="24">
        <v>44706</v>
      </c>
      <c r="L1940" s="24">
        <v>44711</v>
      </c>
      <c r="M1940" s="24"/>
      <c r="N1940" s="340" t="s">
        <v>3</v>
      </c>
      <c r="O1940" s="337">
        <v>207580</v>
      </c>
      <c r="P1940" s="25" t="s">
        <v>241</v>
      </c>
      <c r="Q1940" s="127" t="s">
        <v>6000</v>
      </c>
      <c r="R1940" s="232" t="s">
        <v>8077</v>
      </c>
      <c r="S1940" s="89">
        <v>44651</v>
      </c>
      <c r="T1940" s="36">
        <v>30</v>
      </c>
      <c r="U1940" s="125" t="s">
        <v>118</v>
      </c>
      <c r="V1940" s="147" t="s">
        <v>7993</v>
      </c>
      <c r="W1940" s="24">
        <v>44706</v>
      </c>
      <c r="X1940" s="88">
        <f>W1940+30</f>
        <v>44736</v>
      </c>
      <c r="Y1940" s="130" t="s">
        <v>3</v>
      </c>
      <c r="Z1940" s="133" t="s">
        <v>72</v>
      </c>
      <c r="AA1940" s="133" t="s">
        <v>1622</v>
      </c>
      <c r="AB1940" s="241">
        <v>112</v>
      </c>
      <c r="AC1940" s="134">
        <v>1570</v>
      </c>
      <c r="AD1940" s="134">
        <v>64.290000000000006</v>
      </c>
      <c r="AE1940" s="403">
        <f t="shared" si="144"/>
        <v>175840</v>
      </c>
      <c r="AF1940" s="132">
        <v>4</v>
      </c>
      <c r="AG1940" s="130" t="s">
        <v>33</v>
      </c>
      <c r="AH1940" s="130" t="s">
        <v>6388</v>
      </c>
      <c r="AI1940" s="130" t="s">
        <v>34</v>
      </c>
      <c r="AJ1940" s="295"/>
      <c r="AK1940" s="130" t="s">
        <v>7329</v>
      </c>
      <c r="AL1940" s="135" t="s">
        <v>7497</v>
      </c>
      <c r="AM1940" s="322">
        <v>2022</v>
      </c>
      <c r="AN1940" s="296">
        <f>AN1938+7</f>
        <v>44719</v>
      </c>
      <c r="AO1940" s="385">
        <v>44712</v>
      </c>
      <c r="AP1940" s="26">
        <f t="shared" si="147"/>
        <v>44720</v>
      </c>
      <c r="AQ1940" s="385">
        <f>AO1940+2</f>
        <v>44714</v>
      </c>
      <c r="AR1940" s="24">
        <f t="shared" ref="AR1940:AR1950" si="151">AQ1940+7</f>
        <v>44721</v>
      </c>
      <c r="AS1940" s="24">
        <v>44713</v>
      </c>
      <c r="AT1940" s="24">
        <f>+AQ1940</f>
        <v>44714</v>
      </c>
      <c r="AU1940" s="418">
        <f t="shared" si="145"/>
        <v>6</v>
      </c>
      <c r="AV1940" s="418">
        <f t="shared" si="146"/>
        <v>2022</v>
      </c>
      <c r="AW1940" s="24" t="s">
        <v>7875</v>
      </c>
      <c r="AX1940" s="24" t="s">
        <v>7499</v>
      </c>
      <c r="AY1940" s="24" t="s">
        <v>7498</v>
      </c>
      <c r="AZ1940" s="24" t="s">
        <v>62</v>
      </c>
      <c r="BA1940" s="206" t="s">
        <v>1622</v>
      </c>
      <c r="BB1940" s="24" t="s">
        <v>3264</v>
      </c>
      <c r="BC1940" s="418">
        <v>8137</v>
      </c>
      <c r="BD1940" s="24">
        <v>44705</v>
      </c>
      <c r="BE1940" s="24" t="s">
        <v>6003</v>
      </c>
      <c r="BF1940" s="24" t="s">
        <v>6003</v>
      </c>
      <c r="BG1940" s="135" t="s">
        <v>6003</v>
      </c>
      <c r="BH1940" s="212" t="s">
        <v>1622</v>
      </c>
      <c r="BI1940" s="314" t="s">
        <v>3</v>
      </c>
      <c r="BJ1940" s="314" t="s">
        <v>143</v>
      </c>
      <c r="BK1940" s="24"/>
      <c r="BL1940" s="24"/>
      <c r="BM1940" s="24"/>
      <c r="BN1940" s="24" t="s">
        <v>1622</v>
      </c>
      <c r="BO1940" s="24" t="s">
        <v>1622</v>
      </c>
      <c r="BP1940" s="24" t="s">
        <v>1622</v>
      </c>
      <c r="BQ1940" s="132" t="s">
        <v>8110</v>
      </c>
      <c r="BR1940" s="24">
        <v>44711</v>
      </c>
      <c r="BS1940" s="132" t="s">
        <v>38</v>
      </c>
      <c r="BT1940" s="136"/>
      <c r="BU1940" s="136"/>
      <c r="BV1940" s="132" t="s">
        <v>6087</v>
      </c>
      <c r="BW1940" s="132" t="s">
        <v>7271</v>
      </c>
      <c r="BX1940" s="132"/>
      <c r="BY1940" s="132"/>
      <c r="BZ1940" s="132"/>
      <c r="CA1940" s="132"/>
      <c r="CB1940" s="132"/>
      <c r="CC1940" s="378"/>
      <c r="CG1940" s="136"/>
      <c r="CH1940" s="136"/>
      <c r="CI1940" s="24"/>
      <c r="CJ1940" s="24"/>
    </row>
    <row r="1941" spans="1:88" ht="14.45" customHeight="1">
      <c r="A1941" s="298">
        <v>2022</v>
      </c>
      <c r="B1941" s="18" t="str">
        <f>+INDEX(BDD!F:F,MATCH(P1941,BDD!D:D,0))&amp;"-"&amp;INDEX(BDD!E:E,MATCH(P1941,BDD!D:D,0))</f>
        <v>S-C</v>
      </c>
      <c r="C1941" s="360" t="s">
        <v>5398</v>
      </c>
      <c r="D1941" s="150" t="s">
        <v>3</v>
      </c>
      <c r="E1941" s="132" t="s">
        <v>51</v>
      </c>
      <c r="F1941" s="136"/>
      <c r="G1941" s="346">
        <v>8000002037</v>
      </c>
      <c r="H1941" s="18" t="s">
        <v>8108</v>
      </c>
      <c r="I1941" s="329" t="s">
        <v>7495</v>
      </c>
      <c r="J1941" s="346">
        <v>8000002037</v>
      </c>
      <c r="K1941" s="24">
        <v>44712</v>
      </c>
      <c r="L1941" s="24"/>
      <c r="M1941" s="24"/>
      <c r="N1941" s="340" t="s">
        <v>3</v>
      </c>
      <c r="O1941" s="337">
        <v>207580</v>
      </c>
      <c r="P1941" s="25" t="s">
        <v>241</v>
      </c>
      <c r="Q1941" s="127" t="s">
        <v>6000</v>
      </c>
      <c r="R1941" s="232" t="s">
        <v>8077</v>
      </c>
      <c r="S1941" s="89">
        <v>44651</v>
      </c>
      <c r="T1941" s="36">
        <v>30</v>
      </c>
      <c r="U1941" s="125" t="s">
        <v>118</v>
      </c>
      <c r="V1941" s="147" t="s">
        <v>8053</v>
      </c>
      <c r="W1941" s="24">
        <v>44694</v>
      </c>
      <c r="X1941" s="88">
        <f>W1941+30</f>
        <v>44724</v>
      </c>
      <c r="Y1941" s="130" t="s">
        <v>3</v>
      </c>
      <c r="Z1941" s="133" t="s">
        <v>72</v>
      </c>
      <c r="AA1941" s="133" t="s">
        <v>1622</v>
      </c>
      <c r="AB1941" s="241">
        <f>28*AF1941</f>
        <v>84</v>
      </c>
      <c r="AC1941" s="134">
        <v>1570</v>
      </c>
      <c r="AD1941" s="134"/>
      <c r="AE1941" s="403">
        <f t="shared" si="144"/>
        <v>131880</v>
      </c>
      <c r="AF1941" s="132">
        <v>3</v>
      </c>
      <c r="AG1941" s="130" t="s">
        <v>33</v>
      </c>
      <c r="AH1941" s="130" t="s">
        <v>6388</v>
      </c>
      <c r="AI1941" s="130" t="s">
        <v>34</v>
      </c>
      <c r="AJ1941" s="295"/>
      <c r="AK1941" s="130" t="s">
        <v>7329</v>
      </c>
      <c r="AL1941" s="135" t="s">
        <v>7497</v>
      </c>
      <c r="AM1941" s="322">
        <v>2022</v>
      </c>
      <c r="AN1941" s="296">
        <f t="shared" ref="AN1941:AN1951" si="152">AN1939+7</f>
        <v>44721</v>
      </c>
      <c r="AO1941" s="385">
        <v>44713</v>
      </c>
      <c r="AP1941" s="26">
        <f t="shared" si="147"/>
        <v>44722</v>
      </c>
      <c r="AQ1941" s="385">
        <f>AO1941+2</f>
        <v>44715</v>
      </c>
      <c r="AR1941" s="24">
        <f t="shared" si="151"/>
        <v>44722</v>
      </c>
      <c r="AS1941" s="24"/>
      <c r="AT1941" s="24">
        <f t="shared" ref="AT1941:AT1951" si="153">+AQ1941</f>
        <v>44715</v>
      </c>
      <c r="AU1941" s="418">
        <f t="shared" si="145"/>
        <v>6</v>
      </c>
      <c r="AV1941" s="418">
        <f t="shared" si="146"/>
        <v>2022</v>
      </c>
      <c r="AW1941" s="24" t="s">
        <v>7875</v>
      </c>
      <c r="AX1941" s="24" t="s">
        <v>7499</v>
      </c>
      <c r="AY1941" s="24" t="s">
        <v>7498</v>
      </c>
      <c r="AZ1941" s="24" t="s">
        <v>62</v>
      </c>
      <c r="BA1941" s="206" t="s">
        <v>1622</v>
      </c>
      <c r="BB1941" s="24" t="s">
        <v>3264</v>
      </c>
      <c r="BC1941" s="292"/>
      <c r="BD1941" s="24"/>
      <c r="BE1941" s="24" t="s">
        <v>6003</v>
      </c>
      <c r="BF1941" s="24" t="s">
        <v>6003</v>
      </c>
      <c r="BG1941" s="135" t="s">
        <v>6003</v>
      </c>
      <c r="BH1941" s="212" t="s">
        <v>1622</v>
      </c>
      <c r="BI1941" s="314" t="s">
        <v>3</v>
      </c>
      <c r="BJ1941" s="314" t="s">
        <v>143</v>
      </c>
      <c r="BK1941" s="24"/>
      <c r="BL1941" s="24"/>
      <c r="BM1941" s="24"/>
      <c r="BN1941" s="24" t="s">
        <v>1622</v>
      </c>
      <c r="BO1941" s="24" t="s">
        <v>1622</v>
      </c>
      <c r="BP1941" s="24" t="s">
        <v>1622</v>
      </c>
      <c r="BQ1941" s="136"/>
      <c r="BR1941" s="24"/>
      <c r="BS1941" s="136"/>
      <c r="BT1941" s="136"/>
      <c r="BU1941" s="136"/>
      <c r="BV1941" s="132" t="e">
        <f>IF(#REF!="COMPLETO","OK","PENDIENTE")</f>
        <v>#REF!</v>
      </c>
      <c r="BW1941" s="132" t="s">
        <v>7271</v>
      </c>
      <c r="BX1941" s="132"/>
      <c r="BY1941" s="132"/>
      <c r="BZ1941" s="132"/>
      <c r="CA1941" s="132"/>
      <c r="CB1941" s="132"/>
      <c r="CC1941" s="378"/>
      <c r="CG1941" s="136"/>
      <c r="CH1941" s="136"/>
      <c r="CI1941" s="24"/>
      <c r="CJ1941" s="24"/>
    </row>
    <row r="1942" spans="1:88" ht="14.45" customHeight="1">
      <c r="A1942" s="298">
        <v>2022</v>
      </c>
      <c r="B1942" s="18" t="str">
        <f>+INDEX(BDD!F:F,MATCH(P1942,BDD!D:D,0))&amp;"-"&amp;INDEX(BDD!E:E,MATCH(P1942,BDD!D:D,0))</f>
        <v>S-C</v>
      </c>
      <c r="C1942" s="360" t="s">
        <v>5398</v>
      </c>
      <c r="D1942" s="150" t="s">
        <v>3</v>
      </c>
      <c r="E1942" s="132" t="s">
        <v>51</v>
      </c>
      <c r="F1942" s="136"/>
      <c r="G1942" s="346">
        <v>8000002038</v>
      </c>
      <c r="H1942" s="18" t="s">
        <v>8109</v>
      </c>
      <c r="I1942" s="329" t="s">
        <v>7495</v>
      </c>
      <c r="J1942" s="346">
        <v>8000002038</v>
      </c>
      <c r="K1942" s="24">
        <v>44712</v>
      </c>
      <c r="L1942" s="24"/>
      <c r="M1942" s="24"/>
      <c r="N1942" s="340" t="s">
        <v>3</v>
      </c>
      <c r="O1942" s="337">
        <v>207580</v>
      </c>
      <c r="P1942" s="25" t="s">
        <v>241</v>
      </c>
      <c r="Q1942" s="127" t="s">
        <v>6000</v>
      </c>
      <c r="R1942" s="232" t="s">
        <v>8077</v>
      </c>
      <c r="S1942" s="89">
        <v>44651</v>
      </c>
      <c r="T1942" s="36">
        <v>30</v>
      </c>
      <c r="U1942" s="125" t="s">
        <v>118</v>
      </c>
      <c r="V1942" s="147" t="s">
        <v>8053</v>
      </c>
      <c r="W1942" s="24">
        <v>44694</v>
      </c>
      <c r="X1942" s="88">
        <f>W1942+30</f>
        <v>44724</v>
      </c>
      <c r="Y1942" s="130" t="s">
        <v>3</v>
      </c>
      <c r="Z1942" s="133" t="s">
        <v>72</v>
      </c>
      <c r="AA1942" s="133" t="s">
        <v>1622</v>
      </c>
      <c r="AB1942" s="241">
        <f>28*AF1942</f>
        <v>56</v>
      </c>
      <c r="AC1942" s="134">
        <v>1570</v>
      </c>
      <c r="AD1942" s="134"/>
      <c r="AE1942" s="403">
        <f t="shared" si="144"/>
        <v>87920</v>
      </c>
      <c r="AF1942" s="132">
        <v>2</v>
      </c>
      <c r="AG1942" s="130" t="s">
        <v>33</v>
      </c>
      <c r="AH1942" s="130" t="s">
        <v>6388</v>
      </c>
      <c r="AI1942" s="130" t="s">
        <v>34</v>
      </c>
      <c r="AJ1942" s="295"/>
      <c r="AK1942" s="130" t="s">
        <v>7329</v>
      </c>
      <c r="AL1942" s="135" t="s">
        <v>7497</v>
      </c>
      <c r="AM1942" s="322">
        <v>2022</v>
      </c>
      <c r="AN1942" s="296">
        <f t="shared" si="152"/>
        <v>44726</v>
      </c>
      <c r="AO1942" s="385">
        <v>44718</v>
      </c>
      <c r="AP1942" s="26">
        <f t="shared" ref="AP1942" si="154">AN1942+1</f>
        <v>44727</v>
      </c>
      <c r="AQ1942" s="385">
        <f>AO1942+2</f>
        <v>44720</v>
      </c>
      <c r="AR1942" s="24">
        <f t="shared" ref="AR1942" si="155">AQ1942+7</f>
        <v>44727</v>
      </c>
      <c r="AS1942" s="24"/>
      <c r="AT1942" s="24">
        <f t="shared" ref="AT1942" si="156">+AQ1942</f>
        <v>44720</v>
      </c>
      <c r="AU1942" s="418">
        <f t="shared" ref="AU1942" si="157">MONTH(AT1942)</f>
        <v>6</v>
      </c>
      <c r="AV1942" s="418">
        <f t="shared" ref="AV1942" si="158">YEAR(AT1942)</f>
        <v>2022</v>
      </c>
      <c r="AW1942" s="24" t="s">
        <v>7875</v>
      </c>
      <c r="AX1942" s="24" t="s">
        <v>7499</v>
      </c>
      <c r="AY1942" s="24" t="s">
        <v>7498</v>
      </c>
      <c r="AZ1942" s="24" t="s">
        <v>62</v>
      </c>
      <c r="BA1942" s="206" t="s">
        <v>1622</v>
      </c>
      <c r="BB1942" s="24" t="s">
        <v>3264</v>
      </c>
      <c r="BC1942" s="292"/>
      <c r="BD1942" s="24"/>
      <c r="BE1942" s="24" t="s">
        <v>6003</v>
      </c>
      <c r="BF1942" s="24" t="s">
        <v>6003</v>
      </c>
      <c r="BG1942" s="135" t="s">
        <v>6003</v>
      </c>
      <c r="BH1942" s="212" t="s">
        <v>1622</v>
      </c>
      <c r="BI1942" s="314" t="s">
        <v>3</v>
      </c>
      <c r="BJ1942" s="314" t="s">
        <v>143</v>
      </c>
      <c r="BK1942" s="24"/>
      <c r="BL1942" s="24"/>
      <c r="BM1942" s="24"/>
      <c r="BN1942" s="24" t="s">
        <v>1622</v>
      </c>
      <c r="BO1942" s="24" t="s">
        <v>1622</v>
      </c>
      <c r="BP1942" s="24" t="s">
        <v>1622</v>
      </c>
      <c r="BQ1942" s="136"/>
      <c r="BR1942" s="24"/>
      <c r="BS1942" s="136"/>
      <c r="BT1942" s="136"/>
      <c r="BU1942" s="136"/>
      <c r="BV1942" s="132" t="e">
        <f>IF(#REF!="COMPLETO","OK","PENDIENTE")</f>
        <v>#REF!</v>
      </c>
      <c r="BW1942" s="132" t="s">
        <v>7271</v>
      </c>
      <c r="BX1942" s="132"/>
      <c r="BY1942" s="132"/>
      <c r="BZ1942" s="132"/>
      <c r="CA1942" s="132"/>
      <c r="CB1942" s="132"/>
      <c r="CC1942" s="378"/>
      <c r="CG1942" s="136"/>
      <c r="CH1942" s="136"/>
      <c r="CI1942" s="24"/>
      <c r="CJ1942" s="24"/>
    </row>
    <row r="1943" spans="1:88" ht="14.45" customHeight="1">
      <c r="A1943" s="298">
        <v>2022</v>
      </c>
      <c r="B1943" s="18" t="str">
        <f>+INDEX(BDD!F:F,MATCH(P1943,BDD!D:D,0))&amp;"-"&amp;INDEX(BDD!E:E,MATCH(P1943,BDD!D:D,0))</f>
        <v>S-C</v>
      </c>
      <c r="C1943" s="360" t="s">
        <v>5398</v>
      </c>
      <c r="D1943" s="150" t="s">
        <v>3</v>
      </c>
      <c r="E1943" s="132" t="s">
        <v>51</v>
      </c>
      <c r="F1943" s="136"/>
      <c r="G1943" s="346"/>
      <c r="H1943" s="18" t="s">
        <v>7505</v>
      </c>
      <c r="I1943" s="329" t="s">
        <v>7495</v>
      </c>
      <c r="J1943" s="346"/>
      <c r="K1943" s="24"/>
      <c r="L1943" s="24"/>
      <c r="M1943" s="24"/>
      <c r="N1943" s="340" t="s">
        <v>3</v>
      </c>
      <c r="O1943" s="337">
        <v>207580</v>
      </c>
      <c r="P1943" s="25" t="s">
        <v>241</v>
      </c>
      <c r="Q1943" s="127" t="s">
        <v>6000</v>
      </c>
      <c r="R1943" s="232" t="s">
        <v>8077</v>
      </c>
      <c r="S1943" s="89">
        <v>44651</v>
      </c>
      <c r="T1943" s="36">
        <v>30</v>
      </c>
      <c r="U1943" s="125" t="s">
        <v>118</v>
      </c>
      <c r="V1943" s="147"/>
      <c r="W1943" s="129"/>
      <c r="X1943" s="88"/>
      <c r="Y1943" s="130" t="s">
        <v>3</v>
      </c>
      <c r="Z1943" s="133" t="s">
        <v>72</v>
      </c>
      <c r="AA1943" s="133" t="s">
        <v>1622</v>
      </c>
      <c r="AB1943" s="241">
        <v>140</v>
      </c>
      <c r="AC1943" s="134">
        <v>1570</v>
      </c>
      <c r="AD1943" s="134"/>
      <c r="AE1943" s="403">
        <f t="shared" si="144"/>
        <v>219800</v>
      </c>
      <c r="AF1943" s="132">
        <v>5</v>
      </c>
      <c r="AG1943" s="130" t="s">
        <v>33</v>
      </c>
      <c r="AH1943" s="130" t="s">
        <v>6388</v>
      </c>
      <c r="AI1943" s="130" t="s">
        <v>34</v>
      </c>
      <c r="AJ1943" s="295"/>
      <c r="AK1943" s="130" t="s">
        <v>7329</v>
      </c>
      <c r="AL1943" s="135" t="s">
        <v>7497</v>
      </c>
      <c r="AM1943" s="322">
        <v>2022</v>
      </c>
      <c r="AN1943" s="296">
        <f>AN1940+7</f>
        <v>44726</v>
      </c>
      <c r="AO1943" s="385">
        <v>44720</v>
      </c>
      <c r="AP1943" s="26">
        <f t="shared" si="147"/>
        <v>44727</v>
      </c>
      <c r="AQ1943" s="385">
        <f t="shared" ref="AQ1943:AQ1951" si="159">AO1943+2</f>
        <v>44722</v>
      </c>
      <c r="AR1943" s="24">
        <f t="shared" si="151"/>
        <v>44729</v>
      </c>
      <c r="AS1943" s="24"/>
      <c r="AT1943" s="24">
        <f t="shared" si="153"/>
        <v>44722</v>
      </c>
      <c r="AU1943" s="418">
        <f t="shared" si="145"/>
        <v>6</v>
      </c>
      <c r="AV1943" s="418">
        <f t="shared" si="146"/>
        <v>2022</v>
      </c>
      <c r="AW1943" s="24" t="s">
        <v>7874</v>
      </c>
      <c r="AX1943" s="24" t="s">
        <v>7499</v>
      </c>
      <c r="AY1943" s="24" t="s">
        <v>7498</v>
      </c>
      <c r="AZ1943" s="24" t="s">
        <v>62</v>
      </c>
      <c r="BA1943" s="206" t="s">
        <v>1622</v>
      </c>
      <c r="BB1943" s="24" t="s">
        <v>3264</v>
      </c>
      <c r="BC1943" s="292"/>
      <c r="BD1943" s="24"/>
      <c r="BE1943" s="24" t="s">
        <v>6003</v>
      </c>
      <c r="BF1943" s="24" t="s">
        <v>6003</v>
      </c>
      <c r="BG1943" s="135" t="s">
        <v>6003</v>
      </c>
      <c r="BH1943" s="212" t="s">
        <v>1622</v>
      </c>
      <c r="BI1943" s="314" t="s">
        <v>3</v>
      </c>
      <c r="BJ1943" s="314" t="s">
        <v>143</v>
      </c>
      <c r="BK1943" s="24"/>
      <c r="BL1943" s="24"/>
      <c r="BM1943" s="24"/>
      <c r="BN1943" s="24" t="s">
        <v>1622</v>
      </c>
      <c r="BO1943" s="24" t="s">
        <v>1622</v>
      </c>
      <c r="BP1943" s="24" t="s">
        <v>1622</v>
      </c>
      <c r="BQ1943" s="136"/>
      <c r="BR1943" s="24"/>
      <c r="BS1943" s="136"/>
      <c r="BT1943" s="136"/>
      <c r="BU1943" s="136"/>
      <c r="BV1943" s="132" t="e">
        <f>IF(#REF!="COMPLETO","OK","PENDIENTE")</f>
        <v>#REF!</v>
      </c>
      <c r="BW1943" s="132" t="s">
        <v>7271</v>
      </c>
      <c r="BX1943" s="132"/>
      <c r="BY1943" s="132"/>
      <c r="BZ1943" s="132"/>
      <c r="CA1943" s="132"/>
      <c r="CB1943" s="132"/>
      <c r="CC1943" s="378"/>
      <c r="CG1943" s="136"/>
      <c r="CH1943" s="136"/>
      <c r="CI1943" s="24"/>
      <c r="CJ1943" s="24"/>
    </row>
    <row r="1944" spans="1:88" ht="14.45" customHeight="1">
      <c r="A1944" s="298">
        <v>2022</v>
      </c>
      <c r="B1944" s="18" t="str">
        <f>+INDEX(BDD!F:F,MATCH(P1944,BDD!D:D,0))&amp;"-"&amp;INDEX(BDD!E:E,MATCH(P1944,BDD!D:D,0))</f>
        <v>S-C</v>
      </c>
      <c r="C1944" s="360" t="s">
        <v>5398</v>
      </c>
      <c r="D1944" s="150" t="s">
        <v>3</v>
      </c>
      <c r="E1944" s="132" t="s">
        <v>51</v>
      </c>
      <c r="F1944" s="136"/>
      <c r="G1944" s="346"/>
      <c r="H1944" s="18" t="s">
        <v>7506</v>
      </c>
      <c r="I1944" s="329" t="s">
        <v>7495</v>
      </c>
      <c r="J1944" s="346"/>
      <c r="K1944" s="24"/>
      <c r="L1944" s="24"/>
      <c r="M1944" s="24"/>
      <c r="N1944" s="340" t="s">
        <v>3</v>
      </c>
      <c r="O1944" s="337">
        <v>207580</v>
      </c>
      <c r="P1944" s="25" t="s">
        <v>241</v>
      </c>
      <c r="Q1944" s="127" t="s">
        <v>6000</v>
      </c>
      <c r="R1944" s="232" t="s">
        <v>8077</v>
      </c>
      <c r="S1944" s="89">
        <v>44651</v>
      </c>
      <c r="T1944" s="36">
        <v>30</v>
      </c>
      <c r="U1944" s="125" t="s">
        <v>118</v>
      </c>
      <c r="V1944" s="147"/>
      <c r="W1944" s="129"/>
      <c r="X1944" s="88"/>
      <c r="Y1944" s="130" t="s">
        <v>3</v>
      </c>
      <c r="Z1944" s="133" t="s">
        <v>72</v>
      </c>
      <c r="AA1944" s="133" t="s">
        <v>1622</v>
      </c>
      <c r="AB1944" s="241">
        <v>140</v>
      </c>
      <c r="AC1944" s="134">
        <v>1570</v>
      </c>
      <c r="AD1944" s="134"/>
      <c r="AE1944" s="403">
        <f t="shared" si="144"/>
        <v>219800</v>
      </c>
      <c r="AF1944" s="132">
        <v>5</v>
      </c>
      <c r="AG1944" s="130" t="s">
        <v>33</v>
      </c>
      <c r="AH1944" s="130" t="s">
        <v>6388</v>
      </c>
      <c r="AI1944" s="130" t="s">
        <v>34</v>
      </c>
      <c r="AJ1944" s="295"/>
      <c r="AK1944" s="130" t="s">
        <v>7329</v>
      </c>
      <c r="AL1944" s="135" t="s">
        <v>7497</v>
      </c>
      <c r="AM1944" s="322">
        <v>2022</v>
      </c>
      <c r="AN1944" s="296">
        <f>AN1941+7</f>
        <v>44728</v>
      </c>
      <c r="AO1944" s="385">
        <v>44725</v>
      </c>
      <c r="AP1944" s="26">
        <f t="shared" si="147"/>
        <v>44729</v>
      </c>
      <c r="AQ1944" s="385">
        <f t="shared" si="159"/>
        <v>44727</v>
      </c>
      <c r="AR1944" s="24">
        <f t="shared" si="151"/>
        <v>44734</v>
      </c>
      <c r="AS1944" s="24"/>
      <c r="AT1944" s="24">
        <f t="shared" si="153"/>
        <v>44727</v>
      </c>
      <c r="AU1944" s="418">
        <f t="shared" si="145"/>
        <v>6</v>
      </c>
      <c r="AV1944" s="418">
        <f t="shared" si="146"/>
        <v>2022</v>
      </c>
      <c r="AW1944" s="24" t="s">
        <v>7874</v>
      </c>
      <c r="AX1944" s="24" t="s">
        <v>7499</v>
      </c>
      <c r="AY1944" s="24" t="s">
        <v>7498</v>
      </c>
      <c r="AZ1944" s="24" t="s">
        <v>62</v>
      </c>
      <c r="BA1944" s="206" t="s">
        <v>1622</v>
      </c>
      <c r="BB1944" s="24" t="s">
        <v>3264</v>
      </c>
      <c r="BC1944" s="292"/>
      <c r="BD1944" s="24"/>
      <c r="BE1944" s="24" t="s">
        <v>6003</v>
      </c>
      <c r="BF1944" s="24" t="s">
        <v>6003</v>
      </c>
      <c r="BG1944" s="135" t="s">
        <v>6003</v>
      </c>
      <c r="BH1944" s="212" t="s">
        <v>1622</v>
      </c>
      <c r="BI1944" s="314" t="s">
        <v>3</v>
      </c>
      <c r="BJ1944" s="314" t="s">
        <v>143</v>
      </c>
      <c r="BK1944" s="24"/>
      <c r="BL1944" s="24"/>
      <c r="BM1944" s="24"/>
      <c r="BN1944" s="24" t="s">
        <v>1622</v>
      </c>
      <c r="BO1944" s="24" t="s">
        <v>1622</v>
      </c>
      <c r="BP1944" s="24" t="s">
        <v>1622</v>
      </c>
      <c r="BQ1944" s="136"/>
      <c r="BR1944" s="24"/>
      <c r="BS1944" s="136"/>
      <c r="BT1944" s="136"/>
      <c r="BU1944" s="136"/>
      <c r="BV1944" s="132" t="e">
        <f>IF(#REF!="COMPLETO","OK","PENDIENTE")</f>
        <v>#REF!</v>
      </c>
      <c r="BW1944" s="132" t="s">
        <v>7271</v>
      </c>
      <c r="BX1944" s="132"/>
      <c r="BY1944" s="132"/>
      <c r="BZ1944" s="132"/>
      <c r="CA1944" s="132"/>
      <c r="CB1944" s="132"/>
      <c r="CC1944" s="378"/>
      <c r="CG1944" s="136"/>
      <c r="CH1944" s="136"/>
      <c r="CI1944" s="24"/>
      <c r="CJ1944" s="24"/>
    </row>
    <row r="1945" spans="1:88" ht="14.45" customHeight="1">
      <c r="A1945" s="298">
        <v>2022</v>
      </c>
      <c r="B1945" s="18" t="str">
        <f>+INDEX(BDD!F:F,MATCH(P1945,BDD!D:D,0))&amp;"-"&amp;INDEX(BDD!E:E,MATCH(P1945,BDD!D:D,0))</f>
        <v>S-C</v>
      </c>
      <c r="C1945" s="360" t="s">
        <v>5398</v>
      </c>
      <c r="D1945" s="150" t="s">
        <v>3</v>
      </c>
      <c r="E1945" s="132" t="s">
        <v>51</v>
      </c>
      <c r="F1945" s="136"/>
      <c r="G1945" s="346"/>
      <c r="H1945" s="18" t="s">
        <v>7507</v>
      </c>
      <c r="I1945" s="329" t="s">
        <v>7495</v>
      </c>
      <c r="J1945" s="346"/>
      <c r="K1945" s="24"/>
      <c r="L1945" s="24"/>
      <c r="M1945" s="24"/>
      <c r="N1945" s="340" t="s">
        <v>3</v>
      </c>
      <c r="O1945" s="337">
        <v>207580</v>
      </c>
      <c r="P1945" s="25" t="s">
        <v>241</v>
      </c>
      <c r="Q1945" s="127" t="s">
        <v>6000</v>
      </c>
      <c r="R1945" s="232" t="s">
        <v>8077</v>
      </c>
      <c r="S1945" s="89">
        <v>44651</v>
      </c>
      <c r="T1945" s="36">
        <v>30</v>
      </c>
      <c r="U1945" s="125" t="s">
        <v>118</v>
      </c>
      <c r="V1945" s="147"/>
      <c r="W1945" s="129"/>
      <c r="X1945" s="88"/>
      <c r="Y1945" s="130" t="s">
        <v>3</v>
      </c>
      <c r="Z1945" s="133" t="s">
        <v>72</v>
      </c>
      <c r="AA1945" s="133" t="s">
        <v>1622</v>
      </c>
      <c r="AB1945" s="241">
        <v>140</v>
      </c>
      <c r="AC1945" s="134">
        <v>1570</v>
      </c>
      <c r="AD1945" s="134"/>
      <c r="AE1945" s="403">
        <f t="shared" si="144"/>
        <v>219800</v>
      </c>
      <c r="AF1945" s="132">
        <v>5</v>
      </c>
      <c r="AG1945" s="130" t="s">
        <v>33</v>
      </c>
      <c r="AH1945" s="130" t="s">
        <v>6388</v>
      </c>
      <c r="AI1945" s="130" t="s">
        <v>34</v>
      </c>
      <c r="AJ1945" s="295"/>
      <c r="AK1945" s="130" t="s">
        <v>7329</v>
      </c>
      <c r="AL1945" s="135" t="s">
        <v>7497</v>
      </c>
      <c r="AM1945" s="322">
        <v>2022</v>
      </c>
      <c r="AN1945" s="296">
        <f t="shared" si="152"/>
        <v>44733</v>
      </c>
      <c r="AO1945" s="385">
        <v>44727</v>
      </c>
      <c r="AP1945" s="26">
        <f t="shared" si="147"/>
        <v>44734</v>
      </c>
      <c r="AQ1945" s="385">
        <f>AO1945+2</f>
        <v>44729</v>
      </c>
      <c r="AR1945" s="24">
        <f t="shared" si="151"/>
        <v>44736</v>
      </c>
      <c r="AS1945" s="24"/>
      <c r="AT1945" s="24">
        <f t="shared" si="153"/>
        <v>44729</v>
      </c>
      <c r="AU1945" s="418">
        <f t="shared" si="145"/>
        <v>6</v>
      </c>
      <c r="AV1945" s="418">
        <f t="shared" si="146"/>
        <v>2022</v>
      </c>
      <c r="AW1945" s="24" t="s">
        <v>7874</v>
      </c>
      <c r="AX1945" s="24" t="s">
        <v>7499</v>
      </c>
      <c r="AY1945" s="24" t="s">
        <v>7498</v>
      </c>
      <c r="AZ1945" s="24" t="s">
        <v>62</v>
      </c>
      <c r="BA1945" s="206" t="s">
        <v>1622</v>
      </c>
      <c r="BB1945" s="24" t="s">
        <v>3264</v>
      </c>
      <c r="BC1945" s="292"/>
      <c r="BD1945" s="24"/>
      <c r="BE1945" s="24" t="s">
        <v>6003</v>
      </c>
      <c r="BF1945" s="24" t="s">
        <v>6003</v>
      </c>
      <c r="BG1945" s="135" t="s">
        <v>6003</v>
      </c>
      <c r="BH1945" s="212" t="s">
        <v>1622</v>
      </c>
      <c r="BI1945" s="314" t="s">
        <v>3</v>
      </c>
      <c r="BJ1945" s="314" t="s">
        <v>143</v>
      </c>
      <c r="BK1945" s="24"/>
      <c r="BL1945" s="24"/>
      <c r="BM1945" s="24"/>
      <c r="BN1945" s="24" t="s">
        <v>1622</v>
      </c>
      <c r="BO1945" s="24" t="s">
        <v>1622</v>
      </c>
      <c r="BP1945" s="24" t="s">
        <v>1622</v>
      </c>
      <c r="BQ1945" s="136"/>
      <c r="BR1945" s="24"/>
      <c r="BS1945" s="136"/>
      <c r="BT1945" s="136"/>
      <c r="BU1945" s="136"/>
      <c r="BV1945" s="132" t="e">
        <f>IF(#REF!="COMPLETO","OK","PENDIENTE")</f>
        <v>#REF!</v>
      </c>
      <c r="BW1945" s="132" t="s">
        <v>7271</v>
      </c>
      <c r="BX1945" s="132"/>
      <c r="BY1945" s="132"/>
      <c r="BZ1945" s="132"/>
      <c r="CA1945" s="132"/>
      <c r="CB1945" s="132"/>
      <c r="CC1945" s="378"/>
      <c r="CG1945" s="136"/>
      <c r="CH1945" s="136"/>
      <c r="CI1945" s="24"/>
      <c r="CJ1945" s="24"/>
    </row>
    <row r="1946" spans="1:88" ht="14.45" customHeight="1">
      <c r="A1946" s="298">
        <v>2022</v>
      </c>
      <c r="B1946" s="18" t="str">
        <f>+INDEX(BDD!F:F,MATCH(P1946,BDD!D:D,0))&amp;"-"&amp;INDEX(BDD!E:E,MATCH(P1946,BDD!D:D,0))</f>
        <v>S-C</v>
      </c>
      <c r="C1946" s="360" t="s">
        <v>5398</v>
      </c>
      <c r="D1946" s="150" t="s">
        <v>3</v>
      </c>
      <c r="E1946" s="132" t="s">
        <v>51</v>
      </c>
      <c r="F1946" s="136"/>
      <c r="G1946" s="346"/>
      <c r="H1946" s="18" t="s">
        <v>7508</v>
      </c>
      <c r="I1946" s="329" t="s">
        <v>7495</v>
      </c>
      <c r="J1946" s="346"/>
      <c r="K1946" s="24"/>
      <c r="L1946" s="24"/>
      <c r="M1946" s="24"/>
      <c r="N1946" s="340" t="s">
        <v>3</v>
      </c>
      <c r="O1946" s="337">
        <v>207580</v>
      </c>
      <c r="P1946" s="25" t="s">
        <v>241</v>
      </c>
      <c r="Q1946" s="127" t="s">
        <v>6000</v>
      </c>
      <c r="R1946" s="232" t="s">
        <v>8077</v>
      </c>
      <c r="S1946" s="89">
        <v>44651</v>
      </c>
      <c r="T1946" s="36">
        <v>30</v>
      </c>
      <c r="U1946" s="125" t="s">
        <v>118</v>
      </c>
      <c r="V1946" s="147"/>
      <c r="W1946" s="129"/>
      <c r="X1946" s="88"/>
      <c r="Y1946" s="130" t="s">
        <v>3</v>
      </c>
      <c r="Z1946" s="133" t="s">
        <v>72</v>
      </c>
      <c r="AA1946" s="133" t="s">
        <v>1622</v>
      </c>
      <c r="AB1946" s="241">
        <v>140</v>
      </c>
      <c r="AC1946" s="134">
        <v>1570</v>
      </c>
      <c r="AD1946" s="134"/>
      <c r="AE1946" s="403">
        <f t="shared" si="144"/>
        <v>219800</v>
      </c>
      <c r="AF1946" s="132">
        <v>5</v>
      </c>
      <c r="AG1946" s="130" t="s">
        <v>33</v>
      </c>
      <c r="AH1946" s="130" t="s">
        <v>6388</v>
      </c>
      <c r="AI1946" s="130" t="s">
        <v>34</v>
      </c>
      <c r="AJ1946" s="295"/>
      <c r="AK1946" s="130" t="s">
        <v>7329</v>
      </c>
      <c r="AL1946" s="135" t="s">
        <v>7497</v>
      </c>
      <c r="AM1946" s="322">
        <v>2022</v>
      </c>
      <c r="AN1946" s="296">
        <f t="shared" si="152"/>
        <v>44735</v>
      </c>
      <c r="AO1946" s="385">
        <v>44732</v>
      </c>
      <c r="AP1946" s="26">
        <f t="shared" si="147"/>
        <v>44736</v>
      </c>
      <c r="AQ1946" s="385">
        <f t="shared" si="159"/>
        <v>44734</v>
      </c>
      <c r="AR1946" s="24">
        <f t="shared" si="151"/>
        <v>44741</v>
      </c>
      <c r="AS1946" s="24"/>
      <c r="AT1946" s="24">
        <f t="shared" si="153"/>
        <v>44734</v>
      </c>
      <c r="AU1946" s="418">
        <f t="shared" si="145"/>
        <v>6</v>
      </c>
      <c r="AV1946" s="418">
        <f t="shared" si="146"/>
        <v>2022</v>
      </c>
      <c r="AW1946" s="24" t="s">
        <v>7874</v>
      </c>
      <c r="AX1946" s="24" t="s">
        <v>7499</v>
      </c>
      <c r="AY1946" s="24" t="s">
        <v>7498</v>
      </c>
      <c r="AZ1946" s="24" t="s">
        <v>62</v>
      </c>
      <c r="BA1946" s="206" t="s">
        <v>1622</v>
      </c>
      <c r="BB1946" s="24" t="s">
        <v>3264</v>
      </c>
      <c r="BC1946" s="292"/>
      <c r="BD1946" s="24"/>
      <c r="BE1946" s="24" t="s">
        <v>6003</v>
      </c>
      <c r="BF1946" s="24" t="s">
        <v>6003</v>
      </c>
      <c r="BG1946" s="135" t="s">
        <v>6003</v>
      </c>
      <c r="BH1946" s="212" t="s">
        <v>1622</v>
      </c>
      <c r="BI1946" s="314" t="s">
        <v>3</v>
      </c>
      <c r="BJ1946" s="314" t="s">
        <v>143</v>
      </c>
      <c r="BK1946" s="24"/>
      <c r="BL1946" s="24"/>
      <c r="BM1946" s="24"/>
      <c r="BN1946" s="24" t="s">
        <v>1622</v>
      </c>
      <c r="BO1946" s="24" t="s">
        <v>1622</v>
      </c>
      <c r="BP1946" s="24" t="s">
        <v>1622</v>
      </c>
      <c r="BQ1946" s="136"/>
      <c r="BR1946" s="24"/>
      <c r="BS1946" s="136"/>
      <c r="BT1946" s="136"/>
      <c r="BU1946" s="136"/>
      <c r="BV1946" s="132" t="e">
        <f>IF(#REF!="COMPLETO","OK","PENDIENTE")</f>
        <v>#REF!</v>
      </c>
      <c r="BW1946" s="132" t="s">
        <v>7271</v>
      </c>
      <c r="BX1946" s="132"/>
      <c r="BY1946" s="132"/>
      <c r="BZ1946" s="132"/>
      <c r="CA1946" s="132"/>
      <c r="CB1946" s="132"/>
      <c r="CC1946" s="378"/>
      <c r="CG1946" s="136"/>
      <c r="CH1946" s="136"/>
      <c r="CI1946" s="24"/>
      <c r="CJ1946" s="24"/>
    </row>
    <row r="1947" spans="1:88" ht="14.45" customHeight="1">
      <c r="A1947" s="298">
        <v>2022</v>
      </c>
      <c r="B1947" s="18" t="str">
        <f>+INDEX(BDD!F:F,MATCH(P1947,BDD!D:D,0))&amp;"-"&amp;INDEX(BDD!E:E,MATCH(P1947,BDD!D:D,0))</f>
        <v>S-C</v>
      </c>
      <c r="C1947" s="360" t="s">
        <v>5398</v>
      </c>
      <c r="D1947" s="150" t="s">
        <v>3</v>
      </c>
      <c r="E1947" s="132" t="s">
        <v>51</v>
      </c>
      <c r="F1947" s="136"/>
      <c r="G1947" s="346"/>
      <c r="H1947" s="18" t="s">
        <v>7509</v>
      </c>
      <c r="I1947" s="329" t="s">
        <v>7495</v>
      </c>
      <c r="J1947" s="346"/>
      <c r="K1947" s="24"/>
      <c r="L1947" s="24"/>
      <c r="M1947" s="24"/>
      <c r="N1947" s="340" t="s">
        <v>3</v>
      </c>
      <c r="O1947" s="337">
        <v>207580</v>
      </c>
      <c r="P1947" s="25" t="s">
        <v>241</v>
      </c>
      <c r="Q1947" s="127" t="s">
        <v>6000</v>
      </c>
      <c r="R1947" s="232" t="s">
        <v>8077</v>
      </c>
      <c r="S1947" s="89">
        <v>44651</v>
      </c>
      <c r="T1947" s="36">
        <v>30</v>
      </c>
      <c r="U1947" s="125" t="s">
        <v>118</v>
      </c>
      <c r="V1947" s="147"/>
      <c r="W1947" s="129"/>
      <c r="X1947" s="88"/>
      <c r="Y1947" s="130" t="s">
        <v>3</v>
      </c>
      <c r="Z1947" s="133" t="s">
        <v>72</v>
      </c>
      <c r="AA1947" s="133" t="s">
        <v>1622</v>
      </c>
      <c r="AB1947" s="241">
        <v>140</v>
      </c>
      <c r="AC1947" s="134">
        <v>1570</v>
      </c>
      <c r="AD1947" s="134"/>
      <c r="AE1947" s="403">
        <f t="shared" si="144"/>
        <v>219800</v>
      </c>
      <c r="AF1947" s="132">
        <v>5</v>
      </c>
      <c r="AG1947" s="130" t="s">
        <v>33</v>
      </c>
      <c r="AH1947" s="130" t="s">
        <v>6388</v>
      </c>
      <c r="AI1947" s="130" t="s">
        <v>34</v>
      </c>
      <c r="AJ1947" s="295"/>
      <c r="AK1947" s="130" t="s">
        <v>7329</v>
      </c>
      <c r="AL1947" s="135" t="s">
        <v>7497</v>
      </c>
      <c r="AM1947" s="322">
        <v>2022</v>
      </c>
      <c r="AN1947" s="296">
        <f t="shared" si="152"/>
        <v>44740</v>
      </c>
      <c r="AO1947" s="385">
        <v>44734</v>
      </c>
      <c r="AP1947" s="26">
        <f t="shared" si="147"/>
        <v>44741</v>
      </c>
      <c r="AQ1947" s="385">
        <f t="shared" si="159"/>
        <v>44736</v>
      </c>
      <c r="AR1947" s="24">
        <f t="shared" si="151"/>
        <v>44743</v>
      </c>
      <c r="AS1947" s="24"/>
      <c r="AT1947" s="24">
        <f t="shared" si="153"/>
        <v>44736</v>
      </c>
      <c r="AU1947" s="418">
        <f t="shared" si="145"/>
        <v>6</v>
      </c>
      <c r="AV1947" s="418">
        <f t="shared" si="146"/>
        <v>2022</v>
      </c>
      <c r="AW1947" s="24" t="s">
        <v>7874</v>
      </c>
      <c r="AX1947" s="24" t="s">
        <v>7499</v>
      </c>
      <c r="AY1947" s="24" t="s">
        <v>7498</v>
      </c>
      <c r="AZ1947" s="24" t="s">
        <v>62</v>
      </c>
      <c r="BA1947" s="206" t="s">
        <v>1622</v>
      </c>
      <c r="BB1947" s="24" t="s">
        <v>3264</v>
      </c>
      <c r="BC1947" s="292"/>
      <c r="BD1947" s="24"/>
      <c r="BE1947" s="24" t="s">
        <v>6003</v>
      </c>
      <c r="BF1947" s="24" t="s">
        <v>6003</v>
      </c>
      <c r="BG1947" s="135" t="s">
        <v>6003</v>
      </c>
      <c r="BH1947" s="212" t="s">
        <v>1622</v>
      </c>
      <c r="BI1947" s="314" t="s">
        <v>3</v>
      </c>
      <c r="BJ1947" s="314" t="s">
        <v>143</v>
      </c>
      <c r="BK1947" s="24"/>
      <c r="BL1947" s="24"/>
      <c r="BM1947" s="24"/>
      <c r="BN1947" s="24" t="s">
        <v>1622</v>
      </c>
      <c r="BO1947" s="24" t="s">
        <v>1622</v>
      </c>
      <c r="BP1947" s="24" t="s">
        <v>1622</v>
      </c>
      <c r="BQ1947" s="136"/>
      <c r="BR1947" s="24"/>
      <c r="BS1947" s="136"/>
      <c r="BT1947" s="136"/>
      <c r="BU1947" s="136"/>
      <c r="BV1947" s="132" t="e">
        <f>IF(#REF!="COMPLETO","OK","PENDIENTE")</f>
        <v>#REF!</v>
      </c>
      <c r="BW1947" s="132" t="s">
        <v>7271</v>
      </c>
      <c r="BX1947" s="132"/>
      <c r="BY1947" s="132"/>
      <c r="BZ1947" s="132"/>
      <c r="CA1947" s="132"/>
      <c r="CB1947" s="132"/>
      <c r="CC1947" s="378"/>
      <c r="CG1947" s="136"/>
      <c r="CH1947" s="136"/>
      <c r="CI1947" s="24"/>
      <c r="CJ1947" s="24"/>
    </row>
    <row r="1948" spans="1:88" ht="14.45" customHeight="1">
      <c r="A1948" s="298">
        <v>2022</v>
      </c>
      <c r="B1948" s="18" t="str">
        <f>+INDEX(BDD!F:F,MATCH(P1948,BDD!D:D,0))&amp;"-"&amp;INDEX(BDD!E:E,MATCH(P1948,BDD!D:D,0))</f>
        <v>S-C</v>
      </c>
      <c r="C1948" s="360" t="s">
        <v>5398</v>
      </c>
      <c r="D1948" s="150" t="s">
        <v>3</v>
      </c>
      <c r="E1948" s="132" t="s">
        <v>51</v>
      </c>
      <c r="F1948" s="136"/>
      <c r="G1948" s="346"/>
      <c r="H1948" s="18" t="s">
        <v>7510</v>
      </c>
      <c r="I1948" s="329" t="s">
        <v>7495</v>
      </c>
      <c r="J1948" s="346"/>
      <c r="K1948" s="24"/>
      <c r="L1948" s="24"/>
      <c r="M1948" s="24"/>
      <c r="N1948" s="340" t="s">
        <v>3</v>
      </c>
      <c r="O1948" s="337">
        <v>207580</v>
      </c>
      <c r="P1948" s="25" t="s">
        <v>241</v>
      </c>
      <c r="Q1948" s="127" t="s">
        <v>6000</v>
      </c>
      <c r="R1948" s="232" t="s">
        <v>8077</v>
      </c>
      <c r="S1948" s="89">
        <v>44651</v>
      </c>
      <c r="T1948" s="36">
        <v>30</v>
      </c>
      <c r="U1948" s="125" t="s">
        <v>118</v>
      </c>
      <c r="V1948" s="147"/>
      <c r="W1948" s="129"/>
      <c r="X1948" s="88"/>
      <c r="Y1948" s="130" t="s">
        <v>3</v>
      </c>
      <c r="Z1948" s="133" t="s">
        <v>72</v>
      </c>
      <c r="AA1948" s="133" t="s">
        <v>1622</v>
      </c>
      <c r="AB1948" s="241">
        <v>140</v>
      </c>
      <c r="AC1948" s="134">
        <v>1570</v>
      </c>
      <c r="AD1948" s="134"/>
      <c r="AE1948" s="403">
        <f t="shared" si="144"/>
        <v>219800</v>
      </c>
      <c r="AF1948" s="132">
        <v>5</v>
      </c>
      <c r="AG1948" s="130" t="s">
        <v>33</v>
      </c>
      <c r="AH1948" s="130" t="s">
        <v>6388</v>
      </c>
      <c r="AI1948" s="130" t="s">
        <v>34</v>
      </c>
      <c r="AJ1948" s="295"/>
      <c r="AK1948" s="130" t="s">
        <v>7329</v>
      </c>
      <c r="AL1948" s="135" t="s">
        <v>7497</v>
      </c>
      <c r="AM1948" s="322">
        <v>2022</v>
      </c>
      <c r="AN1948" s="296">
        <f t="shared" si="152"/>
        <v>44742</v>
      </c>
      <c r="AO1948" s="385">
        <v>44739</v>
      </c>
      <c r="AP1948" s="26">
        <f t="shared" si="147"/>
        <v>44743</v>
      </c>
      <c r="AQ1948" s="385">
        <f t="shared" si="159"/>
        <v>44741</v>
      </c>
      <c r="AR1948" s="24">
        <f t="shared" si="151"/>
        <v>44748</v>
      </c>
      <c r="AS1948" s="24"/>
      <c r="AT1948" s="24">
        <f t="shared" si="153"/>
        <v>44741</v>
      </c>
      <c r="AU1948" s="418">
        <f t="shared" si="145"/>
        <v>6</v>
      </c>
      <c r="AV1948" s="418">
        <f t="shared" si="146"/>
        <v>2022</v>
      </c>
      <c r="AW1948" s="24" t="s">
        <v>7874</v>
      </c>
      <c r="AX1948" s="24" t="s">
        <v>7499</v>
      </c>
      <c r="AY1948" s="24" t="s">
        <v>7498</v>
      </c>
      <c r="AZ1948" s="24" t="s">
        <v>62</v>
      </c>
      <c r="BA1948" s="206" t="s">
        <v>1622</v>
      </c>
      <c r="BB1948" s="24" t="s">
        <v>3264</v>
      </c>
      <c r="BC1948" s="292"/>
      <c r="BD1948" s="24"/>
      <c r="BE1948" s="24" t="s">
        <v>6003</v>
      </c>
      <c r="BF1948" s="24" t="s">
        <v>6003</v>
      </c>
      <c r="BG1948" s="135" t="s">
        <v>6003</v>
      </c>
      <c r="BH1948" s="212" t="s">
        <v>1622</v>
      </c>
      <c r="BI1948" s="314" t="s">
        <v>3</v>
      </c>
      <c r="BJ1948" s="314" t="s">
        <v>143</v>
      </c>
      <c r="BK1948" s="24"/>
      <c r="BL1948" s="24"/>
      <c r="BM1948" s="24"/>
      <c r="BN1948" s="24" t="s">
        <v>1622</v>
      </c>
      <c r="BO1948" s="24" t="s">
        <v>1622</v>
      </c>
      <c r="BP1948" s="24" t="s">
        <v>1622</v>
      </c>
      <c r="BQ1948" s="136"/>
      <c r="BR1948" s="24"/>
      <c r="BS1948" s="136"/>
      <c r="BT1948" s="136"/>
      <c r="BU1948" s="136"/>
      <c r="BV1948" s="132" t="e">
        <f>IF(#REF!="COMPLETO","OK","PENDIENTE")</f>
        <v>#REF!</v>
      </c>
      <c r="BW1948" s="132" t="s">
        <v>7271</v>
      </c>
      <c r="BX1948" s="132"/>
      <c r="BY1948" s="132"/>
      <c r="BZ1948" s="132"/>
      <c r="CA1948" s="132"/>
      <c r="CB1948" s="132"/>
      <c r="CC1948" s="378"/>
      <c r="CG1948" s="136"/>
      <c r="CH1948" s="136"/>
      <c r="CI1948" s="24"/>
      <c r="CJ1948" s="24"/>
    </row>
    <row r="1949" spans="1:88" ht="14.45" customHeight="1">
      <c r="A1949" s="298">
        <v>2022</v>
      </c>
      <c r="B1949" s="18" t="str">
        <f>+INDEX(BDD!F:F,MATCH(P1949,BDD!D:D,0))&amp;"-"&amp;INDEX(BDD!E:E,MATCH(P1949,BDD!D:D,0))</f>
        <v>S-C</v>
      </c>
      <c r="C1949" s="360" t="s">
        <v>5398</v>
      </c>
      <c r="D1949" s="150" t="s">
        <v>3</v>
      </c>
      <c r="E1949" s="132" t="s">
        <v>51</v>
      </c>
      <c r="F1949" s="136"/>
      <c r="G1949" s="346"/>
      <c r="H1949" s="18" t="s">
        <v>7511</v>
      </c>
      <c r="I1949" s="329" t="s">
        <v>7495</v>
      </c>
      <c r="J1949" s="346"/>
      <c r="K1949" s="24"/>
      <c r="L1949" s="24"/>
      <c r="M1949" s="24"/>
      <c r="N1949" s="340" t="s">
        <v>3</v>
      </c>
      <c r="O1949" s="337">
        <v>207580</v>
      </c>
      <c r="P1949" s="25" t="s">
        <v>241</v>
      </c>
      <c r="Q1949" s="127" t="s">
        <v>6000</v>
      </c>
      <c r="R1949" s="232" t="s">
        <v>8077</v>
      </c>
      <c r="S1949" s="89">
        <v>44651</v>
      </c>
      <c r="T1949" s="36">
        <v>30</v>
      </c>
      <c r="U1949" s="125" t="s">
        <v>118</v>
      </c>
      <c r="V1949" s="147"/>
      <c r="W1949" s="129"/>
      <c r="X1949" s="88"/>
      <c r="Y1949" s="130" t="s">
        <v>3</v>
      </c>
      <c r="Z1949" s="133" t="s">
        <v>72</v>
      </c>
      <c r="AA1949" s="133" t="s">
        <v>1622</v>
      </c>
      <c r="AB1949" s="241">
        <v>140</v>
      </c>
      <c r="AC1949" s="134">
        <v>1570</v>
      </c>
      <c r="AD1949" s="134"/>
      <c r="AE1949" s="403">
        <f t="shared" si="144"/>
        <v>219800</v>
      </c>
      <c r="AF1949" s="132">
        <v>5</v>
      </c>
      <c r="AG1949" s="130" t="s">
        <v>33</v>
      </c>
      <c r="AH1949" s="130" t="s">
        <v>6388</v>
      </c>
      <c r="AI1949" s="130" t="s">
        <v>34</v>
      </c>
      <c r="AJ1949" s="295"/>
      <c r="AK1949" s="130" t="s">
        <v>7329</v>
      </c>
      <c r="AL1949" s="135" t="s">
        <v>7497</v>
      </c>
      <c r="AM1949" s="322">
        <v>2022</v>
      </c>
      <c r="AN1949" s="296">
        <f t="shared" si="152"/>
        <v>44747</v>
      </c>
      <c r="AO1949" s="385">
        <v>44741</v>
      </c>
      <c r="AP1949" s="26">
        <f t="shared" si="147"/>
        <v>44748</v>
      </c>
      <c r="AQ1949" s="385">
        <f t="shared" si="159"/>
        <v>44743</v>
      </c>
      <c r="AR1949" s="24">
        <f t="shared" si="151"/>
        <v>44750</v>
      </c>
      <c r="AS1949" s="24"/>
      <c r="AT1949" s="24">
        <f t="shared" si="153"/>
        <v>44743</v>
      </c>
      <c r="AU1949" s="418">
        <f t="shared" si="145"/>
        <v>7</v>
      </c>
      <c r="AV1949" s="418">
        <f t="shared" si="146"/>
        <v>2022</v>
      </c>
      <c r="AW1949" s="24" t="s">
        <v>7874</v>
      </c>
      <c r="AX1949" s="24" t="s">
        <v>7499</v>
      </c>
      <c r="AY1949" s="24" t="s">
        <v>7498</v>
      </c>
      <c r="AZ1949" s="24" t="s">
        <v>62</v>
      </c>
      <c r="BA1949" s="206" t="s">
        <v>1622</v>
      </c>
      <c r="BB1949" s="24" t="s">
        <v>3264</v>
      </c>
      <c r="BC1949" s="292"/>
      <c r="BD1949" s="24"/>
      <c r="BE1949" s="24" t="s">
        <v>6003</v>
      </c>
      <c r="BF1949" s="24" t="s">
        <v>6003</v>
      </c>
      <c r="BG1949" s="135" t="s">
        <v>6003</v>
      </c>
      <c r="BH1949" s="212" t="s">
        <v>1622</v>
      </c>
      <c r="BI1949" s="314" t="s">
        <v>3</v>
      </c>
      <c r="BJ1949" s="314" t="s">
        <v>143</v>
      </c>
      <c r="BK1949" s="24"/>
      <c r="BL1949" s="24"/>
      <c r="BM1949" s="24"/>
      <c r="BN1949" s="24" t="s">
        <v>1622</v>
      </c>
      <c r="BO1949" s="24" t="s">
        <v>1622</v>
      </c>
      <c r="BP1949" s="24" t="s">
        <v>1622</v>
      </c>
      <c r="BQ1949" s="136"/>
      <c r="BR1949" s="24"/>
      <c r="BS1949" s="136"/>
      <c r="BT1949" s="136"/>
      <c r="BU1949" s="136"/>
      <c r="BV1949" s="132" t="e">
        <f>IF(#REF!="COMPLETO","OK","PENDIENTE")</f>
        <v>#REF!</v>
      </c>
      <c r="BW1949" s="132" t="s">
        <v>7271</v>
      </c>
      <c r="BX1949" s="132"/>
      <c r="BY1949" s="132"/>
      <c r="BZ1949" s="132"/>
      <c r="CA1949" s="132"/>
      <c r="CB1949" s="132"/>
      <c r="CC1949" s="378"/>
      <c r="CG1949" s="136"/>
      <c r="CH1949" s="136"/>
      <c r="CI1949" s="24"/>
      <c r="CJ1949" s="24"/>
    </row>
    <row r="1950" spans="1:88" ht="14.45" customHeight="1">
      <c r="A1950" s="298">
        <v>2022</v>
      </c>
      <c r="B1950" s="18" t="str">
        <f>+INDEX(BDD!F:F,MATCH(P1950,BDD!D:D,0))&amp;"-"&amp;INDEX(BDD!E:E,MATCH(P1950,BDD!D:D,0))</f>
        <v>S-C</v>
      </c>
      <c r="C1950" s="360" t="s">
        <v>5398</v>
      </c>
      <c r="D1950" s="150" t="s">
        <v>3</v>
      </c>
      <c r="E1950" s="132" t="s">
        <v>51</v>
      </c>
      <c r="F1950" s="136"/>
      <c r="G1950" s="346"/>
      <c r="H1950" s="18" t="s">
        <v>7512</v>
      </c>
      <c r="I1950" s="329" t="s">
        <v>7495</v>
      </c>
      <c r="J1950" s="346"/>
      <c r="K1950" s="24"/>
      <c r="L1950" s="24"/>
      <c r="M1950" s="24"/>
      <c r="N1950" s="340" t="s">
        <v>3</v>
      </c>
      <c r="O1950" s="337">
        <v>207580</v>
      </c>
      <c r="P1950" s="25" t="s">
        <v>241</v>
      </c>
      <c r="Q1950" s="127" t="s">
        <v>6000</v>
      </c>
      <c r="R1950" s="232" t="s">
        <v>8077</v>
      </c>
      <c r="S1950" s="89">
        <v>44651</v>
      </c>
      <c r="T1950" s="36">
        <v>30</v>
      </c>
      <c r="U1950" s="125" t="s">
        <v>118</v>
      </c>
      <c r="V1950" s="147"/>
      <c r="W1950" s="129"/>
      <c r="X1950" s="88"/>
      <c r="Y1950" s="130" t="s">
        <v>3</v>
      </c>
      <c r="Z1950" s="133" t="s">
        <v>72</v>
      </c>
      <c r="AA1950" s="133" t="s">
        <v>1622</v>
      </c>
      <c r="AB1950" s="241">
        <f>28*AF1950</f>
        <v>140</v>
      </c>
      <c r="AC1950" s="134">
        <v>1570</v>
      </c>
      <c r="AD1950" s="134"/>
      <c r="AE1950" s="403">
        <f t="shared" si="144"/>
        <v>219800</v>
      </c>
      <c r="AF1950" s="132">
        <v>5</v>
      </c>
      <c r="AG1950" s="130" t="s">
        <v>33</v>
      </c>
      <c r="AH1950" s="130" t="s">
        <v>6388</v>
      </c>
      <c r="AI1950" s="130" t="s">
        <v>34</v>
      </c>
      <c r="AJ1950" s="295"/>
      <c r="AK1950" s="130" t="s">
        <v>7329</v>
      </c>
      <c r="AL1950" s="135" t="s">
        <v>7497</v>
      </c>
      <c r="AM1950" s="322">
        <v>2022</v>
      </c>
      <c r="AN1950" s="296">
        <f t="shared" si="152"/>
        <v>44749</v>
      </c>
      <c r="AO1950" s="385">
        <v>44746</v>
      </c>
      <c r="AP1950" s="26">
        <f t="shared" si="147"/>
        <v>44750</v>
      </c>
      <c r="AQ1950" s="385">
        <f t="shared" si="159"/>
        <v>44748</v>
      </c>
      <c r="AR1950" s="24">
        <f t="shared" si="151"/>
        <v>44755</v>
      </c>
      <c r="AS1950" s="24"/>
      <c r="AT1950" s="24">
        <f t="shared" si="153"/>
        <v>44748</v>
      </c>
      <c r="AU1950" s="418">
        <f t="shared" si="145"/>
        <v>7</v>
      </c>
      <c r="AV1950" s="418">
        <f t="shared" si="146"/>
        <v>2022</v>
      </c>
      <c r="AW1950" s="24" t="s">
        <v>7874</v>
      </c>
      <c r="AX1950" s="24" t="s">
        <v>7499</v>
      </c>
      <c r="AY1950" s="24" t="s">
        <v>7498</v>
      </c>
      <c r="AZ1950" s="24" t="s">
        <v>62</v>
      </c>
      <c r="BA1950" s="206" t="s">
        <v>1622</v>
      </c>
      <c r="BB1950" s="24" t="s">
        <v>3264</v>
      </c>
      <c r="BC1950" s="292"/>
      <c r="BD1950" s="24"/>
      <c r="BE1950" s="24" t="s">
        <v>6003</v>
      </c>
      <c r="BF1950" s="24" t="s">
        <v>6003</v>
      </c>
      <c r="BG1950" s="135" t="s">
        <v>6003</v>
      </c>
      <c r="BH1950" s="212" t="s">
        <v>1622</v>
      </c>
      <c r="BI1950" s="314" t="s">
        <v>3</v>
      </c>
      <c r="BJ1950" s="314" t="s">
        <v>143</v>
      </c>
      <c r="BK1950" s="24"/>
      <c r="BL1950" s="24"/>
      <c r="BM1950" s="24"/>
      <c r="BN1950" s="24" t="s">
        <v>1622</v>
      </c>
      <c r="BO1950" s="24" t="s">
        <v>1622</v>
      </c>
      <c r="BP1950" s="24" t="s">
        <v>1622</v>
      </c>
      <c r="BQ1950" s="136"/>
      <c r="BR1950" s="24"/>
      <c r="BS1950" s="136"/>
      <c r="BT1950" s="136"/>
      <c r="BU1950" s="136"/>
      <c r="BV1950" s="132" t="e">
        <f>IF(#REF!="COMPLETO","OK","PENDIENTE")</f>
        <v>#REF!</v>
      </c>
      <c r="BW1950" s="132" t="s">
        <v>7271</v>
      </c>
      <c r="BX1950" s="132"/>
      <c r="BY1950" s="132"/>
      <c r="BZ1950" s="132"/>
      <c r="CA1950" s="132"/>
      <c r="CB1950" s="132"/>
      <c r="CC1950" s="378"/>
      <c r="CG1950" s="136"/>
      <c r="CH1950" s="136"/>
      <c r="CI1950" s="24"/>
      <c r="CJ1950" s="24"/>
    </row>
    <row r="1951" spans="1:88" ht="14.45" customHeight="1">
      <c r="A1951" s="298">
        <v>2022</v>
      </c>
      <c r="B1951" s="18" t="str">
        <f>+INDEX(BDD!F:F,MATCH(P1951,BDD!D:D,0))&amp;"-"&amp;INDEX(BDD!E:E,MATCH(P1951,BDD!D:D,0))</f>
        <v>S-C</v>
      </c>
      <c r="C1951" s="360" t="s">
        <v>5398</v>
      </c>
      <c r="D1951" s="150" t="s">
        <v>3</v>
      </c>
      <c r="E1951" s="132" t="s">
        <v>51</v>
      </c>
      <c r="F1951" s="136"/>
      <c r="G1951" s="346"/>
      <c r="H1951" s="18" t="s">
        <v>7513</v>
      </c>
      <c r="I1951" s="329" t="s">
        <v>7495</v>
      </c>
      <c r="J1951" s="346"/>
      <c r="K1951" s="24"/>
      <c r="L1951" s="24"/>
      <c r="M1951" s="24"/>
      <c r="N1951" s="340" t="s">
        <v>3</v>
      </c>
      <c r="O1951" s="337">
        <v>207580</v>
      </c>
      <c r="P1951" s="25" t="s">
        <v>241</v>
      </c>
      <c r="Q1951" s="127" t="s">
        <v>6000</v>
      </c>
      <c r="R1951" s="232" t="s">
        <v>8077</v>
      </c>
      <c r="S1951" s="89">
        <v>44651</v>
      </c>
      <c r="T1951" s="36">
        <v>30</v>
      </c>
      <c r="U1951" s="125" t="s">
        <v>118</v>
      </c>
      <c r="V1951" s="147"/>
      <c r="W1951" s="129"/>
      <c r="X1951" s="88"/>
      <c r="Y1951" s="130" t="s">
        <v>3</v>
      </c>
      <c r="Z1951" s="133" t="s">
        <v>72</v>
      </c>
      <c r="AA1951" s="133" t="s">
        <v>1622</v>
      </c>
      <c r="AB1951" s="241">
        <f>28*AF1951</f>
        <v>56</v>
      </c>
      <c r="AC1951" s="134">
        <v>1570</v>
      </c>
      <c r="AD1951" s="134"/>
      <c r="AE1951" s="403">
        <f t="shared" si="144"/>
        <v>87920</v>
      </c>
      <c r="AF1951" s="132">
        <v>2</v>
      </c>
      <c r="AG1951" s="130" t="s">
        <v>33</v>
      </c>
      <c r="AH1951" s="130" t="s">
        <v>6388</v>
      </c>
      <c r="AI1951" s="130" t="s">
        <v>34</v>
      </c>
      <c r="AJ1951" s="295"/>
      <c r="AK1951" s="130" t="s">
        <v>7329</v>
      </c>
      <c r="AL1951" s="135" t="s">
        <v>7497</v>
      </c>
      <c r="AM1951" s="322">
        <v>2022</v>
      </c>
      <c r="AN1951" s="296">
        <f t="shared" si="152"/>
        <v>44754</v>
      </c>
      <c r="AO1951" s="385">
        <v>44748</v>
      </c>
      <c r="AP1951" s="26">
        <f t="shared" ref="AP1951" si="160">AN1951+1</f>
        <v>44755</v>
      </c>
      <c r="AQ1951" s="385">
        <f t="shared" si="159"/>
        <v>44750</v>
      </c>
      <c r="AR1951" s="24">
        <f t="shared" ref="AR1951" si="161">AQ1951+7</f>
        <v>44757</v>
      </c>
      <c r="AS1951" s="24"/>
      <c r="AT1951" s="24">
        <f t="shared" si="153"/>
        <v>44750</v>
      </c>
      <c r="AU1951" s="418">
        <f t="shared" si="145"/>
        <v>7</v>
      </c>
      <c r="AV1951" s="418">
        <f t="shared" si="146"/>
        <v>2022</v>
      </c>
      <c r="AW1951" s="24" t="s">
        <v>7874</v>
      </c>
      <c r="AX1951" s="24" t="s">
        <v>7499</v>
      </c>
      <c r="AY1951" s="24" t="s">
        <v>7498</v>
      </c>
      <c r="AZ1951" s="24" t="s">
        <v>62</v>
      </c>
      <c r="BA1951" s="206" t="s">
        <v>1622</v>
      </c>
      <c r="BB1951" s="24" t="s">
        <v>3264</v>
      </c>
      <c r="BC1951" s="292"/>
      <c r="BD1951" s="24"/>
      <c r="BE1951" s="24" t="s">
        <v>6003</v>
      </c>
      <c r="BF1951" s="24" t="s">
        <v>6003</v>
      </c>
      <c r="BG1951" s="135" t="s">
        <v>6003</v>
      </c>
      <c r="BH1951" s="212" t="s">
        <v>1622</v>
      </c>
      <c r="BI1951" s="314" t="s">
        <v>3</v>
      </c>
      <c r="BJ1951" s="314" t="s">
        <v>143</v>
      </c>
      <c r="BK1951" s="24"/>
      <c r="BL1951" s="24"/>
      <c r="BM1951" s="24"/>
      <c r="BN1951" s="24" t="s">
        <v>1622</v>
      </c>
      <c r="BO1951" s="24" t="s">
        <v>1622</v>
      </c>
      <c r="BP1951" s="24" t="s">
        <v>1622</v>
      </c>
      <c r="BQ1951" s="136"/>
      <c r="BR1951" s="24"/>
      <c r="BS1951" s="136"/>
      <c r="BT1951" s="136"/>
      <c r="BU1951" s="136"/>
      <c r="BV1951" s="132" t="e">
        <f>IF(#REF!="COMPLETO","OK","PENDIENTE")</f>
        <v>#REF!</v>
      </c>
      <c r="BW1951" s="132" t="s">
        <v>7271</v>
      </c>
      <c r="BX1951" s="132"/>
      <c r="BY1951" s="132"/>
      <c r="BZ1951" s="132"/>
      <c r="CA1951" s="132"/>
      <c r="CB1951" s="132"/>
      <c r="CC1951" s="378"/>
      <c r="CG1951" s="136"/>
      <c r="CH1951" s="136"/>
      <c r="CI1951" s="24"/>
      <c r="CJ1951" s="24"/>
    </row>
    <row r="1952" spans="1:88" ht="15" customHeight="1">
      <c r="A1952" s="298">
        <v>2022</v>
      </c>
      <c r="B1952" s="18" t="str">
        <f>+INDEX(BDD!F:F,MATCH(P1952,BDD!D:D,0))&amp;"-"&amp;INDEX(BDD!E:E,MATCH(P1952,BDD!D:D,0))</f>
        <v>E-S</v>
      </c>
      <c r="C1952" s="360" t="s">
        <v>5398</v>
      </c>
      <c r="D1952" s="150" t="s">
        <v>3</v>
      </c>
      <c r="E1952" s="132" t="s">
        <v>7904</v>
      </c>
      <c r="F1952" s="136"/>
      <c r="G1952" s="346">
        <v>8000001901</v>
      </c>
      <c r="H1952" s="18" t="s">
        <v>7514</v>
      </c>
      <c r="I1952" s="329" t="s">
        <v>7515</v>
      </c>
      <c r="J1952" s="346">
        <v>8000001901</v>
      </c>
      <c r="K1952" s="24">
        <v>44652</v>
      </c>
      <c r="L1952" s="24"/>
      <c r="M1952" s="24"/>
      <c r="N1952" s="340" t="s">
        <v>3</v>
      </c>
      <c r="O1952" s="334">
        <v>203820</v>
      </c>
      <c r="P1952" s="25" t="s">
        <v>164</v>
      </c>
      <c r="Q1952" s="127" t="s">
        <v>297</v>
      </c>
      <c r="R1952" s="232" t="s">
        <v>7516</v>
      </c>
      <c r="S1952" s="89">
        <v>44652</v>
      </c>
      <c r="T1952" s="36">
        <v>90</v>
      </c>
      <c r="U1952" s="125" t="s">
        <v>118</v>
      </c>
      <c r="V1952" s="147"/>
      <c r="W1952" s="129"/>
      <c r="X1952" s="88"/>
      <c r="Y1952" s="130" t="s">
        <v>3</v>
      </c>
      <c r="Z1952" s="133" t="s">
        <v>60</v>
      </c>
      <c r="AA1952" s="133" t="s">
        <v>6619</v>
      </c>
      <c r="AB1952" s="241">
        <v>300</v>
      </c>
      <c r="AC1952" s="134">
        <v>2385</v>
      </c>
      <c r="AD1952" s="134"/>
      <c r="AE1952" s="403">
        <f t="shared" si="144"/>
        <v>715500</v>
      </c>
      <c r="AF1952" s="132" t="s">
        <v>1622</v>
      </c>
      <c r="AG1952" s="130" t="s">
        <v>58</v>
      </c>
      <c r="AH1952" s="130"/>
      <c r="AI1952" s="130" t="s">
        <v>34</v>
      </c>
      <c r="AJ1952" s="274">
        <v>1.25</v>
      </c>
      <c r="AK1952" s="130" t="s">
        <v>5400</v>
      </c>
      <c r="AL1952" s="135" t="s">
        <v>7517</v>
      </c>
      <c r="AM1952" s="322">
        <v>2022</v>
      </c>
      <c r="AN1952" s="296">
        <v>44727</v>
      </c>
      <c r="AO1952" s="385">
        <v>44728</v>
      </c>
      <c r="AP1952" s="26">
        <f>AN1952+46</f>
        <v>44773</v>
      </c>
      <c r="AQ1952" s="385">
        <f>AO1952+46</f>
        <v>44774</v>
      </c>
      <c r="AR1952" s="24">
        <f t="shared" ref="AR1952:AR1960" si="162">AQ1952+10</f>
        <v>44784</v>
      </c>
      <c r="AS1952" s="24"/>
      <c r="AT1952" s="24">
        <v>44777</v>
      </c>
      <c r="AU1952" s="418">
        <f t="shared" si="145"/>
        <v>8</v>
      </c>
      <c r="AV1952" s="418">
        <f t="shared" si="146"/>
        <v>2022</v>
      </c>
      <c r="AW1952" s="24" t="s">
        <v>7874</v>
      </c>
      <c r="AX1952" s="135" t="s">
        <v>5402</v>
      </c>
      <c r="AY1952" s="135"/>
      <c r="AZ1952" s="24" t="s">
        <v>37</v>
      </c>
      <c r="BA1952" s="206"/>
      <c r="BB1952" s="24" t="s">
        <v>3291</v>
      </c>
      <c r="BC1952" s="292"/>
      <c r="BD1952" s="24"/>
      <c r="BE1952" s="292"/>
      <c r="BF1952" s="292"/>
      <c r="BG1952" s="135" t="s">
        <v>52</v>
      </c>
      <c r="BH1952" s="212"/>
      <c r="BI1952" s="314" t="s">
        <v>3</v>
      </c>
      <c r="BJ1952" s="314"/>
      <c r="BK1952" s="24"/>
      <c r="BL1952" s="24"/>
      <c r="BM1952" s="24"/>
      <c r="BN1952" s="24"/>
      <c r="BO1952" s="136"/>
      <c r="BP1952" s="136"/>
      <c r="BQ1952" s="136"/>
      <c r="BR1952" s="24"/>
      <c r="BS1952" s="136"/>
      <c r="BT1952" s="136"/>
      <c r="BU1952" s="136"/>
      <c r="BV1952" s="132" t="e">
        <f>IF(#REF!="COMPLETO","OK","PENDIENTE")</f>
        <v>#REF!</v>
      </c>
      <c r="BW1952" s="132"/>
      <c r="BX1952" s="132"/>
      <c r="BY1952" s="132"/>
      <c r="BZ1952" s="132"/>
      <c r="CA1952" s="132"/>
      <c r="CB1952" s="132"/>
      <c r="CC1952" s="378"/>
      <c r="CG1952" s="136"/>
      <c r="CH1952" s="136"/>
      <c r="CI1952" s="24"/>
      <c r="CJ1952" s="24"/>
    </row>
    <row r="1953" spans="1:88" ht="15" customHeight="1">
      <c r="A1953" s="298">
        <v>2022</v>
      </c>
      <c r="B1953" s="18" t="str">
        <f>+INDEX(BDD!F:F,MATCH(P1953,BDD!D:D,0))&amp;"-"&amp;INDEX(BDD!E:E,MATCH(P1953,BDD!D:D,0))</f>
        <v>E-S</v>
      </c>
      <c r="C1953" s="360" t="s">
        <v>5398</v>
      </c>
      <c r="D1953" s="150" t="s">
        <v>3</v>
      </c>
      <c r="E1953" s="132" t="s">
        <v>7904</v>
      </c>
      <c r="F1953" s="136"/>
      <c r="G1953" s="346">
        <v>8000001904</v>
      </c>
      <c r="H1953" s="18" t="s">
        <v>7518</v>
      </c>
      <c r="I1953" s="329" t="s">
        <v>7519</v>
      </c>
      <c r="J1953" s="346">
        <v>8000001904</v>
      </c>
      <c r="K1953" s="24">
        <v>44652</v>
      </c>
      <c r="L1953" s="24"/>
      <c r="M1953" s="24"/>
      <c r="N1953" s="340" t="s">
        <v>3</v>
      </c>
      <c r="O1953" s="334">
        <v>203575</v>
      </c>
      <c r="P1953" s="25" t="s">
        <v>351</v>
      </c>
      <c r="Q1953" s="127" t="s">
        <v>297</v>
      </c>
      <c r="R1953" s="232" t="s">
        <v>7520</v>
      </c>
      <c r="S1953" s="89">
        <v>44652</v>
      </c>
      <c r="T1953" s="36">
        <v>90</v>
      </c>
      <c r="U1953" s="125" t="s">
        <v>118</v>
      </c>
      <c r="V1953" s="147"/>
      <c r="W1953" s="129"/>
      <c r="X1953" s="88"/>
      <c r="Y1953" s="130" t="s">
        <v>3</v>
      </c>
      <c r="Z1953" s="133" t="s">
        <v>60</v>
      </c>
      <c r="AA1953" s="133" t="s">
        <v>6619</v>
      </c>
      <c r="AB1953" s="241">
        <v>1000</v>
      </c>
      <c r="AC1953" s="134">
        <v>1012</v>
      </c>
      <c r="AD1953" s="134"/>
      <c r="AE1953" s="403">
        <f t="shared" si="144"/>
        <v>1012000</v>
      </c>
      <c r="AF1953" s="132" t="s">
        <v>1622</v>
      </c>
      <c r="AG1953" s="130" t="s">
        <v>58</v>
      </c>
      <c r="AH1953" s="130"/>
      <c r="AI1953" s="130" t="s">
        <v>6029</v>
      </c>
      <c r="AJ1953" s="295">
        <v>1</v>
      </c>
      <c r="AK1953" s="130" t="s">
        <v>944</v>
      </c>
      <c r="AL1953" s="135" t="s">
        <v>7521</v>
      </c>
      <c r="AM1953" s="322">
        <v>2022</v>
      </c>
      <c r="AN1953" s="296">
        <v>44732</v>
      </c>
      <c r="AO1953" s="385">
        <v>44732</v>
      </c>
      <c r="AP1953" s="26">
        <f>AN1953+46</f>
        <v>44778</v>
      </c>
      <c r="AQ1953" s="385">
        <f>AO1953+46</f>
        <v>44778</v>
      </c>
      <c r="AR1953" s="24">
        <f t="shared" si="162"/>
        <v>44788</v>
      </c>
      <c r="AS1953" s="24"/>
      <c r="AT1953" s="24">
        <v>44781</v>
      </c>
      <c r="AU1953" s="418">
        <f t="shared" si="145"/>
        <v>8</v>
      </c>
      <c r="AV1953" s="418">
        <f t="shared" si="146"/>
        <v>2022</v>
      </c>
      <c r="AW1953" s="24" t="s">
        <v>7874</v>
      </c>
      <c r="AX1953" s="135" t="s">
        <v>5402</v>
      </c>
      <c r="AY1953" s="135"/>
      <c r="AZ1953" s="24" t="s">
        <v>37</v>
      </c>
      <c r="BA1953" s="206"/>
      <c r="BB1953" s="24" t="s">
        <v>3291</v>
      </c>
      <c r="BC1953" s="292"/>
      <c r="BD1953" s="24"/>
      <c r="BE1953" s="292"/>
      <c r="BF1953" s="292"/>
      <c r="BG1953" s="135" t="s">
        <v>52</v>
      </c>
      <c r="BH1953" s="212"/>
      <c r="BI1953" s="314" t="s">
        <v>3</v>
      </c>
      <c r="BJ1953" s="314"/>
      <c r="BK1953" s="24"/>
      <c r="BL1953" s="24"/>
      <c r="BM1953" s="24"/>
      <c r="BN1953" s="24"/>
      <c r="BO1953" s="136"/>
      <c r="BP1953" s="136"/>
      <c r="BQ1953" s="136"/>
      <c r="BR1953" s="24"/>
      <c r="BS1953" s="136"/>
      <c r="BT1953" s="136"/>
      <c r="BU1953" s="136"/>
      <c r="BV1953" s="132" t="e">
        <f>IF(#REF!="COMPLETO","OK","PENDIENTE")</f>
        <v>#REF!</v>
      </c>
      <c r="BW1953" s="132"/>
      <c r="BX1953" s="132"/>
      <c r="BY1953" s="132"/>
      <c r="BZ1953" s="132"/>
      <c r="CA1953" s="132"/>
      <c r="CB1953" s="132"/>
      <c r="CC1953" s="378"/>
      <c r="CG1953" s="136"/>
      <c r="CH1953" s="136"/>
      <c r="CI1953" s="24"/>
      <c r="CJ1953" s="24"/>
    </row>
    <row r="1954" spans="1:88" ht="15" customHeight="1">
      <c r="A1954" s="18">
        <v>2022</v>
      </c>
      <c r="B1954" s="18" t="str">
        <f>+INDEX(BDD!F:F,MATCH(P1954,BDD!D:D,0))&amp;"-"&amp;INDEX(BDD!E:E,MATCH(P1954,BDD!D:D,0))</f>
        <v>S-S</v>
      </c>
      <c r="C1954" s="360" t="s">
        <v>5398</v>
      </c>
      <c r="D1954" s="150" t="s">
        <v>3</v>
      </c>
      <c r="E1954" s="132" t="s">
        <v>51</v>
      </c>
      <c r="F1954" s="136"/>
      <c r="G1954" s="346">
        <v>8000001903</v>
      </c>
      <c r="H1954" s="18" t="s">
        <v>7522</v>
      </c>
      <c r="I1954" s="329" t="s">
        <v>7523</v>
      </c>
      <c r="J1954" s="346">
        <v>8000001903</v>
      </c>
      <c r="K1954" s="24">
        <v>44652</v>
      </c>
      <c r="L1954" s="24"/>
      <c r="M1954" s="24"/>
      <c r="N1954" s="340" t="s">
        <v>3</v>
      </c>
      <c r="O1954" s="334">
        <v>206914</v>
      </c>
      <c r="P1954" s="25" t="s">
        <v>335</v>
      </c>
      <c r="Q1954" s="127" t="s">
        <v>264</v>
      </c>
      <c r="R1954" s="401" t="s">
        <v>7524</v>
      </c>
      <c r="S1954" s="89">
        <v>44652</v>
      </c>
      <c r="T1954" s="36">
        <v>90</v>
      </c>
      <c r="U1954" s="125" t="s">
        <v>118</v>
      </c>
      <c r="V1954" s="147"/>
      <c r="W1954" s="129"/>
      <c r="X1954" s="88"/>
      <c r="Y1954" s="130" t="s">
        <v>3</v>
      </c>
      <c r="Z1954" s="133" t="s">
        <v>60</v>
      </c>
      <c r="AA1954" s="133" t="s">
        <v>6619</v>
      </c>
      <c r="AB1954" s="241">
        <v>3500</v>
      </c>
      <c r="AC1954" s="134">
        <v>225</v>
      </c>
      <c r="AD1954" s="134"/>
      <c r="AE1954" s="403">
        <f t="shared" si="144"/>
        <v>787500</v>
      </c>
      <c r="AF1954" s="132"/>
      <c r="AG1954" s="130" t="s">
        <v>58</v>
      </c>
      <c r="AH1954" s="130"/>
      <c r="AI1954" s="130" t="s">
        <v>34</v>
      </c>
      <c r="AJ1954" s="274">
        <v>1.25</v>
      </c>
      <c r="AK1954" s="130" t="s">
        <v>5400</v>
      </c>
      <c r="AL1954" s="135" t="s">
        <v>7493</v>
      </c>
      <c r="AM1954" s="322">
        <v>2022</v>
      </c>
      <c r="AN1954" s="359">
        <v>44712</v>
      </c>
      <c r="AO1954" s="385">
        <v>44732</v>
      </c>
      <c r="AP1954" s="26">
        <f>AQ1954</f>
        <v>44778</v>
      </c>
      <c r="AQ1954" s="385">
        <f>AO1954+46</f>
        <v>44778</v>
      </c>
      <c r="AR1954" s="24">
        <f t="shared" si="162"/>
        <v>44788</v>
      </c>
      <c r="AS1954" s="24"/>
      <c r="AT1954" s="24">
        <v>44781</v>
      </c>
      <c r="AU1954" s="418">
        <f t="shared" si="145"/>
        <v>8</v>
      </c>
      <c r="AV1954" s="418">
        <f t="shared" si="146"/>
        <v>2022</v>
      </c>
      <c r="AW1954" s="24" t="s">
        <v>7875</v>
      </c>
      <c r="AX1954" s="135" t="s">
        <v>5402</v>
      </c>
      <c r="AY1954" s="28" t="s">
        <v>5401</v>
      </c>
      <c r="AZ1954" s="24" t="s">
        <v>37</v>
      </c>
      <c r="BA1954" s="206"/>
      <c r="BB1954" s="24" t="s">
        <v>3291</v>
      </c>
      <c r="BC1954" s="292"/>
      <c r="BD1954" s="24"/>
      <c r="BE1954" s="292"/>
      <c r="BF1954" s="292"/>
      <c r="BG1954" s="135" t="s">
        <v>52</v>
      </c>
      <c r="BH1954" s="212"/>
      <c r="BI1954" s="314" t="s">
        <v>3</v>
      </c>
      <c r="BJ1954" s="314"/>
      <c r="BK1954" s="24"/>
      <c r="BL1954" s="24"/>
      <c r="BM1954" s="24"/>
      <c r="BN1954" s="24"/>
      <c r="BO1954" s="136"/>
      <c r="BP1954" s="136"/>
      <c r="BQ1954" s="136"/>
      <c r="BR1954" s="24"/>
      <c r="BS1954" s="136"/>
      <c r="BT1954" s="136"/>
      <c r="BU1954" s="136"/>
      <c r="BV1954" s="132" t="e">
        <f>IF(#REF!="COMPLETO","OK","PENDIENTE")</f>
        <v>#REF!</v>
      </c>
      <c r="BW1954" s="132"/>
      <c r="BX1954" s="132"/>
      <c r="BY1954" s="132"/>
      <c r="BZ1954" s="132"/>
      <c r="CA1954" s="132"/>
      <c r="CB1954" s="132"/>
      <c r="CC1954" s="378"/>
      <c r="CD1954" s="67" t="s">
        <v>7871</v>
      </c>
      <c r="CG1954" s="136"/>
      <c r="CH1954" s="136"/>
      <c r="CI1954" s="24"/>
      <c r="CJ1954" s="24"/>
    </row>
    <row r="1955" spans="1:88" ht="15" customHeight="1">
      <c r="A1955" s="18">
        <v>2022</v>
      </c>
      <c r="B1955" s="18" t="str">
        <f>+INDEX(BDD!F:F,MATCH(P1955,BDD!D:D,0))&amp;"-"&amp;INDEX(BDD!E:E,MATCH(P1955,BDD!D:D,0))</f>
        <v>S-S</v>
      </c>
      <c r="C1955" s="360" t="s">
        <v>5398</v>
      </c>
      <c r="D1955" s="150" t="s">
        <v>3</v>
      </c>
      <c r="E1955" s="132" t="s">
        <v>7904</v>
      </c>
      <c r="F1955" s="136"/>
      <c r="G1955" s="346">
        <v>8000001905</v>
      </c>
      <c r="H1955" s="18" t="s">
        <v>7525</v>
      </c>
      <c r="I1955" s="329" t="s">
        <v>7526</v>
      </c>
      <c r="J1955" s="346">
        <v>8000001905</v>
      </c>
      <c r="K1955" s="24">
        <v>44655</v>
      </c>
      <c r="L1955" s="24"/>
      <c r="M1955" s="24"/>
      <c r="N1955" s="340" t="s">
        <v>3</v>
      </c>
      <c r="O1955" s="334">
        <v>207578</v>
      </c>
      <c r="P1955" s="25" t="s">
        <v>316</v>
      </c>
      <c r="Q1955" s="127" t="s">
        <v>297</v>
      </c>
      <c r="R1955" s="232" t="s">
        <v>7527</v>
      </c>
      <c r="S1955" s="89">
        <v>44652</v>
      </c>
      <c r="T1955" s="36" t="s">
        <v>19</v>
      </c>
      <c r="U1955" s="125"/>
      <c r="V1955" s="147"/>
      <c r="W1955" s="129"/>
      <c r="X1955" s="88"/>
      <c r="Y1955" s="130" t="s">
        <v>3</v>
      </c>
      <c r="Z1955" s="133" t="s">
        <v>60</v>
      </c>
      <c r="AA1955" s="133" t="s">
        <v>6619</v>
      </c>
      <c r="AB1955" s="241">
        <v>300</v>
      </c>
      <c r="AC1955" s="134">
        <v>645</v>
      </c>
      <c r="AD1955" s="134"/>
      <c r="AE1955" s="403">
        <f t="shared" si="144"/>
        <v>193500</v>
      </c>
      <c r="AF1955" s="132" t="s">
        <v>1622</v>
      </c>
      <c r="AG1955" s="130" t="s">
        <v>58</v>
      </c>
      <c r="AH1955" s="130"/>
      <c r="AI1955" s="130" t="s">
        <v>34</v>
      </c>
      <c r="AJ1955" s="295"/>
      <c r="AK1955" s="130" t="s">
        <v>5400</v>
      </c>
      <c r="AL1955" s="135" t="s">
        <v>7528</v>
      </c>
      <c r="AM1955" s="322">
        <v>2022</v>
      </c>
      <c r="AN1955" s="296">
        <v>44739</v>
      </c>
      <c r="AO1955" s="385">
        <v>44771</v>
      </c>
      <c r="AP1955" s="26">
        <f>AN1955+46</f>
        <v>44785</v>
      </c>
      <c r="AQ1955" s="385">
        <f>AO1955+46</f>
        <v>44817</v>
      </c>
      <c r="AR1955" s="24">
        <f t="shared" si="162"/>
        <v>44827</v>
      </c>
      <c r="AS1955" s="24"/>
      <c r="AT1955" s="24">
        <v>44820</v>
      </c>
      <c r="AU1955" s="418">
        <f t="shared" si="145"/>
        <v>9</v>
      </c>
      <c r="AV1955" s="418">
        <f t="shared" si="146"/>
        <v>2022</v>
      </c>
      <c r="AW1955" s="24" t="s">
        <v>7874</v>
      </c>
      <c r="AX1955" s="135" t="s">
        <v>5402</v>
      </c>
      <c r="AY1955" s="135" t="s">
        <v>7483</v>
      </c>
      <c r="AZ1955" s="24" t="s">
        <v>37</v>
      </c>
      <c r="BA1955" s="206"/>
      <c r="BB1955" s="24" t="s">
        <v>3291</v>
      </c>
      <c r="BC1955" s="292"/>
      <c r="BD1955" s="24"/>
      <c r="BE1955" s="292"/>
      <c r="BF1955" s="292"/>
      <c r="BG1955" s="135" t="s">
        <v>52</v>
      </c>
      <c r="BH1955" s="212"/>
      <c r="BI1955" s="314" t="s">
        <v>3</v>
      </c>
      <c r="BJ1955" s="314"/>
      <c r="BK1955" s="24"/>
      <c r="BL1955" s="24"/>
      <c r="BM1955" s="24"/>
      <c r="BN1955" s="24"/>
      <c r="BO1955" s="136"/>
      <c r="BP1955" s="136"/>
      <c r="BQ1955" s="136"/>
      <c r="BR1955" s="24"/>
      <c r="BS1955" s="136"/>
      <c r="BT1955" s="136"/>
      <c r="BU1955" s="136"/>
      <c r="BV1955" s="132" t="e">
        <f>IF(#REF!="COMPLETO","OK","PENDIENTE")</f>
        <v>#REF!</v>
      </c>
      <c r="BW1955" s="132"/>
      <c r="BX1955" s="132"/>
      <c r="BY1955" s="132"/>
      <c r="BZ1955" s="132"/>
      <c r="CA1955" s="132"/>
      <c r="CB1955" s="132"/>
      <c r="CC1955" s="378"/>
      <c r="CG1955" s="136"/>
      <c r="CH1955" s="136"/>
      <c r="CI1955" s="24"/>
      <c r="CJ1955" s="24"/>
    </row>
    <row r="1956" spans="1:88" ht="15" customHeight="1">
      <c r="A1956" s="18">
        <v>2022</v>
      </c>
      <c r="B1956" s="18" t="str">
        <f>+INDEX(BDD!F:F,MATCH(P1956,BDD!D:D,0))&amp;"-"&amp;INDEX(BDD!E:E,MATCH(P1956,BDD!D:D,0))</f>
        <v>S-P</v>
      </c>
      <c r="C1956" s="360" t="s">
        <v>5398</v>
      </c>
      <c r="D1956" s="150" t="s">
        <v>18</v>
      </c>
      <c r="E1956" s="132" t="s">
        <v>51</v>
      </c>
      <c r="F1956" s="136"/>
      <c r="G1956" s="419">
        <v>8000001959</v>
      </c>
      <c r="H1956" s="18" t="s">
        <v>7529</v>
      </c>
      <c r="I1956" s="331" t="s">
        <v>7530</v>
      </c>
      <c r="J1956" s="419">
        <v>8000001959</v>
      </c>
      <c r="K1956" s="24">
        <v>44678</v>
      </c>
      <c r="L1956" s="24"/>
      <c r="M1956" s="24"/>
      <c r="N1956" s="340" t="s">
        <v>3</v>
      </c>
      <c r="O1956" s="334">
        <v>207499</v>
      </c>
      <c r="P1956" s="25" t="s">
        <v>343</v>
      </c>
      <c r="Q1956" s="127" t="s">
        <v>264</v>
      </c>
      <c r="R1956" s="401" t="s">
        <v>7531</v>
      </c>
      <c r="S1956" s="89">
        <v>44653</v>
      </c>
      <c r="T1956" s="36" t="s">
        <v>19</v>
      </c>
      <c r="U1956" s="125"/>
      <c r="V1956" s="147" t="s">
        <v>7531</v>
      </c>
      <c r="W1956" s="24">
        <v>44676</v>
      </c>
      <c r="X1956" s="88"/>
      <c r="Y1956" s="130" t="s">
        <v>20</v>
      </c>
      <c r="Z1956" s="133" t="s">
        <v>60</v>
      </c>
      <c r="AA1956" s="133" t="s">
        <v>6619</v>
      </c>
      <c r="AB1956" s="241">
        <v>1000</v>
      </c>
      <c r="AC1956" s="134">
        <v>850</v>
      </c>
      <c r="AD1956" s="134"/>
      <c r="AE1956" s="403">
        <f t="shared" si="144"/>
        <v>850000</v>
      </c>
      <c r="AF1956" s="132" t="s">
        <v>1622</v>
      </c>
      <c r="AG1956" s="130" t="s">
        <v>58</v>
      </c>
      <c r="AH1956" s="130" t="s">
        <v>944</v>
      </c>
      <c r="AI1956" s="130" t="s">
        <v>34</v>
      </c>
      <c r="AJ1956" s="274">
        <v>1</v>
      </c>
      <c r="AK1956" s="130" t="s">
        <v>5400</v>
      </c>
      <c r="AL1956" s="135" t="s">
        <v>7351</v>
      </c>
      <c r="AM1956" s="322">
        <v>2022</v>
      </c>
      <c r="AN1956" s="296">
        <v>44682</v>
      </c>
      <c r="AO1956" s="402">
        <v>44682</v>
      </c>
      <c r="AP1956" s="26">
        <f>AQ1956</f>
        <v>44722</v>
      </c>
      <c r="AQ1956" s="26">
        <v>44722</v>
      </c>
      <c r="AR1956" s="24">
        <f t="shared" si="162"/>
        <v>44732</v>
      </c>
      <c r="AS1956" s="24"/>
      <c r="AT1956" s="24">
        <v>44726</v>
      </c>
      <c r="AU1956" s="418">
        <f t="shared" si="145"/>
        <v>6</v>
      </c>
      <c r="AV1956" s="418">
        <f t="shared" si="146"/>
        <v>2022</v>
      </c>
      <c r="AW1956" s="24" t="s">
        <v>7888</v>
      </c>
      <c r="AX1956" s="135" t="s">
        <v>5402</v>
      </c>
      <c r="AY1956" s="135" t="s">
        <v>6800</v>
      </c>
      <c r="AZ1956" s="24" t="s">
        <v>37</v>
      </c>
      <c r="BA1956" s="24"/>
      <c r="BB1956" s="24" t="s">
        <v>3291</v>
      </c>
      <c r="BC1956" s="24" t="s">
        <v>7934</v>
      </c>
      <c r="BD1956" s="24">
        <v>44682</v>
      </c>
      <c r="BE1956" s="24" t="s">
        <v>7070</v>
      </c>
      <c r="BF1956" s="24" t="s">
        <v>7070</v>
      </c>
      <c r="BG1956" s="135" t="s">
        <v>52</v>
      </c>
      <c r="BH1956" s="135" t="s">
        <v>7895</v>
      </c>
      <c r="BI1956" s="314" t="s">
        <v>3</v>
      </c>
      <c r="BJ1956" s="314" t="s">
        <v>143</v>
      </c>
      <c r="BK1956" s="89"/>
      <c r="BL1956" s="89"/>
      <c r="BM1956" s="89"/>
      <c r="BN1956" s="89"/>
      <c r="BO1956" s="136"/>
      <c r="BP1956" s="136"/>
      <c r="BQ1956" s="136"/>
      <c r="BR1956" s="24"/>
      <c r="BS1956" s="136"/>
      <c r="BT1956" s="136"/>
      <c r="BU1956" s="136"/>
      <c r="BV1956" s="132" t="s">
        <v>6087</v>
      </c>
      <c r="BW1956" s="132" t="s">
        <v>1622</v>
      </c>
      <c r="BX1956" s="132" t="s">
        <v>1622</v>
      </c>
      <c r="BY1956" s="132" t="s">
        <v>1622</v>
      </c>
      <c r="BZ1956" s="132" t="s">
        <v>1622</v>
      </c>
      <c r="CA1956" s="132" t="s">
        <v>1622</v>
      </c>
      <c r="CB1956" s="132" t="s">
        <v>1622</v>
      </c>
      <c r="CC1956" s="67" t="s">
        <v>8066</v>
      </c>
      <c r="CD1956" s="299"/>
      <c r="CE1956" s="299"/>
      <c r="CF1956" s="299"/>
      <c r="CG1956" s="136"/>
      <c r="CH1956" s="136"/>
      <c r="CI1956" s="24"/>
      <c r="CJ1956" s="24"/>
    </row>
    <row r="1957" spans="1:88" ht="14.45" customHeight="1">
      <c r="A1957" s="18">
        <v>2022</v>
      </c>
      <c r="B1957" s="18" t="s">
        <v>6057</v>
      </c>
      <c r="C1957" s="360" t="s">
        <v>5398</v>
      </c>
      <c r="D1957" s="150" t="s">
        <v>3</v>
      </c>
      <c r="E1957" s="132" t="s">
        <v>51</v>
      </c>
      <c r="F1957" s="24"/>
      <c r="G1957" s="349">
        <v>8000001908</v>
      </c>
      <c r="H1957" s="202" t="s">
        <v>7532</v>
      </c>
      <c r="I1957" s="331" t="s">
        <v>7533</v>
      </c>
      <c r="J1957" s="349">
        <v>8000001908</v>
      </c>
      <c r="K1957" s="206">
        <v>44655</v>
      </c>
      <c r="L1957" s="206"/>
      <c r="M1957" s="206"/>
      <c r="N1957" s="345" t="s">
        <v>3</v>
      </c>
      <c r="O1957" s="336">
        <v>206966</v>
      </c>
      <c r="P1957" s="25" t="s">
        <v>152</v>
      </c>
      <c r="Q1957" s="127" t="s">
        <v>297</v>
      </c>
      <c r="R1957" s="232" t="s">
        <v>7534</v>
      </c>
      <c r="S1957" s="89">
        <v>44658</v>
      </c>
      <c r="T1957" s="36" t="s">
        <v>19</v>
      </c>
      <c r="U1957" s="125"/>
      <c r="V1957" s="147"/>
      <c r="W1957" s="129"/>
      <c r="X1957" s="88"/>
      <c r="Y1957" s="130" t="s">
        <v>3</v>
      </c>
      <c r="Z1957" s="133" t="s">
        <v>60</v>
      </c>
      <c r="AA1957" s="133" t="s">
        <v>6619</v>
      </c>
      <c r="AB1957" s="241">
        <v>1000</v>
      </c>
      <c r="AC1957" s="134">
        <v>1740</v>
      </c>
      <c r="AD1957" s="134"/>
      <c r="AE1957" s="403">
        <f t="shared" si="144"/>
        <v>1740000</v>
      </c>
      <c r="AF1957" s="132" t="s">
        <v>1622</v>
      </c>
      <c r="AG1957" s="130" t="s">
        <v>58</v>
      </c>
      <c r="AH1957" s="130"/>
      <c r="AI1957" s="130" t="s">
        <v>34</v>
      </c>
      <c r="AJ1957" s="274">
        <v>1.25</v>
      </c>
      <c r="AK1957" s="130" t="s">
        <v>7090</v>
      </c>
      <c r="AL1957" s="135" t="s">
        <v>7535</v>
      </c>
      <c r="AM1957" s="322">
        <v>2022</v>
      </c>
      <c r="AN1957" s="296">
        <v>44732</v>
      </c>
      <c r="AO1957" s="385">
        <v>44732</v>
      </c>
      <c r="AP1957" s="26">
        <f>AN1957+46</f>
        <v>44778</v>
      </c>
      <c r="AQ1957" s="385">
        <f>AO1957+46</f>
        <v>44778</v>
      </c>
      <c r="AR1957" s="24">
        <f t="shared" si="162"/>
        <v>44788</v>
      </c>
      <c r="AS1957" s="24"/>
      <c r="AT1957" s="24">
        <v>44782</v>
      </c>
      <c r="AU1957" s="418">
        <f t="shared" si="145"/>
        <v>8</v>
      </c>
      <c r="AV1957" s="418">
        <f t="shared" si="146"/>
        <v>2022</v>
      </c>
      <c r="AW1957" s="24" t="s">
        <v>7874</v>
      </c>
      <c r="AX1957" s="135" t="s">
        <v>5402</v>
      </c>
      <c r="AY1957" s="24"/>
      <c r="AZ1957" s="24" t="s">
        <v>37</v>
      </c>
      <c r="BA1957" s="206"/>
      <c r="BB1957" s="24" t="s">
        <v>3291</v>
      </c>
      <c r="BC1957" s="212"/>
      <c r="BD1957" s="24"/>
      <c r="BE1957" s="292"/>
      <c r="BF1957" s="135"/>
      <c r="BG1957" s="135" t="s">
        <v>52</v>
      </c>
      <c r="BH1957" s="212"/>
      <c r="BI1957" s="314" t="s">
        <v>3</v>
      </c>
      <c r="BJ1957" s="314"/>
      <c r="BK1957" s="24"/>
      <c r="BL1957" s="24"/>
      <c r="BM1957" s="24"/>
      <c r="BN1957" s="24"/>
      <c r="BO1957" s="24"/>
      <c r="BP1957" s="24"/>
      <c r="BQ1957" s="24"/>
      <c r="BR1957" s="24"/>
      <c r="BS1957" s="24"/>
      <c r="BT1957" s="24"/>
      <c r="BU1957" s="24"/>
      <c r="BV1957" s="132" t="e">
        <f>IF(#REF!="COMPLETO","OK","PENDIENTE")</f>
        <v>#REF!</v>
      </c>
      <c r="BW1957" s="132"/>
      <c r="BX1957" s="132"/>
      <c r="BY1957" s="132"/>
      <c r="BZ1957" s="132"/>
      <c r="CA1957" s="132"/>
      <c r="CB1957" s="132"/>
      <c r="CC1957" s="380"/>
      <c r="CG1957" s="24"/>
      <c r="CH1957" s="24"/>
      <c r="CI1957" s="24"/>
      <c r="CJ1957" s="24"/>
    </row>
    <row r="1958" spans="1:88" ht="15" customHeight="1">
      <c r="A1958" s="18">
        <v>2022</v>
      </c>
      <c r="B1958" s="18" t="s">
        <v>6057</v>
      </c>
      <c r="C1958" s="360" t="s">
        <v>5398</v>
      </c>
      <c r="D1958" s="150" t="s">
        <v>3</v>
      </c>
      <c r="E1958" s="132" t="s">
        <v>51</v>
      </c>
      <c r="F1958" s="136"/>
      <c r="G1958" s="346">
        <v>8000001970</v>
      </c>
      <c r="H1958" s="18" t="s">
        <v>7536</v>
      </c>
      <c r="I1958" s="331" t="s">
        <v>7537</v>
      </c>
      <c r="J1958" s="346">
        <v>8000001970</v>
      </c>
      <c r="K1958" s="24"/>
      <c r="L1958" s="24"/>
      <c r="M1958" s="24"/>
      <c r="N1958" s="345" t="s">
        <v>3</v>
      </c>
      <c r="O1958" s="334">
        <v>206713</v>
      </c>
      <c r="P1958" s="25" t="s">
        <v>340</v>
      </c>
      <c r="Q1958" s="127" t="s">
        <v>297</v>
      </c>
      <c r="R1958" s="232" t="s">
        <v>7538</v>
      </c>
      <c r="S1958" s="24">
        <v>44657</v>
      </c>
      <c r="T1958" s="36" t="s">
        <v>19</v>
      </c>
      <c r="U1958" s="125"/>
      <c r="V1958" s="22"/>
      <c r="W1958" s="43"/>
      <c r="X1958" s="24"/>
      <c r="Y1958" s="130" t="s">
        <v>3</v>
      </c>
      <c r="Z1958" s="133" t="s">
        <v>48</v>
      </c>
      <c r="AA1958" s="133"/>
      <c r="AB1958" s="241">
        <v>5000</v>
      </c>
      <c r="AC1958" s="134">
        <v>1023</v>
      </c>
      <c r="AD1958" s="134"/>
      <c r="AE1958" s="403">
        <f t="shared" si="144"/>
        <v>5115000</v>
      </c>
      <c r="AF1958" s="132" t="s">
        <v>1622</v>
      </c>
      <c r="AG1958" s="130" t="s">
        <v>58</v>
      </c>
      <c r="AH1958" s="130"/>
      <c r="AI1958" s="130" t="s">
        <v>6029</v>
      </c>
      <c r="AJ1958" s="274">
        <v>1.2</v>
      </c>
      <c r="AK1958" s="130" t="s">
        <v>944</v>
      </c>
      <c r="AL1958" s="135" t="s">
        <v>7539</v>
      </c>
      <c r="AM1958" s="314">
        <v>2022</v>
      </c>
      <c r="AN1958" s="359">
        <v>44752</v>
      </c>
      <c r="AO1958" s="385">
        <v>44752</v>
      </c>
      <c r="AP1958" s="26">
        <f>AQ1958</f>
        <v>44798</v>
      </c>
      <c r="AQ1958" s="385">
        <f>AO1958+46</f>
        <v>44798</v>
      </c>
      <c r="AR1958" s="24">
        <f>AQ1958+2</f>
        <v>44800</v>
      </c>
      <c r="AS1958" s="24"/>
      <c r="AT1958" s="24">
        <v>44802</v>
      </c>
      <c r="AU1958" s="418">
        <f t="shared" si="145"/>
        <v>8</v>
      </c>
      <c r="AV1958" s="418">
        <f t="shared" si="146"/>
        <v>2022</v>
      </c>
      <c r="AW1958" s="24" t="s">
        <v>7874</v>
      </c>
      <c r="AX1958" s="135" t="s">
        <v>6915</v>
      </c>
      <c r="AY1958" s="135"/>
      <c r="AZ1958" s="135" t="s">
        <v>25</v>
      </c>
      <c r="BA1958" s="135" t="s">
        <v>7957</v>
      </c>
      <c r="BB1958" s="24"/>
      <c r="BC1958" s="67"/>
      <c r="BD1958" s="24"/>
      <c r="BE1958" s="136"/>
      <c r="BF1958" s="136"/>
      <c r="BG1958" s="135" t="s">
        <v>52</v>
      </c>
      <c r="BH1958" s="132"/>
      <c r="BI1958" s="314" t="s">
        <v>3</v>
      </c>
      <c r="BJ1958" s="314"/>
      <c r="BK1958" s="24"/>
      <c r="BL1958" s="24"/>
      <c r="BM1958" s="24"/>
      <c r="BN1958" s="24"/>
      <c r="BO1958" s="136"/>
      <c r="BP1958" s="136"/>
      <c r="BQ1958" s="136"/>
      <c r="BR1958" s="24"/>
      <c r="BS1958" s="136"/>
      <c r="BT1958" s="136"/>
      <c r="BU1958" s="136"/>
      <c r="BV1958" s="132" t="e">
        <f>IF(#REF!="COMPLETO","OK","PENDIENTE")</f>
        <v>#REF!</v>
      </c>
      <c r="BW1958" s="132"/>
      <c r="BX1958" s="132"/>
      <c r="BY1958" s="132"/>
      <c r="BZ1958" s="132"/>
      <c r="CA1958" s="132"/>
      <c r="CB1958" s="132"/>
      <c r="CC1958" s="67"/>
      <c r="CG1958" s="136"/>
      <c r="CH1958" s="136"/>
      <c r="CI1958" s="24"/>
      <c r="CJ1958" s="24"/>
    </row>
    <row r="1959" spans="1:88" ht="13.9" customHeight="1">
      <c r="A1959" s="18">
        <v>2022</v>
      </c>
      <c r="B1959" s="18" t="s">
        <v>6057</v>
      </c>
      <c r="C1959" s="360" t="s">
        <v>5398</v>
      </c>
      <c r="D1959" s="150" t="s">
        <v>3</v>
      </c>
      <c r="E1959" s="132" t="s">
        <v>51</v>
      </c>
      <c r="F1959" s="136"/>
      <c r="G1959" s="346"/>
      <c r="H1959" s="18" t="s">
        <v>7982</v>
      </c>
      <c r="I1959" s="331" t="s">
        <v>7537</v>
      </c>
      <c r="J1959" s="346"/>
      <c r="K1959" s="24"/>
      <c r="L1959" s="24"/>
      <c r="M1959" s="24"/>
      <c r="N1959" s="345" t="s">
        <v>3</v>
      </c>
      <c r="O1959" s="334">
        <v>206713</v>
      </c>
      <c r="P1959" s="25" t="s">
        <v>340</v>
      </c>
      <c r="Q1959" s="127" t="s">
        <v>297</v>
      </c>
      <c r="R1959" s="232" t="s">
        <v>7538</v>
      </c>
      <c r="S1959" s="24">
        <v>44657</v>
      </c>
      <c r="T1959" s="36" t="s">
        <v>19</v>
      </c>
      <c r="U1959" s="125"/>
      <c r="V1959" s="22"/>
      <c r="W1959" s="43"/>
      <c r="X1959" s="24"/>
      <c r="Y1959" s="130" t="s">
        <v>3</v>
      </c>
      <c r="Z1959" s="133" t="s">
        <v>48</v>
      </c>
      <c r="AA1959" s="133"/>
      <c r="AB1959" s="241">
        <v>1000</v>
      </c>
      <c r="AC1959" s="134">
        <v>1023</v>
      </c>
      <c r="AD1959" s="134"/>
      <c r="AE1959" s="403">
        <f t="shared" si="144"/>
        <v>1023000</v>
      </c>
      <c r="AF1959" s="132" t="s">
        <v>1622</v>
      </c>
      <c r="AG1959" s="130" t="s">
        <v>58</v>
      </c>
      <c r="AH1959" s="130"/>
      <c r="AI1959" s="130" t="s">
        <v>6029</v>
      </c>
      <c r="AJ1959" s="274">
        <v>1.2</v>
      </c>
      <c r="AK1959" s="130" t="s">
        <v>944</v>
      </c>
      <c r="AL1959" s="135" t="s">
        <v>7539</v>
      </c>
      <c r="AM1959" s="314">
        <v>2022</v>
      </c>
      <c r="AN1959" s="359">
        <v>44752</v>
      </c>
      <c r="AO1959" s="385">
        <v>44752</v>
      </c>
      <c r="AP1959" s="26">
        <f>AQ1959</f>
        <v>44798</v>
      </c>
      <c r="AQ1959" s="385">
        <f>AO1959+46</f>
        <v>44798</v>
      </c>
      <c r="AR1959" s="24">
        <f t="shared" ref="AR1959" si="163">AQ1959+10</f>
        <v>44808</v>
      </c>
      <c r="AS1959" s="24"/>
      <c r="AT1959" s="24">
        <v>44802</v>
      </c>
      <c r="AU1959" s="418">
        <f t="shared" si="145"/>
        <v>8</v>
      </c>
      <c r="AV1959" s="418">
        <f t="shared" si="146"/>
        <v>2022</v>
      </c>
      <c r="AW1959" s="24" t="s">
        <v>7874</v>
      </c>
      <c r="AX1959" s="135" t="s">
        <v>6915</v>
      </c>
      <c r="AY1959" s="135"/>
      <c r="AZ1959" s="135" t="s">
        <v>37</v>
      </c>
      <c r="BA1959" s="135" t="s">
        <v>7957</v>
      </c>
      <c r="BB1959" s="24"/>
      <c r="BC1959" s="67"/>
      <c r="BD1959" s="24"/>
      <c r="BE1959" s="136"/>
      <c r="BF1959" s="136"/>
      <c r="BG1959" s="135" t="s">
        <v>52</v>
      </c>
      <c r="BH1959" s="132"/>
      <c r="BI1959" s="314" t="s">
        <v>3</v>
      </c>
      <c r="BJ1959" s="314"/>
      <c r="BK1959" s="24"/>
      <c r="BL1959" s="24"/>
      <c r="BM1959" s="24"/>
      <c r="BN1959" s="24"/>
      <c r="BO1959" s="136"/>
      <c r="BP1959" s="136"/>
      <c r="BQ1959" s="136"/>
      <c r="BR1959" s="24"/>
      <c r="BS1959" s="136"/>
      <c r="BT1959" s="136"/>
      <c r="BU1959" s="136"/>
      <c r="BV1959" s="132" t="e">
        <f>IF(#REF!="COMPLETO","OK","PENDIENTE")</f>
        <v>#REF!</v>
      </c>
      <c r="BW1959" s="132"/>
      <c r="BX1959" s="132"/>
      <c r="BY1959" s="132"/>
      <c r="BZ1959" s="132"/>
      <c r="CA1959" s="132"/>
      <c r="CB1959" s="132"/>
      <c r="CC1959" s="67"/>
      <c r="CG1959" s="136"/>
      <c r="CH1959" s="136"/>
      <c r="CI1959" s="24"/>
      <c r="CJ1959" s="24"/>
    </row>
    <row r="1960" spans="1:88" ht="15" customHeight="1">
      <c r="A1960" s="18">
        <v>2022</v>
      </c>
      <c r="B1960" s="18" t="s">
        <v>6057</v>
      </c>
      <c r="C1960" s="360" t="s">
        <v>5398</v>
      </c>
      <c r="D1960" s="150" t="s">
        <v>3</v>
      </c>
      <c r="E1960" s="132" t="s">
        <v>51</v>
      </c>
      <c r="F1960" s="136"/>
      <c r="G1960" s="346">
        <v>8000001971</v>
      </c>
      <c r="H1960" s="18" t="s">
        <v>7983</v>
      </c>
      <c r="I1960" s="331" t="s">
        <v>7537</v>
      </c>
      <c r="J1960" s="346">
        <v>8000001971</v>
      </c>
      <c r="K1960" s="24"/>
      <c r="L1960" s="24"/>
      <c r="M1960" s="24"/>
      <c r="N1960" s="345" t="s">
        <v>3</v>
      </c>
      <c r="O1960" s="334">
        <v>206971</v>
      </c>
      <c r="P1960" s="25" t="s">
        <v>340</v>
      </c>
      <c r="Q1960" s="127" t="s">
        <v>297</v>
      </c>
      <c r="R1960" s="232" t="s">
        <v>7538</v>
      </c>
      <c r="S1960" s="24">
        <v>44657</v>
      </c>
      <c r="T1960" s="36" t="s">
        <v>19</v>
      </c>
      <c r="U1960" s="125"/>
      <c r="V1960" s="22"/>
      <c r="W1960" s="43"/>
      <c r="X1960" s="24"/>
      <c r="Y1960" s="130" t="s">
        <v>3</v>
      </c>
      <c r="Z1960" s="133" t="s">
        <v>48</v>
      </c>
      <c r="AA1960" s="133"/>
      <c r="AB1960" s="241">
        <v>2000</v>
      </c>
      <c r="AC1960" s="134">
        <v>1048</v>
      </c>
      <c r="AD1960" s="134"/>
      <c r="AE1960" s="403">
        <f t="shared" si="144"/>
        <v>2096000</v>
      </c>
      <c r="AF1960" s="132" t="s">
        <v>1622</v>
      </c>
      <c r="AG1960" s="130" t="s">
        <v>58</v>
      </c>
      <c r="AH1960" s="130"/>
      <c r="AI1960" s="130" t="s">
        <v>34</v>
      </c>
      <c r="AJ1960" s="274">
        <v>1.2</v>
      </c>
      <c r="AK1960" s="130" t="s">
        <v>5400</v>
      </c>
      <c r="AL1960" s="135" t="s">
        <v>7539</v>
      </c>
      <c r="AM1960" s="314">
        <v>2022</v>
      </c>
      <c r="AN1960" s="359">
        <v>44752</v>
      </c>
      <c r="AO1960" s="385">
        <v>44752</v>
      </c>
      <c r="AP1960" s="26">
        <f>AQ1960</f>
        <v>44798</v>
      </c>
      <c r="AQ1960" s="385">
        <f>AO1960+46</f>
        <v>44798</v>
      </c>
      <c r="AR1960" s="24">
        <f t="shared" si="162"/>
        <v>44808</v>
      </c>
      <c r="AS1960" s="24"/>
      <c r="AT1960" s="24">
        <v>44802</v>
      </c>
      <c r="AU1960" s="418">
        <f t="shared" si="145"/>
        <v>8</v>
      </c>
      <c r="AV1960" s="418">
        <f t="shared" si="146"/>
        <v>2022</v>
      </c>
      <c r="AW1960" s="24" t="s">
        <v>7874</v>
      </c>
      <c r="AX1960" s="135" t="s">
        <v>6915</v>
      </c>
      <c r="AY1960" s="135"/>
      <c r="AZ1960" s="135" t="s">
        <v>37</v>
      </c>
      <c r="BA1960" s="135"/>
      <c r="BB1960" s="24"/>
      <c r="BC1960" s="67"/>
      <c r="BD1960" s="24"/>
      <c r="BE1960" s="136"/>
      <c r="BF1960" s="136"/>
      <c r="BG1960" s="135" t="s">
        <v>52</v>
      </c>
      <c r="BH1960" s="132"/>
      <c r="BI1960" s="314" t="s">
        <v>3</v>
      </c>
      <c r="BJ1960" s="314"/>
      <c r="BK1960" s="24"/>
      <c r="BL1960" s="24"/>
      <c r="BM1960" s="24"/>
      <c r="BN1960" s="24"/>
      <c r="BO1960" s="136"/>
      <c r="BP1960" s="136"/>
      <c r="BQ1960" s="136"/>
      <c r="BR1960" s="24"/>
      <c r="BS1960" s="136"/>
      <c r="BT1960" s="136"/>
      <c r="BU1960" s="136"/>
      <c r="BV1960" s="132" t="e">
        <f>IF(#REF!="COMPLETO","OK","PENDIENTE")</f>
        <v>#REF!</v>
      </c>
      <c r="BW1960" s="132"/>
      <c r="BX1960" s="132"/>
      <c r="BY1960" s="132"/>
      <c r="BZ1960" s="132"/>
      <c r="CA1960" s="132"/>
      <c r="CB1960" s="132"/>
      <c r="CC1960" s="67"/>
      <c r="CG1960" s="136"/>
      <c r="CH1960" s="136"/>
      <c r="CI1960" s="24"/>
      <c r="CJ1960" s="24"/>
    </row>
    <row r="1961" spans="1:88" ht="15" customHeight="1">
      <c r="A1961" s="18">
        <v>2022</v>
      </c>
      <c r="B1961" s="18" t="s">
        <v>6057</v>
      </c>
      <c r="C1961" s="360" t="s">
        <v>5398</v>
      </c>
      <c r="D1961" s="150" t="s">
        <v>18</v>
      </c>
      <c r="E1961" s="132" t="s">
        <v>51</v>
      </c>
      <c r="F1961" s="136"/>
      <c r="G1961" s="346">
        <v>8000001955</v>
      </c>
      <c r="H1961" s="18" t="s">
        <v>7540</v>
      </c>
      <c r="I1961" s="329" t="s">
        <v>7541</v>
      </c>
      <c r="J1961" s="346">
        <v>8000001955</v>
      </c>
      <c r="K1961" s="24">
        <v>44677</v>
      </c>
      <c r="L1961" s="24"/>
      <c r="M1961" s="24"/>
      <c r="N1961" s="340" t="s">
        <v>3</v>
      </c>
      <c r="O1961" s="334">
        <v>206597</v>
      </c>
      <c r="P1961" s="25" t="s">
        <v>104</v>
      </c>
      <c r="Q1961" s="127" t="s">
        <v>237</v>
      </c>
      <c r="R1961" s="232" t="s">
        <v>7542</v>
      </c>
      <c r="S1961" s="89">
        <v>44655</v>
      </c>
      <c r="T1961" s="36" t="s">
        <v>19</v>
      </c>
      <c r="U1961" s="125"/>
      <c r="V1961" s="147" t="s">
        <v>7543</v>
      </c>
      <c r="W1961" s="26">
        <v>44669</v>
      </c>
      <c r="X1961" s="88" t="s">
        <v>19</v>
      </c>
      <c r="Y1961" s="130" t="s">
        <v>20</v>
      </c>
      <c r="Z1961" s="133" t="s">
        <v>60</v>
      </c>
      <c r="AA1961" s="133"/>
      <c r="AB1961" s="241">
        <v>300</v>
      </c>
      <c r="AC1961" s="134">
        <v>1193</v>
      </c>
      <c r="AD1961" s="134">
        <v>120</v>
      </c>
      <c r="AE1961" s="403">
        <f t="shared" si="144"/>
        <v>357900</v>
      </c>
      <c r="AF1961" s="132" t="s">
        <v>1622</v>
      </c>
      <c r="AG1961" s="130" t="s">
        <v>46</v>
      </c>
      <c r="AH1961" s="130" t="s">
        <v>944</v>
      </c>
      <c r="AI1961" s="130" t="s">
        <v>100</v>
      </c>
      <c r="AJ1961" s="295" t="s">
        <v>944</v>
      </c>
      <c r="AK1961" s="130" t="s">
        <v>944</v>
      </c>
      <c r="AL1961" s="135" t="s">
        <v>7351</v>
      </c>
      <c r="AM1961" s="322">
        <v>2022</v>
      </c>
      <c r="AN1961" s="296">
        <v>44669</v>
      </c>
      <c r="AO1961" s="402">
        <v>44669</v>
      </c>
      <c r="AP1961" s="296">
        <f t="shared" ref="AP1961" si="164">AQ1961</f>
        <v>44718</v>
      </c>
      <c r="AQ1961" s="402">
        <v>44718</v>
      </c>
      <c r="AR1961" s="24">
        <f>AQ1961+2</f>
        <v>44720</v>
      </c>
      <c r="AS1961" s="24"/>
      <c r="AT1961" s="24">
        <v>44718</v>
      </c>
      <c r="AU1961" s="418">
        <f t="shared" si="145"/>
        <v>6</v>
      </c>
      <c r="AV1961" s="418">
        <f t="shared" si="146"/>
        <v>2022</v>
      </c>
      <c r="AW1961" s="24" t="s">
        <v>7888</v>
      </c>
      <c r="AX1961" s="135" t="s">
        <v>7545</v>
      </c>
      <c r="AY1961" s="135" t="s">
        <v>7544</v>
      </c>
      <c r="AZ1961" s="135" t="s">
        <v>9</v>
      </c>
      <c r="BA1961" s="135" t="s">
        <v>7130</v>
      </c>
      <c r="BB1961" s="24" t="s">
        <v>3264</v>
      </c>
      <c r="BC1961" s="57">
        <v>4</v>
      </c>
      <c r="BD1961" s="24">
        <v>44669</v>
      </c>
      <c r="BE1961" s="24" t="s">
        <v>7444</v>
      </c>
      <c r="BF1961" s="24" t="s">
        <v>7444</v>
      </c>
      <c r="BG1961" s="135" t="s">
        <v>52</v>
      </c>
      <c r="BH1961" s="212" t="s">
        <v>7895</v>
      </c>
      <c r="BI1961" s="314" t="s">
        <v>124</v>
      </c>
      <c r="BJ1961" s="314" t="s">
        <v>143</v>
      </c>
      <c r="BK1961" s="89"/>
      <c r="BL1961" s="89"/>
      <c r="BM1961" s="89"/>
      <c r="BN1961" s="89"/>
      <c r="BO1961" s="136"/>
      <c r="BP1961" s="136"/>
      <c r="BQ1961" s="136"/>
      <c r="BR1961" s="24"/>
      <c r="BS1961" s="132"/>
      <c r="BT1961" s="136"/>
      <c r="BU1961" s="136"/>
      <c r="BV1961" s="132" t="s">
        <v>6087</v>
      </c>
      <c r="BW1961" s="132" t="s">
        <v>1622</v>
      </c>
      <c r="BX1961" s="132" t="s">
        <v>1622</v>
      </c>
      <c r="BY1961" s="132" t="s">
        <v>1622</v>
      </c>
      <c r="BZ1961" s="132" t="s">
        <v>1622</v>
      </c>
      <c r="CA1961" s="132" t="s">
        <v>1622</v>
      </c>
      <c r="CB1961" s="132" t="s">
        <v>1622</v>
      </c>
      <c r="CC1961" s="378"/>
      <c r="CG1961" s="136"/>
      <c r="CH1961" s="136"/>
      <c r="CI1961" s="24"/>
      <c r="CJ1961" s="24"/>
    </row>
    <row r="1962" spans="1:88" ht="15" customHeight="1">
      <c r="A1962" s="18">
        <v>2022</v>
      </c>
      <c r="B1962" s="18" t="s">
        <v>6057</v>
      </c>
      <c r="C1962" s="360" t="s">
        <v>5398</v>
      </c>
      <c r="D1962" s="150" t="s">
        <v>18</v>
      </c>
      <c r="E1962" s="132" t="s">
        <v>51</v>
      </c>
      <c r="F1962" s="136"/>
      <c r="G1962" s="346">
        <v>8000001956</v>
      </c>
      <c r="H1962" s="18" t="s">
        <v>7546</v>
      </c>
      <c r="I1962" s="329" t="s">
        <v>7541</v>
      </c>
      <c r="J1962" s="346">
        <v>8000001956</v>
      </c>
      <c r="K1962" s="24">
        <v>44677</v>
      </c>
      <c r="L1962" s="24"/>
      <c r="M1962" s="24"/>
      <c r="N1962" s="340" t="s">
        <v>3</v>
      </c>
      <c r="O1962" s="334">
        <v>206597</v>
      </c>
      <c r="P1962" s="25" t="s">
        <v>104</v>
      </c>
      <c r="Q1962" s="127" t="s">
        <v>237</v>
      </c>
      <c r="R1962" s="232" t="s">
        <v>7542</v>
      </c>
      <c r="S1962" s="89">
        <v>44655</v>
      </c>
      <c r="T1962" s="36" t="s">
        <v>19</v>
      </c>
      <c r="U1962" s="125"/>
      <c r="V1962" s="147" t="s">
        <v>7547</v>
      </c>
      <c r="W1962" s="26">
        <v>44669</v>
      </c>
      <c r="X1962" s="88" t="s">
        <v>19</v>
      </c>
      <c r="Y1962" s="130" t="s">
        <v>20</v>
      </c>
      <c r="Z1962" s="133" t="s">
        <v>60</v>
      </c>
      <c r="AA1962" s="133"/>
      <c r="AB1962" s="241">
        <v>800</v>
      </c>
      <c r="AC1962" s="134">
        <v>1193</v>
      </c>
      <c r="AD1962" s="134">
        <v>120</v>
      </c>
      <c r="AE1962" s="403">
        <f t="shared" si="144"/>
        <v>954400</v>
      </c>
      <c r="AF1962" s="132" t="s">
        <v>1622</v>
      </c>
      <c r="AG1962" s="130" t="s">
        <v>46</v>
      </c>
      <c r="AH1962" s="130" t="s">
        <v>944</v>
      </c>
      <c r="AI1962" s="130" t="s">
        <v>100</v>
      </c>
      <c r="AJ1962" s="295" t="s">
        <v>944</v>
      </c>
      <c r="AK1962" s="130" t="s">
        <v>944</v>
      </c>
      <c r="AL1962" s="135" t="s">
        <v>7351</v>
      </c>
      <c r="AM1962" s="322">
        <v>2022</v>
      </c>
      <c r="AN1962" s="296">
        <v>44669</v>
      </c>
      <c r="AO1962" s="402">
        <v>44669</v>
      </c>
      <c r="AP1962" s="296">
        <f>AQ1962</f>
        <v>44723</v>
      </c>
      <c r="AQ1962" s="402">
        <f>AQ1961+5</f>
        <v>44723</v>
      </c>
      <c r="AR1962" s="24">
        <f>AQ1962+2</f>
        <v>44725</v>
      </c>
      <c r="AS1962" s="24"/>
      <c r="AT1962" s="24">
        <v>44721</v>
      </c>
      <c r="AU1962" s="418">
        <f t="shared" si="145"/>
        <v>6</v>
      </c>
      <c r="AV1962" s="418">
        <f t="shared" si="146"/>
        <v>2022</v>
      </c>
      <c r="AW1962" s="24" t="s">
        <v>7888</v>
      </c>
      <c r="AX1962" s="135" t="s">
        <v>7545</v>
      </c>
      <c r="AY1962" s="135" t="s">
        <v>7544</v>
      </c>
      <c r="AZ1962" s="135" t="s">
        <v>25</v>
      </c>
      <c r="BA1962" s="135" t="s">
        <v>3334</v>
      </c>
      <c r="BB1962" s="24" t="s">
        <v>3264</v>
      </c>
      <c r="BC1962" s="57">
        <v>5</v>
      </c>
      <c r="BD1962" s="24">
        <v>44669</v>
      </c>
      <c r="BE1962" s="24" t="s">
        <v>7444</v>
      </c>
      <c r="BF1962" s="24" t="s">
        <v>7444</v>
      </c>
      <c r="BG1962" s="135" t="s">
        <v>52</v>
      </c>
      <c r="BH1962" s="212" t="s">
        <v>7895</v>
      </c>
      <c r="BI1962" s="314" t="s">
        <v>3</v>
      </c>
      <c r="BJ1962" s="132" t="s">
        <v>143</v>
      </c>
      <c r="BK1962" s="89"/>
      <c r="BL1962" s="89"/>
      <c r="BM1962" s="89"/>
      <c r="BN1962" s="89"/>
      <c r="BO1962" s="136"/>
      <c r="BP1962" s="136"/>
      <c r="BQ1962" s="136"/>
      <c r="BR1962" s="24"/>
      <c r="BS1962" s="132"/>
      <c r="BT1962" s="136"/>
      <c r="BU1962" s="136"/>
      <c r="BV1962" s="132" t="s">
        <v>6087</v>
      </c>
      <c r="BW1962" s="132" t="s">
        <v>1622</v>
      </c>
      <c r="BX1962" s="132" t="s">
        <v>1622</v>
      </c>
      <c r="BY1962" s="132" t="s">
        <v>1622</v>
      </c>
      <c r="BZ1962" s="132" t="s">
        <v>1622</v>
      </c>
      <c r="CA1962" s="132" t="s">
        <v>1622</v>
      </c>
      <c r="CB1962" s="132" t="s">
        <v>1622</v>
      </c>
      <c r="CC1962" s="378"/>
      <c r="CG1962" s="136"/>
      <c r="CH1962" s="136"/>
      <c r="CI1962" s="24"/>
      <c r="CJ1962" s="24"/>
    </row>
    <row r="1963" spans="1:88" ht="15" customHeight="1">
      <c r="A1963" s="18">
        <v>2022</v>
      </c>
      <c r="B1963" s="18" t="s">
        <v>6057</v>
      </c>
      <c r="C1963" s="360" t="s">
        <v>5398</v>
      </c>
      <c r="D1963" s="150" t="s">
        <v>18</v>
      </c>
      <c r="E1963" s="132" t="s">
        <v>51</v>
      </c>
      <c r="F1963" s="136"/>
      <c r="G1963" s="346">
        <v>8000001957</v>
      </c>
      <c r="H1963" s="18" t="s">
        <v>7548</v>
      </c>
      <c r="I1963" s="329" t="s">
        <v>7541</v>
      </c>
      <c r="J1963" s="346">
        <v>8000001957</v>
      </c>
      <c r="K1963" s="24">
        <v>44677</v>
      </c>
      <c r="L1963" s="24"/>
      <c r="M1963" s="24"/>
      <c r="N1963" s="340" t="s">
        <v>3</v>
      </c>
      <c r="O1963" s="334">
        <v>206597</v>
      </c>
      <c r="P1963" s="25" t="s">
        <v>104</v>
      </c>
      <c r="Q1963" s="127" t="s">
        <v>237</v>
      </c>
      <c r="R1963" s="232" t="s">
        <v>7542</v>
      </c>
      <c r="S1963" s="89">
        <v>44655</v>
      </c>
      <c r="T1963" s="36" t="s">
        <v>19</v>
      </c>
      <c r="U1963" s="125"/>
      <c r="V1963" s="147" t="s">
        <v>7549</v>
      </c>
      <c r="W1963" s="26">
        <v>44669</v>
      </c>
      <c r="X1963" s="88" t="s">
        <v>19</v>
      </c>
      <c r="Y1963" s="130" t="s">
        <v>20</v>
      </c>
      <c r="Z1963" s="133" t="s">
        <v>60</v>
      </c>
      <c r="AA1963" s="133"/>
      <c r="AB1963" s="241">
        <v>1700</v>
      </c>
      <c r="AC1963" s="134">
        <v>1193</v>
      </c>
      <c r="AD1963" s="134">
        <v>120</v>
      </c>
      <c r="AE1963" s="403">
        <f t="shared" si="144"/>
        <v>2028100</v>
      </c>
      <c r="AF1963" s="132" t="s">
        <v>1622</v>
      </c>
      <c r="AG1963" s="130" t="s">
        <v>46</v>
      </c>
      <c r="AH1963" s="130" t="s">
        <v>944</v>
      </c>
      <c r="AI1963" s="130" t="s">
        <v>100</v>
      </c>
      <c r="AJ1963" s="295" t="s">
        <v>944</v>
      </c>
      <c r="AK1963" s="130" t="s">
        <v>944</v>
      </c>
      <c r="AL1963" s="135" t="s">
        <v>7351</v>
      </c>
      <c r="AM1963" s="322">
        <v>2022</v>
      </c>
      <c r="AN1963" s="296">
        <v>44669</v>
      </c>
      <c r="AO1963" s="402">
        <v>44669</v>
      </c>
      <c r="AP1963" s="296">
        <f t="shared" ref="AP1963:AP1964" si="165">AQ1963</f>
        <v>44727</v>
      </c>
      <c r="AQ1963" s="402">
        <f>AQ1961+9</f>
        <v>44727</v>
      </c>
      <c r="AR1963" s="24">
        <f>AQ1963+3</f>
        <v>44730</v>
      </c>
      <c r="AS1963" s="24"/>
      <c r="AT1963" s="24">
        <v>44729</v>
      </c>
      <c r="AU1963" s="418">
        <f t="shared" si="145"/>
        <v>6</v>
      </c>
      <c r="AV1963" s="418">
        <f t="shared" si="146"/>
        <v>2022</v>
      </c>
      <c r="AW1963" s="24" t="s">
        <v>7888</v>
      </c>
      <c r="AX1963" s="135" t="s">
        <v>7545</v>
      </c>
      <c r="AY1963" s="135" t="s">
        <v>7544</v>
      </c>
      <c r="AZ1963" s="135" t="s">
        <v>37</v>
      </c>
      <c r="BA1963" s="135"/>
      <c r="BB1963" s="24" t="s">
        <v>3291</v>
      </c>
      <c r="BC1963" s="57">
        <v>6</v>
      </c>
      <c r="BD1963" s="24">
        <v>44669</v>
      </c>
      <c r="BE1963" s="24" t="s">
        <v>7444</v>
      </c>
      <c r="BF1963" s="24" t="s">
        <v>7444</v>
      </c>
      <c r="BG1963" s="135" t="s">
        <v>52</v>
      </c>
      <c r="BH1963" s="212" t="s">
        <v>7895</v>
      </c>
      <c r="BI1963" s="314" t="s">
        <v>3</v>
      </c>
      <c r="BJ1963" s="132" t="s">
        <v>143</v>
      </c>
      <c r="BK1963" s="89"/>
      <c r="BL1963" s="89"/>
      <c r="BM1963" s="89"/>
      <c r="BN1963" s="89"/>
      <c r="BO1963" s="136"/>
      <c r="BP1963" s="136"/>
      <c r="BQ1963" s="136"/>
      <c r="BR1963" s="24"/>
      <c r="BS1963" s="132"/>
      <c r="BT1963" s="136"/>
      <c r="BU1963" s="136"/>
      <c r="BV1963" s="132" t="s">
        <v>6087</v>
      </c>
      <c r="BW1963" s="132" t="s">
        <v>1622</v>
      </c>
      <c r="BX1963" s="132" t="s">
        <v>1622</v>
      </c>
      <c r="BY1963" s="132" t="s">
        <v>1622</v>
      </c>
      <c r="BZ1963" s="132" t="s">
        <v>1622</v>
      </c>
      <c r="CA1963" s="132" t="s">
        <v>1622</v>
      </c>
      <c r="CB1963" s="132" t="s">
        <v>1622</v>
      </c>
      <c r="CC1963" s="378"/>
      <c r="CG1963" s="136"/>
      <c r="CH1963" s="136"/>
      <c r="CI1963" s="24"/>
      <c r="CJ1963" s="24"/>
    </row>
    <row r="1964" spans="1:88" ht="15" customHeight="1">
      <c r="A1964" s="18">
        <v>2022</v>
      </c>
      <c r="B1964" s="18" t="s">
        <v>6057</v>
      </c>
      <c r="C1964" s="360" t="s">
        <v>5398</v>
      </c>
      <c r="D1964" s="150" t="s">
        <v>18</v>
      </c>
      <c r="E1964" s="132" t="s">
        <v>51</v>
      </c>
      <c r="F1964" s="136"/>
      <c r="G1964" s="346">
        <v>8000001958</v>
      </c>
      <c r="H1964" s="18" t="s">
        <v>7550</v>
      </c>
      <c r="I1964" s="329" t="s">
        <v>7541</v>
      </c>
      <c r="J1964" s="346">
        <v>8000001958</v>
      </c>
      <c r="K1964" s="24">
        <v>44677</v>
      </c>
      <c r="L1964" s="24"/>
      <c r="M1964" s="24"/>
      <c r="N1964" s="340" t="s">
        <v>3</v>
      </c>
      <c r="O1964" s="334">
        <v>206597</v>
      </c>
      <c r="P1964" s="25" t="s">
        <v>104</v>
      </c>
      <c r="Q1964" s="127" t="s">
        <v>237</v>
      </c>
      <c r="R1964" s="232" t="s">
        <v>7542</v>
      </c>
      <c r="S1964" s="89">
        <v>44655</v>
      </c>
      <c r="T1964" s="36" t="s">
        <v>19</v>
      </c>
      <c r="U1964" s="125"/>
      <c r="V1964" s="147" t="s">
        <v>7551</v>
      </c>
      <c r="W1964" s="26">
        <v>44669</v>
      </c>
      <c r="X1964" s="88" t="s">
        <v>19</v>
      </c>
      <c r="Y1964" s="130" t="s">
        <v>20</v>
      </c>
      <c r="Z1964" s="133" t="s">
        <v>60</v>
      </c>
      <c r="AA1964" s="133"/>
      <c r="AB1964" s="241">
        <v>500</v>
      </c>
      <c r="AC1964" s="134">
        <v>1193</v>
      </c>
      <c r="AD1964" s="134">
        <v>120</v>
      </c>
      <c r="AE1964" s="403">
        <f t="shared" si="144"/>
        <v>596500</v>
      </c>
      <c r="AF1964" s="132" t="s">
        <v>1622</v>
      </c>
      <c r="AG1964" s="130" t="s">
        <v>46</v>
      </c>
      <c r="AH1964" s="130" t="s">
        <v>944</v>
      </c>
      <c r="AI1964" s="130" t="s">
        <v>100</v>
      </c>
      <c r="AJ1964" s="295" t="s">
        <v>944</v>
      </c>
      <c r="AK1964" s="130" t="s">
        <v>944</v>
      </c>
      <c r="AL1964" s="135" t="s">
        <v>7351</v>
      </c>
      <c r="AM1964" s="322">
        <v>2022</v>
      </c>
      <c r="AN1964" s="296">
        <v>44669</v>
      </c>
      <c r="AO1964" s="402">
        <v>44669</v>
      </c>
      <c r="AP1964" s="296">
        <f t="shared" si="165"/>
        <v>44731</v>
      </c>
      <c r="AQ1964" s="402">
        <f>AQ1961+13</f>
        <v>44731</v>
      </c>
      <c r="AR1964" s="24">
        <f>AQ1964+1</f>
        <v>44732</v>
      </c>
      <c r="AS1964" s="24"/>
      <c r="AT1964" s="24">
        <v>44731</v>
      </c>
      <c r="AU1964" s="418">
        <f t="shared" si="145"/>
        <v>6</v>
      </c>
      <c r="AV1964" s="418">
        <f t="shared" si="146"/>
        <v>2022</v>
      </c>
      <c r="AW1964" s="24" t="s">
        <v>7888</v>
      </c>
      <c r="AX1964" s="135" t="s">
        <v>7545</v>
      </c>
      <c r="AY1964" s="135" t="s">
        <v>7544</v>
      </c>
      <c r="AZ1964" s="135" t="s">
        <v>62</v>
      </c>
      <c r="BA1964" s="135" t="s">
        <v>3334</v>
      </c>
      <c r="BB1964" s="24" t="s">
        <v>3264</v>
      </c>
      <c r="BC1964" s="57">
        <v>7</v>
      </c>
      <c r="BD1964" s="24">
        <v>44669</v>
      </c>
      <c r="BE1964" s="24" t="s">
        <v>7444</v>
      </c>
      <c r="BF1964" s="24" t="s">
        <v>7444</v>
      </c>
      <c r="BG1964" s="135" t="s">
        <v>52</v>
      </c>
      <c r="BH1964" s="212" t="s">
        <v>7895</v>
      </c>
      <c r="BI1964" s="314" t="s">
        <v>3</v>
      </c>
      <c r="BJ1964" s="132" t="s">
        <v>143</v>
      </c>
      <c r="BK1964" s="89"/>
      <c r="BL1964" s="89"/>
      <c r="BM1964" s="89"/>
      <c r="BN1964" s="89"/>
      <c r="BO1964" s="136"/>
      <c r="BP1964" s="136"/>
      <c r="BQ1964" s="136"/>
      <c r="BR1964" s="24"/>
      <c r="BS1964" s="132"/>
      <c r="BT1964" s="136"/>
      <c r="BU1964" s="136"/>
      <c r="BV1964" s="132" t="s">
        <v>6087</v>
      </c>
      <c r="BW1964" s="132" t="s">
        <v>1622</v>
      </c>
      <c r="BX1964" s="132" t="s">
        <v>1622</v>
      </c>
      <c r="BY1964" s="132" t="s">
        <v>1622</v>
      </c>
      <c r="BZ1964" s="132" t="s">
        <v>1622</v>
      </c>
      <c r="CA1964" s="132" t="s">
        <v>1622</v>
      </c>
      <c r="CB1964" s="132" t="s">
        <v>1622</v>
      </c>
      <c r="CC1964" s="378"/>
      <c r="CG1964" s="136"/>
      <c r="CH1964" s="136"/>
      <c r="CI1964" s="24"/>
      <c r="CJ1964" s="24"/>
    </row>
    <row r="1965" spans="1:88" ht="14.45" customHeight="1">
      <c r="A1965" s="18">
        <v>2022</v>
      </c>
      <c r="B1965" s="18" t="str">
        <f>+INDEX(BDD!F:F,MATCH(P1965,BDD!D:D,0))&amp;"-"&amp;INDEX(BDD!E:E,MATCH(P1965,BDD!D:D,0))</f>
        <v>E-S</v>
      </c>
      <c r="C1965" s="360" t="s">
        <v>5398</v>
      </c>
      <c r="D1965" s="150" t="s">
        <v>18</v>
      </c>
      <c r="E1965" s="132" t="s">
        <v>51</v>
      </c>
      <c r="F1965" s="136"/>
      <c r="G1965" s="349">
        <v>8000001914</v>
      </c>
      <c r="H1965" s="18" t="s">
        <v>7552</v>
      </c>
      <c r="I1965" s="329" t="s">
        <v>7553</v>
      </c>
      <c r="J1965" s="349">
        <v>8000001914</v>
      </c>
      <c r="K1965" s="24">
        <v>44657</v>
      </c>
      <c r="L1965" s="24"/>
      <c r="M1965" s="24"/>
      <c r="N1965" s="340" t="s">
        <v>3</v>
      </c>
      <c r="O1965" s="334">
        <v>204207</v>
      </c>
      <c r="P1965" s="25" t="s">
        <v>295</v>
      </c>
      <c r="Q1965" s="127" t="s">
        <v>7554</v>
      </c>
      <c r="R1965" s="232" t="s">
        <v>944</v>
      </c>
      <c r="S1965" s="89">
        <v>44655</v>
      </c>
      <c r="T1965" s="36">
        <v>150</v>
      </c>
      <c r="U1965" s="125" t="s">
        <v>118</v>
      </c>
      <c r="V1965" s="147" t="s">
        <v>8107</v>
      </c>
      <c r="W1965" s="88">
        <v>44701</v>
      </c>
      <c r="X1965" s="88">
        <v>44791</v>
      </c>
      <c r="Y1965" s="130" t="s">
        <v>3</v>
      </c>
      <c r="Z1965" s="133" t="s">
        <v>81</v>
      </c>
      <c r="AA1965" s="133"/>
      <c r="AB1965" s="241">
        <v>49</v>
      </c>
      <c r="AC1965" s="134">
        <v>2885</v>
      </c>
      <c r="AD1965" s="134"/>
      <c r="AE1965" s="403">
        <f t="shared" si="144"/>
        <v>141365</v>
      </c>
      <c r="AF1965" s="132">
        <v>2</v>
      </c>
      <c r="AG1965" s="130" t="s">
        <v>5</v>
      </c>
      <c r="AH1965" s="130" t="s">
        <v>6388</v>
      </c>
      <c r="AI1965" s="130" t="s">
        <v>34</v>
      </c>
      <c r="AJ1965" s="295"/>
      <c r="AK1965" s="130"/>
      <c r="AL1965" s="135" t="s">
        <v>7419</v>
      </c>
      <c r="AM1965" s="322">
        <v>2022</v>
      </c>
      <c r="AN1965" s="296">
        <v>44685</v>
      </c>
      <c r="AO1965" s="385">
        <v>44701</v>
      </c>
      <c r="AP1965" s="26">
        <v>44740</v>
      </c>
      <c r="AQ1965" s="402">
        <v>44747</v>
      </c>
      <c r="AR1965" s="24">
        <f t="shared" ref="AR1965:AR1978" si="166">AQ1965+4</f>
        <v>44751</v>
      </c>
      <c r="AS1965" s="41"/>
      <c r="AT1965" s="24">
        <v>44753</v>
      </c>
      <c r="AU1965" s="418">
        <f t="shared" si="145"/>
        <v>7</v>
      </c>
      <c r="AV1965" s="418">
        <f t="shared" si="146"/>
        <v>2022</v>
      </c>
      <c r="AW1965" s="24" t="s">
        <v>7888</v>
      </c>
      <c r="AX1965" s="24" t="s">
        <v>7555</v>
      </c>
      <c r="AY1965" s="24" t="s">
        <v>8004</v>
      </c>
      <c r="AZ1965" s="135" t="s">
        <v>37</v>
      </c>
      <c r="BA1965" s="215" t="s">
        <v>6329</v>
      </c>
      <c r="BB1965" s="24" t="s">
        <v>3291</v>
      </c>
      <c r="BC1965" s="128">
        <v>609051162</v>
      </c>
      <c r="BD1965" s="24">
        <v>44701</v>
      </c>
      <c r="BE1965" s="24" t="s">
        <v>8005</v>
      </c>
      <c r="BF1965" s="24" t="s">
        <v>1313</v>
      </c>
      <c r="BG1965" s="135" t="s">
        <v>8003</v>
      </c>
      <c r="BH1965" s="212"/>
      <c r="BI1965" s="314" t="s">
        <v>3</v>
      </c>
      <c r="BJ1965" s="314" t="s">
        <v>138</v>
      </c>
      <c r="BK1965" s="89"/>
      <c r="BL1965" s="89"/>
      <c r="BM1965" s="89"/>
      <c r="BN1965" s="89"/>
      <c r="BO1965" s="24">
        <f>AQ1965+10</f>
        <v>44757</v>
      </c>
      <c r="BP1965" s="136"/>
      <c r="BQ1965" s="136"/>
      <c r="BR1965" s="24"/>
      <c r="BS1965" s="136"/>
      <c r="BT1965" s="136"/>
      <c r="BU1965" s="136"/>
      <c r="BV1965" s="132" t="e">
        <f>IF(#REF!="COMPLETO","OK","PENDIENTE")</f>
        <v>#REF!</v>
      </c>
      <c r="BW1965" s="132"/>
      <c r="BX1965" s="132"/>
      <c r="BY1965" s="132"/>
      <c r="BZ1965" s="132"/>
      <c r="CA1965" s="132"/>
      <c r="CB1965" s="132"/>
      <c r="CC1965" s="378"/>
      <c r="CG1965" s="136"/>
      <c r="CH1965" s="136"/>
      <c r="CI1965" s="24"/>
      <c r="CJ1965" s="24"/>
    </row>
    <row r="1966" spans="1:88" ht="14.45" customHeight="1">
      <c r="A1966" s="18">
        <v>2022</v>
      </c>
      <c r="B1966" s="18" t="str">
        <f>+INDEX(BDD!F:F,MATCH(P1966,BDD!D:D,0))&amp;"-"&amp;INDEX(BDD!E:E,MATCH(P1966,BDD!D:D,0))</f>
        <v>E-S</v>
      </c>
      <c r="C1966" s="360" t="s">
        <v>5398</v>
      </c>
      <c r="D1966" s="150" t="s">
        <v>3</v>
      </c>
      <c r="E1966" s="132" t="s">
        <v>51</v>
      </c>
      <c r="F1966" s="136"/>
      <c r="G1966" s="346"/>
      <c r="H1966" s="18" t="s">
        <v>7556</v>
      </c>
      <c r="I1966" s="329" t="s">
        <v>7553</v>
      </c>
      <c r="J1966" s="346"/>
      <c r="K1966" s="24"/>
      <c r="L1966" s="24"/>
      <c r="M1966" s="24"/>
      <c r="N1966" s="340" t="s">
        <v>3</v>
      </c>
      <c r="O1966" s="334">
        <v>204207</v>
      </c>
      <c r="P1966" s="25" t="s">
        <v>295</v>
      </c>
      <c r="Q1966" s="127" t="s">
        <v>7554</v>
      </c>
      <c r="R1966" s="232" t="s">
        <v>944</v>
      </c>
      <c r="S1966" s="89">
        <v>44655</v>
      </c>
      <c r="T1966" s="36">
        <v>150</v>
      </c>
      <c r="U1966" s="125" t="s">
        <v>118</v>
      </c>
      <c r="V1966" s="147"/>
      <c r="W1966" s="129"/>
      <c r="X1966" s="88"/>
      <c r="Y1966" s="130" t="s">
        <v>3</v>
      </c>
      <c r="Z1966" s="133" t="s">
        <v>81</v>
      </c>
      <c r="AA1966" s="133"/>
      <c r="AB1966" s="241">
        <v>98</v>
      </c>
      <c r="AC1966" s="134">
        <v>2885</v>
      </c>
      <c r="AD1966" s="134"/>
      <c r="AE1966" s="403">
        <f t="shared" si="144"/>
        <v>282730</v>
      </c>
      <c r="AF1966" s="132">
        <v>4</v>
      </c>
      <c r="AG1966" s="130" t="s">
        <v>5</v>
      </c>
      <c r="AH1966" s="130" t="s">
        <v>6388</v>
      </c>
      <c r="AI1966" s="130" t="s">
        <v>34</v>
      </c>
      <c r="AJ1966" s="295"/>
      <c r="AK1966" s="130"/>
      <c r="AL1966" s="135" t="s">
        <v>7419</v>
      </c>
      <c r="AM1966" s="322">
        <v>2022</v>
      </c>
      <c r="AN1966" s="296">
        <v>44685</v>
      </c>
      <c r="AO1966" s="385">
        <v>44727</v>
      </c>
      <c r="AP1966" s="26">
        <v>44740</v>
      </c>
      <c r="AQ1966" s="402">
        <f>AO1966+46</f>
        <v>44773</v>
      </c>
      <c r="AR1966" s="24">
        <f t="shared" si="166"/>
        <v>44777</v>
      </c>
      <c r="AS1966" s="24"/>
      <c r="AT1966" s="24">
        <v>44777</v>
      </c>
      <c r="AU1966" s="418">
        <f t="shared" si="145"/>
        <v>8</v>
      </c>
      <c r="AV1966" s="418">
        <f t="shared" si="146"/>
        <v>2022</v>
      </c>
      <c r="AW1966" s="24" t="s">
        <v>7874</v>
      </c>
      <c r="AX1966" s="24" t="s">
        <v>7555</v>
      </c>
      <c r="AY1966" s="24" t="s">
        <v>8004</v>
      </c>
      <c r="AZ1966" s="135" t="s">
        <v>37</v>
      </c>
      <c r="BA1966" s="215"/>
      <c r="BB1966" s="24" t="s">
        <v>3291</v>
      </c>
      <c r="BC1966" s="288"/>
      <c r="BD1966" s="24"/>
      <c r="BE1966" s="24"/>
      <c r="BF1966" s="292"/>
      <c r="BG1966" s="135" t="s">
        <v>8003</v>
      </c>
      <c r="BH1966" s="212"/>
      <c r="BI1966" s="314" t="s">
        <v>3</v>
      </c>
      <c r="BJ1966" s="314"/>
      <c r="BK1966" s="89"/>
      <c r="BL1966" s="89"/>
      <c r="BM1966" s="89"/>
      <c r="BN1966" s="89"/>
      <c r="BO1966" s="136"/>
      <c r="BP1966" s="136"/>
      <c r="BQ1966" s="136"/>
      <c r="BR1966" s="24"/>
      <c r="BS1966" s="136"/>
      <c r="BT1966" s="136"/>
      <c r="BU1966" s="136"/>
      <c r="BV1966" s="132" t="e">
        <f>IF(#REF!="COMPLETO","OK","PENDIENTE")</f>
        <v>#REF!</v>
      </c>
      <c r="BW1966" s="132"/>
      <c r="BX1966" s="132"/>
      <c r="BY1966" s="132"/>
      <c r="BZ1966" s="132"/>
      <c r="CA1966" s="132"/>
      <c r="CB1966" s="132"/>
      <c r="CC1966" s="378"/>
      <c r="CG1966" s="136"/>
      <c r="CH1966" s="136"/>
      <c r="CI1966" s="24"/>
      <c r="CJ1966" s="24"/>
    </row>
    <row r="1967" spans="1:88" customFormat="1" ht="14.45" customHeight="1">
      <c r="A1967" s="18">
        <v>2022</v>
      </c>
      <c r="B1967" s="18" t="str">
        <f>+INDEX(BDD!F:F,MATCH(P1967,BDD!D:D,0))&amp;"-"&amp;INDEX(BDD!E:E,MATCH(P1967,BDD!D:D,0))</f>
        <v>E-S</v>
      </c>
      <c r="C1967" s="360" t="s">
        <v>5398</v>
      </c>
      <c r="D1967" s="150" t="s">
        <v>18</v>
      </c>
      <c r="E1967" s="132" t="s">
        <v>51</v>
      </c>
      <c r="F1967" s="24"/>
      <c r="G1967" s="429">
        <v>8000001917</v>
      </c>
      <c r="H1967" s="18" t="s">
        <v>7557</v>
      </c>
      <c r="I1967" s="329" t="s">
        <v>7558</v>
      </c>
      <c r="J1967" s="429">
        <v>8000001917</v>
      </c>
      <c r="K1967" s="24">
        <v>44658</v>
      </c>
      <c r="L1967" s="24"/>
      <c r="M1967" s="24"/>
      <c r="N1967" s="340" t="s">
        <v>3</v>
      </c>
      <c r="O1967" s="334">
        <v>206720</v>
      </c>
      <c r="P1967" s="25" t="s">
        <v>336</v>
      </c>
      <c r="Q1967" s="127" t="s">
        <v>7559</v>
      </c>
      <c r="R1967" s="232" t="s">
        <v>944</v>
      </c>
      <c r="S1967" s="89">
        <v>44658</v>
      </c>
      <c r="T1967" s="36">
        <v>120</v>
      </c>
      <c r="U1967" s="125" t="s">
        <v>2805</v>
      </c>
      <c r="V1967" s="147"/>
      <c r="W1967" s="129"/>
      <c r="X1967" s="88"/>
      <c r="Y1967" s="130" t="s">
        <v>3</v>
      </c>
      <c r="Z1967" s="133" t="s">
        <v>72</v>
      </c>
      <c r="AA1967" s="133"/>
      <c r="AB1967" s="300">
        <v>42</v>
      </c>
      <c r="AC1967" s="134">
        <v>550</v>
      </c>
      <c r="AD1967" s="134"/>
      <c r="AE1967" s="403">
        <f t="shared" si="144"/>
        <v>23100</v>
      </c>
      <c r="AF1967" s="132">
        <v>2</v>
      </c>
      <c r="AG1967" s="130" t="s">
        <v>5</v>
      </c>
      <c r="AH1967" s="130"/>
      <c r="AI1967" s="130" t="s">
        <v>34</v>
      </c>
      <c r="AJ1967" s="130"/>
      <c r="AK1967" s="130"/>
      <c r="AL1967" s="135" t="s">
        <v>7535</v>
      </c>
      <c r="AM1967" s="314">
        <v>2022</v>
      </c>
      <c r="AN1967" s="296">
        <v>44727</v>
      </c>
      <c r="AO1967" s="385">
        <v>44702</v>
      </c>
      <c r="AP1967" s="26">
        <f>AN1967+30</f>
        <v>44757</v>
      </c>
      <c r="AQ1967" s="385">
        <v>44732</v>
      </c>
      <c r="AR1967" s="24">
        <f t="shared" si="166"/>
        <v>44736</v>
      </c>
      <c r="AS1967" s="41"/>
      <c r="AT1967" s="24">
        <v>44736</v>
      </c>
      <c r="AU1967" s="418">
        <f t="shared" si="145"/>
        <v>6</v>
      </c>
      <c r="AV1967" s="418">
        <f t="shared" si="146"/>
        <v>2022</v>
      </c>
      <c r="AW1967" s="24" t="s">
        <v>7875</v>
      </c>
      <c r="AX1967" s="28" t="s">
        <v>7561</v>
      </c>
      <c r="AY1967" s="28" t="s">
        <v>7560</v>
      </c>
      <c r="AZ1967" s="132" t="s">
        <v>9</v>
      </c>
      <c r="BA1967" s="132" t="s">
        <v>7130</v>
      </c>
      <c r="BB1967" s="24" t="s">
        <v>3264</v>
      </c>
      <c r="BC1967" s="135"/>
      <c r="BD1967" s="24"/>
      <c r="BE1967" s="135" t="s">
        <v>6967</v>
      </c>
      <c r="BF1967" s="135"/>
      <c r="BG1967" s="135"/>
      <c r="BH1967" s="135"/>
      <c r="BI1967" s="314" t="s">
        <v>3</v>
      </c>
      <c r="BJ1967" s="314"/>
      <c r="BK1967" s="26"/>
      <c r="BL1967" s="26"/>
      <c r="BM1967" s="26"/>
      <c r="BN1967" s="26"/>
      <c r="BO1967" s="24"/>
      <c r="BP1967" s="24"/>
      <c r="BQ1967" s="24"/>
      <c r="BR1967" s="24"/>
      <c r="BS1967" s="24"/>
      <c r="BT1967" s="24"/>
      <c r="BU1967" s="24"/>
      <c r="BV1967" s="132" t="e">
        <f>IF(#REF!="COMPLETO","OK","PENDIENTE")</f>
        <v>#REF!</v>
      </c>
      <c r="BW1967" s="132" t="s">
        <v>1622</v>
      </c>
      <c r="BX1967" s="132" t="s">
        <v>1622</v>
      </c>
      <c r="BY1967" s="132" t="s">
        <v>1622</v>
      </c>
      <c r="BZ1967" s="132" t="s">
        <v>1622</v>
      </c>
      <c r="CA1967" s="132" t="s">
        <v>1622</v>
      </c>
      <c r="CB1967" s="132" t="s">
        <v>1622</v>
      </c>
      <c r="CG1967" s="24"/>
      <c r="CH1967" s="24"/>
      <c r="CI1967" s="24"/>
      <c r="CJ1967" s="24"/>
    </row>
    <row r="1968" spans="1:88" ht="15" customHeight="1">
      <c r="A1968" s="18">
        <v>2022</v>
      </c>
      <c r="B1968" s="18" t="e">
        <f>+INDEX(BDD!F:F,MATCH(P1968,BDD!D:D,0))&amp;"-"&amp;INDEX(BDD!E:E,MATCH(P1968,BDD!D:D,0))</f>
        <v>#N/A</v>
      </c>
      <c r="C1968" s="360" t="s">
        <v>5398</v>
      </c>
      <c r="D1968" s="150" t="s">
        <v>18</v>
      </c>
      <c r="E1968" s="132" t="s">
        <v>7904</v>
      </c>
      <c r="F1968" s="132"/>
      <c r="G1968" s="346">
        <v>8000001921</v>
      </c>
      <c r="H1968" s="18" t="s">
        <v>7562</v>
      </c>
      <c r="I1968" s="330"/>
      <c r="J1968" s="346">
        <v>8000001921</v>
      </c>
      <c r="K1968" s="24">
        <v>44662</v>
      </c>
      <c r="L1968" s="24"/>
      <c r="M1968" s="24"/>
      <c r="N1968" s="340" t="s">
        <v>3</v>
      </c>
      <c r="O1968" s="334">
        <v>203695</v>
      </c>
      <c r="P1968" s="25" t="s">
        <v>7563</v>
      </c>
      <c r="Q1968" s="127" t="s">
        <v>6955</v>
      </c>
      <c r="R1968" s="232" t="s">
        <v>544</v>
      </c>
      <c r="S1968" s="89">
        <v>44659</v>
      </c>
      <c r="T1968" s="36">
        <v>90</v>
      </c>
      <c r="U1968" s="125" t="s">
        <v>118</v>
      </c>
      <c r="V1968" s="147" t="s">
        <v>7564</v>
      </c>
      <c r="W1968" s="88">
        <v>44672</v>
      </c>
      <c r="X1968" s="88">
        <v>44762</v>
      </c>
      <c r="Y1968" s="130" t="s">
        <v>3</v>
      </c>
      <c r="Z1968" s="133" t="s">
        <v>81</v>
      </c>
      <c r="AA1968" s="133" t="s">
        <v>1622</v>
      </c>
      <c r="AB1968" s="301">
        <v>3.3</v>
      </c>
      <c r="AC1968" s="134">
        <v>2156.1003900000001</v>
      </c>
      <c r="AD1968" s="134"/>
      <c r="AE1968" s="403">
        <f t="shared" si="144"/>
        <v>7115.1312870000002</v>
      </c>
      <c r="AF1968" s="132">
        <v>1</v>
      </c>
      <c r="AG1968" s="130" t="s">
        <v>5</v>
      </c>
      <c r="AH1968" s="130" t="s">
        <v>6388</v>
      </c>
      <c r="AI1968" s="130" t="s">
        <v>106</v>
      </c>
      <c r="AJ1968" s="295">
        <v>1</v>
      </c>
      <c r="AK1968" s="130" t="s">
        <v>6957</v>
      </c>
      <c r="AL1968" s="135" t="s">
        <v>7452</v>
      </c>
      <c r="AM1968" s="324">
        <v>2022</v>
      </c>
      <c r="AN1968" s="26">
        <v>44675</v>
      </c>
      <c r="AO1968" s="385">
        <v>44678</v>
      </c>
      <c r="AP1968" s="26">
        <v>44724</v>
      </c>
      <c r="AQ1968" s="385">
        <v>44715</v>
      </c>
      <c r="AR1968" s="24">
        <f t="shared" si="166"/>
        <v>44719</v>
      </c>
      <c r="AS1968" s="24"/>
      <c r="AT1968" s="24">
        <v>44718</v>
      </c>
      <c r="AU1968" s="418">
        <f t="shared" si="145"/>
        <v>6</v>
      </c>
      <c r="AV1968" s="418">
        <f t="shared" si="146"/>
        <v>2022</v>
      </c>
      <c r="AW1968" s="24" t="s">
        <v>7888</v>
      </c>
      <c r="AX1968" s="135" t="s">
        <v>6959</v>
      </c>
      <c r="AY1968" s="135" t="s">
        <v>6958</v>
      </c>
      <c r="AZ1968" s="24" t="s">
        <v>37</v>
      </c>
      <c r="BA1968" s="24" t="s">
        <v>6121</v>
      </c>
      <c r="BB1968" s="24" t="s">
        <v>3291</v>
      </c>
      <c r="BC1968" s="128" t="s">
        <v>7565</v>
      </c>
      <c r="BD1968" s="24">
        <v>44686</v>
      </c>
      <c r="BE1968" s="24" t="s">
        <v>7566</v>
      </c>
      <c r="BF1968" s="24" t="s">
        <v>814</v>
      </c>
      <c r="BG1968" s="135" t="s">
        <v>29</v>
      </c>
      <c r="BH1968" s="135" t="s">
        <v>6219</v>
      </c>
      <c r="BI1968" s="132" t="s">
        <v>124</v>
      </c>
      <c r="BJ1968" s="132" t="s">
        <v>143</v>
      </c>
      <c r="BK1968" s="24"/>
      <c r="BL1968" s="24"/>
      <c r="BM1968" s="24"/>
      <c r="BN1968" s="24"/>
      <c r="BO1968" s="24"/>
      <c r="BP1968" s="24"/>
      <c r="BQ1968" s="24"/>
      <c r="BR1968" s="24"/>
      <c r="BS1968" s="24"/>
      <c r="BT1968" s="24"/>
      <c r="BU1968" s="24"/>
      <c r="BV1968" s="132" t="s">
        <v>6087</v>
      </c>
      <c r="BW1968" s="132" t="s">
        <v>1622</v>
      </c>
      <c r="BX1968" s="132" t="s">
        <v>1622</v>
      </c>
      <c r="BY1968" s="132" t="s">
        <v>1622</v>
      </c>
      <c r="BZ1968" s="132" t="s">
        <v>1622</v>
      </c>
      <c r="CA1968" s="132" t="s">
        <v>1622</v>
      </c>
      <c r="CB1968" s="132" t="s">
        <v>1622</v>
      </c>
      <c r="CC1968" s="362"/>
      <c r="CG1968" s="132"/>
      <c r="CH1968" s="132"/>
      <c r="CI1968" s="24"/>
      <c r="CJ1968" s="24"/>
    </row>
    <row r="1969" spans="1:88" ht="15" customHeight="1">
      <c r="A1969" s="18">
        <v>2022</v>
      </c>
      <c r="B1969" s="18" t="e">
        <f>+INDEX(BDD!F:F,MATCH(P1969,BDD!D:D,0))&amp;"-"&amp;INDEX(BDD!E:E,MATCH(P1969,BDD!D:D,0))</f>
        <v>#N/A</v>
      </c>
      <c r="C1969" s="360" t="s">
        <v>5398</v>
      </c>
      <c r="D1969" s="150" t="s">
        <v>18</v>
      </c>
      <c r="E1969" s="132" t="s">
        <v>7904</v>
      </c>
      <c r="F1969" s="132"/>
      <c r="G1969" s="346">
        <v>8000001921</v>
      </c>
      <c r="H1969" s="18" t="s">
        <v>7567</v>
      </c>
      <c r="I1969" s="330"/>
      <c r="J1969" s="346">
        <v>8000001921</v>
      </c>
      <c r="K1969" s="24">
        <v>44662</v>
      </c>
      <c r="L1969" s="24"/>
      <c r="M1969" s="24"/>
      <c r="N1969" s="340" t="s">
        <v>3</v>
      </c>
      <c r="O1969" s="334">
        <v>203583</v>
      </c>
      <c r="P1969" s="25" t="s">
        <v>6954</v>
      </c>
      <c r="Q1969" s="127" t="s">
        <v>6955</v>
      </c>
      <c r="R1969" s="232" t="s">
        <v>544</v>
      </c>
      <c r="S1969" s="89">
        <v>44659</v>
      </c>
      <c r="T1969" s="36">
        <v>90</v>
      </c>
      <c r="U1969" s="125" t="s">
        <v>118</v>
      </c>
      <c r="V1969" s="147" t="s">
        <v>7564</v>
      </c>
      <c r="W1969" s="88">
        <v>44672</v>
      </c>
      <c r="X1969" s="88">
        <v>44762</v>
      </c>
      <c r="Y1969" s="130" t="s">
        <v>3</v>
      </c>
      <c r="Z1969" s="133" t="s">
        <v>81</v>
      </c>
      <c r="AA1969" s="133" t="s">
        <v>1622</v>
      </c>
      <c r="AB1969" s="257">
        <v>2.2240000000000002</v>
      </c>
      <c r="AC1969" s="134">
        <v>2156.1003900000001</v>
      </c>
      <c r="AD1969" s="134"/>
      <c r="AE1969" s="403">
        <f t="shared" si="144"/>
        <v>4795.1672673600006</v>
      </c>
      <c r="AF1969" s="130" t="s">
        <v>944</v>
      </c>
      <c r="AG1969" s="130" t="s">
        <v>5</v>
      </c>
      <c r="AH1969" s="130" t="s">
        <v>6388</v>
      </c>
      <c r="AI1969" s="130" t="s">
        <v>6299</v>
      </c>
      <c r="AJ1969" s="130" t="s">
        <v>944</v>
      </c>
      <c r="AK1969" s="130" t="s">
        <v>6957</v>
      </c>
      <c r="AL1969" s="135" t="s">
        <v>7452</v>
      </c>
      <c r="AM1969" s="324">
        <v>2022</v>
      </c>
      <c r="AN1969" s="26">
        <v>44675</v>
      </c>
      <c r="AO1969" s="385">
        <v>44678</v>
      </c>
      <c r="AP1969" s="26">
        <v>44724</v>
      </c>
      <c r="AQ1969" s="385">
        <v>44715</v>
      </c>
      <c r="AR1969" s="24">
        <f t="shared" si="166"/>
        <v>44719</v>
      </c>
      <c r="AS1969" s="24"/>
      <c r="AT1969" s="24">
        <v>44719</v>
      </c>
      <c r="AU1969" s="418">
        <f t="shared" si="145"/>
        <v>6</v>
      </c>
      <c r="AV1969" s="418">
        <f t="shared" si="146"/>
        <v>2022</v>
      </c>
      <c r="AW1969" s="24" t="s">
        <v>7888</v>
      </c>
      <c r="AX1969" s="135" t="s">
        <v>6959</v>
      </c>
      <c r="AY1969" s="135" t="s">
        <v>6958</v>
      </c>
      <c r="AZ1969" s="24" t="s">
        <v>37</v>
      </c>
      <c r="BA1969" s="24" t="s">
        <v>6121</v>
      </c>
      <c r="BB1969" s="24" t="s">
        <v>3291</v>
      </c>
      <c r="BC1969" s="128" t="s">
        <v>7565</v>
      </c>
      <c r="BD1969" s="24">
        <v>44686</v>
      </c>
      <c r="BE1969" s="24" t="s">
        <v>7566</v>
      </c>
      <c r="BF1969" s="24" t="s">
        <v>814</v>
      </c>
      <c r="BG1969" s="135" t="s">
        <v>29</v>
      </c>
      <c r="BH1969" s="135" t="s">
        <v>6219</v>
      </c>
      <c r="BI1969" s="132" t="s">
        <v>124</v>
      </c>
      <c r="BJ1969" s="132" t="s">
        <v>143</v>
      </c>
      <c r="BK1969" s="24"/>
      <c r="BL1969" s="24"/>
      <c r="BM1969" s="24"/>
      <c r="BN1969" s="24"/>
      <c r="BO1969" s="41"/>
      <c r="BP1969" s="41"/>
      <c r="BQ1969" s="41"/>
      <c r="BR1969" s="24"/>
      <c r="BS1969" s="41"/>
      <c r="BT1969" s="41"/>
      <c r="BU1969" s="41"/>
      <c r="BV1969" s="132" t="s">
        <v>6087</v>
      </c>
      <c r="BW1969" s="132" t="s">
        <v>1622</v>
      </c>
      <c r="BX1969" s="132" t="s">
        <v>1622</v>
      </c>
      <c r="BY1969" s="132" t="s">
        <v>1622</v>
      </c>
      <c r="BZ1969" s="132" t="s">
        <v>1622</v>
      </c>
      <c r="CA1969" s="132" t="s">
        <v>1622</v>
      </c>
      <c r="CB1969" s="132" t="s">
        <v>1622</v>
      </c>
      <c r="CC1969" s="362"/>
      <c r="CG1969" s="132"/>
      <c r="CH1969" s="132"/>
      <c r="CI1969" s="24"/>
      <c r="CJ1969" s="24"/>
    </row>
    <row r="1970" spans="1:88" ht="15" customHeight="1">
      <c r="A1970" s="18">
        <v>2022</v>
      </c>
      <c r="B1970" s="18" t="e">
        <f>+INDEX(BDD!F:F,MATCH(P1970,BDD!D:D,0))&amp;"-"&amp;INDEX(BDD!E:E,MATCH(P1970,BDD!D:D,0))</f>
        <v>#N/A</v>
      </c>
      <c r="C1970" s="360" t="s">
        <v>5398</v>
      </c>
      <c r="D1970" s="150" t="s">
        <v>18</v>
      </c>
      <c r="E1970" s="132" t="s">
        <v>7904</v>
      </c>
      <c r="F1970" s="132"/>
      <c r="G1970" s="346">
        <v>8000001921</v>
      </c>
      <c r="H1970" s="18" t="s">
        <v>7568</v>
      </c>
      <c r="I1970" s="330"/>
      <c r="J1970" s="346">
        <v>8000001921</v>
      </c>
      <c r="K1970" s="24">
        <v>44662</v>
      </c>
      <c r="L1970" s="24"/>
      <c r="M1970" s="24"/>
      <c r="N1970" s="340" t="s">
        <v>3</v>
      </c>
      <c r="O1970" s="334">
        <v>203696</v>
      </c>
      <c r="P1970" s="25" t="s">
        <v>7569</v>
      </c>
      <c r="Q1970" s="127" t="s">
        <v>6955</v>
      </c>
      <c r="R1970" s="232" t="s">
        <v>544</v>
      </c>
      <c r="S1970" s="89">
        <v>44659</v>
      </c>
      <c r="T1970" s="36">
        <v>90</v>
      </c>
      <c r="U1970" s="125" t="s">
        <v>118</v>
      </c>
      <c r="V1970" s="147" t="s">
        <v>7564</v>
      </c>
      <c r="W1970" s="88">
        <v>44672</v>
      </c>
      <c r="X1970" s="88">
        <v>44762</v>
      </c>
      <c r="Y1970" s="130" t="s">
        <v>3</v>
      </c>
      <c r="Z1970" s="133" t="s">
        <v>81</v>
      </c>
      <c r="AA1970" s="133" t="s">
        <v>1622</v>
      </c>
      <c r="AB1970" s="270">
        <v>5.3376000000000001</v>
      </c>
      <c r="AC1970" s="134">
        <v>2156.1003900000001</v>
      </c>
      <c r="AD1970" s="134"/>
      <c r="AE1970" s="403">
        <f t="shared" si="144"/>
        <v>11508.401441664</v>
      </c>
      <c r="AF1970" s="130" t="s">
        <v>944</v>
      </c>
      <c r="AG1970" s="130" t="s">
        <v>5</v>
      </c>
      <c r="AH1970" s="130" t="s">
        <v>6388</v>
      </c>
      <c r="AI1970" s="130" t="s">
        <v>7570</v>
      </c>
      <c r="AJ1970" s="130" t="s">
        <v>944</v>
      </c>
      <c r="AK1970" s="130" t="s">
        <v>6957</v>
      </c>
      <c r="AL1970" s="135" t="s">
        <v>7452</v>
      </c>
      <c r="AM1970" s="324">
        <v>2022</v>
      </c>
      <c r="AN1970" s="26">
        <v>44675</v>
      </c>
      <c r="AO1970" s="385">
        <v>44678</v>
      </c>
      <c r="AP1970" s="26">
        <v>44724</v>
      </c>
      <c r="AQ1970" s="385">
        <v>44715</v>
      </c>
      <c r="AR1970" s="24">
        <f t="shared" si="166"/>
        <v>44719</v>
      </c>
      <c r="AS1970" s="24"/>
      <c r="AT1970" s="24">
        <v>44720</v>
      </c>
      <c r="AU1970" s="418">
        <f t="shared" si="145"/>
        <v>6</v>
      </c>
      <c r="AV1970" s="418">
        <f t="shared" si="146"/>
        <v>2022</v>
      </c>
      <c r="AW1970" s="24" t="s">
        <v>7888</v>
      </c>
      <c r="AX1970" s="135" t="s">
        <v>6959</v>
      </c>
      <c r="AY1970" s="135" t="s">
        <v>6958</v>
      </c>
      <c r="AZ1970" s="24" t="s">
        <v>37</v>
      </c>
      <c r="BA1970" s="24" t="s">
        <v>6121</v>
      </c>
      <c r="BB1970" s="24" t="s">
        <v>3291</v>
      </c>
      <c r="BC1970" s="128" t="s">
        <v>7565</v>
      </c>
      <c r="BD1970" s="24">
        <v>44686</v>
      </c>
      <c r="BE1970" s="24" t="s">
        <v>7566</v>
      </c>
      <c r="BF1970" s="24" t="s">
        <v>814</v>
      </c>
      <c r="BG1970" s="135" t="s">
        <v>29</v>
      </c>
      <c r="BH1970" s="135" t="s">
        <v>6219</v>
      </c>
      <c r="BI1970" s="132" t="s">
        <v>124</v>
      </c>
      <c r="BJ1970" s="132" t="s">
        <v>143</v>
      </c>
      <c r="BK1970" s="24"/>
      <c r="BL1970" s="24"/>
      <c r="BM1970" s="24"/>
      <c r="BN1970" s="24"/>
      <c r="BO1970" s="41"/>
      <c r="BP1970" s="41"/>
      <c r="BQ1970" s="41"/>
      <c r="BR1970" s="24"/>
      <c r="BS1970" s="41"/>
      <c r="BT1970" s="41"/>
      <c r="BU1970" s="41"/>
      <c r="BV1970" s="132" t="s">
        <v>6087</v>
      </c>
      <c r="BW1970" s="132" t="s">
        <v>1622</v>
      </c>
      <c r="BX1970" s="132" t="s">
        <v>1622</v>
      </c>
      <c r="BY1970" s="132" t="s">
        <v>1622</v>
      </c>
      <c r="BZ1970" s="132" t="s">
        <v>1622</v>
      </c>
      <c r="CA1970" s="132" t="s">
        <v>1622</v>
      </c>
      <c r="CB1970" s="132" t="s">
        <v>1622</v>
      </c>
      <c r="CC1970" s="362"/>
      <c r="CG1970" s="132"/>
      <c r="CH1970" s="132"/>
      <c r="CI1970" s="24"/>
      <c r="CJ1970" s="24"/>
    </row>
    <row r="1971" spans="1:88" ht="15" customHeight="1">
      <c r="A1971" s="18">
        <v>2022</v>
      </c>
      <c r="B1971" s="18" t="str">
        <f>+INDEX(BDD!F:F,MATCH(P1971,BDD!D:D,0))&amp;"-"&amp;INDEX(BDD!E:E,MATCH(P1971,BDD!D:D,0))</f>
        <v>T-S</v>
      </c>
      <c r="C1971" s="360" t="s">
        <v>484</v>
      </c>
      <c r="D1971" s="150" t="s">
        <v>20</v>
      </c>
      <c r="E1971" s="132" t="s">
        <v>1622</v>
      </c>
      <c r="F1971" s="136"/>
      <c r="G1971" s="346"/>
      <c r="H1971" s="18" t="s">
        <v>7571</v>
      </c>
      <c r="I1971" s="329"/>
      <c r="J1971" s="346"/>
      <c r="K1971" s="24"/>
      <c r="L1971" s="24"/>
      <c r="M1971" s="24"/>
      <c r="N1971" s="340"/>
      <c r="O1971" s="334"/>
      <c r="P1971" s="25" t="s">
        <v>391</v>
      </c>
      <c r="Q1971" s="127" t="s">
        <v>303</v>
      </c>
      <c r="R1971" s="232"/>
      <c r="S1971" s="89"/>
      <c r="T1971" s="36"/>
      <c r="U1971" s="125"/>
      <c r="V1971" s="147"/>
      <c r="W1971" s="129"/>
      <c r="X1971" s="88"/>
      <c r="Y1971" s="130"/>
      <c r="Z1971" s="133"/>
      <c r="AA1971" s="133"/>
      <c r="AB1971" s="241"/>
      <c r="AC1971" s="134"/>
      <c r="AD1971" s="134"/>
      <c r="AE1971" s="403">
        <f t="shared" si="144"/>
        <v>0</v>
      </c>
      <c r="AF1971" s="132"/>
      <c r="AG1971" s="130"/>
      <c r="AH1971" s="130"/>
      <c r="AI1971" s="130"/>
      <c r="AJ1971" s="295"/>
      <c r="AK1971" s="130"/>
      <c r="AL1971" s="135"/>
      <c r="AM1971" s="322"/>
      <c r="AN1971" s="296"/>
      <c r="AO1971" s="26"/>
      <c r="AP1971" s="26"/>
      <c r="AQ1971" s="26"/>
      <c r="AR1971" s="24"/>
      <c r="AS1971" s="24"/>
      <c r="AT1971" s="24"/>
      <c r="AU1971" s="418">
        <f t="shared" si="145"/>
        <v>1</v>
      </c>
      <c r="AV1971" s="418">
        <f t="shared" si="146"/>
        <v>1900</v>
      </c>
      <c r="AW1971" s="24"/>
      <c r="AX1971" s="135"/>
      <c r="AY1971" s="135"/>
      <c r="AZ1971" s="135"/>
      <c r="BA1971" s="215"/>
      <c r="BB1971" s="24"/>
      <c r="BC1971" s="288"/>
      <c r="BD1971" s="24"/>
      <c r="BE1971" s="292"/>
      <c r="BF1971" s="292"/>
      <c r="BG1971" s="135"/>
      <c r="BH1971" s="212"/>
      <c r="BI1971" s="314"/>
      <c r="BJ1971" s="314"/>
      <c r="BK1971" s="24"/>
      <c r="BL1971" s="24"/>
      <c r="BM1971" s="24"/>
      <c r="BN1971" s="24"/>
      <c r="BO1971" s="136"/>
      <c r="BP1971" s="136"/>
      <c r="BQ1971" s="136"/>
      <c r="BR1971" s="24"/>
      <c r="BS1971" s="136"/>
      <c r="BT1971" s="136"/>
      <c r="BU1971" s="136"/>
      <c r="BV1971" s="132"/>
      <c r="BW1971" s="132"/>
      <c r="BX1971" s="132"/>
      <c r="BY1971" s="132"/>
      <c r="BZ1971" s="132"/>
      <c r="CA1971" s="132"/>
      <c r="CB1971" s="132"/>
      <c r="CC1971" s="378"/>
      <c r="CG1971" s="136"/>
      <c r="CH1971" s="136"/>
      <c r="CI1971" s="24"/>
      <c r="CJ1971" s="24"/>
    </row>
    <row r="1972" spans="1:88" ht="15" customHeight="1">
      <c r="A1972" s="18">
        <v>2022</v>
      </c>
      <c r="B1972" s="18" t="str">
        <f>+INDEX(BDD!F:F,MATCH(P1972,BDD!D:D,0))&amp;"-"&amp;INDEX(BDD!E:E,MATCH(P1972,BDD!D:D,0))</f>
        <v>T-S</v>
      </c>
      <c r="C1972" s="125" t="s">
        <v>484</v>
      </c>
      <c r="D1972" s="150" t="s">
        <v>77</v>
      </c>
      <c r="E1972" s="132" t="s">
        <v>51</v>
      </c>
      <c r="F1972" s="67" t="s">
        <v>7702</v>
      </c>
      <c r="G1972" s="346">
        <v>8000001952</v>
      </c>
      <c r="H1972" s="18" t="s">
        <v>7572</v>
      </c>
      <c r="I1972" s="329" t="s">
        <v>7573</v>
      </c>
      <c r="J1972" s="346">
        <v>8000001952</v>
      </c>
      <c r="K1972" s="24">
        <v>44693</v>
      </c>
      <c r="L1972" s="24">
        <v>44705</v>
      </c>
      <c r="M1972" s="24">
        <v>44706</v>
      </c>
      <c r="N1972" s="339" t="s">
        <v>486</v>
      </c>
      <c r="O1972" s="334">
        <v>208067</v>
      </c>
      <c r="P1972" s="25" t="s">
        <v>383</v>
      </c>
      <c r="Q1972" s="127" t="s">
        <v>303</v>
      </c>
      <c r="R1972" s="401" t="s">
        <v>7574</v>
      </c>
      <c r="S1972" s="89">
        <v>44657</v>
      </c>
      <c r="T1972" s="36">
        <v>30</v>
      </c>
      <c r="U1972" s="125" t="s">
        <v>131</v>
      </c>
      <c r="V1972" s="22" t="s">
        <v>7969</v>
      </c>
      <c r="W1972" s="89">
        <v>44697</v>
      </c>
      <c r="X1972" s="89">
        <v>44727</v>
      </c>
      <c r="Y1972" s="130" t="s">
        <v>3</v>
      </c>
      <c r="Z1972" s="133" t="s">
        <v>60</v>
      </c>
      <c r="AA1972" s="133" t="s">
        <v>1622</v>
      </c>
      <c r="AB1972" s="241">
        <v>297</v>
      </c>
      <c r="AC1972" s="134">
        <v>1050</v>
      </c>
      <c r="AD1972" s="134">
        <v>47.18</v>
      </c>
      <c r="AE1972" s="403">
        <f t="shared" si="144"/>
        <v>311850</v>
      </c>
      <c r="AF1972" s="132">
        <v>11</v>
      </c>
      <c r="AG1972" s="130" t="s">
        <v>5</v>
      </c>
      <c r="AH1972" s="130"/>
      <c r="AI1972" s="130" t="s">
        <v>34</v>
      </c>
      <c r="AJ1972" s="130" t="s">
        <v>944</v>
      </c>
      <c r="AK1972" s="130" t="s">
        <v>6704</v>
      </c>
      <c r="AL1972" s="135" t="s">
        <v>7493</v>
      </c>
      <c r="AM1972" s="324">
        <v>2022</v>
      </c>
      <c r="AN1972" s="296">
        <v>44704</v>
      </c>
      <c r="AO1972" s="385">
        <v>44689</v>
      </c>
      <c r="AP1972" s="26">
        <v>44708</v>
      </c>
      <c r="AQ1972" s="385">
        <v>44698</v>
      </c>
      <c r="AR1972" s="24">
        <f t="shared" si="166"/>
        <v>44702</v>
      </c>
      <c r="AS1972" s="24">
        <v>44704</v>
      </c>
      <c r="AT1972" s="24">
        <v>44705</v>
      </c>
      <c r="AU1972" s="418">
        <f t="shared" si="145"/>
        <v>5</v>
      </c>
      <c r="AV1972" s="418">
        <f t="shared" si="146"/>
        <v>2022</v>
      </c>
      <c r="AW1972" s="24" t="s">
        <v>7888</v>
      </c>
      <c r="AX1972" s="135" t="s">
        <v>6982</v>
      </c>
      <c r="AY1972" s="135" t="s">
        <v>7360</v>
      </c>
      <c r="AZ1972" s="135" t="s">
        <v>9</v>
      </c>
      <c r="BA1972" s="215" t="s">
        <v>7130</v>
      </c>
      <c r="BB1972" s="24" t="s">
        <v>3264</v>
      </c>
      <c r="BC1972" s="135" t="s">
        <v>7915</v>
      </c>
      <c r="BD1972" s="24">
        <v>44690</v>
      </c>
      <c r="BE1972" s="135" t="s">
        <v>7881</v>
      </c>
      <c r="BF1972" s="135" t="s">
        <v>7881</v>
      </c>
      <c r="BG1972" s="135" t="s">
        <v>29</v>
      </c>
      <c r="BH1972" s="212" t="s">
        <v>6219</v>
      </c>
      <c r="BI1972" s="317" t="s">
        <v>124</v>
      </c>
      <c r="BJ1972" s="314" t="s">
        <v>148</v>
      </c>
      <c r="BK1972" s="24"/>
      <c r="BL1972" s="24"/>
      <c r="BM1972" s="24"/>
      <c r="BN1972" s="24">
        <v>44698</v>
      </c>
      <c r="BO1972" s="24">
        <f>AQ1972+14</f>
        <v>44712</v>
      </c>
      <c r="BP1972" s="41"/>
      <c r="BQ1972" s="132" t="s">
        <v>7972</v>
      </c>
      <c r="BR1972" s="24">
        <v>44697</v>
      </c>
      <c r="BS1972" s="132" t="s">
        <v>38</v>
      </c>
      <c r="BT1972" s="132" t="s">
        <v>11</v>
      </c>
      <c r="BU1972" s="136"/>
      <c r="BV1972" s="132" t="s">
        <v>6087</v>
      </c>
      <c r="BW1972" s="132" t="s">
        <v>1622</v>
      </c>
      <c r="BX1972" s="132" t="s">
        <v>1622</v>
      </c>
      <c r="BY1972" s="132" t="s">
        <v>1622</v>
      </c>
      <c r="BZ1972" s="132" t="s">
        <v>1622</v>
      </c>
      <c r="CA1972" s="132" t="s">
        <v>1622</v>
      </c>
      <c r="CB1972" s="132" t="s">
        <v>1622</v>
      </c>
      <c r="CC1972" s="132" t="s">
        <v>7921</v>
      </c>
      <c r="CG1972" s="136"/>
      <c r="CH1972" s="136"/>
      <c r="CI1972" s="24"/>
      <c r="CJ1972" s="24"/>
    </row>
    <row r="1973" spans="1:88" ht="15" customHeight="1">
      <c r="A1973" s="18">
        <v>2022</v>
      </c>
      <c r="B1973" s="18" t="str">
        <f>+INDEX(BDD!F:F,MATCH(P1973,BDD!D:D,0))&amp;"-"&amp;INDEX(BDD!E:E,MATCH(P1973,BDD!D:D,0))</f>
        <v>T-S</v>
      </c>
      <c r="C1973" s="360" t="s">
        <v>5398</v>
      </c>
      <c r="D1973" s="150" t="s">
        <v>18</v>
      </c>
      <c r="E1973" s="132" t="s">
        <v>51</v>
      </c>
      <c r="F1973" s="67" t="s">
        <v>7702</v>
      </c>
      <c r="G1973" s="346">
        <v>8000002011</v>
      </c>
      <c r="H1973" s="18" t="s">
        <v>7931</v>
      </c>
      <c r="I1973" s="329" t="s">
        <v>7573</v>
      </c>
      <c r="J1973" s="346">
        <v>8000002011</v>
      </c>
      <c r="K1973" s="24">
        <v>44698</v>
      </c>
      <c r="L1973" s="24"/>
      <c r="M1973" s="24"/>
      <c r="N1973" s="339" t="s">
        <v>3</v>
      </c>
      <c r="O1973" s="334">
        <v>208067</v>
      </c>
      <c r="P1973" s="25" t="s">
        <v>383</v>
      </c>
      <c r="Q1973" s="127" t="s">
        <v>303</v>
      </c>
      <c r="R1973" s="401" t="s">
        <v>7574</v>
      </c>
      <c r="S1973" s="89">
        <v>44657</v>
      </c>
      <c r="T1973" s="36">
        <v>30</v>
      </c>
      <c r="U1973" s="125" t="s">
        <v>131</v>
      </c>
      <c r="V1973" s="22" t="s">
        <v>8083</v>
      </c>
      <c r="W1973" s="88">
        <v>44708</v>
      </c>
      <c r="X1973" s="88">
        <v>44738</v>
      </c>
      <c r="Y1973" s="130" t="s">
        <v>3</v>
      </c>
      <c r="Z1973" s="133" t="s">
        <v>60</v>
      </c>
      <c r="AA1973" s="133" t="s">
        <v>1622</v>
      </c>
      <c r="AB1973" s="241">
        <v>54</v>
      </c>
      <c r="AC1973" s="134">
        <v>1050</v>
      </c>
      <c r="AD1973" s="134">
        <v>30.11</v>
      </c>
      <c r="AE1973" s="403">
        <f t="shared" si="144"/>
        <v>56700</v>
      </c>
      <c r="AF1973" s="132">
        <v>2</v>
      </c>
      <c r="AG1973" s="130" t="s">
        <v>5</v>
      </c>
      <c r="AH1973" s="130"/>
      <c r="AI1973" s="130" t="s">
        <v>34</v>
      </c>
      <c r="AJ1973" s="130" t="s">
        <v>944</v>
      </c>
      <c r="AK1973" s="130" t="s">
        <v>6704</v>
      </c>
      <c r="AL1973" s="135" t="s">
        <v>7493</v>
      </c>
      <c r="AM1973" s="324">
        <v>2022</v>
      </c>
      <c r="AN1973" s="296">
        <v>44704</v>
      </c>
      <c r="AO1973" s="425">
        <v>44708</v>
      </c>
      <c r="AP1973" s="26">
        <v>44708</v>
      </c>
      <c r="AQ1973" s="26">
        <v>44713</v>
      </c>
      <c r="AR1973" s="24">
        <f>AQ1973+4</f>
        <v>44717</v>
      </c>
      <c r="AS1973" s="24"/>
      <c r="AT1973" s="24">
        <v>44718</v>
      </c>
      <c r="AU1973" s="418">
        <f t="shared" si="145"/>
        <v>6</v>
      </c>
      <c r="AV1973" s="418">
        <f t="shared" si="146"/>
        <v>2022</v>
      </c>
      <c r="AW1973" s="24" t="s">
        <v>7888</v>
      </c>
      <c r="AX1973" s="135" t="s">
        <v>6982</v>
      </c>
      <c r="AY1973" s="135" t="s">
        <v>7360</v>
      </c>
      <c r="AZ1973" s="135" t="s">
        <v>9</v>
      </c>
      <c r="BA1973" s="215" t="s">
        <v>7130</v>
      </c>
      <c r="BB1973" s="24" t="s">
        <v>3264</v>
      </c>
      <c r="BC1973" s="135" t="s">
        <v>8029</v>
      </c>
      <c r="BD1973" s="24">
        <v>44708</v>
      </c>
      <c r="BE1973" s="135" t="s">
        <v>8046</v>
      </c>
      <c r="BF1973" s="135" t="s">
        <v>8046</v>
      </c>
      <c r="BG1973" s="135" t="s">
        <v>64</v>
      </c>
      <c r="BH1973" s="212" t="s">
        <v>6414</v>
      </c>
      <c r="BI1973" s="317" t="s">
        <v>124</v>
      </c>
      <c r="BJ1973" s="314" t="s">
        <v>148</v>
      </c>
      <c r="BK1973" s="24"/>
      <c r="BL1973" s="24"/>
      <c r="BM1973" s="24"/>
      <c r="BN1973" s="24"/>
      <c r="BO1973" s="24">
        <f>AQ1973+15</f>
        <v>44728</v>
      </c>
      <c r="BP1973" s="41"/>
      <c r="BQ1973" s="24" t="s">
        <v>8098</v>
      </c>
      <c r="BR1973" s="24">
        <v>44709</v>
      </c>
      <c r="BS1973" s="24" t="s">
        <v>38</v>
      </c>
      <c r="BT1973" s="24" t="s">
        <v>11</v>
      </c>
      <c r="BU1973" s="136"/>
      <c r="BV1973" s="132" t="s">
        <v>6087</v>
      </c>
      <c r="BW1973" s="132" t="s">
        <v>1622</v>
      </c>
      <c r="BX1973" s="132" t="s">
        <v>1622</v>
      </c>
      <c r="BY1973" s="132" t="s">
        <v>1622</v>
      </c>
      <c r="BZ1973" s="132" t="s">
        <v>1622</v>
      </c>
      <c r="CA1973" s="132" t="s">
        <v>1622</v>
      </c>
      <c r="CB1973" s="132" t="s">
        <v>1622</v>
      </c>
      <c r="CC1973" s="132" t="s">
        <v>7922</v>
      </c>
      <c r="CG1973" s="136"/>
      <c r="CH1973" s="136"/>
      <c r="CI1973" s="24"/>
      <c r="CJ1973" s="24"/>
    </row>
    <row r="1974" spans="1:88" ht="15" customHeight="1">
      <c r="A1974" s="18">
        <v>2022</v>
      </c>
      <c r="B1974" s="18" t="s">
        <v>6191</v>
      </c>
      <c r="C1974" s="125" t="s">
        <v>484</v>
      </c>
      <c r="D1974" s="150" t="s">
        <v>77</v>
      </c>
      <c r="E1974" s="132" t="s">
        <v>51</v>
      </c>
      <c r="F1974" s="67"/>
      <c r="G1974" s="346">
        <v>8000002012</v>
      </c>
      <c r="H1974" s="18" t="s">
        <v>7575</v>
      </c>
      <c r="I1974" s="329" t="s">
        <v>7573</v>
      </c>
      <c r="J1974" s="346">
        <v>8000002012</v>
      </c>
      <c r="K1974" s="24">
        <v>44698</v>
      </c>
      <c r="L1974" s="24">
        <v>44708</v>
      </c>
      <c r="M1974" s="24">
        <v>44711</v>
      </c>
      <c r="N1974" s="339" t="s">
        <v>486</v>
      </c>
      <c r="O1974" s="334">
        <v>208067</v>
      </c>
      <c r="P1974" s="25" t="s">
        <v>383</v>
      </c>
      <c r="Q1974" s="127" t="s">
        <v>303</v>
      </c>
      <c r="R1974" s="401" t="s">
        <v>7574</v>
      </c>
      <c r="S1974" s="89">
        <v>44657</v>
      </c>
      <c r="T1974" s="36">
        <v>30</v>
      </c>
      <c r="U1974" s="125" t="s">
        <v>131</v>
      </c>
      <c r="V1974" s="22" t="s">
        <v>8025</v>
      </c>
      <c r="W1974" s="89">
        <v>44701</v>
      </c>
      <c r="X1974" s="89">
        <v>44731</v>
      </c>
      <c r="Y1974" s="130" t="s">
        <v>3</v>
      </c>
      <c r="Z1974" s="133" t="s">
        <v>60</v>
      </c>
      <c r="AA1974" s="133" t="s">
        <v>1622</v>
      </c>
      <c r="AB1974" s="241">
        <v>405</v>
      </c>
      <c r="AC1974" s="134">
        <v>1050</v>
      </c>
      <c r="AD1974" s="134">
        <v>47.18</v>
      </c>
      <c r="AE1974" s="403">
        <f t="shared" si="144"/>
        <v>425250</v>
      </c>
      <c r="AF1974" s="132">
        <v>15</v>
      </c>
      <c r="AG1974" s="130" t="s">
        <v>5</v>
      </c>
      <c r="AH1974" s="130"/>
      <c r="AI1974" s="130" t="s">
        <v>34</v>
      </c>
      <c r="AJ1974" s="130" t="s">
        <v>944</v>
      </c>
      <c r="AK1974" s="130" t="s">
        <v>6704</v>
      </c>
      <c r="AL1974" s="135" t="s">
        <v>7493</v>
      </c>
      <c r="AM1974" s="322">
        <v>2022</v>
      </c>
      <c r="AN1974" s="296">
        <v>44704</v>
      </c>
      <c r="AO1974" s="385">
        <v>44701</v>
      </c>
      <c r="AP1974" s="26">
        <v>44708</v>
      </c>
      <c r="AQ1974" s="385">
        <v>44705</v>
      </c>
      <c r="AR1974" s="24">
        <f t="shared" si="166"/>
        <v>44709</v>
      </c>
      <c r="AS1974" s="24">
        <v>44707</v>
      </c>
      <c r="AT1974" s="24">
        <v>44708</v>
      </c>
      <c r="AU1974" s="418">
        <f t="shared" si="145"/>
        <v>5</v>
      </c>
      <c r="AV1974" s="418">
        <f t="shared" si="146"/>
        <v>2022</v>
      </c>
      <c r="AW1974" s="24" t="s">
        <v>7888</v>
      </c>
      <c r="AX1974" s="135" t="s">
        <v>6982</v>
      </c>
      <c r="AY1974" s="135" t="s">
        <v>7360</v>
      </c>
      <c r="AZ1974" s="135" t="s">
        <v>9</v>
      </c>
      <c r="BA1974" s="215" t="s">
        <v>7130</v>
      </c>
      <c r="BB1974" s="24" t="s">
        <v>3264</v>
      </c>
      <c r="BC1974" s="135" t="s">
        <v>8021</v>
      </c>
      <c r="BD1974" s="24">
        <v>44701</v>
      </c>
      <c r="BE1974" s="135" t="s">
        <v>947</v>
      </c>
      <c r="BF1974" s="135" t="s">
        <v>947</v>
      </c>
      <c r="BG1974" s="135" t="s">
        <v>29</v>
      </c>
      <c r="BH1974" s="212" t="s">
        <v>6219</v>
      </c>
      <c r="BI1974" s="317" t="s">
        <v>124</v>
      </c>
      <c r="BJ1974" s="314" t="s">
        <v>148</v>
      </c>
      <c r="BK1974" s="24"/>
      <c r="BL1974" s="24"/>
      <c r="BM1974" s="24"/>
      <c r="BN1974" s="24">
        <v>44706</v>
      </c>
      <c r="BO1974" s="24">
        <f>AQ1974+14</f>
        <v>44719</v>
      </c>
      <c r="BP1974" s="41"/>
      <c r="BQ1974" s="24" t="s">
        <v>8026</v>
      </c>
      <c r="BR1974" s="24">
        <v>44702</v>
      </c>
      <c r="BS1974" s="24" t="s">
        <v>38</v>
      </c>
      <c r="BT1974" s="24" t="s">
        <v>11</v>
      </c>
      <c r="BU1974" s="24"/>
      <c r="BV1974" s="132" t="s">
        <v>6087</v>
      </c>
      <c r="BW1974" s="132" t="s">
        <v>1622</v>
      </c>
      <c r="BX1974" s="132" t="s">
        <v>1622</v>
      </c>
      <c r="BY1974" s="132" t="s">
        <v>1622</v>
      </c>
      <c r="BZ1974" s="132" t="s">
        <v>1622</v>
      </c>
      <c r="CA1974" s="132" t="s">
        <v>1622</v>
      </c>
      <c r="CB1974" s="132" t="s">
        <v>1622</v>
      </c>
      <c r="CC1974" s="380"/>
      <c r="CG1974" s="136"/>
      <c r="CH1974" s="136"/>
      <c r="CI1974" s="24"/>
      <c r="CJ1974" s="24"/>
    </row>
    <row r="1975" spans="1:88" ht="15" customHeight="1">
      <c r="A1975" s="18">
        <v>2022</v>
      </c>
      <c r="B1975" s="18" t="s">
        <v>6191</v>
      </c>
      <c r="C1975" s="360" t="s">
        <v>5398</v>
      </c>
      <c r="D1975" s="150" t="s">
        <v>18</v>
      </c>
      <c r="E1975" s="132" t="s">
        <v>51</v>
      </c>
      <c r="F1975" s="67"/>
      <c r="G1975" s="346">
        <v>8000002010</v>
      </c>
      <c r="H1975" s="18" t="s">
        <v>7576</v>
      </c>
      <c r="I1975" s="329" t="s">
        <v>7573</v>
      </c>
      <c r="J1975" s="346">
        <v>8000002010</v>
      </c>
      <c r="K1975" s="24">
        <v>44698</v>
      </c>
      <c r="L1975" s="24"/>
      <c r="M1975" s="24"/>
      <c r="N1975" s="339" t="s">
        <v>3</v>
      </c>
      <c r="O1975" s="334">
        <v>208067</v>
      </c>
      <c r="P1975" s="25" t="s">
        <v>383</v>
      </c>
      <c r="Q1975" s="127" t="s">
        <v>303</v>
      </c>
      <c r="R1975" s="401" t="s">
        <v>7584</v>
      </c>
      <c r="S1975" s="89">
        <v>44657</v>
      </c>
      <c r="T1975" s="36">
        <v>30</v>
      </c>
      <c r="U1975" s="125" t="s">
        <v>131</v>
      </c>
      <c r="V1975" s="22" t="s">
        <v>8081</v>
      </c>
      <c r="W1975" s="24">
        <v>44708</v>
      </c>
      <c r="X1975" s="88">
        <v>44738</v>
      </c>
      <c r="Y1975" s="130" t="s">
        <v>3</v>
      </c>
      <c r="Z1975" s="133" t="s">
        <v>60</v>
      </c>
      <c r="AA1975" s="133" t="s">
        <v>1622</v>
      </c>
      <c r="AB1975" s="241">
        <v>216</v>
      </c>
      <c r="AC1975" s="134">
        <v>1050</v>
      </c>
      <c r="AD1975" s="134">
        <v>44.41</v>
      </c>
      <c r="AE1975" s="403">
        <f t="shared" si="144"/>
        <v>226800</v>
      </c>
      <c r="AF1975" s="132">
        <v>8</v>
      </c>
      <c r="AG1975" s="130" t="s">
        <v>5</v>
      </c>
      <c r="AH1975" s="130"/>
      <c r="AI1975" s="130" t="s">
        <v>34</v>
      </c>
      <c r="AJ1975" s="130" t="s">
        <v>944</v>
      </c>
      <c r="AK1975" s="130" t="s">
        <v>6704</v>
      </c>
      <c r="AL1975" s="135" t="s">
        <v>7493</v>
      </c>
      <c r="AM1975" s="322">
        <v>2022</v>
      </c>
      <c r="AN1975" s="296">
        <v>44704</v>
      </c>
      <c r="AO1975" s="385">
        <v>44710</v>
      </c>
      <c r="AP1975" s="26">
        <v>44708</v>
      </c>
      <c r="AQ1975" s="385">
        <v>44715</v>
      </c>
      <c r="AR1975" s="24">
        <f t="shared" si="166"/>
        <v>44719</v>
      </c>
      <c r="AS1975" s="41"/>
      <c r="AT1975" s="24">
        <v>44719</v>
      </c>
      <c r="AU1975" s="418">
        <f t="shared" si="145"/>
        <v>6</v>
      </c>
      <c r="AV1975" s="418">
        <f t="shared" si="146"/>
        <v>2022</v>
      </c>
      <c r="AW1975" s="24" t="s">
        <v>7888</v>
      </c>
      <c r="AX1975" s="135" t="s">
        <v>6982</v>
      </c>
      <c r="AY1975" s="135" t="s">
        <v>7360</v>
      </c>
      <c r="AZ1975" s="135" t="s">
        <v>37</v>
      </c>
      <c r="BA1975" s="215" t="s">
        <v>6121</v>
      </c>
      <c r="BB1975" s="24" t="s">
        <v>3264</v>
      </c>
      <c r="BC1975" s="135" t="s">
        <v>7889</v>
      </c>
      <c r="BD1975" s="24">
        <v>44704</v>
      </c>
      <c r="BE1975" s="24" t="s">
        <v>814</v>
      </c>
      <c r="BF1975" s="24" t="s">
        <v>814</v>
      </c>
      <c r="BG1975" s="135" t="s">
        <v>64</v>
      </c>
      <c r="BH1975" s="212" t="s">
        <v>6414</v>
      </c>
      <c r="BI1975" s="317" t="s">
        <v>124</v>
      </c>
      <c r="BJ1975" s="314" t="s">
        <v>148</v>
      </c>
      <c r="BK1975" s="24"/>
      <c r="BL1975" s="24"/>
      <c r="BM1975" s="24"/>
      <c r="BN1975" s="24"/>
      <c r="BO1975" s="24">
        <f>AQ1975+15</f>
        <v>44730</v>
      </c>
      <c r="BP1975" s="41"/>
      <c r="BQ1975" s="24"/>
      <c r="BR1975" s="24"/>
      <c r="BS1975" s="24"/>
      <c r="BT1975" s="24"/>
      <c r="BU1975" s="24"/>
      <c r="BV1975" s="132" t="s">
        <v>6087</v>
      </c>
      <c r="BW1975" s="132" t="s">
        <v>1622</v>
      </c>
      <c r="BX1975" s="132" t="s">
        <v>1622</v>
      </c>
      <c r="BY1975" s="132" t="s">
        <v>1622</v>
      </c>
      <c r="BZ1975" s="132" t="s">
        <v>1622</v>
      </c>
      <c r="CA1975" s="132" t="s">
        <v>1622</v>
      </c>
      <c r="CB1975" s="132" t="s">
        <v>1622</v>
      </c>
      <c r="CC1975" s="380"/>
      <c r="CG1975" s="136"/>
      <c r="CH1975" s="136"/>
      <c r="CI1975" s="24"/>
      <c r="CJ1975" s="24"/>
    </row>
    <row r="1976" spans="1:88" ht="15" customHeight="1">
      <c r="A1976" s="18">
        <v>2022</v>
      </c>
      <c r="B1976" s="18" t="s">
        <v>6191</v>
      </c>
      <c r="C1976" s="360" t="s">
        <v>5398</v>
      </c>
      <c r="D1976" s="150" t="s">
        <v>18</v>
      </c>
      <c r="E1976" s="132" t="s">
        <v>51</v>
      </c>
      <c r="F1976" s="67"/>
      <c r="G1976" s="346">
        <v>8000002013</v>
      </c>
      <c r="H1976" s="18" t="s">
        <v>7577</v>
      </c>
      <c r="I1976" s="329" t="s">
        <v>7573</v>
      </c>
      <c r="J1976" s="346">
        <v>8000002013</v>
      </c>
      <c r="K1976" s="24">
        <v>44698</v>
      </c>
      <c r="L1976" s="24"/>
      <c r="M1976" s="24"/>
      <c r="N1976" s="339" t="s">
        <v>3</v>
      </c>
      <c r="O1976" s="334">
        <v>208067</v>
      </c>
      <c r="P1976" s="25" t="s">
        <v>383</v>
      </c>
      <c r="Q1976" s="127" t="s">
        <v>303</v>
      </c>
      <c r="R1976" s="401" t="s">
        <v>7584</v>
      </c>
      <c r="S1976" s="89">
        <v>44657</v>
      </c>
      <c r="T1976" s="36">
        <v>30</v>
      </c>
      <c r="U1976" s="125" t="s">
        <v>131</v>
      </c>
      <c r="V1976" s="22" t="s">
        <v>8084</v>
      </c>
      <c r="W1976" s="24">
        <v>44708</v>
      </c>
      <c r="X1976" s="24">
        <v>44738</v>
      </c>
      <c r="Y1976" s="130" t="s">
        <v>3</v>
      </c>
      <c r="Z1976" s="133" t="s">
        <v>60</v>
      </c>
      <c r="AA1976" s="133" t="s">
        <v>1622</v>
      </c>
      <c r="AB1976" s="241">
        <v>54</v>
      </c>
      <c r="AC1976" s="134">
        <v>1050</v>
      </c>
      <c r="AD1976" s="134">
        <v>44.41</v>
      </c>
      <c r="AE1976" s="403">
        <f t="shared" si="144"/>
        <v>56700</v>
      </c>
      <c r="AF1976" s="132">
        <v>2</v>
      </c>
      <c r="AG1976" s="130" t="s">
        <v>5</v>
      </c>
      <c r="AH1976" s="130"/>
      <c r="AI1976" s="130" t="s">
        <v>34</v>
      </c>
      <c r="AJ1976" s="130" t="s">
        <v>944</v>
      </c>
      <c r="AK1976" s="130" t="s">
        <v>6704</v>
      </c>
      <c r="AL1976" s="135" t="s">
        <v>7493</v>
      </c>
      <c r="AM1976" s="322">
        <v>2022</v>
      </c>
      <c r="AN1976" s="296">
        <v>44704</v>
      </c>
      <c r="AO1976" s="385">
        <v>44710</v>
      </c>
      <c r="AP1976" s="26">
        <v>44708</v>
      </c>
      <c r="AQ1976" s="385">
        <v>44715</v>
      </c>
      <c r="AR1976" s="24">
        <f t="shared" si="166"/>
        <v>44719</v>
      </c>
      <c r="AS1976" s="41"/>
      <c r="AT1976" s="24">
        <v>44720</v>
      </c>
      <c r="AU1976" s="418">
        <f t="shared" si="145"/>
        <v>6</v>
      </c>
      <c r="AV1976" s="418">
        <f t="shared" si="146"/>
        <v>2022</v>
      </c>
      <c r="AW1976" s="24" t="s">
        <v>7888</v>
      </c>
      <c r="AX1976" s="135" t="s">
        <v>6982</v>
      </c>
      <c r="AY1976" s="135" t="s">
        <v>7360</v>
      </c>
      <c r="AZ1976" s="135" t="s">
        <v>37</v>
      </c>
      <c r="BA1976" s="215" t="s">
        <v>6121</v>
      </c>
      <c r="BB1976" s="24" t="s">
        <v>3264</v>
      </c>
      <c r="BC1976" s="135" t="s">
        <v>8030</v>
      </c>
      <c r="BD1976" s="24">
        <v>44704</v>
      </c>
      <c r="BE1976" s="135" t="s">
        <v>814</v>
      </c>
      <c r="BF1976" s="135" t="s">
        <v>814</v>
      </c>
      <c r="BG1976" s="135" t="s">
        <v>64</v>
      </c>
      <c r="BH1976" s="212" t="s">
        <v>6414</v>
      </c>
      <c r="BI1976" s="317" t="s">
        <v>124</v>
      </c>
      <c r="BJ1976" s="314" t="s">
        <v>148</v>
      </c>
      <c r="BK1976" s="24"/>
      <c r="BL1976" s="24"/>
      <c r="BM1976" s="24"/>
      <c r="BN1976" s="24"/>
      <c r="BO1976" s="24">
        <f>AQ1976+15</f>
        <v>44730</v>
      </c>
      <c r="BP1976" s="41"/>
      <c r="BQ1976" s="24"/>
      <c r="BR1976" s="24"/>
      <c r="BS1976" s="24"/>
      <c r="BT1976" s="24"/>
      <c r="BU1976" s="24"/>
      <c r="BV1976" s="132" t="s">
        <v>6087</v>
      </c>
      <c r="BW1976" s="132" t="s">
        <v>1622</v>
      </c>
      <c r="BX1976" s="132" t="s">
        <v>1622</v>
      </c>
      <c r="BY1976" s="132" t="s">
        <v>1622</v>
      </c>
      <c r="BZ1976" s="132" t="s">
        <v>1622</v>
      </c>
      <c r="CA1976" s="132" t="s">
        <v>1622</v>
      </c>
      <c r="CB1976" s="132" t="s">
        <v>1622</v>
      </c>
      <c r="CC1976" s="380"/>
      <c r="CG1976" s="136"/>
      <c r="CH1976" s="136"/>
      <c r="CI1976" s="24"/>
      <c r="CJ1976" s="24"/>
    </row>
    <row r="1977" spans="1:88" ht="15" customHeight="1">
      <c r="A1977" s="18">
        <v>2022</v>
      </c>
      <c r="B1977" s="18" t="str">
        <f>+INDEX(BDD!F:F,MATCH(P1977,BDD!D:D,0))&amp;"-"&amp;INDEX(BDD!E:E,MATCH(P1977,BDD!D:D,0))</f>
        <v>O-S</v>
      </c>
      <c r="C1977" s="360" t="s">
        <v>5398</v>
      </c>
      <c r="D1977" s="150" t="s">
        <v>3</v>
      </c>
      <c r="E1977" s="132" t="s">
        <v>51</v>
      </c>
      <c r="F1977" s="67"/>
      <c r="G1977" s="346">
        <v>8000001950</v>
      </c>
      <c r="H1977" s="18" t="s">
        <v>7578</v>
      </c>
      <c r="I1977" s="329" t="s">
        <v>7579</v>
      </c>
      <c r="J1977" s="346">
        <v>8000001950</v>
      </c>
      <c r="K1977" s="24">
        <v>44676</v>
      </c>
      <c r="L1977" s="24"/>
      <c r="M1977" s="24"/>
      <c r="N1977" s="339" t="s">
        <v>3</v>
      </c>
      <c r="O1977" s="334">
        <v>203553</v>
      </c>
      <c r="P1977" s="25" t="s">
        <v>386</v>
      </c>
      <c r="Q1977" s="127" t="s">
        <v>303</v>
      </c>
      <c r="R1977" s="401" t="s">
        <v>7580</v>
      </c>
      <c r="S1977" s="89">
        <v>44657</v>
      </c>
      <c r="T1977" s="36" t="s">
        <v>19</v>
      </c>
      <c r="U1977" s="125"/>
      <c r="V1977" s="147"/>
      <c r="W1977" s="129"/>
      <c r="X1977" s="88"/>
      <c r="Y1977" s="130" t="s">
        <v>3</v>
      </c>
      <c r="Z1977" s="133" t="s">
        <v>60</v>
      </c>
      <c r="AA1977" s="133" t="s">
        <v>1622</v>
      </c>
      <c r="AB1977" s="241">
        <v>81</v>
      </c>
      <c r="AC1977" s="134">
        <v>956.1</v>
      </c>
      <c r="AD1977" s="134"/>
      <c r="AE1977" s="403">
        <f t="shared" si="144"/>
        <v>77444.100000000006</v>
      </c>
      <c r="AF1977" s="132">
        <v>3</v>
      </c>
      <c r="AG1977" s="130" t="s">
        <v>5</v>
      </c>
      <c r="AH1977" s="130"/>
      <c r="AI1977" s="130" t="s">
        <v>100</v>
      </c>
      <c r="AJ1977" s="130" t="s">
        <v>944</v>
      </c>
      <c r="AK1977" s="130" t="s">
        <v>5634</v>
      </c>
      <c r="AL1977" s="135" t="s">
        <v>7493</v>
      </c>
      <c r="AM1977" s="314">
        <v>2022</v>
      </c>
      <c r="AN1977" s="296">
        <v>44704</v>
      </c>
      <c r="AO1977" s="385">
        <v>44721</v>
      </c>
      <c r="AP1977" s="26">
        <v>44721</v>
      </c>
      <c r="AQ1977" s="385">
        <f>AO1977+20</f>
        <v>44741</v>
      </c>
      <c r="AR1977" s="24">
        <f>AQ1977+4</f>
        <v>44745</v>
      </c>
      <c r="AS1977" s="24"/>
      <c r="AT1977" s="24">
        <v>44716</v>
      </c>
      <c r="AU1977" s="418">
        <f t="shared" si="145"/>
        <v>6</v>
      </c>
      <c r="AV1977" s="418">
        <f t="shared" si="146"/>
        <v>2022</v>
      </c>
      <c r="AW1977" s="24" t="s">
        <v>7874</v>
      </c>
      <c r="AX1977" s="135" t="s">
        <v>7581</v>
      </c>
      <c r="AY1977" s="135"/>
      <c r="AZ1977" s="135" t="s">
        <v>9</v>
      </c>
      <c r="BA1977" s="215" t="s">
        <v>7130</v>
      </c>
      <c r="BB1977" s="24" t="s">
        <v>3264</v>
      </c>
      <c r="BC1977" s="288"/>
      <c r="BD1977" s="24"/>
      <c r="BE1977" s="292"/>
      <c r="BF1977" s="292"/>
      <c r="BG1977" s="135"/>
      <c r="BH1977" s="212"/>
      <c r="BI1977" s="317" t="s">
        <v>3</v>
      </c>
      <c r="BJ1977" s="317"/>
      <c r="BK1977" s="24"/>
      <c r="BL1977" s="24"/>
      <c r="BM1977" s="24"/>
      <c r="BN1977" s="24"/>
      <c r="BO1977" s="136"/>
      <c r="BP1977" s="136"/>
      <c r="BQ1977" s="136"/>
      <c r="BR1977" s="24"/>
      <c r="BS1977" s="136"/>
      <c r="BT1977" s="136"/>
      <c r="BU1977" s="136"/>
      <c r="BV1977" s="132" t="e">
        <f>IF(#REF!="COMPLETO","OK","PENDIENTE")</f>
        <v>#REF!</v>
      </c>
      <c r="BW1977" s="132" t="s">
        <v>1622</v>
      </c>
      <c r="BX1977" s="132" t="s">
        <v>1622</v>
      </c>
      <c r="BY1977" s="132" t="s">
        <v>1622</v>
      </c>
      <c r="BZ1977" s="132" t="s">
        <v>1622</v>
      </c>
      <c r="CA1977" s="132" t="s">
        <v>1622</v>
      </c>
      <c r="CB1977" s="132" t="s">
        <v>1622</v>
      </c>
      <c r="CC1977" s="378"/>
      <c r="CG1977" s="136"/>
      <c r="CH1977" s="136"/>
      <c r="CI1977" s="24"/>
      <c r="CJ1977" s="24"/>
    </row>
    <row r="1978" spans="1:88" ht="15" customHeight="1">
      <c r="A1978" s="18">
        <v>2022</v>
      </c>
      <c r="B1978" s="18" t="str">
        <f>+INDEX(BDD!F:F,MATCH(P1978,BDD!D:D,0))&amp;"-"&amp;INDEX(BDD!E:E,MATCH(P1978,BDD!D:D,0))</f>
        <v>T-S</v>
      </c>
      <c r="C1978" s="125" t="s">
        <v>484</v>
      </c>
      <c r="D1978" s="150" t="s">
        <v>77</v>
      </c>
      <c r="E1978" s="132" t="s">
        <v>51</v>
      </c>
      <c r="F1978" s="67"/>
      <c r="G1978" s="346">
        <v>8000001953</v>
      </c>
      <c r="H1978" s="18" t="s">
        <v>7582</v>
      </c>
      <c r="I1978" s="329" t="s">
        <v>7583</v>
      </c>
      <c r="J1978" s="346">
        <v>8000001953</v>
      </c>
      <c r="K1978" s="24">
        <v>44692</v>
      </c>
      <c r="L1978" s="24">
        <v>44707</v>
      </c>
      <c r="M1978" s="24">
        <v>44707</v>
      </c>
      <c r="N1978" s="339" t="s">
        <v>486</v>
      </c>
      <c r="O1978" s="334">
        <v>208067</v>
      </c>
      <c r="P1978" s="25" t="s">
        <v>383</v>
      </c>
      <c r="Q1978" s="127" t="s">
        <v>303</v>
      </c>
      <c r="R1978" s="401" t="s">
        <v>7584</v>
      </c>
      <c r="S1978" s="89">
        <v>44657</v>
      </c>
      <c r="T1978" s="36">
        <v>30</v>
      </c>
      <c r="U1978" s="125" t="s">
        <v>131</v>
      </c>
      <c r="V1978" s="22" t="s">
        <v>7991</v>
      </c>
      <c r="W1978" s="24">
        <v>44698</v>
      </c>
      <c r="X1978" s="24">
        <v>44728</v>
      </c>
      <c r="Y1978" s="130" t="s">
        <v>3</v>
      </c>
      <c r="Z1978" s="133" t="s">
        <v>60</v>
      </c>
      <c r="AA1978" s="133" t="s">
        <v>1622</v>
      </c>
      <c r="AB1978" s="241">
        <v>216</v>
      </c>
      <c r="AC1978" s="134">
        <v>1050</v>
      </c>
      <c r="AD1978" s="134">
        <v>1050</v>
      </c>
      <c r="AE1978" s="403">
        <f t="shared" si="144"/>
        <v>226800</v>
      </c>
      <c r="AF1978" s="132">
        <v>8</v>
      </c>
      <c r="AG1978" s="130" t="s">
        <v>5</v>
      </c>
      <c r="AH1978" s="130"/>
      <c r="AI1978" s="130" t="s">
        <v>34</v>
      </c>
      <c r="AJ1978" s="130" t="s">
        <v>944</v>
      </c>
      <c r="AK1978" s="130" t="s">
        <v>6704</v>
      </c>
      <c r="AL1978" s="135" t="s">
        <v>7493</v>
      </c>
      <c r="AM1978" s="314">
        <v>2022</v>
      </c>
      <c r="AN1978" s="296">
        <v>44704</v>
      </c>
      <c r="AO1978" s="385">
        <v>44694</v>
      </c>
      <c r="AP1978" s="26">
        <v>44715</v>
      </c>
      <c r="AQ1978" s="385">
        <v>44701</v>
      </c>
      <c r="AR1978" s="24">
        <f t="shared" si="166"/>
        <v>44705</v>
      </c>
      <c r="AS1978" s="24">
        <v>44706</v>
      </c>
      <c r="AT1978" s="24">
        <v>44706</v>
      </c>
      <c r="AU1978" s="418">
        <f t="shared" si="145"/>
        <v>5</v>
      </c>
      <c r="AV1978" s="418">
        <f t="shared" si="146"/>
        <v>2022</v>
      </c>
      <c r="AW1978" s="24" t="s">
        <v>7888</v>
      </c>
      <c r="AX1978" s="135" t="s">
        <v>6982</v>
      </c>
      <c r="AY1978" s="135" t="s">
        <v>7360</v>
      </c>
      <c r="AZ1978" s="135" t="s">
        <v>37</v>
      </c>
      <c r="BA1978" s="215" t="s">
        <v>6121</v>
      </c>
      <c r="BB1978" s="24" t="s">
        <v>3291</v>
      </c>
      <c r="BC1978" s="135" t="s">
        <v>7882</v>
      </c>
      <c r="BD1978" s="24">
        <v>44694</v>
      </c>
      <c r="BE1978" s="24" t="s">
        <v>7900</v>
      </c>
      <c r="BF1978" s="24" t="s">
        <v>5802</v>
      </c>
      <c r="BG1978" s="135" t="s">
        <v>64</v>
      </c>
      <c r="BH1978" s="212" t="s">
        <v>6414</v>
      </c>
      <c r="BI1978" s="317" t="s">
        <v>124</v>
      </c>
      <c r="BJ1978" s="314" t="s">
        <v>148</v>
      </c>
      <c r="BK1978" s="24"/>
      <c r="BL1978" s="24"/>
      <c r="BM1978" s="24"/>
      <c r="BN1978" s="24">
        <v>44699</v>
      </c>
      <c r="BO1978" s="24">
        <f>AQ1978+15</f>
        <v>44716</v>
      </c>
      <c r="BP1978" s="136"/>
      <c r="BQ1978" s="132" t="s">
        <v>8002</v>
      </c>
      <c r="BR1978" s="24">
        <v>44699</v>
      </c>
      <c r="BS1978" s="132" t="s">
        <v>26</v>
      </c>
      <c r="BT1978" s="132" t="s">
        <v>11</v>
      </c>
      <c r="BU1978" s="136"/>
      <c r="BV1978" s="132" t="s">
        <v>6087</v>
      </c>
      <c r="BW1978" s="132" t="s">
        <v>1622</v>
      </c>
      <c r="BX1978" s="132" t="s">
        <v>1622</v>
      </c>
      <c r="BY1978" s="132" t="s">
        <v>1622</v>
      </c>
      <c r="BZ1978" s="132" t="s">
        <v>1622</v>
      </c>
      <c r="CA1978" s="132" t="s">
        <v>1622</v>
      </c>
      <c r="CB1978" s="132" t="s">
        <v>1622</v>
      </c>
      <c r="CC1978" s="378"/>
      <c r="CG1978" s="136"/>
      <c r="CH1978" s="136"/>
      <c r="CI1978" s="24"/>
      <c r="CJ1978" s="24"/>
    </row>
    <row r="1979" spans="1:88" ht="15" customHeight="1">
      <c r="A1979" s="18">
        <v>2022</v>
      </c>
      <c r="B1979" s="18" t="str">
        <f>+INDEX(BDD!F:F,MATCH(P1979,BDD!D:D,0))&amp;"-"&amp;INDEX(BDD!E:E,MATCH(P1979,BDD!D:D,0))</f>
        <v>O-S</v>
      </c>
      <c r="C1979" s="360" t="s">
        <v>5398</v>
      </c>
      <c r="D1979" s="150" t="s">
        <v>3</v>
      </c>
      <c r="E1979" s="132" t="s">
        <v>51</v>
      </c>
      <c r="F1979" s="67"/>
      <c r="G1979" s="346">
        <v>8000001951</v>
      </c>
      <c r="H1979" s="18" t="s">
        <v>7585</v>
      </c>
      <c r="I1979" s="329" t="s">
        <v>7586</v>
      </c>
      <c r="J1979" s="346">
        <v>8000001951</v>
      </c>
      <c r="K1979" s="24">
        <v>44676</v>
      </c>
      <c r="L1979" s="24"/>
      <c r="M1979" s="24"/>
      <c r="N1979" s="339" t="s">
        <v>3</v>
      </c>
      <c r="O1979" s="334">
        <v>203553</v>
      </c>
      <c r="P1979" s="25" t="s">
        <v>386</v>
      </c>
      <c r="Q1979" s="127" t="s">
        <v>303</v>
      </c>
      <c r="R1979" s="401" t="s">
        <v>7587</v>
      </c>
      <c r="S1979" s="89">
        <v>44657</v>
      </c>
      <c r="T1979" s="36" t="s">
        <v>19</v>
      </c>
      <c r="U1979" s="125"/>
      <c r="V1979" s="147"/>
      <c r="W1979" s="129"/>
      <c r="X1979" s="88"/>
      <c r="Y1979" s="130" t="s">
        <v>3</v>
      </c>
      <c r="Z1979" s="133" t="s">
        <v>60</v>
      </c>
      <c r="AA1979" s="133" t="s">
        <v>1622</v>
      </c>
      <c r="AB1979" s="241">
        <v>135</v>
      </c>
      <c r="AC1979" s="134">
        <v>956.1</v>
      </c>
      <c r="AD1979" s="134"/>
      <c r="AE1979" s="403">
        <f t="shared" si="144"/>
        <v>129073.5</v>
      </c>
      <c r="AF1979" s="132">
        <v>5</v>
      </c>
      <c r="AG1979" s="130" t="s">
        <v>5</v>
      </c>
      <c r="AH1979" s="130"/>
      <c r="AI1979" s="130" t="s">
        <v>100</v>
      </c>
      <c r="AJ1979" s="130" t="s">
        <v>944</v>
      </c>
      <c r="AK1979" s="130" t="s">
        <v>5634</v>
      </c>
      <c r="AL1979" s="135" t="s">
        <v>7493</v>
      </c>
      <c r="AM1979" s="324">
        <v>2022</v>
      </c>
      <c r="AN1979" s="296">
        <v>44704</v>
      </c>
      <c r="AO1979" s="385">
        <v>44721</v>
      </c>
      <c r="AP1979" s="26">
        <v>44733</v>
      </c>
      <c r="AQ1979" s="385">
        <f>AO1979+29</f>
        <v>44750</v>
      </c>
      <c r="AR1979" s="24">
        <f>AQ1979+4</f>
        <v>44754</v>
      </c>
      <c r="AS1979" s="24"/>
      <c r="AT1979" s="24">
        <v>44754</v>
      </c>
      <c r="AU1979" s="418">
        <f t="shared" si="145"/>
        <v>7</v>
      </c>
      <c r="AV1979" s="418">
        <f t="shared" si="146"/>
        <v>2022</v>
      </c>
      <c r="AW1979" s="24" t="s">
        <v>7874</v>
      </c>
      <c r="AX1979" s="135" t="s">
        <v>7581</v>
      </c>
      <c r="AY1979" s="135"/>
      <c r="AZ1979" s="135" t="s">
        <v>37</v>
      </c>
      <c r="BA1979" s="215"/>
      <c r="BB1979" s="24" t="s">
        <v>3291</v>
      </c>
      <c r="BC1979" s="288"/>
      <c r="BD1979" s="24"/>
      <c r="BE1979" s="292"/>
      <c r="BF1979" s="292"/>
      <c r="BG1979" s="135"/>
      <c r="BH1979" s="212"/>
      <c r="BI1979" s="317" t="s">
        <v>3</v>
      </c>
      <c r="BJ1979" s="317"/>
      <c r="BK1979" s="24"/>
      <c r="BL1979" s="24"/>
      <c r="BM1979" s="24"/>
      <c r="BN1979" s="24"/>
      <c r="BO1979" s="136"/>
      <c r="BP1979" s="136"/>
      <c r="BQ1979" s="136"/>
      <c r="BR1979" s="24"/>
      <c r="BS1979" s="136"/>
      <c r="BT1979" s="136"/>
      <c r="BU1979" s="136"/>
      <c r="BV1979" s="132" t="e">
        <f>IF(#REF!="COMPLETO","OK","PENDIENTE")</f>
        <v>#REF!</v>
      </c>
      <c r="BW1979" s="132" t="s">
        <v>1622</v>
      </c>
      <c r="BX1979" s="132" t="s">
        <v>1622</v>
      </c>
      <c r="BY1979" s="132" t="s">
        <v>1622</v>
      </c>
      <c r="BZ1979" s="132" t="s">
        <v>1622</v>
      </c>
      <c r="CA1979" s="132" t="s">
        <v>1622</v>
      </c>
      <c r="CB1979" s="132" t="s">
        <v>1622</v>
      </c>
      <c r="CC1979" s="378"/>
      <c r="CG1979" s="136"/>
      <c r="CH1979" s="136"/>
      <c r="CI1979" s="24"/>
      <c r="CJ1979" s="24"/>
    </row>
    <row r="1980" spans="1:88" ht="15" customHeight="1">
      <c r="A1980" s="18">
        <v>2022</v>
      </c>
      <c r="B1980" s="18" t="str">
        <f>+INDEX(BDD!F:F,MATCH(P1980,BDD!D:D,0))&amp;"-"&amp;INDEX(BDD!E:E,MATCH(P1980,BDD!D:D,0))</f>
        <v>T-S</v>
      </c>
      <c r="C1980" s="360" t="s">
        <v>484</v>
      </c>
      <c r="D1980" s="150" t="s">
        <v>20</v>
      </c>
      <c r="E1980" s="132" t="s">
        <v>1622</v>
      </c>
      <c r="F1980" s="136"/>
      <c r="G1980" s="346"/>
      <c r="H1980" s="18" t="s">
        <v>7588</v>
      </c>
      <c r="I1980" s="351"/>
      <c r="J1980" s="346"/>
      <c r="K1980" s="24"/>
      <c r="L1980" s="24"/>
      <c r="M1980" s="24"/>
      <c r="N1980" s="340"/>
      <c r="O1980" s="334"/>
      <c r="P1980" s="25" t="s">
        <v>391</v>
      </c>
      <c r="Q1980" s="127" t="s">
        <v>303</v>
      </c>
      <c r="R1980" s="232"/>
      <c r="S1980" s="89"/>
      <c r="T1980" s="36"/>
      <c r="U1980" s="125"/>
      <c r="V1980" s="147"/>
      <c r="W1980" s="129"/>
      <c r="X1980" s="88"/>
      <c r="Y1980" s="130"/>
      <c r="Z1980" s="133"/>
      <c r="AA1980" s="133"/>
      <c r="AB1980" s="241"/>
      <c r="AC1980" s="134"/>
      <c r="AD1980" s="134"/>
      <c r="AE1980" s="403">
        <f t="shared" si="144"/>
        <v>0</v>
      </c>
      <c r="AF1980" s="132"/>
      <c r="AG1980" s="130"/>
      <c r="AH1980" s="130"/>
      <c r="AI1980" s="130"/>
      <c r="AJ1980" s="295"/>
      <c r="AK1980" s="130"/>
      <c r="AL1980" s="135"/>
      <c r="AM1980" s="322"/>
      <c r="AN1980" s="296"/>
      <c r="AO1980" s="26"/>
      <c r="AP1980" s="26"/>
      <c r="AQ1980" s="26"/>
      <c r="AR1980" s="24"/>
      <c r="AS1980" s="24"/>
      <c r="AT1980" s="24"/>
      <c r="AU1980" s="418">
        <f t="shared" si="145"/>
        <v>1</v>
      </c>
      <c r="AV1980" s="418">
        <f t="shared" si="146"/>
        <v>1900</v>
      </c>
      <c r="AW1980" s="24"/>
      <c r="AX1980" s="135"/>
      <c r="AY1980" s="135"/>
      <c r="AZ1980" s="24"/>
      <c r="BA1980" s="206"/>
      <c r="BB1980" s="24"/>
      <c r="BC1980" s="288"/>
      <c r="BD1980" s="24"/>
      <c r="BE1980" s="292"/>
      <c r="BF1980" s="292"/>
      <c r="BG1980" s="292"/>
      <c r="BH1980" s="212"/>
      <c r="BI1980" s="314"/>
      <c r="BJ1980" s="314"/>
      <c r="BK1980" s="24"/>
      <c r="BL1980" s="24"/>
      <c r="BM1980" s="24"/>
      <c r="BN1980" s="24"/>
      <c r="BO1980" s="136"/>
      <c r="BP1980" s="136"/>
      <c r="BQ1980" s="136"/>
      <c r="BR1980" s="24"/>
      <c r="BS1980" s="136"/>
      <c r="BT1980" s="136"/>
      <c r="BU1980" s="136"/>
      <c r="BV1980" s="132"/>
      <c r="BW1980" s="132"/>
      <c r="BX1980" s="132"/>
      <c r="BY1980" s="132"/>
      <c r="BZ1980" s="132"/>
      <c r="CA1980" s="132"/>
      <c r="CB1980" s="132"/>
      <c r="CC1980" s="378"/>
      <c r="CG1980" s="136"/>
      <c r="CH1980" s="136"/>
      <c r="CI1980" s="24"/>
      <c r="CJ1980" s="24"/>
    </row>
    <row r="1981" spans="1:88" ht="14.45" customHeight="1">
      <c r="A1981" s="18">
        <v>2022</v>
      </c>
      <c r="B1981" s="18" t="str">
        <f>+INDEX(BDD!F:F,MATCH(P1981,BDD!D:D,0))&amp;"-"&amp;INDEX(BDD!E:E,MATCH(P1981,BDD!D:D,0))</f>
        <v>S-S</v>
      </c>
      <c r="C1981" s="360" t="s">
        <v>5398</v>
      </c>
      <c r="D1981" s="150" t="s">
        <v>3</v>
      </c>
      <c r="E1981" s="132" t="s">
        <v>51</v>
      </c>
      <c r="F1981" s="136"/>
      <c r="G1981" s="346">
        <v>8000001960</v>
      </c>
      <c r="H1981" s="18" t="s">
        <v>7589</v>
      </c>
      <c r="I1981" s="329" t="s">
        <v>7590</v>
      </c>
      <c r="J1981" s="346">
        <v>8000001960</v>
      </c>
      <c r="K1981" s="24">
        <v>44678</v>
      </c>
      <c r="L1981" s="24"/>
      <c r="M1981" s="24"/>
      <c r="N1981" s="340" t="s">
        <v>3</v>
      </c>
      <c r="O1981" s="334">
        <v>207579</v>
      </c>
      <c r="P1981" s="25" t="s">
        <v>238</v>
      </c>
      <c r="Q1981" s="127" t="s">
        <v>264</v>
      </c>
      <c r="R1981" s="401" t="s">
        <v>7591</v>
      </c>
      <c r="S1981" s="89">
        <v>44663</v>
      </c>
      <c r="T1981" s="36">
        <v>90</v>
      </c>
      <c r="U1981" s="125" t="s">
        <v>118</v>
      </c>
      <c r="V1981" s="232"/>
      <c r="W1981" s="151"/>
      <c r="X1981" s="88"/>
      <c r="Y1981" s="130" t="s">
        <v>3</v>
      </c>
      <c r="Z1981" s="133" t="s">
        <v>60</v>
      </c>
      <c r="AA1981" s="133" t="s">
        <v>6619</v>
      </c>
      <c r="AB1981" s="241">
        <v>1500</v>
      </c>
      <c r="AC1981" s="134">
        <v>464</v>
      </c>
      <c r="AD1981" s="134"/>
      <c r="AE1981" s="403">
        <f t="shared" si="144"/>
        <v>696000</v>
      </c>
      <c r="AF1981" s="132"/>
      <c r="AG1981" s="130" t="s">
        <v>58</v>
      </c>
      <c r="AH1981" s="130"/>
      <c r="AI1981" s="130" t="s">
        <v>34</v>
      </c>
      <c r="AJ1981" s="274">
        <v>1.25</v>
      </c>
      <c r="AK1981" s="130" t="s">
        <v>5400</v>
      </c>
      <c r="AL1981" s="135" t="s">
        <v>7493</v>
      </c>
      <c r="AM1981" s="324">
        <v>2022</v>
      </c>
      <c r="AN1981" s="359">
        <v>44718</v>
      </c>
      <c r="AO1981" s="385">
        <v>44771</v>
      </c>
      <c r="AP1981" s="26">
        <f t="shared" ref="AP1981" si="167">AQ1981</f>
        <v>44817</v>
      </c>
      <c r="AQ1981" s="385">
        <f>AO1981+46</f>
        <v>44817</v>
      </c>
      <c r="AR1981" s="24">
        <f>AQ1981+10</f>
        <v>44827</v>
      </c>
      <c r="AS1981" s="24"/>
      <c r="AT1981" s="24">
        <v>44821</v>
      </c>
      <c r="AU1981" s="418">
        <f t="shared" si="145"/>
        <v>9</v>
      </c>
      <c r="AV1981" s="418">
        <f t="shared" si="146"/>
        <v>2022</v>
      </c>
      <c r="AW1981" s="24" t="s">
        <v>7874</v>
      </c>
      <c r="AX1981" s="293" t="s">
        <v>5402</v>
      </c>
      <c r="AY1981" s="135" t="s">
        <v>6800</v>
      </c>
      <c r="AZ1981" s="209" t="s">
        <v>37</v>
      </c>
      <c r="BA1981" s="209"/>
      <c r="BB1981" s="24" t="s">
        <v>3291</v>
      </c>
      <c r="BC1981" s="292"/>
      <c r="BD1981" s="24"/>
      <c r="BE1981" s="292"/>
      <c r="BF1981" s="292"/>
      <c r="BG1981" s="135" t="s">
        <v>52</v>
      </c>
      <c r="BH1981" s="215"/>
      <c r="BI1981" s="317" t="s">
        <v>3</v>
      </c>
      <c r="BJ1981" s="317"/>
      <c r="BK1981" s="24"/>
      <c r="BL1981" s="24"/>
      <c r="BM1981" s="24"/>
      <c r="BN1981" s="24"/>
      <c r="BO1981" s="136"/>
      <c r="BP1981" s="136"/>
      <c r="BQ1981" s="136"/>
      <c r="BR1981" s="24"/>
      <c r="BS1981" s="136"/>
      <c r="BT1981" s="136"/>
      <c r="BU1981" s="136"/>
      <c r="BV1981" s="132" t="e">
        <f>IF(#REF!="COMPLETO","OK","PENDIENTE")</f>
        <v>#REF!</v>
      </c>
      <c r="BW1981" s="132"/>
      <c r="BX1981" s="132"/>
      <c r="BY1981" s="132"/>
      <c r="BZ1981" s="132"/>
      <c r="CA1981" s="132"/>
      <c r="CB1981" s="132"/>
      <c r="CC1981" s="378" t="s">
        <v>8031</v>
      </c>
      <c r="CD1981" s="67" t="s">
        <v>7872</v>
      </c>
      <c r="CE1981" s="67"/>
      <c r="CG1981" s="136"/>
      <c r="CH1981" s="136"/>
      <c r="CI1981" s="24"/>
      <c r="CJ1981" s="24"/>
    </row>
    <row r="1982" spans="1:88" ht="15" customHeight="1">
      <c r="A1982" s="18">
        <v>2022</v>
      </c>
      <c r="B1982" s="18" t="s">
        <v>6338</v>
      </c>
      <c r="C1982" s="360" t="s">
        <v>5398</v>
      </c>
      <c r="D1982" s="150" t="s">
        <v>3</v>
      </c>
      <c r="E1982" s="132" t="s">
        <v>7904</v>
      </c>
      <c r="F1982" s="24"/>
      <c r="G1982" s="346">
        <v>8000001972</v>
      </c>
      <c r="H1982" s="18" t="s">
        <v>7592</v>
      </c>
      <c r="I1982" s="329" t="s">
        <v>7593</v>
      </c>
      <c r="J1982" s="346">
        <v>8000001972</v>
      </c>
      <c r="K1982" s="24">
        <v>44678</v>
      </c>
      <c r="L1982" s="24"/>
      <c r="M1982" s="24"/>
      <c r="N1982" s="340" t="s">
        <v>3</v>
      </c>
      <c r="O1982" s="334">
        <v>203747</v>
      </c>
      <c r="P1982" s="25" t="s">
        <v>339</v>
      </c>
      <c r="Q1982" s="127" t="s">
        <v>297</v>
      </c>
      <c r="R1982" s="232" t="s">
        <v>7594</v>
      </c>
      <c r="S1982" s="89">
        <v>44662</v>
      </c>
      <c r="T1982" s="36" t="s">
        <v>19</v>
      </c>
      <c r="U1982" s="125"/>
      <c r="V1982" s="147"/>
      <c r="W1982" s="129"/>
      <c r="X1982" s="88"/>
      <c r="Y1982" s="130" t="s">
        <v>3</v>
      </c>
      <c r="Z1982" s="133" t="s">
        <v>48</v>
      </c>
      <c r="AA1982" s="133"/>
      <c r="AB1982" s="241">
        <v>500</v>
      </c>
      <c r="AC1982" s="134">
        <v>1069</v>
      </c>
      <c r="AD1982" s="134"/>
      <c r="AE1982" s="403">
        <f t="shared" si="144"/>
        <v>534500</v>
      </c>
      <c r="AF1982" s="132" t="s">
        <v>1622</v>
      </c>
      <c r="AG1982" s="130" t="s">
        <v>58</v>
      </c>
      <c r="AH1982" s="130"/>
      <c r="AI1982" s="130" t="s">
        <v>6029</v>
      </c>
      <c r="AJ1982" s="274">
        <v>1.25</v>
      </c>
      <c r="AK1982" s="130" t="s">
        <v>944</v>
      </c>
      <c r="AL1982" s="135" t="s">
        <v>7595</v>
      </c>
      <c r="AM1982" s="317">
        <v>2022</v>
      </c>
      <c r="AN1982" s="26">
        <v>44732</v>
      </c>
      <c r="AO1982" s="385">
        <v>44752</v>
      </c>
      <c r="AP1982" s="26">
        <v>44778</v>
      </c>
      <c r="AQ1982" s="385">
        <f>AO1982+46</f>
        <v>44798</v>
      </c>
      <c r="AR1982" s="24">
        <f>AQ1982+2</f>
        <v>44800</v>
      </c>
      <c r="AS1982" s="24"/>
      <c r="AT1982" s="24">
        <v>44802</v>
      </c>
      <c r="AU1982" s="418">
        <f t="shared" si="145"/>
        <v>8</v>
      </c>
      <c r="AV1982" s="418">
        <f t="shared" si="146"/>
        <v>2022</v>
      </c>
      <c r="AW1982" s="24" t="s">
        <v>7874</v>
      </c>
      <c r="AX1982" s="128" t="s">
        <v>6915</v>
      </c>
      <c r="AY1982" s="128"/>
      <c r="AZ1982" s="135" t="s">
        <v>25</v>
      </c>
      <c r="BA1982" s="135" t="s">
        <v>7957</v>
      </c>
      <c r="BB1982" s="24" t="s">
        <v>3264</v>
      </c>
      <c r="BC1982" s="132"/>
      <c r="BD1982" s="24"/>
      <c r="BE1982" s="292"/>
      <c r="BF1982" s="132"/>
      <c r="BG1982" s="292"/>
      <c r="BH1982" s="215"/>
      <c r="BI1982" s="317" t="s">
        <v>3</v>
      </c>
      <c r="BJ1982" s="317"/>
      <c r="BK1982" s="24"/>
      <c r="BL1982" s="24"/>
      <c r="BM1982" s="24"/>
      <c r="BN1982" s="24"/>
      <c r="BO1982" s="135"/>
      <c r="BP1982" s="135"/>
      <c r="BQ1982" s="135"/>
      <c r="BR1982" s="24"/>
      <c r="BS1982" s="135"/>
      <c r="BT1982" s="135"/>
      <c r="BU1982" s="135"/>
      <c r="BV1982" s="132" t="e">
        <f>IF(#REF!="COMPLETO","OK","PENDIENTE")</f>
        <v>#REF!</v>
      </c>
      <c r="BW1982" s="132"/>
      <c r="BX1982" s="132"/>
      <c r="BY1982" s="132"/>
      <c r="BZ1982" s="132"/>
      <c r="CA1982" s="132"/>
      <c r="CB1982" s="132"/>
      <c r="CC1982" s="380"/>
      <c r="CG1982" s="24"/>
      <c r="CH1982" s="24"/>
      <c r="CI1982" s="24"/>
      <c r="CJ1982" s="24"/>
    </row>
    <row r="1983" spans="1:88" ht="14.45" customHeight="1">
      <c r="A1983" s="18">
        <v>2022</v>
      </c>
      <c r="B1983" s="18" t="s">
        <v>6372</v>
      </c>
      <c r="C1983" s="360" t="s">
        <v>5398</v>
      </c>
      <c r="D1983" s="150" t="s">
        <v>3</v>
      </c>
      <c r="E1983" s="132" t="s">
        <v>7904</v>
      </c>
      <c r="F1983" s="24"/>
      <c r="G1983" s="346">
        <v>8000001962</v>
      </c>
      <c r="H1983" s="18" t="s">
        <v>7596</v>
      </c>
      <c r="I1983" s="329" t="s">
        <v>7597</v>
      </c>
      <c r="J1983" s="346">
        <v>8000001962</v>
      </c>
      <c r="K1983" s="24">
        <v>44677</v>
      </c>
      <c r="L1983" s="24"/>
      <c r="M1983" s="24"/>
      <c r="N1983" s="340" t="s">
        <v>3</v>
      </c>
      <c r="O1983" s="338">
        <v>203575</v>
      </c>
      <c r="P1983" s="25" t="s">
        <v>351</v>
      </c>
      <c r="Q1983" s="127" t="s">
        <v>273</v>
      </c>
      <c r="R1983" s="232" t="s">
        <v>7880</v>
      </c>
      <c r="S1983" s="89">
        <v>44662</v>
      </c>
      <c r="T1983" s="36" t="s">
        <v>19</v>
      </c>
      <c r="U1983" s="125"/>
      <c r="V1983" s="147"/>
      <c r="W1983" s="129"/>
      <c r="X1983" s="88"/>
      <c r="Y1983" s="130" t="s">
        <v>3</v>
      </c>
      <c r="Z1983" s="133" t="s">
        <v>60</v>
      </c>
      <c r="AA1983" s="133" t="s">
        <v>6619</v>
      </c>
      <c r="AB1983" s="241">
        <v>1100</v>
      </c>
      <c r="AC1983" s="134">
        <v>948</v>
      </c>
      <c r="AD1983" s="134"/>
      <c r="AE1983" s="403">
        <f t="shared" si="144"/>
        <v>1042800</v>
      </c>
      <c r="AF1983" s="132"/>
      <c r="AG1983" s="130" t="s">
        <v>46</v>
      </c>
      <c r="AH1983" s="130"/>
      <c r="AI1983" s="130" t="s">
        <v>6029</v>
      </c>
      <c r="AJ1983" s="295">
        <v>1</v>
      </c>
      <c r="AK1983" s="130"/>
      <c r="AL1983" s="135" t="s">
        <v>7598</v>
      </c>
      <c r="AM1983" s="317">
        <v>2022</v>
      </c>
      <c r="AN1983" s="26">
        <v>44715</v>
      </c>
      <c r="AO1983" s="26">
        <v>44715</v>
      </c>
      <c r="AP1983" s="26">
        <v>44764</v>
      </c>
      <c r="AQ1983" s="385">
        <f>AQ1986+3</f>
        <v>44761</v>
      </c>
      <c r="AR1983" s="24">
        <f>AQ1983+3</f>
        <v>44764</v>
      </c>
      <c r="AS1983" s="24"/>
      <c r="AT1983" s="24">
        <v>44765</v>
      </c>
      <c r="AU1983" s="418">
        <f t="shared" si="145"/>
        <v>7</v>
      </c>
      <c r="AV1983" s="418">
        <f t="shared" si="146"/>
        <v>2022</v>
      </c>
      <c r="AW1983" s="24" t="s">
        <v>7874</v>
      </c>
      <c r="AX1983" s="135" t="s">
        <v>5402</v>
      </c>
      <c r="AY1983" s="135"/>
      <c r="AZ1983" s="135" t="s">
        <v>37</v>
      </c>
      <c r="BA1983" s="135"/>
      <c r="BB1983" s="24" t="s">
        <v>3291</v>
      </c>
      <c r="BC1983" s="132"/>
      <c r="BD1983" s="24"/>
      <c r="BE1983" s="24" t="s">
        <v>8001</v>
      </c>
      <c r="BF1983" s="132"/>
      <c r="BG1983" s="292"/>
      <c r="BH1983" s="215"/>
      <c r="BI1983" s="317" t="s">
        <v>3</v>
      </c>
      <c r="BJ1983" s="317"/>
      <c r="BK1983" s="24"/>
      <c r="BL1983" s="24"/>
      <c r="BM1983" s="24"/>
      <c r="BN1983" s="24"/>
      <c r="BO1983" s="24"/>
      <c r="BP1983" s="24"/>
      <c r="BQ1983" s="24"/>
      <c r="BR1983" s="24"/>
      <c r="BS1983" s="24"/>
      <c r="BT1983" s="24"/>
      <c r="BU1983" s="24"/>
      <c r="BV1983" s="132" t="e">
        <f>IF(#REF!="COMPLETO","OK","PENDIENTE")</f>
        <v>#REF!</v>
      </c>
      <c r="BW1983" s="132"/>
      <c r="BX1983" s="132"/>
      <c r="BY1983" s="132"/>
      <c r="BZ1983" s="132"/>
      <c r="CA1983" s="132"/>
      <c r="CB1983" s="132"/>
      <c r="CC1983" s="380"/>
      <c r="CG1983" s="24"/>
      <c r="CH1983" s="24"/>
      <c r="CI1983" s="24"/>
      <c r="CJ1983" s="24"/>
    </row>
    <row r="1984" spans="1:88" ht="14.45" customHeight="1">
      <c r="A1984" s="18">
        <v>2022</v>
      </c>
      <c r="B1984" s="18" t="s">
        <v>6057</v>
      </c>
      <c r="C1984" s="360" t="s">
        <v>5398</v>
      </c>
      <c r="D1984" s="150" t="s">
        <v>3</v>
      </c>
      <c r="E1984" s="132" t="s">
        <v>51</v>
      </c>
      <c r="F1984" s="132"/>
      <c r="G1984" s="346">
        <v>8000001963</v>
      </c>
      <c r="H1984" s="18" t="s">
        <v>7599</v>
      </c>
      <c r="I1984" s="329" t="s">
        <v>7600</v>
      </c>
      <c r="J1984" s="346">
        <v>8000001963</v>
      </c>
      <c r="K1984" s="24">
        <v>44677</v>
      </c>
      <c r="L1984" s="24"/>
      <c r="M1984" s="24"/>
      <c r="N1984" s="340" t="s">
        <v>3</v>
      </c>
      <c r="O1984" s="334">
        <v>209371</v>
      </c>
      <c r="P1984" s="25" t="s">
        <v>8061</v>
      </c>
      <c r="Q1984" s="127" t="s">
        <v>273</v>
      </c>
      <c r="R1984" s="232" t="s">
        <v>7880</v>
      </c>
      <c r="S1984" s="89">
        <v>44662</v>
      </c>
      <c r="T1984" s="36" t="s">
        <v>19</v>
      </c>
      <c r="U1984" s="125"/>
      <c r="V1984" s="147"/>
      <c r="W1984" s="129"/>
      <c r="X1984" s="88"/>
      <c r="Y1984" s="130" t="s">
        <v>3</v>
      </c>
      <c r="Z1984" s="133" t="s">
        <v>60</v>
      </c>
      <c r="AA1984" s="133" t="s">
        <v>6028</v>
      </c>
      <c r="AB1984" s="241">
        <v>6600</v>
      </c>
      <c r="AC1984" s="134">
        <v>1166</v>
      </c>
      <c r="AD1984" s="134"/>
      <c r="AE1984" s="403">
        <f t="shared" si="144"/>
        <v>7695600</v>
      </c>
      <c r="AF1984" s="132"/>
      <c r="AG1984" s="130" t="s">
        <v>46</v>
      </c>
      <c r="AH1984" s="130"/>
      <c r="AI1984" s="130" t="s">
        <v>100</v>
      </c>
      <c r="AJ1984" s="130"/>
      <c r="AK1984" s="130"/>
      <c r="AL1984" s="135" t="s">
        <v>7598</v>
      </c>
      <c r="AM1984" s="317">
        <v>2022</v>
      </c>
      <c r="AN1984" s="26">
        <v>44715</v>
      </c>
      <c r="AO1984" s="26">
        <v>44715</v>
      </c>
      <c r="AP1984" s="26">
        <v>44764</v>
      </c>
      <c r="AQ1984" s="385">
        <f>AQ1983+4</f>
        <v>44765</v>
      </c>
      <c r="AR1984" s="24">
        <f>AQ1984+1</f>
        <v>44766</v>
      </c>
      <c r="AS1984" s="24"/>
      <c r="AT1984" s="24">
        <v>44769</v>
      </c>
      <c r="AU1984" s="418">
        <f t="shared" si="145"/>
        <v>7</v>
      </c>
      <c r="AV1984" s="418">
        <f t="shared" si="146"/>
        <v>2022</v>
      </c>
      <c r="AW1984" s="24" t="s">
        <v>7874</v>
      </c>
      <c r="AX1984" s="135" t="s">
        <v>5402</v>
      </c>
      <c r="AY1984" s="135"/>
      <c r="AZ1984" s="135" t="s">
        <v>62</v>
      </c>
      <c r="BA1984" s="215" t="s">
        <v>3334</v>
      </c>
      <c r="BB1984" s="24" t="s">
        <v>3264</v>
      </c>
      <c r="BC1984" s="132"/>
      <c r="BD1984" s="24"/>
      <c r="BE1984" s="24" t="s">
        <v>8001</v>
      </c>
      <c r="BF1984" s="212"/>
      <c r="BG1984" s="292"/>
      <c r="BH1984" s="215"/>
      <c r="BI1984" s="317" t="s">
        <v>3</v>
      </c>
      <c r="BJ1984" s="317"/>
      <c r="BK1984" s="24"/>
      <c r="BL1984" s="24"/>
      <c r="BM1984" s="24"/>
      <c r="BN1984" s="24"/>
      <c r="BO1984" s="135"/>
      <c r="BP1984" s="135"/>
      <c r="BQ1984" s="135"/>
      <c r="BR1984" s="24"/>
      <c r="BS1984" s="135"/>
      <c r="BT1984" s="135"/>
      <c r="BU1984" s="135"/>
      <c r="BV1984" s="132" t="e">
        <f>IF(#REF!="COMPLETO","OK","PENDIENTE")</f>
        <v>#REF!</v>
      </c>
      <c r="BW1984" s="132"/>
      <c r="BX1984" s="132"/>
      <c r="BY1984" s="132"/>
      <c r="BZ1984" s="132"/>
      <c r="CA1984" s="132"/>
      <c r="CB1984" s="132"/>
      <c r="CC1984" s="380"/>
      <c r="CG1984" s="132"/>
      <c r="CH1984" s="132"/>
      <c r="CI1984" s="24"/>
      <c r="CJ1984" s="24"/>
    </row>
    <row r="1985" spans="1:88" ht="15" customHeight="1">
      <c r="A1985" s="18">
        <v>2022</v>
      </c>
      <c r="B1985" s="18" t="s">
        <v>6191</v>
      </c>
      <c r="C1985" s="360" t="s">
        <v>5398</v>
      </c>
      <c r="D1985" s="150" t="s">
        <v>3</v>
      </c>
      <c r="E1985" s="132" t="s">
        <v>51</v>
      </c>
      <c r="F1985" s="24"/>
      <c r="G1985" s="346">
        <v>8000001965</v>
      </c>
      <c r="H1985" s="18" t="s">
        <v>7601</v>
      </c>
      <c r="I1985" s="352"/>
      <c r="J1985" s="346">
        <v>8000001965</v>
      </c>
      <c r="K1985" s="24">
        <v>44677</v>
      </c>
      <c r="L1985" s="24"/>
      <c r="M1985" s="24"/>
      <c r="N1985" s="340" t="s">
        <v>3</v>
      </c>
      <c r="O1985" s="334">
        <v>203616</v>
      </c>
      <c r="P1985" s="25" t="s">
        <v>8059</v>
      </c>
      <c r="Q1985" s="127" t="s">
        <v>273</v>
      </c>
      <c r="R1985" s="232" t="s">
        <v>7880</v>
      </c>
      <c r="S1985" s="89">
        <v>44663</v>
      </c>
      <c r="T1985" s="36" t="s">
        <v>19</v>
      </c>
      <c r="U1985" s="125"/>
      <c r="V1985" s="147"/>
      <c r="W1985" s="129"/>
      <c r="X1985" s="88"/>
      <c r="Y1985" s="130" t="s">
        <v>3</v>
      </c>
      <c r="Z1985" s="133" t="s">
        <v>60</v>
      </c>
      <c r="AA1985" s="133" t="s">
        <v>6028</v>
      </c>
      <c r="AB1985" s="241">
        <v>3300</v>
      </c>
      <c r="AC1985" s="134">
        <v>451</v>
      </c>
      <c r="AD1985" s="134"/>
      <c r="AE1985" s="403">
        <f t="shared" si="144"/>
        <v>1488300</v>
      </c>
      <c r="AF1985" s="132"/>
      <c r="AG1985" s="130" t="s">
        <v>46</v>
      </c>
      <c r="AH1985" s="130"/>
      <c r="AI1985" s="130" t="s">
        <v>100</v>
      </c>
      <c r="AJ1985" s="130"/>
      <c r="AK1985" s="130"/>
      <c r="AL1985" s="135" t="s">
        <v>7598</v>
      </c>
      <c r="AM1985" s="317">
        <v>2022</v>
      </c>
      <c r="AN1985" s="26">
        <v>44715</v>
      </c>
      <c r="AO1985" s="26">
        <v>44715</v>
      </c>
      <c r="AP1985" s="26">
        <v>44754</v>
      </c>
      <c r="AQ1985" s="385">
        <f>AO1985+40</f>
        <v>44755</v>
      </c>
      <c r="AR1985" s="24">
        <f>AQ1985+2</f>
        <v>44757</v>
      </c>
      <c r="AS1985" s="24"/>
      <c r="AT1985" s="24">
        <v>44760</v>
      </c>
      <c r="AU1985" s="418">
        <f t="shared" si="145"/>
        <v>7</v>
      </c>
      <c r="AV1985" s="418">
        <f t="shared" si="146"/>
        <v>2022</v>
      </c>
      <c r="AW1985" s="24" t="s">
        <v>7874</v>
      </c>
      <c r="AX1985" s="135" t="s">
        <v>5402</v>
      </c>
      <c r="AY1985" s="135"/>
      <c r="AZ1985" s="135" t="s">
        <v>9</v>
      </c>
      <c r="BA1985" s="135" t="s">
        <v>7130</v>
      </c>
      <c r="BB1985" s="24" t="s">
        <v>3264</v>
      </c>
      <c r="BC1985" s="132"/>
      <c r="BD1985" s="24"/>
      <c r="BE1985" s="24" t="s">
        <v>8001</v>
      </c>
      <c r="BF1985" s="132"/>
      <c r="BG1985" s="292"/>
      <c r="BH1985" s="215"/>
      <c r="BI1985" s="317" t="s">
        <v>3</v>
      </c>
      <c r="BJ1985" s="317"/>
      <c r="BK1985" s="24"/>
      <c r="BL1985" s="24"/>
      <c r="BM1985" s="24"/>
      <c r="BN1985" s="24"/>
      <c r="BO1985" s="135"/>
      <c r="BP1985" s="135"/>
      <c r="BQ1985" s="135"/>
      <c r="BR1985" s="24"/>
      <c r="BS1985" s="135"/>
      <c r="BT1985" s="135"/>
      <c r="BU1985" s="135"/>
      <c r="BV1985" s="132" t="e">
        <f>IF(#REF!="COMPLETO","OK","PENDIENTE")</f>
        <v>#REF!</v>
      </c>
      <c r="BW1985" s="132"/>
      <c r="BX1985" s="132"/>
      <c r="BY1985" s="132"/>
      <c r="BZ1985" s="132"/>
      <c r="CA1985" s="132"/>
      <c r="CB1985" s="132"/>
      <c r="CC1985" s="380"/>
      <c r="CG1985" s="24"/>
      <c r="CH1985" s="24"/>
      <c r="CI1985" s="24"/>
      <c r="CJ1985" s="24"/>
    </row>
    <row r="1986" spans="1:88" ht="15" customHeight="1">
      <c r="A1986" s="18">
        <v>2022</v>
      </c>
      <c r="B1986" s="18" t="s">
        <v>6191</v>
      </c>
      <c r="C1986" s="360" t="s">
        <v>5398</v>
      </c>
      <c r="D1986" s="150" t="s">
        <v>3</v>
      </c>
      <c r="E1986" s="132" t="s">
        <v>51</v>
      </c>
      <c r="F1986" s="24"/>
      <c r="G1986" s="346"/>
      <c r="H1986" s="18" t="s">
        <v>7602</v>
      </c>
      <c r="I1986" s="352"/>
      <c r="J1986" s="346"/>
      <c r="K1986" s="24"/>
      <c r="L1986" s="24"/>
      <c r="M1986" s="24"/>
      <c r="N1986" s="340" t="s">
        <v>3</v>
      </c>
      <c r="O1986" s="334">
        <v>203616</v>
      </c>
      <c r="P1986" s="25" t="s">
        <v>8058</v>
      </c>
      <c r="Q1986" s="127" t="s">
        <v>273</v>
      </c>
      <c r="R1986" s="232" t="s">
        <v>7880</v>
      </c>
      <c r="S1986" s="89">
        <v>44663</v>
      </c>
      <c r="T1986" s="36">
        <v>150</v>
      </c>
      <c r="U1986" s="125" t="s">
        <v>8016</v>
      </c>
      <c r="V1986" s="147"/>
      <c r="W1986" s="129"/>
      <c r="X1986" s="88"/>
      <c r="Y1986" s="130" t="s">
        <v>3</v>
      </c>
      <c r="Z1986" s="133" t="s">
        <v>60</v>
      </c>
      <c r="AA1986" s="133" t="s">
        <v>6028</v>
      </c>
      <c r="AB1986" s="241">
        <v>2750</v>
      </c>
      <c r="AC1986" s="134">
        <v>458.23</v>
      </c>
      <c r="AD1986" s="134"/>
      <c r="AE1986" s="403">
        <f t="shared" ref="AE1986:AE2031" si="168">AB1986*AC1986</f>
        <v>1260132.5</v>
      </c>
      <c r="AF1986" s="132"/>
      <c r="AG1986" s="130" t="s">
        <v>46</v>
      </c>
      <c r="AH1986" s="130"/>
      <c r="AI1986" s="130" t="s">
        <v>100</v>
      </c>
      <c r="AJ1986" s="130"/>
      <c r="AK1986" s="130"/>
      <c r="AL1986" s="135" t="s">
        <v>7598</v>
      </c>
      <c r="AM1986" s="317">
        <v>2022</v>
      </c>
      <c r="AN1986" s="26">
        <v>44715</v>
      </c>
      <c r="AO1986" s="26">
        <v>44715</v>
      </c>
      <c r="AP1986" s="26">
        <v>44754</v>
      </c>
      <c r="AQ1986" s="385">
        <f>AQ1985+3</f>
        <v>44758</v>
      </c>
      <c r="AR1986" s="24">
        <f>AQ1986+2</f>
        <v>44760</v>
      </c>
      <c r="AS1986" s="24"/>
      <c r="AT1986" s="24">
        <v>44763</v>
      </c>
      <c r="AU1986" s="418">
        <f t="shared" si="145"/>
        <v>7</v>
      </c>
      <c r="AV1986" s="418">
        <f t="shared" si="146"/>
        <v>2022</v>
      </c>
      <c r="AW1986" s="24" t="s">
        <v>7874</v>
      </c>
      <c r="AX1986" s="135" t="s">
        <v>5402</v>
      </c>
      <c r="AY1986" s="135"/>
      <c r="AZ1986" s="135" t="s">
        <v>25</v>
      </c>
      <c r="BA1986" s="135" t="s">
        <v>7957</v>
      </c>
      <c r="BB1986" s="24" t="s">
        <v>3264</v>
      </c>
      <c r="BC1986" s="132"/>
      <c r="BD1986" s="24"/>
      <c r="BE1986" s="24" t="s">
        <v>8001</v>
      </c>
      <c r="BF1986" s="132"/>
      <c r="BG1986" s="292"/>
      <c r="BH1986" s="215"/>
      <c r="BI1986" s="317" t="s">
        <v>3</v>
      </c>
      <c r="BJ1986" s="317"/>
      <c r="BK1986" s="24"/>
      <c r="BL1986" s="24"/>
      <c r="BM1986" s="24"/>
      <c r="BN1986" s="24"/>
      <c r="BO1986" s="135"/>
      <c r="BP1986" s="135"/>
      <c r="BQ1986" s="135"/>
      <c r="BR1986" s="24"/>
      <c r="BS1986" s="135"/>
      <c r="BT1986" s="135"/>
      <c r="BU1986" s="135"/>
      <c r="BV1986" s="132" t="e">
        <f>IF(#REF!="COMPLETO","OK","PENDIENTE")</f>
        <v>#REF!</v>
      </c>
      <c r="BW1986" s="132"/>
      <c r="BX1986" s="132"/>
      <c r="BY1986" s="132"/>
      <c r="BZ1986" s="132"/>
      <c r="CA1986" s="132"/>
      <c r="CB1986" s="132"/>
      <c r="CC1986" s="380"/>
      <c r="CG1986" s="24"/>
      <c r="CH1986" s="24"/>
      <c r="CI1986" s="24"/>
      <c r="CJ1986" s="24"/>
    </row>
    <row r="1987" spans="1:88" ht="15" customHeight="1">
      <c r="A1987" s="18">
        <v>2022</v>
      </c>
      <c r="B1987" s="18" t="s">
        <v>6191</v>
      </c>
      <c r="C1987" s="360" t="s">
        <v>5398</v>
      </c>
      <c r="D1987" s="150" t="s">
        <v>3</v>
      </c>
      <c r="E1987" s="132" t="s">
        <v>51</v>
      </c>
      <c r="F1987" s="24"/>
      <c r="G1987" s="346"/>
      <c r="H1987" s="18" t="s">
        <v>7603</v>
      </c>
      <c r="I1987" s="352"/>
      <c r="J1987" s="346"/>
      <c r="K1987" s="24"/>
      <c r="L1987" s="24"/>
      <c r="M1987" s="24"/>
      <c r="N1987" s="340" t="s">
        <v>3</v>
      </c>
      <c r="O1987" s="334">
        <v>203616</v>
      </c>
      <c r="P1987" s="25" t="s">
        <v>8059</v>
      </c>
      <c r="Q1987" s="127" t="s">
        <v>273</v>
      </c>
      <c r="R1987" s="232" t="s">
        <v>7880</v>
      </c>
      <c r="S1987" s="89">
        <v>44663</v>
      </c>
      <c r="T1987" s="36" t="s">
        <v>19</v>
      </c>
      <c r="U1987" s="125"/>
      <c r="V1987" s="147"/>
      <c r="W1987" s="129"/>
      <c r="X1987" s="88"/>
      <c r="Y1987" s="130" t="s">
        <v>3</v>
      </c>
      <c r="Z1987" s="133" t="s">
        <v>60</v>
      </c>
      <c r="AA1987" s="133" t="s">
        <v>6028</v>
      </c>
      <c r="AB1987" s="241">
        <v>1300</v>
      </c>
      <c r="AC1987" s="134">
        <v>451</v>
      </c>
      <c r="AD1987" s="134"/>
      <c r="AE1987" s="403">
        <f t="shared" si="168"/>
        <v>586300</v>
      </c>
      <c r="AF1987" s="132"/>
      <c r="AG1987" s="130" t="s">
        <v>46</v>
      </c>
      <c r="AH1987" s="130"/>
      <c r="AI1987" s="130" t="s">
        <v>100</v>
      </c>
      <c r="AJ1987" s="130"/>
      <c r="AK1987" s="130"/>
      <c r="AL1987" s="135" t="s">
        <v>7598</v>
      </c>
      <c r="AM1987" s="317">
        <v>2022</v>
      </c>
      <c r="AN1987" s="26">
        <v>44715</v>
      </c>
      <c r="AO1987" s="26">
        <v>44715</v>
      </c>
      <c r="AP1987" s="26">
        <v>44754</v>
      </c>
      <c r="AQ1987" s="385">
        <f>AR1986+1</f>
        <v>44761</v>
      </c>
      <c r="AR1987" s="24">
        <f>AQ1987+3</f>
        <v>44764</v>
      </c>
      <c r="AS1987" s="24"/>
      <c r="AT1987" s="24">
        <v>44767</v>
      </c>
      <c r="AU1987" s="418">
        <f t="shared" si="145"/>
        <v>7</v>
      </c>
      <c r="AV1987" s="418">
        <f t="shared" si="146"/>
        <v>2022</v>
      </c>
      <c r="AW1987" s="24" t="s">
        <v>7874</v>
      </c>
      <c r="AX1987" s="135" t="s">
        <v>5402</v>
      </c>
      <c r="AY1987" s="135"/>
      <c r="AZ1987" s="135" t="s">
        <v>37</v>
      </c>
      <c r="BA1987" s="135"/>
      <c r="BB1987" s="24" t="s">
        <v>3291</v>
      </c>
      <c r="BC1987" s="132"/>
      <c r="BD1987" s="24"/>
      <c r="BE1987" s="24" t="s">
        <v>8001</v>
      </c>
      <c r="BF1987" s="132"/>
      <c r="BG1987" s="292"/>
      <c r="BH1987" s="215"/>
      <c r="BI1987" s="317" t="s">
        <v>3</v>
      </c>
      <c r="BJ1987" s="317"/>
      <c r="BK1987" s="24"/>
      <c r="BL1987" s="24"/>
      <c r="BM1987" s="24"/>
      <c r="BN1987" s="24"/>
      <c r="BO1987" s="135"/>
      <c r="BP1987" s="135"/>
      <c r="BQ1987" s="135"/>
      <c r="BR1987" s="24"/>
      <c r="BS1987" s="135"/>
      <c r="BT1987" s="135"/>
      <c r="BU1987" s="135"/>
      <c r="BV1987" s="132" t="e">
        <f>IF(#REF!="COMPLETO","OK","PENDIENTE")</f>
        <v>#REF!</v>
      </c>
      <c r="BW1987" s="132"/>
      <c r="BX1987" s="132"/>
      <c r="BY1987" s="132"/>
      <c r="BZ1987" s="132"/>
      <c r="CA1987" s="132"/>
      <c r="CB1987" s="132"/>
      <c r="CC1987" s="380"/>
      <c r="CG1987" s="24"/>
      <c r="CH1987" s="24"/>
      <c r="CI1987" s="24"/>
      <c r="CJ1987" s="24"/>
    </row>
    <row r="1988" spans="1:88" ht="15" customHeight="1">
      <c r="A1988" s="18">
        <v>2022</v>
      </c>
      <c r="B1988" s="18" t="s">
        <v>6191</v>
      </c>
      <c r="C1988" s="360" t="s">
        <v>5398</v>
      </c>
      <c r="D1988" s="150" t="s">
        <v>3</v>
      </c>
      <c r="E1988" s="132" t="s">
        <v>51</v>
      </c>
      <c r="F1988" s="24"/>
      <c r="G1988" s="346"/>
      <c r="H1988" s="18" t="s">
        <v>7604</v>
      </c>
      <c r="I1988" s="352"/>
      <c r="J1988" s="346"/>
      <c r="K1988" s="24"/>
      <c r="L1988" s="24"/>
      <c r="M1988" s="24"/>
      <c r="N1988" s="340" t="s">
        <v>3</v>
      </c>
      <c r="O1988" s="334">
        <v>203616</v>
      </c>
      <c r="P1988" s="25" t="s">
        <v>8059</v>
      </c>
      <c r="Q1988" s="127" t="s">
        <v>273</v>
      </c>
      <c r="R1988" s="232" t="s">
        <v>7880</v>
      </c>
      <c r="S1988" s="89">
        <v>44663</v>
      </c>
      <c r="T1988" s="36" t="s">
        <v>19</v>
      </c>
      <c r="U1988" s="125"/>
      <c r="V1988" s="147"/>
      <c r="W1988" s="129"/>
      <c r="X1988" s="88"/>
      <c r="Y1988" s="130" t="s">
        <v>3</v>
      </c>
      <c r="Z1988" s="133" t="s">
        <v>60</v>
      </c>
      <c r="AA1988" s="133" t="s">
        <v>6028</v>
      </c>
      <c r="AB1988" s="241">
        <v>350</v>
      </c>
      <c r="AC1988" s="134">
        <v>451</v>
      </c>
      <c r="AD1988" s="134"/>
      <c r="AE1988" s="403">
        <f t="shared" si="168"/>
        <v>157850</v>
      </c>
      <c r="AF1988" s="132"/>
      <c r="AG1988" s="130" t="s">
        <v>46</v>
      </c>
      <c r="AH1988" s="130"/>
      <c r="AI1988" s="130" t="s">
        <v>100</v>
      </c>
      <c r="AJ1988" s="130"/>
      <c r="AK1988" s="130"/>
      <c r="AL1988" s="135" t="s">
        <v>7598</v>
      </c>
      <c r="AM1988" s="317">
        <v>2022</v>
      </c>
      <c r="AN1988" s="26">
        <v>44715</v>
      </c>
      <c r="AO1988" s="26">
        <v>44715</v>
      </c>
      <c r="AP1988" s="26">
        <v>44754</v>
      </c>
      <c r="AQ1988" s="385">
        <f>AQ1987+4</f>
        <v>44765</v>
      </c>
      <c r="AR1988" s="24">
        <f>AQ1988+1</f>
        <v>44766</v>
      </c>
      <c r="AS1988" s="24"/>
      <c r="AT1988" s="24">
        <v>44772</v>
      </c>
      <c r="AU1988" s="418">
        <f t="shared" si="145"/>
        <v>7</v>
      </c>
      <c r="AV1988" s="418">
        <f t="shared" si="146"/>
        <v>2022</v>
      </c>
      <c r="AW1988" s="24" t="s">
        <v>7874</v>
      </c>
      <c r="AX1988" s="135" t="s">
        <v>5402</v>
      </c>
      <c r="AY1988" s="135"/>
      <c r="AZ1988" s="135" t="s">
        <v>62</v>
      </c>
      <c r="BA1988" s="135" t="s">
        <v>3334</v>
      </c>
      <c r="BB1988" s="24" t="s">
        <v>3264</v>
      </c>
      <c r="BC1988" s="132"/>
      <c r="BD1988" s="24"/>
      <c r="BE1988" s="24" t="s">
        <v>8001</v>
      </c>
      <c r="BF1988" s="132"/>
      <c r="BG1988" s="292"/>
      <c r="BH1988" s="215"/>
      <c r="BI1988" s="317" t="s">
        <v>3</v>
      </c>
      <c r="BJ1988" s="317"/>
      <c r="BK1988" s="24"/>
      <c r="BL1988" s="24"/>
      <c r="BM1988" s="24"/>
      <c r="BN1988" s="24"/>
      <c r="BO1988" s="135"/>
      <c r="BP1988" s="135"/>
      <c r="BQ1988" s="135"/>
      <c r="BR1988" s="24"/>
      <c r="BS1988" s="135"/>
      <c r="BT1988" s="135"/>
      <c r="BU1988" s="135"/>
      <c r="BV1988" s="132" t="e">
        <f>IF(#REF!="COMPLETO","OK","PENDIENTE")</f>
        <v>#REF!</v>
      </c>
      <c r="BW1988" s="132"/>
      <c r="BX1988" s="132"/>
      <c r="BY1988" s="132"/>
      <c r="BZ1988" s="132"/>
      <c r="CA1988" s="132"/>
      <c r="CB1988" s="132"/>
      <c r="CC1988" s="380"/>
      <c r="CG1988" s="24"/>
      <c r="CH1988" s="24"/>
      <c r="CI1988" s="24"/>
      <c r="CJ1988" s="24"/>
    </row>
    <row r="1989" spans="1:88" ht="15" customHeight="1">
      <c r="A1989" s="18">
        <v>2022</v>
      </c>
      <c r="B1989" s="18" t="s">
        <v>6191</v>
      </c>
      <c r="C1989" s="360" t="s">
        <v>5398</v>
      </c>
      <c r="D1989" s="150" t="s">
        <v>20</v>
      </c>
      <c r="E1989" s="132" t="s">
        <v>51</v>
      </c>
      <c r="F1989" s="24"/>
      <c r="G1989" s="346">
        <v>8000001966</v>
      </c>
      <c r="H1989" s="18" t="s">
        <v>7605</v>
      </c>
      <c r="I1989" s="352"/>
      <c r="J1989" s="346">
        <v>8000001966</v>
      </c>
      <c r="K1989" s="24"/>
      <c r="L1989" s="24"/>
      <c r="M1989" s="24"/>
      <c r="N1989" s="340"/>
      <c r="O1989" s="334"/>
      <c r="P1989" s="25" t="s">
        <v>332</v>
      </c>
      <c r="Q1989" s="127" t="s">
        <v>273</v>
      </c>
      <c r="R1989" s="232" t="s">
        <v>7880</v>
      </c>
      <c r="S1989" s="89">
        <v>44663</v>
      </c>
      <c r="T1989" s="36" t="s">
        <v>19</v>
      </c>
      <c r="U1989" s="125"/>
      <c r="V1989" s="147"/>
      <c r="W1989" s="129"/>
      <c r="X1989" s="88"/>
      <c r="Y1989" s="130" t="s">
        <v>3</v>
      </c>
      <c r="Z1989" s="133" t="s">
        <v>60</v>
      </c>
      <c r="AA1989" s="133" t="s">
        <v>6028</v>
      </c>
      <c r="AB1989" s="241">
        <v>250</v>
      </c>
      <c r="AC1989" s="134">
        <v>509</v>
      </c>
      <c r="AD1989" s="134"/>
      <c r="AE1989" s="403">
        <f t="shared" si="168"/>
        <v>127250</v>
      </c>
      <c r="AF1989" s="132"/>
      <c r="AG1989" s="130" t="s">
        <v>46</v>
      </c>
      <c r="AH1989" s="130"/>
      <c r="AI1989" s="130" t="s">
        <v>100</v>
      </c>
      <c r="AJ1989" s="130"/>
      <c r="AK1989" s="130"/>
      <c r="AL1989" s="135" t="s">
        <v>7598</v>
      </c>
      <c r="AM1989" s="317">
        <v>2022</v>
      </c>
      <c r="AN1989" s="26">
        <v>44708</v>
      </c>
      <c r="AO1989" s="385">
        <v>44718</v>
      </c>
      <c r="AP1989" s="26">
        <v>44754</v>
      </c>
      <c r="AQ1989" s="385">
        <f>AO1989+40</f>
        <v>44758</v>
      </c>
      <c r="AR1989" s="24">
        <f>AQ1989+2</f>
        <v>44760</v>
      </c>
      <c r="AS1989" s="24"/>
      <c r="AT1989" s="24">
        <v>44762</v>
      </c>
      <c r="AU1989" s="418">
        <f t="shared" ref="AU1989:AU2029" si="169">MONTH(AT1989)</f>
        <v>7</v>
      </c>
      <c r="AV1989" s="418">
        <f t="shared" ref="AV1989:AV2029" si="170">YEAR(AT1989)</f>
        <v>2022</v>
      </c>
      <c r="AW1989" s="24" t="s">
        <v>7874</v>
      </c>
      <c r="AX1989" s="135" t="s">
        <v>5402</v>
      </c>
      <c r="AY1989" s="135"/>
      <c r="AZ1989" s="135" t="s">
        <v>9</v>
      </c>
      <c r="BA1989" s="135" t="s">
        <v>7130</v>
      </c>
      <c r="BB1989" s="24" t="s">
        <v>3264</v>
      </c>
      <c r="BC1989" s="132"/>
      <c r="BD1989" s="24"/>
      <c r="BE1989" s="24"/>
      <c r="BF1989" s="132"/>
      <c r="BG1989" s="292"/>
      <c r="BH1989" s="215"/>
      <c r="BI1989" s="317" t="s">
        <v>3</v>
      </c>
      <c r="BJ1989" s="317"/>
      <c r="BK1989" s="24"/>
      <c r="BL1989" s="24"/>
      <c r="BM1989" s="24"/>
      <c r="BN1989" s="24"/>
      <c r="BO1989" s="135"/>
      <c r="BP1989" s="135"/>
      <c r="BQ1989" s="135"/>
      <c r="BR1989" s="24"/>
      <c r="BS1989" s="135"/>
      <c r="BT1989" s="135"/>
      <c r="BU1989" s="135"/>
      <c r="BV1989" s="132" t="e">
        <f>IF(#REF!="COMPLETO","OK","PENDIENTE")</f>
        <v>#REF!</v>
      </c>
      <c r="BW1989" s="132"/>
      <c r="BX1989" s="132"/>
      <c r="BY1989" s="132"/>
      <c r="BZ1989" s="132"/>
      <c r="CA1989" s="132"/>
      <c r="CB1989" s="132"/>
      <c r="CC1989" s="380"/>
      <c r="CG1989" s="24"/>
      <c r="CH1989" s="24"/>
      <c r="CI1989" s="24"/>
      <c r="CJ1989" s="24"/>
    </row>
    <row r="1990" spans="1:88" ht="15" customHeight="1">
      <c r="A1990" s="18">
        <v>2022</v>
      </c>
      <c r="B1990" s="18" t="s">
        <v>6191</v>
      </c>
      <c r="C1990" s="360" t="s">
        <v>5398</v>
      </c>
      <c r="D1990" s="150" t="s">
        <v>20</v>
      </c>
      <c r="E1990" s="132" t="s">
        <v>51</v>
      </c>
      <c r="F1990" s="24"/>
      <c r="G1990" s="346"/>
      <c r="H1990" s="18" t="s">
        <v>7606</v>
      </c>
      <c r="I1990" s="352"/>
      <c r="J1990" s="346"/>
      <c r="K1990" s="24"/>
      <c r="L1990" s="24"/>
      <c r="M1990" s="24"/>
      <c r="N1990" s="340"/>
      <c r="O1990" s="334"/>
      <c r="P1990" s="25" t="s">
        <v>332</v>
      </c>
      <c r="Q1990" s="127" t="s">
        <v>273</v>
      </c>
      <c r="R1990" s="232" t="s">
        <v>7880</v>
      </c>
      <c r="S1990" s="89">
        <v>44663</v>
      </c>
      <c r="T1990" s="36" t="s">
        <v>19</v>
      </c>
      <c r="U1990" s="125"/>
      <c r="V1990" s="147"/>
      <c r="W1990" s="129"/>
      <c r="X1990" s="88"/>
      <c r="Y1990" s="130" t="s">
        <v>3</v>
      </c>
      <c r="Z1990" s="133" t="s">
        <v>60</v>
      </c>
      <c r="AA1990" s="133" t="s">
        <v>6028</v>
      </c>
      <c r="AB1990" s="241">
        <v>100</v>
      </c>
      <c r="AC1990" s="134">
        <v>509</v>
      </c>
      <c r="AD1990" s="134"/>
      <c r="AE1990" s="403">
        <f t="shared" si="168"/>
        <v>50900</v>
      </c>
      <c r="AF1990" s="132"/>
      <c r="AG1990" s="130" t="s">
        <v>46</v>
      </c>
      <c r="AH1990" s="130"/>
      <c r="AI1990" s="130" t="s">
        <v>100</v>
      </c>
      <c r="AJ1990" s="130"/>
      <c r="AK1990" s="130"/>
      <c r="AL1990" s="135" t="s">
        <v>7598</v>
      </c>
      <c r="AM1990" s="317">
        <v>2022</v>
      </c>
      <c r="AN1990" s="26">
        <v>44708</v>
      </c>
      <c r="AO1990" s="385">
        <v>44718</v>
      </c>
      <c r="AP1990" s="26">
        <v>44754</v>
      </c>
      <c r="AQ1990" s="385">
        <f>AQ1989+3</f>
        <v>44761</v>
      </c>
      <c r="AR1990" s="24">
        <f>AQ1990+2</f>
        <v>44763</v>
      </c>
      <c r="AS1990" s="24"/>
      <c r="AT1990" s="24">
        <v>44764</v>
      </c>
      <c r="AU1990" s="418">
        <f t="shared" si="169"/>
        <v>7</v>
      </c>
      <c r="AV1990" s="418">
        <f t="shared" si="170"/>
        <v>2022</v>
      </c>
      <c r="AW1990" s="24" t="s">
        <v>7874</v>
      </c>
      <c r="AX1990" s="135" t="s">
        <v>5402</v>
      </c>
      <c r="AY1990" s="135"/>
      <c r="AZ1990" s="135" t="s">
        <v>25</v>
      </c>
      <c r="BA1990" s="135" t="s">
        <v>7957</v>
      </c>
      <c r="BB1990" s="24" t="s">
        <v>3264</v>
      </c>
      <c r="BC1990" s="132"/>
      <c r="BD1990" s="24"/>
      <c r="BE1990" s="24"/>
      <c r="BF1990" s="132"/>
      <c r="BG1990" s="292"/>
      <c r="BH1990" s="215"/>
      <c r="BI1990" s="317" t="s">
        <v>3</v>
      </c>
      <c r="BJ1990" s="317"/>
      <c r="BK1990" s="24"/>
      <c r="BL1990" s="24"/>
      <c r="BM1990" s="24"/>
      <c r="BN1990" s="24"/>
      <c r="BO1990" s="135"/>
      <c r="BP1990" s="135"/>
      <c r="BQ1990" s="135"/>
      <c r="BR1990" s="24"/>
      <c r="BS1990" s="135"/>
      <c r="BT1990" s="135"/>
      <c r="BU1990" s="135"/>
      <c r="BV1990" s="132" t="e">
        <f>IF(#REF!="COMPLETO","OK","PENDIENTE")</f>
        <v>#REF!</v>
      </c>
      <c r="BW1990" s="132"/>
      <c r="BX1990" s="132"/>
      <c r="BY1990" s="132"/>
      <c r="BZ1990" s="132"/>
      <c r="CA1990" s="132"/>
      <c r="CB1990" s="132"/>
      <c r="CC1990" s="380"/>
      <c r="CG1990" s="24"/>
      <c r="CH1990" s="24"/>
      <c r="CI1990" s="24"/>
      <c r="CJ1990" s="24"/>
    </row>
    <row r="1991" spans="1:88" ht="15" customHeight="1">
      <c r="A1991" s="18">
        <v>2022</v>
      </c>
      <c r="B1991" s="18" t="s">
        <v>6191</v>
      </c>
      <c r="C1991" s="360" t="s">
        <v>5398</v>
      </c>
      <c r="D1991" s="150" t="s">
        <v>20</v>
      </c>
      <c r="E1991" s="132" t="s">
        <v>51</v>
      </c>
      <c r="F1991" s="24"/>
      <c r="G1991" s="346"/>
      <c r="H1991" s="18" t="s">
        <v>7607</v>
      </c>
      <c r="I1991" s="352"/>
      <c r="J1991" s="346"/>
      <c r="K1991" s="24"/>
      <c r="L1991" s="24"/>
      <c r="M1991" s="24"/>
      <c r="N1991" s="340"/>
      <c r="O1991" s="334"/>
      <c r="P1991" s="25" t="s">
        <v>332</v>
      </c>
      <c r="Q1991" s="127" t="s">
        <v>273</v>
      </c>
      <c r="R1991" s="232" t="s">
        <v>7880</v>
      </c>
      <c r="S1991" s="89">
        <v>44663</v>
      </c>
      <c r="T1991" s="36" t="s">
        <v>19</v>
      </c>
      <c r="U1991" s="125"/>
      <c r="V1991" s="147"/>
      <c r="W1991" s="129"/>
      <c r="X1991" s="88"/>
      <c r="Y1991" s="130" t="s">
        <v>3</v>
      </c>
      <c r="Z1991" s="133" t="s">
        <v>60</v>
      </c>
      <c r="AA1991" s="133" t="s">
        <v>6028</v>
      </c>
      <c r="AB1991" s="241">
        <v>150</v>
      </c>
      <c r="AC1991" s="134">
        <v>509</v>
      </c>
      <c r="AD1991" s="134"/>
      <c r="AE1991" s="403">
        <f t="shared" si="168"/>
        <v>76350</v>
      </c>
      <c r="AF1991" s="132"/>
      <c r="AG1991" s="130" t="s">
        <v>46</v>
      </c>
      <c r="AH1991" s="130"/>
      <c r="AI1991" s="130" t="s">
        <v>100</v>
      </c>
      <c r="AJ1991" s="130"/>
      <c r="AK1991" s="130"/>
      <c r="AL1991" s="135" t="s">
        <v>7598</v>
      </c>
      <c r="AM1991" s="317">
        <v>2022</v>
      </c>
      <c r="AN1991" s="26">
        <v>44708</v>
      </c>
      <c r="AO1991" s="385">
        <v>44718</v>
      </c>
      <c r="AP1991" s="26">
        <v>44754</v>
      </c>
      <c r="AQ1991" s="385">
        <f>AQ1994+4</f>
        <v>44762</v>
      </c>
      <c r="AR1991" s="24">
        <f>AQ1991+3</f>
        <v>44765</v>
      </c>
      <c r="AS1991" s="24"/>
      <c r="AT1991" s="24">
        <v>44772</v>
      </c>
      <c r="AU1991" s="418">
        <f t="shared" si="169"/>
        <v>7</v>
      </c>
      <c r="AV1991" s="418">
        <f t="shared" si="170"/>
        <v>2022</v>
      </c>
      <c r="AW1991" s="24" t="s">
        <v>7874</v>
      </c>
      <c r="AX1991" s="135" t="s">
        <v>5402</v>
      </c>
      <c r="AY1991" s="135"/>
      <c r="AZ1991" s="135" t="s">
        <v>37</v>
      </c>
      <c r="BA1991" s="135"/>
      <c r="BB1991" s="24" t="s">
        <v>3291</v>
      </c>
      <c r="BC1991" s="132"/>
      <c r="BD1991" s="24"/>
      <c r="BE1991" s="24"/>
      <c r="BF1991" s="132"/>
      <c r="BG1991" s="292"/>
      <c r="BH1991" s="215"/>
      <c r="BI1991" s="317" t="s">
        <v>3</v>
      </c>
      <c r="BJ1991" s="317"/>
      <c r="BK1991" s="24"/>
      <c r="BL1991" s="24"/>
      <c r="BM1991" s="24"/>
      <c r="BN1991" s="24"/>
      <c r="BO1991" s="135"/>
      <c r="BP1991" s="135"/>
      <c r="BQ1991" s="135"/>
      <c r="BR1991" s="24"/>
      <c r="BS1991" s="135"/>
      <c r="BT1991" s="135"/>
      <c r="BU1991" s="135"/>
      <c r="BV1991" s="132" t="e">
        <f>IF(#REF!="COMPLETO","OK","PENDIENTE")</f>
        <v>#REF!</v>
      </c>
      <c r="BW1991" s="132"/>
      <c r="BX1991" s="132"/>
      <c r="BY1991" s="132"/>
      <c r="BZ1991" s="132"/>
      <c r="CA1991" s="132"/>
      <c r="CB1991" s="132"/>
      <c r="CC1991" s="380"/>
      <c r="CG1991" s="24"/>
      <c r="CH1991" s="24"/>
      <c r="CI1991" s="24"/>
      <c r="CJ1991" s="24"/>
    </row>
    <row r="1992" spans="1:88" ht="15" customHeight="1">
      <c r="A1992" s="18">
        <v>2022</v>
      </c>
      <c r="B1992" s="18" t="s">
        <v>6191</v>
      </c>
      <c r="C1992" s="360" t="s">
        <v>5398</v>
      </c>
      <c r="D1992" s="150" t="s">
        <v>20</v>
      </c>
      <c r="E1992" s="132" t="s">
        <v>51</v>
      </c>
      <c r="F1992" s="24"/>
      <c r="G1992" s="346"/>
      <c r="H1992" s="18" t="s">
        <v>7608</v>
      </c>
      <c r="I1992" s="352"/>
      <c r="J1992" s="346"/>
      <c r="K1992" s="24"/>
      <c r="L1992" s="24"/>
      <c r="M1992" s="24"/>
      <c r="N1992" s="340"/>
      <c r="O1992" s="334"/>
      <c r="P1992" s="25" t="s">
        <v>332</v>
      </c>
      <c r="Q1992" s="127" t="s">
        <v>273</v>
      </c>
      <c r="R1992" s="232" t="s">
        <v>7880</v>
      </c>
      <c r="S1992" s="89">
        <v>44663</v>
      </c>
      <c r="T1992" s="36" t="s">
        <v>19</v>
      </c>
      <c r="U1992" s="125"/>
      <c r="V1992" s="147"/>
      <c r="W1992" s="129"/>
      <c r="X1992" s="88"/>
      <c r="Y1992" s="130" t="s">
        <v>3</v>
      </c>
      <c r="Z1992" s="133" t="s">
        <v>60</v>
      </c>
      <c r="AA1992" s="133" t="s">
        <v>6028</v>
      </c>
      <c r="AB1992" s="241">
        <v>500</v>
      </c>
      <c r="AC1992" s="134">
        <v>509</v>
      </c>
      <c r="AD1992" s="134"/>
      <c r="AE1992" s="403">
        <f t="shared" si="168"/>
        <v>254500</v>
      </c>
      <c r="AF1992" s="132"/>
      <c r="AG1992" s="130" t="s">
        <v>46</v>
      </c>
      <c r="AH1992" s="130"/>
      <c r="AI1992" s="130" t="s">
        <v>100</v>
      </c>
      <c r="AJ1992" s="130"/>
      <c r="AK1992" s="130"/>
      <c r="AL1992" s="135" t="s">
        <v>7598</v>
      </c>
      <c r="AM1992" s="317">
        <v>2022</v>
      </c>
      <c r="AN1992" s="26">
        <v>44708</v>
      </c>
      <c r="AO1992" s="385">
        <v>44718</v>
      </c>
      <c r="AP1992" s="26">
        <v>44754</v>
      </c>
      <c r="AQ1992" s="385">
        <f>AQ1991+4</f>
        <v>44766</v>
      </c>
      <c r="AR1992" s="24">
        <f>AQ1992+1</f>
        <v>44767</v>
      </c>
      <c r="AS1992" s="24"/>
      <c r="AT1992" s="24">
        <v>44774</v>
      </c>
      <c r="AU1992" s="418">
        <f t="shared" si="169"/>
        <v>8</v>
      </c>
      <c r="AV1992" s="418">
        <f t="shared" si="170"/>
        <v>2022</v>
      </c>
      <c r="AW1992" s="24" t="s">
        <v>7874</v>
      </c>
      <c r="AX1992" s="135" t="s">
        <v>5402</v>
      </c>
      <c r="AY1992" s="135"/>
      <c r="AZ1992" s="135" t="s">
        <v>62</v>
      </c>
      <c r="BA1992" s="135" t="s">
        <v>3334</v>
      </c>
      <c r="BB1992" s="24" t="s">
        <v>3264</v>
      </c>
      <c r="BC1992" s="132"/>
      <c r="BD1992" s="24"/>
      <c r="BE1992" s="24"/>
      <c r="BF1992" s="132"/>
      <c r="BG1992" s="292"/>
      <c r="BH1992" s="215"/>
      <c r="BI1992" s="317" t="s">
        <v>3</v>
      </c>
      <c r="BJ1992" s="317"/>
      <c r="BK1992" s="24"/>
      <c r="BL1992" s="24"/>
      <c r="BM1992" s="24"/>
      <c r="BN1992" s="24"/>
      <c r="BO1992" s="135"/>
      <c r="BP1992" s="135"/>
      <c r="BQ1992" s="135"/>
      <c r="BR1992" s="24"/>
      <c r="BS1992" s="135"/>
      <c r="BT1992" s="135"/>
      <c r="BU1992" s="135"/>
      <c r="BV1992" s="132" t="e">
        <f>IF(#REF!="COMPLETO","OK","PENDIENTE")</f>
        <v>#REF!</v>
      </c>
      <c r="BW1992" s="132"/>
      <c r="BX1992" s="132"/>
      <c r="BY1992" s="132"/>
      <c r="BZ1992" s="132"/>
      <c r="CA1992" s="132"/>
      <c r="CB1992" s="132"/>
      <c r="CC1992" s="380"/>
      <c r="CG1992" s="24"/>
      <c r="CH1992" s="24"/>
      <c r="CI1992" s="24"/>
      <c r="CJ1992" s="24"/>
    </row>
    <row r="1993" spans="1:88" ht="15" customHeight="1">
      <c r="A1993" s="18">
        <v>2022</v>
      </c>
      <c r="B1993" s="18" t="s">
        <v>6338</v>
      </c>
      <c r="C1993" s="360" t="s">
        <v>5398</v>
      </c>
      <c r="D1993" s="150" t="s">
        <v>3</v>
      </c>
      <c r="E1993" s="132" t="s">
        <v>7904</v>
      </c>
      <c r="F1993" s="24"/>
      <c r="G1993" s="346"/>
      <c r="H1993" s="18" t="s">
        <v>7609</v>
      </c>
      <c r="I1993" s="329" t="s">
        <v>7600</v>
      </c>
      <c r="J1993" s="346"/>
      <c r="K1993" s="24"/>
      <c r="L1993" s="24"/>
      <c r="M1993" s="24"/>
      <c r="N1993" s="340" t="s">
        <v>3</v>
      </c>
      <c r="O1993" s="334">
        <v>206569</v>
      </c>
      <c r="P1993" s="25" t="s">
        <v>8060</v>
      </c>
      <c r="Q1993" s="127" t="s">
        <v>273</v>
      </c>
      <c r="R1993" s="232" t="s">
        <v>7880</v>
      </c>
      <c r="S1993" s="89">
        <v>44663</v>
      </c>
      <c r="T1993" s="36">
        <v>150</v>
      </c>
      <c r="U1993" s="125" t="s">
        <v>8016</v>
      </c>
      <c r="V1993" s="147"/>
      <c r="W1993" s="129"/>
      <c r="X1993" s="88"/>
      <c r="Y1993" s="130" t="s">
        <v>3</v>
      </c>
      <c r="Z1993" s="133" t="s">
        <v>60</v>
      </c>
      <c r="AA1993" s="133" t="s">
        <v>6028</v>
      </c>
      <c r="AB1993" s="241">
        <v>300</v>
      </c>
      <c r="AC1993" s="134">
        <v>1197.9100000000001</v>
      </c>
      <c r="AD1993" s="134"/>
      <c r="AE1993" s="403">
        <f t="shared" si="168"/>
        <v>359373</v>
      </c>
      <c r="AF1993" s="132"/>
      <c r="AG1993" s="130" t="s">
        <v>46</v>
      </c>
      <c r="AH1993" s="130"/>
      <c r="AI1993" s="130" t="s">
        <v>100</v>
      </c>
      <c r="AJ1993" s="130"/>
      <c r="AK1993" s="130"/>
      <c r="AL1993" s="135" t="s">
        <v>7598</v>
      </c>
      <c r="AM1993" s="317">
        <v>2022</v>
      </c>
      <c r="AN1993" s="26">
        <v>44715</v>
      </c>
      <c r="AO1993" s="26">
        <v>44715</v>
      </c>
      <c r="AP1993" s="26">
        <v>44754</v>
      </c>
      <c r="AQ1993" s="385">
        <f>AO1993+40</f>
        <v>44755</v>
      </c>
      <c r="AR1993" s="24">
        <f>AQ1993+2</f>
        <v>44757</v>
      </c>
      <c r="AS1993" s="24"/>
      <c r="AT1993" s="24">
        <v>44760</v>
      </c>
      <c r="AU1993" s="418">
        <f t="shared" si="169"/>
        <v>7</v>
      </c>
      <c r="AV1993" s="418">
        <f t="shared" si="170"/>
        <v>2022</v>
      </c>
      <c r="AW1993" s="24" t="s">
        <v>7874</v>
      </c>
      <c r="AX1993" s="135" t="s">
        <v>5402</v>
      </c>
      <c r="AY1993" s="135"/>
      <c r="AZ1993" s="135" t="s">
        <v>9</v>
      </c>
      <c r="BA1993" s="135" t="s">
        <v>7130</v>
      </c>
      <c r="BB1993" s="24" t="s">
        <v>3264</v>
      </c>
      <c r="BC1993" s="132"/>
      <c r="BD1993" s="24"/>
      <c r="BE1993" s="24" t="s">
        <v>8001</v>
      </c>
      <c r="BF1993" s="132"/>
      <c r="BG1993" s="292"/>
      <c r="BH1993" s="215"/>
      <c r="BI1993" s="317" t="s">
        <v>3</v>
      </c>
      <c r="BJ1993" s="317"/>
      <c r="BK1993" s="24"/>
      <c r="BL1993" s="24"/>
      <c r="BM1993" s="24"/>
      <c r="BN1993" s="24"/>
      <c r="BO1993" s="135"/>
      <c r="BP1993" s="135"/>
      <c r="BQ1993" s="135"/>
      <c r="BR1993" s="24"/>
      <c r="BS1993" s="135"/>
      <c r="BT1993" s="135"/>
      <c r="BU1993" s="135"/>
      <c r="BV1993" s="132" t="e">
        <f>IF(#REF!="COMPLETO","OK","PENDIENTE")</f>
        <v>#REF!</v>
      </c>
      <c r="BW1993" s="132"/>
      <c r="BX1993" s="132"/>
      <c r="BY1993" s="132"/>
      <c r="BZ1993" s="132"/>
      <c r="CA1993" s="132"/>
      <c r="CB1993" s="132"/>
      <c r="CC1993" s="380"/>
      <c r="CG1993" s="24"/>
      <c r="CH1993" s="24"/>
      <c r="CI1993" s="24"/>
      <c r="CJ1993" s="24"/>
    </row>
    <row r="1994" spans="1:88" ht="15" customHeight="1">
      <c r="A1994" s="18">
        <v>2022</v>
      </c>
      <c r="B1994" s="18" t="s">
        <v>6338</v>
      </c>
      <c r="C1994" s="360" t="s">
        <v>5398</v>
      </c>
      <c r="D1994" s="150" t="s">
        <v>3</v>
      </c>
      <c r="E1994" s="132" t="s">
        <v>7904</v>
      </c>
      <c r="F1994" s="24"/>
      <c r="G1994" s="346"/>
      <c r="H1994" s="18" t="s">
        <v>7610</v>
      </c>
      <c r="I1994" s="329" t="s">
        <v>7600</v>
      </c>
      <c r="J1994" s="346"/>
      <c r="K1994" s="24"/>
      <c r="L1994" s="24"/>
      <c r="M1994" s="24"/>
      <c r="N1994" s="340" t="s">
        <v>3</v>
      </c>
      <c r="O1994" s="334">
        <v>206569</v>
      </c>
      <c r="P1994" s="25" t="s">
        <v>8060</v>
      </c>
      <c r="Q1994" s="127" t="s">
        <v>273</v>
      </c>
      <c r="R1994" s="232" t="s">
        <v>7880</v>
      </c>
      <c r="S1994" s="89">
        <v>44663</v>
      </c>
      <c r="T1994" s="36">
        <v>150</v>
      </c>
      <c r="U1994" s="125" t="s">
        <v>8016</v>
      </c>
      <c r="V1994" s="147"/>
      <c r="W1994" s="129"/>
      <c r="X1994" s="88"/>
      <c r="Y1994" s="130" t="s">
        <v>3</v>
      </c>
      <c r="Z1994" s="133" t="s">
        <v>60</v>
      </c>
      <c r="AA1994" s="133" t="s">
        <v>6028</v>
      </c>
      <c r="AB1994" s="241">
        <v>800</v>
      </c>
      <c r="AC1994" s="134">
        <v>1197.9100000000001</v>
      </c>
      <c r="AD1994" s="134"/>
      <c r="AE1994" s="403">
        <f t="shared" si="168"/>
        <v>958328.00000000012</v>
      </c>
      <c r="AF1994" s="132"/>
      <c r="AG1994" s="130" t="s">
        <v>46</v>
      </c>
      <c r="AH1994" s="130"/>
      <c r="AI1994" s="130" t="s">
        <v>100</v>
      </c>
      <c r="AJ1994" s="130"/>
      <c r="AK1994" s="130"/>
      <c r="AL1994" s="135" t="s">
        <v>7598</v>
      </c>
      <c r="AM1994" s="317">
        <v>2022</v>
      </c>
      <c r="AN1994" s="26">
        <v>44715</v>
      </c>
      <c r="AO1994" s="26">
        <v>44715</v>
      </c>
      <c r="AP1994" s="26">
        <v>44754</v>
      </c>
      <c r="AQ1994" s="385">
        <f>AQ1993+3</f>
        <v>44758</v>
      </c>
      <c r="AR1994" s="24">
        <f>AQ1994+2</f>
        <v>44760</v>
      </c>
      <c r="AS1994" s="24"/>
      <c r="AT1994" s="24">
        <v>44763</v>
      </c>
      <c r="AU1994" s="418">
        <f t="shared" si="169"/>
        <v>7</v>
      </c>
      <c r="AV1994" s="418">
        <f t="shared" si="170"/>
        <v>2022</v>
      </c>
      <c r="AW1994" s="24" t="s">
        <v>7874</v>
      </c>
      <c r="AX1994" s="135" t="s">
        <v>5402</v>
      </c>
      <c r="AY1994" s="135"/>
      <c r="AZ1994" s="135" t="s">
        <v>25</v>
      </c>
      <c r="BA1994" s="135" t="s">
        <v>7957</v>
      </c>
      <c r="BB1994" s="24" t="s">
        <v>3264</v>
      </c>
      <c r="BC1994" s="132"/>
      <c r="BD1994" s="24"/>
      <c r="BE1994" s="24" t="s">
        <v>8001</v>
      </c>
      <c r="BF1994" s="132"/>
      <c r="BG1994" s="292"/>
      <c r="BH1994" s="215"/>
      <c r="BI1994" s="317" t="s">
        <v>3</v>
      </c>
      <c r="BJ1994" s="317"/>
      <c r="BK1994" s="24"/>
      <c r="BL1994" s="24"/>
      <c r="BM1994" s="24"/>
      <c r="BN1994" s="24"/>
      <c r="BO1994" s="135"/>
      <c r="BP1994" s="135"/>
      <c r="BQ1994" s="135"/>
      <c r="BR1994" s="24"/>
      <c r="BS1994" s="135"/>
      <c r="BT1994" s="135"/>
      <c r="BU1994" s="135"/>
      <c r="BV1994" s="132" t="e">
        <f>IF(#REF!="COMPLETO","OK","PENDIENTE")</f>
        <v>#REF!</v>
      </c>
      <c r="BW1994" s="132"/>
      <c r="BX1994" s="132"/>
      <c r="BY1994" s="132"/>
      <c r="BZ1994" s="132"/>
      <c r="CA1994" s="132"/>
      <c r="CB1994" s="132"/>
      <c r="CC1994" s="380"/>
      <c r="CG1994" s="24"/>
      <c r="CH1994" s="24"/>
      <c r="CI1994" s="24"/>
      <c r="CJ1994" s="24"/>
    </row>
    <row r="1995" spans="1:88" ht="15" customHeight="1">
      <c r="A1995" s="18">
        <v>2022</v>
      </c>
      <c r="B1995" s="18" t="s">
        <v>6338</v>
      </c>
      <c r="C1995" s="360" t="s">
        <v>5398</v>
      </c>
      <c r="D1995" s="150" t="s">
        <v>3</v>
      </c>
      <c r="E1995" s="132" t="s">
        <v>7904</v>
      </c>
      <c r="F1995" s="24"/>
      <c r="G1995" s="346"/>
      <c r="H1995" s="18" t="s">
        <v>7611</v>
      </c>
      <c r="I1995" s="329" t="s">
        <v>7600</v>
      </c>
      <c r="J1995" s="346"/>
      <c r="K1995" s="24"/>
      <c r="L1995" s="24"/>
      <c r="M1995" s="24"/>
      <c r="N1995" s="340" t="s">
        <v>3</v>
      </c>
      <c r="O1995" s="334">
        <v>206569</v>
      </c>
      <c r="P1995" s="25" t="s">
        <v>8060</v>
      </c>
      <c r="Q1995" s="127" t="s">
        <v>273</v>
      </c>
      <c r="R1995" s="232" t="s">
        <v>7880</v>
      </c>
      <c r="S1995" s="89">
        <v>44663</v>
      </c>
      <c r="T1995" s="36">
        <v>150</v>
      </c>
      <c r="U1995" s="125" t="s">
        <v>8016</v>
      </c>
      <c r="V1995" s="147"/>
      <c r="W1995" s="129"/>
      <c r="X1995" s="88"/>
      <c r="Y1995" s="130" t="s">
        <v>3</v>
      </c>
      <c r="Z1995" s="133" t="s">
        <v>60</v>
      </c>
      <c r="AA1995" s="133" t="s">
        <v>6028</v>
      </c>
      <c r="AB1995" s="241">
        <v>1800</v>
      </c>
      <c r="AC1995" s="134">
        <v>1197.9100000000001</v>
      </c>
      <c r="AD1995" s="134"/>
      <c r="AE1995" s="403">
        <f t="shared" si="168"/>
        <v>2156238</v>
      </c>
      <c r="AF1995" s="132"/>
      <c r="AG1995" s="130" t="s">
        <v>46</v>
      </c>
      <c r="AH1995" s="130"/>
      <c r="AI1995" s="130" t="s">
        <v>100</v>
      </c>
      <c r="AJ1995" s="130"/>
      <c r="AK1995" s="130"/>
      <c r="AL1995" s="135" t="s">
        <v>7598</v>
      </c>
      <c r="AM1995" s="317">
        <v>2022</v>
      </c>
      <c r="AN1995" s="26">
        <v>44715</v>
      </c>
      <c r="AO1995" s="26">
        <v>44715</v>
      </c>
      <c r="AP1995" s="26">
        <v>44754</v>
      </c>
      <c r="AQ1995" s="385">
        <f>AR1994+1</f>
        <v>44761</v>
      </c>
      <c r="AR1995" s="24">
        <f>AQ1995+3</f>
        <v>44764</v>
      </c>
      <c r="AS1995" s="24"/>
      <c r="AT1995" s="24">
        <v>44768</v>
      </c>
      <c r="AU1995" s="418">
        <f t="shared" si="169"/>
        <v>7</v>
      </c>
      <c r="AV1995" s="418">
        <f t="shared" si="170"/>
        <v>2022</v>
      </c>
      <c r="AW1995" s="24" t="s">
        <v>7874</v>
      </c>
      <c r="AX1995" s="135" t="s">
        <v>5402</v>
      </c>
      <c r="AY1995" s="135"/>
      <c r="AZ1995" s="135" t="s">
        <v>37</v>
      </c>
      <c r="BA1995" s="135"/>
      <c r="BB1995" s="24" t="s">
        <v>3291</v>
      </c>
      <c r="BC1995" s="132"/>
      <c r="BD1995" s="24"/>
      <c r="BE1995" s="24" t="s">
        <v>8001</v>
      </c>
      <c r="BF1995" s="132"/>
      <c r="BG1995" s="292"/>
      <c r="BH1995" s="215"/>
      <c r="BI1995" s="317" t="s">
        <v>3</v>
      </c>
      <c r="BJ1995" s="317"/>
      <c r="BK1995" s="24"/>
      <c r="BL1995" s="24"/>
      <c r="BM1995" s="24"/>
      <c r="BN1995" s="24"/>
      <c r="BO1995" s="135"/>
      <c r="BP1995" s="135"/>
      <c r="BQ1995" s="135"/>
      <c r="BR1995" s="24"/>
      <c r="BS1995" s="135"/>
      <c r="BT1995" s="135"/>
      <c r="BU1995" s="135"/>
      <c r="BV1995" s="132" t="e">
        <f>IF(#REF!="COMPLETO","OK","PENDIENTE")</f>
        <v>#REF!</v>
      </c>
      <c r="BW1995" s="132"/>
      <c r="BX1995" s="132"/>
      <c r="BY1995" s="132"/>
      <c r="BZ1995" s="132"/>
      <c r="CA1995" s="132"/>
      <c r="CB1995" s="132"/>
      <c r="CC1995" s="380"/>
      <c r="CG1995" s="24"/>
      <c r="CH1995" s="24"/>
      <c r="CI1995" s="24"/>
      <c r="CJ1995" s="24"/>
    </row>
    <row r="1996" spans="1:88" ht="15" customHeight="1">
      <c r="A1996" s="18">
        <v>2022</v>
      </c>
      <c r="B1996" s="18" t="s">
        <v>6338</v>
      </c>
      <c r="C1996" s="360" t="s">
        <v>5398</v>
      </c>
      <c r="D1996" s="150" t="s">
        <v>3</v>
      </c>
      <c r="E1996" s="132" t="s">
        <v>7904</v>
      </c>
      <c r="F1996" s="24"/>
      <c r="G1996" s="453">
        <v>8000001964</v>
      </c>
      <c r="H1996" s="18" t="s">
        <v>7612</v>
      </c>
      <c r="I1996" s="329" t="s">
        <v>7600</v>
      </c>
      <c r="J1996" s="453">
        <v>8000001964</v>
      </c>
      <c r="K1996" s="454">
        <v>44677</v>
      </c>
      <c r="L1996" s="24"/>
      <c r="M1996" s="24"/>
      <c r="N1996" s="340" t="s">
        <v>3</v>
      </c>
      <c r="O1996" s="334">
        <v>206569</v>
      </c>
      <c r="P1996" s="25" t="s">
        <v>8060</v>
      </c>
      <c r="Q1996" s="127" t="s">
        <v>273</v>
      </c>
      <c r="R1996" s="232" t="s">
        <v>7880</v>
      </c>
      <c r="S1996" s="89">
        <v>44663</v>
      </c>
      <c r="T1996" s="36">
        <v>150</v>
      </c>
      <c r="U1996" s="125" t="s">
        <v>8016</v>
      </c>
      <c r="V1996" s="147"/>
      <c r="W1996" s="129"/>
      <c r="X1996" s="88"/>
      <c r="Y1996" s="130" t="s">
        <v>3</v>
      </c>
      <c r="Z1996" s="133" t="s">
        <v>60</v>
      </c>
      <c r="AA1996" s="133" t="s">
        <v>6028</v>
      </c>
      <c r="AB1996" s="241">
        <v>4600</v>
      </c>
      <c r="AC1996" s="134">
        <v>1197.9100000000001</v>
      </c>
      <c r="AD1996" s="134"/>
      <c r="AE1996" s="403">
        <f t="shared" si="168"/>
        <v>5510386</v>
      </c>
      <c r="AF1996" s="132"/>
      <c r="AG1996" s="130" t="s">
        <v>46</v>
      </c>
      <c r="AH1996" s="130"/>
      <c r="AI1996" s="130" t="s">
        <v>100</v>
      </c>
      <c r="AJ1996" s="130"/>
      <c r="AK1996" s="130"/>
      <c r="AL1996" s="135" t="s">
        <v>7598</v>
      </c>
      <c r="AM1996" s="317">
        <v>2022</v>
      </c>
      <c r="AN1996" s="26">
        <v>44715</v>
      </c>
      <c r="AO1996" s="26">
        <v>44715</v>
      </c>
      <c r="AP1996" s="26">
        <v>44754</v>
      </c>
      <c r="AQ1996" s="385">
        <f>AQ1995+4</f>
        <v>44765</v>
      </c>
      <c r="AR1996" s="24">
        <f>AQ1996+1</f>
        <v>44766</v>
      </c>
      <c r="AS1996" s="24"/>
      <c r="AT1996" s="24">
        <v>44772</v>
      </c>
      <c r="AU1996" s="418">
        <f t="shared" si="169"/>
        <v>7</v>
      </c>
      <c r="AV1996" s="418">
        <f t="shared" si="170"/>
        <v>2022</v>
      </c>
      <c r="AW1996" s="24" t="s">
        <v>7874</v>
      </c>
      <c r="AX1996" s="135" t="s">
        <v>5402</v>
      </c>
      <c r="AY1996" s="135"/>
      <c r="AZ1996" s="135" t="s">
        <v>62</v>
      </c>
      <c r="BA1996" s="135" t="s">
        <v>3334</v>
      </c>
      <c r="BB1996" s="24" t="s">
        <v>3264</v>
      </c>
      <c r="BC1996" s="132"/>
      <c r="BD1996" s="24"/>
      <c r="BE1996" s="24" t="s">
        <v>8001</v>
      </c>
      <c r="BF1996" s="132"/>
      <c r="BG1996" s="292"/>
      <c r="BH1996" s="215"/>
      <c r="BI1996" s="317" t="s">
        <v>3</v>
      </c>
      <c r="BJ1996" s="317"/>
      <c r="BK1996" s="24"/>
      <c r="BL1996" s="24"/>
      <c r="BM1996" s="24"/>
      <c r="BN1996" s="24"/>
      <c r="BO1996" s="24"/>
      <c r="BP1996" s="24"/>
      <c r="BQ1996" s="24"/>
      <c r="BR1996" s="24"/>
      <c r="BS1996" s="24"/>
      <c r="BT1996" s="24"/>
      <c r="BU1996" s="24"/>
      <c r="BV1996" s="132" t="e">
        <f>IF(#REF!="COMPLETO","OK","PENDIENTE")</f>
        <v>#REF!</v>
      </c>
      <c r="BW1996" s="132"/>
      <c r="BX1996" s="132"/>
      <c r="BY1996" s="132"/>
      <c r="BZ1996" s="132"/>
      <c r="CA1996" s="132"/>
      <c r="CB1996" s="132"/>
      <c r="CC1996" s="380"/>
      <c r="CG1996" s="24"/>
      <c r="CH1996" s="24"/>
      <c r="CI1996" s="24"/>
      <c r="CJ1996" s="24"/>
    </row>
    <row r="1997" spans="1:88" ht="14.45" customHeight="1">
      <c r="A1997" s="18">
        <v>2022</v>
      </c>
      <c r="B1997" s="18" t="s">
        <v>7613</v>
      </c>
      <c r="C1997" s="360" t="s">
        <v>5398</v>
      </c>
      <c r="D1997" s="150" t="s">
        <v>20</v>
      </c>
      <c r="E1997" s="132" t="s">
        <v>51</v>
      </c>
      <c r="F1997" s="24"/>
      <c r="G1997" s="346"/>
      <c r="H1997" s="18" t="s">
        <v>7877</v>
      </c>
      <c r="I1997" s="330"/>
      <c r="J1997" s="346"/>
      <c r="K1997" s="24"/>
      <c r="L1997" s="24"/>
      <c r="M1997" s="24"/>
      <c r="N1997" s="340"/>
      <c r="O1997" s="334"/>
      <c r="P1997" s="25" t="s">
        <v>2</v>
      </c>
      <c r="Q1997" s="127" t="s">
        <v>7006</v>
      </c>
      <c r="R1997" s="232"/>
      <c r="S1997" s="89"/>
      <c r="T1997" s="36"/>
      <c r="U1997" s="125"/>
      <c r="V1997" s="147"/>
      <c r="W1997" s="129"/>
      <c r="X1997" s="88"/>
      <c r="Y1997" s="130"/>
      <c r="Z1997" s="133"/>
      <c r="AA1997" s="133"/>
      <c r="AB1997" s="241"/>
      <c r="AC1997" s="134"/>
      <c r="AD1997" s="134"/>
      <c r="AE1997" s="403">
        <f t="shared" si="168"/>
        <v>0</v>
      </c>
      <c r="AF1997" s="132"/>
      <c r="AG1997" s="130"/>
      <c r="AH1997" s="130"/>
      <c r="AI1997" s="130"/>
      <c r="AJ1997" s="130"/>
      <c r="AK1997" s="130"/>
      <c r="AL1997" s="135"/>
      <c r="AM1997" s="314"/>
      <c r="AN1997" s="385"/>
      <c r="AO1997" s="385"/>
      <c r="AP1997" s="26"/>
      <c r="AQ1997" s="385"/>
      <c r="AR1997" s="24"/>
      <c r="AS1997" s="24"/>
      <c r="AT1997" s="24"/>
      <c r="AU1997" s="418"/>
      <c r="AV1997" s="418"/>
      <c r="AW1997" s="24"/>
      <c r="AX1997" s="135"/>
      <c r="AY1997" s="135"/>
      <c r="AZ1997" s="24"/>
      <c r="BA1997" s="41"/>
      <c r="BB1997" s="24"/>
      <c r="BC1997" s="128"/>
      <c r="BD1997" s="24"/>
      <c r="BE1997" s="24"/>
      <c r="BF1997" s="24"/>
      <c r="BG1997" s="135"/>
      <c r="BH1997" s="135"/>
      <c r="BI1997" s="314"/>
      <c r="BJ1997" s="314"/>
      <c r="BK1997" s="24"/>
      <c r="BL1997" s="24"/>
      <c r="BM1997" s="24"/>
      <c r="BN1997" s="24"/>
      <c r="BO1997" s="135"/>
      <c r="BP1997" s="135"/>
      <c r="BQ1997" s="135"/>
      <c r="BR1997" s="24"/>
      <c r="BS1997" s="135"/>
      <c r="BT1997" s="135"/>
      <c r="BU1997" s="135"/>
      <c r="BV1997" s="132"/>
      <c r="BW1997" s="132"/>
      <c r="BX1997" s="132"/>
      <c r="BY1997" s="132"/>
      <c r="BZ1997" s="132"/>
      <c r="CA1997" s="132"/>
      <c r="CB1997" s="132"/>
      <c r="CC1997" s="380" t="s">
        <v>8078</v>
      </c>
      <c r="CG1997" s="24"/>
      <c r="CH1997" s="24"/>
      <c r="CI1997" s="24"/>
      <c r="CJ1997" s="24"/>
    </row>
    <row r="1998" spans="1:88" ht="15" customHeight="1">
      <c r="A1998" s="18">
        <v>2022</v>
      </c>
      <c r="B1998" s="18" t="s">
        <v>7613</v>
      </c>
      <c r="C1998" s="360" t="s">
        <v>5398</v>
      </c>
      <c r="D1998" s="150" t="s">
        <v>20</v>
      </c>
      <c r="E1998" s="132" t="s">
        <v>51</v>
      </c>
      <c r="F1998" s="24"/>
      <c r="G1998" s="346"/>
      <c r="H1998" s="18" t="s">
        <v>7878</v>
      </c>
      <c r="I1998" s="330"/>
      <c r="J1998" s="346"/>
      <c r="K1998" s="24"/>
      <c r="L1998" s="24"/>
      <c r="M1998" s="24"/>
      <c r="N1998" s="340"/>
      <c r="O1998" s="334"/>
      <c r="P1998" s="25" t="s">
        <v>2</v>
      </c>
      <c r="Q1998" s="127" t="s">
        <v>7006</v>
      </c>
      <c r="R1998" s="232"/>
      <c r="S1998" s="89"/>
      <c r="T1998" s="36"/>
      <c r="U1998" s="125"/>
      <c r="V1998" s="147"/>
      <c r="W1998" s="129"/>
      <c r="X1998" s="88"/>
      <c r="Y1998" s="130"/>
      <c r="Z1998" s="133"/>
      <c r="AA1998" s="133"/>
      <c r="AB1998" s="241"/>
      <c r="AC1998" s="134"/>
      <c r="AD1998" s="134"/>
      <c r="AE1998" s="403">
        <f t="shared" si="168"/>
        <v>0</v>
      </c>
      <c r="AF1998" s="132"/>
      <c r="AG1998" s="130"/>
      <c r="AH1998" s="130"/>
      <c r="AI1998" s="130"/>
      <c r="AJ1998" s="130"/>
      <c r="AK1998" s="130"/>
      <c r="AL1998" s="135"/>
      <c r="AM1998" s="314"/>
      <c r="AN1998" s="385"/>
      <c r="AO1998" s="385"/>
      <c r="AP1998" s="26"/>
      <c r="AQ1998" s="385"/>
      <c r="AR1998" s="24"/>
      <c r="AS1998" s="24"/>
      <c r="AT1998" s="24"/>
      <c r="AU1998" s="418"/>
      <c r="AV1998" s="418"/>
      <c r="AW1998" s="24"/>
      <c r="AX1998" s="135"/>
      <c r="AY1998" s="135"/>
      <c r="AZ1998" s="135"/>
      <c r="BA1998" s="41"/>
      <c r="BB1998" s="24"/>
      <c r="BC1998" s="128"/>
      <c r="BD1998" s="24"/>
      <c r="BE1998" s="24"/>
      <c r="BF1998" s="24"/>
      <c r="BG1998" s="135"/>
      <c r="BH1998" s="135"/>
      <c r="BI1998" s="314"/>
      <c r="BJ1998" s="314"/>
      <c r="BK1998" s="24"/>
      <c r="BL1998" s="24"/>
      <c r="BM1998" s="24"/>
      <c r="BN1998" s="24"/>
      <c r="BO1998" s="135"/>
      <c r="BP1998" s="135"/>
      <c r="BQ1998" s="135"/>
      <c r="BR1998" s="24"/>
      <c r="BS1998" s="135"/>
      <c r="BT1998" s="135"/>
      <c r="BU1998" s="135"/>
      <c r="BV1998" s="132"/>
      <c r="BW1998" s="132"/>
      <c r="BX1998" s="132"/>
      <c r="BY1998" s="132"/>
      <c r="BZ1998" s="132"/>
      <c r="CA1998" s="132"/>
      <c r="CB1998" s="132"/>
      <c r="CC1998" s="380" t="s">
        <v>8079</v>
      </c>
      <c r="CG1998" s="24"/>
      <c r="CH1998" s="24"/>
      <c r="CI1998" s="24"/>
      <c r="CJ1998" s="24"/>
    </row>
    <row r="1999" spans="1:88" ht="15" customHeight="1">
      <c r="A1999" s="18">
        <v>2022</v>
      </c>
      <c r="B1999" s="18" t="s">
        <v>7613</v>
      </c>
      <c r="C1999" s="360" t="s">
        <v>5398</v>
      </c>
      <c r="D1999" s="150" t="s">
        <v>20</v>
      </c>
      <c r="E1999" s="132" t="s">
        <v>51</v>
      </c>
      <c r="F1999" s="24"/>
      <c r="G1999" s="346"/>
      <c r="H1999" s="18" t="s">
        <v>7879</v>
      </c>
      <c r="I1999" s="330"/>
      <c r="J1999" s="346"/>
      <c r="K1999" s="24"/>
      <c r="L1999" s="24"/>
      <c r="M1999" s="24"/>
      <c r="N1999" s="340"/>
      <c r="O1999" s="334"/>
      <c r="P1999" s="25" t="s">
        <v>2</v>
      </c>
      <c r="Q1999" s="127" t="s">
        <v>7006</v>
      </c>
      <c r="R1999" s="232"/>
      <c r="S1999" s="89"/>
      <c r="T1999" s="36"/>
      <c r="U1999" s="125"/>
      <c r="V1999" s="147"/>
      <c r="W1999" s="129"/>
      <c r="X1999" s="88"/>
      <c r="Y1999" s="130"/>
      <c r="Z1999" s="133"/>
      <c r="AA1999" s="133"/>
      <c r="AB1999" s="241"/>
      <c r="AC1999" s="134"/>
      <c r="AD1999" s="134"/>
      <c r="AE1999" s="403">
        <f t="shared" si="168"/>
        <v>0</v>
      </c>
      <c r="AF1999" s="132"/>
      <c r="AG1999" s="130"/>
      <c r="AH1999" s="130"/>
      <c r="AI1999" s="130"/>
      <c r="AJ1999" s="130"/>
      <c r="AK1999" s="130"/>
      <c r="AL1999" s="135"/>
      <c r="AM1999" s="314"/>
      <c r="AN1999" s="385"/>
      <c r="AO1999" s="385"/>
      <c r="AP1999" s="26"/>
      <c r="AQ1999" s="385"/>
      <c r="AR1999" s="24"/>
      <c r="AS1999" s="24"/>
      <c r="AT1999" s="24"/>
      <c r="AU1999" s="418"/>
      <c r="AV1999" s="418"/>
      <c r="AW1999" s="24"/>
      <c r="AX1999" s="135"/>
      <c r="AY1999" s="135"/>
      <c r="AZ1999" s="135"/>
      <c r="BA1999" s="41"/>
      <c r="BB1999" s="24"/>
      <c r="BC1999" s="128"/>
      <c r="BD1999" s="24"/>
      <c r="BE1999" s="24"/>
      <c r="BF1999" s="24"/>
      <c r="BG1999" s="135"/>
      <c r="BH1999" s="135"/>
      <c r="BI1999" s="314"/>
      <c r="BJ1999" s="314"/>
      <c r="BK1999" s="24"/>
      <c r="BL1999" s="24"/>
      <c r="BM1999" s="24"/>
      <c r="BN1999" s="24"/>
      <c r="BO1999" s="135"/>
      <c r="BP1999" s="135"/>
      <c r="BQ1999" s="135"/>
      <c r="BR1999" s="24"/>
      <c r="BS1999" s="135"/>
      <c r="BT1999" s="135"/>
      <c r="BU1999" s="135"/>
      <c r="BV1999" s="132"/>
      <c r="BW1999" s="132"/>
      <c r="BX1999" s="132"/>
      <c r="BY1999" s="132"/>
      <c r="BZ1999" s="132"/>
      <c r="CA1999" s="132"/>
      <c r="CB1999" s="132"/>
      <c r="CC1999" s="380" t="s">
        <v>8080</v>
      </c>
      <c r="CG1999" s="24"/>
      <c r="CH1999" s="24"/>
      <c r="CI1999" s="24"/>
      <c r="CJ1999" s="24"/>
    </row>
    <row r="2000" spans="1:88" ht="15" customHeight="1">
      <c r="A2000" s="18">
        <v>2022</v>
      </c>
      <c r="B2000" s="18" t="s">
        <v>7613</v>
      </c>
      <c r="C2000" s="360" t="s">
        <v>5398</v>
      </c>
      <c r="D2000" s="150" t="s">
        <v>3</v>
      </c>
      <c r="E2000" s="132" t="s">
        <v>51</v>
      </c>
      <c r="F2000" s="24"/>
      <c r="G2000" s="346"/>
      <c r="H2000" s="18" t="s">
        <v>8093</v>
      </c>
      <c r="I2000" s="330"/>
      <c r="J2000" s="346"/>
      <c r="K2000" s="24"/>
      <c r="L2000" s="24"/>
      <c r="M2000" s="24"/>
      <c r="N2000" s="339" t="s">
        <v>3</v>
      </c>
      <c r="O2000" s="334">
        <v>208067</v>
      </c>
      <c r="P2000" s="25" t="s">
        <v>383</v>
      </c>
      <c r="Q2000" s="127" t="s">
        <v>303</v>
      </c>
      <c r="R2000" s="401" t="s">
        <v>7887</v>
      </c>
      <c r="S2000" s="89">
        <v>44687</v>
      </c>
      <c r="T2000" s="36">
        <v>30</v>
      </c>
      <c r="U2000" s="125" t="s">
        <v>131</v>
      </c>
      <c r="V2000" s="147"/>
      <c r="W2000" s="129"/>
      <c r="X2000" s="88"/>
      <c r="Y2000" s="130" t="s">
        <v>3</v>
      </c>
      <c r="Z2000" s="133" t="s">
        <v>60</v>
      </c>
      <c r="AA2000" s="133" t="s">
        <v>1622</v>
      </c>
      <c r="AB2000" s="241">
        <v>378</v>
      </c>
      <c r="AC2000" s="134">
        <v>1050</v>
      </c>
      <c r="AD2000" s="134"/>
      <c r="AE2000" s="403">
        <f t="shared" si="168"/>
        <v>396900</v>
      </c>
      <c r="AF2000" s="132">
        <v>28</v>
      </c>
      <c r="AG2000" s="130" t="s">
        <v>5</v>
      </c>
      <c r="AH2000" s="130"/>
      <c r="AI2000" s="130" t="s">
        <v>34</v>
      </c>
      <c r="AJ2000" s="130" t="s">
        <v>944</v>
      </c>
      <c r="AK2000" s="130" t="s">
        <v>6704</v>
      </c>
      <c r="AL2000" s="135" t="s">
        <v>7521</v>
      </c>
      <c r="AM2000" s="314">
        <v>2022</v>
      </c>
      <c r="AN2000" s="26">
        <v>44732</v>
      </c>
      <c r="AO2000" s="385">
        <v>44722</v>
      </c>
      <c r="AP2000" s="26">
        <f>AN2000+4</f>
        <v>44736</v>
      </c>
      <c r="AQ2000" s="385">
        <f>AO2000+5</f>
        <v>44727</v>
      </c>
      <c r="AR2000" s="24">
        <f>AQ2000+4</f>
        <v>44731</v>
      </c>
      <c r="AS2000" s="24"/>
      <c r="AT2000" s="24">
        <v>44733</v>
      </c>
      <c r="AU2000" s="418">
        <f t="shared" ref="AU2000" si="171">MONTH(AT2000)</f>
        <v>6</v>
      </c>
      <c r="AV2000" s="418">
        <f t="shared" ref="AV2000" si="172">YEAR(AT2000)</f>
        <v>2022</v>
      </c>
      <c r="AW2000" s="24" t="s">
        <v>7875</v>
      </c>
      <c r="AX2000" s="135" t="s">
        <v>6982</v>
      </c>
      <c r="AY2000" s="135" t="s">
        <v>7360</v>
      </c>
      <c r="AZ2000" s="135" t="s">
        <v>9</v>
      </c>
      <c r="BA2000" s="135" t="s">
        <v>7130</v>
      </c>
      <c r="BB2000" s="24"/>
      <c r="BC2000" s="128" t="s">
        <v>8095</v>
      </c>
      <c r="BD2000" s="24"/>
      <c r="BE2000" s="24"/>
      <c r="BF2000" s="24"/>
      <c r="BG2000" s="135" t="s">
        <v>64</v>
      </c>
      <c r="BH2000" s="135" t="s">
        <v>6414</v>
      </c>
      <c r="BI2000" s="314" t="s">
        <v>3</v>
      </c>
      <c r="BJ2000" s="314" t="s">
        <v>148</v>
      </c>
      <c r="BK2000" s="24"/>
      <c r="BL2000" s="24"/>
      <c r="BM2000" s="24"/>
      <c r="BN2000" s="24"/>
      <c r="BO2000" s="135"/>
      <c r="BP2000" s="135"/>
      <c r="BQ2000" s="135"/>
      <c r="BR2000" s="24"/>
      <c r="BS2000" s="135"/>
      <c r="BT2000" s="135"/>
      <c r="BU2000" s="135"/>
      <c r="BV2000" s="132" t="e">
        <f>IF(#REF!="COMPLETO","OK","PENDIENTE")</f>
        <v>#REF!</v>
      </c>
      <c r="BW2000" s="132" t="s">
        <v>1622</v>
      </c>
      <c r="BX2000" s="132" t="s">
        <v>1622</v>
      </c>
      <c r="BY2000" s="132" t="s">
        <v>1622</v>
      </c>
      <c r="BZ2000" s="132" t="s">
        <v>1622</v>
      </c>
      <c r="CA2000" s="132" t="s">
        <v>1622</v>
      </c>
      <c r="CB2000" s="132" t="s">
        <v>1622</v>
      </c>
      <c r="CC2000" s="113"/>
      <c r="CG2000" s="24"/>
      <c r="CH2000" s="24"/>
      <c r="CI2000" s="24"/>
      <c r="CJ2000" s="24"/>
    </row>
    <row r="2001" spans="1:88" ht="15" customHeight="1">
      <c r="A2001" s="18">
        <v>2022</v>
      </c>
      <c r="B2001" s="18" t="s">
        <v>7613</v>
      </c>
      <c r="C2001" s="360" t="s">
        <v>5398</v>
      </c>
      <c r="D2001" s="150" t="s">
        <v>3</v>
      </c>
      <c r="E2001" s="132" t="s">
        <v>51</v>
      </c>
      <c r="F2001" s="24"/>
      <c r="G2001" s="346"/>
      <c r="H2001" s="18" t="s">
        <v>8094</v>
      </c>
      <c r="I2001" s="330"/>
      <c r="J2001" s="346"/>
      <c r="K2001" s="24"/>
      <c r="L2001" s="24"/>
      <c r="M2001" s="24"/>
      <c r="N2001" s="339" t="s">
        <v>3</v>
      </c>
      <c r="O2001" s="334">
        <v>208067</v>
      </c>
      <c r="P2001" s="25" t="s">
        <v>383</v>
      </c>
      <c r="Q2001" s="127" t="s">
        <v>303</v>
      </c>
      <c r="R2001" s="401" t="s">
        <v>7887</v>
      </c>
      <c r="S2001" s="89">
        <v>44687</v>
      </c>
      <c r="T2001" s="36">
        <v>30</v>
      </c>
      <c r="U2001" s="125" t="s">
        <v>131</v>
      </c>
      <c r="V2001" s="147"/>
      <c r="W2001" s="129"/>
      <c r="X2001" s="88"/>
      <c r="Y2001" s="130" t="s">
        <v>3</v>
      </c>
      <c r="Z2001" s="133" t="s">
        <v>60</v>
      </c>
      <c r="AA2001" s="133" t="s">
        <v>1622</v>
      </c>
      <c r="AB2001" s="241">
        <v>378</v>
      </c>
      <c r="AC2001" s="134">
        <v>1050</v>
      </c>
      <c r="AD2001" s="134"/>
      <c r="AE2001" s="403">
        <f t="shared" si="168"/>
        <v>396900</v>
      </c>
      <c r="AF2001" s="132">
        <v>28</v>
      </c>
      <c r="AG2001" s="130" t="s">
        <v>5</v>
      </c>
      <c r="AH2001" s="130"/>
      <c r="AI2001" s="130" t="s">
        <v>34</v>
      </c>
      <c r="AJ2001" s="130" t="s">
        <v>944</v>
      </c>
      <c r="AK2001" s="130" t="s">
        <v>6704</v>
      </c>
      <c r="AL2001" s="135" t="s">
        <v>7521</v>
      </c>
      <c r="AM2001" s="314">
        <v>2022</v>
      </c>
      <c r="AN2001" s="26">
        <v>44732</v>
      </c>
      <c r="AO2001" s="385">
        <v>44722</v>
      </c>
      <c r="AP2001" s="26">
        <f>AN2001+4</f>
        <v>44736</v>
      </c>
      <c r="AQ2001" s="385">
        <f>AO2001+5</f>
        <v>44727</v>
      </c>
      <c r="AR2001" s="24">
        <f>AQ2001+4</f>
        <v>44731</v>
      </c>
      <c r="AS2001" s="24"/>
      <c r="AT2001" s="24">
        <v>44734</v>
      </c>
      <c r="AU2001" s="418">
        <f t="shared" si="169"/>
        <v>6</v>
      </c>
      <c r="AV2001" s="418">
        <f t="shared" si="170"/>
        <v>2022</v>
      </c>
      <c r="AW2001" s="24" t="s">
        <v>7875</v>
      </c>
      <c r="AX2001" s="135" t="s">
        <v>6982</v>
      </c>
      <c r="AY2001" s="135" t="s">
        <v>7360</v>
      </c>
      <c r="AZ2001" s="135" t="s">
        <v>9</v>
      </c>
      <c r="BA2001" s="135" t="s">
        <v>7130</v>
      </c>
      <c r="BB2001" s="24"/>
      <c r="BC2001" s="128"/>
      <c r="BD2001" s="24"/>
      <c r="BE2001" s="24" t="s">
        <v>8096</v>
      </c>
      <c r="BF2001" s="24"/>
      <c r="BG2001" s="135" t="s">
        <v>29</v>
      </c>
      <c r="BH2001" s="135" t="s">
        <v>6219</v>
      </c>
      <c r="BI2001" s="314" t="s">
        <v>3</v>
      </c>
      <c r="BJ2001" s="314" t="s">
        <v>148</v>
      </c>
      <c r="BK2001" s="24"/>
      <c r="BL2001" s="24"/>
      <c r="BM2001" s="24"/>
      <c r="BN2001" s="24"/>
      <c r="BO2001" s="135"/>
      <c r="BP2001" s="135"/>
      <c r="BQ2001" s="135"/>
      <c r="BR2001" s="24"/>
      <c r="BS2001" s="135"/>
      <c r="BT2001" s="135"/>
      <c r="BU2001" s="135"/>
      <c r="BV2001" s="132" t="e">
        <f>IF(#REF!="COMPLETO","OK","PENDIENTE")</f>
        <v>#REF!</v>
      </c>
      <c r="BW2001" s="132" t="s">
        <v>1622</v>
      </c>
      <c r="BX2001" s="132" t="s">
        <v>1622</v>
      </c>
      <c r="BY2001" s="132" t="s">
        <v>1622</v>
      </c>
      <c r="BZ2001" s="132" t="s">
        <v>1622</v>
      </c>
      <c r="CA2001" s="132" t="s">
        <v>1622</v>
      </c>
      <c r="CB2001" s="132" t="s">
        <v>1622</v>
      </c>
      <c r="CC2001" s="113"/>
      <c r="CG2001" s="24"/>
      <c r="CH2001" s="24"/>
      <c r="CI2001" s="24"/>
      <c r="CJ2001" s="24"/>
    </row>
    <row r="2002" spans="1:88" ht="15" customHeight="1">
      <c r="A2002" s="18">
        <v>2022</v>
      </c>
      <c r="B2002" s="18" t="str">
        <f>+INDEX(BDD!F:F,MATCH(P2002,BDD!D:D,0))&amp;"-"&amp;INDEX(BDD!E:E,MATCH(P2002,BDD!D:D,0))</f>
        <v>G-S</v>
      </c>
      <c r="C2002" s="360" t="s">
        <v>5398</v>
      </c>
      <c r="D2002" s="150" t="s">
        <v>3</v>
      </c>
      <c r="E2002" s="132" t="s">
        <v>7904</v>
      </c>
      <c r="F2002" s="24"/>
      <c r="G2002" s="429">
        <v>8000001928</v>
      </c>
      <c r="H2002" s="18" t="s">
        <v>7614</v>
      </c>
      <c r="I2002" s="329"/>
      <c r="J2002" s="429">
        <v>8000001928</v>
      </c>
      <c r="K2002" s="24">
        <v>44669</v>
      </c>
      <c r="L2002" s="24"/>
      <c r="M2002" s="24"/>
      <c r="N2002" s="340" t="s">
        <v>3</v>
      </c>
      <c r="O2002" s="334">
        <v>209979</v>
      </c>
      <c r="P2002" s="25" t="s">
        <v>339</v>
      </c>
      <c r="Q2002" s="127" t="s">
        <v>7559</v>
      </c>
      <c r="R2002" s="232" t="s">
        <v>944</v>
      </c>
      <c r="S2002" s="89">
        <v>44664</v>
      </c>
      <c r="T2002" s="36">
        <v>120</v>
      </c>
      <c r="U2002" s="125" t="s">
        <v>118</v>
      </c>
      <c r="V2002" s="147"/>
      <c r="W2002" s="129"/>
      <c r="X2002" s="88"/>
      <c r="Y2002" s="130" t="s">
        <v>3</v>
      </c>
      <c r="Z2002" s="133" t="s">
        <v>72</v>
      </c>
      <c r="AA2002" s="133"/>
      <c r="AB2002" s="257">
        <v>700</v>
      </c>
      <c r="AC2002" s="134">
        <v>1220</v>
      </c>
      <c r="AD2002" s="134"/>
      <c r="AE2002" s="403">
        <f t="shared" si="168"/>
        <v>854000</v>
      </c>
      <c r="AF2002" s="132">
        <v>25</v>
      </c>
      <c r="AG2002" s="130" t="s">
        <v>5</v>
      </c>
      <c r="AH2002" s="130"/>
      <c r="AI2002" s="130" t="s">
        <v>100</v>
      </c>
      <c r="AJ2002" s="130"/>
      <c r="AK2002" s="130"/>
      <c r="AL2002" s="135" t="s">
        <v>7615</v>
      </c>
      <c r="AM2002" s="322">
        <v>2022</v>
      </c>
      <c r="AN2002" s="26">
        <v>44690</v>
      </c>
      <c r="AO2002" s="385">
        <v>44731</v>
      </c>
      <c r="AP2002" s="26">
        <v>44714</v>
      </c>
      <c r="AQ2002" s="26">
        <f>AO2002+26</f>
        <v>44757</v>
      </c>
      <c r="AR2002" s="24">
        <f>AQ2002+4</f>
        <v>44761</v>
      </c>
      <c r="AS2002" s="24"/>
      <c r="AT2002" s="24">
        <v>44762</v>
      </c>
      <c r="AU2002" s="418">
        <f t="shared" si="169"/>
        <v>7</v>
      </c>
      <c r="AV2002" s="418">
        <f t="shared" si="170"/>
        <v>2022</v>
      </c>
      <c r="AW2002" s="24" t="s">
        <v>7875</v>
      </c>
      <c r="AX2002" s="24" t="s">
        <v>7561</v>
      </c>
      <c r="AY2002" s="24" t="s">
        <v>7560</v>
      </c>
      <c r="AZ2002" s="24" t="s">
        <v>37</v>
      </c>
      <c r="BA2002" s="24"/>
      <c r="BB2002" s="24" t="s">
        <v>3291</v>
      </c>
      <c r="BC2002" s="135"/>
      <c r="BD2002" s="24"/>
      <c r="BE2002" s="24" t="s">
        <v>6095</v>
      </c>
      <c r="BF2002" s="24"/>
      <c r="BG2002" s="135"/>
      <c r="BH2002" s="135"/>
      <c r="BI2002" s="314" t="s">
        <v>3</v>
      </c>
      <c r="BJ2002" s="314" t="s">
        <v>138</v>
      </c>
      <c r="BK2002" s="24"/>
      <c r="BL2002" s="24"/>
      <c r="BM2002" s="24"/>
      <c r="BN2002" s="24"/>
      <c r="BO2002" s="41"/>
      <c r="BP2002" s="41"/>
      <c r="BQ2002" s="41"/>
      <c r="BR2002" s="24"/>
      <c r="BS2002" s="41"/>
      <c r="BT2002" s="41"/>
      <c r="BU2002" s="41"/>
      <c r="BV2002" s="132" t="e">
        <f>IF(#REF!="COMPLETO","OK","PENDIENTES")</f>
        <v>#REF!</v>
      </c>
      <c r="BW2002" s="132"/>
      <c r="BX2002" s="132"/>
      <c r="BY2002" s="132"/>
      <c r="BZ2002" s="132"/>
      <c r="CA2002" s="132"/>
      <c r="CB2002" s="132"/>
      <c r="CC2002" s="269"/>
      <c r="CG2002" s="24"/>
      <c r="CH2002" s="24"/>
      <c r="CI2002" s="24"/>
      <c r="CJ2002" s="24"/>
    </row>
    <row r="2003" spans="1:88" ht="15" customHeight="1">
      <c r="A2003" s="18">
        <v>2022</v>
      </c>
      <c r="B2003" s="18" t="e">
        <v>#N/A</v>
      </c>
      <c r="C2003" s="360" t="s">
        <v>5398</v>
      </c>
      <c r="D2003" s="150" t="s">
        <v>3</v>
      </c>
      <c r="E2003" s="132" t="s">
        <v>51</v>
      </c>
      <c r="F2003" s="24"/>
      <c r="G2003" s="429">
        <v>8000001967</v>
      </c>
      <c r="H2003" s="18" t="s">
        <v>7892</v>
      </c>
      <c r="I2003" s="330" t="s">
        <v>7616</v>
      </c>
      <c r="J2003" s="429">
        <v>8000001967</v>
      </c>
      <c r="K2003" s="412">
        <v>44677</v>
      </c>
      <c r="L2003" s="24"/>
      <c r="M2003" s="24"/>
      <c r="N2003" s="340" t="s">
        <v>3</v>
      </c>
      <c r="O2003" s="334">
        <v>204181</v>
      </c>
      <c r="P2003" s="25" t="s">
        <v>8062</v>
      </c>
      <c r="Q2003" s="127" t="s">
        <v>237</v>
      </c>
      <c r="R2003" s="232" t="s">
        <v>7617</v>
      </c>
      <c r="S2003" s="89">
        <v>44669</v>
      </c>
      <c r="T2003" s="36">
        <v>150</v>
      </c>
      <c r="U2003" s="125" t="s">
        <v>118</v>
      </c>
      <c r="V2003" s="130"/>
      <c r="W2003" s="283"/>
      <c r="X2003" s="88"/>
      <c r="Y2003" s="130" t="s">
        <v>3</v>
      </c>
      <c r="Z2003" s="133" t="s">
        <v>60</v>
      </c>
      <c r="AA2003" s="133"/>
      <c r="AB2003" s="241">
        <v>1300</v>
      </c>
      <c r="AC2003" s="134">
        <v>1031.28</v>
      </c>
      <c r="AD2003" s="134"/>
      <c r="AE2003" s="403">
        <f t="shared" si="168"/>
        <v>1340664</v>
      </c>
      <c r="AF2003" s="132"/>
      <c r="AG2003" s="130" t="s">
        <v>58</v>
      </c>
      <c r="AH2003" s="130"/>
      <c r="AI2003" s="130" t="s">
        <v>58</v>
      </c>
      <c r="AJ2003" s="274">
        <v>1.5</v>
      </c>
      <c r="AK2003" s="130" t="s">
        <v>944</v>
      </c>
      <c r="AL2003" s="135" t="s">
        <v>7521</v>
      </c>
      <c r="AM2003" s="314">
        <v>2022</v>
      </c>
      <c r="AN2003" s="26">
        <f>AO2003</f>
        <v>44728</v>
      </c>
      <c r="AO2003" s="385">
        <v>44728</v>
      </c>
      <c r="AP2003" s="26">
        <f t="shared" ref="AP2003:AP2004" si="173">AQ2003</f>
        <v>44769</v>
      </c>
      <c r="AQ2003" s="26">
        <f>AO2003+41</f>
        <v>44769</v>
      </c>
      <c r="AR2003" s="24">
        <f>AQ2003+7</f>
        <v>44776</v>
      </c>
      <c r="AS2003" s="24"/>
      <c r="AT2003" s="24">
        <v>44776</v>
      </c>
      <c r="AU2003" s="418">
        <f t="shared" si="169"/>
        <v>8</v>
      </c>
      <c r="AV2003" s="418">
        <f t="shared" si="170"/>
        <v>2022</v>
      </c>
      <c r="AW2003" s="24" t="s">
        <v>7874</v>
      </c>
      <c r="AX2003" s="132" t="s">
        <v>5402</v>
      </c>
      <c r="AY2003" s="135"/>
      <c r="AZ2003" s="135" t="s">
        <v>9</v>
      </c>
      <c r="BA2003" s="135" t="s">
        <v>7130</v>
      </c>
      <c r="BB2003" s="24"/>
      <c r="BC2003" s="128"/>
      <c r="BD2003" s="24"/>
      <c r="BE2003" s="132"/>
      <c r="BF2003" s="132"/>
      <c r="BG2003" s="135" t="s">
        <v>52</v>
      </c>
      <c r="BH2003" s="135"/>
      <c r="BI2003" s="314" t="s">
        <v>3</v>
      </c>
      <c r="BJ2003" s="24"/>
      <c r="BK2003" s="24"/>
      <c r="BL2003" s="24"/>
      <c r="BM2003" s="132"/>
      <c r="BN2003" s="132"/>
      <c r="BO2003" s="132"/>
      <c r="BP2003" s="132"/>
      <c r="BQ2003" s="132"/>
      <c r="BR2003" s="132"/>
      <c r="BS2003" s="378"/>
      <c r="BT2003" s="136"/>
      <c r="BU2003" s="136"/>
      <c r="BV2003" s="132" t="e">
        <f>IF(#REF!="COMPLETO","OK","PENDIENTE")</f>
        <v>#REF!</v>
      </c>
      <c r="BW2003" s="136"/>
      <c r="BX2003" s="136"/>
      <c r="BY2003" s="136"/>
      <c r="BZ2003" s="136"/>
      <c r="CA2003" s="136"/>
      <c r="CB2003" s="136"/>
      <c r="CC2003" s="136"/>
      <c r="CG2003" s="136"/>
      <c r="CH2003" s="136"/>
      <c r="CI2003" s="136"/>
      <c r="CJ2003" s="24"/>
    </row>
    <row r="2004" spans="1:88" ht="15" customHeight="1">
      <c r="A2004" s="18">
        <v>2022</v>
      </c>
      <c r="B2004" s="18" t="e">
        <v>#N/A</v>
      </c>
      <c r="C2004" s="360" t="s">
        <v>5398</v>
      </c>
      <c r="D2004" s="150" t="s">
        <v>3</v>
      </c>
      <c r="E2004" s="132" t="s">
        <v>51</v>
      </c>
      <c r="F2004" s="24"/>
      <c r="G2004" s="346"/>
      <c r="H2004" s="18" t="s">
        <v>7893</v>
      </c>
      <c r="I2004" s="330" t="s">
        <v>7616</v>
      </c>
      <c r="J2004" s="346"/>
      <c r="K2004" s="24"/>
      <c r="L2004" s="24"/>
      <c r="M2004" s="24"/>
      <c r="N2004" s="340" t="s">
        <v>3</v>
      </c>
      <c r="O2004" s="334">
        <v>204181</v>
      </c>
      <c r="P2004" s="25" t="s">
        <v>8062</v>
      </c>
      <c r="Q2004" s="127" t="s">
        <v>237</v>
      </c>
      <c r="R2004" s="232" t="s">
        <v>7617</v>
      </c>
      <c r="S2004" s="89">
        <v>44669</v>
      </c>
      <c r="T2004" s="36">
        <v>150</v>
      </c>
      <c r="U2004" s="125" t="s">
        <v>118</v>
      </c>
      <c r="V2004" s="130"/>
      <c r="W2004" s="283"/>
      <c r="X2004" s="88"/>
      <c r="Y2004" s="130" t="s">
        <v>3</v>
      </c>
      <c r="Z2004" s="133" t="s">
        <v>60</v>
      </c>
      <c r="AA2004" s="133"/>
      <c r="AB2004" s="241">
        <v>1700</v>
      </c>
      <c r="AC2004" s="134">
        <v>1031.28</v>
      </c>
      <c r="AD2004" s="134"/>
      <c r="AE2004" s="403">
        <f t="shared" si="168"/>
        <v>1753176</v>
      </c>
      <c r="AF2004" s="132"/>
      <c r="AG2004" s="130" t="s">
        <v>58</v>
      </c>
      <c r="AH2004" s="130"/>
      <c r="AI2004" s="130" t="s">
        <v>58</v>
      </c>
      <c r="AJ2004" s="274">
        <v>1.5</v>
      </c>
      <c r="AK2004" s="24"/>
      <c r="AL2004" s="135" t="s">
        <v>7521</v>
      </c>
      <c r="AM2004" s="314">
        <v>2022</v>
      </c>
      <c r="AN2004" s="26">
        <f>AO2004</f>
        <v>44728</v>
      </c>
      <c r="AO2004" s="385">
        <v>44728</v>
      </c>
      <c r="AP2004" s="26">
        <f t="shared" si="173"/>
        <v>44772</v>
      </c>
      <c r="AQ2004" s="26">
        <f>AO2004+44</f>
        <v>44772</v>
      </c>
      <c r="AR2004" s="24">
        <f>AQ2004+2</f>
        <v>44774</v>
      </c>
      <c r="AS2004" s="24"/>
      <c r="AT2004" s="24">
        <v>44778</v>
      </c>
      <c r="AU2004" s="418">
        <f t="shared" si="169"/>
        <v>8</v>
      </c>
      <c r="AV2004" s="418">
        <f t="shared" si="170"/>
        <v>2022</v>
      </c>
      <c r="AW2004" s="24" t="s">
        <v>7874</v>
      </c>
      <c r="AX2004" s="132" t="s">
        <v>5402</v>
      </c>
      <c r="AY2004" s="135"/>
      <c r="AZ2004" s="135" t="s">
        <v>25</v>
      </c>
      <c r="BA2004" s="135" t="s">
        <v>3334</v>
      </c>
      <c r="BB2004" s="24"/>
      <c r="BC2004" s="128"/>
      <c r="BD2004" s="24"/>
      <c r="BE2004" s="132"/>
      <c r="BF2004" s="132"/>
      <c r="BG2004" s="135" t="s">
        <v>52</v>
      </c>
      <c r="BH2004" s="135"/>
      <c r="BI2004" s="314" t="s">
        <v>3</v>
      </c>
      <c r="BJ2004" s="24"/>
      <c r="BK2004" s="24"/>
      <c r="BL2004" s="24"/>
      <c r="BM2004" s="132"/>
      <c r="BN2004" s="132"/>
      <c r="BO2004" s="132"/>
      <c r="BP2004" s="132"/>
      <c r="BQ2004" s="132"/>
      <c r="BR2004" s="132"/>
      <c r="BS2004" s="378"/>
      <c r="BT2004" s="136"/>
      <c r="BU2004" s="136"/>
      <c r="BV2004" s="132" t="e">
        <f>IF(#REF!="COMPLETO","OK","PENDIENTE")</f>
        <v>#REF!</v>
      </c>
      <c r="BW2004" s="136"/>
      <c r="BX2004" s="136"/>
      <c r="BY2004" s="136"/>
      <c r="BZ2004" s="136"/>
      <c r="CA2004" s="136"/>
      <c r="CB2004" s="136"/>
      <c r="CC2004" s="136"/>
      <c r="CG2004" s="136"/>
      <c r="CH2004" s="136"/>
      <c r="CI2004" s="136"/>
      <c r="CJ2004" s="24"/>
    </row>
    <row r="2005" spans="1:88" ht="14.45" customHeight="1">
      <c r="A2005" s="18">
        <v>2022</v>
      </c>
      <c r="B2005" s="18" t="e">
        <f>+INDEX(BDD!F:F,MATCH(P2005,BDD!D:D,0))&amp;"-"&amp;INDEX(BDD!E:E,MATCH(P2005,BDD!D:D,0))</f>
        <v>#N/A</v>
      </c>
      <c r="C2005" s="360" t="s">
        <v>5398</v>
      </c>
      <c r="D2005" s="150" t="s">
        <v>3</v>
      </c>
      <c r="E2005" s="132" t="s">
        <v>51</v>
      </c>
      <c r="F2005" s="24"/>
      <c r="G2005" s="346"/>
      <c r="H2005" s="18" t="s">
        <v>7894</v>
      </c>
      <c r="I2005" s="330" t="s">
        <v>7616</v>
      </c>
      <c r="J2005" s="346"/>
      <c r="K2005" s="24"/>
      <c r="L2005" s="24"/>
      <c r="M2005" s="24"/>
      <c r="N2005" s="340" t="s">
        <v>3</v>
      </c>
      <c r="O2005" s="334">
        <v>204181</v>
      </c>
      <c r="P2005" s="25" t="s">
        <v>8062</v>
      </c>
      <c r="Q2005" s="127" t="s">
        <v>237</v>
      </c>
      <c r="R2005" s="232" t="s">
        <v>7617</v>
      </c>
      <c r="S2005" s="89">
        <v>44669</v>
      </c>
      <c r="T2005" s="36">
        <v>150</v>
      </c>
      <c r="U2005" s="125" t="s">
        <v>118</v>
      </c>
      <c r="V2005" s="130"/>
      <c r="W2005" s="283"/>
      <c r="X2005" s="88"/>
      <c r="Y2005" s="130" t="s">
        <v>3</v>
      </c>
      <c r="Z2005" s="133" t="s">
        <v>60</v>
      </c>
      <c r="AA2005" s="133"/>
      <c r="AB2005" s="241">
        <v>2000</v>
      </c>
      <c r="AC2005" s="134">
        <v>1031.28</v>
      </c>
      <c r="AD2005" s="134"/>
      <c r="AE2005" s="403">
        <f t="shared" si="168"/>
        <v>2062560</v>
      </c>
      <c r="AF2005" s="132"/>
      <c r="AG2005" s="130" t="s">
        <v>58</v>
      </c>
      <c r="AH2005" s="130"/>
      <c r="AI2005" s="130" t="s">
        <v>58</v>
      </c>
      <c r="AJ2005" s="274">
        <v>1.5</v>
      </c>
      <c r="AK2005" s="130" t="s">
        <v>944</v>
      </c>
      <c r="AL2005" s="135" t="s">
        <v>7521</v>
      </c>
      <c r="AM2005" s="314">
        <v>2022</v>
      </c>
      <c r="AN2005" s="26">
        <f>AO2005</f>
        <v>44728</v>
      </c>
      <c r="AO2005" s="385">
        <v>44728</v>
      </c>
      <c r="AP2005" s="26">
        <f t="shared" ref="AP2005:AP2008" si="174">AQ2005</f>
        <v>44775</v>
      </c>
      <c r="AQ2005" s="26">
        <f>AO2005+47</f>
        <v>44775</v>
      </c>
      <c r="AR2005" s="24">
        <f>AQ2005+14</f>
        <v>44789</v>
      </c>
      <c r="AS2005" s="24"/>
      <c r="AT2005" s="24">
        <v>44781</v>
      </c>
      <c r="AU2005" s="418">
        <f t="shared" si="169"/>
        <v>8</v>
      </c>
      <c r="AV2005" s="418">
        <f t="shared" si="170"/>
        <v>2022</v>
      </c>
      <c r="AW2005" s="24" t="s">
        <v>7874</v>
      </c>
      <c r="AX2005" s="132" t="s">
        <v>5402</v>
      </c>
      <c r="AY2005" s="132"/>
      <c r="AZ2005" s="135" t="s">
        <v>37</v>
      </c>
      <c r="BA2005" s="135"/>
      <c r="BB2005" s="24"/>
      <c r="BC2005" s="128"/>
      <c r="BD2005" s="24"/>
      <c r="BE2005" s="132"/>
      <c r="BF2005" s="132"/>
      <c r="BG2005" s="135" t="s">
        <v>52</v>
      </c>
      <c r="BH2005" s="135"/>
      <c r="BI2005" s="314" t="s">
        <v>3</v>
      </c>
      <c r="BJ2005" s="314"/>
      <c r="BK2005" s="24"/>
      <c r="BL2005" s="24"/>
      <c r="BM2005" s="132"/>
      <c r="BN2005" s="24"/>
      <c r="BO2005" s="24"/>
      <c r="BP2005" s="24"/>
      <c r="BQ2005" s="24"/>
      <c r="BR2005" s="24"/>
      <c r="BS2005" s="24"/>
      <c r="BT2005" s="24"/>
      <c r="BU2005" s="24"/>
      <c r="BV2005" s="132" t="e">
        <f>IF(#REF!="COMPLETO","OK","PENDIENTE")</f>
        <v>#REF!</v>
      </c>
      <c r="BW2005" s="132"/>
      <c r="BX2005" s="132"/>
      <c r="BY2005" s="132"/>
      <c r="BZ2005" s="132"/>
      <c r="CA2005" s="132"/>
      <c r="CB2005" s="132"/>
      <c r="CC2005" s="67"/>
      <c r="CG2005" s="24"/>
      <c r="CH2005" s="24"/>
      <c r="CI2005" s="24"/>
      <c r="CJ2005" s="24"/>
    </row>
    <row r="2006" spans="1:88" ht="15" customHeight="1">
      <c r="A2006" s="18">
        <v>2022</v>
      </c>
      <c r="B2006" s="18" t="str">
        <f>+INDEX(BDD!F:F,MATCH(P2006,BDD!D:D,0))&amp;"-"&amp;INDEX(BDD!E:E,MATCH(P2006,BDD!D:D,0))</f>
        <v>G-S</v>
      </c>
      <c r="C2006" s="360" t="s">
        <v>5398</v>
      </c>
      <c r="D2006" s="150" t="s">
        <v>3</v>
      </c>
      <c r="E2006" s="132" t="s">
        <v>51</v>
      </c>
      <c r="F2006" s="136"/>
      <c r="G2006" s="346">
        <v>8000001961</v>
      </c>
      <c r="H2006" s="18" t="s">
        <v>7618</v>
      </c>
      <c r="I2006" s="331" t="s">
        <v>7428</v>
      </c>
      <c r="J2006" s="346">
        <v>8000001961</v>
      </c>
      <c r="K2006" s="24">
        <v>44678</v>
      </c>
      <c r="L2006" s="24"/>
      <c r="M2006" s="24"/>
      <c r="N2006" s="340" t="s">
        <v>3</v>
      </c>
      <c r="O2006" s="334">
        <v>209852</v>
      </c>
      <c r="P2006" s="25" t="s">
        <v>337</v>
      </c>
      <c r="Q2006" s="127" t="s">
        <v>264</v>
      </c>
      <c r="R2006" s="401" t="s">
        <v>7619</v>
      </c>
      <c r="S2006" s="89">
        <v>44671</v>
      </c>
      <c r="T2006" s="36">
        <v>90</v>
      </c>
      <c r="U2006" s="125" t="s">
        <v>118</v>
      </c>
      <c r="V2006" s="147"/>
      <c r="W2006" s="129"/>
      <c r="X2006" s="88"/>
      <c r="Y2006" s="130" t="s">
        <v>3</v>
      </c>
      <c r="Z2006" s="133" t="s">
        <v>60</v>
      </c>
      <c r="AA2006" s="133" t="s">
        <v>6619</v>
      </c>
      <c r="AB2006" s="241">
        <v>1401.3</v>
      </c>
      <c r="AC2006" s="134">
        <v>340</v>
      </c>
      <c r="AD2006" s="134"/>
      <c r="AE2006" s="403">
        <f t="shared" si="168"/>
        <v>476442</v>
      </c>
      <c r="AF2006" s="132"/>
      <c r="AG2006" s="130" t="s">
        <v>58</v>
      </c>
      <c r="AH2006" s="130"/>
      <c r="AI2006" s="130" t="s">
        <v>6029</v>
      </c>
      <c r="AJ2006" s="274">
        <v>1.35</v>
      </c>
      <c r="AK2006" s="130" t="s">
        <v>5634</v>
      </c>
      <c r="AL2006" s="135" t="s">
        <v>7493</v>
      </c>
      <c r="AM2006" s="322">
        <v>2022</v>
      </c>
      <c r="AN2006" s="359">
        <v>44725</v>
      </c>
      <c r="AO2006" s="385">
        <v>44732</v>
      </c>
      <c r="AP2006" s="296">
        <f t="shared" si="174"/>
        <v>44778</v>
      </c>
      <c r="AQ2006" s="26">
        <f>AO2006+46</f>
        <v>44778</v>
      </c>
      <c r="AR2006" s="24">
        <f>AQ2006+10</f>
        <v>44788</v>
      </c>
      <c r="AS2006" s="24"/>
      <c r="AT2006" s="24">
        <v>44784</v>
      </c>
      <c r="AU2006" s="418">
        <f t="shared" si="169"/>
        <v>8</v>
      </c>
      <c r="AV2006" s="418">
        <f t="shared" si="170"/>
        <v>2022</v>
      </c>
      <c r="AW2006" s="24" t="s">
        <v>7875</v>
      </c>
      <c r="AX2006" s="135" t="s">
        <v>5402</v>
      </c>
      <c r="AY2006" s="28" t="s">
        <v>5401</v>
      </c>
      <c r="AZ2006" s="24" t="s">
        <v>37</v>
      </c>
      <c r="BA2006" s="24"/>
      <c r="BB2006" s="24" t="s">
        <v>3291</v>
      </c>
      <c r="BC2006" s="292"/>
      <c r="BD2006" s="24"/>
      <c r="BE2006" s="24"/>
      <c r="BF2006" s="24"/>
      <c r="BG2006" s="135" t="s">
        <v>52</v>
      </c>
      <c r="BH2006" s="215"/>
      <c r="BI2006" s="317" t="s">
        <v>3</v>
      </c>
      <c r="BJ2006" s="314"/>
      <c r="BK2006" s="24"/>
      <c r="BL2006" s="24"/>
      <c r="BM2006" s="24"/>
      <c r="BN2006" s="24"/>
      <c r="BO2006" s="136"/>
      <c r="BP2006" s="136"/>
      <c r="BQ2006" s="136"/>
      <c r="BR2006" s="24"/>
      <c r="BS2006" s="136"/>
      <c r="BT2006" s="136"/>
      <c r="BU2006" s="136"/>
      <c r="BV2006" s="132" t="e">
        <f>IF(#REF!="COMPLETO","OK","PENDIENTE")</f>
        <v>#REF!</v>
      </c>
      <c r="BW2006" s="132"/>
      <c r="BX2006" s="132"/>
      <c r="BY2006" s="132"/>
      <c r="BZ2006" s="132"/>
      <c r="CA2006" s="132"/>
      <c r="CB2006" s="132"/>
      <c r="CC2006" s="375"/>
      <c r="CD2006" s="67" t="s">
        <v>7871</v>
      </c>
      <c r="CE2006" s="67"/>
      <c r="CG2006" s="136"/>
      <c r="CH2006" s="136"/>
      <c r="CI2006" s="24"/>
      <c r="CJ2006" s="24"/>
    </row>
    <row r="2007" spans="1:88" ht="15" customHeight="1">
      <c r="A2007" s="18">
        <v>2022</v>
      </c>
      <c r="B2007" s="18" t="str">
        <f>+INDEX(BDD!F:F,MATCH(P2007,BDD!D:D,0))&amp;"-"&amp;INDEX(BDD!E:E,MATCH(P2007,BDD!D:D,0))</f>
        <v>O-S</v>
      </c>
      <c r="C2007" s="360" t="s">
        <v>5398</v>
      </c>
      <c r="D2007" s="150" t="s">
        <v>3</v>
      </c>
      <c r="E2007" s="132" t="s">
        <v>7904</v>
      </c>
      <c r="F2007" s="24"/>
      <c r="G2007" s="453">
        <v>8000001947</v>
      </c>
      <c r="H2007" s="18" t="s">
        <v>8091</v>
      </c>
      <c r="I2007" s="330" t="s">
        <v>7620</v>
      </c>
      <c r="J2007" s="453">
        <v>8000001947</v>
      </c>
      <c r="K2007" s="454">
        <v>44685</v>
      </c>
      <c r="L2007" s="24"/>
      <c r="M2007" s="24"/>
      <c r="N2007" s="340" t="s">
        <v>3</v>
      </c>
      <c r="O2007" s="334">
        <v>204750</v>
      </c>
      <c r="P2007" s="25" t="s">
        <v>390</v>
      </c>
      <c r="Q2007" s="127" t="s">
        <v>303</v>
      </c>
      <c r="R2007" s="401" t="s">
        <v>7621</v>
      </c>
      <c r="S2007" s="89">
        <v>44673</v>
      </c>
      <c r="T2007" s="36" t="s">
        <v>19</v>
      </c>
      <c r="U2007" s="125"/>
      <c r="V2007" s="147"/>
      <c r="W2007" s="129"/>
      <c r="X2007" s="88"/>
      <c r="Y2007" s="130" t="s">
        <v>3</v>
      </c>
      <c r="Z2007" s="133" t="s">
        <v>72</v>
      </c>
      <c r="AA2007" s="133" t="s">
        <v>1622</v>
      </c>
      <c r="AB2007" s="241">
        <v>792</v>
      </c>
      <c r="AC2007" s="134">
        <v>1197</v>
      </c>
      <c r="AD2007" s="134"/>
      <c r="AE2007" s="403">
        <f t="shared" si="168"/>
        <v>948024</v>
      </c>
      <c r="AF2007" s="132"/>
      <c r="AG2007" s="130" t="s">
        <v>5</v>
      </c>
      <c r="AH2007" s="130"/>
      <c r="AI2007" s="130" t="s">
        <v>47</v>
      </c>
      <c r="AJ2007" s="130" t="s">
        <v>944</v>
      </c>
      <c r="AK2007" s="130" t="s">
        <v>6980</v>
      </c>
      <c r="AL2007" s="135" t="s">
        <v>7521</v>
      </c>
      <c r="AM2007" s="314">
        <v>2022</v>
      </c>
      <c r="AN2007" s="26">
        <v>44704</v>
      </c>
      <c r="AO2007" s="385">
        <v>44729</v>
      </c>
      <c r="AP2007" s="26">
        <f t="shared" ref="AP2007" si="175">AQ2007</f>
        <v>44756</v>
      </c>
      <c r="AQ2007" s="26">
        <f>AO2007+27</f>
        <v>44756</v>
      </c>
      <c r="AR2007" s="24">
        <f>AQ2007+3</f>
        <v>44759</v>
      </c>
      <c r="AS2007" s="24"/>
      <c r="AT2007" s="24">
        <v>44762</v>
      </c>
      <c r="AU2007" s="418">
        <f t="shared" ref="AU2007" si="176">MONTH(AT2007)</f>
        <v>7</v>
      </c>
      <c r="AV2007" s="418">
        <f t="shared" ref="AV2007" si="177">YEAR(AT2007)</f>
        <v>2022</v>
      </c>
      <c r="AW2007" s="24" t="s">
        <v>7875</v>
      </c>
      <c r="AX2007" s="24" t="s">
        <v>6982</v>
      </c>
      <c r="AY2007" s="24" t="s">
        <v>7360</v>
      </c>
      <c r="AZ2007" s="24" t="s">
        <v>62</v>
      </c>
      <c r="BA2007" s="24" t="s">
        <v>3334</v>
      </c>
      <c r="BB2007" s="24" t="s">
        <v>3264</v>
      </c>
      <c r="BC2007" s="292"/>
      <c r="BD2007" s="24"/>
      <c r="BE2007" s="24" t="s">
        <v>947</v>
      </c>
      <c r="BF2007" s="24"/>
      <c r="BG2007" s="135" t="s">
        <v>29</v>
      </c>
      <c r="BH2007" s="215" t="s">
        <v>6219</v>
      </c>
      <c r="BI2007" s="317" t="s">
        <v>3</v>
      </c>
      <c r="BJ2007" s="314" t="s">
        <v>148</v>
      </c>
      <c r="BK2007" s="24"/>
      <c r="BL2007" s="24"/>
      <c r="BM2007" s="24"/>
      <c r="BN2007" s="24"/>
      <c r="BO2007" s="24"/>
      <c r="BP2007" s="24"/>
      <c r="BQ2007" s="24"/>
      <c r="BR2007" s="24"/>
      <c r="BS2007" s="24"/>
      <c r="BT2007" s="24"/>
      <c r="BU2007" s="24"/>
      <c r="BV2007" s="132" t="e">
        <f>IF(#REF!="COMPLETO","OK","PENDIENTE")</f>
        <v>#REF!</v>
      </c>
      <c r="BW2007" s="132" t="s">
        <v>1622</v>
      </c>
      <c r="BX2007" s="132" t="s">
        <v>1622</v>
      </c>
      <c r="BY2007" s="132" t="s">
        <v>1622</v>
      </c>
      <c r="BZ2007" s="132" t="s">
        <v>1622</v>
      </c>
      <c r="CA2007" s="132" t="s">
        <v>1622</v>
      </c>
      <c r="CB2007" s="132" t="s">
        <v>1622</v>
      </c>
      <c r="CC2007" s="362"/>
      <c r="CG2007" s="24"/>
      <c r="CH2007" s="24"/>
      <c r="CI2007" s="24"/>
      <c r="CJ2007" s="24"/>
    </row>
    <row r="2008" spans="1:88" ht="15" customHeight="1">
      <c r="A2008" s="18">
        <v>2022</v>
      </c>
      <c r="B2008" s="18" t="str">
        <f>+INDEX(BDD!F:F,MATCH(P2008,BDD!D:D,0))&amp;"-"&amp;INDEX(BDD!E:E,MATCH(P2008,BDD!D:D,0))</f>
        <v>O-S</v>
      </c>
      <c r="C2008" s="360" t="s">
        <v>5398</v>
      </c>
      <c r="D2008" s="150" t="s">
        <v>3</v>
      </c>
      <c r="E2008" s="132" t="s">
        <v>7904</v>
      </c>
      <c r="F2008" s="24"/>
      <c r="G2008" s="346"/>
      <c r="H2008" s="18" t="s">
        <v>8092</v>
      </c>
      <c r="I2008" s="330" t="s">
        <v>7620</v>
      </c>
      <c r="J2008" s="346"/>
      <c r="K2008" s="24"/>
      <c r="L2008" s="24"/>
      <c r="M2008" s="24"/>
      <c r="N2008" s="340" t="s">
        <v>3</v>
      </c>
      <c r="O2008" s="334">
        <v>204750</v>
      </c>
      <c r="P2008" s="25" t="s">
        <v>390</v>
      </c>
      <c r="Q2008" s="127" t="s">
        <v>303</v>
      </c>
      <c r="R2008" s="401" t="s">
        <v>7621</v>
      </c>
      <c r="S2008" s="89">
        <v>44673</v>
      </c>
      <c r="T2008" s="36" t="s">
        <v>19</v>
      </c>
      <c r="U2008" s="125"/>
      <c r="V2008" s="147"/>
      <c r="W2008" s="129"/>
      <c r="X2008" s="88"/>
      <c r="Y2008" s="130" t="s">
        <v>3</v>
      </c>
      <c r="Z2008" s="133" t="s">
        <v>72</v>
      </c>
      <c r="AA2008" s="133" t="s">
        <v>1622</v>
      </c>
      <c r="AB2008" s="241">
        <v>792</v>
      </c>
      <c r="AC2008" s="134">
        <v>1197</v>
      </c>
      <c r="AD2008" s="134"/>
      <c r="AE2008" s="403">
        <f t="shared" si="168"/>
        <v>948024</v>
      </c>
      <c r="AF2008" s="132"/>
      <c r="AG2008" s="130" t="s">
        <v>5</v>
      </c>
      <c r="AH2008" s="130"/>
      <c r="AI2008" s="130" t="s">
        <v>47</v>
      </c>
      <c r="AJ2008" s="130" t="s">
        <v>944</v>
      </c>
      <c r="AK2008" s="130" t="s">
        <v>6980</v>
      </c>
      <c r="AL2008" s="135" t="s">
        <v>7521</v>
      </c>
      <c r="AM2008" s="314">
        <v>2022</v>
      </c>
      <c r="AN2008" s="26">
        <v>44704</v>
      </c>
      <c r="AO2008" s="385">
        <v>44742</v>
      </c>
      <c r="AP2008" s="26">
        <f t="shared" si="174"/>
        <v>44769</v>
      </c>
      <c r="AQ2008" s="26">
        <f>AO2008+27</f>
        <v>44769</v>
      </c>
      <c r="AR2008" s="24">
        <f>AQ2008+3</f>
        <v>44772</v>
      </c>
      <c r="AS2008" s="24"/>
      <c r="AT2008" s="24">
        <v>44776</v>
      </c>
      <c r="AU2008" s="418">
        <f t="shared" si="169"/>
        <v>8</v>
      </c>
      <c r="AV2008" s="418">
        <f t="shared" si="170"/>
        <v>2022</v>
      </c>
      <c r="AW2008" s="24" t="s">
        <v>7875</v>
      </c>
      <c r="AX2008" s="24" t="s">
        <v>6982</v>
      </c>
      <c r="AY2008" s="24" t="s">
        <v>7360</v>
      </c>
      <c r="AZ2008" s="24" t="s">
        <v>62</v>
      </c>
      <c r="BA2008" s="24" t="s">
        <v>3334</v>
      </c>
      <c r="BB2008" s="24" t="s">
        <v>3264</v>
      </c>
      <c r="BC2008" s="292"/>
      <c r="BD2008" s="24"/>
      <c r="BE2008" s="24" t="s">
        <v>5438</v>
      </c>
      <c r="BF2008" s="24"/>
      <c r="BG2008" s="135" t="s">
        <v>29</v>
      </c>
      <c r="BH2008" s="215" t="s">
        <v>6219</v>
      </c>
      <c r="BI2008" s="317" t="s">
        <v>3</v>
      </c>
      <c r="BJ2008" s="314" t="s">
        <v>148</v>
      </c>
      <c r="BK2008" s="24"/>
      <c r="BL2008" s="24"/>
      <c r="BM2008" s="24"/>
      <c r="BN2008" s="24"/>
      <c r="BO2008" s="24"/>
      <c r="BP2008" s="24"/>
      <c r="BQ2008" s="24"/>
      <c r="BR2008" s="24"/>
      <c r="BS2008" s="24"/>
      <c r="BT2008" s="24"/>
      <c r="BU2008" s="24"/>
      <c r="BV2008" s="132" t="e">
        <f>IF(#REF!="COMPLETO","OK","PENDIENTE")</f>
        <v>#REF!</v>
      </c>
      <c r="BW2008" s="132" t="s">
        <v>1622</v>
      </c>
      <c r="BX2008" s="132" t="s">
        <v>1622</v>
      </c>
      <c r="BY2008" s="132" t="s">
        <v>1622</v>
      </c>
      <c r="BZ2008" s="132" t="s">
        <v>1622</v>
      </c>
      <c r="CA2008" s="132" t="s">
        <v>1622</v>
      </c>
      <c r="CB2008" s="132" t="s">
        <v>1622</v>
      </c>
      <c r="CC2008" s="362"/>
      <c r="CG2008" s="24"/>
      <c r="CH2008" s="24"/>
      <c r="CI2008" s="24"/>
      <c r="CJ2008" s="24"/>
    </row>
    <row r="2009" spans="1:88" ht="15" customHeight="1">
      <c r="A2009" s="189">
        <v>2022</v>
      </c>
      <c r="B2009" s="189" t="str">
        <f>+INDEX(BDD!F:F,MATCH(P2009,BDD!D:D,0))&amp;"-"&amp;INDEX(BDD!E:E,MATCH(P2009,BDD!D:D,0))</f>
        <v>O-S</v>
      </c>
      <c r="C2009" s="386" t="s">
        <v>484</v>
      </c>
      <c r="D2009" s="191" t="s">
        <v>20</v>
      </c>
      <c r="E2009" s="132" t="s">
        <v>1622</v>
      </c>
      <c r="F2009" s="140"/>
      <c r="G2009" s="388">
        <v>8000001973</v>
      </c>
      <c r="H2009" s="189" t="s">
        <v>7622</v>
      </c>
      <c r="I2009" s="387"/>
      <c r="J2009" s="388">
        <v>8000001973</v>
      </c>
      <c r="K2009" s="24"/>
      <c r="L2009" s="24"/>
      <c r="M2009" s="24"/>
      <c r="N2009" s="344"/>
      <c r="O2009" s="338"/>
      <c r="P2009" s="190" t="s">
        <v>392</v>
      </c>
      <c r="Q2009" s="192" t="s">
        <v>303</v>
      </c>
      <c r="R2009" s="266"/>
      <c r="S2009" s="389"/>
      <c r="T2009" s="194"/>
      <c r="U2009" s="195"/>
      <c r="V2009" s="390"/>
      <c r="W2009" s="182"/>
      <c r="X2009" s="197"/>
      <c r="Y2009" s="198"/>
      <c r="Z2009" s="138"/>
      <c r="AA2009" s="138"/>
      <c r="AB2009" s="391"/>
      <c r="AC2009" s="139"/>
      <c r="AD2009" s="139"/>
      <c r="AE2009" s="403">
        <f t="shared" si="168"/>
        <v>0</v>
      </c>
      <c r="AF2009" s="143"/>
      <c r="AG2009" s="198"/>
      <c r="AH2009" s="198"/>
      <c r="AI2009" s="198"/>
      <c r="AJ2009" s="198"/>
      <c r="AK2009" s="198"/>
      <c r="AL2009" s="200"/>
      <c r="AM2009" s="316"/>
      <c r="AN2009" s="356"/>
      <c r="AO2009" s="356"/>
      <c r="AP2009" s="356"/>
      <c r="AQ2009" s="356"/>
      <c r="AR2009" s="140"/>
      <c r="AS2009" s="140"/>
      <c r="AT2009" s="140"/>
      <c r="AU2009" s="418">
        <f t="shared" si="169"/>
        <v>1</v>
      </c>
      <c r="AV2009" s="418">
        <f t="shared" si="170"/>
        <v>1900</v>
      </c>
      <c r="AW2009" s="140"/>
      <c r="AX2009" s="140"/>
      <c r="AY2009" s="140"/>
      <c r="AZ2009" s="140"/>
      <c r="BA2009" s="24"/>
      <c r="BB2009" s="24"/>
      <c r="BC2009" s="292"/>
      <c r="BD2009" s="24"/>
      <c r="BE2009" s="24"/>
      <c r="BF2009" s="24"/>
      <c r="BG2009" s="135"/>
      <c r="BH2009" s="215"/>
      <c r="BI2009" s="317"/>
      <c r="BJ2009" s="316"/>
      <c r="BK2009" s="140"/>
      <c r="BL2009" s="140"/>
      <c r="BM2009" s="140"/>
      <c r="BN2009" s="140"/>
      <c r="BO2009" s="140"/>
      <c r="BP2009" s="140"/>
      <c r="BQ2009" s="140"/>
      <c r="BR2009" s="140"/>
      <c r="BS2009" s="140"/>
      <c r="BT2009" s="140"/>
      <c r="BU2009" s="140"/>
      <c r="BV2009" s="132" t="e">
        <f>IF(#REF!="COMPLETO","OK","PENDIENTE")</f>
        <v>#REF!</v>
      </c>
      <c r="BW2009" s="143"/>
      <c r="BX2009" s="143"/>
      <c r="BY2009" s="143"/>
      <c r="BZ2009" s="143"/>
      <c r="CA2009" s="143"/>
      <c r="CB2009" s="143"/>
      <c r="CC2009" s="395" t="s">
        <v>7623</v>
      </c>
      <c r="CD2009" s="299"/>
      <c r="CE2009" s="299"/>
      <c r="CF2009" s="299"/>
      <c r="CG2009" s="140"/>
      <c r="CH2009" s="140"/>
      <c r="CI2009" s="140"/>
      <c r="CJ2009" s="140"/>
    </row>
    <row r="2010" spans="1:88" ht="15" customHeight="1">
      <c r="A2010" s="18">
        <v>2022</v>
      </c>
      <c r="B2010" s="18" t="str">
        <f>+INDEX(BDD!F:F,MATCH(P2010,BDD!D:D,0))&amp;"-"&amp;INDEX(BDD!E:E,MATCH(P2010,BDD!D:D,0))</f>
        <v>T-S</v>
      </c>
      <c r="C2010" s="360" t="s">
        <v>5398</v>
      </c>
      <c r="D2010" s="150" t="s">
        <v>3</v>
      </c>
      <c r="E2010" s="132" t="s">
        <v>51</v>
      </c>
      <c r="F2010" s="67"/>
      <c r="G2010" s="392"/>
      <c r="H2010" s="18" t="s">
        <v>7883</v>
      </c>
      <c r="I2010" s="392"/>
      <c r="J2010" s="392"/>
      <c r="K2010" s="24"/>
      <c r="L2010" s="24"/>
      <c r="M2010" s="24"/>
      <c r="N2010" s="339" t="s">
        <v>3</v>
      </c>
      <c r="O2010" s="334">
        <v>208067</v>
      </c>
      <c r="P2010" s="25" t="s">
        <v>383</v>
      </c>
      <c r="Q2010" s="127" t="s">
        <v>303</v>
      </c>
      <c r="R2010" s="401">
        <v>4600020106</v>
      </c>
      <c r="S2010" s="89">
        <v>44687</v>
      </c>
      <c r="T2010" s="36">
        <v>30</v>
      </c>
      <c r="U2010" s="125" t="s">
        <v>131</v>
      </c>
      <c r="V2010" s="67"/>
      <c r="W2010" s="291"/>
      <c r="X2010" s="136"/>
      <c r="Y2010" s="130" t="s">
        <v>3</v>
      </c>
      <c r="Z2010" s="133" t="s">
        <v>60</v>
      </c>
      <c r="AA2010" s="133" t="s">
        <v>1622</v>
      </c>
      <c r="AB2010" s="241">
        <v>297</v>
      </c>
      <c r="AC2010" s="134">
        <v>1050</v>
      </c>
      <c r="AD2010" s="136"/>
      <c r="AE2010" s="403">
        <f t="shared" si="168"/>
        <v>311850</v>
      </c>
      <c r="AF2010" s="132">
        <v>11</v>
      </c>
      <c r="AG2010" s="130" t="s">
        <v>5</v>
      </c>
      <c r="AH2010" s="136"/>
      <c r="AI2010" s="130" t="s">
        <v>34</v>
      </c>
      <c r="AJ2010" s="130" t="s">
        <v>944</v>
      </c>
      <c r="AK2010" s="130" t="s">
        <v>6704</v>
      </c>
      <c r="AL2010" s="135" t="s">
        <v>7521</v>
      </c>
      <c r="AM2010" s="314">
        <v>2022</v>
      </c>
      <c r="AN2010" s="26">
        <v>44732</v>
      </c>
      <c r="AO2010" s="385">
        <v>44728</v>
      </c>
      <c r="AP2010" s="26">
        <f>AN2010+4</f>
        <v>44736</v>
      </c>
      <c r="AQ2010" s="26">
        <f>AO2010+6</f>
        <v>44734</v>
      </c>
      <c r="AR2010" s="24">
        <f>AQ2010+4</f>
        <v>44738</v>
      </c>
      <c r="AS2010" s="136"/>
      <c r="AT2010" s="24">
        <v>44739</v>
      </c>
      <c r="AU2010" s="418">
        <f t="shared" si="169"/>
        <v>6</v>
      </c>
      <c r="AV2010" s="418">
        <f t="shared" si="170"/>
        <v>2022</v>
      </c>
      <c r="AW2010" s="24" t="s">
        <v>7875</v>
      </c>
      <c r="AX2010" s="24" t="s">
        <v>6982</v>
      </c>
      <c r="AY2010" s="24" t="s">
        <v>7360</v>
      </c>
      <c r="AZ2010" s="135" t="s">
        <v>37</v>
      </c>
      <c r="BA2010" s="24"/>
      <c r="BB2010" s="24"/>
      <c r="BC2010" s="292"/>
      <c r="BD2010" s="24"/>
      <c r="BE2010" s="24" t="s">
        <v>579</v>
      </c>
      <c r="BF2010" s="24" t="s">
        <v>579</v>
      </c>
      <c r="BG2010" s="135" t="s">
        <v>64</v>
      </c>
      <c r="BH2010" s="215" t="s">
        <v>6414</v>
      </c>
      <c r="BI2010" s="212" t="s">
        <v>3</v>
      </c>
      <c r="BJ2010" s="212" t="s">
        <v>148</v>
      </c>
      <c r="BK2010" s="136"/>
      <c r="BL2010" s="136"/>
      <c r="BM2010" s="136"/>
      <c r="BN2010" s="136"/>
      <c r="BO2010" s="136"/>
      <c r="BP2010" s="136"/>
      <c r="BQ2010" s="136"/>
      <c r="BR2010" s="291"/>
      <c r="BS2010" s="67"/>
      <c r="BT2010" s="67"/>
      <c r="BU2010" s="67"/>
      <c r="BV2010" s="132" t="e">
        <f>IF(#REF!="COMPLETO","OK","PENDIENTE")</f>
        <v>#REF!</v>
      </c>
      <c r="BW2010" s="132" t="s">
        <v>1622</v>
      </c>
      <c r="BX2010" s="132" t="s">
        <v>1622</v>
      </c>
      <c r="BY2010" s="132" t="s">
        <v>1622</v>
      </c>
      <c r="BZ2010" s="132" t="s">
        <v>1622</v>
      </c>
      <c r="CA2010" s="132" t="s">
        <v>1622</v>
      </c>
      <c r="CB2010" s="132" t="s">
        <v>1622</v>
      </c>
      <c r="CC2010" s="67"/>
      <c r="CG2010" s="136"/>
      <c r="CH2010" s="136"/>
      <c r="CI2010" s="136"/>
      <c r="CJ2010" s="136"/>
    </row>
    <row r="2011" spans="1:88" ht="15" customHeight="1">
      <c r="A2011" s="18">
        <v>2022</v>
      </c>
      <c r="B2011" s="18" t="s">
        <v>7613</v>
      </c>
      <c r="C2011" s="360" t="s">
        <v>5398</v>
      </c>
      <c r="D2011" s="150" t="s">
        <v>3</v>
      </c>
      <c r="E2011" s="132" t="s">
        <v>51</v>
      </c>
      <c r="F2011" s="24"/>
      <c r="G2011" s="334">
        <v>8000001980</v>
      </c>
      <c r="H2011" s="18" t="s">
        <v>7624</v>
      </c>
      <c r="I2011" s="416" t="s">
        <v>7625</v>
      </c>
      <c r="J2011" s="334">
        <v>8000001980</v>
      </c>
      <c r="K2011" s="24"/>
      <c r="L2011" s="24"/>
      <c r="M2011" s="24"/>
      <c r="N2011" s="396" t="s">
        <v>3</v>
      </c>
      <c r="O2011" s="334">
        <v>204772</v>
      </c>
      <c r="P2011" s="25" t="s">
        <v>340</v>
      </c>
      <c r="Q2011" s="127" t="s">
        <v>297</v>
      </c>
      <c r="R2011" s="232" t="s">
        <v>7626</v>
      </c>
      <c r="S2011" s="24">
        <v>44679</v>
      </c>
      <c r="T2011" s="36" t="s">
        <v>19</v>
      </c>
      <c r="U2011" s="125"/>
      <c r="V2011" s="22"/>
      <c r="W2011" s="43"/>
      <c r="X2011" s="24"/>
      <c r="Y2011" s="130" t="s">
        <v>3</v>
      </c>
      <c r="Z2011" s="133" t="s">
        <v>60</v>
      </c>
      <c r="AA2011" s="133" t="s">
        <v>6619</v>
      </c>
      <c r="AB2011" s="241">
        <v>2000</v>
      </c>
      <c r="AC2011" s="134">
        <v>1230</v>
      </c>
      <c r="AD2011" s="134"/>
      <c r="AE2011" s="403">
        <f t="shared" si="168"/>
        <v>2460000</v>
      </c>
      <c r="AF2011" s="132" t="s">
        <v>1622</v>
      </c>
      <c r="AG2011" s="130" t="s">
        <v>5</v>
      </c>
      <c r="AH2011" s="130"/>
      <c r="AI2011" s="130" t="s">
        <v>6029</v>
      </c>
      <c r="AJ2011" s="274">
        <v>1</v>
      </c>
      <c r="AK2011" s="130" t="s">
        <v>944</v>
      </c>
      <c r="AL2011" s="135" t="s">
        <v>7598</v>
      </c>
      <c r="AM2011" s="314">
        <v>2022</v>
      </c>
      <c r="AN2011" s="385">
        <v>44728</v>
      </c>
      <c r="AO2011" s="385">
        <v>44728</v>
      </c>
      <c r="AP2011" s="26">
        <v>44780</v>
      </c>
      <c r="AQ2011" s="26">
        <f>AO2011+46</f>
        <v>44774</v>
      </c>
      <c r="AR2011" s="24">
        <f>AQ2011+4</f>
        <v>44778</v>
      </c>
      <c r="AS2011" s="24"/>
      <c r="AT2011" s="24">
        <v>44779</v>
      </c>
      <c r="AU2011" s="418">
        <f t="shared" si="169"/>
        <v>8</v>
      </c>
      <c r="AV2011" s="418">
        <f t="shared" si="170"/>
        <v>2022</v>
      </c>
      <c r="AW2011" s="24" t="s">
        <v>7874</v>
      </c>
      <c r="AX2011" s="135" t="s">
        <v>5402</v>
      </c>
      <c r="AY2011" s="135"/>
      <c r="AZ2011" s="135" t="s">
        <v>37</v>
      </c>
      <c r="BA2011" s="24"/>
      <c r="BB2011" s="24"/>
      <c r="BC2011" s="292"/>
      <c r="BD2011" s="24"/>
      <c r="BE2011" s="24"/>
      <c r="BF2011" s="24"/>
      <c r="BG2011" s="135" t="s">
        <v>52</v>
      </c>
      <c r="BH2011" s="215"/>
      <c r="BI2011" s="317" t="s">
        <v>3</v>
      </c>
      <c r="BJ2011" s="314"/>
      <c r="BK2011" s="24"/>
      <c r="BL2011" s="24"/>
      <c r="BM2011" s="24"/>
      <c r="BN2011" s="24"/>
      <c r="BO2011" s="135"/>
      <c r="BP2011" s="135"/>
      <c r="BQ2011" s="135"/>
      <c r="BR2011" s="24"/>
      <c r="BS2011" s="135"/>
      <c r="BT2011" s="135"/>
      <c r="BU2011" s="135"/>
      <c r="BV2011" s="132" t="e">
        <f>IF(#REF!="COMPLETO","OK","PENDIENTE")</f>
        <v>#REF!</v>
      </c>
      <c r="BW2011" s="132"/>
      <c r="BX2011" s="132"/>
      <c r="BY2011" s="132"/>
      <c r="BZ2011" s="132"/>
      <c r="CA2011" s="132"/>
      <c r="CB2011" s="132"/>
      <c r="CC2011" s="136"/>
      <c r="CG2011" s="24"/>
      <c r="CH2011" s="24"/>
      <c r="CI2011" s="24"/>
      <c r="CJ2011" s="24"/>
    </row>
    <row r="2012" spans="1:88" ht="15" customHeight="1">
      <c r="A2012" s="18">
        <v>2022</v>
      </c>
      <c r="B2012" s="18" t="s">
        <v>7613</v>
      </c>
      <c r="C2012" s="360" t="s">
        <v>5398</v>
      </c>
      <c r="D2012" s="150" t="s">
        <v>3</v>
      </c>
      <c r="E2012" s="132" t="s">
        <v>51</v>
      </c>
      <c r="F2012" s="67"/>
      <c r="G2012" s="392"/>
      <c r="H2012" s="18" t="s">
        <v>7884</v>
      </c>
      <c r="I2012" s="392"/>
      <c r="J2012" s="392"/>
      <c r="K2012" s="24"/>
      <c r="L2012" s="24"/>
      <c r="M2012" s="24"/>
      <c r="N2012" s="339" t="s">
        <v>3</v>
      </c>
      <c r="O2012" s="334">
        <v>208067</v>
      </c>
      <c r="P2012" s="25" t="s">
        <v>383</v>
      </c>
      <c r="Q2012" s="127" t="s">
        <v>303</v>
      </c>
      <c r="R2012" s="401">
        <v>4600020107</v>
      </c>
      <c r="S2012" s="89">
        <v>44687</v>
      </c>
      <c r="T2012" s="36">
        <v>30</v>
      </c>
      <c r="U2012" s="125" t="s">
        <v>131</v>
      </c>
      <c r="V2012" s="67"/>
      <c r="W2012" s="291"/>
      <c r="X2012" s="136"/>
      <c r="Y2012" s="130" t="s">
        <v>3</v>
      </c>
      <c r="Z2012" s="133" t="s">
        <v>60</v>
      </c>
      <c r="AA2012" s="133" t="s">
        <v>1622</v>
      </c>
      <c r="AB2012" s="241">
        <v>54</v>
      </c>
      <c r="AC2012" s="134">
        <v>1050</v>
      </c>
      <c r="AD2012" s="136"/>
      <c r="AE2012" s="403">
        <f t="shared" si="168"/>
        <v>56700</v>
      </c>
      <c r="AF2012" s="132">
        <v>2</v>
      </c>
      <c r="AG2012" s="130" t="s">
        <v>5</v>
      </c>
      <c r="AH2012" s="136"/>
      <c r="AI2012" s="130" t="s">
        <v>34</v>
      </c>
      <c r="AJ2012" s="130" t="s">
        <v>944</v>
      </c>
      <c r="AK2012" s="130" t="s">
        <v>6704</v>
      </c>
      <c r="AL2012" s="135" t="s">
        <v>7521</v>
      </c>
      <c r="AM2012" s="314">
        <v>2022</v>
      </c>
      <c r="AN2012" s="26">
        <v>44732</v>
      </c>
      <c r="AO2012" s="385">
        <v>44722</v>
      </c>
      <c r="AP2012" s="26">
        <f>AN2012+4</f>
        <v>44736</v>
      </c>
      <c r="AQ2012" s="26">
        <f>AO2012+21</f>
        <v>44743</v>
      </c>
      <c r="AR2012" s="24">
        <f>AQ2012+3</f>
        <v>44746</v>
      </c>
      <c r="AS2012" s="136"/>
      <c r="AT2012" s="24">
        <v>44748</v>
      </c>
      <c r="AU2012" s="418">
        <f t="shared" si="169"/>
        <v>7</v>
      </c>
      <c r="AV2012" s="418">
        <f t="shared" si="170"/>
        <v>2022</v>
      </c>
      <c r="AW2012" s="24" t="s">
        <v>7875</v>
      </c>
      <c r="AX2012" s="24" t="s">
        <v>6982</v>
      </c>
      <c r="AY2012" s="24" t="s">
        <v>7360</v>
      </c>
      <c r="AZ2012" s="24" t="s">
        <v>62</v>
      </c>
      <c r="BA2012" s="24" t="s">
        <v>3334</v>
      </c>
      <c r="BB2012" s="24"/>
      <c r="BC2012" s="292"/>
      <c r="BD2012" s="24"/>
      <c r="BE2012" s="24" t="s">
        <v>5944</v>
      </c>
      <c r="BF2012" s="24"/>
      <c r="BG2012" s="135" t="s">
        <v>29</v>
      </c>
      <c r="BH2012" s="215" t="s">
        <v>6219</v>
      </c>
      <c r="BI2012" s="212" t="s">
        <v>3</v>
      </c>
      <c r="BJ2012" s="136"/>
      <c r="BK2012" s="136"/>
      <c r="BL2012" s="136"/>
      <c r="BM2012" s="136"/>
      <c r="BN2012" s="136"/>
      <c r="BO2012" s="136"/>
      <c r="BP2012" s="136"/>
      <c r="BQ2012" s="136"/>
      <c r="BR2012" s="291"/>
      <c r="BS2012" s="67"/>
      <c r="BT2012" s="67"/>
      <c r="BU2012" s="67"/>
      <c r="BV2012" s="132" t="e">
        <f>IF(#REF!="COMPLETO","OK","PENDIENTE")</f>
        <v>#REF!</v>
      </c>
      <c r="BW2012" s="132" t="s">
        <v>1622</v>
      </c>
      <c r="BX2012" s="132" t="s">
        <v>1622</v>
      </c>
      <c r="BY2012" s="132" t="s">
        <v>1622</v>
      </c>
      <c r="BZ2012" s="132" t="s">
        <v>1622</v>
      </c>
      <c r="CA2012" s="132" t="s">
        <v>1622</v>
      </c>
      <c r="CB2012" s="132" t="s">
        <v>1622</v>
      </c>
      <c r="CC2012" s="67"/>
      <c r="CG2012" s="136"/>
      <c r="CH2012" s="136"/>
      <c r="CI2012" s="136"/>
      <c r="CJ2012" s="136"/>
    </row>
    <row r="2013" spans="1:88" ht="15" customHeight="1">
      <c r="A2013" s="18">
        <v>2022</v>
      </c>
      <c r="B2013" s="18" t="s">
        <v>7613</v>
      </c>
      <c r="C2013" s="360" t="s">
        <v>5398</v>
      </c>
      <c r="D2013" s="150" t="s">
        <v>3</v>
      </c>
      <c r="E2013" s="132" t="s">
        <v>51</v>
      </c>
      <c r="F2013" s="67"/>
      <c r="G2013" s="392"/>
      <c r="H2013" s="18" t="s">
        <v>7885</v>
      </c>
      <c r="I2013" s="392"/>
      <c r="J2013" s="392"/>
      <c r="K2013" s="24"/>
      <c r="L2013" s="24"/>
      <c r="M2013" s="24"/>
      <c r="N2013" s="339" t="s">
        <v>3</v>
      </c>
      <c r="O2013" s="334">
        <v>203553</v>
      </c>
      <c r="P2013" s="25" t="s">
        <v>386</v>
      </c>
      <c r="Q2013" s="127" t="s">
        <v>303</v>
      </c>
      <c r="R2013" s="401">
        <v>4600020108</v>
      </c>
      <c r="S2013" s="89">
        <v>44687</v>
      </c>
      <c r="T2013" s="36" t="s">
        <v>19</v>
      </c>
      <c r="U2013" s="290"/>
      <c r="V2013" s="67"/>
      <c r="W2013" s="291"/>
      <c r="X2013" s="394"/>
      <c r="Y2013" s="130" t="s">
        <v>3</v>
      </c>
      <c r="Z2013" s="133" t="s">
        <v>60</v>
      </c>
      <c r="AA2013" s="133" t="s">
        <v>1622</v>
      </c>
      <c r="AB2013" s="241">
        <v>108</v>
      </c>
      <c r="AC2013" s="134">
        <v>1171.82</v>
      </c>
      <c r="AD2013" s="136"/>
      <c r="AE2013" s="403">
        <f t="shared" si="168"/>
        <v>126556.56</v>
      </c>
      <c r="AF2013" s="132">
        <v>4</v>
      </c>
      <c r="AG2013" s="130" t="s">
        <v>5</v>
      </c>
      <c r="AH2013" s="136"/>
      <c r="AI2013" s="130" t="s">
        <v>100</v>
      </c>
      <c r="AJ2013" s="130" t="s">
        <v>944</v>
      </c>
      <c r="AK2013" s="130" t="s">
        <v>5634</v>
      </c>
      <c r="AL2013" s="135" t="s">
        <v>7521</v>
      </c>
      <c r="AM2013" s="314">
        <v>2022</v>
      </c>
      <c r="AN2013" s="26">
        <v>44732</v>
      </c>
      <c r="AO2013" s="385">
        <v>44713</v>
      </c>
      <c r="AP2013" s="26">
        <f>AN2013+20</f>
        <v>44752</v>
      </c>
      <c r="AQ2013" s="26">
        <f>AO2013+20</f>
        <v>44733</v>
      </c>
      <c r="AR2013" s="24">
        <f>AQ2013+4</f>
        <v>44737</v>
      </c>
      <c r="AS2013" s="136"/>
      <c r="AT2013" s="24">
        <v>44736</v>
      </c>
      <c r="AU2013" s="418">
        <f t="shared" si="169"/>
        <v>6</v>
      </c>
      <c r="AV2013" s="418">
        <f t="shared" si="170"/>
        <v>2022</v>
      </c>
      <c r="AW2013" s="24" t="s">
        <v>7875</v>
      </c>
      <c r="AX2013" s="355" t="s">
        <v>6218</v>
      </c>
      <c r="AY2013" s="24" t="s">
        <v>7153</v>
      </c>
      <c r="AZ2013" s="135" t="s">
        <v>9</v>
      </c>
      <c r="BA2013" s="24" t="s">
        <v>7130</v>
      </c>
      <c r="BB2013" s="24"/>
      <c r="BC2013" s="292"/>
      <c r="BD2013" s="24"/>
      <c r="BE2013" s="24" t="s">
        <v>579</v>
      </c>
      <c r="BF2013" s="24" t="s">
        <v>579</v>
      </c>
      <c r="BG2013" s="135" t="s">
        <v>29</v>
      </c>
      <c r="BH2013" s="215" t="s">
        <v>6219</v>
      </c>
      <c r="BI2013" s="317" t="s">
        <v>3</v>
      </c>
      <c r="BJ2013" s="136"/>
      <c r="BK2013" s="136"/>
      <c r="BL2013" s="136"/>
      <c r="BM2013" s="136"/>
      <c r="BN2013" s="136"/>
      <c r="BO2013" s="136"/>
      <c r="BP2013" s="136"/>
      <c r="BQ2013" s="136"/>
      <c r="BR2013" s="291"/>
      <c r="BS2013" s="67"/>
      <c r="BT2013" s="67"/>
      <c r="BU2013" s="67"/>
      <c r="BV2013" s="132" t="e">
        <f>IF(#REF!="COMPLETO","OK","PENDIENTE")</f>
        <v>#REF!</v>
      </c>
      <c r="BW2013" s="132" t="s">
        <v>1622</v>
      </c>
      <c r="BX2013" s="132" t="s">
        <v>1622</v>
      </c>
      <c r="BY2013" s="132" t="s">
        <v>1622</v>
      </c>
      <c r="BZ2013" s="132" t="s">
        <v>1622</v>
      </c>
      <c r="CA2013" s="132" t="s">
        <v>1622</v>
      </c>
      <c r="CB2013" s="132" t="s">
        <v>1622</v>
      </c>
      <c r="CC2013" s="67"/>
      <c r="CG2013" s="136"/>
      <c r="CH2013" s="136"/>
      <c r="CI2013" s="136"/>
      <c r="CJ2013" s="136"/>
    </row>
    <row r="2014" spans="1:88" ht="15" customHeight="1">
      <c r="A2014" s="18">
        <v>2022</v>
      </c>
      <c r="B2014" s="18" t="s">
        <v>7613</v>
      </c>
      <c r="C2014" s="360" t="s">
        <v>5398</v>
      </c>
      <c r="D2014" s="150" t="s">
        <v>18</v>
      </c>
      <c r="E2014" s="132" t="s">
        <v>51</v>
      </c>
      <c r="F2014" s="67"/>
      <c r="G2014" s="392"/>
      <c r="H2014" s="18" t="s">
        <v>7886</v>
      </c>
      <c r="I2014" s="392"/>
      <c r="J2014" s="392"/>
      <c r="K2014" s="24"/>
      <c r="L2014" s="24"/>
      <c r="M2014" s="24"/>
      <c r="N2014" s="339" t="s">
        <v>3</v>
      </c>
      <c r="O2014" s="334">
        <v>203553</v>
      </c>
      <c r="P2014" s="25" t="s">
        <v>386</v>
      </c>
      <c r="Q2014" s="127" t="s">
        <v>303</v>
      </c>
      <c r="R2014" s="401">
        <v>4600020109</v>
      </c>
      <c r="S2014" s="89">
        <v>44687</v>
      </c>
      <c r="T2014" s="36" t="s">
        <v>19</v>
      </c>
      <c r="U2014" s="290"/>
      <c r="V2014" s="67"/>
      <c r="W2014" s="291"/>
      <c r="X2014" s="136"/>
      <c r="Y2014" s="130" t="s">
        <v>3</v>
      </c>
      <c r="Z2014" s="133" t="s">
        <v>60</v>
      </c>
      <c r="AA2014" s="133" t="s">
        <v>1622</v>
      </c>
      <c r="AB2014" s="241">
        <v>107.56</v>
      </c>
      <c r="AC2014" s="134">
        <v>1171.82</v>
      </c>
      <c r="AD2014" s="136"/>
      <c r="AE2014" s="403">
        <f t="shared" si="168"/>
        <v>126040.9592</v>
      </c>
      <c r="AF2014" s="132">
        <v>4</v>
      </c>
      <c r="AG2014" s="130" t="s">
        <v>5</v>
      </c>
      <c r="AH2014" s="136"/>
      <c r="AI2014" s="130" t="s">
        <v>100</v>
      </c>
      <c r="AJ2014" s="130" t="s">
        <v>944</v>
      </c>
      <c r="AK2014" s="130" t="s">
        <v>5634</v>
      </c>
      <c r="AL2014" s="135" t="s">
        <v>7521</v>
      </c>
      <c r="AM2014" s="314">
        <v>2022</v>
      </c>
      <c r="AN2014" s="26">
        <v>44732</v>
      </c>
      <c r="AO2014" s="385">
        <v>44717</v>
      </c>
      <c r="AP2014" s="26">
        <f>AN2014+27</f>
        <v>44759</v>
      </c>
      <c r="AQ2014" s="26">
        <v>44738</v>
      </c>
      <c r="AR2014" s="24">
        <f>AQ2014+4</f>
        <v>44742</v>
      </c>
      <c r="AS2014" s="136"/>
      <c r="AT2014" s="24">
        <v>44742</v>
      </c>
      <c r="AU2014" s="418">
        <f t="shared" si="169"/>
        <v>6</v>
      </c>
      <c r="AV2014" s="418">
        <f t="shared" si="170"/>
        <v>2022</v>
      </c>
      <c r="AW2014" s="24" t="s">
        <v>7888</v>
      </c>
      <c r="AX2014" s="24" t="s">
        <v>6218</v>
      </c>
      <c r="AY2014" s="24" t="s">
        <v>7153</v>
      </c>
      <c r="AZ2014" s="135" t="s">
        <v>37</v>
      </c>
      <c r="BA2014" s="24"/>
      <c r="BB2014" s="24"/>
      <c r="BC2014" s="128" t="s">
        <v>8063</v>
      </c>
      <c r="BD2014" s="24">
        <v>44714</v>
      </c>
      <c r="BE2014" s="24" t="s">
        <v>579</v>
      </c>
      <c r="BF2014" s="24" t="s">
        <v>579</v>
      </c>
      <c r="BG2014" s="135" t="s">
        <v>29</v>
      </c>
      <c r="BH2014" s="215" t="s">
        <v>6219</v>
      </c>
      <c r="BI2014" s="317" t="s">
        <v>3</v>
      </c>
      <c r="BJ2014" s="136"/>
      <c r="BK2014" s="136"/>
      <c r="BL2014" s="136"/>
      <c r="BM2014" s="136"/>
      <c r="BN2014" s="136"/>
      <c r="BO2014" s="24">
        <f>AQ2014+12</f>
        <v>44750</v>
      </c>
      <c r="BP2014" s="136"/>
      <c r="BQ2014" s="136"/>
      <c r="BR2014" s="291"/>
      <c r="BS2014" s="67"/>
      <c r="BT2014" s="67"/>
      <c r="BU2014" s="67"/>
      <c r="BV2014" s="132" t="e">
        <f>IF(#REF!="COMPLETO","OK","PENDIENTE")</f>
        <v>#REF!</v>
      </c>
      <c r="BW2014" s="132" t="s">
        <v>1622</v>
      </c>
      <c r="BX2014" s="132" t="s">
        <v>1622</v>
      </c>
      <c r="BY2014" s="132" t="s">
        <v>1622</v>
      </c>
      <c r="BZ2014" s="132" t="s">
        <v>1622</v>
      </c>
      <c r="CA2014" s="132" t="s">
        <v>1622</v>
      </c>
      <c r="CB2014" s="132" t="s">
        <v>1622</v>
      </c>
      <c r="CC2014" s="67"/>
      <c r="CG2014" s="136"/>
      <c r="CH2014" s="136"/>
      <c r="CI2014" s="136"/>
      <c r="CJ2014" s="136"/>
    </row>
    <row r="2015" spans="1:88" s="442" customFormat="1" ht="15" customHeight="1">
      <c r="A2015" s="404">
        <v>2022</v>
      </c>
      <c r="B2015" s="404" t="s">
        <v>7613</v>
      </c>
      <c r="C2015" s="426" t="s">
        <v>5398</v>
      </c>
      <c r="D2015" s="427" t="s">
        <v>3</v>
      </c>
      <c r="E2015" s="410" t="s">
        <v>51</v>
      </c>
      <c r="F2015" s="404" t="s">
        <v>7702</v>
      </c>
      <c r="G2015" s="429">
        <v>8000002018</v>
      </c>
      <c r="H2015" s="404" t="s">
        <v>7936</v>
      </c>
      <c r="I2015" s="428" t="s">
        <v>7946</v>
      </c>
      <c r="J2015" s="429">
        <v>8000002018</v>
      </c>
      <c r="K2015" s="412">
        <v>44701</v>
      </c>
      <c r="L2015" s="430"/>
      <c r="M2015" s="430"/>
      <c r="N2015" s="431" t="s">
        <v>3</v>
      </c>
      <c r="O2015" s="334">
        <v>207791</v>
      </c>
      <c r="P2015" s="406" t="s">
        <v>98</v>
      </c>
      <c r="Q2015" s="127" t="s">
        <v>7559</v>
      </c>
      <c r="R2015" s="401"/>
      <c r="S2015" s="433">
        <v>44693</v>
      </c>
      <c r="T2015" s="434" t="s">
        <v>19</v>
      </c>
      <c r="U2015" s="451"/>
      <c r="V2015" s="441"/>
      <c r="W2015" s="440"/>
      <c r="X2015" s="437"/>
      <c r="Y2015" s="436" t="s">
        <v>3</v>
      </c>
      <c r="Z2015" s="435" t="s">
        <v>72</v>
      </c>
      <c r="AA2015" s="437"/>
      <c r="AB2015" s="414">
        <v>168</v>
      </c>
      <c r="AC2015" s="409">
        <v>1070</v>
      </c>
      <c r="AD2015" s="437"/>
      <c r="AE2015" s="403">
        <f t="shared" si="168"/>
        <v>179760</v>
      </c>
      <c r="AF2015" s="410"/>
      <c r="AG2015" s="436" t="s">
        <v>5</v>
      </c>
      <c r="AH2015" s="437"/>
      <c r="AI2015" s="436" t="s">
        <v>7937</v>
      </c>
      <c r="AJ2015" s="436"/>
      <c r="AK2015" s="436"/>
      <c r="AL2015" s="411" t="s">
        <v>7938</v>
      </c>
      <c r="AM2015" s="322">
        <v>2022</v>
      </c>
      <c r="AN2015" s="385">
        <v>44743</v>
      </c>
      <c r="AO2015" s="385">
        <v>44767</v>
      </c>
      <c r="AP2015" s="385">
        <v>44774</v>
      </c>
      <c r="AQ2015" s="385">
        <f>AO2015+30</f>
        <v>44797</v>
      </c>
      <c r="AR2015" s="24">
        <f>AQ2015+4</f>
        <v>44801</v>
      </c>
      <c r="AS2015" s="437"/>
      <c r="AT2015" s="412">
        <f>AR2015</f>
        <v>44801</v>
      </c>
      <c r="AU2015" s="418">
        <f t="shared" si="169"/>
        <v>8</v>
      </c>
      <c r="AV2015" s="418">
        <f t="shared" si="170"/>
        <v>2022</v>
      </c>
      <c r="AW2015" s="412" t="s">
        <v>7874</v>
      </c>
      <c r="AX2015" s="412"/>
      <c r="AY2015" s="437"/>
      <c r="AZ2015" s="411" t="s">
        <v>37</v>
      </c>
      <c r="BA2015" s="412"/>
      <c r="BB2015" s="412" t="s">
        <v>3291</v>
      </c>
      <c r="BC2015" s="438"/>
      <c r="BD2015" s="412"/>
      <c r="BE2015" s="412"/>
      <c r="BF2015" s="412"/>
      <c r="BG2015" s="411"/>
      <c r="BH2015" s="439"/>
      <c r="BI2015" s="317" t="s">
        <v>3</v>
      </c>
      <c r="BJ2015" s="437"/>
      <c r="BK2015" s="437"/>
      <c r="BL2015" s="437"/>
      <c r="BM2015" s="437"/>
      <c r="BN2015" s="437"/>
      <c r="BO2015" s="437"/>
      <c r="BP2015" s="437"/>
      <c r="BQ2015" s="437"/>
      <c r="BR2015" s="440"/>
      <c r="BS2015" s="441"/>
      <c r="BT2015" s="441"/>
      <c r="BU2015" s="441"/>
      <c r="BV2015" s="132" t="e">
        <f>IF(#REF!="COMPLETO","OK","PENDIENTE")</f>
        <v>#REF!</v>
      </c>
      <c r="BW2015" s="437"/>
      <c r="BX2015" s="437"/>
      <c r="BY2015" s="437"/>
      <c r="BZ2015" s="437"/>
      <c r="CA2015" s="437"/>
      <c r="CB2015" s="437"/>
      <c r="CC2015" s="441" t="s">
        <v>8012</v>
      </c>
      <c r="CD2015" s="437"/>
      <c r="CE2015" s="437"/>
      <c r="CF2015" s="437"/>
      <c r="CG2015" s="437"/>
      <c r="CH2015" s="437"/>
      <c r="CI2015" s="437"/>
      <c r="CJ2015" s="437"/>
    </row>
    <row r="2016" spans="1:88" s="442" customFormat="1" ht="15" customHeight="1">
      <c r="A2016" s="404">
        <v>2022</v>
      </c>
      <c r="B2016" s="404" t="s">
        <v>7613</v>
      </c>
      <c r="C2016" s="426" t="s">
        <v>5398</v>
      </c>
      <c r="D2016" s="427" t="s">
        <v>3</v>
      </c>
      <c r="E2016" s="410" t="s">
        <v>51</v>
      </c>
      <c r="F2016" s="404" t="s">
        <v>7702</v>
      </c>
      <c r="G2016" s="429">
        <v>8000002019</v>
      </c>
      <c r="H2016" s="404" t="s">
        <v>7945</v>
      </c>
      <c r="I2016" s="428" t="s">
        <v>7947</v>
      </c>
      <c r="J2016" s="429">
        <v>8000002019</v>
      </c>
      <c r="K2016" s="412">
        <v>44701</v>
      </c>
      <c r="L2016" s="430"/>
      <c r="M2016" s="430"/>
      <c r="N2016" s="431" t="s">
        <v>3</v>
      </c>
      <c r="O2016" s="334">
        <v>207791</v>
      </c>
      <c r="P2016" s="406" t="s">
        <v>98</v>
      </c>
      <c r="Q2016" s="127" t="s">
        <v>7559</v>
      </c>
      <c r="R2016" s="401"/>
      <c r="S2016" s="433">
        <v>44693</v>
      </c>
      <c r="T2016" s="434" t="s">
        <v>19</v>
      </c>
      <c r="U2016" s="451"/>
      <c r="V2016" s="441"/>
      <c r="W2016" s="440"/>
      <c r="X2016" s="437"/>
      <c r="Y2016" s="436" t="s">
        <v>3</v>
      </c>
      <c r="Z2016" s="435" t="s">
        <v>72</v>
      </c>
      <c r="AA2016" s="437"/>
      <c r="AB2016" s="414">
        <v>336</v>
      </c>
      <c r="AC2016" s="409">
        <v>1070</v>
      </c>
      <c r="AD2016" s="437"/>
      <c r="AE2016" s="403">
        <f t="shared" si="168"/>
        <v>359520</v>
      </c>
      <c r="AF2016" s="410"/>
      <c r="AG2016" s="436" t="s">
        <v>5</v>
      </c>
      <c r="AH2016" s="437"/>
      <c r="AI2016" s="436" t="s">
        <v>7937</v>
      </c>
      <c r="AJ2016" s="436"/>
      <c r="AK2016" s="436"/>
      <c r="AL2016" s="411" t="s">
        <v>7938</v>
      </c>
      <c r="AM2016" s="322">
        <v>2022</v>
      </c>
      <c r="AN2016" s="385">
        <v>44743</v>
      </c>
      <c r="AO2016" s="385">
        <v>44774</v>
      </c>
      <c r="AP2016" s="385">
        <v>44774</v>
      </c>
      <c r="AQ2016" s="385">
        <f>AO2016+30</f>
        <v>44804</v>
      </c>
      <c r="AR2016" s="24">
        <f>AQ2016+4</f>
        <v>44808</v>
      </c>
      <c r="AS2016" s="437"/>
      <c r="AT2016" s="412">
        <f t="shared" ref="AT2016:AT2017" si="178">AR2016</f>
        <v>44808</v>
      </c>
      <c r="AU2016" s="418">
        <f t="shared" si="169"/>
        <v>9</v>
      </c>
      <c r="AV2016" s="418">
        <f t="shared" si="170"/>
        <v>2022</v>
      </c>
      <c r="AW2016" s="412" t="s">
        <v>7874</v>
      </c>
      <c r="AX2016" s="412"/>
      <c r="AY2016" s="437"/>
      <c r="AZ2016" s="411" t="s">
        <v>9</v>
      </c>
      <c r="BA2016" s="412"/>
      <c r="BB2016" s="412" t="s">
        <v>3264</v>
      </c>
      <c r="BC2016" s="438"/>
      <c r="BD2016" s="412"/>
      <c r="BE2016" s="412"/>
      <c r="BF2016" s="412"/>
      <c r="BG2016" s="411"/>
      <c r="BH2016" s="439"/>
      <c r="BI2016" s="317" t="s">
        <v>3</v>
      </c>
      <c r="BJ2016" s="437"/>
      <c r="BK2016" s="437"/>
      <c r="BL2016" s="437"/>
      <c r="BM2016" s="437"/>
      <c r="BN2016" s="437"/>
      <c r="BO2016" s="437"/>
      <c r="BP2016" s="437"/>
      <c r="BQ2016" s="437"/>
      <c r="BR2016" s="440"/>
      <c r="BS2016" s="441"/>
      <c r="BT2016" s="441"/>
      <c r="BU2016" s="441"/>
      <c r="BV2016" s="132" t="e">
        <f>IF(#REF!="COMPLETO","OK","PENDIENTE")</f>
        <v>#REF!</v>
      </c>
      <c r="BW2016" s="437"/>
      <c r="BX2016" s="437"/>
      <c r="BY2016" s="437"/>
      <c r="BZ2016" s="437"/>
      <c r="CA2016" s="437"/>
      <c r="CB2016" s="437"/>
      <c r="CC2016" s="441" t="s">
        <v>8013</v>
      </c>
      <c r="CD2016" s="437"/>
      <c r="CE2016" s="437"/>
      <c r="CF2016" s="437"/>
      <c r="CG2016" s="437"/>
      <c r="CH2016" s="437"/>
      <c r="CI2016" s="437"/>
      <c r="CJ2016" s="437"/>
    </row>
    <row r="2017" spans="1:88" s="447" customFormat="1" ht="15" customHeight="1">
      <c r="A2017" s="404">
        <v>2022</v>
      </c>
      <c r="B2017" s="404" t="s">
        <v>7613</v>
      </c>
      <c r="C2017" s="426" t="s">
        <v>5398</v>
      </c>
      <c r="D2017" s="427" t="s">
        <v>3</v>
      </c>
      <c r="E2017" s="410" t="s">
        <v>51</v>
      </c>
      <c r="F2017" s="404" t="s">
        <v>7702</v>
      </c>
      <c r="G2017" s="429">
        <v>8000002000</v>
      </c>
      <c r="H2017" s="404" t="s">
        <v>7941</v>
      </c>
      <c r="I2017" s="428" t="s">
        <v>7959</v>
      </c>
      <c r="J2017" s="429">
        <v>8000002000</v>
      </c>
      <c r="K2017" s="412">
        <v>44697</v>
      </c>
      <c r="L2017" s="412"/>
      <c r="M2017" s="412"/>
      <c r="N2017" s="431" t="s">
        <v>3</v>
      </c>
      <c r="O2017" s="432">
        <v>206720</v>
      </c>
      <c r="P2017" s="406" t="s">
        <v>336</v>
      </c>
      <c r="Q2017" s="127" t="s">
        <v>7559</v>
      </c>
      <c r="R2017" s="401"/>
      <c r="S2017" s="433">
        <v>44693</v>
      </c>
      <c r="T2017" s="434" t="s">
        <v>19</v>
      </c>
      <c r="U2017" s="452"/>
      <c r="V2017" s="446"/>
      <c r="W2017" s="445"/>
      <c r="X2017" s="443"/>
      <c r="Y2017" s="436" t="s">
        <v>3</v>
      </c>
      <c r="Z2017" s="435" t="s">
        <v>72</v>
      </c>
      <c r="AA2017" s="443"/>
      <c r="AB2017" s="414">
        <v>42</v>
      </c>
      <c r="AC2017" s="409">
        <v>590</v>
      </c>
      <c r="AD2017" s="443"/>
      <c r="AE2017" s="403">
        <f t="shared" si="168"/>
        <v>24780</v>
      </c>
      <c r="AF2017" s="410"/>
      <c r="AG2017" s="436" t="s">
        <v>5</v>
      </c>
      <c r="AH2017" s="443"/>
      <c r="AI2017" s="436" t="s">
        <v>34</v>
      </c>
      <c r="AJ2017" s="436"/>
      <c r="AK2017" s="436"/>
      <c r="AL2017" s="411" t="s">
        <v>7938</v>
      </c>
      <c r="AM2017" s="322">
        <v>2022</v>
      </c>
      <c r="AN2017" s="385">
        <v>44743</v>
      </c>
      <c r="AO2017" s="385">
        <v>44781</v>
      </c>
      <c r="AP2017" s="385">
        <v>44774</v>
      </c>
      <c r="AQ2017" s="385">
        <f>AO2017+30</f>
        <v>44811</v>
      </c>
      <c r="AR2017" s="24">
        <f>AQ2017+4</f>
        <v>44815</v>
      </c>
      <c r="AS2017" s="443"/>
      <c r="AT2017" s="412">
        <f t="shared" si="178"/>
        <v>44815</v>
      </c>
      <c r="AU2017" s="418">
        <f t="shared" si="169"/>
        <v>9</v>
      </c>
      <c r="AV2017" s="418">
        <f t="shared" si="170"/>
        <v>2022</v>
      </c>
      <c r="AW2017" s="412" t="s">
        <v>7874</v>
      </c>
      <c r="AX2017" s="412"/>
      <c r="AY2017" s="443"/>
      <c r="AZ2017" s="411" t="s">
        <v>9</v>
      </c>
      <c r="BA2017" s="412" t="s">
        <v>7130</v>
      </c>
      <c r="BB2017" s="412" t="s">
        <v>3264</v>
      </c>
      <c r="BC2017" s="444"/>
      <c r="BD2017" s="412"/>
      <c r="BE2017" s="412"/>
      <c r="BF2017" s="412"/>
      <c r="BG2017" s="411"/>
      <c r="BH2017" s="439"/>
      <c r="BI2017" s="317" t="s">
        <v>3</v>
      </c>
      <c r="BJ2017" s="443"/>
      <c r="BK2017" s="443"/>
      <c r="BL2017" s="443"/>
      <c r="BM2017" s="443"/>
      <c r="BN2017" s="443"/>
      <c r="BO2017" s="443"/>
      <c r="BP2017" s="443"/>
      <c r="BQ2017" s="443"/>
      <c r="BR2017" s="445"/>
      <c r="BS2017" s="446"/>
      <c r="BT2017" s="446"/>
      <c r="BU2017" s="446"/>
      <c r="BV2017" s="132" t="e">
        <f>IF(#REF!="COMPLETO","OK","PENDIENTE")</f>
        <v>#REF!</v>
      </c>
      <c r="BW2017" s="443"/>
      <c r="BX2017" s="443"/>
      <c r="BY2017" s="443"/>
      <c r="BZ2017" s="443"/>
      <c r="CA2017" s="443"/>
      <c r="CB2017" s="443"/>
      <c r="CC2017" s="446" t="s">
        <v>7962</v>
      </c>
      <c r="CD2017" s="443"/>
      <c r="CE2017" s="443"/>
      <c r="CF2017" s="443"/>
      <c r="CG2017" s="443"/>
      <c r="CH2017" s="443"/>
      <c r="CI2017" s="443"/>
      <c r="CJ2017" s="443"/>
    </row>
    <row r="2018" spans="1:88" s="447" customFormat="1" ht="15" customHeight="1">
      <c r="A2018" s="404">
        <v>2022</v>
      </c>
      <c r="B2018" s="404" t="s">
        <v>7613</v>
      </c>
      <c r="C2018" s="426" t="s">
        <v>5398</v>
      </c>
      <c r="D2018" s="427" t="s">
        <v>3</v>
      </c>
      <c r="E2018" s="410" t="s">
        <v>7961</v>
      </c>
      <c r="F2018" s="404" t="s">
        <v>7702</v>
      </c>
      <c r="G2018" s="429">
        <v>8000002001</v>
      </c>
      <c r="H2018" s="404" t="s">
        <v>7942</v>
      </c>
      <c r="I2018" s="428" t="s">
        <v>7944</v>
      </c>
      <c r="J2018" s="429">
        <v>8000002001</v>
      </c>
      <c r="K2018" s="412">
        <v>44697</v>
      </c>
      <c r="L2018" s="412"/>
      <c r="M2018" s="412"/>
      <c r="N2018" s="431" t="s">
        <v>3</v>
      </c>
      <c r="O2018" s="432">
        <v>206914</v>
      </c>
      <c r="P2018" s="406" t="s">
        <v>335</v>
      </c>
      <c r="Q2018" s="407" t="s">
        <v>264</v>
      </c>
      <c r="R2018" s="401" t="s">
        <v>7989</v>
      </c>
      <c r="S2018" s="433">
        <v>44694</v>
      </c>
      <c r="T2018" s="434">
        <v>90</v>
      </c>
      <c r="U2018" s="125" t="s">
        <v>118</v>
      </c>
      <c r="V2018" s="147" t="s">
        <v>7989</v>
      </c>
      <c r="W2018" s="433">
        <v>44697</v>
      </c>
      <c r="X2018" s="88"/>
      <c r="Y2018" s="130" t="s">
        <v>3</v>
      </c>
      <c r="Z2018" s="435" t="s">
        <v>60</v>
      </c>
      <c r="AA2018" s="133" t="s">
        <v>6619</v>
      </c>
      <c r="AB2018" s="414">
        <v>3500</v>
      </c>
      <c r="AC2018" s="409">
        <v>276</v>
      </c>
      <c r="AD2018" s="134"/>
      <c r="AE2018" s="403">
        <f t="shared" si="168"/>
        <v>966000</v>
      </c>
      <c r="AF2018" s="410"/>
      <c r="AG2018" s="436" t="s">
        <v>58</v>
      </c>
      <c r="AH2018" s="443"/>
      <c r="AI2018" s="436" t="s">
        <v>34</v>
      </c>
      <c r="AJ2018" s="448">
        <v>1.25</v>
      </c>
      <c r="AK2018" s="436" t="s">
        <v>5400</v>
      </c>
      <c r="AL2018" s="411" t="s">
        <v>7943</v>
      </c>
      <c r="AM2018" s="449">
        <v>2022</v>
      </c>
      <c r="AN2018" s="385">
        <v>44729</v>
      </c>
      <c r="AO2018" s="385">
        <v>44755</v>
      </c>
      <c r="AP2018" s="385">
        <v>44775</v>
      </c>
      <c r="AQ2018" s="385">
        <f>AO2018+46</f>
        <v>44801</v>
      </c>
      <c r="AR2018" s="412">
        <f>AQ2018+7</f>
        <v>44808</v>
      </c>
      <c r="AS2018" s="443"/>
      <c r="AT2018" s="412">
        <v>44807</v>
      </c>
      <c r="AU2018" s="418">
        <f t="shared" si="169"/>
        <v>9</v>
      </c>
      <c r="AV2018" s="418">
        <f t="shared" si="170"/>
        <v>2022</v>
      </c>
      <c r="AW2018" s="412" t="s">
        <v>7874</v>
      </c>
      <c r="AX2018" s="411" t="s">
        <v>5402</v>
      </c>
      <c r="AY2018" s="135" t="s">
        <v>6800</v>
      </c>
      <c r="AZ2018" s="411" t="s">
        <v>9</v>
      </c>
      <c r="BA2018" s="412" t="s">
        <v>7130</v>
      </c>
      <c r="BB2018" s="412" t="s">
        <v>3264</v>
      </c>
      <c r="BC2018" s="444"/>
      <c r="BD2018" s="412"/>
      <c r="BE2018" s="412"/>
      <c r="BF2018" s="412"/>
      <c r="BG2018" s="411"/>
      <c r="BH2018" s="439"/>
      <c r="BI2018" s="317" t="s">
        <v>3</v>
      </c>
      <c r="BJ2018" s="443"/>
      <c r="BK2018" s="443"/>
      <c r="BL2018" s="443"/>
      <c r="BM2018" s="443"/>
      <c r="BN2018" s="443"/>
      <c r="BO2018" s="443"/>
      <c r="BP2018" s="443"/>
      <c r="BQ2018" s="443"/>
      <c r="BR2018" s="445"/>
      <c r="BS2018" s="446"/>
      <c r="BT2018" s="446"/>
      <c r="BU2018" s="446"/>
      <c r="BV2018" s="132" t="e">
        <f>IF(#REF!="COMPLETO","OK","PENDIENTE")</f>
        <v>#REF!</v>
      </c>
      <c r="BW2018" s="443"/>
      <c r="BX2018" s="443"/>
      <c r="BY2018" s="443"/>
      <c r="BZ2018" s="443"/>
      <c r="CA2018" s="443"/>
      <c r="CB2018" s="443"/>
      <c r="CC2018" s="446" t="s">
        <v>7963</v>
      </c>
      <c r="CD2018" s="443"/>
      <c r="CE2018" s="443"/>
      <c r="CF2018" s="443"/>
      <c r="CG2018" s="443"/>
      <c r="CH2018" s="443"/>
      <c r="CI2018" s="443"/>
      <c r="CJ2018" s="443"/>
    </row>
    <row r="2019" spans="1:88" s="447" customFormat="1" ht="15" customHeight="1">
      <c r="A2019" s="404">
        <v>2022</v>
      </c>
      <c r="B2019" s="404" t="s">
        <v>7613</v>
      </c>
      <c r="C2019" s="426" t="s">
        <v>5398</v>
      </c>
      <c r="D2019" s="427" t="s">
        <v>3</v>
      </c>
      <c r="E2019" s="410" t="s">
        <v>51</v>
      </c>
      <c r="F2019" s="404" t="s">
        <v>7729</v>
      </c>
      <c r="G2019" s="429">
        <v>8000001997</v>
      </c>
      <c r="H2019" s="404" t="s">
        <v>7948</v>
      </c>
      <c r="I2019" s="428" t="s">
        <v>7949</v>
      </c>
      <c r="J2019" s="429">
        <v>8000001997</v>
      </c>
      <c r="K2019" s="412">
        <v>44697</v>
      </c>
      <c r="L2019" s="412"/>
      <c r="M2019" s="412"/>
      <c r="N2019" s="431" t="s">
        <v>3</v>
      </c>
      <c r="O2019" s="432">
        <v>209992</v>
      </c>
      <c r="P2019" s="406" t="s">
        <v>7960</v>
      </c>
      <c r="Q2019" s="407" t="s">
        <v>309</v>
      </c>
      <c r="R2019" s="421"/>
      <c r="S2019" s="433">
        <v>44693</v>
      </c>
      <c r="T2019" s="434">
        <v>90</v>
      </c>
      <c r="U2019" s="125" t="s">
        <v>118</v>
      </c>
      <c r="V2019" s="422"/>
      <c r="W2019" s="423"/>
      <c r="X2019" s="420"/>
      <c r="Y2019" s="424" t="s">
        <v>3</v>
      </c>
      <c r="Z2019" s="435" t="s">
        <v>81</v>
      </c>
      <c r="AA2019" s="420"/>
      <c r="AB2019" s="414">
        <v>16.25</v>
      </c>
      <c r="AC2019" s="409">
        <f>6.14*1000</f>
        <v>6140</v>
      </c>
      <c r="AD2019" s="420"/>
      <c r="AE2019" s="403">
        <f t="shared" si="168"/>
        <v>99775</v>
      </c>
      <c r="AF2019" s="410">
        <v>1</v>
      </c>
      <c r="AG2019" s="436" t="s">
        <v>5</v>
      </c>
      <c r="AH2019" s="443"/>
      <c r="AI2019" s="436" t="s">
        <v>34</v>
      </c>
      <c r="AJ2019" s="448"/>
      <c r="AK2019" s="436"/>
      <c r="AL2019" s="411" t="s">
        <v>7958</v>
      </c>
      <c r="AM2019" s="322">
        <v>2022</v>
      </c>
      <c r="AN2019" s="385">
        <v>44778</v>
      </c>
      <c r="AO2019" s="385">
        <v>44778</v>
      </c>
      <c r="AP2019" s="385">
        <v>44818</v>
      </c>
      <c r="AQ2019" s="385">
        <f>AO2019+40</f>
        <v>44818</v>
      </c>
      <c r="AR2019" s="24">
        <f>AQ2019+4</f>
        <v>44822</v>
      </c>
      <c r="AS2019" s="443"/>
      <c r="AT2019" s="412">
        <v>44825</v>
      </c>
      <c r="AU2019" s="418">
        <f t="shared" si="169"/>
        <v>9</v>
      </c>
      <c r="AV2019" s="418">
        <f t="shared" si="170"/>
        <v>2022</v>
      </c>
      <c r="AW2019" s="412" t="s">
        <v>7874</v>
      </c>
      <c r="AX2019" s="411"/>
      <c r="AY2019" s="443"/>
      <c r="AZ2019" s="411" t="s">
        <v>37</v>
      </c>
      <c r="BA2019" s="412"/>
      <c r="BB2019" s="412" t="s">
        <v>3291</v>
      </c>
      <c r="BC2019" s="444"/>
      <c r="BD2019" s="412"/>
      <c r="BE2019" s="412"/>
      <c r="BF2019" s="412"/>
      <c r="BG2019" s="411"/>
      <c r="BH2019" s="439"/>
      <c r="BI2019" s="317" t="s">
        <v>3</v>
      </c>
      <c r="BJ2019" s="443"/>
      <c r="BK2019" s="443"/>
      <c r="BL2019" s="443"/>
      <c r="BM2019" s="443"/>
      <c r="BN2019" s="443"/>
      <c r="BO2019" s="443"/>
      <c r="BP2019" s="443"/>
      <c r="BQ2019" s="443"/>
      <c r="BR2019" s="445"/>
      <c r="BS2019" s="446"/>
      <c r="BT2019" s="446"/>
      <c r="BU2019" s="446"/>
      <c r="BV2019" s="132" t="e">
        <f>IF(#REF!="COMPLETO","OK","PENDIENTE")</f>
        <v>#REF!</v>
      </c>
      <c r="BW2019" s="443"/>
      <c r="BX2019" s="443"/>
      <c r="BY2019" s="443"/>
      <c r="BZ2019" s="443"/>
      <c r="CA2019" s="443"/>
      <c r="CB2019" s="443"/>
      <c r="CC2019" s="446"/>
      <c r="CD2019" s="443"/>
      <c r="CE2019" s="443"/>
      <c r="CF2019" s="443"/>
      <c r="CG2019" s="443"/>
      <c r="CH2019" s="443"/>
      <c r="CI2019" s="443"/>
      <c r="CJ2019" s="443"/>
    </row>
    <row r="2020" spans="1:88" ht="15" customHeight="1">
      <c r="A2020" s="18">
        <v>2022</v>
      </c>
      <c r="B2020" s="18" t="str">
        <f>+INDEX(BDD!F:F,MATCH(P2020,BDD!D:D,0))&amp;"-"&amp;INDEX(BDD!E:E,MATCH(P2020,BDD!D:D,0))</f>
        <v>G-S</v>
      </c>
      <c r="C2020" s="360" t="s">
        <v>5398</v>
      </c>
      <c r="D2020" s="150" t="s">
        <v>3</v>
      </c>
      <c r="E2020" s="132"/>
      <c r="F2020" s="24"/>
      <c r="G2020" s="453">
        <v>8000002007</v>
      </c>
      <c r="H2020" s="18" t="s">
        <v>7964</v>
      </c>
      <c r="I2020" s="330" t="s">
        <v>7966</v>
      </c>
      <c r="J2020" s="453">
        <v>8000002007</v>
      </c>
      <c r="K2020" s="454">
        <v>44698</v>
      </c>
      <c r="L2020" s="24"/>
      <c r="M2020" s="24"/>
      <c r="N2020" s="340" t="s">
        <v>3</v>
      </c>
      <c r="O2020" s="334">
        <v>208300</v>
      </c>
      <c r="P2020" s="25" t="s">
        <v>332</v>
      </c>
      <c r="Q2020" s="127" t="s">
        <v>237</v>
      </c>
      <c r="R2020" s="89" t="s">
        <v>8047</v>
      </c>
      <c r="S2020" s="89">
        <v>44704</v>
      </c>
      <c r="T2020" s="36" t="s">
        <v>19</v>
      </c>
      <c r="U2020" s="290"/>
      <c r="V2020" s="67"/>
      <c r="W2020" s="291"/>
      <c r="X2020" s="136"/>
      <c r="Y2020" s="130" t="s">
        <v>3</v>
      </c>
      <c r="Z2020" s="133" t="s">
        <v>60</v>
      </c>
      <c r="AA2020" s="136"/>
      <c r="AB2020" s="241">
        <v>500</v>
      </c>
      <c r="AC2020" s="134">
        <v>440</v>
      </c>
      <c r="AD2020" s="136"/>
      <c r="AE2020" s="403">
        <f t="shared" si="168"/>
        <v>220000</v>
      </c>
      <c r="AF2020" s="136"/>
      <c r="AG2020" s="130" t="s">
        <v>46</v>
      </c>
      <c r="AH2020" s="136"/>
      <c r="AI2020" s="130" t="s">
        <v>100</v>
      </c>
      <c r="AJ2020" s="136"/>
      <c r="AK2020" s="136"/>
      <c r="AL2020" s="135" t="s">
        <v>7521</v>
      </c>
      <c r="AM2020" s="314">
        <v>2022</v>
      </c>
      <c r="AN2020" s="26">
        <f t="shared" ref="AN2020:AN2024" si="179">AO2020</f>
        <v>44728</v>
      </c>
      <c r="AO2020" s="385">
        <v>44728</v>
      </c>
      <c r="AP2020" s="26">
        <f>AQ2020</f>
        <v>44769</v>
      </c>
      <c r="AQ2020" s="26">
        <f>AO2020+41</f>
        <v>44769</v>
      </c>
      <c r="AR2020" s="26">
        <f>AQ2020+2</f>
        <v>44771</v>
      </c>
      <c r="AS2020" s="136"/>
      <c r="AT2020" s="412">
        <v>44777</v>
      </c>
      <c r="AU2020" s="418">
        <f t="shared" si="169"/>
        <v>8</v>
      </c>
      <c r="AV2020" s="418">
        <f t="shared" si="170"/>
        <v>2022</v>
      </c>
      <c r="AW2020" s="24" t="s">
        <v>7874</v>
      </c>
      <c r="AX2020" s="24" t="s">
        <v>5402</v>
      </c>
      <c r="AY2020" s="136"/>
      <c r="AZ2020" s="24" t="s">
        <v>9</v>
      </c>
      <c r="BA2020" s="135" t="s">
        <v>7130</v>
      </c>
      <c r="BB2020" s="136"/>
      <c r="BC2020" s="67"/>
      <c r="BD2020" s="136"/>
      <c r="BE2020" s="136"/>
      <c r="BF2020" s="136"/>
      <c r="BG2020" s="135" t="s">
        <v>52</v>
      </c>
      <c r="BH2020" s="136"/>
      <c r="BI2020" s="314" t="s">
        <v>3</v>
      </c>
      <c r="BJ2020" s="314"/>
      <c r="BK2020" s="136"/>
      <c r="BL2020" s="136"/>
      <c r="BM2020" s="136"/>
      <c r="BN2020" s="136"/>
      <c r="BO2020" s="136"/>
      <c r="BP2020" s="136"/>
      <c r="BQ2020" s="136"/>
      <c r="BR2020" s="291"/>
      <c r="BS2020" s="67"/>
      <c r="BT2020" s="67"/>
      <c r="BU2020" s="67"/>
      <c r="BV2020" s="132" t="e">
        <f>IF(#REF!="COMPLETO","OK","PENDIENTE")</f>
        <v>#REF!</v>
      </c>
      <c r="BW2020" s="136"/>
      <c r="BX2020" s="136"/>
      <c r="BY2020" s="136"/>
      <c r="BZ2020" s="136"/>
      <c r="CA2020" s="136"/>
      <c r="CB2020" s="136"/>
      <c r="CC2020" s="67"/>
      <c r="CG2020" s="136"/>
      <c r="CH2020" s="136"/>
      <c r="CI2020" s="136"/>
      <c r="CJ2020" s="136"/>
    </row>
    <row r="2021" spans="1:88" ht="15" customHeight="1">
      <c r="A2021" s="18">
        <v>2022</v>
      </c>
      <c r="B2021" s="18" t="str">
        <f>+INDEX(BDD!F:F,MATCH(P2021,BDD!D:D,0))&amp;"-"&amp;INDEX(BDD!E:E,MATCH(P2021,BDD!D:D,0))</f>
        <v>G-S</v>
      </c>
      <c r="C2021" s="360" t="s">
        <v>5398</v>
      </c>
      <c r="D2021" s="150" t="s">
        <v>3</v>
      </c>
      <c r="E2021" s="132"/>
      <c r="F2021" s="24"/>
      <c r="G2021" s="453">
        <v>8000002009</v>
      </c>
      <c r="H2021" s="18" t="s">
        <v>7965</v>
      </c>
      <c r="I2021" s="330" t="s">
        <v>7967</v>
      </c>
      <c r="J2021" s="453">
        <v>8000002009</v>
      </c>
      <c r="K2021" s="454">
        <v>44698</v>
      </c>
      <c r="L2021" s="24"/>
      <c r="M2021" s="24"/>
      <c r="N2021" s="340" t="s">
        <v>3</v>
      </c>
      <c r="O2021" s="334">
        <v>208300</v>
      </c>
      <c r="P2021" s="25" t="s">
        <v>332</v>
      </c>
      <c r="Q2021" s="127" t="s">
        <v>237</v>
      </c>
      <c r="R2021" s="89" t="s">
        <v>8047</v>
      </c>
      <c r="S2021" s="89">
        <v>44704</v>
      </c>
      <c r="T2021" s="36" t="s">
        <v>19</v>
      </c>
      <c r="U2021" s="290"/>
      <c r="V2021" s="67"/>
      <c r="W2021" s="291"/>
      <c r="X2021" s="136"/>
      <c r="Y2021" s="130" t="s">
        <v>3</v>
      </c>
      <c r="Z2021" s="133" t="s">
        <v>60</v>
      </c>
      <c r="AA2021" s="136"/>
      <c r="AB2021" s="241">
        <v>500</v>
      </c>
      <c r="AC2021" s="134">
        <v>440</v>
      </c>
      <c r="AD2021" s="136"/>
      <c r="AE2021" s="403">
        <f t="shared" si="168"/>
        <v>220000</v>
      </c>
      <c r="AF2021" s="136"/>
      <c r="AG2021" s="130" t="s">
        <v>46</v>
      </c>
      <c r="AH2021" s="136"/>
      <c r="AI2021" s="130" t="s">
        <v>100</v>
      </c>
      <c r="AJ2021" s="136"/>
      <c r="AK2021" s="136"/>
      <c r="AL2021" s="135" t="s">
        <v>7521</v>
      </c>
      <c r="AM2021" s="314">
        <v>2022</v>
      </c>
      <c r="AN2021" s="26">
        <f t="shared" si="179"/>
        <v>44728</v>
      </c>
      <c r="AO2021" s="385">
        <v>44728</v>
      </c>
      <c r="AP2021" s="26">
        <f t="shared" ref="AP2021" si="180">AQ2021</f>
        <v>44775</v>
      </c>
      <c r="AQ2021" s="26">
        <f>AO2021+47</f>
        <v>44775</v>
      </c>
      <c r="AR2021" s="26">
        <f>AQ2021+3</f>
        <v>44778</v>
      </c>
      <c r="AS2021" s="136"/>
      <c r="AT2021" s="412">
        <v>44779</v>
      </c>
      <c r="AU2021" s="418">
        <f t="shared" si="169"/>
        <v>8</v>
      </c>
      <c r="AV2021" s="418">
        <f t="shared" si="170"/>
        <v>2022</v>
      </c>
      <c r="AW2021" s="24" t="s">
        <v>7874</v>
      </c>
      <c r="AX2021" s="24" t="s">
        <v>5402</v>
      </c>
      <c r="AY2021" s="136"/>
      <c r="AZ2021" s="24" t="s">
        <v>37</v>
      </c>
      <c r="BA2021" s="136"/>
      <c r="BB2021" s="136"/>
      <c r="BC2021" s="67"/>
      <c r="BD2021" s="136"/>
      <c r="BE2021" s="136"/>
      <c r="BF2021" s="136"/>
      <c r="BG2021" s="135" t="s">
        <v>52</v>
      </c>
      <c r="BH2021" s="136"/>
      <c r="BI2021" s="314" t="s">
        <v>3</v>
      </c>
      <c r="BJ2021" s="314"/>
      <c r="BK2021" s="136"/>
      <c r="BL2021" s="136"/>
      <c r="BM2021" s="136"/>
      <c r="BN2021" s="136"/>
      <c r="BO2021" s="136"/>
      <c r="BP2021" s="136"/>
      <c r="BQ2021" s="136"/>
      <c r="BR2021" s="291"/>
      <c r="BS2021" s="67"/>
      <c r="BT2021" s="67"/>
      <c r="BU2021" s="67"/>
      <c r="BV2021" s="132" t="e">
        <f>IF(#REF!="COMPLETO","OK","PENDIENTE")</f>
        <v>#REF!</v>
      </c>
      <c r="BW2021" s="136"/>
      <c r="BX2021" s="136"/>
      <c r="BY2021" s="136"/>
      <c r="BZ2021" s="136"/>
      <c r="CA2021" s="136"/>
      <c r="CB2021" s="136"/>
      <c r="CC2021" s="67"/>
      <c r="CG2021" s="136"/>
      <c r="CH2021" s="136"/>
      <c r="CI2021" s="136"/>
      <c r="CJ2021" s="136"/>
    </row>
    <row r="2022" spans="1:88" ht="15" customHeight="1">
      <c r="A2022" s="18">
        <v>2022</v>
      </c>
      <c r="B2022" s="18" t="e">
        <f>+INDEX(BDD!F:F,MATCH(#REF!,BDD!D:D,0))&amp;"-"&amp;INDEX(BDD!E:E,MATCH(#REF!,BDD!D:D,0))</f>
        <v>#REF!</v>
      </c>
      <c r="C2022" s="125" t="s">
        <v>5398</v>
      </c>
      <c r="D2022" s="150" t="s">
        <v>3</v>
      </c>
      <c r="E2022" s="132"/>
      <c r="F2022" s="132"/>
      <c r="G2022" s="346">
        <v>8000002006</v>
      </c>
      <c r="H2022" s="18" t="s">
        <v>7977</v>
      </c>
      <c r="I2022" s="329" t="s">
        <v>7974</v>
      </c>
      <c r="J2022" s="346">
        <v>8000002006</v>
      </c>
      <c r="K2022" s="24">
        <v>44698</v>
      </c>
      <c r="L2022" s="24"/>
      <c r="M2022" s="24"/>
      <c r="N2022" s="339" t="s">
        <v>3</v>
      </c>
      <c r="O2022" s="334">
        <v>205258</v>
      </c>
      <c r="P2022" s="25" t="s">
        <v>7478</v>
      </c>
      <c r="Q2022" s="407" t="s">
        <v>4498</v>
      </c>
      <c r="R2022" s="232" t="s">
        <v>544</v>
      </c>
      <c r="S2022" s="89">
        <v>44698</v>
      </c>
      <c r="T2022" s="36" t="s">
        <v>19</v>
      </c>
      <c r="U2022" s="125"/>
      <c r="V2022" s="147"/>
      <c r="W2022" s="129"/>
      <c r="X2022" s="88"/>
      <c r="Y2022" s="130" t="s">
        <v>3</v>
      </c>
      <c r="Z2022" s="133" t="s">
        <v>60</v>
      </c>
      <c r="AA2022" s="133"/>
      <c r="AB2022" s="414">
        <v>250</v>
      </c>
      <c r="AC2022" s="409">
        <v>866</v>
      </c>
      <c r="AD2022" s="415"/>
      <c r="AE2022" s="403">
        <f t="shared" si="168"/>
        <v>216500</v>
      </c>
      <c r="AF2022" s="410"/>
      <c r="AG2022" s="130" t="s">
        <v>58</v>
      </c>
      <c r="AH2022" s="130"/>
      <c r="AI2022" s="130" t="s">
        <v>34</v>
      </c>
      <c r="AJ2022" s="286"/>
      <c r="AK2022" s="130"/>
      <c r="AL2022" s="135" t="s">
        <v>7521</v>
      </c>
      <c r="AM2022" s="410"/>
      <c r="AN2022" s="385">
        <f t="shared" si="179"/>
        <v>44735</v>
      </c>
      <c r="AO2022" s="385">
        <v>44735</v>
      </c>
      <c r="AP2022" s="385">
        <f>AQ2022</f>
        <v>44780</v>
      </c>
      <c r="AQ2022" s="385">
        <f>AO2022+45</f>
        <v>44780</v>
      </c>
      <c r="AR2022" s="412">
        <f>AQ2022+7</f>
        <v>44787</v>
      </c>
      <c r="AS2022" s="412"/>
      <c r="AT2022" s="412">
        <v>44784</v>
      </c>
      <c r="AU2022" s="418">
        <f t="shared" si="169"/>
        <v>8</v>
      </c>
      <c r="AV2022" s="418">
        <f t="shared" si="170"/>
        <v>2022</v>
      </c>
      <c r="AW2022" s="412" t="s">
        <v>7874</v>
      </c>
      <c r="AX2022" s="412" t="s">
        <v>5402</v>
      </c>
      <c r="AY2022" s="412"/>
      <c r="AZ2022" s="412" t="s">
        <v>9</v>
      </c>
      <c r="BA2022" s="412"/>
      <c r="BB2022" s="412"/>
      <c r="BC2022" s="413"/>
      <c r="BD2022" s="412"/>
      <c r="BE2022" s="412"/>
      <c r="BF2022" s="412"/>
      <c r="BG2022" s="135" t="s">
        <v>52</v>
      </c>
      <c r="BH2022" s="135"/>
      <c r="BI2022" s="314" t="s">
        <v>124</v>
      </c>
      <c r="BJ2022" s="314"/>
      <c r="BK2022" s="24"/>
      <c r="BL2022" s="24"/>
      <c r="BM2022" s="24"/>
      <c r="BN2022" s="24"/>
      <c r="BO2022" s="24"/>
      <c r="BP2022" s="24"/>
      <c r="BQ2022" s="24"/>
      <c r="BR2022" s="24"/>
      <c r="BS2022" s="24"/>
      <c r="BT2022" s="24"/>
      <c r="BU2022" s="24"/>
      <c r="BV2022" s="132" t="s">
        <v>3</v>
      </c>
      <c r="BW2022" s="132"/>
      <c r="BX2022" s="132"/>
      <c r="BY2022" s="132"/>
      <c r="BZ2022" s="132"/>
      <c r="CA2022" s="132"/>
      <c r="CB2022" s="132"/>
      <c r="CC2022" s="367"/>
      <c r="CG2022" s="132"/>
      <c r="CH2022" s="132"/>
      <c r="CI2022" s="24"/>
      <c r="CJ2022" s="24"/>
    </row>
    <row r="2023" spans="1:88" ht="15" customHeight="1">
      <c r="A2023" s="18">
        <v>2022</v>
      </c>
      <c r="B2023" s="18" t="str">
        <f>+INDEX(BDD!F:F,MATCH(P2023,BDD!D:D,0))&amp;"-"&amp;INDEX(BDD!E:E,MATCH(P2023,BDD!D:D,0))</f>
        <v>S-S</v>
      </c>
      <c r="C2023" s="125" t="s">
        <v>5398</v>
      </c>
      <c r="D2023" s="150" t="s">
        <v>3</v>
      </c>
      <c r="E2023" s="132"/>
      <c r="F2023" s="132"/>
      <c r="G2023" s="346">
        <v>8000002004</v>
      </c>
      <c r="H2023" s="18" t="s">
        <v>7978</v>
      </c>
      <c r="I2023" s="329" t="s">
        <v>7975</v>
      </c>
      <c r="J2023" s="346">
        <v>8000002004</v>
      </c>
      <c r="K2023" s="24">
        <v>44698</v>
      </c>
      <c r="L2023" s="24"/>
      <c r="M2023" s="24"/>
      <c r="N2023" s="340" t="s">
        <v>3</v>
      </c>
      <c r="O2023" s="334">
        <v>205257</v>
      </c>
      <c r="P2023" s="406" t="s">
        <v>344</v>
      </c>
      <c r="Q2023" s="407" t="s">
        <v>4498</v>
      </c>
      <c r="R2023" s="232" t="s">
        <v>544</v>
      </c>
      <c r="S2023" s="89">
        <v>44698</v>
      </c>
      <c r="T2023" s="36" t="s">
        <v>19</v>
      </c>
      <c r="U2023" s="125"/>
      <c r="V2023" s="147"/>
      <c r="W2023" s="129"/>
      <c r="X2023" s="88"/>
      <c r="Y2023" s="130" t="s">
        <v>3</v>
      </c>
      <c r="Z2023" s="133" t="s">
        <v>60</v>
      </c>
      <c r="AA2023" s="133"/>
      <c r="AB2023" s="414">
        <v>60</v>
      </c>
      <c r="AC2023" s="409">
        <v>290</v>
      </c>
      <c r="AD2023" s="415"/>
      <c r="AE2023" s="403">
        <f t="shared" si="168"/>
        <v>17400</v>
      </c>
      <c r="AF2023" s="410"/>
      <c r="AG2023" s="130" t="s">
        <v>58</v>
      </c>
      <c r="AH2023" s="130"/>
      <c r="AI2023" s="130" t="s">
        <v>34</v>
      </c>
      <c r="AJ2023" s="286"/>
      <c r="AK2023" s="130"/>
      <c r="AL2023" s="135" t="s">
        <v>7521</v>
      </c>
      <c r="AM2023" s="410"/>
      <c r="AN2023" s="385">
        <f t="shared" si="179"/>
        <v>44735</v>
      </c>
      <c r="AO2023" s="385">
        <v>44735</v>
      </c>
      <c r="AP2023" s="385">
        <f>AQ2023</f>
        <v>44780</v>
      </c>
      <c r="AQ2023" s="385">
        <f>AO2023+45</f>
        <v>44780</v>
      </c>
      <c r="AR2023" s="412">
        <f>AQ2023+7</f>
        <v>44787</v>
      </c>
      <c r="AS2023" s="412"/>
      <c r="AT2023" s="412">
        <v>44785</v>
      </c>
      <c r="AU2023" s="418">
        <f t="shared" si="169"/>
        <v>8</v>
      </c>
      <c r="AV2023" s="418">
        <f t="shared" si="170"/>
        <v>2022</v>
      </c>
      <c r="AW2023" s="412" t="s">
        <v>7874</v>
      </c>
      <c r="AX2023" s="412" t="s">
        <v>5402</v>
      </c>
      <c r="AY2023" s="412"/>
      <c r="AZ2023" s="412" t="s">
        <v>9</v>
      </c>
      <c r="BA2023" s="412"/>
      <c r="BB2023" s="412"/>
      <c r="BC2023" s="413"/>
      <c r="BD2023" s="412"/>
      <c r="BE2023" s="412"/>
      <c r="BF2023" s="412"/>
      <c r="BG2023" s="135" t="s">
        <v>52</v>
      </c>
      <c r="BH2023" s="135"/>
      <c r="BI2023" s="314" t="s">
        <v>124</v>
      </c>
      <c r="BJ2023" s="314"/>
      <c r="BK2023" s="24"/>
      <c r="BL2023" s="24"/>
      <c r="BM2023" s="24"/>
      <c r="BN2023" s="24"/>
      <c r="BO2023" s="24"/>
      <c r="BP2023" s="24"/>
      <c r="BQ2023" s="24"/>
      <c r="BR2023" s="24"/>
      <c r="BS2023" s="24"/>
      <c r="BT2023" s="24"/>
      <c r="BU2023" s="24"/>
      <c r="BV2023" s="132" t="s">
        <v>3</v>
      </c>
      <c r="BW2023" s="132"/>
      <c r="BX2023" s="132"/>
      <c r="BY2023" s="132"/>
      <c r="BZ2023" s="132"/>
      <c r="CA2023" s="132"/>
      <c r="CB2023" s="132"/>
      <c r="CC2023" s="367"/>
      <c r="CG2023" s="132"/>
      <c r="CH2023" s="132"/>
      <c r="CI2023" s="24"/>
      <c r="CJ2023" s="24"/>
    </row>
    <row r="2024" spans="1:88" ht="15" customHeight="1">
      <c r="A2024" s="18">
        <v>2022</v>
      </c>
      <c r="B2024" s="18" t="str">
        <f>+INDEX(BDD!F:F,MATCH(P2024,BDD!D:D,0))&amp;"-"&amp;INDEX(BDD!E:E,MATCH(P2024,BDD!D:D,0))</f>
        <v>S-S</v>
      </c>
      <c r="C2024" s="125" t="s">
        <v>5398</v>
      </c>
      <c r="D2024" s="150" t="s">
        <v>3</v>
      </c>
      <c r="E2024" s="132"/>
      <c r="F2024" s="132"/>
      <c r="G2024" s="346">
        <v>8000002005</v>
      </c>
      <c r="H2024" s="18" t="s">
        <v>7979</v>
      </c>
      <c r="I2024" s="329" t="s">
        <v>7976</v>
      </c>
      <c r="J2024" s="346">
        <v>8000002005</v>
      </c>
      <c r="K2024" s="24">
        <v>44698</v>
      </c>
      <c r="L2024" s="24"/>
      <c r="M2024" s="24"/>
      <c r="N2024" s="340" t="s">
        <v>3</v>
      </c>
      <c r="O2024" s="334">
        <v>205257</v>
      </c>
      <c r="P2024" s="406" t="s">
        <v>344</v>
      </c>
      <c r="Q2024" s="407" t="s">
        <v>4498</v>
      </c>
      <c r="R2024" s="232" t="s">
        <v>544</v>
      </c>
      <c r="S2024" s="89">
        <v>44698</v>
      </c>
      <c r="T2024" s="36" t="s">
        <v>19</v>
      </c>
      <c r="U2024" s="125"/>
      <c r="V2024" s="147"/>
      <c r="W2024" s="129"/>
      <c r="X2024" s="88"/>
      <c r="Y2024" s="130" t="s">
        <v>3</v>
      </c>
      <c r="Z2024" s="133" t="s">
        <v>60</v>
      </c>
      <c r="AA2024" s="133"/>
      <c r="AB2024" s="414">
        <v>60</v>
      </c>
      <c r="AC2024" s="409">
        <v>272</v>
      </c>
      <c r="AD2024" s="415"/>
      <c r="AE2024" s="403">
        <f t="shared" si="168"/>
        <v>16320</v>
      </c>
      <c r="AF2024" s="410"/>
      <c r="AG2024" s="130" t="s">
        <v>58</v>
      </c>
      <c r="AH2024" s="130"/>
      <c r="AI2024" s="130" t="s">
        <v>34</v>
      </c>
      <c r="AJ2024" s="286"/>
      <c r="AK2024" s="130"/>
      <c r="AL2024" s="135" t="s">
        <v>7521</v>
      </c>
      <c r="AM2024" s="410"/>
      <c r="AN2024" s="385">
        <f t="shared" si="179"/>
        <v>44735</v>
      </c>
      <c r="AO2024" s="385">
        <v>44735</v>
      </c>
      <c r="AP2024" s="385">
        <f>AQ2024</f>
        <v>44780</v>
      </c>
      <c r="AQ2024" s="385">
        <f>AO2024+45</f>
        <v>44780</v>
      </c>
      <c r="AR2024" s="412">
        <f>AQ2024+10</f>
        <v>44790</v>
      </c>
      <c r="AS2024" s="412"/>
      <c r="AT2024" s="412">
        <v>44786</v>
      </c>
      <c r="AU2024" s="418">
        <f t="shared" si="169"/>
        <v>8</v>
      </c>
      <c r="AV2024" s="418">
        <f t="shared" si="170"/>
        <v>2022</v>
      </c>
      <c r="AW2024" s="412" t="s">
        <v>7874</v>
      </c>
      <c r="AX2024" s="412" t="s">
        <v>5402</v>
      </c>
      <c r="AY2024" s="412"/>
      <c r="AZ2024" s="412" t="s">
        <v>37</v>
      </c>
      <c r="BA2024" s="412"/>
      <c r="BB2024" s="412"/>
      <c r="BC2024" s="413"/>
      <c r="BD2024" s="412"/>
      <c r="BE2024" s="412"/>
      <c r="BF2024" s="412"/>
      <c r="BG2024" s="135" t="s">
        <v>52</v>
      </c>
      <c r="BH2024" s="135"/>
      <c r="BI2024" s="314" t="s">
        <v>124</v>
      </c>
      <c r="BJ2024" s="314"/>
      <c r="BK2024" s="24"/>
      <c r="BL2024" s="24"/>
      <c r="BM2024" s="24"/>
      <c r="BN2024" s="24"/>
      <c r="BO2024" s="24"/>
      <c r="BP2024" s="24"/>
      <c r="BQ2024" s="24"/>
      <c r="BR2024" s="24"/>
      <c r="BS2024" s="24"/>
      <c r="BT2024" s="24"/>
      <c r="BU2024" s="24"/>
      <c r="BV2024" s="132" t="s">
        <v>3</v>
      </c>
      <c r="BW2024" s="132"/>
      <c r="BX2024" s="132"/>
      <c r="BY2024" s="132"/>
      <c r="BZ2024" s="132"/>
      <c r="CA2024" s="132"/>
      <c r="CB2024" s="132"/>
      <c r="CC2024" s="367"/>
      <c r="CG2024" s="132"/>
      <c r="CH2024" s="132"/>
      <c r="CI2024" s="24"/>
      <c r="CJ2024" s="24"/>
    </row>
    <row r="2025" spans="1:88" ht="15" customHeight="1">
      <c r="A2025" s="18">
        <v>2022</v>
      </c>
      <c r="B2025" s="18" t="str">
        <f>+INDEX(BDD!F:F,MATCH(P2025,BDD!D:D,0))&amp;"-"&amp;INDEX(BDD!E:E,MATCH(P2025,BDD!D:D,0))</f>
        <v>S-S</v>
      </c>
      <c r="C2025" s="360" t="s">
        <v>5398</v>
      </c>
      <c r="D2025" s="150" t="s">
        <v>3</v>
      </c>
      <c r="E2025" s="132"/>
      <c r="F2025" s="136"/>
      <c r="G2025" s="346">
        <v>8000002003</v>
      </c>
      <c r="H2025" s="18" t="s">
        <v>7981</v>
      </c>
      <c r="I2025" s="329" t="s">
        <v>7980</v>
      </c>
      <c r="J2025" s="346">
        <v>8000002003</v>
      </c>
      <c r="K2025" s="24">
        <v>44698</v>
      </c>
      <c r="L2025" s="24"/>
      <c r="M2025" s="24"/>
      <c r="N2025" s="340" t="s">
        <v>3</v>
      </c>
      <c r="O2025" s="334">
        <v>207578</v>
      </c>
      <c r="P2025" s="25" t="s">
        <v>316</v>
      </c>
      <c r="Q2025" s="407" t="s">
        <v>4498</v>
      </c>
      <c r="R2025" s="232" t="s">
        <v>544</v>
      </c>
      <c r="S2025" s="89">
        <v>44698</v>
      </c>
      <c r="T2025" s="36" t="s">
        <v>19</v>
      </c>
      <c r="U2025" s="125"/>
      <c r="V2025" s="147"/>
      <c r="W2025" s="129"/>
      <c r="X2025" s="88"/>
      <c r="Y2025" s="130" t="s">
        <v>3</v>
      </c>
      <c r="Z2025" s="133" t="s">
        <v>60</v>
      </c>
      <c r="AA2025" s="133"/>
      <c r="AB2025" s="241">
        <v>2000</v>
      </c>
      <c r="AC2025" s="134">
        <v>525</v>
      </c>
      <c r="AD2025" s="134"/>
      <c r="AE2025" s="403">
        <f t="shared" si="168"/>
        <v>1050000</v>
      </c>
      <c r="AF2025" s="132"/>
      <c r="AG2025" s="130" t="s">
        <v>58</v>
      </c>
      <c r="AH2025" s="130"/>
      <c r="AI2025" s="130" t="s">
        <v>34</v>
      </c>
      <c r="AJ2025" s="295"/>
      <c r="AK2025" s="130" t="s">
        <v>5400</v>
      </c>
      <c r="AL2025" s="135" t="s">
        <v>7528</v>
      </c>
      <c r="AM2025" s="322">
        <v>2022</v>
      </c>
      <c r="AN2025" s="296">
        <v>44739</v>
      </c>
      <c r="AO2025" s="385">
        <v>44771</v>
      </c>
      <c r="AP2025" s="26">
        <f>AN2025+46</f>
        <v>44785</v>
      </c>
      <c r="AQ2025" s="385">
        <f>AO2025+46</f>
        <v>44817</v>
      </c>
      <c r="AR2025" s="24">
        <f t="shared" ref="AR2025" si="181">AQ2025+10</f>
        <v>44827</v>
      </c>
      <c r="AS2025" s="24"/>
      <c r="AT2025" s="412">
        <v>44823</v>
      </c>
      <c r="AU2025" s="418">
        <f t="shared" si="169"/>
        <v>9</v>
      </c>
      <c r="AV2025" s="418">
        <f t="shared" si="170"/>
        <v>2022</v>
      </c>
      <c r="AW2025" s="24" t="s">
        <v>7874</v>
      </c>
      <c r="AX2025" s="135" t="s">
        <v>5402</v>
      </c>
      <c r="AY2025" s="135" t="s">
        <v>6800</v>
      </c>
      <c r="AZ2025" s="24" t="s">
        <v>37</v>
      </c>
      <c r="BA2025" s="206"/>
      <c r="BB2025" s="24" t="s">
        <v>3291</v>
      </c>
      <c r="BC2025" s="292"/>
      <c r="BD2025" s="24"/>
      <c r="BE2025" s="292"/>
      <c r="BF2025" s="292"/>
      <c r="BG2025" s="135" t="s">
        <v>52</v>
      </c>
      <c r="BH2025" s="212"/>
      <c r="BI2025" s="314" t="s">
        <v>3</v>
      </c>
      <c r="BJ2025" s="314"/>
      <c r="BK2025" s="24"/>
      <c r="BL2025" s="24"/>
      <c r="BM2025" s="24"/>
      <c r="BN2025" s="24"/>
      <c r="BO2025" s="136"/>
      <c r="BP2025" s="136"/>
      <c r="BQ2025" s="136"/>
      <c r="BR2025" s="24"/>
      <c r="BS2025" s="136"/>
      <c r="BT2025" s="136"/>
      <c r="BU2025" s="136"/>
      <c r="BV2025" s="132" t="e">
        <f>IF(#REF!="COMPLETO","OK","PENDIENTE")</f>
        <v>#REF!</v>
      </c>
      <c r="BW2025" s="132"/>
      <c r="BX2025" s="132"/>
      <c r="BY2025" s="132"/>
      <c r="BZ2025" s="132"/>
      <c r="CA2025" s="132"/>
      <c r="CB2025" s="132"/>
      <c r="CC2025" s="378"/>
      <c r="CG2025" s="136"/>
      <c r="CH2025" s="136"/>
      <c r="CI2025" s="24"/>
      <c r="CJ2025" s="24"/>
    </row>
    <row r="2026" spans="1:88">
      <c r="A2026" s="18">
        <v>2022</v>
      </c>
      <c r="B2026" s="18" t="str">
        <f>+INDEX(BDD!F:F,MATCH(P2026,BDD!D:D,0))&amp;"-"&amp;INDEX(BDD!E:E,MATCH(P2026,BDD!D:D,0))</f>
        <v>E-S</v>
      </c>
      <c r="C2026" s="360" t="s">
        <v>5398</v>
      </c>
      <c r="D2026" s="150" t="s">
        <v>3</v>
      </c>
      <c r="E2026" s="132"/>
      <c r="F2026" s="24"/>
      <c r="G2026" s="346">
        <v>8000002020</v>
      </c>
      <c r="H2026" s="125" t="s">
        <v>8033</v>
      </c>
      <c r="I2026" s="329" t="s">
        <v>8034</v>
      </c>
      <c r="J2026" s="346">
        <v>8000002020</v>
      </c>
      <c r="K2026" s="24">
        <v>44704</v>
      </c>
      <c r="L2026" s="24"/>
      <c r="M2026" s="24"/>
      <c r="N2026" s="340" t="s">
        <v>3</v>
      </c>
      <c r="O2026" s="334">
        <v>206613</v>
      </c>
      <c r="P2026" s="25" t="s">
        <v>304</v>
      </c>
      <c r="Q2026" s="127" t="s">
        <v>183</v>
      </c>
      <c r="R2026" s="232" t="s">
        <v>8035</v>
      </c>
      <c r="S2026" s="89">
        <v>44698</v>
      </c>
      <c r="T2026" s="36" t="s">
        <v>19</v>
      </c>
      <c r="U2026" s="125"/>
      <c r="V2026" s="147"/>
      <c r="W2026" s="129"/>
      <c r="X2026" s="88"/>
      <c r="Y2026" s="130" t="s">
        <v>3</v>
      </c>
      <c r="Z2026" s="133" t="s">
        <v>60</v>
      </c>
      <c r="AA2026" s="133"/>
      <c r="AB2026" s="241">
        <v>112</v>
      </c>
      <c r="AC2026" s="134">
        <v>970</v>
      </c>
      <c r="AD2026" s="134"/>
      <c r="AE2026" s="403">
        <f t="shared" si="168"/>
        <v>108640</v>
      </c>
      <c r="AF2026" s="132">
        <v>4</v>
      </c>
      <c r="AG2026" s="130" t="s">
        <v>5</v>
      </c>
      <c r="AH2026" s="130"/>
      <c r="AI2026" s="130" t="s">
        <v>100</v>
      </c>
      <c r="AJ2026" s="130"/>
      <c r="AK2026" s="130"/>
      <c r="AL2026" s="135" t="s">
        <v>7521</v>
      </c>
      <c r="AM2026" s="314">
        <v>2022</v>
      </c>
      <c r="AN2026" s="26">
        <f>AO2026</f>
        <v>44739</v>
      </c>
      <c r="AO2026" s="26">
        <v>44739</v>
      </c>
      <c r="AP2026" s="26">
        <f>AQ2026</f>
        <v>44785</v>
      </c>
      <c r="AQ2026" s="26">
        <f>AO2026+46</f>
        <v>44785</v>
      </c>
      <c r="AR2026" s="24">
        <f>AQ2026+4</f>
        <v>44789</v>
      </c>
      <c r="AS2026" s="41"/>
      <c r="AT2026" s="24">
        <v>44791</v>
      </c>
      <c r="AU2026" s="418">
        <f t="shared" si="169"/>
        <v>8</v>
      </c>
      <c r="AV2026" s="418">
        <f t="shared" si="170"/>
        <v>2022</v>
      </c>
      <c r="AW2026" s="24" t="s">
        <v>7874</v>
      </c>
      <c r="AX2026" s="24" t="s">
        <v>6966</v>
      </c>
      <c r="AY2026" s="24" t="s">
        <v>4781</v>
      </c>
      <c r="AZ2026" s="24" t="s">
        <v>37</v>
      </c>
      <c r="BA2026" s="24"/>
      <c r="BB2026" s="24"/>
      <c r="BC2026" s="135"/>
      <c r="BD2026" s="24"/>
      <c r="BE2026" s="24"/>
      <c r="BF2026" s="24"/>
      <c r="BG2026" s="135"/>
      <c r="BH2026" s="135"/>
      <c r="BI2026" s="314" t="s">
        <v>3</v>
      </c>
      <c r="BJ2026" s="314"/>
      <c r="BK2026" s="24"/>
      <c r="BL2026" s="24"/>
      <c r="BM2026" s="24"/>
      <c r="BN2026" s="24"/>
      <c r="BO2026" s="24"/>
      <c r="BP2026" s="24"/>
      <c r="BQ2026" s="24"/>
      <c r="BR2026" s="24"/>
      <c r="BS2026" s="24"/>
      <c r="BT2026" s="24"/>
      <c r="BU2026" s="24"/>
      <c r="BV2026" s="132" t="e">
        <f>IF(#REF!="COMPLETO","OK","PENDIENTE")</f>
        <v>#REF!</v>
      </c>
      <c r="BW2026" s="132"/>
      <c r="BX2026" s="132"/>
      <c r="BY2026" s="132"/>
      <c r="BZ2026" s="132"/>
      <c r="CA2026" s="132"/>
      <c r="CB2026" s="132"/>
      <c r="CC2026" s="269"/>
      <c r="CG2026" s="24"/>
      <c r="CH2026" s="24"/>
      <c r="CI2026" s="24"/>
      <c r="CJ2026" s="24"/>
    </row>
    <row r="2027" spans="1:88" ht="15" customHeight="1">
      <c r="A2027" s="18">
        <v>2022</v>
      </c>
      <c r="B2027" s="18" t="str">
        <f>+INDEX(BDD!F:F,MATCH(P2027,BDD!D:D,0))&amp;"-"&amp;INDEX(BDD!E:E,MATCH(P2027,BDD!D:D,0))</f>
        <v>G-S</v>
      </c>
      <c r="C2027" s="360" t="s">
        <v>5398</v>
      </c>
      <c r="D2027" s="150" t="s">
        <v>3</v>
      </c>
      <c r="E2027" s="132"/>
      <c r="F2027" s="24"/>
      <c r="G2027" s="346">
        <v>8000002021</v>
      </c>
      <c r="H2027" s="18" t="s">
        <v>8037</v>
      </c>
      <c r="I2027" s="330" t="s">
        <v>8036</v>
      </c>
      <c r="J2027" s="346">
        <v>8000002021</v>
      </c>
      <c r="K2027" s="24">
        <v>44704</v>
      </c>
      <c r="L2027" s="24"/>
      <c r="M2027" s="24"/>
      <c r="N2027" s="340" t="s">
        <v>3</v>
      </c>
      <c r="O2027" s="334">
        <v>203616</v>
      </c>
      <c r="P2027" s="25" t="s">
        <v>357</v>
      </c>
      <c r="Q2027" s="127" t="s">
        <v>237</v>
      </c>
      <c r="R2027" s="89" t="s">
        <v>8048</v>
      </c>
      <c r="S2027" s="89">
        <v>44704</v>
      </c>
      <c r="T2027" s="36" t="s">
        <v>19</v>
      </c>
      <c r="U2027" s="290"/>
      <c r="V2027" s="67"/>
      <c r="W2027" s="291"/>
      <c r="X2027" s="136"/>
      <c r="Y2027" s="130" t="s">
        <v>3</v>
      </c>
      <c r="Z2027" s="133" t="s">
        <v>60</v>
      </c>
      <c r="AA2027" s="136"/>
      <c r="AB2027" s="241">
        <v>1000</v>
      </c>
      <c r="AC2027" s="134">
        <v>415</v>
      </c>
      <c r="AD2027" s="136"/>
      <c r="AE2027" s="403">
        <f t="shared" si="168"/>
        <v>415000</v>
      </c>
      <c r="AF2027" s="136"/>
      <c r="AG2027" s="130" t="s">
        <v>46</v>
      </c>
      <c r="AH2027" s="136"/>
      <c r="AI2027" s="130" t="s">
        <v>100</v>
      </c>
      <c r="AJ2027" s="136"/>
      <c r="AK2027" s="136"/>
      <c r="AL2027" s="135" t="s">
        <v>7521</v>
      </c>
      <c r="AM2027" s="314">
        <v>2022</v>
      </c>
      <c r="AN2027" s="26">
        <f>AO2027</f>
        <v>44728</v>
      </c>
      <c r="AO2027" s="385">
        <v>44728</v>
      </c>
      <c r="AP2027" s="26">
        <f t="shared" ref="AP2027" si="182">AQ2027</f>
        <v>44769</v>
      </c>
      <c r="AQ2027" s="26">
        <f>AO2027+41</f>
        <v>44769</v>
      </c>
      <c r="AR2027" s="26">
        <f>AQ2027+2</f>
        <v>44771</v>
      </c>
      <c r="AS2027" s="136"/>
      <c r="AT2027" s="412">
        <v>44776</v>
      </c>
      <c r="AU2027" s="418">
        <f t="shared" si="169"/>
        <v>8</v>
      </c>
      <c r="AV2027" s="418">
        <f t="shared" si="170"/>
        <v>2022</v>
      </c>
      <c r="AW2027" s="24" t="s">
        <v>7874</v>
      </c>
      <c r="AX2027" s="24" t="s">
        <v>5402</v>
      </c>
      <c r="AY2027" s="136"/>
      <c r="AZ2027" s="24" t="s">
        <v>9</v>
      </c>
      <c r="BA2027" s="135" t="s">
        <v>7130</v>
      </c>
      <c r="BB2027" s="136"/>
      <c r="BC2027" s="67"/>
      <c r="BD2027" s="136"/>
      <c r="BE2027" s="136"/>
      <c r="BF2027" s="136"/>
      <c r="BG2027" s="135" t="s">
        <v>52</v>
      </c>
      <c r="BH2027" s="136"/>
      <c r="BI2027" s="314" t="s">
        <v>3</v>
      </c>
      <c r="BJ2027" s="314"/>
      <c r="BK2027" s="136"/>
      <c r="BL2027" s="136"/>
      <c r="BM2027" s="136"/>
      <c r="BN2027" s="136"/>
      <c r="BO2027" s="136"/>
      <c r="BP2027" s="136"/>
      <c r="BQ2027" s="136"/>
      <c r="BR2027" s="291"/>
      <c r="BS2027" s="67"/>
      <c r="BT2027" s="67"/>
      <c r="BU2027" s="67"/>
      <c r="BV2027" s="132" t="e">
        <f>IF(#REF!="COMPLETO","OK","PENDIENTE")</f>
        <v>#REF!</v>
      </c>
      <c r="BW2027" s="136"/>
      <c r="BX2027" s="136"/>
      <c r="BY2027" s="136"/>
      <c r="BZ2027" s="136"/>
      <c r="CA2027" s="136"/>
      <c r="CB2027" s="136"/>
      <c r="CC2027" s="67"/>
      <c r="CG2027" s="136"/>
      <c r="CH2027" s="136"/>
      <c r="CI2027" s="136"/>
      <c r="CJ2027" s="136"/>
    </row>
    <row r="2028" spans="1:88" ht="15" customHeight="1">
      <c r="A2028" s="18">
        <v>2022</v>
      </c>
      <c r="B2028" s="18" t="str">
        <f>+INDEX(BDD!F:F,MATCH(P2028,BDD!D:D,0))&amp;"-"&amp;INDEX(BDD!E:E,MATCH(P2028,BDD!D:D,0))</f>
        <v>G-S</v>
      </c>
      <c r="C2028" s="360" t="s">
        <v>5398</v>
      </c>
      <c r="D2028" s="150" t="s">
        <v>3</v>
      </c>
      <c r="E2028" s="132"/>
      <c r="F2028" s="24"/>
      <c r="G2028" s="346">
        <v>8000002022</v>
      </c>
      <c r="H2028" s="18" t="s">
        <v>8038</v>
      </c>
      <c r="I2028" s="330" t="s">
        <v>8036</v>
      </c>
      <c r="J2028" s="346">
        <v>8000002022</v>
      </c>
      <c r="K2028" s="24">
        <v>44704</v>
      </c>
      <c r="L2028" s="24"/>
      <c r="M2028" s="24"/>
      <c r="N2028" s="340" t="s">
        <v>3</v>
      </c>
      <c r="O2028" s="334">
        <v>203616</v>
      </c>
      <c r="P2028" s="25" t="s">
        <v>357</v>
      </c>
      <c r="Q2028" s="127" t="s">
        <v>237</v>
      </c>
      <c r="R2028" s="89" t="s">
        <v>8048</v>
      </c>
      <c r="S2028" s="89">
        <v>44704</v>
      </c>
      <c r="T2028" s="36" t="s">
        <v>19</v>
      </c>
      <c r="U2028" s="290"/>
      <c r="V2028" s="67"/>
      <c r="W2028" s="291"/>
      <c r="X2028" s="136"/>
      <c r="Y2028" s="130" t="s">
        <v>3</v>
      </c>
      <c r="Z2028" s="133" t="s">
        <v>60</v>
      </c>
      <c r="AA2028" s="136"/>
      <c r="AB2028" s="241">
        <v>500</v>
      </c>
      <c r="AC2028" s="134">
        <v>415</v>
      </c>
      <c r="AD2028" s="136"/>
      <c r="AE2028" s="403">
        <f t="shared" si="168"/>
        <v>207500</v>
      </c>
      <c r="AF2028" s="136"/>
      <c r="AG2028" s="130" t="s">
        <v>46</v>
      </c>
      <c r="AH2028" s="136"/>
      <c r="AI2028" s="130" t="s">
        <v>100</v>
      </c>
      <c r="AJ2028" s="136"/>
      <c r="AK2028" s="136"/>
      <c r="AL2028" s="135" t="s">
        <v>7521</v>
      </c>
      <c r="AM2028" s="314">
        <v>2022</v>
      </c>
      <c r="AN2028" s="26">
        <f>AO2028</f>
        <v>44728</v>
      </c>
      <c r="AO2028" s="385">
        <v>44728</v>
      </c>
      <c r="AP2028" s="26">
        <f t="shared" ref="AP2028:AP2029" si="183">AQ2028</f>
        <v>44772</v>
      </c>
      <c r="AQ2028" s="26">
        <f>AO2028+44</f>
        <v>44772</v>
      </c>
      <c r="AR2028" s="26">
        <f>AQ2028+2</f>
        <v>44774</v>
      </c>
      <c r="AS2028" s="136"/>
      <c r="AT2028" s="412">
        <v>44779</v>
      </c>
      <c r="AU2028" s="418">
        <f t="shared" si="169"/>
        <v>8</v>
      </c>
      <c r="AV2028" s="418">
        <f t="shared" si="170"/>
        <v>2022</v>
      </c>
      <c r="AW2028" s="24" t="s">
        <v>7874</v>
      </c>
      <c r="AX2028" s="24" t="s">
        <v>5402</v>
      </c>
      <c r="AY2028" s="136"/>
      <c r="AZ2028" s="24" t="s">
        <v>25</v>
      </c>
      <c r="BA2028" s="135" t="s">
        <v>3334</v>
      </c>
      <c r="BB2028" s="136"/>
      <c r="BC2028" s="67"/>
      <c r="BD2028" s="136"/>
      <c r="BE2028" s="136"/>
      <c r="BF2028" s="136"/>
      <c r="BG2028" s="135" t="s">
        <v>52</v>
      </c>
      <c r="BH2028" s="136"/>
      <c r="BI2028" s="314" t="s">
        <v>3</v>
      </c>
      <c r="BJ2028" s="314"/>
      <c r="BK2028" s="136"/>
      <c r="BL2028" s="136"/>
      <c r="BM2028" s="136"/>
      <c r="BN2028" s="136"/>
      <c r="BO2028" s="136"/>
      <c r="BP2028" s="136"/>
      <c r="BQ2028" s="136"/>
      <c r="BR2028" s="291"/>
      <c r="BS2028" s="67"/>
      <c r="BT2028" s="67"/>
      <c r="BU2028" s="67"/>
      <c r="BV2028" s="132" t="e">
        <f>IF(#REF!="COMPLETO","OK","PENDIENTE")</f>
        <v>#REF!</v>
      </c>
      <c r="BW2028" s="136"/>
      <c r="BX2028" s="136"/>
      <c r="BY2028" s="136"/>
      <c r="BZ2028" s="136"/>
      <c r="CA2028" s="136"/>
      <c r="CB2028" s="136"/>
      <c r="CC2028" s="67"/>
      <c r="CG2028" s="136"/>
      <c r="CH2028" s="136"/>
      <c r="CI2028" s="136"/>
      <c r="CJ2028" s="136"/>
    </row>
    <row r="2029" spans="1:88">
      <c r="A2029" s="18">
        <v>2022</v>
      </c>
      <c r="B2029" s="18" t="str">
        <f>+INDEX(BDD!F:F,MATCH(P2029,BDD!D:D,0))&amp;"-"&amp;INDEX(BDD!E:E,MATCH(P2029,BDD!D:D,0))</f>
        <v>G-S</v>
      </c>
      <c r="C2029" s="360" t="s">
        <v>5398</v>
      </c>
      <c r="D2029" s="150" t="s">
        <v>3</v>
      </c>
      <c r="E2029" s="132"/>
      <c r="F2029" s="24"/>
      <c r="G2029" s="346">
        <v>8000002023</v>
      </c>
      <c r="H2029" s="18" t="s">
        <v>8039</v>
      </c>
      <c r="I2029" s="330" t="s">
        <v>8036</v>
      </c>
      <c r="J2029" s="346">
        <v>8000002023</v>
      </c>
      <c r="K2029" s="24">
        <v>44704</v>
      </c>
      <c r="L2029" s="24"/>
      <c r="M2029" s="24"/>
      <c r="N2029" s="340" t="s">
        <v>3</v>
      </c>
      <c r="O2029" s="334">
        <v>203616</v>
      </c>
      <c r="P2029" s="25" t="s">
        <v>357</v>
      </c>
      <c r="Q2029" s="127" t="s">
        <v>237</v>
      </c>
      <c r="R2029" s="89" t="s">
        <v>8048</v>
      </c>
      <c r="S2029" s="89">
        <v>44704</v>
      </c>
      <c r="T2029" s="36" t="s">
        <v>19</v>
      </c>
      <c r="U2029" s="290"/>
      <c r="V2029" s="67"/>
      <c r="W2029" s="291"/>
      <c r="X2029" s="136"/>
      <c r="Y2029" s="130" t="s">
        <v>3</v>
      </c>
      <c r="Z2029" s="133" t="s">
        <v>60</v>
      </c>
      <c r="AA2029" s="136"/>
      <c r="AB2029" s="241">
        <v>500</v>
      </c>
      <c r="AC2029" s="134">
        <v>415</v>
      </c>
      <c r="AD2029" s="136"/>
      <c r="AE2029" s="403">
        <f t="shared" si="168"/>
        <v>207500</v>
      </c>
      <c r="AF2029" s="136"/>
      <c r="AG2029" s="130" t="s">
        <v>46</v>
      </c>
      <c r="AH2029" s="136"/>
      <c r="AI2029" s="130" t="s">
        <v>100</v>
      </c>
      <c r="AJ2029" s="136"/>
      <c r="AK2029" s="136"/>
      <c r="AL2029" s="135" t="s">
        <v>7521</v>
      </c>
      <c r="AM2029" s="314">
        <v>2022</v>
      </c>
      <c r="AN2029" s="26">
        <f>AO2029</f>
        <v>44728</v>
      </c>
      <c r="AO2029" s="385">
        <v>44728</v>
      </c>
      <c r="AP2029" s="26">
        <f t="shared" si="183"/>
        <v>44775</v>
      </c>
      <c r="AQ2029" s="26">
        <f>AO2029+47</f>
        <v>44775</v>
      </c>
      <c r="AR2029" s="26">
        <f>AQ2029+3</f>
        <v>44778</v>
      </c>
      <c r="AS2029" s="136"/>
      <c r="AT2029" s="412">
        <v>44781</v>
      </c>
      <c r="AU2029" s="418">
        <f t="shared" si="169"/>
        <v>8</v>
      </c>
      <c r="AV2029" s="418">
        <f t="shared" si="170"/>
        <v>2022</v>
      </c>
      <c r="AW2029" s="24" t="s">
        <v>7874</v>
      </c>
      <c r="AX2029" s="24" t="s">
        <v>5402</v>
      </c>
      <c r="AY2029" s="136"/>
      <c r="AZ2029" s="24" t="s">
        <v>37</v>
      </c>
      <c r="BA2029" s="136"/>
      <c r="BB2029" s="136"/>
      <c r="BC2029" s="67"/>
      <c r="BD2029" s="136"/>
      <c r="BE2029" s="136"/>
      <c r="BF2029" s="136"/>
      <c r="BG2029" s="135" t="s">
        <v>52</v>
      </c>
      <c r="BH2029" s="136"/>
      <c r="BI2029" s="314" t="s">
        <v>3</v>
      </c>
      <c r="BJ2029" s="314"/>
      <c r="BK2029" s="136"/>
      <c r="BL2029" s="136"/>
      <c r="BM2029" s="136"/>
      <c r="BN2029" s="136"/>
      <c r="BO2029" s="136"/>
      <c r="BP2029" s="136"/>
      <c r="BQ2029" s="136"/>
      <c r="BR2029" s="291"/>
      <c r="BS2029" s="67"/>
      <c r="BT2029" s="67"/>
      <c r="BU2029" s="67"/>
      <c r="BV2029" s="132" t="e">
        <f>IF(#REF!="COMPLETO","OK","PENDIENTE")</f>
        <v>#REF!</v>
      </c>
      <c r="BW2029" s="136"/>
      <c r="BX2029" s="136"/>
      <c r="BY2029" s="136"/>
      <c r="BZ2029" s="136"/>
      <c r="CA2029" s="136"/>
      <c r="CB2029" s="136"/>
      <c r="CC2029" s="67"/>
      <c r="CG2029" s="136"/>
      <c r="CH2029" s="136"/>
      <c r="CI2029" s="136"/>
      <c r="CJ2029" s="136"/>
    </row>
    <row r="2030" spans="1:88">
      <c r="A2030" s="18">
        <v>2022</v>
      </c>
      <c r="B2030" s="18" t="str">
        <f>+INDEX(BDD!F:F,MATCH(P2030,BDD!D:D,0))&amp;"-"&amp;INDEX(BDD!E:E,MATCH(P2030,BDD!D:D,0))</f>
        <v>E-E</v>
      </c>
      <c r="C2030" s="125" t="s">
        <v>5398</v>
      </c>
      <c r="D2030" s="150" t="s">
        <v>3</v>
      </c>
      <c r="E2030" s="132"/>
      <c r="F2030" s="132"/>
      <c r="G2030" s="346">
        <v>8000002027</v>
      </c>
      <c r="H2030" s="18" t="s">
        <v>8056</v>
      </c>
      <c r="I2030" s="329" t="s">
        <v>8057</v>
      </c>
      <c r="J2030" s="346">
        <v>8000002027</v>
      </c>
      <c r="K2030" s="24">
        <v>44707</v>
      </c>
      <c r="L2030" s="24"/>
      <c r="M2030" s="24"/>
      <c r="N2030" s="340" t="s">
        <v>3</v>
      </c>
      <c r="O2030" s="334">
        <v>205996</v>
      </c>
      <c r="P2030" s="406" t="s">
        <v>376</v>
      </c>
      <c r="Q2030" s="407" t="s">
        <v>4498</v>
      </c>
      <c r="R2030" s="232" t="s">
        <v>544</v>
      </c>
      <c r="S2030" s="89">
        <v>44706</v>
      </c>
      <c r="T2030" s="36" t="s">
        <v>19</v>
      </c>
      <c r="U2030" s="125"/>
      <c r="V2030" s="147"/>
      <c r="W2030" s="129"/>
      <c r="X2030" s="88"/>
      <c r="Y2030" s="130" t="s">
        <v>3</v>
      </c>
      <c r="Z2030" s="133" t="s">
        <v>60</v>
      </c>
      <c r="AA2030" s="133"/>
      <c r="AB2030" s="414">
        <v>303.75</v>
      </c>
      <c r="AC2030" s="409">
        <v>2885</v>
      </c>
      <c r="AD2030" s="415"/>
      <c r="AE2030" s="403">
        <f t="shared" si="168"/>
        <v>876318.75</v>
      </c>
      <c r="AF2030" s="410"/>
      <c r="AG2030" s="130" t="s">
        <v>58</v>
      </c>
      <c r="AH2030" s="130"/>
      <c r="AI2030" s="130" t="s">
        <v>34</v>
      </c>
      <c r="AJ2030" s="286">
        <v>1.05</v>
      </c>
      <c r="AK2030" s="130" t="s">
        <v>6599</v>
      </c>
      <c r="AL2030" s="135" t="s">
        <v>7521</v>
      </c>
      <c r="AM2030" s="410"/>
      <c r="AN2030" s="385">
        <f>AO2030</f>
        <v>44742</v>
      </c>
      <c r="AO2030" s="385">
        <v>44742</v>
      </c>
      <c r="AP2030" s="385">
        <f>AQ2030</f>
        <v>44788</v>
      </c>
      <c r="AQ2030" s="385">
        <f>AO2030+46</f>
        <v>44788</v>
      </c>
      <c r="AR2030" s="412">
        <f>AQ2030+10</f>
        <v>44798</v>
      </c>
      <c r="AS2030" s="412"/>
      <c r="AT2030" s="412">
        <v>44793</v>
      </c>
      <c r="AU2030" s="418">
        <f t="shared" ref="AU2030:AU2032" si="184">MONTH(AT2030)</f>
        <v>8</v>
      </c>
      <c r="AV2030" s="418">
        <f t="shared" ref="AV2030" si="185">YEAR(AT2030)</f>
        <v>2022</v>
      </c>
      <c r="AW2030" s="24" t="s">
        <v>7874</v>
      </c>
      <c r="AX2030" s="412" t="s">
        <v>5402</v>
      </c>
      <c r="AY2030" s="412"/>
      <c r="AZ2030" s="412" t="s">
        <v>37</v>
      </c>
      <c r="BA2030" s="412"/>
      <c r="BB2030" s="412"/>
      <c r="BC2030" s="413"/>
      <c r="BD2030" s="412"/>
      <c r="BE2030" s="412"/>
      <c r="BF2030" s="412"/>
      <c r="BG2030" s="135" t="s">
        <v>52</v>
      </c>
      <c r="BH2030" s="135"/>
      <c r="BI2030" s="314" t="s">
        <v>124</v>
      </c>
      <c r="BJ2030" s="314"/>
      <c r="BK2030" s="24"/>
      <c r="BL2030" s="24"/>
      <c r="BM2030" s="24"/>
      <c r="BN2030" s="24"/>
      <c r="BO2030" s="24"/>
      <c r="BP2030" s="24"/>
      <c r="BQ2030" s="24"/>
      <c r="BR2030" s="24"/>
      <c r="BS2030" s="24"/>
      <c r="BT2030" s="24"/>
      <c r="BU2030" s="24"/>
      <c r="BV2030" s="132" t="e">
        <f>IF(#REF!="COMPLETO","OK","PENDIENTE")</f>
        <v>#REF!</v>
      </c>
      <c r="BW2030" s="132"/>
      <c r="BX2030" s="132"/>
      <c r="BY2030" s="132"/>
      <c r="BZ2030" s="132"/>
      <c r="CA2030" s="132"/>
      <c r="CB2030" s="132"/>
      <c r="CC2030" s="367" t="s">
        <v>6862</v>
      </c>
      <c r="CG2030" s="132" t="s">
        <v>105</v>
      </c>
      <c r="CH2030" s="132"/>
      <c r="CI2030" s="24"/>
      <c r="CJ2030" s="24"/>
    </row>
    <row r="2031" spans="1:88" ht="13.9" customHeight="1">
      <c r="A2031" s="189">
        <v>2022</v>
      </c>
      <c r="B2031" s="189" t="s">
        <v>6057</v>
      </c>
      <c r="C2031" s="386" t="s">
        <v>5398</v>
      </c>
      <c r="D2031" s="191" t="s">
        <v>3</v>
      </c>
      <c r="E2031" s="143" t="s">
        <v>51</v>
      </c>
      <c r="F2031" s="299"/>
      <c r="G2031" s="388">
        <v>8000002029</v>
      </c>
      <c r="H2031" s="189" t="s">
        <v>8069</v>
      </c>
      <c r="I2031" s="456" t="s">
        <v>8071</v>
      </c>
      <c r="J2031" s="388">
        <v>8000002029</v>
      </c>
      <c r="K2031" s="140">
        <v>44707</v>
      </c>
      <c r="L2031" s="140"/>
      <c r="M2031" s="140"/>
      <c r="N2031" s="396" t="s">
        <v>3</v>
      </c>
      <c r="O2031" s="338">
        <v>206713</v>
      </c>
      <c r="P2031" s="190" t="s">
        <v>340</v>
      </c>
      <c r="Q2031" s="127" t="s">
        <v>297</v>
      </c>
      <c r="R2031" s="232"/>
      <c r="S2031" s="24">
        <v>44713</v>
      </c>
      <c r="T2031" s="36" t="s">
        <v>19</v>
      </c>
      <c r="U2031" s="125"/>
      <c r="V2031" s="22"/>
      <c r="W2031" s="43"/>
      <c r="X2031" s="24"/>
      <c r="Y2031" s="130" t="s">
        <v>3</v>
      </c>
      <c r="Z2031" s="133" t="s">
        <v>60</v>
      </c>
      <c r="AA2031" s="133"/>
      <c r="AB2031" s="241">
        <v>3500</v>
      </c>
      <c r="AC2031" s="134">
        <v>1450</v>
      </c>
      <c r="AD2031" s="134"/>
      <c r="AE2031" s="403">
        <f t="shared" si="168"/>
        <v>5075000</v>
      </c>
      <c r="AF2031" s="132" t="s">
        <v>1622</v>
      </c>
      <c r="AG2031" s="130" t="s">
        <v>58</v>
      </c>
      <c r="AH2031" s="130"/>
      <c r="AI2031" s="130" t="s">
        <v>6029</v>
      </c>
      <c r="AJ2031" s="274">
        <v>1.2</v>
      </c>
      <c r="AK2031" s="130" t="s">
        <v>944</v>
      </c>
      <c r="AL2031" s="135" t="s">
        <v>7539</v>
      </c>
      <c r="AM2031" s="314">
        <v>2022</v>
      </c>
      <c r="AN2031" s="359">
        <v>44752</v>
      </c>
      <c r="AO2031" s="385">
        <v>44752</v>
      </c>
      <c r="AP2031" s="26">
        <f>AQ2031</f>
        <v>44798</v>
      </c>
      <c r="AQ2031" s="385">
        <f>AO2031+46</f>
        <v>44798</v>
      </c>
      <c r="AR2031" s="24">
        <f>AQ2031+7</f>
        <v>44805</v>
      </c>
      <c r="AS2031" s="24"/>
      <c r="AT2031" s="24">
        <v>44806</v>
      </c>
      <c r="AU2031" s="418">
        <f t="shared" si="184"/>
        <v>9</v>
      </c>
      <c r="AV2031" s="418">
        <v>2022</v>
      </c>
      <c r="AW2031" s="24" t="s">
        <v>7874</v>
      </c>
      <c r="AX2031" s="135" t="s">
        <v>7259</v>
      </c>
      <c r="AY2031" s="135"/>
      <c r="AZ2031" s="135" t="s">
        <v>9</v>
      </c>
      <c r="BA2031" s="135" t="s">
        <v>7130</v>
      </c>
      <c r="BB2031" s="24"/>
      <c r="BC2031" s="67"/>
      <c r="BD2031" s="24"/>
      <c r="BE2031" s="136"/>
      <c r="BF2031" s="136"/>
      <c r="BG2031" s="135" t="s">
        <v>52</v>
      </c>
      <c r="BH2031" s="132"/>
      <c r="BI2031" s="314" t="s">
        <v>3</v>
      </c>
      <c r="BJ2031" s="314"/>
      <c r="BK2031" s="24"/>
      <c r="BL2031" s="24"/>
      <c r="BM2031" s="24"/>
      <c r="BN2031" s="24"/>
      <c r="BO2031" s="136"/>
      <c r="BP2031" s="136"/>
      <c r="BQ2031" s="136"/>
      <c r="BR2031" s="24"/>
      <c r="BS2031" s="136"/>
      <c r="BT2031" s="136"/>
      <c r="BU2031" s="136"/>
      <c r="BV2031" s="132" t="e">
        <f>IF(#REF!="COMPLETO","OK","PENDIENTE")</f>
        <v>#REF!</v>
      </c>
      <c r="BW2031" s="132"/>
      <c r="BX2031" s="132"/>
      <c r="BY2031" s="132"/>
      <c r="BZ2031" s="132"/>
      <c r="CA2031" s="132"/>
      <c r="CB2031" s="132"/>
      <c r="CC2031" s="67"/>
      <c r="CG2031" s="136"/>
      <c r="CH2031" s="136"/>
      <c r="CI2031" s="24"/>
      <c r="CJ2031" s="24"/>
    </row>
    <row r="2032" spans="1:88" ht="13.9" customHeight="1">
      <c r="A2032" s="18">
        <v>2022</v>
      </c>
      <c r="B2032" s="18" t="s">
        <v>6057</v>
      </c>
      <c r="C2032" s="360" t="s">
        <v>5398</v>
      </c>
      <c r="D2032" s="150" t="s">
        <v>3</v>
      </c>
      <c r="E2032" s="132" t="s">
        <v>51</v>
      </c>
      <c r="F2032" s="136"/>
      <c r="G2032" s="334">
        <v>8000002030</v>
      </c>
      <c r="H2032" s="18" t="s">
        <v>8070</v>
      </c>
      <c r="I2032" s="416" t="s">
        <v>8072</v>
      </c>
      <c r="J2032" s="334">
        <v>8000002030</v>
      </c>
      <c r="K2032" s="24">
        <v>44707</v>
      </c>
      <c r="L2032" s="24"/>
      <c r="M2032" s="24"/>
      <c r="N2032" s="334" t="s">
        <v>3</v>
      </c>
      <c r="O2032" s="334">
        <v>206713</v>
      </c>
      <c r="P2032" s="25" t="s">
        <v>340</v>
      </c>
      <c r="Q2032" s="455" t="s">
        <v>297</v>
      </c>
      <c r="R2032" s="232"/>
      <c r="S2032" s="24">
        <v>44713</v>
      </c>
      <c r="T2032" s="36" t="s">
        <v>19</v>
      </c>
      <c r="U2032" s="125"/>
      <c r="V2032" s="22"/>
      <c r="W2032" s="43"/>
      <c r="X2032" s="24"/>
      <c r="Y2032" s="130" t="s">
        <v>3</v>
      </c>
      <c r="Z2032" s="133" t="s">
        <v>60</v>
      </c>
      <c r="AA2032" s="133"/>
      <c r="AB2032" s="241">
        <v>1500</v>
      </c>
      <c r="AC2032" s="134">
        <v>1450</v>
      </c>
      <c r="AD2032" s="134"/>
      <c r="AE2032" s="403">
        <f t="shared" ref="AE2032" si="186">AB2032*AC2032</f>
        <v>2175000</v>
      </c>
      <c r="AF2032" s="132" t="s">
        <v>1622</v>
      </c>
      <c r="AG2032" s="130" t="s">
        <v>58</v>
      </c>
      <c r="AH2032" s="130"/>
      <c r="AI2032" s="130" t="s">
        <v>6029</v>
      </c>
      <c r="AJ2032" s="274">
        <v>1.2</v>
      </c>
      <c r="AK2032" s="130" t="s">
        <v>944</v>
      </c>
      <c r="AL2032" s="135" t="s">
        <v>7539</v>
      </c>
      <c r="AM2032" s="314">
        <v>2022</v>
      </c>
      <c r="AN2032" s="359">
        <v>44752</v>
      </c>
      <c r="AO2032" s="385">
        <v>44752</v>
      </c>
      <c r="AP2032" s="26">
        <f>AQ2032</f>
        <v>44798</v>
      </c>
      <c r="AQ2032" s="385">
        <f>AO2032+46</f>
        <v>44798</v>
      </c>
      <c r="AR2032" s="24">
        <f t="shared" ref="AR2032" si="187">AQ2032+10</f>
        <v>44808</v>
      </c>
      <c r="AS2032" s="24"/>
      <c r="AT2032" s="24">
        <v>44807</v>
      </c>
      <c r="AU2032" s="418">
        <f t="shared" si="184"/>
        <v>9</v>
      </c>
      <c r="AV2032" s="418">
        <v>2022</v>
      </c>
      <c r="AW2032" s="24" t="s">
        <v>7874</v>
      </c>
      <c r="AX2032" s="135" t="s">
        <v>7259</v>
      </c>
      <c r="AY2032" s="135"/>
      <c r="AZ2032" s="135" t="s">
        <v>37</v>
      </c>
      <c r="BA2032" s="135"/>
      <c r="BB2032" s="24"/>
      <c r="BC2032" s="67"/>
      <c r="BD2032" s="24"/>
      <c r="BE2032" s="136"/>
      <c r="BF2032" s="136"/>
      <c r="BG2032" s="135" t="s">
        <v>52</v>
      </c>
      <c r="BH2032" s="132"/>
      <c r="BI2032" s="314" t="s">
        <v>3</v>
      </c>
      <c r="BJ2032" s="314"/>
      <c r="BK2032" s="24"/>
      <c r="BL2032" s="24"/>
      <c r="BM2032" s="24"/>
      <c r="BN2032" s="24"/>
      <c r="BO2032" s="136"/>
      <c r="BP2032" s="136"/>
      <c r="BQ2032" s="136"/>
      <c r="BR2032" s="24"/>
      <c r="BS2032" s="136"/>
      <c r="BT2032" s="136"/>
      <c r="BU2032" s="136"/>
      <c r="BV2032" s="132" t="e">
        <f>IF(#REF!="COMPLETO","OK","PENDIENTE")</f>
        <v>#REF!</v>
      </c>
      <c r="BW2032" s="132"/>
      <c r="BX2032" s="132"/>
      <c r="BY2032" s="132"/>
      <c r="BZ2032" s="132"/>
      <c r="CA2032" s="132"/>
      <c r="CB2032" s="132"/>
      <c r="CC2032" s="67"/>
      <c r="CG2032" s="136"/>
      <c r="CH2032" s="136"/>
      <c r="CI2032" s="24"/>
      <c r="CJ2032" s="24"/>
    </row>
    <row r="2033" spans="1:88" ht="15" customHeight="1">
      <c r="A2033" s="18">
        <v>2022</v>
      </c>
      <c r="B2033" s="136"/>
      <c r="C2033" s="360" t="s">
        <v>5398</v>
      </c>
      <c r="D2033" s="150" t="s">
        <v>3</v>
      </c>
      <c r="E2033" s="132" t="s">
        <v>51</v>
      </c>
      <c r="F2033" s="67"/>
      <c r="G2033" s="392"/>
      <c r="H2033" s="18" t="s">
        <v>8087</v>
      </c>
      <c r="I2033" s="392"/>
      <c r="J2033" s="392"/>
      <c r="K2033" s="24"/>
      <c r="L2033" s="24"/>
      <c r="M2033" s="24"/>
      <c r="N2033" s="334" t="s">
        <v>3</v>
      </c>
      <c r="O2033" s="334">
        <v>208067</v>
      </c>
      <c r="P2033" s="25" t="s">
        <v>383</v>
      </c>
      <c r="Q2033" s="127" t="s">
        <v>303</v>
      </c>
      <c r="R2033" s="457">
        <v>4600020186</v>
      </c>
      <c r="S2033" s="89">
        <v>44709</v>
      </c>
      <c r="T2033" s="36">
        <v>30</v>
      </c>
      <c r="U2033" s="125" t="s">
        <v>131</v>
      </c>
      <c r="V2033" s="67"/>
      <c r="W2033" s="291"/>
      <c r="X2033" s="136"/>
      <c r="Y2033" s="130" t="s">
        <v>3</v>
      </c>
      <c r="Z2033" s="136"/>
      <c r="AA2033" s="136"/>
      <c r="AB2033" s="241">
        <v>270</v>
      </c>
      <c r="AC2033" s="136"/>
      <c r="AD2033" s="136"/>
      <c r="AE2033" s="393"/>
      <c r="AF2033" s="132">
        <v>10</v>
      </c>
      <c r="AG2033" s="130" t="s">
        <v>5</v>
      </c>
      <c r="AH2033" s="136"/>
      <c r="AI2033" s="130" t="s">
        <v>8089</v>
      </c>
      <c r="AJ2033" s="130" t="s">
        <v>944</v>
      </c>
      <c r="AK2033" s="130" t="s">
        <v>6704</v>
      </c>
      <c r="AL2033" s="135" t="s">
        <v>7521</v>
      </c>
      <c r="AM2033" s="314">
        <v>2022</v>
      </c>
      <c r="AN2033" s="359">
        <v>44729</v>
      </c>
      <c r="AO2033" s="359">
        <v>44729</v>
      </c>
      <c r="AP2033" s="359">
        <v>44733</v>
      </c>
      <c r="AQ2033" s="359">
        <v>44733</v>
      </c>
      <c r="AR2033" s="359">
        <f>AQ2033+4</f>
        <v>44737</v>
      </c>
      <c r="AS2033" s="359"/>
      <c r="AT2033" s="412">
        <v>44740</v>
      </c>
      <c r="AU2033" s="418">
        <v>6</v>
      </c>
      <c r="AV2033" s="418">
        <v>2022</v>
      </c>
      <c r="AW2033" s="24" t="s">
        <v>7875</v>
      </c>
      <c r="AX2033" s="135" t="s">
        <v>6982</v>
      </c>
      <c r="AY2033" s="135" t="s">
        <v>7360</v>
      </c>
      <c r="AZ2033" s="135" t="s">
        <v>9</v>
      </c>
      <c r="BA2033" s="135" t="s">
        <v>7130</v>
      </c>
      <c r="BB2033" s="136"/>
      <c r="BC2033" s="135" t="s">
        <v>8090</v>
      </c>
      <c r="BD2033" s="136"/>
      <c r="BE2033" s="136"/>
      <c r="BF2033" s="136"/>
      <c r="BG2033" s="135" t="s">
        <v>64</v>
      </c>
      <c r="BH2033" s="135" t="s">
        <v>6414</v>
      </c>
      <c r="BI2033" s="135" t="s">
        <v>3</v>
      </c>
      <c r="BJ2033" s="136"/>
      <c r="BK2033" s="136"/>
      <c r="BL2033" s="136"/>
      <c r="BM2033" s="136"/>
      <c r="BN2033" s="136"/>
      <c r="BO2033" s="359">
        <f>AQ2033+15</f>
        <v>44748</v>
      </c>
      <c r="BP2033" s="136"/>
      <c r="BQ2033" s="136"/>
      <c r="BR2033" s="291"/>
      <c r="BS2033" s="67"/>
      <c r="BT2033" s="67"/>
      <c r="BU2033" s="67"/>
      <c r="BV2033" s="132" t="s">
        <v>3</v>
      </c>
      <c r="BW2033" s="132" t="s">
        <v>1622</v>
      </c>
      <c r="BX2033" s="132" t="s">
        <v>1622</v>
      </c>
      <c r="BY2033" s="132" t="s">
        <v>1622</v>
      </c>
      <c r="BZ2033" s="132" t="s">
        <v>1622</v>
      </c>
      <c r="CA2033" s="132" t="s">
        <v>1622</v>
      </c>
      <c r="CB2033" s="132" t="s">
        <v>1622</v>
      </c>
      <c r="CC2033" s="67"/>
      <c r="CG2033" s="136"/>
      <c r="CH2033" s="136"/>
      <c r="CI2033" s="136"/>
      <c r="CJ2033" s="136"/>
    </row>
    <row r="2034" spans="1:88" ht="15" customHeight="1">
      <c r="A2034" s="18">
        <v>2022</v>
      </c>
      <c r="B2034" s="136"/>
      <c r="C2034" s="360" t="s">
        <v>5398</v>
      </c>
      <c r="D2034" s="150" t="s">
        <v>3</v>
      </c>
      <c r="E2034" s="132" t="s">
        <v>51</v>
      </c>
      <c r="F2034" s="67"/>
      <c r="G2034" s="392"/>
      <c r="H2034" s="18" t="s">
        <v>8088</v>
      </c>
      <c r="I2034" s="392"/>
      <c r="J2034" s="392"/>
      <c r="K2034" s="24"/>
      <c r="L2034" s="24"/>
      <c r="M2034" s="24"/>
      <c r="N2034" s="334" t="s">
        <v>3</v>
      </c>
      <c r="O2034" s="334">
        <v>208067</v>
      </c>
      <c r="P2034" s="25" t="s">
        <v>383</v>
      </c>
      <c r="Q2034" s="127" t="s">
        <v>303</v>
      </c>
      <c r="R2034" s="457">
        <v>4600020187</v>
      </c>
      <c r="S2034" s="89">
        <v>44709</v>
      </c>
      <c r="T2034" s="36">
        <v>30</v>
      </c>
      <c r="U2034" s="125" t="s">
        <v>131</v>
      </c>
      <c r="V2034" s="67"/>
      <c r="W2034" s="291"/>
      <c r="X2034" s="136"/>
      <c r="Y2034" s="130" t="s">
        <v>3</v>
      </c>
      <c r="Z2034" s="136"/>
      <c r="AA2034" s="136"/>
      <c r="AB2034" s="241">
        <v>135</v>
      </c>
      <c r="AC2034" s="136"/>
      <c r="AD2034" s="136"/>
      <c r="AE2034" s="393"/>
      <c r="AF2034" s="132">
        <v>5</v>
      </c>
      <c r="AG2034" s="130" t="s">
        <v>5</v>
      </c>
      <c r="AH2034" s="136"/>
      <c r="AI2034" s="130" t="s">
        <v>8089</v>
      </c>
      <c r="AJ2034" s="130" t="s">
        <v>944</v>
      </c>
      <c r="AK2034" s="130" t="s">
        <v>6704</v>
      </c>
      <c r="AL2034" s="135" t="s">
        <v>7521</v>
      </c>
      <c r="AM2034" s="314">
        <v>2022</v>
      </c>
      <c r="AN2034" s="359">
        <v>44735</v>
      </c>
      <c r="AO2034" s="359">
        <v>44735</v>
      </c>
      <c r="AP2034" s="359">
        <f>AN2034+6</f>
        <v>44741</v>
      </c>
      <c r="AQ2034" s="359">
        <f>AO2034+6</f>
        <v>44741</v>
      </c>
      <c r="AR2034" s="359">
        <f>AQ2034+4</f>
        <v>44745</v>
      </c>
      <c r="AS2034" s="136"/>
      <c r="AT2034" s="412">
        <v>44746</v>
      </c>
      <c r="AU2034" s="418">
        <v>7</v>
      </c>
      <c r="AV2034" s="418">
        <v>2022</v>
      </c>
      <c r="AW2034" s="24" t="s">
        <v>7875</v>
      </c>
      <c r="AX2034" s="135" t="s">
        <v>6982</v>
      </c>
      <c r="AY2034" s="135" t="s">
        <v>7360</v>
      </c>
      <c r="AZ2034" s="135" t="s">
        <v>37</v>
      </c>
      <c r="BA2034" s="135"/>
      <c r="BB2034" s="136"/>
      <c r="BC2034" s="67"/>
      <c r="BD2034" s="136"/>
      <c r="BE2034" s="135" t="s">
        <v>2668</v>
      </c>
      <c r="BF2034" s="135"/>
      <c r="BG2034" s="135" t="s">
        <v>64</v>
      </c>
      <c r="BH2034" s="135" t="s">
        <v>6414</v>
      </c>
      <c r="BI2034" s="135" t="s">
        <v>3</v>
      </c>
      <c r="BJ2034" s="136"/>
      <c r="BK2034" s="136"/>
      <c r="BL2034" s="136"/>
      <c r="BM2034" s="136"/>
      <c r="BN2034" s="136"/>
      <c r="BO2034" s="359">
        <f>AQ2034+15</f>
        <v>44756</v>
      </c>
      <c r="BP2034" s="136"/>
      <c r="BQ2034" s="136"/>
      <c r="BR2034" s="291"/>
      <c r="BS2034" s="67"/>
      <c r="BT2034" s="67"/>
      <c r="BU2034" s="67"/>
      <c r="BV2034" s="132" t="s">
        <v>3</v>
      </c>
      <c r="BW2034" s="132" t="s">
        <v>1622</v>
      </c>
      <c r="BX2034" s="132" t="s">
        <v>1622</v>
      </c>
      <c r="BY2034" s="132" t="s">
        <v>1622</v>
      </c>
      <c r="BZ2034" s="132" t="s">
        <v>1622</v>
      </c>
      <c r="CA2034" s="132" t="s">
        <v>1622</v>
      </c>
      <c r="CB2034" s="132" t="s">
        <v>1622</v>
      </c>
      <c r="CC2034" s="67"/>
      <c r="CG2034" s="136"/>
      <c r="CH2034" s="136"/>
      <c r="CI2034" s="136"/>
      <c r="CJ2034" s="136"/>
    </row>
    <row r="2035" spans="1:88" ht="15" customHeight="1">
      <c r="P2035" s="460"/>
      <c r="X2035" s="458"/>
      <c r="AE2035" s="302"/>
      <c r="CD2035" s="292"/>
      <c r="CE2035" s="292"/>
      <c r="CF2035" s="292"/>
    </row>
    <row r="2036" spans="1:88" ht="15" customHeight="1">
      <c r="AE2036" s="302"/>
    </row>
    <row r="2037" spans="1:88" ht="15" customHeight="1">
      <c r="AB2037" s="459"/>
      <c r="AE2037" s="302"/>
    </row>
    <row r="2038" spans="1:88" ht="15" customHeight="1">
      <c r="AE2038" s="302"/>
    </row>
    <row r="2039" spans="1:88" ht="15" customHeight="1">
      <c r="AE2039" s="302"/>
    </row>
    <row r="2040" spans="1:88" ht="15" customHeight="1">
      <c r="AE2040" s="302"/>
    </row>
    <row r="2041" spans="1:88" ht="15" customHeight="1">
      <c r="AE2041" s="302"/>
    </row>
    <row r="2042" spans="1:88" ht="15" customHeight="1">
      <c r="AE2042" s="302"/>
    </row>
    <row r="2043" spans="1:88" ht="15" customHeight="1">
      <c r="AE2043" s="302"/>
    </row>
    <row r="2044" spans="1:88" ht="15" customHeight="1">
      <c r="AE2044" s="302"/>
    </row>
    <row r="2045" spans="1:88" ht="15" customHeight="1">
      <c r="AE2045" s="302"/>
    </row>
    <row r="2046" spans="1:88" ht="15" customHeight="1">
      <c r="AE2046" s="302"/>
    </row>
    <row r="2047" spans="1:88" ht="15" customHeight="1">
      <c r="AE2047" s="302"/>
    </row>
    <row r="2048" spans="1:88" ht="15" customHeight="1">
      <c r="AE2048" s="302"/>
    </row>
    <row r="2049" spans="31:31" ht="15" customHeight="1">
      <c r="AE2049" s="302"/>
    </row>
    <row r="2050" spans="31:31" ht="15" customHeight="1">
      <c r="AE2050" s="302"/>
    </row>
    <row r="2051" spans="31:31" ht="15" customHeight="1">
      <c r="AE2051" s="302"/>
    </row>
    <row r="2052" spans="31:31" ht="15" customHeight="1">
      <c r="AE2052" s="302"/>
    </row>
    <row r="2053" spans="31:31" ht="15" customHeight="1">
      <c r="AE2053" s="302"/>
    </row>
    <row r="2054" spans="31:31" ht="15" customHeight="1">
      <c r="AE2054" s="302"/>
    </row>
    <row r="2055" spans="31:31" ht="15" customHeight="1">
      <c r="AE2055" s="302"/>
    </row>
    <row r="2056" spans="31:31" ht="15" customHeight="1">
      <c r="AE2056" s="302"/>
    </row>
    <row r="2057" spans="31:31" ht="15" customHeight="1">
      <c r="AE2057" s="302"/>
    </row>
    <row r="2058" spans="31:31" ht="15" customHeight="1">
      <c r="AE2058" s="302"/>
    </row>
    <row r="2059" spans="31:31" ht="15" customHeight="1">
      <c r="AE2059" s="302"/>
    </row>
    <row r="2060" spans="31:31" ht="15" customHeight="1">
      <c r="AE2060" s="302"/>
    </row>
    <row r="2061" spans="31:31" ht="15" customHeight="1">
      <c r="AE2061" s="302"/>
    </row>
    <row r="2062" spans="31:31" ht="15" customHeight="1">
      <c r="AE2062" s="302"/>
    </row>
    <row r="2063" spans="31:31" ht="15" customHeight="1">
      <c r="AE2063" s="302"/>
    </row>
    <row r="2064" spans="31:31" ht="15" customHeight="1">
      <c r="AE2064" s="302"/>
    </row>
    <row r="2065" spans="31:31" ht="15" customHeight="1">
      <c r="AE2065" s="302"/>
    </row>
    <row r="2066" spans="31:31" ht="15" customHeight="1">
      <c r="AE2066" s="302"/>
    </row>
    <row r="2067" spans="31:31" ht="15" customHeight="1">
      <c r="AE2067" s="302"/>
    </row>
    <row r="2068" spans="31:31" ht="15" customHeight="1">
      <c r="AE2068" s="302"/>
    </row>
    <row r="2069" spans="31:31" ht="15" customHeight="1">
      <c r="AE2069" s="302"/>
    </row>
    <row r="2070" spans="31:31" ht="15" customHeight="1">
      <c r="AE2070" s="302"/>
    </row>
    <row r="2071" spans="31:31" ht="15" customHeight="1">
      <c r="AE2071" s="302"/>
    </row>
    <row r="2072" spans="31:31" ht="15" customHeight="1">
      <c r="AE2072" s="302"/>
    </row>
    <row r="2073" spans="31:31" ht="15" customHeight="1">
      <c r="AE2073" s="302"/>
    </row>
    <row r="2074" spans="31:31" ht="15" customHeight="1">
      <c r="AE2074" s="302"/>
    </row>
    <row r="2075" spans="31:31" ht="15" customHeight="1">
      <c r="AE2075" s="302"/>
    </row>
    <row r="2076" spans="31:31" ht="15" customHeight="1">
      <c r="AE2076" s="302"/>
    </row>
    <row r="2077" spans="31:31" ht="15" customHeight="1">
      <c r="AE2077" s="302"/>
    </row>
    <row r="2078" spans="31:31" ht="15" customHeight="1">
      <c r="AE2078" s="302"/>
    </row>
    <row r="2079" spans="31:31" ht="15" customHeight="1">
      <c r="AE2079" s="302"/>
    </row>
    <row r="2080" spans="31:31" ht="15" customHeight="1">
      <c r="AE2080" s="302"/>
    </row>
    <row r="2081" spans="31:31" ht="15" customHeight="1">
      <c r="AE2081" s="302"/>
    </row>
    <row r="2082" spans="31:31" ht="15" customHeight="1">
      <c r="AE2082" s="302"/>
    </row>
    <row r="2083" spans="31:31" ht="15" customHeight="1">
      <c r="AE2083" s="302"/>
    </row>
    <row r="2084" spans="31:31" ht="15" customHeight="1">
      <c r="AE2084" s="302"/>
    </row>
    <row r="2085" spans="31:31" ht="15" customHeight="1">
      <c r="AE2085" s="302"/>
    </row>
    <row r="2086" spans="31:31" ht="15" customHeight="1">
      <c r="AE2086" s="302"/>
    </row>
    <row r="2087" spans="31:31" ht="15" customHeight="1">
      <c r="AE2087" s="302"/>
    </row>
    <row r="2088" spans="31:31" ht="15" customHeight="1">
      <c r="AE2088" s="302"/>
    </row>
    <row r="2089" spans="31:31" ht="15" customHeight="1">
      <c r="AE2089" s="302"/>
    </row>
    <row r="2090" spans="31:31" ht="15" customHeight="1">
      <c r="AE2090" s="302"/>
    </row>
    <row r="2091" spans="31:31" ht="15" customHeight="1">
      <c r="AE2091" s="302"/>
    </row>
    <row r="2092" spans="31:31" ht="15" customHeight="1">
      <c r="AE2092" s="302"/>
    </row>
    <row r="2093" spans="31:31" ht="15" customHeight="1">
      <c r="AE2093" s="302"/>
    </row>
    <row r="2094" spans="31:31" ht="15" customHeight="1">
      <c r="AE2094" s="302"/>
    </row>
    <row r="2095" spans="31:31" ht="15" customHeight="1">
      <c r="AE2095" s="302"/>
    </row>
    <row r="2096" spans="31:31" ht="15" customHeight="1">
      <c r="AE2096" s="302"/>
    </row>
    <row r="2097" spans="31:31" ht="15" customHeight="1">
      <c r="AE2097" s="302"/>
    </row>
    <row r="2098" spans="31:31" ht="15" customHeight="1">
      <c r="AE2098" s="302"/>
    </row>
    <row r="2099" spans="31:31" ht="15" customHeight="1">
      <c r="AE2099" s="302"/>
    </row>
    <row r="2100" spans="31:31" ht="15" customHeight="1">
      <c r="AE2100" s="302"/>
    </row>
    <row r="2101" spans="31:31" ht="15" customHeight="1">
      <c r="AE2101" s="302"/>
    </row>
    <row r="2102" spans="31:31" ht="15" customHeight="1">
      <c r="AE2102" s="302"/>
    </row>
    <row r="2103" spans="31:31" ht="15" customHeight="1">
      <c r="AE2103" s="302"/>
    </row>
    <row r="2104" spans="31:31" ht="15" customHeight="1">
      <c r="AE2104" s="302"/>
    </row>
    <row r="2105" spans="31:31" ht="15" customHeight="1">
      <c r="AE2105" s="302"/>
    </row>
    <row r="2106" spans="31:31" ht="15" customHeight="1">
      <c r="AE2106" s="302"/>
    </row>
    <row r="2107" spans="31:31" ht="15" customHeight="1">
      <c r="AE2107" s="302"/>
    </row>
    <row r="2108" spans="31:31" ht="15" customHeight="1">
      <c r="AE2108" s="302"/>
    </row>
    <row r="2109" spans="31:31" ht="15" customHeight="1">
      <c r="AE2109" s="302"/>
    </row>
    <row r="2110" spans="31:31" ht="15" customHeight="1">
      <c r="AE2110" s="302"/>
    </row>
    <row r="2111" spans="31:31" ht="15" customHeight="1">
      <c r="AE2111" s="302"/>
    </row>
    <row r="2112" spans="31:31" ht="15" customHeight="1">
      <c r="AE2112" s="302"/>
    </row>
    <row r="2113" spans="31:31" ht="15" customHeight="1">
      <c r="AE2113" s="302"/>
    </row>
    <row r="2114" spans="31:31" ht="15" customHeight="1">
      <c r="AE2114" s="302"/>
    </row>
    <row r="2115" spans="31:31" ht="15" customHeight="1">
      <c r="AE2115" s="302"/>
    </row>
    <row r="2116" spans="31:31" ht="15" customHeight="1">
      <c r="AE2116" s="302"/>
    </row>
    <row r="2117" spans="31:31" ht="15" customHeight="1">
      <c r="AE2117" s="302"/>
    </row>
    <row r="2118" spans="31:31" ht="15" customHeight="1">
      <c r="AE2118" s="302"/>
    </row>
    <row r="2119" spans="31:31" ht="15" customHeight="1">
      <c r="AE2119" s="302"/>
    </row>
    <row r="2120" spans="31:31" ht="15" customHeight="1">
      <c r="AE2120" s="302"/>
    </row>
    <row r="2121" spans="31:31" ht="15" customHeight="1">
      <c r="AE2121" s="302"/>
    </row>
    <row r="2122" spans="31:31" ht="15" customHeight="1">
      <c r="AE2122" s="302"/>
    </row>
    <row r="2123" spans="31:31" ht="15" customHeight="1">
      <c r="AE2123" s="302"/>
    </row>
    <row r="2124" spans="31:31" ht="15" customHeight="1">
      <c r="AE2124" s="302"/>
    </row>
    <row r="2125" spans="31:31" ht="15" customHeight="1">
      <c r="AE2125" s="302"/>
    </row>
    <row r="2126" spans="31:31" ht="15" customHeight="1">
      <c r="AE2126" s="302"/>
    </row>
    <row r="2127" spans="31:31" ht="15" customHeight="1">
      <c r="AE2127" s="302"/>
    </row>
    <row r="2128" spans="31:31" ht="15" customHeight="1">
      <c r="AE2128" s="302"/>
    </row>
    <row r="2129" spans="31:31" ht="15" customHeight="1">
      <c r="AE2129" s="302"/>
    </row>
    <row r="2130" spans="31:31" ht="15" customHeight="1">
      <c r="AE2130" s="302"/>
    </row>
    <row r="2131" spans="31:31" ht="15" customHeight="1">
      <c r="AE2131" s="302"/>
    </row>
    <row r="2132" spans="31:31" ht="15" customHeight="1">
      <c r="AE2132" s="302"/>
    </row>
    <row r="2133" spans="31:31" ht="15" customHeight="1">
      <c r="AE2133" s="302"/>
    </row>
    <row r="2134" spans="31:31" ht="15" customHeight="1">
      <c r="AE2134" s="302"/>
    </row>
    <row r="2135" spans="31:31" ht="15" customHeight="1">
      <c r="AE2135" s="302"/>
    </row>
    <row r="2136" spans="31:31" ht="15" customHeight="1">
      <c r="AE2136" s="302"/>
    </row>
    <row r="2137" spans="31:31" ht="15" customHeight="1">
      <c r="AE2137" s="302"/>
    </row>
    <row r="2138" spans="31:31" ht="15" customHeight="1">
      <c r="AE2138" s="302"/>
    </row>
    <row r="2139" spans="31:31" ht="15" customHeight="1">
      <c r="AE2139" s="302"/>
    </row>
    <row r="2140" spans="31:31" ht="15" customHeight="1">
      <c r="AE2140" s="302"/>
    </row>
    <row r="2141" spans="31:31" ht="15" customHeight="1">
      <c r="AE2141" s="302"/>
    </row>
    <row r="2142" spans="31:31" ht="15" customHeight="1">
      <c r="AE2142" s="302"/>
    </row>
    <row r="2143" spans="31:31" ht="15" customHeight="1">
      <c r="AE2143" s="302"/>
    </row>
    <row r="2144" spans="31:31" ht="15" customHeight="1">
      <c r="AE2144" s="302"/>
    </row>
    <row r="2145" spans="31:31" ht="15" customHeight="1">
      <c r="AE2145" s="302"/>
    </row>
    <row r="2146" spans="31:31" ht="15" customHeight="1">
      <c r="AE2146" s="302"/>
    </row>
    <row r="2147" spans="31:31" ht="15" customHeight="1">
      <c r="AE2147" s="302"/>
    </row>
    <row r="2148" spans="31:31" ht="15" customHeight="1">
      <c r="AE2148" s="302"/>
    </row>
    <row r="2149" spans="31:31" ht="15" customHeight="1">
      <c r="AE2149" s="302"/>
    </row>
    <row r="2150" spans="31:31" ht="15" customHeight="1">
      <c r="AE2150" s="302"/>
    </row>
    <row r="2151" spans="31:31" ht="15" customHeight="1">
      <c r="AE2151" s="302"/>
    </row>
    <row r="2152" spans="31:31" ht="15" customHeight="1">
      <c r="AE2152" s="302"/>
    </row>
    <row r="2153" spans="31:31" ht="15" customHeight="1">
      <c r="AE2153" s="302"/>
    </row>
    <row r="2154" spans="31:31" ht="15" customHeight="1">
      <c r="AE2154" s="302"/>
    </row>
    <row r="2155" spans="31:31" ht="15" customHeight="1">
      <c r="AE2155" s="302"/>
    </row>
    <row r="2156" spans="31:31" ht="15" customHeight="1">
      <c r="AE2156" s="302"/>
    </row>
    <row r="2157" spans="31:31" ht="15" customHeight="1">
      <c r="AE2157" s="302"/>
    </row>
    <row r="2158" spans="31:31" ht="15" customHeight="1">
      <c r="AE2158" s="302"/>
    </row>
    <row r="2159" spans="31:31" ht="15" customHeight="1">
      <c r="AE2159" s="302"/>
    </row>
    <row r="2160" spans="31:31" ht="15" customHeight="1">
      <c r="AE2160" s="302"/>
    </row>
    <row r="2161" spans="31:31" ht="15" customHeight="1">
      <c r="AE2161" s="302"/>
    </row>
    <row r="2162" spans="31:31" ht="15" customHeight="1">
      <c r="AE2162" s="302"/>
    </row>
    <row r="2163" spans="31:31" ht="15" customHeight="1">
      <c r="AE2163" s="302"/>
    </row>
    <row r="2164" spans="31:31" ht="15" customHeight="1">
      <c r="AE2164" s="302"/>
    </row>
    <row r="2165" spans="31:31" ht="15" customHeight="1">
      <c r="AE2165" s="302"/>
    </row>
    <row r="2166" spans="31:31" ht="15" customHeight="1">
      <c r="AE2166" s="302"/>
    </row>
    <row r="2167" spans="31:31" ht="15" customHeight="1">
      <c r="AE2167" s="302"/>
    </row>
    <row r="2168" spans="31:31" ht="15" customHeight="1">
      <c r="AE2168" s="302"/>
    </row>
    <row r="2169" spans="31:31" ht="15" customHeight="1">
      <c r="AE2169" s="302"/>
    </row>
    <row r="2170" spans="31:31" ht="15" customHeight="1">
      <c r="AE2170" s="302"/>
    </row>
    <row r="2171" spans="31:31" ht="15" customHeight="1">
      <c r="AE2171" s="302"/>
    </row>
    <row r="2172" spans="31:31" ht="15" customHeight="1">
      <c r="AE2172" s="302"/>
    </row>
    <row r="2173" spans="31:31" ht="15" customHeight="1">
      <c r="AE2173" s="302"/>
    </row>
    <row r="2174" spans="31:31" ht="15" customHeight="1">
      <c r="AE2174" s="302"/>
    </row>
    <row r="2175" spans="31:31" ht="15" customHeight="1">
      <c r="AE2175" s="302"/>
    </row>
    <row r="2176" spans="31:31" ht="15" customHeight="1">
      <c r="AE2176" s="302"/>
    </row>
    <row r="2177" spans="31:31" ht="15" customHeight="1">
      <c r="AE2177" s="302"/>
    </row>
    <row r="2178" spans="31:31" ht="15" customHeight="1">
      <c r="AE2178" s="302"/>
    </row>
    <row r="2179" spans="31:31" ht="15" customHeight="1">
      <c r="AE2179" s="302"/>
    </row>
    <row r="2180" spans="31:31" ht="15" customHeight="1">
      <c r="AE2180" s="302"/>
    </row>
    <row r="2181" spans="31:31" ht="15" customHeight="1">
      <c r="AE2181" s="302"/>
    </row>
    <row r="2182" spans="31:31" ht="15" customHeight="1">
      <c r="AE2182" s="302"/>
    </row>
    <row r="2183" spans="31:31" ht="15" customHeight="1">
      <c r="AE2183" s="302"/>
    </row>
    <row r="2184" spans="31:31" ht="15" customHeight="1">
      <c r="AE2184" s="302"/>
    </row>
    <row r="2185" spans="31:31" ht="15" customHeight="1">
      <c r="AE2185" s="302"/>
    </row>
    <row r="2186" spans="31:31" ht="15" customHeight="1">
      <c r="AE2186" s="302"/>
    </row>
    <row r="2187" spans="31:31" ht="15" customHeight="1">
      <c r="AE2187" s="302"/>
    </row>
    <row r="2188" spans="31:31" ht="15" customHeight="1">
      <c r="AE2188" s="302"/>
    </row>
    <row r="2189" spans="31:31" ht="15" customHeight="1">
      <c r="AE2189" s="302"/>
    </row>
    <row r="2190" spans="31:31" ht="15" customHeight="1">
      <c r="AE2190" s="302"/>
    </row>
    <row r="2191" spans="31:31" ht="15" customHeight="1">
      <c r="AE2191" s="302"/>
    </row>
    <row r="2192" spans="31:31" ht="15" customHeight="1">
      <c r="AE2192" s="302"/>
    </row>
    <row r="2193" spans="31:31" ht="15" customHeight="1">
      <c r="AE2193" s="302"/>
    </row>
    <row r="2194" spans="31:31" ht="15" customHeight="1">
      <c r="AE2194" s="302"/>
    </row>
    <row r="2195" spans="31:31" ht="15" customHeight="1">
      <c r="AE2195" s="302"/>
    </row>
    <row r="2196" spans="31:31" ht="15" customHeight="1">
      <c r="AE2196" s="302"/>
    </row>
    <row r="2197" spans="31:31" ht="15" customHeight="1">
      <c r="AE2197" s="302"/>
    </row>
    <row r="2198" spans="31:31" ht="15" customHeight="1">
      <c r="AE2198" s="302"/>
    </row>
    <row r="2199" spans="31:31" ht="15" customHeight="1">
      <c r="AE2199" s="302"/>
    </row>
    <row r="2200" spans="31:31" ht="15" customHeight="1">
      <c r="AE2200" s="302"/>
    </row>
    <row r="2201" spans="31:31" ht="15" customHeight="1">
      <c r="AE2201" s="302"/>
    </row>
    <row r="2202" spans="31:31" ht="15" customHeight="1">
      <c r="AE2202" s="302"/>
    </row>
    <row r="2203" spans="31:31" ht="15" customHeight="1">
      <c r="AE2203" s="302"/>
    </row>
    <row r="2204" spans="31:31" ht="15" customHeight="1">
      <c r="AE2204" s="302"/>
    </row>
    <row r="2205" spans="31:31" ht="15" customHeight="1">
      <c r="AE2205" s="302"/>
    </row>
    <row r="2206" spans="31:31" ht="15" customHeight="1">
      <c r="AE2206" s="302"/>
    </row>
    <row r="2207" spans="31:31" ht="15" customHeight="1">
      <c r="AE2207" s="302"/>
    </row>
    <row r="2208" spans="31:31" ht="15" customHeight="1">
      <c r="AE2208" s="302"/>
    </row>
    <row r="2209" spans="31:31" ht="15" customHeight="1">
      <c r="AE2209" s="302"/>
    </row>
    <row r="2210" spans="31:31" ht="15" customHeight="1">
      <c r="AE2210" s="302"/>
    </row>
    <row r="2211" spans="31:31" ht="15" customHeight="1">
      <c r="AE2211" s="302"/>
    </row>
    <row r="2212" spans="31:31" ht="15" customHeight="1">
      <c r="AE2212" s="302"/>
    </row>
    <row r="2213" spans="31:31" ht="15" customHeight="1">
      <c r="AE2213" s="302"/>
    </row>
    <row r="2214" spans="31:31" ht="15" customHeight="1">
      <c r="AE2214" s="302"/>
    </row>
    <row r="2215" spans="31:31" ht="15" customHeight="1">
      <c r="AE2215" s="302"/>
    </row>
    <row r="2216" spans="31:31" ht="15" customHeight="1">
      <c r="AE2216" s="302"/>
    </row>
    <row r="2217" spans="31:31" ht="15" customHeight="1">
      <c r="AE2217" s="302"/>
    </row>
    <row r="2218" spans="31:31" ht="15" customHeight="1">
      <c r="AE2218" s="302"/>
    </row>
    <row r="2219" spans="31:31" ht="15" customHeight="1">
      <c r="AE2219" s="302"/>
    </row>
    <row r="2220" spans="31:31" ht="15" customHeight="1">
      <c r="AE2220" s="302"/>
    </row>
    <row r="2221" spans="31:31" ht="15" customHeight="1">
      <c r="AE2221" s="302"/>
    </row>
    <row r="2222" spans="31:31" ht="15" customHeight="1">
      <c r="AE2222" s="302"/>
    </row>
    <row r="2223" spans="31:31" ht="15" customHeight="1">
      <c r="AE2223" s="302"/>
    </row>
    <row r="2224" spans="31:31" ht="15" customHeight="1">
      <c r="AE2224" s="302"/>
    </row>
    <row r="2225" spans="31:31" ht="15" customHeight="1">
      <c r="AE2225" s="302"/>
    </row>
    <row r="2226" spans="31:31" ht="15" customHeight="1">
      <c r="AE2226" s="302"/>
    </row>
    <row r="2227" spans="31:31" ht="15" customHeight="1">
      <c r="AE2227" s="302"/>
    </row>
    <row r="2228" spans="31:31" ht="15" customHeight="1">
      <c r="AE2228" s="302"/>
    </row>
    <row r="2229" spans="31:31" ht="15" customHeight="1">
      <c r="AE2229" s="302"/>
    </row>
    <row r="2230" spans="31:31" ht="15" customHeight="1">
      <c r="AE2230" s="302"/>
    </row>
    <row r="2231" spans="31:31" ht="15" customHeight="1">
      <c r="AE2231" s="302"/>
    </row>
    <row r="2232" spans="31:31" ht="15" customHeight="1">
      <c r="AE2232" s="302"/>
    </row>
    <row r="2233" spans="31:31" ht="15" customHeight="1">
      <c r="AE2233" s="302"/>
    </row>
    <row r="2234" spans="31:31" ht="15" customHeight="1">
      <c r="AE2234" s="302"/>
    </row>
    <row r="2235" spans="31:31" ht="15" customHeight="1">
      <c r="AE2235" s="302"/>
    </row>
    <row r="2236" spans="31:31" ht="15" customHeight="1">
      <c r="AE2236" s="302"/>
    </row>
    <row r="2237" spans="31:31" ht="15" customHeight="1">
      <c r="AE2237" s="302"/>
    </row>
    <row r="2238" spans="31:31" ht="15" customHeight="1">
      <c r="AE2238" s="302"/>
    </row>
    <row r="2239" spans="31:31" ht="15" customHeight="1">
      <c r="AE2239" s="302"/>
    </row>
    <row r="2240" spans="31:31" ht="15" customHeight="1">
      <c r="AE2240" s="302"/>
    </row>
    <row r="2241" spans="31:31" ht="15" customHeight="1">
      <c r="AE2241" s="302"/>
    </row>
    <row r="2242" spans="31:31" ht="15" customHeight="1">
      <c r="AE2242" s="302"/>
    </row>
    <row r="2243" spans="31:31" ht="15" customHeight="1">
      <c r="AE2243" s="302"/>
    </row>
    <row r="2244" spans="31:31" ht="15" customHeight="1">
      <c r="AE2244" s="302"/>
    </row>
    <row r="2245" spans="31:31" ht="15" customHeight="1">
      <c r="AE2245" s="302"/>
    </row>
    <row r="2246" spans="31:31" ht="15" customHeight="1">
      <c r="AE2246" s="302"/>
    </row>
    <row r="2247" spans="31:31" ht="15" customHeight="1">
      <c r="AE2247" s="302"/>
    </row>
    <row r="2248" spans="31:31" ht="15" customHeight="1">
      <c r="AE2248" s="302"/>
    </row>
    <row r="2249" spans="31:31" ht="15" customHeight="1">
      <c r="AE2249" s="302"/>
    </row>
    <row r="2250" spans="31:31" ht="15" customHeight="1">
      <c r="AE2250" s="302"/>
    </row>
    <row r="2251" spans="31:31" ht="15" customHeight="1">
      <c r="AE2251" s="302"/>
    </row>
    <row r="2252" spans="31:31" ht="15" customHeight="1">
      <c r="AE2252" s="302"/>
    </row>
    <row r="2253" spans="31:31" ht="15" customHeight="1">
      <c r="AE2253" s="302"/>
    </row>
    <row r="2254" spans="31:31" ht="15" customHeight="1">
      <c r="AE2254" s="302"/>
    </row>
    <row r="2255" spans="31:31" ht="15" customHeight="1">
      <c r="AE2255" s="302"/>
    </row>
    <row r="2256" spans="31:31" ht="15" customHeight="1">
      <c r="AE2256" s="302"/>
    </row>
    <row r="2257" spans="31:31" ht="15" customHeight="1">
      <c r="AE2257" s="302"/>
    </row>
    <row r="2258" spans="31:31" ht="15" customHeight="1">
      <c r="AE2258" s="302"/>
    </row>
    <row r="2259" spans="31:31" ht="15" customHeight="1">
      <c r="AE2259" s="302"/>
    </row>
    <row r="2260" spans="31:31" ht="15" customHeight="1">
      <c r="AE2260" s="302"/>
    </row>
    <row r="2261" spans="31:31" ht="15" customHeight="1">
      <c r="AE2261" s="302"/>
    </row>
    <row r="2262" spans="31:31" ht="15" customHeight="1">
      <c r="AE2262" s="302"/>
    </row>
    <row r="2263" spans="31:31" ht="15" customHeight="1">
      <c r="AE2263" s="302"/>
    </row>
    <row r="2264" spans="31:31" ht="15" customHeight="1">
      <c r="AE2264" s="302"/>
    </row>
    <row r="2265" spans="31:31" ht="15" customHeight="1">
      <c r="AE2265" s="302"/>
    </row>
    <row r="2266" spans="31:31" ht="15" customHeight="1">
      <c r="AE2266" s="302"/>
    </row>
    <row r="2267" spans="31:31" ht="15" customHeight="1">
      <c r="AE2267" s="302"/>
    </row>
    <row r="2268" spans="31:31" ht="15" customHeight="1">
      <c r="AE2268" s="302"/>
    </row>
    <row r="2269" spans="31:31" ht="15" customHeight="1">
      <c r="AE2269" s="302"/>
    </row>
    <row r="2270" spans="31:31" ht="15" customHeight="1">
      <c r="AE2270" s="302"/>
    </row>
    <row r="2271" spans="31:31" ht="15" customHeight="1">
      <c r="AE2271" s="302"/>
    </row>
    <row r="2272" spans="31:31" ht="15" customHeight="1">
      <c r="AE2272" s="302"/>
    </row>
    <row r="2273" spans="31:31" ht="15" customHeight="1">
      <c r="AE2273" s="302"/>
    </row>
    <row r="2274" spans="31:31" ht="15" customHeight="1">
      <c r="AE2274" s="302"/>
    </row>
    <row r="2275" spans="31:31" ht="15" customHeight="1">
      <c r="AE2275" s="302"/>
    </row>
    <row r="2276" spans="31:31" ht="15" customHeight="1">
      <c r="AE2276" s="302"/>
    </row>
    <row r="2277" spans="31:31" ht="15" customHeight="1">
      <c r="AE2277" s="302"/>
    </row>
    <row r="2278" spans="31:31" ht="15" customHeight="1">
      <c r="AE2278" s="302"/>
    </row>
    <row r="2279" spans="31:31" ht="15" customHeight="1">
      <c r="AE2279" s="302"/>
    </row>
    <row r="2280" spans="31:31" ht="15" customHeight="1">
      <c r="AE2280" s="302"/>
    </row>
    <row r="2281" spans="31:31" ht="15" customHeight="1">
      <c r="AE2281" s="302"/>
    </row>
    <row r="2282" spans="31:31" ht="15" customHeight="1">
      <c r="AE2282" s="302"/>
    </row>
    <row r="2283" spans="31:31" ht="15" customHeight="1">
      <c r="AE2283" s="302"/>
    </row>
    <row r="2284" spans="31:31" ht="15" customHeight="1">
      <c r="AE2284" s="302"/>
    </row>
    <row r="2285" spans="31:31" ht="15" customHeight="1">
      <c r="AE2285" s="302"/>
    </row>
    <row r="2286" spans="31:31" ht="15" customHeight="1">
      <c r="AE2286" s="302"/>
    </row>
    <row r="2287" spans="31:31" ht="15" customHeight="1">
      <c r="AE2287" s="302"/>
    </row>
    <row r="2288" spans="31:31" ht="15" customHeight="1">
      <c r="AE2288" s="302"/>
    </row>
    <row r="2289" spans="31:31" ht="15" customHeight="1">
      <c r="AE2289" s="302"/>
    </row>
    <row r="2290" spans="31:31" ht="15" customHeight="1">
      <c r="AE2290" s="302"/>
    </row>
    <row r="2291" spans="31:31" ht="15" customHeight="1">
      <c r="AE2291" s="302"/>
    </row>
    <row r="2292" spans="31:31" ht="15" customHeight="1">
      <c r="AE2292" s="302"/>
    </row>
    <row r="2293" spans="31:31" ht="15" customHeight="1">
      <c r="AE2293" s="302"/>
    </row>
    <row r="2294" spans="31:31" ht="15" customHeight="1">
      <c r="AE2294" s="302"/>
    </row>
    <row r="2295" spans="31:31" ht="15" customHeight="1">
      <c r="AE2295" s="302"/>
    </row>
    <row r="2296" spans="31:31" ht="15" customHeight="1">
      <c r="AE2296" s="302"/>
    </row>
    <row r="2297" spans="31:31" ht="15" customHeight="1">
      <c r="AE2297" s="302"/>
    </row>
    <row r="2298" spans="31:31" ht="15" customHeight="1">
      <c r="AE2298" s="302"/>
    </row>
    <row r="2299" spans="31:31" ht="15" customHeight="1">
      <c r="AE2299" s="302"/>
    </row>
    <row r="2300" spans="31:31" ht="15" customHeight="1">
      <c r="AE2300" s="302"/>
    </row>
    <row r="2301" spans="31:31" ht="15" customHeight="1">
      <c r="AE2301" s="302"/>
    </row>
    <row r="2302" spans="31:31" ht="15" customHeight="1">
      <c r="AE2302" s="302"/>
    </row>
    <row r="2303" spans="31:31" ht="15" customHeight="1">
      <c r="AE2303" s="302"/>
    </row>
    <row r="2304" spans="31:31" ht="15" customHeight="1">
      <c r="AE2304" s="302"/>
    </row>
    <row r="2305" spans="31:31" ht="15" customHeight="1">
      <c r="AE2305" s="302"/>
    </row>
    <row r="2306" spans="31:31" ht="15" customHeight="1">
      <c r="AE2306" s="302"/>
    </row>
    <row r="2307" spans="31:31" ht="15" customHeight="1">
      <c r="AE2307" s="302"/>
    </row>
    <row r="2308" spans="31:31" ht="15" customHeight="1">
      <c r="AE2308" s="302"/>
    </row>
    <row r="2309" spans="31:31" ht="15" customHeight="1">
      <c r="AE2309" s="302"/>
    </row>
    <row r="2310" spans="31:31" ht="15" customHeight="1">
      <c r="AE2310" s="302"/>
    </row>
    <row r="2311" spans="31:31" ht="15" customHeight="1">
      <c r="AE2311" s="302"/>
    </row>
    <row r="2312" spans="31:31" ht="15" customHeight="1">
      <c r="AE2312" s="302"/>
    </row>
    <row r="2313" spans="31:31" ht="15" customHeight="1">
      <c r="AE2313" s="302"/>
    </row>
    <row r="2314" spans="31:31" ht="15" customHeight="1">
      <c r="AE2314" s="302"/>
    </row>
    <row r="2315" spans="31:31" ht="15" customHeight="1">
      <c r="AE2315" s="302"/>
    </row>
    <row r="2316" spans="31:31" ht="15" customHeight="1">
      <c r="AE2316" s="302"/>
    </row>
    <row r="2317" spans="31:31" ht="15" customHeight="1">
      <c r="AE2317" s="302"/>
    </row>
    <row r="2318" spans="31:31" ht="15" customHeight="1">
      <c r="AE2318" s="302"/>
    </row>
    <row r="2319" spans="31:31" ht="15" customHeight="1">
      <c r="AE2319" s="302"/>
    </row>
    <row r="2320" spans="31:31" ht="15" customHeight="1">
      <c r="AE2320" s="302"/>
    </row>
    <row r="2321" spans="31:31" ht="15" customHeight="1">
      <c r="AE2321" s="302"/>
    </row>
    <row r="2322" spans="31:31" ht="15" customHeight="1">
      <c r="AE2322" s="302"/>
    </row>
    <row r="2323" spans="31:31" ht="15" customHeight="1">
      <c r="AE2323" s="302"/>
    </row>
    <row r="2324" spans="31:31" ht="15" customHeight="1">
      <c r="AE2324" s="302"/>
    </row>
    <row r="2325" spans="31:31" ht="15" customHeight="1">
      <c r="AE2325" s="302"/>
    </row>
    <row r="2326" spans="31:31" ht="15" customHeight="1">
      <c r="AE2326" s="302"/>
    </row>
    <row r="2327" spans="31:31" ht="15" customHeight="1">
      <c r="AE2327" s="302"/>
    </row>
    <row r="2328" spans="31:31" ht="15" customHeight="1">
      <c r="AE2328" s="302"/>
    </row>
    <row r="2329" spans="31:31" ht="15" customHeight="1">
      <c r="AE2329" s="302"/>
    </row>
    <row r="2330" spans="31:31" ht="15" customHeight="1">
      <c r="AE2330" s="302"/>
    </row>
    <row r="2331" spans="31:31" ht="15" customHeight="1">
      <c r="AE2331" s="302"/>
    </row>
    <row r="2332" spans="31:31" ht="15" customHeight="1">
      <c r="AE2332" s="302"/>
    </row>
    <row r="2333" spans="31:31" ht="15" customHeight="1">
      <c r="AE2333" s="302"/>
    </row>
    <row r="2334" spans="31:31" ht="15" customHeight="1">
      <c r="AE2334" s="302"/>
    </row>
    <row r="2335" spans="31:31" ht="15" customHeight="1">
      <c r="AE2335" s="302"/>
    </row>
    <row r="2336" spans="31:31" ht="15" customHeight="1">
      <c r="AE2336" s="302"/>
    </row>
    <row r="2337" spans="31:31" ht="15" customHeight="1">
      <c r="AE2337" s="302"/>
    </row>
    <row r="2338" spans="31:31" ht="15" customHeight="1">
      <c r="AE2338" s="302"/>
    </row>
    <row r="2339" spans="31:31" ht="15" customHeight="1">
      <c r="AE2339" s="302"/>
    </row>
    <row r="2340" spans="31:31" ht="15" customHeight="1">
      <c r="AE2340" s="302"/>
    </row>
    <row r="2341" spans="31:31" ht="15" customHeight="1">
      <c r="AE2341" s="302"/>
    </row>
    <row r="2342" spans="31:31" ht="15" customHeight="1">
      <c r="AE2342" s="302"/>
    </row>
    <row r="2343" spans="31:31" ht="15" customHeight="1">
      <c r="AE2343" s="302"/>
    </row>
    <row r="2344" spans="31:31" ht="15" customHeight="1">
      <c r="AE2344" s="302"/>
    </row>
    <row r="2345" spans="31:31" ht="15" customHeight="1">
      <c r="AE2345" s="302"/>
    </row>
    <row r="2346" spans="31:31" ht="15" customHeight="1">
      <c r="AE2346" s="302"/>
    </row>
    <row r="2347" spans="31:31" ht="15" customHeight="1">
      <c r="AE2347" s="302"/>
    </row>
    <row r="2348" spans="31:31" ht="15" customHeight="1">
      <c r="AE2348" s="302"/>
    </row>
    <row r="2349" spans="31:31" ht="15" customHeight="1">
      <c r="AE2349" s="302"/>
    </row>
    <row r="2350" spans="31:31" ht="15" customHeight="1">
      <c r="AE2350" s="302"/>
    </row>
    <row r="2351" spans="31:31" ht="15" customHeight="1">
      <c r="AE2351" s="302"/>
    </row>
    <row r="2352" spans="31:31" ht="15" customHeight="1">
      <c r="AE2352" s="302"/>
    </row>
    <row r="2353" spans="31:31" ht="15" customHeight="1">
      <c r="AE2353" s="302"/>
    </row>
    <row r="2354" spans="31:31" ht="15" customHeight="1">
      <c r="AE2354" s="302"/>
    </row>
    <row r="2355" spans="31:31" ht="15" customHeight="1">
      <c r="AE2355" s="302"/>
    </row>
    <row r="2356" spans="31:31" ht="15" customHeight="1">
      <c r="AE2356" s="302"/>
    </row>
    <row r="2357" spans="31:31" ht="15" customHeight="1">
      <c r="AE2357" s="302"/>
    </row>
    <row r="2358" spans="31:31" ht="15" customHeight="1">
      <c r="AE2358" s="302"/>
    </row>
    <row r="2359" spans="31:31" ht="15" customHeight="1">
      <c r="AE2359" s="302"/>
    </row>
    <row r="2360" spans="31:31" ht="15" customHeight="1">
      <c r="AE2360" s="302"/>
    </row>
    <row r="2361" spans="31:31" ht="15" customHeight="1">
      <c r="AE2361" s="302"/>
    </row>
    <row r="2362" spans="31:31" ht="15" customHeight="1">
      <c r="AE2362" s="302"/>
    </row>
    <row r="2363" spans="31:31" ht="15" customHeight="1">
      <c r="AE2363" s="302"/>
    </row>
    <row r="2364" spans="31:31" ht="15" customHeight="1">
      <c r="AE2364" s="302"/>
    </row>
    <row r="2365" spans="31:31" ht="15" customHeight="1">
      <c r="AE2365" s="302"/>
    </row>
    <row r="2366" spans="31:31" ht="15" customHeight="1">
      <c r="AE2366" s="302"/>
    </row>
    <row r="2367" spans="31:31" ht="15" customHeight="1">
      <c r="AE2367" s="302"/>
    </row>
    <row r="2368" spans="31:31" ht="15" customHeight="1">
      <c r="AE2368" s="302"/>
    </row>
    <row r="2369" spans="31:31" ht="15" customHeight="1">
      <c r="AE2369" s="302"/>
    </row>
    <row r="2370" spans="31:31" ht="15" customHeight="1">
      <c r="AE2370" s="302"/>
    </row>
    <row r="2371" spans="31:31" ht="15" customHeight="1">
      <c r="AE2371" s="302"/>
    </row>
    <row r="2372" spans="31:31" ht="15" customHeight="1">
      <c r="AE2372" s="302"/>
    </row>
    <row r="2373" spans="31:31" ht="15" customHeight="1">
      <c r="AE2373" s="302"/>
    </row>
    <row r="2374" spans="31:31" ht="15" customHeight="1">
      <c r="AE2374" s="302"/>
    </row>
    <row r="2375" spans="31:31" ht="15" customHeight="1">
      <c r="AE2375" s="302"/>
    </row>
    <row r="2376" spans="31:31" ht="15" customHeight="1">
      <c r="AE2376" s="302"/>
    </row>
    <row r="2377" spans="31:31" ht="15" customHeight="1">
      <c r="AE2377" s="302"/>
    </row>
    <row r="2378" spans="31:31" ht="15" customHeight="1">
      <c r="AE2378" s="302"/>
    </row>
    <row r="2379" spans="31:31" ht="15" customHeight="1">
      <c r="AE2379" s="302"/>
    </row>
    <row r="2380" spans="31:31" ht="15" customHeight="1">
      <c r="AE2380" s="302"/>
    </row>
    <row r="2381" spans="31:31" ht="15" customHeight="1">
      <c r="AE2381" s="302"/>
    </row>
    <row r="2382" spans="31:31" ht="15" customHeight="1">
      <c r="AE2382" s="302"/>
    </row>
    <row r="2383" spans="31:31" ht="15" customHeight="1">
      <c r="AE2383" s="302"/>
    </row>
    <row r="2384" spans="31:31" ht="15" customHeight="1">
      <c r="AE2384" s="302"/>
    </row>
    <row r="2385" spans="31:31" ht="15" customHeight="1">
      <c r="AE2385" s="302"/>
    </row>
    <row r="2386" spans="31:31" ht="15" customHeight="1">
      <c r="AE2386" s="302"/>
    </row>
    <row r="2387" spans="31:31" ht="15" customHeight="1">
      <c r="AE2387" s="302"/>
    </row>
    <row r="2388" spans="31:31" ht="15" customHeight="1">
      <c r="AE2388" s="302"/>
    </row>
    <row r="2389" spans="31:31" ht="15" customHeight="1">
      <c r="AE2389" s="302"/>
    </row>
    <row r="2390" spans="31:31" ht="15" customHeight="1">
      <c r="AE2390" s="302"/>
    </row>
    <row r="2391" spans="31:31" ht="15" customHeight="1">
      <c r="AE2391" s="302"/>
    </row>
    <row r="2392" spans="31:31" ht="15" customHeight="1">
      <c r="AE2392" s="302"/>
    </row>
    <row r="2393" spans="31:31" ht="15" customHeight="1">
      <c r="AE2393" s="302"/>
    </row>
    <row r="2394" spans="31:31" ht="15" customHeight="1">
      <c r="AE2394" s="302"/>
    </row>
    <row r="2395" spans="31:31" ht="15" customHeight="1">
      <c r="AE2395" s="302"/>
    </row>
    <row r="2396" spans="31:31" ht="15" customHeight="1">
      <c r="AE2396" s="302"/>
    </row>
    <row r="2397" spans="31:31" ht="15" customHeight="1">
      <c r="AE2397" s="302"/>
    </row>
    <row r="2398" spans="31:31" ht="15" customHeight="1">
      <c r="AE2398" s="302"/>
    </row>
    <row r="2399" spans="31:31" ht="15" customHeight="1">
      <c r="AE2399" s="302"/>
    </row>
    <row r="2400" spans="31:31" ht="15" customHeight="1">
      <c r="AE2400" s="302"/>
    </row>
    <row r="2401" spans="31:31" ht="15" customHeight="1">
      <c r="AE2401" s="302"/>
    </row>
    <row r="2402" spans="31:31" ht="15" customHeight="1">
      <c r="AE2402" s="302"/>
    </row>
    <row r="2403" spans="31:31" ht="15" customHeight="1">
      <c r="AE2403" s="302"/>
    </row>
    <row r="2404" spans="31:31" ht="15" customHeight="1">
      <c r="AE2404" s="302"/>
    </row>
    <row r="2405" spans="31:31" ht="15" customHeight="1">
      <c r="AE2405" s="302"/>
    </row>
    <row r="2406" spans="31:31" ht="15" customHeight="1">
      <c r="AE2406" s="302"/>
    </row>
    <row r="2407" spans="31:31" ht="15" customHeight="1">
      <c r="AE2407" s="302"/>
    </row>
    <row r="2408" spans="31:31" ht="15" customHeight="1">
      <c r="AE2408" s="302"/>
    </row>
    <row r="2409" spans="31:31" ht="15" customHeight="1">
      <c r="AE2409" s="302"/>
    </row>
    <row r="2410" spans="31:31" ht="15" customHeight="1">
      <c r="AE2410" s="302"/>
    </row>
    <row r="2411" spans="31:31" ht="15" customHeight="1">
      <c r="AE2411" s="302"/>
    </row>
    <row r="2412" spans="31:31" ht="15" customHeight="1">
      <c r="AE2412" s="302"/>
    </row>
    <row r="2413" spans="31:31" ht="15" customHeight="1">
      <c r="AE2413" s="302"/>
    </row>
    <row r="2414" spans="31:31" ht="15" customHeight="1">
      <c r="AE2414" s="302"/>
    </row>
    <row r="2415" spans="31:31" ht="15" customHeight="1">
      <c r="AE2415" s="302"/>
    </row>
    <row r="2416" spans="31:31" ht="15" customHeight="1">
      <c r="AE2416" s="302"/>
    </row>
    <row r="2417" spans="31:31" ht="15" customHeight="1">
      <c r="AE2417" s="302"/>
    </row>
    <row r="2418" spans="31:31" ht="15" customHeight="1">
      <c r="AE2418" s="302"/>
    </row>
    <row r="2419" spans="31:31" ht="15" customHeight="1">
      <c r="AE2419" s="302"/>
    </row>
    <row r="2420" spans="31:31" ht="15" customHeight="1">
      <c r="AE2420" s="302"/>
    </row>
    <row r="2421" spans="31:31" ht="15" customHeight="1">
      <c r="AE2421" s="302"/>
    </row>
    <row r="2422" spans="31:31" ht="15" customHeight="1">
      <c r="AE2422" s="302"/>
    </row>
    <row r="2423" spans="31:31" ht="15" customHeight="1">
      <c r="AE2423" s="302"/>
    </row>
    <row r="2424" spans="31:31" ht="15" customHeight="1">
      <c r="AE2424" s="302"/>
    </row>
    <row r="2425" spans="31:31" ht="15" customHeight="1">
      <c r="AE2425" s="302"/>
    </row>
    <row r="2426" spans="31:31" ht="15" customHeight="1">
      <c r="AE2426" s="302"/>
    </row>
    <row r="2427" spans="31:31" ht="15" customHeight="1">
      <c r="AE2427" s="302"/>
    </row>
    <row r="2428" spans="31:31" ht="15" customHeight="1">
      <c r="AE2428" s="302"/>
    </row>
    <row r="2429" spans="31:31" ht="15" customHeight="1">
      <c r="AE2429" s="302"/>
    </row>
    <row r="2430" spans="31:31" ht="15" customHeight="1">
      <c r="AE2430" s="302"/>
    </row>
    <row r="2431" spans="31:31" ht="15" customHeight="1">
      <c r="AE2431" s="302"/>
    </row>
    <row r="2432" spans="31:31" ht="15" customHeight="1">
      <c r="AE2432" s="302"/>
    </row>
    <row r="2433" spans="31:31" ht="15" customHeight="1">
      <c r="AE2433" s="302"/>
    </row>
    <row r="2434" spans="31:31" ht="15" customHeight="1">
      <c r="AE2434" s="302"/>
    </row>
    <row r="2435" spans="31:31" ht="15" customHeight="1">
      <c r="AE2435" s="302"/>
    </row>
    <row r="2436" spans="31:31" ht="15" customHeight="1">
      <c r="AE2436" s="302"/>
    </row>
    <row r="2437" spans="31:31" ht="15" customHeight="1">
      <c r="AE2437" s="302"/>
    </row>
    <row r="2438" spans="31:31" ht="15" customHeight="1">
      <c r="AE2438" s="302"/>
    </row>
    <row r="2439" spans="31:31" ht="15" customHeight="1">
      <c r="AE2439" s="302"/>
    </row>
    <row r="2440" spans="31:31" ht="15" customHeight="1">
      <c r="AE2440" s="302"/>
    </row>
    <row r="2441" spans="31:31" ht="15" customHeight="1">
      <c r="AE2441" s="302"/>
    </row>
    <row r="2442" spans="31:31" ht="15" customHeight="1">
      <c r="AE2442" s="302"/>
    </row>
    <row r="2443" spans="31:31" ht="15" customHeight="1">
      <c r="AE2443" s="302"/>
    </row>
    <row r="2444" spans="31:31" ht="15" customHeight="1">
      <c r="AE2444" s="302"/>
    </row>
    <row r="2445" spans="31:31" ht="15" customHeight="1">
      <c r="AE2445" s="302"/>
    </row>
    <row r="2446" spans="31:31" ht="15" customHeight="1">
      <c r="AE2446" s="302"/>
    </row>
    <row r="2447" spans="31:31" ht="15" customHeight="1">
      <c r="AE2447" s="302"/>
    </row>
    <row r="2448" spans="31:31" ht="15" customHeight="1">
      <c r="AE2448" s="302"/>
    </row>
    <row r="2449" spans="31:31" ht="15" customHeight="1">
      <c r="AE2449" s="302"/>
    </row>
    <row r="2450" spans="31:31" ht="15" customHeight="1">
      <c r="AE2450" s="302"/>
    </row>
    <row r="2451" spans="31:31" ht="15" customHeight="1">
      <c r="AE2451" s="302"/>
    </row>
    <row r="2452" spans="31:31" ht="15" customHeight="1">
      <c r="AE2452" s="302"/>
    </row>
    <row r="2453" spans="31:31" ht="15" customHeight="1">
      <c r="AE2453" s="302"/>
    </row>
    <row r="2454" spans="31:31" ht="15" customHeight="1">
      <c r="AE2454" s="302"/>
    </row>
    <row r="2455" spans="31:31" ht="15" customHeight="1">
      <c r="AE2455" s="302"/>
    </row>
    <row r="2456" spans="31:31" ht="15" customHeight="1">
      <c r="AE2456" s="302"/>
    </row>
    <row r="2457" spans="31:31" ht="15" customHeight="1">
      <c r="AE2457" s="302"/>
    </row>
    <row r="2458" spans="31:31" ht="15" customHeight="1">
      <c r="AE2458" s="302"/>
    </row>
    <row r="2459" spans="31:31" ht="15" customHeight="1">
      <c r="AE2459" s="302"/>
    </row>
    <row r="2460" spans="31:31" ht="15" customHeight="1">
      <c r="AE2460" s="302"/>
    </row>
    <row r="2461" spans="31:31" ht="15" customHeight="1">
      <c r="AE2461" s="302"/>
    </row>
    <row r="2462" spans="31:31" ht="15" customHeight="1">
      <c r="AE2462" s="302"/>
    </row>
    <row r="2463" spans="31:31" ht="15" customHeight="1">
      <c r="AE2463" s="302"/>
    </row>
    <row r="2464" spans="31:31" ht="15" customHeight="1">
      <c r="AE2464" s="302"/>
    </row>
    <row r="2465" spans="31:31" ht="15" customHeight="1">
      <c r="AE2465" s="302"/>
    </row>
    <row r="2466" spans="31:31" ht="15" customHeight="1">
      <c r="AE2466" s="302"/>
    </row>
    <row r="2467" spans="31:31" ht="15" customHeight="1">
      <c r="AE2467" s="302"/>
    </row>
    <row r="2468" spans="31:31" ht="15" customHeight="1">
      <c r="AE2468" s="302"/>
    </row>
    <row r="2469" spans="31:31" ht="15" customHeight="1">
      <c r="AE2469" s="302"/>
    </row>
    <row r="2470" spans="31:31" ht="15" customHeight="1">
      <c r="AE2470" s="302"/>
    </row>
    <row r="2471" spans="31:31" ht="15" customHeight="1">
      <c r="AE2471" s="302"/>
    </row>
    <row r="2472" spans="31:31" ht="15" customHeight="1">
      <c r="AE2472" s="302"/>
    </row>
    <row r="2473" spans="31:31" ht="15" customHeight="1">
      <c r="AE2473" s="302"/>
    </row>
    <row r="2474" spans="31:31" ht="15" customHeight="1">
      <c r="AE2474" s="302"/>
    </row>
    <row r="2475" spans="31:31" ht="15" customHeight="1">
      <c r="AE2475" s="302"/>
    </row>
    <row r="2476" spans="31:31" ht="15" customHeight="1">
      <c r="AE2476" s="302"/>
    </row>
    <row r="2477" spans="31:31" ht="15" customHeight="1">
      <c r="AE2477" s="302"/>
    </row>
    <row r="2478" spans="31:31" ht="15" customHeight="1">
      <c r="AE2478" s="302"/>
    </row>
    <row r="2479" spans="31:31" ht="15" customHeight="1">
      <c r="AE2479" s="302"/>
    </row>
    <row r="2480" spans="31:31" ht="15" customHeight="1">
      <c r="AE2480" s="302"/>
    </row>
    <row r="2481" spans="31:31" ht="15" customHeight="1">
      <c r="AE2481" s="302"/>
    </row>
    <row r="2482" spans="31:31" ht="15" customHeight="1">
      <c r="AE2482" s="302"/>
    </row>
    <row r="2483" spans="31:31" ht="15" customHeight="1">
      <c r="AE2483" s="302"/>
    </row>
    <row r="2484" spans="31:31" ht="15" customHeight="1">
      <c r="AE2484" s="302"/>
    </row>
    <row r="2485" spans="31:31" ht="15" customHeight="1">
      <c r="AE2485" s="302"/>
    </row>
    <row r="2486" spans="31:31" ht="15" customHeight="1">
      <c r="AE2486" s="302"/>
    </row>
    <row r="2487" spans="31:31" ht="15" customHeight="1">
      <c r="AE2487" s="302"/>
    </row>
    <row r="2488" spans="31:31" ht="15" customHeight="1">
      <c r="AE2488" s="302"/>
    </row>
    <row r="2489" spans="31:31" ht="15" customHeight="1">
      <c r="AE2489" s="302"/>
    </row>
    <row r="2490" spans="31:31" ht="15" customHeight="1">
      <c r="AE2490" s="302"/>
    </row>
    <row r="2491" spans="31:31" ht="15" customHeight="1">
      <c r="AE2491" s="302"/>
    </row>
    <row r="2492" spans="31:31" ht="15" customHeight="1">
      <c r="AE2492" s="302"/>
    </row>
    <row r="2493" spans="31:31" ht="15" customHeight="1">
      <c r="AE2493" s="302"/>
    </row>
    <row r="2494" spans="31:31" ht="15" customHeight="1">
      <c r="AE2494" s="302"/>
    </row>
    <row r="2495" spans="31:31" ht="15" customHeight="1">
      <c r="AE2495" s="302"/>
    </row>
    <row r="2496" spans="31:31" ht="15" customHeight="1">
      <c r="AE2496" s="302"/>
    </row>
    <row r="2497" spans="31:31" ht="15" customHeight="1">
      <c r="AE2497" s="302"/>
    </row>
    <row r="2498" spans="31:31" ht="15" customHeight="1">
      <c r="AE2498" s="302"/>
    </row>
    <row r="2499" spans="31:31" ht="15" customHeight="1">
      <c r="AE2499" s="302"/>
    </row>
    <row r="2500" spans="31:31" ht="15" customHeight="1">
      <c r="AE2500" s="302"/>
    </row>
    <row r="2501" spans="31:31" ht="15" customHeight="1">
      <c r="AE2501" s="302"/>
    </row>
    <row r="2502" spans="31:31" ht="15" customHeight="1">
      <c r="AE2502" s="302"/>
    </row>
    <row r="2503" spans="31:31" ht="15" customHeight="1">
      <c r="AE2503" s="302"/>
    </row>
    <row r="2504" spans="31:31" ht="15" customHeight="1">
      <c r="AE2504" s="302"/>
    </row>
    <row r="2505" spans="31:31" ht="15" customHeight="1">
      <c r="AE2505" s="302"/>
    </row>
    <row r="2506" spans="31:31" ht="15" customHeight="1">
      <c r="AE2506" s="302"/>
    </row>
    <row r="2507" spans="31:31" ht="15" customHeight="1">
      <c r="AE2507" s="302"/>
    </row>
    <row r="2508" spans="31:31" ht="15" customHeight="1">
      <c r="AE2508" s="302"/>
    </row>
    <row r="2509" spans="31:31" ht="15" customHeight="1">
      <c r="AE2509" s="302"/>
    </row>
    <row r="2510" spans="31:31" ht="15" customHeight="1">
      <c r="AE2510" s="302"/>
    </row>
    <row r="2511" spans="31:31" ht="15" customHeight="1">
      <c r="AE2511" s="302"/>
    </row>
    <row r="2512" spans="31:31" ht="15" customHeight="1">
      <c r="AE2512" s="302"/>
    </row>
    <row r="2513" spans="31:31" ht="15" customHeight="1">
      <c r="AE2513" s="302"/>
    </row>
    <row r="2514" spans="31:31" ht="15" customHeight="1">
      <c r="AE2514" s="302"/>
    </row>
    <row r="2515" spans="31:31" ht="15" customHeight="1">
      <c r="AE2515" s="302"/>
    </row>
    <row r="2516" spans="31:31" ht="15" customHeight="1">
      <c r="AE2516" s="302"/>
    </row>
    <row r="2517" spans="31:31" ht="15" customHeight="1">
      <c r="AE2517" s="302"/>
    </row>
    <row r="2518" spans="31:31" ht="15" customHeight="1">
      <c r="AE2518" s="302"/>
    </row>
    <row r="2519" spans="31:31" ht="15" customHeight="1">
      <c r="AE2519" s="302"/>
    </row>
    <row r="2520" spans="31:31" ht="15" customHeight="1">
      <c r="AE2520" s="302"/>
    </row>
    <row r="2521" spans="31:31" ht="15" customHeight="1">
      <c r="AE2521" s="302"/>
    </row>
    <row r="2522" spans="31:31" ht="15" customHeight="1">
      <c r="AE2522" s="302"/>
    </row>
    <row r="2523" spans="31:31" ht="15" customHeight="1">
      <c r="AE2523" s="302"/>
    </row>
    <row r="2524" spans="31:31" ht="15" customHeight="1">
      <c r="AE2524" s="302"/>
    </row>
    <row r="2525" spans="31:31" ht="15" customHeight="1">
      <c r="AE2525" s="302"/>
    </row>
    <row r="2526" spans="31:31" ht="15" customHeight="1">
      <c r="AE2526" s="302"/>
    </row>
    <row r="2527" spans="31:31" ht="15" customHeight="1">
      <c r="AE2527" s="302"/>
    </row>
    <row r="2528" spans="31:31" ht="15" customHeight="1">
      <c r="AE2528" s="302"/>
    </row>
    <row r="2529" spans="31:31" ht="15" customHeight="1">
      <c r="AE2529" s="302"/>
    </row>
    <row r="2530" spans="31:31" ht="15" customHeight="1">
      <c r="AE2530" s="302"/>
    </row>
    <row r="2531" spans="31:31" ht="15" customHeight="1">
      <c r="AE2531" s="302"/>
    </row>
    <row r="2532" spans="31:31" ht="15" customHeight="1">
      <c r="AE2532" s="302"/>
    </row>
    <row r="2533" spans="31:31" ht="15" customHeight="1">
      <c r="AE2533" s="302"/>
    </row>
    <row r="2534" spans="31:31" ht="15" customHeight="1">
      <c r="AE2534" s="302"/>
    </row>
    <row r="2535" spans="31:31" ht="15" customHeight="1">
      <c r="AE2535" s="302"/>
    </row>
    <row r="2536" spans="31:31" ht="15" customHeight="1">
      <c r="AE2536" s="302"/>
    </row>
    <row r="2537" spans="31:31" ht="15" customHeight="1">
      <c r="AE2537" s="302"/>
    </row>
    <row r="2538" spans="31:31" ht="15" customHeight="1">
      <c r="AE2538" s="302"/>
    </row>
    <row r="2539" spans="31:31" ht="15" customHeight="1">
      <c r="AE2539" s="302"/>
    </row>
    <row r="2540" spans="31:31" ht="15" customHeight="1">
      <c r="AE2540" s="302"/>
    </row>
    <row r="2541" spans="31:31" ht="15" customHeight="1">
      <c r="AE2541" s="302"/>
    </row>
    <row r="2542" spans="31:31" ht="15" customHeight="1">
      <c r="AE2542" s="302"/>
    </row>
    <row r="2543" spans="31:31" ht="15" customHeight="1">
      <c r="AE2543" s="302"/>
    </row>
    <row r="2544" spans="31:31" ht="15" customHeight="1">
      <c r="AE2544" s="302"/>
    </row>
    <row r="2545" spans="31:31" ht="15" customHeight="1">
      <c r="AE2545" s="302"/>
    </row>
    <row r="2546" spans="31:31" ht="15" customHeight="1">
      <c r="AE2546" s="302"/>
    </row>
    <row r="2547" spans="31:31" ht="15" customHeight="1">
      <c r="AE2547" s="302"/>
    </row>
    <row r="2548" spans="31:31" ht="15" customHeight="1">
      <c r="AE2548" s="302"/>
    </row>
    <row r="2549" spans="31:31" ht="15" customHeight="1">
      <c r="AE2549" s="302"/>
    </row>
    <row r="2550" spans="31:31" ht="15" customHeight="1">
      <c r="AE2550" s="302"/>
    </row>
    <row r="2551" spans="31:31" ht="15" customHeight="1">
      <c r="AE2551" s="302"/>
    </row>
    <row r="2552" spans="31:31" ht="15" customHeight="1">
      <c r="AE2552" s="302"/>
    </row>
    <row r="2553" spans="31:31" ht="15" customHeight="1">
      <c r="AE2553" s="302"/>
    </row>
    <row r="2554" spans="31:31" ht="15" customHeight="1">
      <c r="AE2554" s="302"/>
    </row>
    <row r="2555" spans="31:31" ht="15" customHeight="1">
      <c r="AE2555" s="302"/>
    </row>
    <row r="2556" spans="31:31" ht="15" customHeight="1">
      <c r="AE2556" s="302"/>
    </row>
    <row r="2557" spans="31:31" ht="15" customHeight="1">
      <c r="AE2557" s="302"/>
    </row>
    <row r="2558" spans="31:31" ht="15" customHeight="1">
      <c r="AE2558" s="302"/>
    </row>
    <row r="2559" spans="31:31" ht="15" customHeight="1">
      <c r="AE2559" s="302"/>
    </row>
    <row r="2560" spans="31:31" ht="15" customHeight="1">
      <c r="AE2560" s="302"/>
    </row>
    <row r="2561" spans="31:31" ht="15" customHeight="1">
      <c r="AE2561" s="302"/>
    </row>
    <row r="2562" spans="31:31" ht="15" customHeight="1">
      <c r="AE2562" s="302"/>
    </row>
    <row r="2563" spans="31:31" ht="15" customHeight="1">
      <c r="AE2563" s="302"/>
    </row>
    <row r="2564" spans="31:31" ht="15" customHeight="1">
      <c r="AE2564" s="302"/>
    </row>
    <row r="2565" spans="31:31" ht="15" customHeight="1">
      <c r="AE2565" s="302"/>
    </row>
    <row r="2566" spans="31:31" ht="15" customHeight="1">
      <c r="AE2566" s="302"/>
    </row>
    <row r="2567" spans="31:31" ht="15" customHeight="1">
      <c r="AE2567" s="302"/>
    </row>
    <row r="2568" spans="31:31" ht="15" customHeight="1">
      <c r="AE2568" s="302"/>
    </row>
    <row r="2569" spans="31:31" ht="15" customHeight="1">
      <c r="AE2569" s="302"/>
    </row>
    <row r="2570" spans="31:31" ht="15" customHeight="1">
      <c r="AE2570" s="302"/>
    </row>
    <row r="2571" spans="31:31" ht="15" customHeight="1">
      <c r="AE2571" s="302"/>
    </row>
    <row r="2572" spans="31:31" ht="15" customHeight="1">
      <c r="AE2572" s="302"/>
    </row>
    <row r="2573" spans="31:31" ht="15" customHeight="1">
      <c r="AE2573" s="302"/>
    </row>
    <row r="2574" spans="31:31" ht="15" customHeight="1">
      <c r="AE2574" s="302"/>
    </row>
    <row r="2575" spans="31:31" ht="15" customHeight="1">
      <c r="AE2575" s="302"/>
    </row>
    <row r="2576" spans="31:31" ht="15" customHeight="1">
      <c r="AE2576" s="302"/>
    </row>
    <row r="2577" spans="31:31" ht="15" customHeight="1">
      <c r="AE2577" s="302"/>
    </row>
    <row r="2578" spans="31:31" ht="15" customHeight="1">
      <c r="AE2578" s="302"/>
    </row>
    <row r="2579" spans="31:31" ht="15" customHeight="1">
      <c r="AE2579" s="302"/>
    </row>
    <row r="2580" spans="31:31" ht="15" customHeight="1">
      <c r="AE2580" s="302"/>
    </row>
    <row r="2581" spans="31:31" ht="15" customHeight="1">
      <c r="AE2581" s="302"/>
    </row>
    <row r="2582" spans="31:31" ht="15" customHeight="1">
      <c r="AE2582" s="302"/>
    </row>
    <row r="2583" spans="31:31" ht="15" customHeight="1">
      <c r="AE2583" s="302"/>
    </row>
    <row r="2584" spans="31:31" ht="15" customHeight="1">
      <c r="AE2584" s="302"/>
    </row>
    <row r="2585" spans="31:31" ht="15" customHeight="1">
      <c r="AE2585" s="302"/>
    </row>
    <row r="2586" spans="31:31" ht="15" customHeight="1">
      <c r="AE2586" s="302"/>
    </row>
    <row r="2587" spans="31:31" ht="15" customHeight="1">
      <c r="AE2587" s="302"/>
    </row>
    <row r="2588" spans="31:31" ht="15" customHeight="1">
      <c r="AE2588" s="302"/>
    </row>
    <row r="2589" spans="31:31" ht="15" customHeight="1">
      <c r="AE2589" s="302"/>
    </row>
    <row r="2590" spans="31:31" ht="15" customHeight="1">
      <c r="AE2590" s="302"/>
    </row>
    <row r="2591" spans="31:31" ht="15" customHeight="1">
      <c r="AE2591" s="302"/>
    </row>
    <row r="2592" spans="31:31" ht="15" customHeight="1">
      <c r="AE2592" s="302"/>
    </row>
    <row r="2593" spans="31:31" ht="15" customHeight="1">
      <c r="AE2593" s="302"/>
    </row>
    <row r="2594" spans="31:31" ht="15" customHeight="1">
      <c r="AE2594" s="302"/>
    </row>
    <row r="2595" spans="31:31" ht="15" customHeight="1">
      <c r="AE2595" s="302"/>
    </row>
    <row r="2596" spans="31:31" ht="15" customHeight="1">
      <c r="AE2596" s="302"/>
    </row>
    <row r="2597" spans="31:31" ht="15" customHeight="1">
      <c r="AE2597" s="302"/>
    </row>
    <row r="2598" spans="31:31" ht="15" customHeight="1">
      <c r="AE2598" s="302"/>
    </row>
    <row r="2599" spans="31:31" ht="15" customHeight="1">
      <c r="AE2599" s="302"/>
    </row>
    <row r="2600" spans="31:31" ht="15" customHeight="1">
      <c r="AE2600" s="302"/>
    </row>
    <row r="2601" spans="31:31" ht="15" customHeight="1">
      <c r="AE2601" s="302"/>
    </row>
    <row r="2602" spans="31:31" ht="15" customHeight="1">
      <c r="AE2602" s="302"/>
    </row>
    <row r="2603" spans="31:31" ht="15" customHeight="1">
      <c r="AE2603" s="302"/>
    </row>
    <row r="2604" spans="31:31" ht="15" customHeight="1">
      <c r="AE2604" s="302"/>
    </row>
    <row r="2605" spans="31:31" ht="15" customHeight="1">
      <c r="AE2605" s="302"/>
    </row>
    <row r="2606" spans="31:31" ht="15" customHeight="1">
      <c r="AE2606" s="302"/>
    </row>
    <row r="2607" spans="31:31" ht="15" customHeight="1">
      <c r="AE2607" s="302"/>
    </row>
    <row r="2608" spans="31:31" ht="15" customHeight="1">
      <c r="AE2608" s="302"/>
    </row>
    <row r="2609" spans="31:31" ht="15" customHeight="1">
      <c r="AE2609" s="302"/>
    </row>
    <row r="2610" spans="31:31" ht="15" customHeight="1">
      <c r="AE2610" s="302"/>
    </row>
    <row r="2611" spans="31:31" ht="15" customHeight="1">
      <c r="AE2611" s="302"/>
    </row>
    <row r="2612" spans="31:31" ht="15" customHeight="1">
      <c r="AE2612" s="302"/>
    </row>
    <row r="2613" spans="31:31" ht="15" customHeight="1">
      <c r="AE2613" s="302"/>
    </row>
    <row r="2614" spans="31:31" ht="15" customHeight="1">
      <c r="AE2614" s="302"/>
    </row>
    <row r="2615" spans="31:31" ht="15" customHeight="1">
      <c r="AE2615" s="302"/>
    </row>
    <row r="2616" spans="31:31" ht="15" customHeight="1">
      <c r="AE2616" s="302"/>
    </row>
    <row r="2617" spans="31:31" ht="15" customHeight="1">
      <c r="AE2617" s="302"/>
    </row>
    <row r="2618" spans="31:31" ht="15" customHeight="1">
      <c r="AE2618" s="302"/>
    </row>
    <row r="2619" spans="31:31" ht="15" customHeight="1">
      <c r="AE2619" s="302"/>
    </row>
    <row r="2620" spans="31:31" ht="15" customHeight="1">
      <c r="AE2620" s="302"/>
    </row>
    <row r="2621" spans="31:31" ht="15" customHeight="1">
      <c r="AE2621" s="302"/>
    </row>
    <row r="2622" spans="31:31" ht="15" customHeight="1">
      <c r="AE2622" s="302"/>
    </row>
    <row r="2623" spans="31:31" ht="15" customHeight="1">
      <c r="AE2623" s="302"/>
    </row>
    <row r="2624" spans="31:31" ht="15" customHeight="1">
      <c r="AE2624" s="302"/>
    </row>
    <row r="2625" spans="31:31" ht="15" customHeight="1">
      <c r="AE2625" s="302"/>
    </row>
    <row r="2626" spans="31:31" ht="15" customHeight="1">
      <c r="AE2626" s="302"/>
    </row>
    <row r="2627" spans="31:31" ht="15" customHeight="1">
      <c r="AE2627" s="302"/>
    </row>
    <row r="2628" spans="31:31" ht="15" customHeight="1">
      <c r="AE2628" s="302"/>
    </row>
    <row r="2629" spans="31:31" ht="15" customHeight="1">
      <c r="AE2629" s="302"/>
    </row>
    <row r="2630" spans="31:31" ht="15" customHeight="1">
      <c r="AE2630" s="302"/>
    </row>
    <row r="2631" spans="31:31" ht="15" customHeight="1">
      <c r="AE2631" s="302"/>
    </row>
    <row r="2632" spans="31:31" ht="15" customHeight="1">
      <c r="AE2632" s="302"/>
    </row>
    <row r="2633" spans="31:31" ht="15" customHeight="1">
      <c r="AE2633" s="302"/>
    </row>
    <row r="2634" spans="31:31" ht="15" customHeight="1">
      <c r="AE2634" s="302"/>
    </row>
    <row r="2635" spans="31:31" ht="15" customHeight="1">
      <c r="AE2635" s="302"/>
    </row>
    <row r="2636" spans="31:31" ht="15" customHeight="1">
      <c r="AE2636" s="302"/>
    </row>
    <row r="2637" spans="31:31" ht="15" customHeight="1">
      <c r="AE2637" s="302"/>
    </row>
    <row r="2638" spans="31:31" ht="15" customHeight="1">
      <c r="AE2638" s="302"/>
    </row>
    <row r="2639" spans="31:31" ht="15" customHeight="1">
      <c r="AE2639" s="302"/>
    </row>
    <row r="2640" spans="31:31" ht="15" customHeight="1">
      <c r="AE2640" s="302"/>
    </row>
    <row r="2641" spans="31:31" ht="15" customHeight="1">
      <c r="AE2641" s="302"/>
    </row>
    <row r="2642" spans="31:31" ht="15" customHeight="1">
      <c r="AE2642" s="302"/>
    </row>
    <row r="2643" spans="31:31" ht="15" customHeight="1">
      <c r="AE2643" s="302"/>
    </row>
    <row r="2644" spans="31:31" ht="15" customHeight="1">
      <c r="AE2644" s="302"/>
    </row>
    <row r="2645" spans="31:31" ht="15" customHeight="1">
      <c r="AE2645" s="302"/>
    </row>
    <row r="2646" spans="31:31" ht="15" customHeight="1">
      <c r="AE2646" s="302"/>
    </row>
    <row r="2647" spans="31:31" ht="15" customHeight="1">
      <c r="AE2647" s="302"/>
    </row>
    <row r="2648" spans="31:31" ht="15" customHeight="1">
      <c r="AE2648" s="302"/>
    </row>
    <row r="2649" spans="31:31" ht="15" customHeight="1">
      <c r="AE2649" s="302"/>
    </row>
    <row r="2650" spans="31:31" ht="15" customHeight="1">
      <c r="AE2650" s="302"/>
    </row>
    <row r="2651" spans="31:31" ht="15" customHeight="1">
      <c r="AE2651" s="302"/>
    </row>
    <row r="2652" spans="31:31" ht="15" customHeight="1">
      <c r="AE2652" s="302"/>
    </row>
    <row r="2653" spans="31:31" ht="15" customHeight="1">
      <c r="AE2653" s="302"/>
    </row>
    <row r="2654" spans="31:31" ht="15" customHeight="1">
      <c r="AE2654" s="302"/>
    </row>
    <row r="2655" spans="31:31" ht="15" customHeight="1">
      <c r="AE2655" s="302"/>
    </row>
    <row r="2656" spans="31:31" ht="15" customHeight="1">
      <c r="AE2656" s="302"/>
    </row>
    <row r="2657" spans="31:31" ht="15" customHeight="1">
      <c r="AE2657" s="302"/>
    </row>
    <row r="2658" spans="31:31" ht="15" customHeight="1">
      <c r="AE2658" s="302"/>
    </row>
    <row r="2659" spans="31:31" ht="15" customHeight="1">
      <c r="AE2659" s="302"/>
    </row>
    <row r="2660" spans="31:31" ht="15" customHeight="1">
      <c r="AE2660" s="302"/>
    </row>
    <row r="2661" spans="31:31" ht="15" customHeight="1">
      <c r="AE2661" s="302"/>
    </row>
    <row r="2662" spans="31:31" ht="15" customHeight="1">
      <c r="AE2662" s="302"/>
    </row>
    <row r="2663" spans="31:31" ht="15" customHeight="1">
      <c r="AE2663" s="302"/>
    </row>
    <row r="2664" spans="31:31" ht="15" customHeight="1">
      <c r="AE2664" s="302"/>
    </row>
    <row r="2665" spans="31:31" ht="15" customHeight="1">
      <c r="AE2665" s="302"/>
    </row>
    <row r="2666" spans="31:31" ht="15" customHeight="1">
      <c r="AE2666" s="302"/>
    </row>
    <row r="2667" spans="31:31" ht="15" customHeight="1">
      <c r="AE2667" s="302"/>
    </row>
    <row r="2668" spans="31:31" ht="15" customHeight="1">
      <c r="AE2668" s="302"/>
    </row>
    <row r="2669" spans="31:31" ht="15" customHeight="1">
      <c r="AE2669" s="302"/>
    </row>
    <row r="2670" spans="31:31" ht="15" customHeight="1">
      <c r="AE2670" s="302"/>
    </row>
    <row r="2671" spans="31:31" ht="15" customHeight="1">
      <c r="AE2671" s="302"/>
    </row>
    <row r="2672" spans="31:31" ht="15" customHeight="1">
      <c r="AE2672" s="302"/>
    </row>
    <row r="2673" spans="31:31" ht="15" customHeight="1">
      <c r="AE2673" s="302"/>
    </row>
    <row r="2674" spans="31:31" ht="15" customHeight="1">
      <c r="AE2674" s="302"/>
    </row>
    <row r="2675" spans="31:31" ht="15" customHeight="1">
      <c r="AE2675" s="302"/>
    </row>
    <row r="2676" spans="31:31" ht="15" customHeight="1">
      <c r="AE2676" s="302"/>
    </row>
    <row r="2677" spans="31:31" ht="15" customHeight="1">
      <c r="AE2677" s="302"/>
    </row>
    <row r="2678" spans="31:31" ht="15" customHeight="1">
      <c r="AE2678" s="302"/>
    </row>
    <row r="2679" spans="31:31" ht="15" customHeight="1">
      <c r="AE2679" s="302"/>
    </row>
    <row r="2680" spans="31:31" ht="15" customHeight="1">
      <c r="AE2680" s="302"/>
    </row>
    <row r="2681" spans="31:31" ht="15" customHeight="1">
      <c r="AE2681" s="302"/>
    </row>
    <row r="2682" spans="31:31" ht="15" customHeight="1">
      <c r="AE2682" s="302"/>
    </row>
    <row r="2683" spans="31:31" ht="15" customHeight="1">
      <c r="AE2683" s="302"/>
    </row>
    <row r="2684" spans="31:31" ht="15" customHeight="1">
      <c r="AE2684" s="302"/>
    </row>
    <row r="2685" spans="31:31" ht="15" customHeight="1">
      <c r="AE2685" s="302"/>
    </row>
    <row r="2686" spans="31:31" ht="15" customHeight="1">
      <c r="AE2686" s="302"/>
    </row>
    <row r="2687" spans="31:31" ht="15" customHeight="1">
      <c r="AE2687" s="302"/>
    </row>
    <row r="2688" spans="31:31" ht="15" customHeight="1">
      <c r="AE2688" s="302"/>
    </row>
    <row r="2689" spans="31:31" ht="15" customHeight="1">
      <c r="AE2689" s="302"/>
    </row>
    <row r="2690" spans="31:31" ht="15" customHeight="1">
      <c r="AE2690" s="302"/>
    </row>
    <row r="2691" spans="31:31" ht="15" customHeight="1">
      <c r="AE2691" s="302"/>
    </row>
    <row r="2692" spans="31:31" ht="15" customHeight="1">
      <c r="AE2692" s="302"/>
    </row>
    <row r="2693" spans="31:31" ht="15" customHeight="1">
      <c r="AE2693" s="302"/>
    </row>
    <row r="2694" spans="31:31" ht="15" customHeight="1">
      <c r="AE2694" s="302"/>
    </row>
    <row r="2695" spans="31:31" ht="15" customHeight="1">
      <c r="AE2695" s="302"/>
    </row>
    <row r="2696" spans="31:31" ht="15" customHeight="1">
      <c r="AE2696" s="302"/>
    </row>
    <row r="2697" spans="31:31" ht="15" customHeight="1">
      <c r="AE2697" s="302"/>
    </row>
    <row r="2698" spans="31:31" ht="15" customHeight="1">
      <c r="AE2698" s="302"/>
    </row>
    <row r="2699" spans="31:31" ht="15" customHeight="1">
      <c r="AE2699" s="302"/>
    </row>
    <row r="2700" spans="31:31" ht="15" customHeight="1">
      <c r="AE2700" s="302"/>
    </row>
    <row r="2701" spans="31:31" ht="15" customHeight="1">
      <c r="AE2701" s="302"/>
    </row>
    <row r="2702" spans="31:31" ht="15" customHeight="1">
      <c r="AE2702" s="302"/>
    </row>
    <row r="2703" spans="31:31" ht="15" customHeight="1">
      <c r="AE2703" s="302"/>
    </row>
    <row r="2704" spans="31:31" ht="15" customHeight="1">
      <c r="AE2704" s="302"/>
    </row>
    <row r="2705" spans="31:31" ht="15" customHeight="1">
      <c r="AE2705" s="302"/>
    </row>
    <row r="2706" spans="31:31" ht="15" customHeight="1">
      <c r="AE2706" s="302"/>
    </row>
    <row r="2707" spans="31:31" ht="15" customHeight="1">
      <c r="AE2707" s="302"/>
    </row>
    <row r="2708" spans="31:31" ht="15" customHeight="1">
      <c r="AE2708" s="302"/>
    </row>
    <row r="2709" spans="31:31" ht="15" customHeight="1">
      <c r="AE2709" s="302"/>
    </row>
    <row r="2710" spans="31:31" ht="15" customHeight="1">
      <c r="AE2710" s="302"/>
    </row>
    <row r="2711" spans="31:31" ht="15" customHeight="1">
      <c r="AE2711" s="302"/>
    </row>
    <row r="2712" spans="31:31" ht="15" customHeight="1">
      <c r="AE2712" s="302"/>
    </row>
    <row r="2713" spans="31:31" ht="15" customHeight="1">
      <c r="AE2713" s="302"/>
    </row>
    <row r="2714" spans="31:31" ht="15" customHeight="1">
      <c r="AE2714" s="302"/>
    </row>
    <row r="2715" spans="31:31" ht="15" customHeight="1">
      <c r="AE2715" s="302"/>
    </row>
    <row r="2716" spans="31:31" ht="15" customHeight="1">
      <c r="AE2716" s="302"/>
    </row>
    <row r="2717" spans="31:31" ht="15" customHeight="1">
      <c r="AE2717" s="302"/>
    </row>
    <row r="2718" spans="31:31" ht="15" customHeight="1">
      <c r="AE2718" s="302"/>
    </row>
    <row r="2719" spans="31:31" ht="15" customHeight="1">
      <c r="AE2719" s="302"/>
    </row>
    <row r="2720" spans="31:31" ht="15" customHeight="1">
      <c r="AE2720" s="302"/>
    </row>
    <row r="2721" spans="31:31" ht="15" customHeight="1">
      <c r="AE2721" s="302"/>
    </row>
    <row r="2722" spans="31:31" ht="15" customHeight="1">
      <c r="AE2722" s="302"/>
    </row>
    <row r="2723" spans="31:31" ht="15" customHeight="1">
      <c r="AE2723" s="302"/>
    </row>
    <row r="2724" spans="31:31" ht="15" customHeight="1">
      <c r="AE2724" s="302"/>
    </row>
    <row r="2725" spans="31:31" ht="15" customHeight="1">
      <c r="AE2725" s="302"/>
    </row>
    <row r="2726" spans="31:31" ht="15" customHeight="1">
      <c r="AE2726" s="302"/>
    </row>
    <row r="2727" spans="31:31" ht="15" customHeight="1">
      <c r="AE2727" s="302"/>
    </row>
    <row r="2728" spans="31:31" ht="15" customHeight="1">
      <c r="AE2728" s="302"/>
    </row>
    <row r="2729" spans="31:31" ht="15" customHeight="1">
      <c r="AE2729" s="302"/>
    </row>
    <row r="2730" spans="31:31" ht="15" customHeight="1">
      <c r="AE2730" s="302"/>
    </row>
    <row r="2731" spans="31:31" ht="15" customHeight="1">
      <c r="AE2731" s="302"/>
    </row>
    <row r="2732" spans="31:31" ht="15" customHeight="1">
      <c r="AE2732" s="302"/>
    </row>
    <row r="2733" spans="31:31" ht="15" customHeight="1">
      <c r="AE2733" s="302"/>
    </row>
    <row r="2734" spans="31:31" ht="15" customHeight="1">
      <c r="AE2734" s="302"/>
    </row>
    <row r="2735" spans="31:31" ht="15" customHeight="1">
      <c r="AE2735" s="302"/>
    </row>
    <row r="2736" spans="31:31" ht="15" customHeight="1">
      <c r="AE2736" s="302"/>
    </row>
    <row r="2737" spans="31:31" ht="15" customHeight="1">
      <c r="AE2737" s="302"/>
    </row>
    <row r="2738" spans="31:31" ht="15" customHeight="1">
      <c r="AE2738" s="302"/>
    </row>
    <row r="2739" spans="31:31" ht="15" customHeight="1">
      <c r="AE2739" s="302"/>
    </row>
    <row r="2740" spans="31:31" ht="15" customHeight="1">
      <c r="AE2740" s="302"/>
    </row>
    <row r="2741" spans="31:31" ht="15" customHeight="1">
      <c r="AE2741" s="302"/>
    </row>
    <row r="2742" spans="31:31" ht="15" customHeight="1">
      <c r="AE2742" s="302"/>
    </row>
    <row r="2743" spans="31:31" ht="15" customHeight="1">
      <c r="AE2743" s="302"/>
    </row>
    <row r="2744" spans="31:31" ht="15" customHeight="1">
      <c r="AE2744" s="302"/>
    </row>
    <row r="2745" spans="31:31" ht="15" customHeight="1">
      <c r="AE2745" s="302"/>
    </row>
    <row r="2746" spans="31:31" ht="15" customHeight="1">
      <c r="AE2746" s="302"/>
    </row>
    <row r="2747" spans="31:31" ht="15" customHeight="1">
      <c r="AE2747" s="302"/>
    </row>
    <row r="2748" spans="31:31" ht="15" customHeight="1">
      <c r="AE2748" s="302"/>
    </row>
    <row r="2749" spans="31:31" ht="15" customHeight="1">
      <c r="AE2749" s="302"/>
    </row>
    <row r="2750" spans="31:31" ht="15" customHeight="1">
      <c r="AE2750" s="302"/>
    </row>
    <row r="2751" spans="31:31" ht="15" customHeight="1">
      <c r="AE2751" s="302"/>
    </row>
    <row r="2752" spans="31:31" ht="15" customHeight="1">
      <c r="AE2752" s="302"/>
    </row>
    <row r="2753" spans="31:31" ht="15" customHeight="1">
      <c r="AE2753" s="302"/>
    </row>
    <row r="2754" spans="31:31" ht="15" customHeight="1">
      <c r="AE2754" s="302"/>
    </row>
    <row r="2755" spans="31:31" ht="15" customHeight="1">
      <c r="AE2755" s="302"/>
    </row>
    <row r="2756" spans="31:31" ht="15" customHeight="1">
      <c r="AE2756" s="302"/>
    </row>
    <row r="2757" spans="31:31" ht="15" customHeight="1">
      <c r="AE2757" s="302"/>
    </row>
    <row r="2758" spans="31:31" ht="15" customHeight="1">
      <c r="AE2758" s="302"/>
    </row>
    <row r="2759" spans="31:31" ht="15" customHeight="1">
      <c r="AE2759" s="302"/>
    </row>
    <row r="2760" spans="31:31" ht="15" customHeight="1">
      <c r="AE2760" s="302"/>
    </row>
    <row r="2761" spans="31:31" ht="15" customHeight="1">
      <c r="AE2761" s="302"/>
    </row>
    <row r="2762" spans="31:31" ht="15" customHeight="1">
      <c r="AE2762" s="302"/>
    </row>
    <row r="2763" spans="31:31" ht="15" customHeight="1">
      <c r="AE2763" s="302"/>
    </row>
    <row r="2764" spans="31:31" ht="15" customHeight="1">
      <c r="AE2764" s="302"/>
    </row>
    <row r="2765" spans="31:31" ht="15" customHeight="1">
      <c r="AE2765" s="302"/>
    </row>
    <row r="2766" spans="31:31" ht="15" customHeight="1">
      <c r="AE2766" s="302"/>
    </row>
    <row r="2767" spans="31:31" ht="15" customHeight="1">
      <c r="AE2767" s="302"/>
    </row>
    <row r="2768" spans="31:31" ht="15" customHeight="1">
      <c r="AE2768" s="302"/>
    </row>
    <row r="2769" spans="31:31" ht="15" customHeight="1">
      <c r="AE2769" s="302"/>
    </row>
    <row r="2770" spans="31:31" ht="15" customHeight="1">
      <c r="AE2770" s="302"/>
    </row>
    <row r="2771" spans="31:31" ht="15" customHeight="1">
      <c r="AE2771" s="302"/>
    </row>
    <row r="2772" spans="31:31" ht="15" customHeight="1">
      <c r="AE2772" s="302"/>
    </row>
    <row r="2773" spans="31:31" ht="15" customHeight="1">
      <c r="AE2773" s="302"/>
    </row>
    <row r="2774" spans="31:31" ht="15" customHeight="1">
      <c r="AE2774" s="302"/>
    </row>
    <row r="2775" spans="31:31" ht="15" customHeight="1">
      <c r="AE2775" s="302"/>
    </row>
    <row r="2776" spans="31:31" ht="15" customHeight="1">
      <c r="AE2776" s="302"/>
    </row>
    <row r="2777" spans="31:31" ht="15" customHeight="1">
      <c r="AE2777" s="302"/>
    </row>
    <row r="2778" spans="31:31" ht="15" customHeight="1">
      <c r="AE2778" s="302"/>
    </row>
    <row r="2779" spans="31:31" ht="15" customHeight="1">
      <c r="AE2779" s="302"/>
    </row>
    <row r="2780" spans="31:31" ht="15" customHeight="1">
      <c r="AE2780" s="302"/>
    </row>
    <row r="2781" spans="31:31" ht="15" customHeight="1">
      <c r="AE2781" s="302"/>
    </row>
    <row r="2782" spans="31:31" ht="15" customHeight="1">
      <c r="AE2782" s="302"/>
    </row>
    <row r="2783" spans="31:31" ht="15" customHeight="1">
      <c r="AE2783" s="302"/>
    </row>
    <row r="2784" spans="31:31" ht="15" customHeight="1">
      <c r="AE2784" s="302"/>
    </row>
    <row r="2785" spans="31:31" ht="15" customHeight="1">
      <c r="AE2785" s="302"/>
    </row>
    <row r="2786" spans="31:31" ht="15" customHeight="1">
      <c r="AE2786" s="302"/>
    </row>
    <row r="2787" spans="31:31" ht="15" customHeight="1">
      <c r="AE2787" s="302"/>
    </row>
    <row r="2788" spans="31:31" ht="15" customHeight="1">
      <c r="AE2788" s="302"/>
    </row>
    <row r="2789" spans="31:31" ht="15" customHeight="1">
      <c r="AE2789" s="302"/>
    </row>
    <row r="2790" spans="31:31" ht="15" customHeight="1">
      <c r="AE2790" s="302"/>
    </row>
    <row r="2791" spans="31:31" ht="15" customHeight="1">
      <c r="AE2791" s="302"/>
    </row>
    <row r="2792" spans="31:31" ht="15" customHeight="1">
      <c r="AE2792" s="302"/>
    </row>
    <row r="2793" spans="31:31" ht="15" customHeight="1">
      <c r="AE2793" s="302"/>
    </row>
    <row r="2794" spans="31:31" ht="15" customHeight="1">
      <c r="AE2794" s="302"/>
    </row>
    <row r="2795" spans="31:31" ht="15" customHeight="1">
      <c r="AE2795" s="302"/>
    </row>
    <row r="2796" spans="31:31" ht="15" customHeight="1">
      <c r="AE2796" s="302"/>
    </row>
    <row r="2797" spans="31:31" ht="15" customHeight="1">
      <c r="AE2797" s="302"/>
    </row>
    <row r="2798" spans="31:31" ht="15" customHeight="1">
      <c r="AE2798" s="302"/>
    </row>
    <row r="2799" spans="31:31" ht="15" customHeight="1">
      <c r="AE2799" s="302"/>
    </row>
    <row r="2800" spans="31:31" ht="15" customHeight="1">
      <c r="AE2800" s="302"/>
    </row>
    <row r="2801" spans="31:31" ht="15" customHeight="1">
      <c r="AE2801" s="302"/>
    </row>
    <row r="2802" spans="31:31" ht="15" customHeight="1">
      <c r="AE2802" s="302"/>
    </row>
    <row r="2803" spans="31:31" ht="15" customHeight="1">
      <c r="AE2803" s="302"/>
    </row>
    <row r="2804" spans="31:31" ht="15" customHeight="1">
      <c r="AE2804" s="302"/>
    </row>
    <row r="2805" spans="31:31" ht="15" customHeight="1">
      <c r="AE2805" s="302"/>
    </row>
    <row r="2806" spans="31:31" ht="15" customHeight="1">
      <c r="AE2806" s="302"/>
    </row>
    <row r="2807" spans="31:31" ht="15" customHeight="1">
      <c r="AE2807" s="302"/>
    </row>
    <row r="2808" spans="31:31" ht="15" customHeight="1">
      <c r="AE2808" s="302"/>
    </row>
    <row r="2809" spans="31:31" ht="15" customHeight="1">
      <c r="AE2809" s="302"/>
    </row>
    <row r="2810" spans="31:31" ht="15" customHeight="1">
      <c r="AE2810" s="302"/>
    </row>
    <row r="2811" spans="31:31" ht="15" customHeight="1">
      <c r="AE2811" s="302"/>
    </row>
    <row r="2812" spans="31:31" ht="15" customHeight="1">
      <c r="AE2812" s="302"/>
    </row>
    <row r="2813" spans="31:31" ht="15" customHeight="1">
      <c r="AE2813" s="302"/>
    </row>
    <row r="2814" spans="31:31" ht="15" customHeight="1">
      <c r="AE2814" s="302"/>
    </row>
    <row r="2815" spans="31:31" ht="15" customHeight="1">
      <c r="AE2815" s="302"/>
    </row>
    <row r="2816" spans="31:31" ht="15" customHeight="1">
      <c r="AE2816" s="302"/>
    </row>
    <row r="2817" spans="31:31" ht="15" customHeight="1">
      <c r="AE2817" s="302"/>
    </row>
    <row r="2818" spans="31:31" ht="15" customHeight="1">
      <c r="AE2818" s="302"/>
    </row>
    <row r="2819" spans="31:31" ht="15" customHeight="1">
      <c r="AE2819" s="302"/>
    </row>
    <row r="2820" spans="31:31" ht="15" customHeight="1">
      <c r="AE2820" s="302"/>
    </row>
    <row r="2821" spans="31:31" ht="15" customHeight="1">
      <c r="AE2821" s="302"/>
    </row>
    <row r="2822" spans="31:31" ht="15" customHeight="1">
      <c r="AE2822" s="302"/>
    </row>
    <row r="2823" spans="31:31" ht="15" customHeight="1">
      <c r="AE2823" s="302"/>
    </row>
    <row r="2824" spans="31:31" ht="15" customHeight="1">
      <c r="AE2824" s="302"/>
    </row>
    <row r="2825" spans="31:31" ht="15" customHeight="1">
      <c r="AE2825" s="302"/>
    </row>
    <row r="2826" spans="31:31" ht="15" customHeight="1">
      <c r="AE2826" s="302"/>
    </row>
    <row r="2827" spans="31:31" ht="15" customHeight="1">
      <c r="AE2827" s="302"/>
    </row>
    <row r="2828" spans="31:31" ht="15" customHeight="1">
      <c r="AE2828" s="302"/>
    </row>
    <row r="2829" spans="31:31" ht="15" customHeight="1">
      <c r="AE2829" s="302"/>
    </row>
    <row r="2830" spans="31:31" ht="15" customHeight="1">
      <c r="AE2830" s="302"/>
    </row>
    <row r="2831" spans="31:31" ht="15" customHeight="1">
      <c r="AE2831" s="302"/>
    </row>
    <row r="2832" spans="31:31" ht="15" customHeight="1">
      <c r="AE2832" s="302"/>
    </row>
    <row r="2833" spans="31:31" ht="15" customHeight="1">
      <c r="AE2833" s="302"/>
    </row>
    <row r="2834" spans="31:31" ht="15" customHeight="1">
      <c r="AE2834" s="302"/>
    </row>
    <row r="2835" spans="31:31" ht="15" customHeight="1">
      <c r="AE2835" s="302"/>
    </row>
    <row r="2836" spans="31:31" ht="15" customHeight="1">
      <c r="AE2836" s="302"/>
    </row>
    <row r="2837" spans="31:31" ht="15" customHeight="1">
      <c r="AE2837" s="302"/>
    </row>
    <row r="2838" spans="31:31" ht="15" customHeight="1">
      <c r="AE2838" s="302"/>
    </row>
    <row r="2839" spans="31:31" ht="15" customHeight="1">
      <c r="AE2839" s="302"/>
    </row>
    <row r="2840" spans="31:31" ht="15" customHeight="1">
      <c r="AE2840" s="302"/>
    </row>
    <row r="2841" spans="31:31" ht="15" customHeight="1">
      <c r="AE2841" s="302"/>
    </row>
    <row r="2842" spans="31:31" ht="15" customHeight="1">
      <c r="AE2842" s="302"/>
    </row>
    <row r="2843" spans="31:31" ht="15" customHeight="1">
      <c r="AE2843" s="302"/>
    </row>
    <row r="2844" spans="31:31" ht="15" customHeight="1">
      <c r="AE2844" s="302"/>
    </row>
    <row r="2845" spans="31:31" ht="15" customHeight="1">
      <c r="AE2845" s="302"/>
    </row>
    <row r="2846" spans="31:31" ht="15" customHeight="1">
      <c r="AE2846" s="302"/>
    </row>
    <row r="2847" spans="31:31" ht="15" customHeight="1">
      <c r="AE2847" s="302"/>
    </row>
    <row r="2848" spans="31:31" ht="15" customHeight="1">
      <c r="AE2848" s="302"/>
    </row>
    <row r="2849" spans="31:31" ht="15" customHeight="1">
      <c r="AE2849" s="302"/>
    </row>
    <row r="2850" spans="31:31" ht="15" customHeight="1">
      <c r="AE2850" s="302"/>
    </row>
    <row r="2851" spans="31:31" ht="15" customHeight="1">
      <c r="AE2851" s="302"/>
    </row>
    <row r="2852" spans="31:31" ht="15" customHeight="1">
      <c r="AE2852" s="302"/>
    </row>
    <row r="2853" spans="31:31" ht="15" customHeight="1">
      <c r="AE2853" s="302"/>
    </row>
    <row r="2854" spans="31:31" ht="15" customHeight="1">
      <c r="AE2854" s="302"/>
    </row>
    <row r="2855" spans="31:31" ht="15" customHeight="1">
      <c r="AE2855" s="302"/>
    </row>
    <row r="2856" spans="31:31" ht="15" customHeight="1">
      <c r="AE2856" s="302"/>
    </row>
    <row r="2857" spans="31:31" ht="15" customHeight="1">
      <c r="AE2857" s="302"/>
    </row>
    <row r="2858" spans="31:31" ht="15" customHeight="1">
      <c r="AE2858" s="302"/>
    </row>
    <row r="2859" spans="31:31" ht="15" customHeight="1">
      <c r="AE2859" s="302"/>
    </row>
    <row r="2860" spans="31:31" ht="15" customHeight="1">
      <c r="AE2860" s="302"/>
    </row>
    <row r="2861" spans="31:31" ht="15" customHeight="1">
      <c r="AE2861" s="302"/>
    </row>
    <row r="2862" spans="31:31" ht="15" customHeight="1">
      <c r="AE2862" s="302"/>
    </row>
    <row r="2863" spans="31:31" ht="15" customHeight="1">
      <c r="AE2863" s="302"/>
    </row>
    <row r="2864" spans="31:31" ht="15" customHeight="1">
      <c r="AE2864" s="302"/>
    </row>
    <row r="2865" spans="31:31" ht="15" customHeight="1">
      <c r="AE2865" s="302"/>
    </row>
    <row r="2866" spans="31:31" ht="15" customHeight="1">
      <c r="AE2866" s="302"/>
    </row>
    <row r="2867" spans="31:31" ht="15" customHeight="1">
      <c r="AE2867" s="302"/>
    </row>
    <row r="2868" spans="31:31" ht="15" customHeight="1">
      <c r="AE2868" s="302"/>
    </row>
    <row r="2869" spans="31:31" ht="15" customHeight="1">
      <c r="AE2869" s="302"/>
    </row>
    <row r="2870" spans="31:31" ht="15" customHeight="1">
      <c r="AE2870" s="302"/>
    </row>
    <row r="2871" spans="31:31" ht="15" customHeight="1">
      <c r="AE2871" s="302"/>
    </row>
    <row r="2872" spans="31:31" ht="15" customHeight="1">
      <c r="AE2872" s="302"/>
    </row>
    <row r="2873" spans="31:31" ht="15" customHeight="1">
      <c r="AE2873" s="302"/>
    </row>
    <row r="2874" spans="31:31" ht="15" customHeight="1">
      <c r="AE2874" s="302"/>
    </row>
    <row r="2875" spans="31:31" ht="15" customHeight="1">
      <c r="AE2875" s="302"/>
    </row>
    <row r="2876" spans="31:31" ht="15" customHeight="1">
      <c r="AE2876" s="302"/>
    </row>
    <row r="2877" spans="31:31" ht="15" customHeight="1">
      <c r="AE2877" s="302"/>
    </row>
    <row r="2878" spans="31:31" ht="15" customHeight="1">
      <c r="AE2878" s="302"/>
    </row>
    <row r="2879" spans="31:31" ht="15" customHeight="1">
      <c r="AE2879" s="302"/>
    </row>
    <row r="2880" spans="31:31" ht="15" customHeight="1">
      <c r="AE2880" s="302"/>
    </row>
    <row r="2881" spans="31:31" ht="15" customHeight="1">
      <c r="AE2881" s="302"/>
    </row>
    <row r="2882" spans="31:31" ht="15" customHeight="1">
      <c r="AE2882" s="302"/>
    </row>
    <row r="2883" spans="31:31" ht="15" customHeight="1">
      <c r="AE2883" s="302"/>
    </row>
    <row r="2884" spans="31:31" ht="15" customHeight="1">
      <c r="AE2884" s="302"/>
    </row>
    <row r="2885" spans="31:31" ht="15" customHeight="1">
      <c r="AE2885" s="302"/>
    </row>
    <row r="2886" spans="31:31" ht="15" customHeight="1">
      <c r="AE2886" s="302"/>
    </row>
    <row r="2887" spans="31:31" ht="15" customHeight="1">
      <c r="AE2887" s="302"/>
    </row>
    <row r="2888" spans="31:31" ht="15" customHeight="1">
      <c r="AE2888" s="302"/>
    </row>
    <row r="2889" spans="31:31" ht="15" customHeight="1">
      <c r="AE2889" s="302"/>
    </row>
    <row r="2890" spans="31:31" ht="15" customHeight="1">
      <c r="AE2890" s="302"/>
    </row>
    <row r="2891" spans="31:31" ht="15" customHeight="1">
      <c r="AE2891" s="302"/>
    </row>
    <row r="2892" spans="31:31" ht="15" customHeight="1">
      <c r="AE2892" s="302"/>
    </row>
    <row r="2893" spans="31:31" ht="15" customHeight="1">
      <c r="AE2893" s="302"/>
    </row>
    <row r="2894" spans="31:31" ht="15" customHeight="1">
      <c r="AE2894" s="302"/>
    </row>
    <row r="2895" spans="31:31" ht="15" customHeight="1">
      <c r="AE2895" s="302"/>
    </row>
    <row r="2896" spans="31:31" ht="15" customHeight="1">
      <c r="AE2896" s="302"/>
    </row>
    <row r="2897" spans="31:31" ht="15" customHeight="1">
      <c r="AE2897" s="302"/>
    </row>
    <row r="2898" spans="31:31" ht="15" customHeight="1">
      <c r="AE2898" s="302"/>
    </row>
    <row r="2899" spans="31:31" ht="15" customHeight="1">
      <c r="AE2899" s="302"/>
    </row>
    <row r="2900" spans="31:31" ht="15" customHeight="1">
      <c r="AE2900" s="302"/>
    </row>
    <row r="2901" spans="31:31" ht="15" customHeight="1">
      <c r="AE2901" s="302"/>
    </row>
    <row r="2902" spans="31:31" ht="15" customHeight="1">
      <c r="AE2902" s="302"/>
    </row>
    <row r="2903" spans="31:31" ht="15" customHeight="1">
      <c r="AE2903" s="302"/>
    </row>
    <row r="2904" spans="31:31" ht="15" customHeight="1">
      <c r="AE2904" s="302"/>
    </row>
    <row r="2905" spans="31:31" ht="15" customHeight="1">
      <c r="AE2905" s="302"/>
    </row>
    <row r="2906" spans="31:31" ht="15" customHeight="1">
      <c r="AE2906" s="302"/>
    </row>
    <row r="2907" spans="31:31" ht="15" customHeight="1">
      <c r="AE2907" s="302"/>
    </row>
    <row r="2908" spans="31:31" ht="15" customHeight="1">
      <c r="AE2908" s="302"/>
    </row>
    <row r="2909" spans="31:31" ht="15" customHeight="1">
      <c r="AE2909" s="302"/>
    </row>
    <row r="2910" spans="31:31" ht="15" customHeight="1">
      <c r="AE2910" s="302"/>
    </row>
    <row r="2911" spans="31:31" ht="15" customHeight="1">
      <c r="AE2911" s="302"/>
    </row>
    <row r="2912" spans="31:31" ht="15" customHeight="1">
      <c r="AE2912" s="302"/>
    </row>
    <row r="2913" spans="31:31" ht="15" customHeight="1">
      <c r="AE2913" s="302"/>
    </row>
    <row r="2914" spans="31:31" ht="15" customHeight="1">
      <c r="AE2914" s="302"/>
    </row>
    <row r="2915" spans="31:31" ht="15" customHeight="1">
      <c r="AE2915" s="302"/>
    </row>
    <row r="2916" spans="31:31" ht="15" customHeight="1">
      <c r="AE2916" s="302"/>
    </row>
    <row r="2917" spans="31:31" ht="15" customHeight="1">
      <c r="AE2917" s="302"/>
    </row>
    <row r="2918" spans="31:31" ht="15" customHeight="1">
      <c r="AE2918" s="302"/>
    </row>
    <row r="2919" spans="31:31" ht="15" customHeight="1">
      <c r="AE2919" s="302"/>
    </row>
    <row r="2920" spans="31:31" ht="15" customHeight="1">
      <c r="AE2920" s="302"/>
    </row>
    <row r="2921" spans="31:31" ht="15" customHeight="1">
      <c r="AE2921" s="302"/>
    </row>
    <row r="2922" spans="31:31" ht="15" customHeight="1">
      <c r="AE2922" s="302"/>
    </row>
    <row r="2923" spans="31:31" ht="15" customHeight="1">
      <c r="AE2923" s="302"/>
    </row>
    <row r="2924" spans="31:31" ht="15" customHeight="1">
      <c r="AE2924" s="302"/>
    </row>
    <row r="2925" spans="31:31" ht="15" customHeight="1">
      <c r="AE2925" s="302"/>
    </row>
    <row r="2926" spans="31:31" ht="15" customHeight="1">
      <c r="AE2926" s="302"/>
    </row>
    <row r="2927" spans="31:31" ht="15" customHeight="1">
      <c r="AE2927" s="302"/>
    </row>
    <row r="2928" spans="31:31" ht="15" customHeight="1">
      <c r="AE2928" s="302"/>
    </row>
    <row r="2929" spans="31:31" ht="15" customHeight="1">
      <c r="AE2929" s="302"/>
    </row>
    <row r="2930" spans="31:31" ht="15" customHeight="1">
      <c r="AE2930" s="302"/>
    </row>
    <row r="2931" spans="31:31" ht="15" customHeight="1">
      <c r="AE2931" s="302"/>
    </row>
    <row r="2932" spans="31:31" ht="15" customHeight="1">
      <c r="AE2932" s="302"/>
    </row>
    <row r="2933" spans="31:31" ht="15" customHeight="1">
      <c r="AE2933" s="302"/>
    </row>
    <row r="2934" spans="31:31" ht="15" customHeight="1">
      <c r="AE2934" s="302"/>
    </row>
    <row r="2935" spans="31:31" ht="15" customHeight="1">
      <c r="AE2935" s="302"/>
    </row>
    <row r="2936" spans="31:31" ht="15" customHeight="1">
      <c r="AE2936" s="302"/>
    </row>
    <row r="2937" spans="31:31" ht="15" customHeight="1">
      <c r="AE2937" s="302"/>
    </row>
    <row r="2938" spans="31:31" ht="15" customHeight="1">
      <c r="AE2938" s="302"/>
    </row>
    <row r="2939" spans="31:31" ht="15" customHeight="1">
      <c r="AE2939" s="302"/>
    </row>
    <row r="2940" spans="31:31" ht="15" customHeight="1">
      <c r="AE2940" s="302"/>
    </row>
    <row r="2941" spans="31:31" ht="15" customHeight="1">
      <c r="AE2941" s="302"/>
    </row>
    <row r="2942" spans="31:31" ht="15" customHeight="1">
      <c r="AE2942" s="302"/>
    </row>
    <row r="2943" spans="31:31" ht="15" customHeight="1">
      <c r="AE2943" s="302"/>
    </row>
    <row r="2944" spans="31:31" ht="15" customHeight="1">
      <c r="AE2944" s="302"/>
    </row>
    <row r="2945" spans="31:31" ht="15" customHeight="1">
      <c r="AE2945" s="302"/>
    </row>
    <row r="2946" spans="31:31" ht="15" customHeight="1">
      <c r="AE2946" s="302"/>
    </row>
    <row r="2947" spans="31:31" ht="15" customHeight="1">
      <c r="AE2947" s="302"/>
    </row>
    <row r="2948" spans="31:31" ht="15" customHeight="1">
      <c r="AE2948" s="302"/>
    </row>
    <row r="2949" spans="31:31" ht="15" customHeight="1">
      <c r="AE2949" s="302"/>
    </row>
    <row r="2950" spans="31:31" ht="15" customHeight="1">
      <c r="AE2950" s="302"/>
    </row>
    <row r="2951" spans="31:31" ht="15" customHeight="1">
      <c r="AE2951" s="302"/>
    </row>
    <row r="2952" spans="31:31" ht="15" customHeight="1">
      <c r="AE2952" s="302"/>
    </row>
    <row r="2953" spans="31:31" ht="15" customHeight="1">
      <c r="AE2953" s="302"/>
    </row>
    <row r="2954" spans="31:31" ht="15" customHeight="1">
      <c r="AE2954" s="302"/>
    </row>
    <row r="2955" spans="31:31" ht="15" customHeight="1">
      <c r="AE2955" s="302"/>
    </row>
    <row r="2956" spans="31:31" ht="15" customHeight="1">
      <c r="AE2956" s="302"/>
    </row>
    <row r="2957" spans="31:31" ht="15" customHeight="1">
      <c r="AE2957" s="302"/>
    </row>
    <row r="2958" spans="31:31" ht="15" customHeight="1">
      <c r="AE2958" s="302"/>
    </row>
    <row r="2959" spans="31:31" ht="15" customHeight="1">
      <c r="AE2959" s="302"/>
    </row>
    <row r="2960" spans="31:31" ht="15" customHeight="1">
      <c r="AE2960" s="302"/>
    </row>
    <row r="2961" spans="31:31" ht="15" customHeight="1">
      <c r="AE2961" s="302"/>
    </row>
    <row r="2962" spans="31:31" ht="15" customHeight="1">
      <c r="AE2962" s="302"/>
    </row>
    <row r="2963" spans="31:31" ht="15" customHeight="1">
      <c r="AE2963" s="302"/>
    </row>
    <row r="2964" spans="31:31" ht="15" customHeight="1">
      <c r="AE2964" s="302"/>
    </row>
    <row r="2965" spans="31:31" ht="15" customHeight="1">
      <c r="AE2965" s="302"/>
    </row>
    <row r="2966" spans="31:31" ht="15" customHeight="1">
      <c r="AE2966" s="302"/>
    </row>
    <row r="2967" spans="31:31" ht="15" customHeight="1">
      <c r="AE2967" s="302"/>
    </row>
    <row r="2968" spans="31:31" ht="15" customHeight="1">
      <c r="AE2968" s="302"/>
    </row>
    <row r="2969" spans="31:31" ht="15" customHeight="1">
      <c r="AE2969" s="302"/>
    </row>
    <row r="2970" spans="31:31" ht="15" customHeight="1">
      <c r="AE2970" s="302"/>
    </row>
    <row r="2971" spans="31:31" ht="15" customHeight="1">
      <c r="AE2971" s="302"/>
    </row>
    <row r="2972" spans="31:31" ht="15" customHeight="1">
      <c r="AE2972" s="302"/>
    </row>
    <row r="2973" spans="31:31" ht="15" customHeight="1">
      <c r="AE2973" s="302"/>
    </row>
    <row r="2974" spans="31:31" ht="15" customHeight="1">
      <c r="AE2974" s="302"/>
    </row>
    <row r="2975" spans="31:31" ht="15" customHeight="1">
      <c r="AE2975" s="302"/>
    </row>
    <row r="2976" spans="31:31" ht="15" customHeight="1">
      <c r="AE2976" s="302"/>
    </row>
    <row r="2977" spans="31:31" ht="15" customHeight="1">
      <c r="AE2977" s="302"/>
    </row>
    <row r="2978" spans="31:31" ht="15" customHeight="1">
      <c r="AE2978" s="302"/>
    </row>
    <row r="2979" spans="31:31" ht="15" customHeight="1">
      <c r="AE2979" s="302"/>
    </row>
    <row r="2980" spans="31:31" ht="15" customHeight="1">
      <c r="AE2980" s="302"/>
    </row>
    <row r="2981" spans="31:31" ht="15" customHeight="1">
      <c r="AE2981" s="302"/>
    </row>
    <row r="2982" spans="31:31" ht="15" customHeight="1">
      <c r="AE2982" s="302"/>
    </row>
    <row r="2983" spans="31:31" ht="15" customHeight="1">
      <c r="AE2983" s="302"/>
    </row>
    <row r="2984" spans="31:31" ht="15" customHeight="1">
      <c r="AE2984" s="302"/>
    </row>
    <row r="2985" spans="31:31" ht="15" customHeight="1">
      <c r="AE2985" s="302"/>
    </row>
    <row r="2986" spans="31:31" ht="15" customHeight="1">
      <c r="AE2986" s="302"/>
    </row>
    <row r="2987" spans="31:31" ht="15" customHeight="1">
      <c r="AE2987" s="302"/>
    </row>
    <row r="2988" spans="31:31" ht="15" customHeight="1">
      <c r="AE2988" s="302"/>
    </row>
    <row r="2989" spans="31:31" ht="15" customHeight="1">
      <c r="AE2989" s="302"/>
    </row>
    <row r="2990" spans="31:31" ht="15" customHeight="1">
      <c r="AE2990" s="302"/>
    </row>
    <row r="2991" spans="31:31" ht="15" customHeight="1">
      <c r="AE2991" s="302"/>
    </row>
    <row r="2992" spans="31:31" ht="15" customHeight="1">
      <c r="AE2992" s="302"/>
    </row>
    <row r="2993" spans="31:31" ht="15" customHeight="1">
      <c r="AE2993" s="302"/>
    </row>
    <row r="2994" spans="31:31" ht="15" customHeight="1">
      <c r="AE2994" s="302"/>
    </row>
    <row r="2995" spans="31:31" ht="15" customHeight="1">
      <c r="AE2995" s="302"/>
    </row>
    <row r="2996" spans="31:31" ht="15" customHeight="1">
      <c r="AE2996" s="302"/>
    </row>
    <row r="2997" spans="31:31" ht="15" customHeight="1">
      <c r="AE2997" s="302"/>
    </row>
    <row r="2998" spans="31:31" ht="15" customHeight="1">
      <c r="AE2998" s="302"/>
    </row>
    <row r="2999" spans="31:31" ht="15" customHeight="1">
      <c r="AE2999" s="302"/>
    </row>
    <row r="3000" spans="31:31" ht="15" customHeight="1">
      <c r="AE3000" s="302"/>
    </row>
    <row r="3001" spans="31:31" ht="15" customHeight="1">
      <c r="AE3001" s="302"/>
    </row>
    <row r="3002" spans="31:31" ht="15" customHeight="1">
      <c r="AE3002" s="302"/>
    </row>
    <row r="3003" spans="31:31" ht="15" customHeight="1">
      <c r="AE3003" s="302"/>
    </row>
    <row r="3004" spans="31:31" ht="15" customHeight="1">
      <c r="AE3004" s="302"/>
    </row>
    <row r="3005" spans="31:31" ht="15" customHeight="1">
      <c r="AE3005" s="302"/>
    </row>
    <row r="3006" spans="31:31" ht="15" customHeight="1">
      <c r="AE3006" s="302"/>
    </row>
    <row r="3007" spans="31:31" ht="15" customHeight="1">
      <c r="AE3007" s="302"/>
    </row>
    <row r="3008" spans="31:31" ht="15" customHeight="1">
      <c r="AE3008" s="302"/>
    </row>
    <row r="3009" spans="31:31" ht="15" customHeight="1">
      <c r="AE3009" s="302"/>
    </row>
    <row r="3010" spans="31:31" ht="15" customHeight="1">
      <c r="AE3010" s="302"/>
    </row>
    <row r="3011" spans="31:31" ht="15" customHeight="1">
      <c r="AE3011" s="302"/>
    </row>
    <row r="3012" spans="31:31" ht="15" customHeight="1">
      <c r="AE3012" s="302"/>
    </row>
    <row r="3013" spans="31:31" ht="15" customHeight="1">
      <c r="AE3013" s="302"/>
    </row>
    <row r="3014" spans="31:31" ht="15" customHeight="1">
      <c r="AE3014" s="302"/>
    </row>
    <row r="3015" spans="31:31" ht="15" customHeight="1">
      <c r="AE3015" s="302"/>
    </row>
    <row r="3016" spans="31:31" ht="15" customHeight="1">
      <c r="AE3016" s="302"/>
    </row>
    <row r="3017" spans="31:31" ht="15" customHeight="1">
      <c r="AE3017" s="302"/>
    </row>
    <row r="3018" spans="31:31" ht="15" customHeight="1">
      <c r="AE3018" s="302"/>
    </row>
    <row r="3019" spans="31:31" ht="15" customHeight="1">
      <c r="AE3019" s="302"/>
    </row>
    <row r="3020" spans="31:31" ht="15" customHeight="1">
      <c r="AE3020" s="302"/>
    </row>
    <row r="3021" spans="31:31" ht="15" customHeight="1">
      <c r="AE3021" s="302"/>
    </row>
    <row r="3022" spans="31:31" ht="15" customHeight="1">
      <c r="AE3022" s="302"/>
    </row>
    <row r="3023" spans="31:31" ht="15" customHeight="1">
      <c r="AE3023" s="302"/>
    </row>
    <row r="3024" spans="31:31" ht="15" customHeight="1">
      <c r="AE3024" s="302"/>
    </row>
    <row r="3025" spans="31:31" ht="15" customHeight="1">
      <c r="AE3025" s="302"/>
    </row>
    <row r="3026" spans="31:31" ht="15" customHeight="1">
      <c r="AE3026" s="302"/>
    </row>
    <row r="3027" spans="31:31" ht="15" customHeight="1">
      <c r="AE3027" s="302"/>
    </row>
    <row r="3028" spans="31:31" ht="15" customHeight="1">
      <c r="AE3028" s="302"/>
    </row>
    <row r="3029" spans="31:31" ht="15" customHeight="1">
      <c r="AE3029" s="302"/>
    </row>
    <row r="3030" spans="31:31" ht="15" customHeight="1">
      <c r="AE3030" s="302"/>
    </row>
    <row r="3031" spans="31:31" ht="15" customHeight="1">
      <c r="AE3031" s="302"/>
    </row>
    <row r="3032" spans="31:31" ht="15" customHeight="1">
      <c r="AE3032" s="302"/>
    </row>
    <row r="3033" spans="31:31" ht="15" customHeight="1">
      <c r="AE3033" s="302"/>
    </row>
    <row r="3034" spans="31:31" ht="15" customHeight="1">
      <c r="AE3034" s="302"/>
    </row>
    <row r="3035" spans="31:31" ht="15" customHeight="1">
      <c r="AE3035" s="302"/>
    </row>
    <row r="3036" spans="31:31" ht="15" customHeight="1">
      <c r="AE3036" s="302"/>
    </row>
    <row r="3037" spans="31:31" ht="15" customHeight="1">
      <c r="AE3037" s="302"/>
    </row>
    <row r="3038" spans="31:31" ht="15" customHeight="1">
      <c r="AE3038" s="302"/>
    </row>
    <row r="3039" spans="31:31" ht="15" customHeight="1">
      <c r="AE3039" s="302"/>
    </row>
    <row r="3040" spans="31:31" ht="15" customHeight="1">
      <c r="AE3040" s="302"/>
    </row>
    <row r="3041" spans="31:31" ht="15" customHeight="1">
      <c r="AE3041" s="302"/>
    </row>
    <row r="3042" spans="31:31" ht="15" customHeight="1">
      <c r="AE3042" s="302"/>
    </row>
    <row r="3043" spans="31:31" ht="15" customHeight="1">
      <c r="AE3043" s="302"/>
    </row>
    <row r="3044" spans="31:31" ht="15" customHeight="1">
      <c r="AE3044" s="302"/>
    </row>
    <row r="3045" spans="31:31" ht="15" customHeight="1">
      <c r="AE3045" s="302"/>
    </row>
    <row r="3046" spans="31:31" ht="15" customHeight="1">
      <c r="AE3046" s="302"/>
    </row>
    <row r="3047" spans="31:31" ht="15" customHeight="1">
      <c r="AE3047" s="302"/>
    </row>
    <row r="3048" spans="31:31" ht="15" customHeight="1">
      <c r="AE3048" s="302"/>
    </row>
    <row r="3049" spans="31:31" ht="15" customHeight="1">
      <c r="AE3049" s="302"/>
    </row>
    <row r="3050" spans="31:31" ht="15" customHeight="1">
      <c r="AE3050" s="302"/>
    </row>
    <row r="3051" spans="31:31" ht="15" customHeight="1">
      <c r="AE3051" s="302"/>
    </row>
    <row r="3052" spans="31:31" ht="15" customHeight="1">
      <c r="AE3052" s="302"/>
    </row>
    <row r="3053" spans="31:31" ht="15" customHeight="1">
      <c r="AE3053" s="302"/>
    </row>
    <row r="3054" spans="31:31" ht="15" customHeight="1">
      <c r="AE3054" s="302"/>
    </row>
    <row r="3055" spans="31:31" ht="15" customHeight="1">
      <c r="AE3055" s="302"/>
    </row>
    <row r="3056" spans="31:31" ht="15" customHeight="1">
      <c r="AE3056" s="302"/>
    </row>
    <row r="3057" spans="31:31" ht="15" customHeight="1">
      <c r="AE3057" s="302"/>
    </row>
    <row r="3058" spans="31:31" ht="15" customHeight="1">
      <c r="AE3058" s="302"/>
    </row>
    <row r="3059" spans="31:31" ht="15" customHeight="1">
      <c r="AE3059" s="302"/>
    </row>
    <row r="3060" spans="31:31" ht="15" customHeight="1">
      <c r="AE3060" s="302"/>
    </row>
    <row r="3061" spans="31:31" ht="15" customHeight="1">
      <c r="AE3061" s="302"/>
    </row>
    <row r="3062" spans="31:31" ht="15" customHeight="1">
      <c r="AE3062" s="302"/>
    </row>
    <row r="3063" spans="31:31" ht="15" customHeight="1">
      <c r="AE3063" s="302"/>
    </row>
    <row r="3064" spans="31:31" ht="15" customHeight="1">
      <c r="AE3064" s="302"/>
    </row>
    <row r="3065" spans="31:31" ht="15" customHeight="1">
      <c r="AE3065" s="302"/>
    </row>
    <row r="3066" spans="31:31" ht="15" customHeight="1">
      <c r="AE3066" s="302"/>
    </row>
    <row r="3067" spans="31:31" ht="15" customHeight="1">
      <c r="AE3067" s="302"/>
    </row>
    <row r="3068" spans="31:31" ht="15" customHeight="1">
      <c r="AE3068" s="302"/>
    </row>
    <row r="3069" spans="31:31" ht="15" customHeight="1">
      <c r="AE3069" s="302"/>
    </row>
    <row r="3070" spans="31:31" ht="15" customHeight="1">
      <c r="AE3070" s="302"/>
    </row>
    <row r="3071" spans="31:31" ht="15" customHeight="1">
      <c r="AE3071" s="302"/>
    </row>
    <row r="3072" spans="31:31" ht="15" customHeight="1">
      <c r="AE3072" s="302"/>
    </row>
    <row r="3073" spans="31:31" ht="15" customHeight="1">
      <c r="AE3073" s="302"/>
    </row>
    <row r="3074" spans="31:31" ht="15" customHeight="1">
      <c r="AE3074" s="302"/>
    </row>
    <row r="3075" spans="31:31" ht="15" customHeight="1">
      <c r="AE3075" s="302"/>
    </row>
    <row r="3076" spans="31:31" ht="15" customHeight="1">
      <c r="AE3076" s="302"/>
    </row>
    <row r="3077" spans="31:31" ht="15" customHeight="1">
      <c r="AE3077" s="302"/>
    </row>
    <row r="3078" spans="31:31" ht="15" customHeight="1">
      <c r="AE3078" s="302"/>
    </row>
    <row r="3079" spans="31:31" ht="15" customHeight="1">
      <c r="AE3079" s="302"/>
    </row>
    <row r="3080" spans="31:31" ht="15" customHeight="1">
      <c r="AE3080" s="302"/>
    </row>
    <row r="3081" spans="31:31" ht="15" customHeight="1">
      <c r="AE3081" s="302"/>
    </row>
    <row r="3082" spans="31:31" ht="15" customHeight="1">
      <c r="AE3082" s="302"/>
    </row>
    <row r="3083" spans="31:31" ht="15" customHeight="1">
      <c r="AE3083" s="302"/>
    </row>
    <row r="3084" spans="31:31" ht="15" customHeight="1">
      <c r="AE3084" s="302"/>
    </row>
    <row r="3085" spans="31:31" ht="15" customHeight="1">
      <c r="AE3085" s="302"/>
    </row>
    <row r="1048565" spans="7:10" ht="15" customHeight="1">
      <c r="G1048565" s="328"/>
      <c r="J1048565" s="328"/>
    </row>
    <row r="1048566" spans="7:10" ht="15" customHeight="1">
      <c r="G1048566" s="328"/>
      <c r="J1048566" s="328"/>
    </row>
    <row r="1048567" spans="7:10" ht="15" customHeight="1">
      <c r="G1048567" s="328"/>
      <c r="J1048567" s="328"/>
    </row>
    <row r="1048568" spans="7:10" ht="15" customHeight="1">
      <c r="G1048568" s="328"/>
      <c r="J1048568" s="328"/>
    </row>
    <row r="1048569" spans="7:10" ht="15" customHeight="1">
      <c r="G1048569" s="328"/>
      <c r="J1048569" s="328"/>
    </row>
    <row r="1048570" spans="7:10" ht="15" customHeight="1">
      <c r="G1048570" s="328"/>
      <c r="J1048570" s="328"/>
    </row>
    <row r="1048571" spans="7:10" ht="15" customHeight="1">
      <c r="G1048571" s="328"/>
      <c r="J1048571" s="328"/>
    </row>
    <row r="1048572" spans="7:10" ht="15" customHeight="1">
      <c r="G1048572" s="328"/>
      <c r="J1048572" s="328"/>
    </row>
    <row r="1048573" spans="7:10" ht="15" customHeight="1">
      <c r="G1048573" s="328"/>
      <c r="J1048573" s="328"/>
    </row>
    <row r="1048574" spans="7:10" ht="15" customHeight="1">
      <c r="G1048574" s="328"/>
      <c r="J1048574" s="328"/>
    </row>
    <row r="1048575" spans="7:10" ht="15" customHeight="1">
      <c r="G1048575" s="328"/>
      <c r="J1048575" s="328"/>
    </row>
    <row r="1048576" spans="7:10" ht="15" customHeight="1">
      <c r="G1048576" s="328"/>
      <c r="J1048576" s="328"/>
    </row>
  </sheetData>
  <autoFilter ref="A1:CJ2034" xr:uid="{00000000-0001-0000-0100-000000000000}"/>
  <dataConsolidate/>
  <customSheetViews>
    <customSheetView guid="{C3BDEBE1-7FE5-4B62-8359-C0142BCD2F22}" scale="90" showGridLines="0" filter="1" showAutoFilter="1">
      <selection activeCell="C1" sqref="C1"/>
      <pageMargins left="0" right="0" top="0" bottom="0" header="0" footer="0"/>
      <pageSetup paperSize="9" scale="25" orientation="landscape" r:id="rId1"/>
      <autoFilter ref="A1:BJ1999" xr:uid="{99836EEF-7121-4F3E-8EAF-B4847F28464B}">
        <filterColumn colId="0">
          <filters>
            <filter val="2021"/>
            <filter val="2022"/>
          </filters>
        </filterColumn>
      </autoFilter>
    </customSheetView>
    <customSheetView guid="{220F5BDC-E9AE-407F-A093-9337F2810863}" showPageBreaks="1" showGridLines="0" filter="1" showAutoFilter="1" hiddenColumns="1">
      <selection activeCell="F1852" sqref="F1852"/>
      <pageMargins left="0" right="0" top="0" bottom="0" header="0" footer="0"/>
      <pageSetup paperSize="9" scale="25" orientation="landscape" r:id="rId2"/>
      <autoFilter ref="A1:AT1842" xr:uid="{1579270F-54E8-441D-A716-92EFEEC6CB59}">
        <filterColumn colId="0">
          <filters>
            <filter val="2020"/>
            <filter val="2021"/>
          </filters>
        </filterColumn>
        <filterColumn colId="3">
          <filters>
            <filter val="EN TRÁNSITO"/>
          </filters>
        </filterColumn>
        <filterColumn colId="5">
          <filters>
            <filter val="YARA PERÚ SRL"/>
          </filters>
        </filterColumn>
      </autoFilter>
    </customSheetView>
    <customSheetView guid="{B055717C-E0BF-453A-AEA8-EC68CC771452}" filter="1" showAutoFilter="1">
      <pane xSplit="6" ySplit="1" topLeftCell="O1232" activePane="bottomRight" state="frozen"/>
      <selection pane="bottomRight" activeCell="F1509" sqref="F1509"/>
      <pageMargins left="0" right="0" top="0" bottom="0" header="0" footer="0"/>
      <pageSetup paperSize="9" scale="25" orientation="landscape" r:id="rId3"/>
      <autoFilter ref="A1:AO1504" xr:uid="{D1133828-A432-4CB9-B950-7AE003344E95}">
        <filterColumn colId="0">
          <filters>
            <filter val="2020"/>
            <filter val="2021"/>
          </filters>
        </filterColumn>
        <filterColumn colId="3">
          <filters>
            <filter val="PDTE INGR OC"/>
          </filters>
        </filterColumn>
      </autoFilter>
    </customSheetView>
    <customSheetView guid="{68CC2FEA-F53F-4571-B62F-1D319462DEF1}" filter="1" showAutoFilter="1" hiddenColumns="1">
      <pane xSplit="6" ySplit="1" topLeftCell="S2" activePane="bottomRight" state="frozen"/>
      <selection pane="bottomRight" activeCell="F653" sqref="E653:F653"/>
      <pageMargins left="0" right="0" top="0" bottom="0" header="0" footer="0"/>
      <pageSetup paperSize="9" scale="25" orientation="landscape" r:id="rId4"/>
      <autoFilter ref="A1:AS755" xr:uid="{79FD3ADB-B0F5-4D9B-ACC3-30CA59C4BB4C}">
        <filterColumn colId="26">
          <filters>
            <filter val="PAITA"/>
          </filters>
        </filterColumn>
        <filterColumn colId="30">
          <filters>
            <filter val="ONE"/>
          </filters>
        </filterColumn>
      </autoFilter>
    </customSheetView>
    <customSheetView guid="{F6BC0BF9-6519-4B94-B0E7-47C212373C08}" scale="85" filter="1" showAutoFilter="1" hiddenColumns="1">
      <pane xSplit="6" ySplit="1" topLeftCell="N223" activePane="bottomRight" state="frozen"/>
      <selection pane="bottomRight" activeCell="Q703" sqref="Q703"/>
      <pageMargins left="0" right="0" top="0" bottom="0" header="0" footer="0"/>
      <pageSetup paperSize="9" scale="25" orientation="landscape" r:id="rId5"/>
      <autoFilter ref="A1:AP795" xr:uid="{862B5F91-982E-4928-855B-F1CD1D5A629B}">
        <filterColumn colId="4">
          <filters>
            <filter val="NITRATO DE MAGNESIO HEXAHIDRATADO"/>
          </filters>
        </filterColumn>
        <filterColumn colId="26">
          <filters>
            <filter val="PAITA"/>
          </filters>
        </filterColumn>
      </autoFilter>
    </customSheetView>
    <customSheetView guid="{ADD83179-2936-4280-B4DE-3112CF12D693}" showAutoFilter="1" hiddenColumns="1">
      <pane ySplit="1" topLeftCell="A751" activePane="bottomLeft" state="frozen"/>
      <selection pane="bottomLeft" activeCell="Y1" sqref="Y1"/>
      <pageMargins left="0" right="0" top="0" bottom="0" header="0" footer="0"/>
      <pageSetup paperSize="9" scale="25" orientation="landscape" r:id="rId6"/>
      <autoFilter ref="A1:AJ1210" xr:uid="{F796BE00-9F98-4B12-956A-60C9F3BE0D41}"/>
    </customSheetView>
    <customSheetView guid="{AEFBDBB7-289B-444B-BF38-32A692FA795A}" filter="1" showAutoFilter="1" hiddenColumns="1">
      <pane xSplit="6" ySplit="1202" topLeftCell="R1204" activePane="bottomRight" state="frozen"/>
      <selection pane="bottomRight" activeCell="F1437" sqref="F1437"/>
      <pageMargins left="0" right="0" top="0" bottom="0" header="0" footer="0"/>
      <pageSetup paperSize="9" scale="25" orientation="landscape" r:id="rId7"/>
      <autoFilter ref="A1:AO1428" xr:uid="{FC3B4C27-DE8B-409D-B999-3001C75184E0}">
        <filterColumn colId="0">
          <filters blank="1">
            <filter val="2020"/>
            <filter val="2021"/>
          </filters>
        </filterColumn>
        <filterColumn colId="3">
          <filters>
            <filter val="EN DESCARGA"/>
          </filters>
        </filterColumn>
      </autoFilter>
    </customSheetView>
    <customSheetView guid="{498F950A-284B-4B7A-9B00-46A2CF82C173}" scale="85" showAutoFilter="1">
      <pane xSplit="6" ySplit="1315" topLeftCell="J1317" activePane="bottomRight" state="frozen"/>
      <selection pane="bottomRight" activeCell="L1544" sqref="L1544"/>
      <pageMargins left="0" right="0" top="0" bottom="0" header="0" footer="0"/>
      <pageSetup paperSize="9" scale="25" orientation="landscape" r:id="rId8"/>
      <autoFilter ref="A1:AO1543" xr:uid="{1EBC8F1F-2866-4995-B407-93775A5EE6C3}"/>
    </customSheetView>
    <customSheetView guid="{CC36E1BD-DF5E-4D5B-9FC2-B924ABF96C1E}" showGridLines="0" filter="1" showAutoFilter="1" hiddenColumns="1" topLeftCell="A824">
      <pane xSplit="5" topLeftCell="F1" activePane="topRight" state="frozen"/>
      <selection pane="topRight" activeCell="F816" sqref="F816"/>
      <pageMargins left="0" right="0" top="0" bottom="0" header="0" footer="0"/>
      <pageSetup paperSize="9" scale="25" orientation="landscape" r:id="rId9"/>
      <autoFilter ref="A1:AR1637" xr:uid="{6E16EDD7-2B69-425C-AD61-5A542886CBBC}">
        <filterColumn colId="0">
          <filters>
            <filter val="2020"/>
            <filter val="2021"/>
          </filters>
        </filterColumn>
      </autoFilter>
    </customSheetView>
    <customSheetView guid="{E2CEA185-21A6-4032-89CA-3467498190CE}" scale="80" showPageBreaks="1" filter="1" showAutoFilter="1">
      <selection activeCell="A1342" sqref="A1342"/>
      <pageMargins left="0" right="0" top="0" bottom="0" header="0" footer="0"/>
      <pageSetup paperSize="9" scale="25" orientation="landscape" r:id="rId10"/>
      <autoFilter ref="A1:AR1639" xr:uid="{6C1C7FD6-28B5-4B1B-9548-A8FA1C59B139}">
        <filterColumn colId="0">
          <filters>
            <filter val="2020"/>
            <filter val="2021"/>
          </filters>
        </filterColumn>
        <filterColumn colId="3">
          <filters>
            <filter val="EN TRÁNSITO"/>
          </filters>
        </filterColumn>
        <filterColumn colId="5">
          <filters>
            <filter val="WEGROW AG"/>
          </filters>
        </filterColumn>
      </autoFilter>
    </customSheetView>
    <customSheetView guid="{3AED3352-1813-42FB-AD00-B0300DBB9DDD}" showGridLines="0" filter="1" showAutoFilter="1" topLeftCell="A1675">
      <selection activeCell="F1701" sqref="F1701"/>
      <pageMargins left="0" right="0" top="0" bottom="0" header="0" footer="0"/>
      <pageSetup paperSize="9" scale="25" orientation="landscape" r:id="rId11"/>
      <autoFilter ref="A1:AS1792" xr:uid="{71044A4C-10EC-406E-A3A0-C405EC39B6BC}">
        <filterColumn colId="27">
          <filters>
            <dateGroupItem year="2021" month="11" dateTimeGrouping="month"/>
          </filters>
        </filterColumn>
      </autoFilter>
    </customSheetView>
    <customSheetView guid="{47D365F7-A5C0-4967-9195-712416C433A6}" scale="115" showGridLines="0" filter="1" showAutoFilter="1" hiddenColumns="1" topLeftCell="N1">
      <selection activeCell="AF1862" sqref="AF1862"/>
      <pageMargins left="0" right="0" top="0" bottom="0" header="0" footer="0"/>
      <pageSetup paperSize="9" scale="25" orientation="landscape" r:id="rId12"/>
      <autoFilter ref="A1:AY1920" xr:uid="{1F4D4FD5-1631-439A-BF8F-906B56AFA48A}">
        <filterColumn colId="2">
          <filters>
            <filter val="MF-296/21"/>
            <filter val="MF-296A/20"/>
            <filter val="MF-296B/20"/>
            <filter val="MF-296C/20"/>
            <filter val="MF-296D/20"/>
            <filter val="MF-296E/20"/>
          </filters>
        </filterColumn>
      </autoFilter>
    </customSheetView>
    <customSheetView guid="{033F40BA-1316-4994-A3E1-6A590246BC17}" scale="98" showAutoFilter="1">
      <pane xSplit="4" topLeftCell="E1" activePane="topRight" state="frozen"/>
      <selection pane="topRight" activeCell="H13" sqref="H13"/>
      <pageMargins left="0" right="0" top="0" bottom="0" header="0" footer="0"/>
      <pageSetup paperSize="9" scale="25" orientation="landscape" r:id="rId13"/>
      <autoFilter ref="A1:BA1968" xr:uid="{CDEFA9D5-FCFD-489C-B9B1-88FFFC42C21F}"/>
    </customSheetView>
    <customSheetView guid="{B8744A8F-5701-468A-980B-669E92146399}" scale="98" showGridLines="0" filter="1" showAutoFilter="1" topLeftCell="AC1">
      <pane ySplit="1978" topLeftCell="A1980" activePane="bottomLeft" state="frozen"/>
      <selection pane="bottomLeft" activeCell="AI1981" sqref="AI1981"/>
      <pageMargins left="0" right="0" top="0" bottom="0" header="0" footer="0"/>
      <pageSetup paperSize="9" scale="25" orientation="landscape" r:id="rId14"/>
      <autoFilter ref="A1:BE1980" xr:uid="{8DF6E074-04DD-4EA4-A772-981F9A955961}">
        <filterColumn colId="0">
          <filters>
            <filter val="2021"/>
            <filter val="2022"/>
          </filters>
        </filterColumn>
        <filterColumn colId="2">
          <filters>
            <filter val="MF-027/22"/>
          </filters>
        </filterColumn>
      </autoFilter>
    </customSheetView>
    <customSheetView guid="{49F08520-9D55-4669-904F-FCC3B78183BE}" showGridLines="0" filter="1" showAutoFilter="1">
      <pageMargins left="0" right="0" top="0" bottom="0" header="0" footer="0"/>
      <pageSetup paperSize="9" scale="25" orientation="landscape" r:id="rId15"/>
      <autoFilter ref="A1:BJ1980" xr:uid="{B9E6DD03-FF45-477F-8B34-CF4EA0B6AD6D}">
        <filterColumn colId="2">
          <filters>
            <filter val="MF-227/20"/>
            <filter val="MF-227/21"/>
          </filters>
        </filterColumn>
      </autoFilter>
    </customSheetView>
    <customSheetView guid="{64DD6D4C-DC7E-42A4-8293-23757F1E95CA}" showGridLines="0" filter="1" showAutoFilter="1" hiddenColumns="1">
      <selection activeCell="E1987" sqref="E1987"/>
      <pageMargins left="0" right="0" top="0" bottom="0" header="0" footer="0"/>
      <pageSetup paperSize="9" scale="25" orientation="landscape" r:id="rId16"/>
      <autoFilter ref="A1:BI1981" xr:uid="{7608DDAB-B20D-47B6-84E9-B2D9F9FBA1EC}">
        <filterColumn colId="3">
          <filters>
            <filter val="EN DESCARGA"/>
          </filters>
        </filterColumn>
      </autoFilter>
    </customSheetView>
    <customSheetView guid="{20DDCD40-9DEC-4E0C-BDFD-5753C11CFC19}" scale="95" showGridLines="0" filter="1" showAutoFilter="1" hiddenColumns="1" topLeftCell="Z1880">
      <selection activeCell="AH2002" sqref="AH2002"/>
      <pageMargins left="0" right="0" top="0" bottom="0" header="0" footer="0"/>
      <pageSetup paperSize="9" scale="25" orientation="landscape" r:id="rId17"/>
      <autoFilter ref="A1:BJ1999" xr:uid="{B585A558-77D9-4CED-AFEB-57865CAFB1D9}">
        <filterColumn colId="4">
          <filters>
            <filter val="NITRATO CALCIO POLVO SOL"/>
            <filter val="NITRATO DE AMONIO"/>
            <filter val="NITRATO DE CALCIO"/>
            <filter val="NITRATO DE CALCIO PREMIUM"/>
            <filter val="NITRATO DE MAGNESIO HEXAHIDRATADO"/>
            <filter val="NITRATO DE POTASIO CRISTALIZADO"/>
            <filter val="NITRATO DE POTASIO CRISTALIZADO (BIG BAG)"/>
            <filter val="NITRATO DE POTASIO CRISTALIZADO ÁCIDO X25KG"/>
            <filter val="NITRATO DE SULFATO DE AMONIO"/>
            <filter val="SAL DOBLE DE NITRATO DE CALCIO Y AMONIO"/>
          </filters>
        </filterColumn>
      </autoFilter>
    </customSheetView>
    <customSheetView guid="{4E878A97-87CB-403A-861C-A937390C8303}" scale="106" showGridLines="0" filter="1" showAutoFilter="1">
      <selection activeCell="C1934" sqref="C1934"/>
      <pageMargins left="0" right="0" top="0" bottom="0" header="0" footer="0"/>
      <pageSetup paperSize="9" scale="25" orientation="landscape" r:id="rId18"/>
      <autoFilter ref="A1:BJ1999" xr:uid="{40A8DAB6-208E-4D26-935D-77907FE24844}">
        <filterColumn colId="0">
          <filters>
            <filter val="2021"/>
            <filter val="2022"/>
          </filters>
        </filterColumn>
        <filterColumn colId="2">
          <filters>
            <filter val="MF-029B/22"/>
          </filters>
        </filterColumn>
      </autoFilter>
    </customSheetView>
    <customSheetView guid="{FAB61CF4-5569-4DB9-9F8E-D118164D900A}" scale="90" showGridLines="0">
      <pane xSplit="6" ySplit="1" topLeftCell="AP1897" activePane="bottomRight" state="frozen"/>
      <selection pane="bottomRight" activeCell="E1905" sqref="E1905"/>
      <pageMargins left="0" right="0" top="0" bottom="0" header="0" footer="0"/>
      <pageSetup paperSize="9" scale="25" orientation="landscape" r:id="rId19"/>
    </customSheetView>
  </customSheetViews>
  <mergeCells count="7">
    <mergeCell ref="T244:U244"/>
    <mergeCell ref="T249:U249"/>
    <mergeCell ref="T237:U237"/>
    <mergeCell ref="T238:U238"/>
    <mergeCell ref="T241:U241"/>
    <mergeCell ref="T242:U242"/>
    <mergeCell ref="T243:U243"/>
  </mergeCells>
  <conditionalFormatting sqref="AW2010:AX2010 AZ2010:AZ2014 AW2008:AZ2009 AQ2018 AW2011:AY2014 BO2014 BA2008:BC2014 AQ2020:AQ2032 AU2030:BC1048576 AQ2035:AQ1048576 AW2015:BC2029 AK2004 BH2003:BI2004 BH2005:BJ2006 AU2008:AV2029 BE2007:BJ1048576 AQ1983:AQ1984 AW1982:AX1982 AW1983:BC1983 AW1984:AX1996 AZ1984:BC1984 BE1983:BE1996 BO1972:BO1974 AY1984:AY1988 AY1993:AY1996 AQ1974:AQ1981 BE1983:BJ1984 AW1997:BC1999 BE2001:BG2006 BE1997:BJ2000 AU2000:BC2007 AQ1997:AQ2014 BH2001:BJ2002 BO1932:BO1933 BO1924 BQ1926 BS1926:BT1926 BB1735:BB1738 AO1314 AQ1315:AQ1559 AQ1739:AQ1807 AQ1588:AQ1734 AQ2:AQ1313 AQ1:AY1 AU2:AY2 AW1588:BC1734 AZ1:BC1313 AW1739:BC1807 AW1845:BC1845 AP1839 AW3:AY1313 AU3:AV1845 AQ1816:AQ1843 AW1816:BC1843 AU1847:AV1941 AQ1845:AQ1901 AU1846:BC1846 BQ1928 BS1928 BE1816:BJ1843 BE1315:BJ1559 BE1:BJ1313 BE1588:BJ1734 AW1315:BC1559 BE1845:BJ1901 AW1903:BC1941 BE1739:BJ1807 AW1847:BC1901 AW1943:BC1981 AU1943:AV1999 AQ1903:AQ1972 AU1942:BC1942 BE1903:BJ1981">
    <cfRule type="cellIs" dxfId="1472" priority="487" operator="between">
      <formula>TODAY()</formula>
      <formula>TODAY()+7</formula>
    </cfRule>
    <cfRule type="expression" dxfId="1471" priority="488">
      <formula>$AQ:$AQ&lt;(TODAY()+10)</formula>
    </cfRule>
  </conditionalFormatting>
  <conditionalFormatting sqref="AQ1034:AQ1035 AW1034:BC1035 BE1034:BJ1035">
    <cfRule type="cellIs" dxfId="1470" priority="475" operator="between">
      <formula>TODAY()</formula>
      <formula>TODAY()+7</formula>
    </cfRule>
  </conditionalFormatting>
  <conditionalFormatting sqref="AX8:AY21 AX108:AY108 AX115:AY115 AX137:AY137 AX30:AY46">
    <cfRule type="cellIs" dxfId="1469" priority="468" stopIfTrue="1" operator="between">
      <formula>TODAY()</formula>
      <formula>+TODAY()+7</formula>
    </cfRule>
  </conditionalFormatting>
  <conditionalFormatting sqref="CG985:CG1005 AW985:BC1005 BO985:BU1005 CI985:CJ1005 BE985:BJ1005">
    <cfRule type="timePeriod" dxfId="1468" priority="461" timePeriod="lastWeek">
      <formula>AND(TODAY()-ROUNDDOWN(AW985,0)&gt;=(WEEKDAY(TODAY())),TODAY()-ROUNDDOWN(AW985,0)&lt;(WEEKDAY(TODAY())+7))</formula>
    </cfRule>
  </conditionalFormatting>
  <conditionalFormatting sqref="CI1081:CJ1081 AW1081:BC1081 BE1081:BJ1081">
    <cfRule type="cellIs" dxfId="1467" priority="459" stopIfTrue="1" operator="between">
      <formula>TODAY()</formula>
      <formula>TODAY()+7</formula>
    </cfRule>
  </conditionalFormatting>
  <conditionalFormatting sqref="D1983:F1984 E1795:F1795 D1999 D2011:F2014 E1858:F1858 E1922:F1923 D1:F1484 D1486:F1652 D1654:F1713 D1715:F1727 D1730:F1794 D1796:F1857 D2020:F1048576 E2010:F2014 E1979:F2006 D1924:F1972 D1974:F1981 D2002:F2009 D1859:F1921">
    <cfRule type="containsText" dxfId="1466" priority="457" operator="containsText" text="REEMPLAZADO">
      <formula>NOT(ISERROR(SEARCH("REEMPLAZADO",D1)))</formula>
    </cfRule>
    <cfRule type="containsText" dxfId="1465" priority="458" operator="containsText" text="CANCELADO">
      <formula>NOT(ISERROR(SEARCH("CANCELADO",D1)))</formula>
    </cfRule>
  </conditionalFormatting>
  <conditionalFormatting sqref="D1485:F1485">
    <cfRule type="containsText" dxfId="1464" priority="455" operator="containsText" text="REEMPLAZADO">
      <formula>NOT(ISERROR(SEARCH("REEMPLAZADO",D1485)))</formula>
    </cfRule>
    <cfRule type="containsText" dxfId="1463" priority="456" operator="containsText" text="CANCELADO">
      <formula>NOT(ISERROR(SEARCH("CANCELADO",D1485)))</formula>
    </cfRule>
  </conditionalFormatting>
  <conditionalFormatting sqref="D1653:F1653">
    <cfRule type="containsText" dxfId="1462" priority="451" operator="containsText" text="REEMPLAZADO">
      <formula>NOT(ISERROR(SEARCH("REEMPLAZADO",D1653)))</formula>
    </cfRule>
    <cfRule type="containsText" dxfId="1461" priority="452" operator="containsText" text="CANCELADO">
      <formula>NOT(ISERROR(SEARCH("CANCELADO",D1653)))</formula>
    </cfRule>
  </conditionalFormatting>
  <conditionalFormatting sqref="D1982:F1982">
    <cfRule type="containsText" dxfId="1460" priority="421" operator="containsText" text="REEMPLAZADO">
      <formula>NOT(ISERROR(SEARCH("REEMPLAZADO",D1982)))</formula>
    </cfRule>
    <cfRule type="containsText" dxfId="1459" priority="422" operator="containsText" text="CANCELADO">
      <formula>NOT(ISERROR(SEARCH("CANCELADO",D1982)))</formula>
    </cfRule>
  </conditionalFormatting>
  <conditionalFormatting sqref="D1996:F1996">
    <cfRule type="containsText" dxfId="1458" priority="401" operator="containsText" text="REEMPLAZADO">
      <formula>NOT(ISERROR(SEARCH("REEMPLAZADO",D1996)))</formula>
    </cfRule>
    <cfRule type="containsText" dxfId="1457" priority="402" operator="containsText" text="CANCELADO">
      <formula>NOT(ISERROR(SEARCH("CANCELADO",D1996)))</formula>
    </cfRule>
  </conditionalFormatting>
  <conditionalFormatting sqref="D1985:F1988 E1985:F1992">
    <cfRule type="containsText" dxfId="1456" priority="393" operator="containsText" text="REEMPLAZADO">
      <formula>NOT(ISERROR(SEARCH("REEMPLAZADO",D1985)))</formula>
    </cfRule>
    <cfRule type="containsText" dxfId="1455" priority="394" operator="containsText" text="CANCELADO">
      <formula>NOT(ISERROR(SEARCH("CANCELADO",D1985)))</formula>
    </cfRule>
  </conditionalFormatting>
  <conditionalFormatting sqref="D1989:F1995">
    <cfRule type="containsText" dxfId="1454" priority="385" operator="containsText" text="REEMPLAZADO">
      <formula>NOT(ISERROR(SEARCH("REEMPLAZADO",D1989)))</formula>
    </cfRule>
    <cfRule type="containsText" dxfId="1453" priority="386" operator="containsText" text="CANCELADO">
      <formula>NOT(ISERROR(SEARCH("CANCELADO",D1989)))</formula>
    </cfRule>
  </conditionalFormatting>
  <conditionalFormatting sqref="D1997">
    <cfRule type="containsText" dxfId="1452" priority="365" operator="containsText" text="REEMPLAZADO">
      <formula>NOT(ISERROR(SEARCH("REEMPLAZADO",D1997)))</formula>
    </cfRule>
    <cfRule type="containsText" dxfId="1451" priority="366" operator="containsText" text="CANCELADO">
      <formula>NOT(ISERROR(SEARCH("CANCELADO",D1997)))</formula>
    </cfRule>
  </conditionalFormatting>
  <conditionalFormatting sqref="D1998:D1999 D2000:F2001">
    <cfRule type="containsText" dxfId="1450" priority="353" operator="containsText" text="REEMPLAZADO">
      <formula>NOT(ISERROR(SEARCH("REEMPLAZADO",D1998)))</formula>
    </cfRule>
    <cfRule type="containsText" dxfId="1449" priority="354" operator="containsText" text="CANCELADO">
      <formula>NOT(ISERROR(SEARCH("CANCELADO",D1998)))</formula>
    </cfRule>
  </conditionalFormatting>
  <conditionalFormatting sqref="CH985:CH1005">
    <cfRule type="timePeriod" dxfId="1448" priority="280" timePeriod="lastWeek">
      <formula>AND(TODAY()-ROUNDDOWN(CH985,0)&gt;=(WEEKDAY(TODAY())),TODAY()-ROUNDDOWN(CH985,0)&lt;(WEEKDAY(TODAY())+7))</formula>
    </cfRule>
  </conditionalFormatting>
  <conditionalFormatting sqref="F985:F1005">
    <cfRule type="timePeriod" dxfId="1447" priority="279" timePeriod="lastWeek">
      <formula>AND(TODAY()-ROUNDDOWN(F985,0)&gt;=(WEEKDAY(TODAY())),TODAY()-ROUNDDOWN(F985,0)&lt;(WEEKDAY(TODAY())+7))</formula>
    </cfRule>
  </conditionalFormatting>
  <conditionalFormatting sqref="D1795">
    <cfRule type="containsText" dxfId="1446" priority="277" operator="containsText" text="REEMPLAZADO">
      <formula>NOT(ISERROR(SEARCH("REEMPLAZADO",D1795)))</formula>
    </cfRule>
    <cfRule type="containsText" dxfId="1445" priority="278" operator="containsText" text="CANCELADO">
      <formula>NOT(ISERROR(SEARCH("CANCELADO",D1795)))</formula>
    </cfRule>
  </conditionalFormatting>
  <conditionalFormatting sqref="D1922">
    <cfRule type="containsText" dxfId="1444" priority="275" operator="containsText" text="REEMPLAZADO">
      <formula>NOT(ISERROR(SEARCH("REEMPLAZADO",D1922)))</formula>
    </cfRule>
    <cfRule type="containsText" dxfId="1443" priority="276" operator="containsText" text="CANCELADO">
      <formula>NOT(ISERROR(SEARCH("CANCELADO",D1922)))</formula>
    </cfRule>
  </conditionalFormatting>
  <conditionalFormatting sqref="D2010">
    <cfRule type="containsText" dxfId="1442" priority="273" operator="containsText" text="REEMPLAZADO">
      <formula>NOT(ISERROR(SEARCH("REEMPLAZADO",D2010)))</formula>
    </cfRule>
    <cfRule type="containsText" dxfId="1441" priority="274" operator="containsText" text="CANCELADO">
      <formula>NOT(ISERROR(SEARCH("CANCELADO",D2010)))</formula>
    </cfRule>
  </conditionalFormatting>
  <conditionalFormatting sqref="D1858">
    <cfRule type="containsText" dxfId="1440" priority="245" operator="containsText" text="REEMPLAZADO">
      <formula>NOT(ISERROR(SEARCH("REEMPLAZADO",D1858)))</formula>
    </cfRule>
    <cfRule type="containsText" dxfId="1439" priority="246" operator="containsText" text="CANCELADO">
      <formula>NOT(ISERROR(SEARCH("CANCELADO",D1858)))</formula>
    </cfRule>
  </conditionalFormatting>
  <conditionalFormatting sqref="D1923">
    <cfRule type="containsText" dxfId="1438" priority="243" operator="containsText" text="REEMPLAZADO">
      <formula>NOT(ISERROR(SEARCH("REEMPLAZADO",D1923)))</formula>
    </cfRule>
    <cfRule type="containsText" dxfId="1437" priority="244" operator="containsText" text="CANCELADO">
      <formula>NOT(ISERROR(SEARCH("CANCELADO",D1923)))</formula>
    </cfRule>
  </conditionalFormatting>
  <conditionalFormatting sqref="E1997:F1999">
    <cfRule type="containsText" dxfId="1436" priority="239" operator="containsText" text="REEMPLAZADO">
      <formula>NOT(ISERROR(SEARCH("REEMPLAZADO",E1997)))</formula>
    </cfRule>
    <cfRule type="containsText" dxfId="1435" priority="240" operator="containsText" text="CANCELADO">
      <formula>NOT(ISERROR(SEARCH("CANCELADO",E1997)))</formula>
    </cfRule>
  </conditionalFormatting>
  <conditionalFormatting sqref="D1973:F1973">
    <cfRule type="containsText" dxfId="1434" priority="217" operator="containsText" text="REEMPLAZADO">
      <formula>NOT(ISERROR(SEARCH("REEMPLAZADO",D1973)))</formula>
    </cfRule>
    <cfRule type="containsText" dxfId="1433" priority="218" operator="containsText" text="CANCELADO">
      <formula>NOT(ISERROR(SEARCH("CANCELADO",D1973)))</formula>
    </cfRule>
  </conditionalFormatting>
  <conditionalFormatting sqref="D2015:E2015">
    <cfRule type="containsText" dxfId="1432" priority="205" operator="containsText" text="REEMPLAZADO">
      <formula>NOT(ISERROR(SEARCH("REEMPLAZADO",D2015)))</formula>
    </cfRule>
    <cfRule type="containsText" dxfId="1431" priority="206" operator="containsText" text="CANCELADO">
      <formula>NOT(ISERROR(SEARCH("CANCELADO",D2015)))</formula>
    </cfRule>
  </conditionalFormatting>
  <conditionalFormatting sqref="D2017:E2017">
    <cfRule type="containsText" dxfId="1430" priority="191" operator="containsText" text="REEMPLAZADO">
      <formula>NOT(ISERROR(SEARCH("REEMPLAZADO",D2017)))</formula>
    </cfRule>
    <cfRule type="containsText" dxfId="1429" priority="192" operator="containsText" text="CANCELADO">
      <formula>NOT(ISERROR(SEARCH("CANCELADO",D2017)))</formula>
    </cfRule>
  </conditionalFormatting>
  <conditionalFormatting sqref="E2018">
    <cfRule type="containsText" dxfId="1428" priority="169" operator="containsText" text="REEMPLAZADO">
      <formula>NOT(ISERROR(SEARCH("REEMPLAZADO",E2018)))</formula>
    </cfRule>
    <cfRule type="containsText" dxfId="1427" priority="170" operator="containsText" text="CANCELADO">
      <formula>NOT(ISERROR(SEARCH("CANCELADO",E2018)))</formula>
    </cfRule>
  </conditionalFormatting>
  <conditionalFormatting sqref="D2018">
    <cfRule type="containsText" dxfId="1426" priority="155" operator="containsText" text="REEMPLAZADO">
      <formula>NOT(ISERROR(SEARCH("REEMPLAZADO",D2018)))</formula>
    </cfRule>
    <cfRule type="containsText" dxfId="1425" priority="156" operator="containsText" text="CANCELADO">
      <formula>NOT(ISERROR(SEARCH("CANCELADO",D2018)))</formula>
    </cfRule>
  </conditionalFormatting>
  <conditionalFormatting sqref="D2016:E2016">
    <cfRule type="containsText" dxfId="1424" priority="149" operator="containsText" text="REEMPLAZADO">
      <formula>NOT(ISERROR(SEARCH("REEMPLAZADO",D2016)))</formula>
    </cfRule>
    <cfRule type="containsText" dxfId="1423" priority="150" operator="containsText" text="CANCELADO">
      <formula>NOT(ISERROR(SEARCH("CANCELADO",D2016)))</formula>
    </cfRule>
  </conditionalFormatting>
  <conditionalFormatting sqref="E2019">
    <cfRule type="containsText" dxfId="1422" priority="137" operator="containsText" text="REEMPLAZADO">
      <formula>NOT(ISERROR(SEARCH("REEMPLAZADO",E2019)))</formula>
    </cfRule>
    <cfRule type="containsText" dxfId="1421" priority="138" operator="containsText" text="CANCELADO">
      <formula>NOT(ISERROR(SEARCH("CANCELADO",E2019)))</formula>
    </cfRule>
  </conditionalFormatting>
  <conditionalFormatting sqref="D2019">
    <cfRule type="containsText" dxfId="1420" priority="119" operator="containsText" text="REEMPLAZADO">
      <formula>NOT(ISERROR(SEARCH("REEMPLAZADO",D2019)))</formula>
    </cfRule>
    <cfRule type="containsText" dxfId="1419" priority="120" operator="containsText" text="CANCELADO">
      <formula>NOT(ISERROR(SEARCH("CANCELADO",D2019)))</formula>
    </cfRule>
  </conditionalFormatting>
  <conditionalFormatting sqref="BQ1973">
    <cfRule type="cellIs" dxfId="1418" priority="11" operator="between">
      <formula>TODAY()</formula>
      <formula>TODAY()+7</formula>
    </cfRule>
    <cfRule type="expression" dxfId="1417" priority="12">
      <formula>$AQ:$AQ&lt;(TODAY()+10)</formula>
    </cfRule>
  </conditionalFormatting>
  <conditionalFormatting sqref="BS1973:BT1973">
    <cfRule type="cellIs" dxfId="1416" priority="5" operator="between">
      <formula>TODAY()</formula>
      <formula>TODAY()+7</formula>
    </cfRule>
    <cfRule type="expression" dxfId="1415" priority="6">
      <formula>$AQ:$AQ&lt;(TODAY()+10)</formula>
    </cfRule>
  </conditionalFormatting>
  <dataValidations count="15">
    <dataValidation type="list" allowBlank="1" showInputMessage="1" showErrorMessage="1" sqref="Q2:Q500 Q509:Q638 Q640:Q749 Q751:Q759" xr:uid="{00000000-0002-0000-0100-000002000000}">
      <formula1>PROVEEDORES</formula1>
    </dataValidation>
    <dataValidation type="list" allowBlank="1" showInputMessage="1" showErrorMessage="1" sqref="V90:W90 U239:U240 U245:U248 U2:U236 U250:U510 U601:U610 U518:U548 U551:U594 U651:U662 U640:U647 U627:U638 U619:U625" xr:uid="{00000000-0002-0000-0100-000003000000}">
      <formula1>PLAZOdePAGO2</formula1>
    </dataValidation>
    <dataValidation type="list" allowBlank="1" showInputMessage="1" showErrorMessage="1" sqref="T2:T510 U549:U550 T726:T727 T610 T518:T600 T640:T647 T651:T653" xr:uid="{00000000-0002-0000-0100-000004000000}">
      <formula1>PLAZOdePAGO</formula1>
    </dataValidation>
    <dataValidation type="list" allowBlank="1" showInputMessage="1" showErrorMessage="1" sqref="Z480:AA509 Z478:AA478 Z2:AA476 Z570:AA581 Z640:AA641 Z659:AA659" xr:uid="{00000000-0002-0000-0100-000005000000}">
      <formula1>INCOTERMS</formula1>
    </dataValidation>
    <dataValidation type="list" allowBlank="1" showInputMessage="1" showErrorMessage="1" sqref="B726:B727 B2:B723" xr:uid="{00000000-0002-0000-0100-000006000000}">
      <formula1>NEGOCIO</formula1>
    </dataValidation>
    <dataValidation type="list" allowBlank="1" showInputMessage="1" showErrorMessage="1" sqref="P726:P729" xr:uid="{00000000-0002-0000-0100-000007000000}">
      <formula1>MATERIALES</formula1>
    </dataValidation>
    <dataValidation type="list" allowBlank="1" showInputMessage="1" showErrorMessage="1" sqref="Y2:Y1004" xr:uid="{00000000-0002-0000-0100-000008000000}">
      <formula1>ESTADOdePAGO</formula1>
    </dataValidation>
    <dataValidation type="list" allowBlank="1" showInputMessage="1" showErrorMessage="1" sqref="CG2:CG465 CG468:CG476 CG478:CG527 CG532:CG535 CG529:CG530 CG537:CG560 CG570:CG585 CG591 CG594 CG563:CG568 CG609:CG626 CG598:CG604 CG606:CG607 CG628:CG733" xr:uid="{00000000-0002-0000-0100-00000A000000}">
      <formula1>RÉGIMEN</formula1>
    </dataValidation>
    <dataValidation type="list" allowBlank="1" showInputMessage="1" showErrorMessage="1" sqref="D2:D1217" xr:uid="{00000000-0002-0000-0100-00000B000000}">
      <formula1>SEGUIMIENTO</formula1>
    </dataValidation>
    <dataValidation type="list" allowBlank="1" showInputMessage="1" showErrorMessage="1" sqref="BI1:BI1713 BI2011:BI1048576 BI1715:BI2009" xr:uid="{00000000-0002-0000-0100-00000C000000}">
      <formula1>DIRECCIONAMIENTO</formula1>
    </dataValidation>
    <dataValidation type="list" allowBlank="1" showInputMessage="1" showErrorMessage="1" sqref="BJ1715:BJ1797 BJ2005:BJ2009 BJ2:BJ1713 BF1982:BJ1982 BJ2011:BJ1048576 BA1989:BB1996 BF1989:BJ1996 BA1982:BB1982 BJ1804:BJ2002" xr:uid="{00000000-0002-0000-0100-00000D000000}">
      <formula1>BL</formula1>
    </dataValidation>
    <dataValidation type="list" allowBlank="1" showInputMessage="1" showErrorMessage="1" sqref="AY599:AY601 AY641 AY626 AY604:AY607 AY611:AY623 AY2:AY591" xr:uid="{00000000-0002-0000-0100-000009000000}">
      <formula1>PTOdeSALIDA</formula1>
    </dataValidation>
    <dataValidation type="list" allowBlank="1" showInputMessage="1" showErrorMessage="1" sqref="AZ641:BJ641 AZ514:BJ532 AZ726:BJ726 AZ537:BJ538 AZ610:BJ618 AZ541:BJ601 AZ607:BJ607 AZ2:BJ509" xr:uid="{00000000-0002-0000-0100-000000000000}">
      <formula1>NAVIERA</formula1>
    </dataValidation>
    <dataValidation type="list" allowBlank="1" showInputMessage="1" showErrorMessage="1" sqref="AZ595:BJ595 AZ707:BJ708 AZ701:BJ701 AZ697:BJ697 AZ692:BJ692 AZ687:BJ687 AZ681:BJ681 AZ676:BJ676 AZ673:BJ673 AZ670:BJ670 AZ658:BJ662 AZ639:BJ656 AZ630:BJ630 AZ627:BJ627 AZ620:BJ625 AZ618:BJ618 AZ614:BJ614 AZ611:BJ611 AZ609:BJ609 AZ607:BJ607 AZ605:BJ605 AZ601:BJ602 AZ599:BJ599 AZ597:BJ597 AZ589:BJ590 AZ47:BJ587 AZ632:BJ634 AZ2:BJ43 AZ592:BJ592" xr:uid="{00000000-0002-0000-0100-000001000000}">
      <formula1>PTOdeENTRADA</formula1>
    </dataValidation>
    <dataValidation type="list" allowBlank="1" showInputMessage="1" showErrorMessage="1" sqref="CD1983:CD1984 CE806:CE1661 BT2003:BT2004 CD2005:CD2009 CD1999 CD2002 CE2012:CE2021 CD806:CD1899 CE2026 CD2027:CE2029 CD2030:CD2032 CD2033:CE1048576 CD2011:CD2026 CD1901:CD1981 K2000:K2001 CF1983:CF1984 CI2003:CI2004 CF2005:CF2009 CF1999 CF2002 CF2011:CF1048576 CF806:CF1981" xr:uid="{00000000-0002-0000-0100-000011000000}">
      <formula1>#REF!</formula1>
    </dataValidation>
  </dataValidations>
  <hyperlinks>
    <hyperlink ref="BF151" r:id="rId20" display="https://www.hamburgsud-line.com/linerportal/pages/hsdg/tnt.xhtml?lang=en" xr:uid="{12C58C89-EE39-4CCE-860C-834B1B06D149}"/>
  </hyperlinks>
  <pageMargins left="0.23622047244094491" right="0.23622047244094491" top="0.74803149606299213" bottom="0.74803149606299213" header="0.31496062992125984" footer="0.31496062992125984"/>
  <pageSetup paperSize="9" scale="25" orientation="landscape" r:id="rId21"/>
  <legacyDrawing r:id="rId2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417" operator="containsText" id="{71F960D5-CC36-4CC2-B586-B580527CB424}">
            <xm:f>NOT(ISERROR(SEARCH(BDD!$AF$4,AX1)))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418" operator="containsText" id="{7E45D451-9974-4F94-9673-692A64CA0B42}">
            <xm:f>NOT(ISERROR(SEARCH(BDD!$AF$3,AX1)))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419" operator="containsText" id="{34672030-82A7-4CBF-88B5-DFE7AC5A8605}">
            <xm:f>NOT(ISERROR(SEARCH(BDD!$AF$2,AX1)))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420" operator="containsText" id="{60847BB1-56F4-49DC-A76E-AA8362132BEA}">
            <xm:f>NOT(ISERROR(SEARCH(BDD!$AF$1,AX1)))</xm:f>
            <xm:f>BDD!$AF$1</xm:f>
            <x14:dxf>
              <font>
                <b/>
                <i val="0"/>
                <color rgb="FF00B050"/>
              </font>
            </x14:dxf>
          </x14:cfRule>
          <xm:sqref>AZ1:BC749 AZ751:BC833 AZ1715:BC1764 AZ1074:BC1465 AZ835:BC1070 AZ1467:BC1713 AY2003:BC2004 AZ2005:BC2006 BE2005:BJ2006 BE2003:BI2004 BE1467:BJ1713 BE835:BJ1070 BE1074:BJ1465 BE1715:BJ1764 BE751:BJ833 BE1:BJ749 BF1894:BJ1894 AX2033:BA2034 BE2020:BJ1048576 AZ2020:BC1048576 AZ2007:AZ2014 BJ2007:BJ2014 AZ1974:BC2002 BE1974:BJ2002 BE1766:BJ1893 AZ1766:BC1972 BE1895:BJ1972</xm:sqref>
        </x14:conditionalFormatting>
        <x14:conditionalFormatting xmlns:xm="http://schemas.microsoft.com/office/excel/2006/main">
          <x14:cfRule type="containsText" priority="361" operator="containsText" id="{E91E49C7-5DEE-4167-8E7F-F192FC382CE1}">
            <xm:f>NOT(ISERROR(SEARCH(BDD!#REF!,BA1997)))</xm:f>
            <xm:f>BDD!#REF!</xm:f>
            <x14:dxf>
              <font>
                <b/>
                <i val="0"/>
                <color rgb="FF00B050"/>
              </font>
            </x14:dxf>
          </x14:cfRule>
          <x14:cfRule type="containsText" priority="362" operator="containsText" id="{8827410A-1DAB-4C55-9129-0D52943357F3}">
            <xm:f>NOT(ISERROR(SEARCH(BDD!#REF!,BA1997)))</xm:f>
            <xm:f>BDD!#REF!</xm:f>
            <x14:dxf>
              <font>
                <b/>
                <i val="0"/>
                <color rgb="FF00B050"/>
              </font>
            </x14:dxf>
          </x14:cfRule>
          <x14:cfRule type="containsText" priority="363" operator="containsText" id="{51BE156D-0035-43B2-B88E-28CED2D9CA93}">
            <xm:f>NOT(ISERROR(SEARCH(BDD!#REF!,BA1997)))</xm:f>
            <xm:f>BDD!#REF!</xm:f>
            <x14:dxf>
              <font>
                <b/>
                <i val="0"/>
                <color rgb="FF00B050"/>
              </font>
            </x14:dxf>
          </x14:cfRule>
          <x14:cfRule type="containsText" priority="364" operator="containsText" id="{333B7303-7167-4AF9-AEBC-3B2D4E85331A}">
            <xm:f>NOT(ISERROR(SEARCH(BDD!#REF!,BA1997)))</xm:f>
            <xm:f>BDD!#REF!</xm:f>
            <x14:dxf>
              <font>
                <b/>
                <i val="0"/>
                <color rgb="FF00B050"/>
              </font>
            </x14:dxf>
          </x14:cfRule>
          <xm:sqref>BH1997:BJ1997 BA1997:BB1997</xm:sqref>
        </x14:conditionalFormatting>
        <x14:conditionalFormatting xmlns:xm="http://schemas.microsoft.com/office/excel/2006/main">
          <x14:cfRule type="containsText" priority="349" operator="containsText" id="{0F9674BB-EBBF-4CE9-A50A-8657240AA784}">
            <xm:f>NOT(ISERROR(SEARCH(BDD!#REF!,AW1998)))</xm:f>
            <xm:f>BDD!#REF!</xm:f>
            <x14:dxf>
              <font>
                <b/>
                <i val="0"/>
                <color rgb="FF00B050"/>
              </font>
            </x14:dxf>
          </x14:cfRule>
          <x14:cfRule type="containsText" priority="350" operator="containsText" id="{C1A55A1E-6891-4235-93D0-C20F7E72990A}">
            <xm:f>NOT(ISERROR(SEARCH(BDD!#REF!,AW1998)))</xm:f>
            <xm:f>BDD!#REF!</xm:f>
            <x14:dxf>
              <font>
                <b/>
                <i val="0"/>
                <color rgb="FF00B050"/>
              </font>
            </x14:dxf>
          </x14:cfRule>
          <x14:cfRule type="containsText" priority="351" operator="containsText" id="{0336BD29-32BC-4C06-A1EE-F4E3F025EF2B}">
            <xm:f>NOT(ISERROR(SEARCH(BDD!#REF!,AW1998)))</xm:f>
            <xm:f>BDD!#REF!</xm:f>
            <x14:dxf>
              <font>
                <b/>
                <i val="0"/>
                <color rgb="FF00B050"/>
              </font>
            </x14:dxf>
          </x14:cfRule>
          <x14:cfRule type="containsText" priority="352" operator="containsText" id="{813125EB-39A9-457B-A018-E4316F0CDE8C}">
            <xm:f>NOT(ISERROR(SEARCH(BDD!#REF!,AW1998)))</xm:f>
            <xm:f>BDD!#REF!</xm:f>
            <x14:dxf>
              <font>
                <b/>
                <i val="0"/>
                <color rgb="FF00B050"/>
              </font>
            </x14:dxf>
          </x14:cfRule>
          <xm:sqref>AZ2013 BJ2013 CI1998:CJ2001 AW1998:BC2001 BE1998:BJ2001</xm:sqref>
        </x14:conditionalFormatting>
        <x14:conditionalFormatting xmlns:xm="http://schemas.microsoft.com/office/excel/2006/main">
          <x14:cfRule type="containsText" priority="335" operator="containsText" id="{07A5F3BD-25CF-47A0-95CA-5D26811B62C0}">
            <xm:f>NOT(ISERROR(SEARCH(BDD!$AF$4,BC837)))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336" operator="containsText" id="{48BB2BA2-3814-48E3-A787-820F89262F81}">
            <xm:f>NOT(ISERROR(SEARCH(BDD!$AF$3,BC837)))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337" operator="containsText" id="{3CDE543B-91B4-4378-B512-6FC4DBF1A846}">
            <xm:f>NOT(ISERROR(SEARCH(BDD!$AF$2,BC837)))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338" operator="containsText" id="{375A67DE-592F-40D6-9D0E-40F470382A50}">
            <xm:f>NOT(ISERROR(SEARCH(BDD!$AF$1,BC837)))</xm:f>
            <xm:f>BDD!$AF$1</xm:f>
            <x14:dxf>
              <font>
                <b/>
                <i val="0"/>
                <color rgb="FF00B050"/>
              </font>
            </x14:dxf>
          </x14:cfRule>
          <xm:sqref>BC837 BC1068:BC1072</xm:sqref>
        </x14:conditionalFormatting>
        <x14:conditionalFormatting xmlns:xm="http://schemas.microsoft.com/office/excel/2006/main">
          <x14:cfRule type="containsText" priority="257" operator="containsText" id="{B039EFA3-2319-4E77-A47A-268CC3F92606}">
            <xm:f>NOT(ISERROR(SEARCH(BDD!#REF!,AW2010)))</xm:f>
            <xm:f>BDD!#REF!</xm:f>
            <x14:dxf>
              <font>
                <b/>
                <i val="0"/>
                <color rgb="FF00B050"/>
              </font>
            </x14:dxf>
          </x14:cfRule>
          <x14:cfRule type="containsText" priority="258" operator="containsText" id="{51BBA523-4523-4314-B1F5-8C4F90754955}">
            <xm:f>NOT(ISERROR(SEARCH(BDD!#REF!,AW2010)))</xm:f>
            <xm:f>BDD!#REF!</xm:f>
            <x14:dxf>
              <font>
                <b/>
                <i val="0"/>
                <color rgb="FF00B050"/>
              </font>
            </x14:dxf>
          </x14:cfRule>
          <x14:cfRule type="containsText" priority="259" operator="containsText" id="{E14DF585-F900-49A9-B5FA-360B0249E8AB}">
            <xm:f>NOT(ISERROR(SEARCH(BDD!#REF!,AW2010)))</xm:f>
            <xm:f>BDD!#REF!</xm:f>
            <x14:dxf>
              <font>
                <b/>
                <i val="0"/>
                <color rgb="FF00B050"/>
              </font>
            </x14:dxf>
          </x14:cfRule>
          <x14:cfRule type="containsText" priority="260" operator="containsText" id="{141335AB-5348-4DFA-9403-1E074B79E8A0}">
            <xm:f>NOT(ISERROR(SEARCH(BDD!#REF!,AW2010)))</xm:f>
            <xm:f>BDD!#REF!</xm:f>
            <x14:dxf>
              <font>
                <b/>
                <i val="0"/>
                <color rgb="FF00B050"/>
              </font>
            </x14:dxf>
          </x14:cfRule>
          <xm:sqref>AW2010:AX2010</xm:sqref>
        </x14:conditionalFormatting>
        <x14:conditionalFormatting xmlns:xm="http://schemas.microsoft.com/office/excel/2006/main">
          <x14:cfRule type="containsText" priority="253" operator="containsText" id="{DED07E80-5364-4CE6-82E7-91F075518492}">
            <xm:f>NOT(ISERROR(SEARCH(BDD!#REF!,AW2012)))</xm:f>
            <xm:f>BDD!#REF!</xm:f>
            <x14:dxf>
              <font>
                <b/>
                <i val="0"/>
                <color rgb="FF00B050"/>
              </font>
            </x14:dxf>
          </x14:cfRule>
          <x14:cfRule type="containsText" priority="254" operator="containsText" id="{FAC15421-276A-41FF-9EEE-E5EFD52125F2}">
            <xm:f>NOT(ISERROR(SEARCH(BDD!#REF!,AW2012)))</xm:f>
            <xm:f>BDD!#REF!</xm:f>
            <x14:dxf>
              <font>
                <b/>
                <i val="0"/>
                <color rgb="FF00B050"/>
              </font>
            </x14:dxf>
          </x14:cfRule>
          <x14:cfRule type="containsText" priority="255" operator="containsText" id="{D3CD2B5B-C8FE-4996-B338-7D1DA3733A9C}">
            <xm:f>NOT(ISERROR(SEARCH(BDD!#REF!,AW2012)))</xm:f>
            <xm:f>BDD!#REF!</xm:f>
            <x14:dxf>
              <font>
                <b/>
                <i val="0"/>
                <color rgb="FF00B050"/>
              </font>
            </x14:dxf>
          </x14:cfRule>
          <x14:cfRule type="containsText" priority="256" operator="containsText" id="{059A3D7D-2B50-4A24-A447-31E1FC0E8388}">
            <xm:f>NOT(ISERROR(SEARCH(BDD!#REF!,AW2012)))</xm:f>
            <xm:f>BDD!#REF!</xm:f>
            <x14:dxf>
              <font>
                <b/>
                <i val="0"/>
                <color rgb="FF00B050"/>
              </font>
            </x14:dxf>
          </x14:cfRule>
          <xm:sqref>AW2012:AX2012</xm:sqref>
        </x14:conditionalFormatting>
        <x14:conditionalFormatting xmlns:xm="http://schemas.microsoft.com/office/excel/2006/main">
          <x14:cfRule type="containsText" priority="233" operator="containsText" id="{67065880-1FF0-4A40-94E1-8DF5DEAD8557}">
            <xm:f>NOT(ISERROR(SEARCH(BDD!$AF$4,BO1932)))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234" operator="containsText" id="{41B178CD-3C7D-4BEE-9DFC-4D6452B17E24}">
            <xm:f>NOT(ISERROR(SEARCH(BDD!$AF$3,BO1932)))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235" operator="containsText" id="{E1101AA6-47C0-4B53-87A7-A711513A2B4E}">
            <xm:f>NOT(ISERROR(SEARCH(BDD!$AF$2,BO1932)))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236" operator="containsText" id="{2F02EB37-D8CD-44A7-A253-6C2E5B2D2A38}">
            <xm:f>NOT(ISERROR(SEARCH(BDD!$AF$1,BO1932)))</xm:f>
            <xm:f>BDD!$AF$1</xm:f>
            <x14:dxf>
              <font>
                <b/>
                <i val="0"/>
                <color rgb="FF00B050"/>
              </font>
            </x14:dxf>
          </x14:cfRule>
          <xm:sqref>BO1932</xm:sqref>
        </x14:conditionalFormatting>
        <x14:conditionalFormatting xmlns:xm="http://schemas.microsoft.com/office/excel/2006/main">
          <x14:cfRule type="containsText" priority="227" operator="containsText" id="{7D409167-9477-4876-BC70-8A59BD6C7F83}">
            <xm:f>NOT(ISERROR(SEARCH(BDD!$AF$4,BO1933)))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228" operator="containsText" id="{3B619E0A-1A8D-495E-BD35-A44F66F84DA2}">
            <xm:f>NOT(ISERROR(SEARCH(BDD!$AF$3,BO1933)))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229" operator="containsText" id="{7BCB170D-4474-479E-8C58-A1CE9FF6C424}">
            <xm:f>NOT(ISERROR(SEARCH(BDD!$AF$2,BO1933)))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230" operator="containsText" id="{5119A49A-184A-45DF-9658-FDD86AD69E27}">
            <xm:f>NOT(ISERROR(SEARCH(BDD!$AF$1,BO1933)))</xm:f>
            <xm:f>BDD!$AF$1</xm:f>
            <x14:dxf>
              <font>
                <b/>
                <i val="0"/>
                <color rgb="FF00B050"/>
              </font>
            </x14:dxf>
          </x14:cfRule>
          <xm:sqref>BO1933</xm:sqref>
        </x14:conditionalFormatting>
        <x14:conditionalFormatting xmlns:xm="http://schemas.microsoft.com/office/excel/2006/main">
          <x14:cfRule type="containsText" priority="221" operator="containsText" id="{5CCB318D-7879-4A60-821E-1A2C45527D85}">
            <xm:f>NOT(ISERROR(SEARCH(BDD!$AF$4,BO1972)))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222" operator="containsText" id="{7D096EBA-8092-4249-914C-31A44466CF4B}">
            <xm:f>NOT(ISERROR(SEARCH(BDD!$AF$3,BO1972)))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223" operator="containsText" id="{30E3EC11-3C7C-4661-9A2B-0FA84F13E681}">
            <xm:f>NOT(ISERROR(SEARCH(BDD!$AF$2,BO1972)))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224" operator="containsText" id="{074BA4C3-C5B0-4A0F-931F-9D4AC3267D8D}">
            <xm:f>NOT(ISERROR(SEARCH(BDD!$AF$1,BO1972)))</xm:f>
            <xm:f>BDD!$AF$1</xm:f>
            <x14:dxf>
              <font>
                <b/>
                <i val="0"/>
                <color rgb="FF00B050"/>
              </font>
            </x14:dxf>
          </x14:cfRule>
          <xm:sqref>BO1972</xm:sqref>
        </x14:conditionalFormatting>
        <x14:conditionalFormatting xmlns:xm="http://schemas.microsoft.com/office/excel/2006/main">
          <x14:cfRule type="containsText" priority="213" operator="containsText" id="{EB43134C-2B3D-40C2-967E-630D9112C589}">
            <xm:f>NOT(ISERROR(SEARCH(BDD!$AF$4,AZ1973)))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214" operator="containsText" id="{3AAA35CB-91F2-4135-8997-123EE3267E94}">
            <xm:f>NOT(ISERROR(SEARCH(BDD!$AF$3,AZ1973)))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215" operator="containsText" id="{5A4BD008-88BE-4236-979B-AEE6213ADAF9}">
            <xm:f>NOT(ISERROR(SEARCH(BDD!$AF$2,AZ1973)))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216" operator="containsText" id="{7DDFF35C-612B-46FE-AAA4-A8FF734048D9}">
            <xm:f>NOT(ISERROR(SEARCH(BDD!$AF$1,AZ1973)))</xm:f>
            <xm:f>BDD!$AF$1</xm:f>
            <x14:dxf>
              <font>
                <b/>
                <i val="0"/>
                <color rgb="FF00B050"/>
              </font>
            </x14:dxf>
          </x14:cfRule>
          <xm:sqref>AZ1973:BC1973 BE1973:BJ1973</xm:sqref>
        </x14:conditionalFormatting>
        <x14:conditionalFormatting xmlns:xm="http://schemas.microsoft.com/office/excel/2006/main">
          <x14:cfRule type="containsText" priority="209" operator="containsText" id="{030604B1-AF09-4F1A-8DE4-5AE965A5A6B2}">
            <xm:f>NOT(ISERROR(SEARCH(BDD!$AF$4,BO1973)))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210" operator="containsText" id="{C383F551-3D87-4D67-ACF4-CAEF351A226C}">
            <xm:f>NOT(ISERROR(SEARCH(BDD!$AF$3,BO1973)))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211" operator="containsText" id="{E69C55D4-CB06-42A5-AC8E-634B71969379}">
            <xm:f>NOT(ISERROR(SEARCH(BDD!$AF$2,BO1973)))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212" operator="containsText" id="{BF18BB2D-5D4F-4382-AC68-83754D301622}">
            <xm:f>NOT(ISERROR(SEARCH(BDD!$AF$1,BO1973)))</xm:f>
            <xm:f>BDD!$AF$1</xm:f>
            <x14:dxf>
              <font>
                <b/>
                <i val="0"/>
                <color rgb="FF00B050"/>
              </font>
            </x14:dxf>
          </x14:cfRule>
          <xm:sqref>BO1973</xm:sqref>
        </x14:conditionalFormatting>
        <x14:conditionalFormatting xmlns:xm="http://schemas.microsoft.com/office/excel/2006/main">
          <x14:cfRule type="containsText" priority="201" operator="containsText" id="{F176FA85-8571-4B4B-8337-625F303742F9}">
            <xm:f>NOT(ISERROR(SEARCH(BDD!$AF$4,AZ2015)))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202" operator="containsText" id="{E8D4126B-07BD-4761-9650-9A21F644F41F}">
            <xm:f>NOT(ISERROR(SEARCH(BDD!$AF$3,AZ2015)))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203" operator="containsText" id="{5381C115-AADB-4406-A2BB-B5FB65FE9043}">
            <xm:f>NOT(ISERROR(SEARCH(BDD!$AF$2,AZ2015)))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204" operator="containsText" id="{8900E698-F37E-4291-BD8A-35AC89C5AC01}">
            <xm:f>NOT(ISERROR(SEARCH(BDD!$AF$1,AZ2015)))</xm:f>
            <xm:f>BDD!$AF$1</xm:f>
            <x14:dxf>
              <font>
                <b/>
                <i val="0"/>
                <color rgb="FF00B050"/>
              </font>
            </x14:dxf>
          </x14:cfRule>
          <xm:sqref>AZ2015 BJ2015</xm:sqref>
        </x14:conditionalFormatting>
        <x14:conditionalFormatting xmlns:xm="http://schemas.microsoft.com/office/excel/2006/main">
          <x14:cfRule type="containsText" priority="195" operator="containsText" id="{2E6B8B1B-9024-42D8-A636-BE209DC0950D}">
            <xm:f>NOT(ISERROR(SEARCH(BDD!$AF$4,BO1924)))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196" operator="containsText" id="{40CE9759-914D-43A6-8F16-9E231EDA1C23}">
            <xm:f>NOT(ISERROR(SEARCH(BDD!$AF$3,BO1924)))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197" operator="containsText" id="{E925FAA3-51C5-4D80-A65B-F0A154E66571}">
            <xm:f>NOT(ISERROR(SEARCH(BDD!$AF$2,BO1924)))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198" operator="containsText" id="{02C3B021-7D4D-4EA8-AB24-EEDF15680638}">
            <xm:f>NOT(ISERROR(SEARCH(BDD!$AF$1,BO1924)))</xm:f>
            <xm:f>BDD!$AF$1</xm:f>
            <x14:dxf>
              <font>
                <b/>
                <i val="0"/>
                <color rgb="FF00B050"/>
              </font>
            </x14:dxf>
          </x14:cfRule>
          <xm:sqref>BO1924</xm:sqref>
        </x14:conditionalFormatting>
        <x14:conditionalFormatting xmlns:xm="http://schemas.microsoft.com/office/excel/2006/main">
          <x14:cfRule type="containsText" priority="187" operator="containsText" id="{E58ADA78-A77C-4240-A274-2AD38DF42B69}">
            <xm:f>NOT(ISERROR(SEARCH(BDD!$AF$4,AZ2017)))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188" operator="containsText" id="{A144D82C-048E-4B16-A129-26A542F70153}">
            <xm:f>NOT(ISERROR(SEARCH(BDD!$AF$3,AZ2017)))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189" operator="containsText" id="{673099D0-8A25-42F3-9A93-DFDF5C4CE534}">
            <xm:f>NOT(ISERROR(SEARCH(BDD!$AF$2,AZ2017)))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190" operator="containsText" id="{93255D43-E4D7-4D10-AE68-00E9631905ED}">
            <xm:f>NOT(ISERROR(SEARCH(BDD!$AF$1,AZ2017)))</xm:f>
            <xm:f>BDD!$AF$1</xm:f>
            <x14:dxf>
              <font>
                <b/>
                <i val="0"/>
                <color rgb="FF00B050"/>
              </font>
            </x14:dxf>
          </x14:cfRule>
          <xm:sqref>AZ2017 BJ2017</xm:sqref>
        </x14:conditionalFormatting>
        <x14:conditionalFormatting xmlns:xm="http://schemas.microsoft.com/office/excel/2006/main">
          <x14:cfRule type="containsText" priority="173" operator="containsText" id="{C18644AA-E4CB-49E5-AD85-662C722E4779}">
            <xm:f>NOT(ISERROR(SEARCH(BDD!$AF$4,BA2008)))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174" operator="containsText" id="{AED5B16F-1D94-4257-9CC5-8871BF52DAE0}">
            <xm:f>NOT(ISERROR(SEARCH(BDD!$AF$3,BA2008)))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175" operator="containsText" id="{369B3C98-8A4E-47AE-81C9-34DBA0C5B8F2}">
            <xm:f>NOT(ISERROR(SEARCH(BDD!$AF$2,BA2008)))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176" operator="containsText" id="{771640CC-4C72-4021-8ED2-F643988D9466}">
            <xm:f>NOT(ISERROR(SEARCH(BDD!$AF$1,BA2008)))</xm:f>
            <xm:f>BDD!$AF$1</xm:f>
            <x14:dxf>
              <font>
                <b/>
                <i val="0"/>
                <color rgb="FF00B050"/>
              </font>
            </x14:dxf>
          </x14:cfRule>
          <xm:sqref>BA2017:BC2017 BI2015:BI2019 BA2008:BC2015 BE2008:BI2014 BE2015:BH2015 BE2017:BH2017</xm:sqref>
        </x14:conditionalFormatting>
        <x14:conditionalFormatting xmlns:xm="http://schemas.microsoft.com/office/excel/2006/main">
          <x14:cfRule type="containsText" priority="165" operator="containsText" id="{1D002C1F-9784-4283-B426-8896FA429D95}">
            <xm:f>NOT(ISERROR(SEARCH(BDD!$AF$4,AZ2018)))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166" operator="containsText" id="{FB1FDA26-1D5C-478A-8F52-87658C33131C}">
            <xm:f>NOT(ISERROR(SEARCH(BDD!$AF$3,AZ2018)))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167" operator="containsText" id="{177CD980-3718-463F-8632-E9F3182D3F2E}">
            <xm:f>NOT(ISERROR(SEARCH(BDD!$AF$2,AZ2018)))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168" operator="containsText" id="{DE3B9FFB-0D04-446F-AD7A-15A630980A4B}">
            <xm:f>NOT(ISERROR(SEARCH(BDD!$AF$1,AZ2018)))</xm:f>
            <xm:f>BDD!$AF$1</xm:f>
            <x14:dxf>
              <font>
                <b/>
                <i val="0"/>
                <color rgb="FF00B050"/>
              </font>
            </x14:dxf>
          </x14:cfRule>
          <xm:sqref>AZ2018 BJ2018</xm:sqref>
        </x14:conditionalFormatting>
        <x14:conditionalFormatting xmlns:xm="http://schemas.microsoft.com/office/excel/2006/main">
          <x14:cfRule type="containsText" priority="157" operator="containsText" id="{C05B718A-EF60-4C2E-BC23-AD2DAFEDE8A5}">
            <xm:f>NOT(ISERROR(SEARCH(BDD!$AF$4,BA2018)))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158" operator="containsText" id="{802C0B4F-6FEA-44D9-BB46-77816DC50C36}">
            <xm:f>NOT(ISERROR(SEARCH(BDD!$AF$3,BA2018)))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159" operator="containsText" id="{D24A9DB0-A1F8-4F3A-9E7C-D208E97C5119}">
            <xm:f>NOT(ISERROR(SEARCH(BDD!$AF$2,BA2018)))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160" operator="containsText" id="{9313F0D4-3121-40C9-878C-D5483D7AFF0C}">
            <xm:f>NOT(ISERROR(SEARCH(BDD!$AF$1,BA2018)))</xm:f>
            <xm:f>BDD!$AF$1</xm:f>
            <x14:dxf>
              <font>
                <b/>
                <i val="0"/>
                <color rgb="FF00B050"/>
              </font>
            </x14:dxf>
          </x14:cfRule>
          <xm:sqref>BA2018:BC2018 BE2018:BH2018</xm:sqref>
        </x14:conditionalFormatting>
        <x14:conditionalFormatting xmlns:xm="http://schemas.microsoft.com/office/excel/2006/main">
          <x14:cfRule type="containsText" priority="145" operator="containsText" id="{C80F1C0B-3809-4FA8-B2FE-C5FD95A1F0ED}">
            <xm:f>NOT(ISERROR(SEARCH(BDD!$AF$4,AZ2016)))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146" operator="containsText" id="{87FA50E8-8F6F-4CCC-B944-2826406FECBD}">
            <xm:f>NOT(ISERROR(SEARCH(BDD!$AF$3,AZ2016)))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147" operator="containsText" id="{0819B649-E3B6-42F0-9ABC-8B05F3AB07BA}">
            <xm:f>NOT(ISERROR(SEARCH(BDD!$AF$2,AZ2016)))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148" operator="containsText" id="{24530176-9E2A-4218-A94D-651092557064}">
            <xm:f>NOT(ISERROR(SEARCH(BDD!$AF$1,AZ2016)))</xm:f>
            <xm:f>BDD!$AF$1</xm:f>
            <x14:dxf>
              <font>
                <b/>
                <i val="0"/>
                <color rgb="FF00B050"/>
              </font>
            </x14:dxf>
          </x14:cfRule>
          <xm:sqref>AZ2016 BJ2016</xm:sqref>
        </x14:conditionalFormatting>
        <x14:conditionalFormatting xmlns:xm="http://schemas.microsoft.com/office/excel/2006/main">
          <x14:cfRule type="containsText" priority="141" operator="containsText" id="{65EE5278-20A2-4815-B147-30A09687205F}">
            <xm:f>NOT(ISERROR(SEARCH(BDD!$AF$4,BA2016)))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142" operator="containsText" id="{188A6A6F-D219-434C-8C37-8076CB2B81C1}">
            <xm:f>NOT(ISERROR(SEARCH(BDD!$AF$3,BA2016)))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143" operator="containsText" id="{1931F273-5A88-4819-99E7-C7F2453BEAF0}">
            <xm:f>NOT(ISERROR(SEARCH(BDD!$AF$2,BA2016)))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144" operator="containsText" id="{6FFCAAAF-11CE-4AF4-8A63-01B8630C4193}">
            <xm:f>NOT(ISERROR(SEARCH(BDD!$AF$1,BA2016)))</xm:f>
            <xm:f>BDD!$AF$1</xm:f>
            <x14:dxf>
              <font>
                <b/>
                <i val="0"/>
                <color rgb="FF00B050"/>
              </font>
            </x14:dxf>
          </x14:cfRule>
          <xm:sqref>BA2016:BC2016 BE2016:BH2016</xm:sqref>
        </x14:conditionalFormatting>
        <x14:conditionalFormatting xmlns:xm="http://schemas.microsoft.com/office/excel/2006/main">
          <x14:cfRule type="containsText" priority="133" operator="containsText" id="{13A36BA8-48C5-427F-A643-7602D19981F3}">
            <xm:f>NOT(ISERROR(SEARCH(BDD!$AF$4,AZ2019)))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134" operator="containsText" id="{FDFB4D5C-CB44-412E-928B-EC4CC831A741}">
            <xm:f>NOT(ISERROR(SEARCH(BDD!$AF$3,AZ2019)))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135" operator="containsText" id="{486D3A20-3D62-4165-BDDE-8B494D94C34D}">
            <xm:f>NOT(ISERROR(SEARCH(BDD!$AF$2,AZ2019)))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136" operator="containsText" id="{F0377C3B-21B0-430C-9F1E-29391C01EEF8}">
            <xm:f>NOT(ISERROR(SEARCH(BDD!$AF$1,AZ2019)))</xm:f>
            <xm:f>BDD!$AF$1</xm:f>
            <x14:dxf>
              <font>
                <b/>
                <i val="0"/>
                <color rgb="FF00B050"/>
              </font>
            </x14:dxf>
          </x14:cfRule>
          <xm:sqref>AZ2019 BJ2019</xm:sqref>
        </x14:conditionalFormatting>
        <x14:conditionalFormatting xmlns:xm="http://schemas.microsoft.com/office/excel/2006/main">
          <x14:cfRule type="containsText" priority="125" operator="containsText" id="{655B289B-1A8B-48F9-A6A2-05A5F25E3452}">
            <xm:f>NOT(ISERROR(SEARCH(BDD!$AF$4,BA2019)))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126" operator="containsText" id="{F31788F5-3C94-4FA3-9481-BED7301804DF}">
            <xm:f>NOT(ISERROR(SEARCH(BDD!$AF$3,BA2019)))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127" operator="containsText" id="{924754EE-7EED-420F-B027-E75869281968}">
            <xm:f>NOT(ISERROR(SEARCH(BDD!$AF$2,BA2019)))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128" operator="containsText" id="{7C3B0AAC-71F6-41CC-904D-556582C2ED4B}">
            <xm:f>NOT(ISERROR(SEARCH(BDD!$AF$1,BA2019)))</xm:f>
            <xm:f>BDD!$AF$1</xm:f>
            <x14:dxf>
              <font>
                <b/>
                <i val="0"/>
                <color rgb="FF00B050"/>
              </font>
            </x14:dxf>
          </x14:cfRule>
          <xm:sqref>BA2019:BC2019 BE2019:BH2019</xm:sqref>
        </x14:conditionalFormatting>
        <x14:conditionalFormatting xmlns:xm="http://schemas.microsoft.com/office/excel/2006/main">
          <x14:cfRule type="containsText" priority="115" operator="containsText" id="{248781C3-3475-43A3-B2AD-0E7268F5EAEF}">
            <xm:f>NOT(ISERROR(SEARCH(BDD!$AF$4,BA1974)))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116" operator="containsText" id="{E8C71787-0FA7-4CBD-82F9-2C3BFB22FC73}">
            <xm:f>NOT(ISERROR(SEARCH(BDD!$AF$3,BA1974)))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117" operator="containsText" id="{47898C8A-7700-4431-81C7-26D7638A8F09}">
            <xm:f>NOT(ISERROR(SEARCH(BDD!$AF$2,BA1974)))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118" operator="containsText" id="{18DD5D41-C39C-40C0-8D9A-4E8541401133}">
            <xm:f>NOT(ISERROR(SEARCH(BDD!$AF$1,BA1974)))</xm:f>
            <xm:f>BDD!$AF$1</xm:f>
            <x14:dxf>
              <font>
                <b/>
                <i val="0"/>
                <color rgb="FF00B050"/>
              </font>
            </x14:dxf>
          </x14:cfRule>
          <xm:sqref>BA1974</xm:sqref>
        </x14:conditionalFormatting>
        <x14:conditionalFormatting xmlns:xm="http://schemas.microsoft.com/office/excel/2006/main">
          <x14:cfRule type="containsText" priority="107" operator="containsText" id="{0B472825-4C3D-453A-8589-CE45C6FAC787}">
            <xm:f>NOT(ISERROR(SEARCH(BDD!$AF$4,BQ1926)))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108" operator="containsText" id="{7627DD4E-6695-4889-B551-A4341C73B498}">
            <xm:f>NOT(ISERROR(SEARCH(BDD!$AF$3,BQ1926)))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109" operator="containsText" id="{4AE5762D-B858-424F-A582-1E0DCB149F7A}">
            <xm:f>NOT(ISERROR(SEARCH(BDD!$AF$2,BQ1926)))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110" operator="containsText" id="{0D96855F-77CE-43C9-BCC8-821407B8218B}">
            <xm:f>NOT(ISERROR(SEARCH(BDD!$AF$1,BQ1926)))</xm:f>
            <xm:f>BDD!$AF$1</xm:f>
            <x14:dxf>
              <font>
                <b/>
                <i val="0"/>
                <color rgb="FF00B050"/>
              </font>
            </x14:dxf>
          </x14:cfRule>
          <xm:sqref>BQ1926</xm:sqref>
        </x14:conditionalFormatting>
        <x14:conditionalFormatting xmlns:xm="http://schemas.microsoft.com/office/excel/2006/main">
          <x14:cfRule type="containsText" priority="101" operator="containsText" id="{6E59E4DF-5696-4106-A74D-A596E5562917}">
            <xm:f>NOT(ISERROR(SEARCH(BDD!$AF$4,BS1926)))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102" operator="containsText" id="{B99FC6D0-E3B7-4644-A539-85E405E9777C}">
            <xm:f>NOT(ISERROR(SEARCH(BDD!$AF$3,BS1926)))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103" operator="containsText" id="{04CF3A77-F202-4A60-9B33-C1066D058171}">
            <xm:f>NOT(ISERROR(SEARCH(BDD!$AF$2,BS1926)))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104" operator="containsText" id="{6D33E0C7-970F-4884-BEA7-BE4B564A26CD}">
            <xm:f>NOT(ISERROR(SEARCH(BDD!$AF$1,BS1926)))</xm:f>
            <xm:f>BDD!$AF$1</xm:f>
            <x14:dxf>
              <font>
                <b/>
                <i val="0"/>
                <color rgb="FF00B050"/>
              </font>
            </x14:dxf>
          </x14:cfRule>
          <xm:sqref>BS1926</xm:sqref>
        </x14:conditionalFormatting>
        <x14:conditionalFormatting xmlns:xm="http://schemas.microsoft.com/office/excel/2006/main">
          <x14:cfRule type="containsText" priority="87" operator="containsText" id="{92C9C164-2276-4D81-A3E5-CFD4E33FF774}">
            <xm:f>NOT(ISERROR(SEARCH(BDD!$AF$4,BT1926)))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88" operator="containsText" id="{A0DE8168-94DD-4381-A91C-DC7D4CF6F3DC}">
            <xm:f>NOT(ISERROR(SEARCH(BDD!$AF$3,BT1926)))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89" operator="containsText" id="{3791540C-55C0-45E2-8373-0E2B259754EB}">
            <xm:f>NOT(ISERROR(SEARCH(BDD!$AF$2,BT1926)))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90" operator="containsText" id="{D994E334-1015-44AB-BF17-9183C49F5790}">
            <xm:f>NOT(ISERROR(SEARCH(BDD!$AF$1,BT1926)))</xm:f>
            <xm:f>BDD!$AF$1</xm:f>
            <x14:dxf>
              <font>
                <b/>
                <i val="0"/>
                <color rgb="FF00B050"/>
              </font>
            </x14:dxf>
          </x14:cfRule>
          <xm:sqref>BT1926</xm:sqref>
        </x14:conditionalFormatting>
        <x14:conditionalFormatting xmlns:xm="http://schemas.microsoft.com/office/excel/2006/main">
          <x14:cfRule type="containsText" priority="83" operator="containsText" id="{B67537B0-7DC5-4B37-A468-3FBA691D9615}">
            <xm:f>NOT(ISERROR(SEARCH(BDD!$AF$4,BG2013)))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84" operator="containsText" id="{D3670466-D73E-4BA2-BEA7-34A02832BFDA}">
            <xm:f>NOT(ISERROR(SEARCH(BDD!$AF$3,BG2013)))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85" operator="containsText" id="{8AF1AF94-D5F5-4139-8D02-AA2EA98C21FC}">
            <xm:f>NOT(ISERROR(SEARCH(BDD!$AF$2,BG2013)))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86" operator="containsText" id="{C8F43BE6-3028-4D7D-9D4A-F09F1D1B0A81}">
            <xm:f>NOT(ISERROR(SEARCH(BDD!$AF$1,BG2013)))</xm:f>
            <xm:f>BDD!$AF$1</xm:f>
            <x14:dxf>
              <font>
                <b/>
                <i val="0"/>
                <color rgb="FF00B050"/>
              </font>
            </x14:dxf>
          </x14:cfRule>
          <xm:sqref>BG2013</xm:sqref>
        </x14:conditionalFormatting>
        <x14:conditionalFormatting xmlns:xm="http://schemas.microsoft.com/office/excel/2006/main">
          <x14:cfRule type="containsText" priority="77" operator="containsText" id="{C8C464BD-ED83-44CF-B18B-FFB8B074037E}">
            <xm:f>NOT(ISERROR(SEARCH(BDD!$AF$4,BO1974)))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78" operator="containsText" id="{EF65FBF3-A99E-439C-BA4E-82A69773C675}">
            <xm:f>NOT(ISERROR(SEARCH(BDD!$AF$3,BO1974)))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79" operator="containsText" id="{E82B1F7E-9909-4BC8-8237-BC5AD5B56634}">
            <xm:f>NOT(ISERROR(SEARCH(BDD!$AF$2,BO1974)))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80" operator="containsText" id="{9044978B-5FFD-43F7-9CD8-DACDE30DBF6F}">
            <xm:f>NOT(ISERROR(SEARCH(BDD!$AF$1,BO1974)))</xm:f>
            <xm:f>BDD!$AF$1</xm:f>
            <x14:dxf>
              <font>
                <b/>
                <i val="0"/>
                <color rgb="FF00B050"/>
              </font>
            </x14:dxf>
          </x14:cfRule>
          <xm:sqref>BO1974</xm:sqref>
        </x14:conditionalFormatting>
        <x14:conditionalFormatting xmlns:xm="http://schemas.microsoft.com/office/excel/2006/main">
          <x14:cfRule type="containsText" priority="73" operator="containsText" id="{83D87C16-6F2B-4F08-911E-E733832FA59D}">
            <xm:f>NOT(ISERROR(SEARCH(BDD!$AF$4,BG2014)))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74" operator="containsText" id="{50AC8E44-ED6E-474D-BD8F-6DD399C18A38}">
            <xm:f>NOT(ISERROR(SEARCH(BDD!$AF$3,BG2014)))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75" operator="containsText" id="{3E1A1B3D-B899-4202-8CB5-963E1B3C6C4D}">
            <xm:f>NOT(ISERROR(SEARCH(BDD!$AF$2,BG2014)))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76" operator="containsText" id="{3B6DA71E-B9EF-4FAF-B19B-FC04AC34A7F8}">
            <xm:f>NOT(ISERROR(SEARCH(BDD!$AF$1,BG2014)))</xm:f>
            <xm:f>BDD!$AF$1</xm:f>
            <x14:dxf>
              <font>
                <b/>
                <i val="0"/>
                <color rgb="FF00B050"/>
              </font>
            </x14:dxf>
          </x14:cfRule>
          <xm:sqref>BG2014</xm:sqref>
        </x14:conditionalFormatting>
        <x14:conditionalFormatting xmlns:xm="http://schemas.microsoft.com/office/excel/2006/main">
          <x14:cfRule type="containsText" priority="67" operator="containsText" id="{C3398910-46FE-48FA-9702-1577513EEB39}">
            <xm:f>NOT(ISERROR(SEARCH(BDD!$AF$4,BO2014)))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68" operator="containsText" id="{0067A0B8-C3DC-4541-A55D-F6DB3BE4842C}">
            <xm:f>NOT(ISERROR(SEARCH(BDD!$AF$3,BO2014)))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69" operator="containsText" id="{06586733-351F-4520-B577-F971B7F8FD94}">
            <xm:f>NOT(ISERROR(SEARCH(BDD!$AF$2,BO2014)))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70" operator="containsText" id="{3F9B6CB2-2029-4794-9CF9-5E957FF2DE36}">
            <xm:f>NOT(ISERROR(SEARCH(BDD!$AF$1,BO2014)))</xm:f>
            <xm:f>BDD!$AF$1</xm:f>
            <x14:dxf>
              <font>
                <b/>
                <i val="0"/>
                <color rgb="FF00B050"/>
              </font>
            </x14:dxf>
          </x14:cfRule>
          <xm:sqref>BO2014</xm:sqref>
        </x14:conditionalFormatting>
        <x14:conditionalFormatting xmlns:xm="http://schemas.microsoft.com/office/excel/2006/main">
          <x14:cfRule type="containsText" priority="37" operator="containsText" id="{E923FC5C-D579-4D1A-A275-3AD85D32364F}">
            <xm:f>NOT(ISERROR(SEARCH(BDD!$AF$4,BQ1928)))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38" operator="containsText" id="{45F706BD-4140-4B38-ACBE-F84CEE698E71}">
            <xm:f>NOT(ISERROR(SEARCH(BDD!$AF$3,BQ1928)))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39" operator="containsText" id="{BA3A633A-FC81-4349-80A7-5E22B410CF9B}">
            <xm:f>NOT(ISERROR(SEARCH(BDD!$AF$2,BQ1928)))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40" operator="containsText" id="{2DBEA3BF-6357-4CF3-9314-DDCDF79938E0}">
            <xm:f>NOT(ISERROR(SEARCH(BDD!$AF$1,BQ1928)))</xm:f>
            <xm:f>BDD!$AF$1</xm:f>
            <x14:dxf>
              <font>
                <b/>
                <i val="0"/>
                <color rgb="FF00B050"/>
              </font>
            </x14:dxf>
          </x14:cfRule>
          <xm:sqref>BQ1928</xm:sqref>
        </x14:conditionalFormatting>
        <x14:conditionalFormatting xmlns:xm="http://schemas.microsoft.com/office/excel/2006/main">
          <x14:cfRule type="containsText" priority="31" operator="containsText" id="{9BF61F96-9FC8-4CE0-BC47-8DD572B8EA90}">
            <xm:f>NOT(ISERROR(SEARCH(BDD!$AF$4,BS1928)))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32" operator="containsText" id="{F7E235D0-862E-47F4-A420-6796F3DC56A8}">
            <xm:f>NOT(ISERROR(SEARCH(BDD!$AF$3,BS1928)))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33" operator="containsText" id="{A51F5DBA-75AF-421E-AEBD-22B26FEEB6DE}">
            <xm:f>NOT(ISERROR(SEARCH(BDD!$AF$2,BS1928)))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34" operator="containsText" id="{960D8AEC-4865-4674-8D8C-0DF010892B2A}">
            <xm:f>NOT(ISERROR(SEARCH(BDD!$AF$1,BS1928)))</xm:f>
            <xm:f>BDD!$AF$1</xm:f>
            <x14:dxf>
              <font>
                <b/>
                <i val="0"/>
                <color rgb="FF00B050"/>
              </font>
            </x14:dxf>
          </x14:cfRule>
          <xm:sqref>BS1928</xm:sqref>
        </x14:conditionalFormatting>
        <x14:conditionalFormatting xmlns:xm="http://schemas.microsoft.com/office/excel/2006/main">
          <x14:cfRule type="containsText" priority="27" operator="containsText" id="{4FA07C19-D759-4EB3-AA47-F5EF0413CB97}">
            <xm:f>NOT(ISERROR(SEARCH(BDD!$AF$4,BC2014)))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28" operator="containsText" id="{064BDA34-AAE1-482F-B010-1FA96E2FD32C}">
            <xm:f>NOT(ISERROR(SEARCH(BDD!$AF$3,BC2014)))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29" operator="containsText" id="{965CE31A-97BD-4FA3-8B63-DBC917CFAEDF}">
            <xm:f>NOT(ISERROR(SEARCH(BDD!$AF$2,BC2014)))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30" operator="containsText" id="{BFB71233-B6A1-4B56-9DAC-90A8A62B445A}">
            <xm:f>NOT(ISERROR(SEARCH(BDD!$AF$1,BC2014)))</xm:f>
            <xm:f>BDD!$AF$1</xm:f>
            <x14:dxf>
              <font>
                <b/>
                <i val="0"/>
                <color rgb="FF00B050"/>
              </font>
            </x14:dxf>
          </x14:cfRule>
          <xm:sqref>BC2014</xm:sqref>
        </x14:conditionalFormatting>
        <x14:conditionalFormatting xmlns:xm="http://schemas.microsoft.com/office/excel/2006/main">
          <x14:cfRule type="containsText" priority="21" operator="containsText" id="{4AF981F7-C119-4B04-834B-7980D3FF76E1}">
            <xm:f>NOT(ISERROR(SEARCH(BDD!$AF$4,BE1894)))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22" operator="containsText" id="{D4B69CE9-30A5-445F-A423-8FF79D2FD0AF}">
            <xm:f>NOT(ISERROR(SEARCH(BDD!$AF$3,BE1894)))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23" operator="containsText" id="{6A29F1D9-51CB-4311-9871-0107E7892715}">
            <xm:f>NOT(ISERROR(SEARCH(BDD!$AF$2,BE1894)))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24" operator="containsText" id="{A5A65EB6-6E59-4FB7-9E02-0B7C2B2008E3}">
            <xm:f>NOT(ISERROR(SEARCH(BDD!$AF$1,BE1894)))</xm:f>
            <xm:f>BDD!$AF$1</xm:f>
            <x14:dxf>
              <font>
                <b/>
                <i val="0"/>
                <color rgb="FF00B050"/>
              </font>
            </x14:dxf>
          </x14:cfRule>
          <xm:sqref>BE1894</xm:sqref>
        </x14:conditionalFormatting>
        <x14:conditionalFormatting xmlns:xm="http://schemas.microsoft.com/office/excel/2006/main">
          <x14:cfRule type="containsText" priority="17" operator="containsText" id="{E606CE12-A9F4-46AF-99A8-94C7390D780B}">
            <xm:f>NOT(ISERROR(SEARCH(BDD!$AF$4,BJ2010)))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18" operator="containsText" id="{087591FC-32C5-4FAF-9B7B-C66D008CC589}">
            <xm:f>NOT(ISERROR(SEARCH(BDD!$AF$3,BJ2010)))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19" operator="containsText" id="{67A7853A-7402-43F6-B604-0A87C2C2872A}">
            <xm:f>NOT(ISERROR(SEARCH(BDD!$AF$2,BJ2010)))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20" operator="containsText" id="{4F50CA58-1C61-4718-8C38-E708CC35E3D7}">
            <xm:f>NOT(ISERROR(SEARCH(BDD!$AF$1,BJ2010)))</xm:f>
            <xm:f>BDD!$AF$1</xm:f>
            <x14:dxf>
              <font>
                <b/>
                <i val="0"/>
                <color rgb="FF00B050"/>
              </font>
            </x14:dxf>
          </x14:cfRule>
          <xm:sqref>BJ2010</xm:sqref>
        </x14:conditionalFormatting>
        <x14:conditionalFormatting xmlns:xm="http://schemas.microsoft.com/office/excel/2006/main">
          <x14:cfRule type="containsText" priority="13" operator="containsText" id="{0327C66D-B053-496C-A1FD-4258CF85089B}">
            <xm:f>NOT(ISERROR(SEARCH(BDD!$AF$4,BA2007)))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14" operator="containsText" id="{088892C0-53B4-480A-8995-94253E83B4F3}">
            <xm:f>NOT(ISERROR(SEARCH(BDD!$AF$3,BA2007)))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15" operator="containsText" id="{0B545B3D-ACD9-4F80-87F9-8AA314CD6DA4}">
            <xm:f>NOT(ISERROR(SEARCH(BDD!$AF$2,BA2007)))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16" operator="containsText" id="{403A1DDE-1B7D-4E55-9C3F-793D6A90E12E}">
            <xm:f>NOT(ISERROR(SEARCH(BDD!$AF$1,BA2007)))</xm:f>
            <xm:f>BDD!$AF$1</xm:f>
            <x14:dxf>
              <font>
                <b/>
                <i val="0"/>
                <color rgb="FF00B050"/>
              </font>
            </x14:dxf>
          </x14:cfRule>
          <xm:sqref>BA2007:BC2007 BE2007:BI2007</xm:sqref>
        </x14:conditionalFormatting>
        <x14:conditionalFormatting xmlns:xm="http://schemas.microsoft.com/office/excel/2006/main">
          <x14:cfRule type="containsText" priority="7" operator="containsText" id="{B9B58C17-DD35-46C7-BB33-A4DDFB1CD8FD}">
            <xm:f>NOT(ISERROR(SEARCH(BDD!$AF$4,BQ1973)))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8" operator="containsText" id="{B50BA8AA-812D-4F42-85BF-4E80267BC549}">
            <xm:f>NOT(ISERROR(SEARCH(BDD!$AF$3,BQ1973)))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9" operator="containsText" id="{9B207DB7-42DA-406A-B096-EEFF1B12C943}">
            <xm:f>NOT(ISERROR(SEARCH(BDD!$AF$2,BQ1973)))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10" operator="containsText" id="{75B36E34-541E-4BCC-B913-F1C3230FC341}">
            <xm:f>NOT(ISERROR(SEARCH(BDD!$AF$1,BQ1973)))</xm:f>
            <xm:f>BDD!$AF$1</xm:f>
            <x14:dxf>
              <font>
                <b/>
                <i val="0"/>
                <color rgb="FF00B050"/>
              </font>
            </x14:dxf>
          </x14:cfRule>
          <xm:sqref>BQ1973</xm:sqref>
        </x14:conditionalFormatting>
        <x14:conditionalFormatting xmlns:xm="http://schemas.microsoft.com/office/excel/2006/main">
          <x14:cfRule type="containsText" priority="1" operator="containsText" id="{FC03B93D-BD70-40FD-86ED-89FCAC166B73}">
            <xm:f>NOT(ISERROR(SEARCH(BDD!$AF$4,BS1973)))</xm:f>
            <xm:f>BDD!$AF$4</xm:f>
            <x14:dxf>
              <font>
                <b/>
                <i val="0"/>
                <color rgb="FF00B050"/>
              </font>
            </x14:dxf>
          </x14:cfRule>
          <x14:cfRule type="containsText" priority="2" operator="containsText" id="{D0285534-4206-458B-8848-60E7CF1F04E8}">
            <xm:f>NOT(ISERROR(SEARCH(BDD!$AF$3,BS1973)))</xm:f>
            <xm:f>BDD!$AF$3</xm:f>
            <x14:dxf>
              <font>
                <b/>
                <i val="0"/>
                <color rgb="FF00B050"/>
              </font>
            </x14:dxf>
          </x14:cfRule>
          <x14:cfRule type="containsText" priority="3" operator="containsText" id="{54254EFF-5A0A-416E-9DF6-B9CF1DE39086}">
            <xm:f>NOT(ISERROR(SEARCH(BDD!$AF$2,BS1973)))</xm:f>
            <xm:f>BDD!$AF$2</xm:f>
            <x14:dxf>
              <font>
                <b/>
                <i val="0"/>
                <color rgb="FF00B050"/>
              </font>
            </x14:dxf>
          </x14:cfRule>
          <x14:cfRule type="containsText" priority="4" operator="containsText" id="{51BD13D2-EBBB-4664-B96D-073474E8B19D}">
            <xm:f>NOT(ISERROR(SEARCH(BDD!$AF$1,BS1973)))</xm:f>
            <xm:f>BDD!$AF$1</xm:f>
            <x14:dxf>
              <font>
                <b/>
                <i val="0"/>
                <color rgb="FF00B050"/>
              </font>
            </x14:dxf>
          </x14:cfRule>
          <xm:sqref>BS1973:BT1973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0100-00000E000000}">
          <x14:formula1>
            <xm:f>BDD!$D$1:$D$107</xm:f>
          </x14:formula1>
          <xm:sqref>P2:P703</xm:sqref>
        </x14:dataValidation>
        <x14:dataValidation type="list" allowBlank="1" showInputMessage="1" showErrorMessage="1" xr:uid="{00000000-0002-0000-0100-00000F000000}">
          <x14:formula1>
            <xm:f>BDD!$P$1:$P$15</xm:f>
          </x14:formula1>
          <xm:sqref>AI2:AK1217</xm:sqref>
        </x14:dataValidation>
        <x14:dataValidation type="list" allowBlank="1" showInputMessage="1" showErrorMessage="1" xr:uid="{00000000-0002-0000-0100-000010000000}">
          <x14:formula1>
            <xm:f>BDD!$N$1:$N$7</xm:f>
          </x14:formula1>
          <xm:sqref>AG1674:AG1699 AG2:AG1192</xm:sqref>
        </x14:dataValidation>
        <x14:dataValidation type="list" allowBlank="1" showInputMessage="1" showErrorMessage="1" xr:uid="{7E2C8F8E-55CC-462C-9AAD-CAF9A37D09D3}">
          <x14:formula1>
            <xm:f>BDD!$AE$1:$AE$3</xm:f>
          </x14:formula1>
          <xm:sqref>AW2:AW1048576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CCDAF-6830-4EC6-ABE0-D9287D7C8BBA}">
  <sheetPr>
    <tabColor rgb="FFFFFF00"/>
  </sheetPr>
  <dimension ref="A1:Y239"/>
  <sheetViews>
    <sheetView showGridLines="0" zoomScaleNormal="100" workbookViewId="0">
      <selection activeCell="F12" sqref="F12 F19 T12:Y12 T19:Y19"/>
      <pivotSelection pane="bottomRight" showHeader="1" extendable="1" axis="axisRow" dimension="5" start="5" min="5" max="6" activeRow="11" activeCol="5" previousRow="11" previousCol="5" click="1" r:id="rId1">
        <pivotArea dataOnly="0" outline="0" fieldPosition="0">
          <references count="3">
            <reference field="2" count="1" selected="0">
              <x v="1"/>
            </reference>
            <reference field="29" count="1">
              <x v="423"/>
            </reference>
            <reference field="37" count="1" selected="0">
              <x v="0"/>
            </reference>
          </references>
        </pivotArea>
      </pivotSelection>
    </sheetView>
  </sheetViews>
  <sheetFormatPr baseColWidth="10" defaultColWidth="11.5703125" defaultRowHeight="12"/>
  <cols>
    <col min="1" max="1" width="10.140625" style="462" customWidth="1"/>
    <col min="2" max="2" width="13.85546875" style="461" customWidth="1"/>
    <col min="3" max="3" width="12.85546875" style="461" customWidth="1"/>
    <col min="4" max="4" width="11.5703125" style="462" customWidth="1"/>
    <col min="5" max="5" width="10.28515625" style="462" bestFit="1" customWidth="1"/>
    <col min="6" max="6" width="11.7109375" style="463" customWidth="1"/>
    <col min="7" max="7" width="13.7109375" style="461" bestFit="1" customWidth="1"/>
    <col min="8" max="8" width="21.5703125" style="461" bestFit="1" customWidth="1"/>
    <col min="9" max="9" width="8.5703125" style="461" customWidth="1"/>
    <col min="10" max="10" width="7.85546875" style="461" customWidth="1"/>
    <col min="11" max="11" width="21.5703125" style="461" customWidth="1"/>
    <col min="12" max="13" width="10.7109375" style="461" customWidth="1"/>
    <col min="14" max="14" width="12.140625" style="461" bestFit="1" customWidth="1"/>
    <col min="15" max="15" width="17.140625" style="461" bestFit="1" customWidth="1"/>
    <col min="16" max="16" width="12" style="461" customWidth="1"/>
    <col min="17" max="17" width="11.42578125" style="461" bestFit="1" customWidth="1"/>
    <col min="18" max="18" width="8.7109375" style="461" customWidth="1"/>
    <col min="19" max="19" width="12.140625" style="461" hidden="1" customWidth="1"/>
    <col min="20" max="25" width="0" style="461" hidden="1" customWidth="1"/>
    <col min="26" max="16384" width="11.5703125" style="461"/>
  </cols>
  <sheetData>
    <row r="1" spans="1:25" ht="15">
      <c r="A1"/>
      <c r="B1"/>
    </row>
    <row r="2" spans="1:25">
      <c r="A2" s="481" t="s">
        <v>7911</v>
      </c>
      <c r="B2" s="462">
        <v>2022</v>
      </c>
    </row>
    <row r="3" spans="1:25">
      <c r="A3" s="481" t="s">
        <v>410</v>
      </c>
      <c r="B3" s="461" t="s">
        <v>5398</v>
      </c>
    </row>
    <row r="5" spans="1:25">
      <c r="B5" s="462"/>
      <c r="C5" s="462"/>
      <c r="F5" s="462"/>
      <c r="G5" s="462"/>
      <c r="H5" s="462"/>
      <c r="I5" s="462"/>
      <c r="J5" s="462"/>
      <c r="K5" s="462"/>
      <c r="L5" s="462"/>
      <c r="M5" s="462"/>
      <c r="N5" s="462"/>
      <c r="O5" s="462"/>
      <c r="P5" s="462"/>
      <c r="Q5" s="462"/>
      <c r="R5" s="462"/>
      <c r="S5" s="462"/>
    </row>
    <row r="6" spans="1:25" s="464" customFormat="1" ht="36">
      <c r="A6" s="486" t="s">
        <v>457</v>
      </c>
      <c r="B6" s="486" t="s">
        <v>411</v>
      </c>
      <c r="C6" s="486" t="s">
        <v>413</v>
      </c>
      <c r="D6" s="485" t="s">
        <v>460</v>
      </c>
      <c r="E6" s="486" t="s">
        <v>415</v>
      </c>
      <c r="F6" s="481" t="s">
        <v>434</v>
      </c>
      <c r="G6" s="486" t="s">
        <v>422</v>
      </c>
      <c r="H6" s="486" t="s">
        <v>421</v>
      </c>
      <c r="I6" s="486" t="s">
        <v>431</v>
      </c>
      <c r="J6" s="484" t="s">
        <v>435</v>
      </c>
      <c r="K6" s="486" t="s">
        <v>467</v>
      </c>
      <c r="L6" s="486" t="s">
        <v>471</v>
      </c>
      <c r="M6" s="481" t="s">
        <v>466</v>
      </c>
      <c r="N6" s="486" t="s">
        <v>445</v>
      </c>
      <c r="O6" s="481" t="s">
        <v>447</v>
      </c>
      <c r="P6" s="481" t="s">
        <v>442</v>
      </c>
      <c r="Q6" s="484" t="s">
        <v>448</v>
      </c>
      <c r="R6" s="486" t="s">
        <v>463</v>
      </c>
      <c r="S6" s="486" t="s">
        <v>451</v>
      </c>
      <c r="T6" s="461"/>
      <c r="U6" s="461"/>
      <c r="V6" s="461"/>
      <c r="W6" s="461"/>
      <c r="X6" s="461"/>
      <c r="Y6" s="461"/>
    </row>
    <row r="7" spans="1:25">
      <c r="A7" s="465">
        <v>44701</v>
      </c>
      <c r="B7" s="482" t="s">
        <v>56</v>
      </c>
      <c r="C7" s="482" t="s">
        <v>7504</v>
      </c>
      <c r="D7" s="492">
        <v>44701</v>
      </c>
      <c r="E7" s="482">
        <v>8000001985</v>
      </c>
      <c r="F7" s="461">
        <v>219800</v>
      </c>
      <c r="G7" s="461" t="s">
        <v>6000</v>
      </c>
      <c r="H7" s="461" t="s">
        <v>241</v>
      </c>
      <c r="I7" s="461">
        <v>140</v>
      </c>
      <c r="J7" s="461">
        <v>5</v>
      </c>
      <c r="K7" s="461" t="s">
        <v>8009</v>
      </c>
      <c r="L7" s="461" t="s">
        <v>8111</v>
      </c>
      <c r="M7" s="461" t="s">
        <v>1622</v>
      </c>
      <c r="N7" s="461" t="s">
        <v>7499</v>
      </c>
      <c r="O7" s="461" t="s">
        <v>6003</v>
      </c>
      <c r="P7" s="461">
        <v>8121</v>
      </c>
      <c r="Q7" s="461" t="s">
        <v>6003</v>
      </c>
      <c r="R7" s="461" t="s">
        <v>62</v>
      </c>
      <c r="S7" s="461" t="s">
        <v>3264</v>
      </c>
    </row>
    <row r="8" spans="1:25">
      <c r="A8" s="470">
        <v>44702</v>
      </c>
      <c r="B8" s="461" t="s">
        <v>56</v>
      </c>
      <c r="C8" s="482" t="s">
        <v>7955</v>
      </c>
      <c r="D8" s="492">
        <v>44702</v>
      </c>
      <c r="E8" s="482">
        <v>8000002024</v>
      </c>
      <c r="F8" s="461">
        <v>87920</v>
      </c>
      <c r="G8" s="461" t="s">
        <v>6000</v>
      </c>
      <c r="H8" s="461" t="s">
        <v>241</v>
      </c>
      <c r="I8" s="461">
        <v>56</v>
      </c>
      <c r="J8" s="461">
        <v>2</v>
      </c>
      <c r="K8" s="461" t="s">
        <v>8023</v>
      </c>
      <c r="L8" s="461" t="s">
        <v>8111</v>
      </c>
      <c r="M8" s="461" t="s">
        <v>1622</v>
      </c>
      <c r="N8" s="461" t="s">
        <v>7499</v>
      </c>
      <c r="O8" s="461" t="s">
        <v>6003</v>
      </c>
      <c r="P8" s="461" t="s">
        <v>8008</v>
      </c>
      <c r="Q8" s="461" t="s">
        <v>6003</v>
      </c>
      <c r="R8" s="461" t="s">
        <v>62</v>
      </c>
      <c r="S8" s="461" t="s">
        <v>3264</v>
      </c>
    </row>
    <row r="9" spans="1:25">
      <c r="A9" s="470">
        <v>44708</v>
      </c>
      <c r="B9" s="466" t="s">
        <v>45</v>
      </c>
      <c r="C9" s="482" t="s">
        <v>6384</v>
      </c>
      <c r="D9" s="492">
        <v>44714</v>
      </c>
      <c r="E9" s="482">
        <v>8000002028</v>
      </c>
      <c r="F9" s="461">
        <v>117072</v>
      </c>
      <c r="G9" s="461" t="s">
        <v>237</v>
      </c>
      <c r="H9" s="461" t="s">
        <v>2</v>
      </c>
      <c r="I9" s="461">
        <v>72</v>
      </c>
      <c r="J9" s="461">
        <v>3</v>
      </c>
      <c r="K9" s="461" t="s">
        <v>8065</v>
      </c>
      <c r="L9" s="461" t="s">
        <v>8111</v>
      </c>
      <c r="M9" s="467">
        <v>44664</v>
      </c>
      <c r="N9" s="461" t="s">
        <v>6392</v>
      </c>
      <c r="O9" s="461" t="s">
        <v>7901</v>
      </c>
      <c r="P9" s="461" t="s">
        <v>6390</v>
      </c>
      <c r="Q9" s="461" t="s">
        <v>14</v>
      </c>
      <c r="R9" s="461" t="s">
        <v>9</v>
      </c>
      <c r="S9" s="461" t="s">
        <v>3264</v>
      </c>
    </row>
    <row r="10" spans="1:25">
      <c r="A10" s="468"/>
      <c r="B10" s="491" t="s">
        <v>68</v>
      </c>
      <c r="C10" s="482" t="s">
        <v>7272</v>
      </c>
      <c r="D10" s="492">
        <v>44711</v>
      </c>
      <c r="E10" s="482">
        <v>8000001841</v>
      </c>
      <c r="F10" s="461">
        <v>421025</v>
      </c>
      <c r="G10" s="461" t="s">
        <v>297</v>
      </c>
      <c r="H10" s="461" t="s">
        <v>241</v>
      </c>
      <c r="I10" s="461">
        <v>275</v>
      </c>
      <c r="J10" s="461">
        <v>10</v>
      </c>
      <c r="K10" s="461" t="s">
        <v>8068</v>
      </c>
      <c r="L10" s="461" t="s">
        <v>8111</v>
      </c>
      <c r="M10" s="467">
        <v>44701</v>
      </c>
      <c r="N10" s="461" t="s">
        <v>5402</v>
      </c>
      <c r="O10" s="461" t="s">
        <v>7269</v>
      </c>
      <c r="P10" s="461" t="s">
        <v>7274</v>
      </c>
      <c r="Q10" s="461" t="s">
        <v>14</v>
      </c>
      <c r="R10" s="461" t="s">
        <v>9</v>
      </c>
      <c r="S10" s="461" t="s">
        <v>3264</v>
      </c>
    </row>
    <row r="11" spans="1:25">
      <c r="A11" s="468"/>
      <c r="B11" s="469" t="s">
        <v>56</v>
      </c>
      <c r="C11" s="482" t="s">
        <v>8055</v>
      </c>
      <c r="D11" s="492">
        <v>44708</v>
      </c>
      <c r="E11" s="482">
        <v>8000002025</v>
      </c>
      <c r="F11" s="461">
        <v>43960</v>
      </c>
      <c r="G11" s="461" t="s">
        <v>6000</v>
      </c>
      <c r="H11" s="461" t="s">
        <v>241</v>
      </c>
      <c r="I11" s="461">
        <v>28</v>
      </c>
      <c r="J11" s="461">
        <v>1</v>
      </c>
      <c r="K11" s="461" t="s">
        <v>8075</v>
      </c>
      <c r="L11" s="461" t="s">
        <v>8111</v>
      </c>
      <c r="M11" s="461" t="s">
        <v>1622</v>
      </c>
      <c r="N11" s="461" t="s">
        <v>7499</v>
      </c>
      <c r="O11" s="461" t="s">
        <v>6003</v>
      </c>
      <c r="P11" s="461">
        <v>8136</v>
      </c>
      <c r="Q11" s="461" t="s">
        <v>6003</v>
      </c>
      <c r="R11" s="461" t="s">
        <v>62</v>
      </c>
      <c r="S11" s="461" t="s">
        <v>3264</v>
      </c>
    </row>
    <row r="12" spans="1:25">
      <c r="A12" s="470">
        <v>44713</v>
      </c>
      <c r="B12" s="482" t="s">
        <v>18</v>
      </c>
      <c r="C12" s="482" t="s">
        <v>7931</v>
      </c>
      <c r="D12" s="483">
        <v>44718</v>
      </c>
      <c r="E12" s="482">
        <v>8000002011</v>
      </c>
      <c r="F12" s="461">
        <v>56700</v>
      </c>
      <c r="G12" s="461" t="s">
        <v>303</v>
      </c>
      <c r="H12" s="461" t="s">
        <v>383</v>
      </c>
      <c r="I12" s="461">
        <v>54</v>
      </c>
      <c r="J12" s="461">
        <v>2</v>
      </c>
      <c r="K12" s="461" t="s">
        <v>8098</v>
      </c>
      <c r="L12" s="461" t="s">
        <v>8111</v>
      </c>
      <c r="M12" s="461" t="s">
        <v>8111</v>
      </c>
      <c r="N12" s="461" t="s">
        <v>6982</v>
      </c>
      <c r="O12" s="461" t="s">
        <v>8046</v>
      </c>
      <c r="P12" s="461" t="s">
        <v>8029</v>
      </c>
      <c r="Q12" s="461" t="s">
        <v>64</v>
      </c>
      <c r="R12" s="461" t="s">
        <v>9</v>
      </c>
      <c r="S12" s="461" t="s">
        <v>3264</v>
      </c>
    </row>
    <row r="13" spans="1:25">
      <c r="A13" s="470">
        <v>44714</v>
      </c>
      <c r="B13" s="461" t="s">
        <v>18</v>
      </c>
      <c r="C13" s="461" t="s">
        <v>7490</v>
      </c>
      <c r="D13" s="467">
        <v>44718</v>
      </c>
      <c r="E13" s="461">
        <v>8000001897</v>
      </c>
      <c r="F13" s="461">
        <v>233505.8</v>
      </c>
      <c r="G13" s="461" t="s">
        <v>303</v>
      </c>
      <c r="H13" s="461" t="s">
        <v>391</v>
      </c>
      <c r="I13" s="461">
        <v>242</v>
      </c>
      <c r="J13" s="461">
        <v>11</v>
      </c>
      <c r="K13" s="461" t="s">
        <v>8097</v>
      </c>
      <c r="L13" s="461" t="s">
        <v>8111</v>
      </c>
      <c r="M13" s="467">
        <v>44708</v>
      </c>
      <c r="N13" s="461" t="s">
        <v>6982</v>
      </c>
      <c r="O13" s="461" t="s">
        <v>1938</v>
      </c>
      <c r="P13" s="461" t="s">
        <v>7914</v>
      </c>
      <c r="Q13" s="461" t="s">
        <v>29</v>
      </c>
      <c r="R13" s="461" t="s">
        <v>62</v>
      </c>
      <c r="S13" s="461" t="s">
        <v>3264</v>
      </c>
    </row>
    <row r="14" spans="1:25">
      <c r="A14" s="468"/>
      <c r="C14" s="461" t="s">
        <v>8054</v>
      </c>
      <c r="D14" s="467">
        <v>44714</v>
      </c>
      <c r="E14" s="461">
        <v>8000002026</v>
      </c>
      <c r="F14" s="461">
        <v>175840</v>
      </c>
      <c r="G14" s="461" t="s">
        <v>6000</v>
      </c>
      <c r="H14" s="461" t="s">
        <v>241</v>
      </c>
      <c r="I14" s="461">
        <v>112</v>
      </c>
      <c r="J14" s="461">
        <v>4</v>
      </c>
      <c r="K14" s="461" t="s">
        <v>8110</v>
      </c>
      <c r="L14" s="461" t="s">
        <v>8111</v>
      </c>
      <c r="M14" s="461" t="s">
        <v>1622</v>
      </c>
      <c r="N14" s="461" t="s">
        <v>7499</v>
      </c>
      <c r="O14" s="461" t="s">
        <v>6003</v>
      </c>
      <c r="P14" s="461">
        <v>8137</v>
      </c>
      <c r="Q14" s="461" t="s">
        <v>6003</v>
      </c>
      <c r="R14" s="461" t="s">
        <v>62</v>
      </c>
      <c r="S14" s="461" t="s">
        <v>3264</v>
      </c>
    </row>
    <row r="15" spans="1:25">
      <c r="A15" s="470">
        <v>44715</v>
      </c>
      <c r="B15" s="461" t="s">
        <v>18</v>
      </c>
      <c r="C15" s="461" t="s">
        <v>7562</v>
      </c>
      <c r="D15" s="467">
        <v>44718</v>
      </c>
      <c r="E15" s="461">
        <v>8000001921</v>
      </c>
      <c r="F15" s="461">
        <v>7115.1312870000002</v>
      </c>
      <c r="G15" s="461" t="s">
        <v>6955</v>
      </c>
      <c r="H15" s="461" t="s">
        <v>7563</v>
      </c>
      <c r="I15" s="461">
        <v>3.3</v>
      </c>
      <c r="J15" s="461">
        <v>1</v>
      </c>
      <c r="K15" s="461" t="s">
        <v>8111</v>
      </c>
      <c r="L15" s="461" t="s">
        <v>8111</v>
      </c>
      <c r="M15" s="461" t="s">
        <v>8111</v>
      </c>
      <c r="N15" s="461" t="s">
        <v>6959</v>
      </c>
      <c r="O15" s="461" t="s">
        <v>814</v>
      </c>
      <c r="P15" s="461" t="s">
        <v>7565</v>
      </c>
      <c r="Q15" s="461" t="s">
        <v>29</v>
      </c>
      <c r="R15" s="461" t="s">
        <v>37</v>
      </c>
      <c r="S15" s="461" t="s">
        <v>3291</v>
      </c>
    </row>
    <row r="16" spans="1:25">
      <c r="A16" s="468"/>
      <c r="C16" s="461" t="s">
        <v>7567</v>
      </c>
      <c r="D16" s="467">
        <v>44719</v>
      </c>
      <c r="E16" s="461">
        <v>8000001921</v>
      </c>
      <c r="F16" s="461">
        <v>4795.1672673600006</v>
      </c>
      <c r="G16" s="461" t="s">
        <v>6955</v>
      </c>
      <c r="H16" s="461" t="s">
        <v>6954</v>
      </c>
      <c r="I16" s="461">
        <v>2.2240000000000002</v>
      </c>
      <c r="J16" s="461" t="s">
        <v>944</v>
      </c>
      <c r="K16" s="461" t="s">
        <v>8111</v>
      </c>
      <c r="L16" s="461" t="s">
        <v>8111</v>
      </c>
      <c r="M16" s="461" t="s">
        <v>8111</v>
      </c>
      <c r="N16" s="461" t="s">
        <v>6959</v>
      </c>
      <c r="O16" s="461" t="s">
        <v>814</v>
      </c>
      <c r="P16" s="461" t="s">
        <v>7565</v>
      </c>
      <c r="Q16" s="461" t="s">
        <v>29</v>
      </c>
      <c r="R16" s="461" t="s">
        <v>37</v>
      </c>
      <c r="S16" s="461" t="s">
        <v>3291</v>
      </c>
    </row>
    <row r="17" spans="1:19">
      <c r="A17" s="468"/>
      <c r="C17" s="461" t="s">
        <v>7568</v>
      </c>
      <c r="D17" s="467">
        <v>44720</v>
      </c>
      <c r="E17" s="461">
        <v>8000001921</v>
      </c>
      <c r="F17" s="461">
        <v>11508.401441664</v>
      </c>
      <c r="G17" s="461" t="s">
        <v>6955</v>
      </c>
      <c r="H17" s="461" t="s">
        <v>7569</v>
      </c>
      <c r="I17" s="461">
        <v>5.3376000000000001</v>
      </c>
      <c r="J17" s="461" t="s">
        <v>944</v>
      </c>
      <c r="K17" s="461" t="s">
        <v>8111</v>
      </c>
      <c r="L17" s="461" t="s">
        <v>8111</v>
      </c>
      <c r="M17" s="461" t="s">
        <v>8111</v>
      </c>
      <c r="N17" s="461" t="s">
        <v>6959</v>
      </c>
      <c r="O17" s="461" t="s">
        <v>814</v>
      </c>
      <c r="P17" s="461" t="s">
        <v>7565</v>
      </c>
      <c r="Q17" s="461" t="s">
        <v>29</v>
      </c>
      <c r="R17" s="461" t="s">
        <v>37</v>
      </c>
      <c r="S17" s="461" t="s">
        <v>3291</v>
      </c>
    </row>
    <row r="18" spans="1:19">
      <c r="A18" s="468"/>
      <c r="C18" s="466" t="s">
        <v>7576</v>
      </c>
      <c r="D18" s="483">
        <v>44719</v>
      </c>
      <c r="E18" s="482">
        <v>8000002010</v>
      </c>
      <c r="F18" s="461">
        <v>226800</v>
      </c>
      <c r="G18" s="461" t="s">
        <v>303</v>
      </c>
      <c r="H18" s="461" t="s">
        <v>383</v>
      </c>
      <c r="I18" s="461">
        <v>216</v>
      </c>
      <c r="J18" s="461">
        <v>8</v>
      </c>
      <c r="K18" s="461" t="s">
        <v>8111</v>
      </c>
      <c r="L18" s="461" t="s">
        <v>8111</v>
      </c>
      <c r="M18" s="461" t="s">
        <v>8111</v>
      </c>
      <c r="N18" s="461" t="s">
        <v>6982</v>
      </c>
      <c r="O18" s="461" t="s">
        <v>814</v>
      </c>
      <c r="P18" s="461" t="s">
        <v>7889</v>
      </c>
      <c r="Q18" s="461" t="s">
        <v>64</v>
      </c>
      <c r="R18" s="461" t="s">
        <v>37</v>
      </c>
      <c r="S18" s="461" t="s">
        <v>3264</v>
      </c>
    </row>
    <row r="19" spans="1:19">
      <c r="A19" s="489"/>
      <c r="C19" s="469" t="s">
        <v>7577</v>
      </c>
      <c r="D19" s="483">
        <v>44720</v>
      </c>
      <c r="E19" s="482">
        <v>8000002013</v>
      </c>
      <c r="F19" s="461">
        <v>56700</v>
      </c>
      <c r="G19" s="461" t="s">
        <v>303</v>
      </c>
      <c r="H19" s="461" t="s">
        <v>383</v>
      </c>
      <c r="I19" s="461">
        <v>54</v>
      </c>
      <c r="J19" s="461">
        <v>2</v>
      </c>
      <c r="K19" s="461" t="s">
        <v>8111</v>
      </c>
      <c r="L19" s="461" t="s">
        <v>8111</v>
      </c>
      <c r="M19" s="461" t="s">
        <v>8111</v>
      </c>
      <c r="N19" s="461" t="s">
        <v>6982</v>
      </c>
      <c r="O19" s="461" t="s">
        <v>814</v>
      </c>
      <c r="P19" s="461" t="s">
        <v>8030</v>
      </c>
      <c r="Q19" s="461" t="s">
        <v>64</v>
      </c>
      <c r="R19" s="461" t="s">
        <v>37</v>
      </c>
      <c r="S19" s="461" t="s">
        <v>3264</v>
      </c>
    </row>
    <row r="20" spans="1:19">
      <c r="A20" s="467">
        <v>44718</v>
      </c>
      <c r="B20" s="461" t="s">
        <v>18</v>
      </c>
      <c r="C20" s="461" t="s">
        <v>7438</v>
      </c>
      <c r="D20" s="467">
        <v>44720</v>
      </c>
      <c r="E20" s="461">
        <v>8000001874</v>
      </c>
      <c r="F20" s="461">
        <v>2755487.9999999995</v>
      </c>
      <c r="G20" s="461" t="s">
        <v>237</v>
      </c>
      <c r="H20" s="461" t="s">
        <v>7440</v>
      </c>
      <c r="I20" s="461">
        <v>2400</v>
      </c>
      <c r="J20" s="461" t="s">
        <v>1622</v>
      </c>
      <c r="K20" s="461" t="s">
        <v>8111</v>
      </c>
      <c r="L20" s="461" t="s">
        <v>8111</v>
      </c>
      <c r="M20" s="461" t="s">
        <v>8111</v>
      </c>
      <c r="N20" s="461" t="s">
        <v>7443</v>
      </c>
      <c r="O20" s="461" t="s">
        <v>7444</v>
      </c>
      <c r="P20" s="461" t="s">
        <v>7998</v>
      </c>
      <c r="Q20" s="461" t="s">
        <v>52</v>
      </c>
      <c r="R20" s="461" t="s">
        <v>9</v>
      </c>
      <c r="S20" s="461" t="s">
        <v>3264</v>
      </c>
    </row>
    <row r="21" spans="1:19">
      <c r="A21" s="461"/>
      <c r="C21" s="461" t="s">
        <v>7540</v>
      </c>
      <c r="D21" s="467">
        <v>44718</v>
      </c>
      <c r="E21" s="461">
        <v>8000001955</v>
      </c>
      <c r="F21" s="461">
        <v>357900</v>
      </c>
      <c r="G21" s="461" t="s">
        <v>237</v>
      </c>
      <c r="H21" s="461" t="s">
        <v>104</v>
      </c>
      <c r="I21" s="461">
        <v>300</v>
      </c>
      <c r="J21" s="461" t="s">
        <v>1622</v>
      </c>
      <c r="K21" s="461" t="s">
        <v>8111</v>
      </c>
      <c r="L21" s="461" t="s">
        <v>8111</v>
      </c>
      <c r="M21" s="461" t="s">
        <v>8111</v>
      </c>
      <c r="N21" s="461" t="s">
        <v>7545</v>
      </c>
      <c r="O21" s="461" t="s">
        <v>7444</v>
      </c>
      <c r="P21" s="461">
        <v>4</v>
      </c>
      <c r="Q21" s="461" t="s">
        <v>52</v>
      </c>
      <c r="R21" s="461" t="s">
        <v>9</v>
      </c>
      <c r="S21" s="461" t="s">
        <v>3264</v>
      </c>
    </row>
    <row r="22" spans="1:19">
      <c r="A22" s="465">
        <v>44719</v>
      </c>
      <c r="B22" s="461" t="s">
        <v>18</v>
      </c>
      <c r="C22" s="482" t="s">
        <v>7459</v>
      </c>
      <c r="D22" s="483">
        <v>44722</v>
      </c>
      <c r="E22" s="482">
        <v>8000001949</v>
      </c>
      <c r="F22" s="461">
        <v>438209.31300000002</v>
      </c>
      <c r="G22" s="461" t="s">
        <v>303</v>
      </c>
      <c r="H22" s="461" t="s">
        <v>386</v>
      </c>
      <c r="I22" s="461">
        <v>458.33</v>
      </c>
      <c r="J22" s="461">
        <v>17</v>
      </c>
      <c r="K22" s="461" t="s">
        <v>8111</v>
      </c>
      <c r="L22" s="461" t="s">
        <v>8111</v>
      </c>
      <c r="M22" s="461" t="s">
        <v>8111</v>
      </c>
      <c r="N22" s="461" t="s">
        <v>6218</v>
      </c>
      <c r="O22" s="461" t="s">
        <v>947</v>
      </c>
      <c r="P22" s="461" t="s">
        <v>7462</v>
      </c>
      <c r="Q22" s="461" t="s">
        <v>29</v>
      </c>
      <c r="R22" s="461" t="s">
        <v>9</v>
      </c>
      <c r="S22" s="461" t="s">
        <v>3264</v>
      </c>
    </row>
    <row r="23" spans="1:19">
      <c r="A23" s="470">
        <v>44722</v>
      </c>
      <c r="B23" s="461" t="s">
        <v>18</v>
      </c>
      <c r="C23" s="466" t="s">
        <v>7529</v>
      </c>
      <c r="D23" s="483">
        <v>44726</v>
      </c>
      <c r="E23" s="482">
        <v>8000001959</v>
      </c>
      <c r="F23" s="461">
        <v>850000</v>
      </c>
      <c r="G23" s="461" t="s">
        <v>264</v>
      </c>
      <c r="H23" s="461" t="s">
        <v>343</v>
      </c>
      <c r="I23" s="461">
        <v>1000</v>
      </c>
      <c r="J23" s="461" t="s">
        <v>1622</v>
      </c>
      <c r="K23" s="461" t="s">
        <v>8111</v>
      </c>
      <c r="L23" s="461" t="s">
        <v>8111</v>
      </c>
      <c r="M23" s="461" t="s">
        <v>8111</v>
      </c>
      <c r="N23" s="461" t="s">
        <v>5402</v>
      </c>
      <c r="O23" s="461" t="s">
        <v>7070</v>
      </c>
      <c r="P23" s="461" t="s">
        <v>7934</v>
      </c>
      <c r="Q23" s="461" t="s">
        <v>52</v>
      </c>
      <c r="R23" s="461" t="s">
        <v>37</v>
      </c>
      <c r="S23" s="461" t="s">
        <v>3291</v>
      </c>
    </row>
    <row r="24" spans="1:19">
      <c r="A24" s="489"/>
      <c r="C24" s="469" t="s">
        <v>7068</v>
      </c>
      <c r="D24" s="483">
        <v>44726</v>
      </c>
      <c r="E24" s="482">
        <v>8000001787</v>
      </c>
      <c r="F24" s="461">
        <v>852120</v>
      </c>
      <c r="G24" s="461" t="s">
        <v>110</v>
      </c>
      <c r="H24" s="461" t="s">
        <v>152</v>
      </c>
      <c r="I24" s="461">
        <v>648</v>
      </c>
      <c r="J24" s="461" t="s">
        <v>1622</v>
      </c>
      <c r="K24" s="461" t="s">
        <v>8111</v>
      </c>
      <c r="L24" s="461" t="s">
        <v>8111</v>
      </c>
      <c r="M24" s="461" t="s">
        <v>8111</v>
      </c>
      <c r="N24" s="461" t="s">
        <v>5402</v>
      </c>
      <c r="O24" s="461" t="s">
        <v>7070</v>
      </c>
      <c r="P24" s="461" t="s">
        <v>8111</v>
      </c>
      <c r="Q24" s="461" t="s">
        <v>52</v>
      </c>
      <c r="R24" s="461" t="s">
        <v>37</v>
      </c>
      <c r="S24" s="461" t="s">
        <v>3291</v>
      </c>
    </row>
    <row r="25" spans="1:19">
      <c r="A25" s="467">
        <v>44723</v>
      </c>
      <c r="B25" s="461" t="s">
        <v>18</v>
      </c>
      <c r="C25" s="461" t="s">
        <v>7445</v>
      </c>
      <c r="D25" s="467">
        <v>44725</v>
      </c>
      <c r="E25" s="461" t="s">
        <v>8111</v>
      </c>
      <c r="F25" s="461">
        <v>2755487.9999999995</v>
      </c>
      <c r="G25" s="461" t="s">
        <v>237</v>
      </c>
      <c r="H25" s="461" t="s">
        <v>7440</v>
      </c>
      <c r="I25" s="461">
        <v>2400</v>
      </c>
      <c r="J25" s="461" t="s">
        <v>1622</v>
      </c>
      <c r="K25" s="461" t="s">
        <v>8111</v>
      </c>
      <c r="L25" s="461" t="s">
        <v>8111</v>
      </c>
      <c r="M25" s="461" t="s">
        <v>8111</v>
      </c>
      <c r="N25" s="461" t="s">
        <v>7443</v>
      </c>
      <c r="O25" s="461" t="s">
        <v>7444</v>
      </c>
      <c r="P25" s="461" t="s">
        <v>7999</v>
      </c>
      <c r="Q25" s="461" t="s">
        <v>52</v>
      </c>
      <c r="R25" s="461" t="s">
        <v>25</v>
      </c>
      <c r="S25" s="461" t="s">
        <v>3264</v>
      </c>
    </row>
    <row r="26" spans="1:19">
      <c r="A26" s="461"/>
      <c r="C26" s="461" t="s">
        <v>7546</v>
      </c>
      <c r="D26" s="467">
        <v>44721</v>
      </c>
      <c r="E26" s="461">
        <v>8000001956</v>
      </c>
      <c r="F26" s="461">
        <v>954400</v>
      </c>
      <c r="G26" s="461" t="s">
        <v>237</v>
      </c>
      <c r="H26" s="461" t="s">
        <v>104</v>
      </c>
      <c r="I26" s="461">
        <v>800</v>
      </c>
      <c r="J26" s="461" t="s">
        <v>1622</v>
      </c>
      <c r="K26" s="461" t="s">
        <v>8111</v>
      </c>
      <c r="L26" s="461" t="s">
        <v>8111</v>
      </c>
      <c r="M26" s="461" t="s">
        <v>8111</v>
      </c>
      <c r="N26" s="461" t="s">
        <v>7545</v>
      </c>
      <c r="O26" s="461" t="s">
        <v>7444</v>
      </c>
      <c r="P26" s="461">
        <v>5</v>
      </c>
      <c r="Q26" s="461" t="s">
        <v>52</v>
      </c>
      <c r="R26" s="461" t="s">
        <v>25</v>
      </c>
      <c r="S26" s="461" t="s">
        <v>3264</v>
      </c>
    </row>
    <row r="27" spans="1:19">
      <c r="A27" s="467">
        <v>44727</v>
      </c>
      <c r="B27" s="461" t="s">
        <v>18</v>
      </c>
      <c r="C27" s="461" t="s">
        <v>7446</v>
      </c>
      <c r="D27" s="467">
        <v>44729</v>
      </c>
      <c r="E27" s="461" t="s">
        <v>8111</v>
      </c>
      <c r="F27" s="461">
        <v>3444359.9999999995</v>
      </c>
      <c r="G27" s="461" t="s">
        <v>237</v>
      </c>
      <c r="H27" s="461" t="s">
        <v>7440</v>
      </c>
      <c r="I27" s="461">
        <v>3000</v>
      </c>
      <c r="J27" s="461" t="s">
        <v>1622</v>
      </c>
      <c r="K27" s="461" t="s">
        <v>8111</v>
      </c>
      <c r="L27" s="461" t="s">
        <v>8111</v>
      </c>
      <c r="M27" s="461" t="s">
        <v>8111</v>
      </c>
      <c r="N27" s="461" t="s">
        <v>7443</v>
      </c>
      <c r="O27" s="461" t="s">
        <v>7444</v>
      </c>
      <c r="P27" s="461" t="s">
        <v>7997</v>
      </c>
      <c r="Q27" s="461" t="s">
        <v>52</v>
      </c>
      <c r="R27" s="461" t="s">
        <v>37</v>
      </c>
      <c r="S27" s="461" t="s">
        <v>3291</v>
      </c>
    </row>
    <row r="28" spans="1:19">
      <c r="A28" s="461"/>
      <c r="C28" s="461" t="s">
        <v>7548</v>
      </c>
      <c r="D28" s="467">
        <v>44729</v>
      </c>
      <c r="E28" s="461">
        <v>8000001957</v>
      </c>
      <c r="F28" s="461">
        <v>2028100</v>
      </c>
      <c r="G28" s="461" t="s">
        <v>237</v>
      </c>
      <c r="H28" s="461" t="s">
        <v>104</v>
      </c>
      <c r="I28" s="461">
        <v>1700</v>
      </c>
      <c r="J28" s="461" t="s">
        <v>1622</v>
      </c>
      <c r="K28" s="461" t="s">
        <v>8111</v>
      </c>
      <c r="L28" s="461" t="s">
        <v>8111</v>
      </c>
      <c r="M28" s="461" t="s">
        <v>8111</v>
      </c>
      <c r="N28" s="461" t="s">
        <v>7545</v>
      </c>
      <c r="O28" s="461" t="s">
        <v>7444</v>
      </c>
      <c r="P28" s="461">
        <v>6</v>
      </c>
      <c r="Q28" s="461" t="s">
        <v>52</v>
      </c>
      <c r="R28" s="461" t="s">
        <v>37</v>
      </c>
      <c r="S28" s="461" t="s">
        <v>3291</v>
      </c>
    </row>
    <row r="29" spans="1:19">
      <c r="A29" s="465">
        <v>44729</v>
      </c>
      <c r="B29" s="461" t="s">
        <v>18</v>
      </c>
      <c r="C29" s="482" t="s">
        <v>7014</v>
      </c>
      <c r="D29" s="483">
        <v>44733</v>
      </c>
      <c r="E29" s="461">
        <v>8000002033</v>
      </c>
      <c r="F29" s="461">
        <v>207600</v>
      </c>
      <c r="G29" s="461" t="s">
        <v>7006</v>
      </c>
      <c r="H29" s="461" t="s">
        <v>8082</v>
      </c>
      <c r="I29" s="461">
        <v>150</v>
      </c>
      <c r="J29" s="461">
        <v>6</v>
      </c>
      <c r="K29" s="461" t="s">
        <v>8111</v>
      </c>
      <c r="L29" s="461" t="s">
        <v>8111</v>
      </c>
      <c r="M29" s="461" t="s">
        <v>8111</v>
      </c>
      <c r="N29" s="461" t="s">
        <v>7012</v>
      </c>
      <c r="O29" s="461" t="s">
        <v>6967</v>
      </c>
      <c r="P29" s="461" t="s">
        <v>7016</v>
      </c>
      <c r="Q29" s="461" t="s">
        <v>64</v>
      </c>
      <c r="R29" s="461" t="s">
        <v>37</v>
      </c>
      <c r="S29" s="461" t="s">
        <v>3291</v>
      </c>
    </row>
    <row r="30" spans="1:19">
      <c r="A30" s="470">
        <v>44731</v>
      </c>
      <c r="B30" s="461" t="s">
        <v>18</v>
      </c>
      <c r="C30" s="482" t="s">
        <v>7323</v>
      </c>
      <c r="D30" s="483">
        <v>44734</v>
      </c>
      <c r="E30" s="482">
        <v>8000001846</v>
      </c>
      <c r="F30" s="461">
        <v>8785.5526000000009</v>
      </c>
      <c r="G30" s="461" t="s">
        <v>303</v>
      </c>
      <c r="H30" s="461" t="s">
        <v>386</v>
      </c>
      <c r="I30" s="461">
        <v>23.98</v>
      </c>
      <c r="J30" s="461">
        <v>1</v>
      </c>
      <c r="K30" s="461" t="s">
        <v>8111</v>
      </c>
      <c r="L30" s="461" t="s">
        <v>8111</v>
      </c>
      <c r="M30" s="461" t="s">
        <v>8111</v>
      </c>
      <c r="N30" s="461" t="s">
        <v>6218</v>
      </c>
      <c r="O30" s="461" t="s">
        <v>947</v>
      </c>
      <c r="P30" s="461" t="s">
        <v>8064</v>
      </c>
      <c r="Q30" s="461" t="s">
        <v>29</v>
      </c>
      <c r="R30" s="461" t="s">
        <v>62</v>
      </c>
      <c r="S30" s="461" t="s">
        <v>3264</v>
      </c>
    </row>
    <row r="31" spans="1:19">
      <c r="A31" s="468"/>
      <c r="C31" s="461" t="s">
        <v>7447</v>
      </c>
      <c r="D31" s="467">
        <v>44733</v>
      </c>
      <c r="E31" s="461" t="s">
        <v>8111</v>
      </c>
      <c r="F31" s="461">
        <v>1148120</v>
      </c>
      <c r="G31" s="461" t="s">
        <v>237</v>
      </c>
      <c r="H31" s="461" t="s">
        <v>7440</v>
      </c>
      <c r="I31" s="461">
        <v>1000</v>
      </c>
      <c r="J31" s="461" t="s">
        <v>1622</v>
      </c>
      <c r="K31" s="461" t="s">
        <v>8111</v>
      </c>
      <c r="L31" s="461" t="s">
        <v>8111</v>
      </c>
      <c r="M31" s="461" t="s">
        <v>8111</v>
      </c>
      <c r="N31" s="461" t="s">
        <v>7443</v>
      </c>
      <c r="O31" s="461" t="s">
        <v>7444</v>
      </c>
      <c r="P31" s="461" t="s">
        <v>8000</v>
      </c>
      <c r="Q31" s="461" t="s">
        <v>52</v>
      </c>
      <c r="R31" s="461" t="s">
        <v>62</v>
      </c>
      <c r="S31" s="461" t="s">
        <v>3264</v>
      </c>
    </row>
    <row r="32" spans="1:19">
      <c r="A32" s="468"/>
      <c r="C32" s="461" t="s">
        <v>7550</v>
      </c>
      <c r="D32" s="467">
        <v>44731</v>
      </c>
      <c r="E32" s="461">
        <v>8000001958</v>
      </c>
      <c r="F32" s="461">
        <v>596500</v>
      </c>
      <c r="G32" s="461" t="s">
        <v>237</v>
      </c>
      <c r="H32" s="461" t="s">
        <v>104</v>
      </c>
      <c r="I32" s="461">
        <v>500</v>
      </c>
      <c r="J32" s="461" t="s">
        <v>1622</v>
      </c>
      <c r="K32" s="461" t="s">
        <v>8111</v>
      </c>
      <c r="L32" s="461" t="s">
        <v>8111</v>
      </c>
      <c r="M32" s="461" t="s">
        <v>8111</v>
      </c>
      <c r="N32" s="461" t="s">
        <v>7545</v>
      </c>
      <c r="O32" s="461" t="s">
        <v>7444</v>
      </c>
      <c r="P32" s="461">
        <v>7</v>
      </c>
      <c r="Q32" s="461" t="s">
        <v>52</v>
      </c>
      <c r="R32" s="461" t="s">
        <v>62</v>
      </c>
      <c r="S32" s="461" t="s">
        <v>3264</v>
      </c>
    </row>
    <row r="33" spans="1:20">
      <c r="A33" s="470">
        <v>44732</v>
      </c>
      <c r="B33" s="461" t="s">
        <v>18</v>
      </c>
      <c r="C33" s="482" t="s">
        <v>7557</v>
      </c>
      <c r="D33" s="483">
        <v>44736</v>
      </c>
      <c r="E33" s="482">
        <v>8000001917</v>
      </c>
      <c r="F33" s="461">
        <v>23100</v>
      </c>
      <c r="G33" s="461" t="s">
        <v>7559</v>
      </c>
      <c r="H33" s="461" t="s">
        <v>336</v>
      </c>
      <c r="I33" s="461">
        <v>42</v>
      </c>
      <c r="J33" s="461">
        <v>2</v>
      </c>
      <c r="K33" s="461" t="s">
        <v>8111</v>
      </c>
      <c r="L33" s="461" t="s">
        <v>8111</v>
      </c>
      <c r="M33" s="461" t="s">
        <v>8111</v>
      </c>
      <c r="N33" s="461" t="s">
        <v>7561</v>
      </c>
      <c r="O33" s="461" t="s">
        <v>8111</v>
      </c>
      <c r="P33" s="461" t="s">
        <v>8111</v>
      </c>
      <c r="Q33" s="461" t="s">
        <v>8111</v>
      </c>
      <c r="R33" s="461" t="s">
        <v>9</v>
      </c>
      <c r="S33" s="461" t="s">
        <v>3264</v>
      </c>
    </row>
    <row r="34" spans="1:20">
      <c r="A34" s="470">
        <v>44738</v>
      </c>
      <c r="B34" s="461" t="s">
        <v>18</v>
      </c>
      <c r="C34" s="482" t="s">
        <v>7886</v>
      </c>
      <c r="D34" s="483">
        <v>44742</v>
      </c>
      <c r="E34" s="482" t="s">
        <v>8111</v>
      </c>
      <c r="F34" s="461">
        <v>126040.9592</v>
      </c>
      <c r="G34" s="461" t="s">
        <v>303</v>
      </c>
      <c r="H34" s="461" t="s">
        <v>386</v>
      </c>
      <c r="I34" s="461">
        <v>107.56</v>
      </c>
      <c r="J34" s="461">
        <v>4</v>
      </c>
      <c r="K34" s="461" t="s">
        <v>8111</v>
      </c>
      <c r="L34" s="461" t="s">
        <v>8111</v>
      </c>
      <c r="M34" s="461" t="s">
        <v>8111</v>
      </c>
      <c r="N34" s="461" t="s">
        <v>6218</v>
      </c>
      <c r="O34" s="461" t="s">
        <v>579</v>
      </c>
      <c r="P34" s="461" t="s">
        <v>8063</v>
      </c>
      <c r="Q34" s="461" t="s">
        <v>29</v>
      </c>
      <c r="R34" s="461" t="s">
        <v>37</v>
      </c>
      <c r="S34" s="461" t="s">
        <v>8111</v>
      </c>
    </row>
    <row r="35" spans="1:20">
      <c r="A35" s="470">
        <v>44744</v>
      </c>
      <c r="B35" s="461" t="s">
        <v>18</v>
      </c>
      <c r="C35" s="482" t="s">
        <v>7427</v>
      </c>
      <c r="D35" s="483">
        <v>44748</v>
      </c>
      <c r="E35" s="482">
        <v>8000001871</v>
      </c>
      <c r="F35" s="461">
        <v>151200</v>
      </c>
      <c r="G35" s="461" t="s">
        <v>297</v>
      </c>
      <c r="H35" s="461" t="s">
        <v>337</v>
      </c>
      <c r="I35" s="461">
        <v>480</v>
      </c>
      <c r="J35" s="461" t="s">
        <v>1622</v>
      </c>
      <c r="K35" s="461" t="s">
        <v>8111</v>
      </c>
      <c r="L35" s="461" t="s">
        <v>8111</v>
      </c>
      <c r="M35" s="461" t="s">
        <v>8111</v>
      </c>
      <c r="N35" s="461" t="s">
        <v>5402</v>
      </c>
      <c r="O35" s="461" t="s">
        <v>7873</v>
      </c>
      <c r="P35" s="461" t="s">
        <v>7988</v>
      </c>
      <c r="Q35" s="461" t="s">
        <v>52</v>
      </c>
      <c r="R35" s="461" t="s">
        <v>37</v>
      </c>
      <c r="S35" s="461" t="s">
        <v>3291</v>
      </c>
    </row>
    <row r="36" spans="1:20">
      <c r="A36" s="470">
        <v>44747</v>
      </c>
      <c r="B36" s="461" t="s">
        <v>18</v>
      </c>
      <c r="C36" s="482" t="s">
        <v>7552</v>
      </c>
      <c r="D36" s="483">
        <v>44753</v>
      </c>
      <c r="E36" s="482">
        <v>8000001914</v>
      </c>
      <c r="F36" s="461">
        <v>141365</v>
      </c>
      <c r="G36" s="461" t="s">
        <v>7554</v>
      </c>
      <c r="H36" s="461" t="s">
        <v>295</v>
      </c>
      <c r="I36" s="461">
        <v>49</v>
      </c>
      <c r="J36" s="461">
        <v>2</v>
      </c>
      <c r="K36" s="461" t="s">
        <v>8111</v>
      </c>
      <c r="L36" s="461" t="s">
        <v>8111</v>
      </c>
      <c r="M36" s="461" t="s">
        <v>8111</v>
      </c>
      <c r="N36" s="461" t="s">
        <v>7555</v>
      </c>
      <c r="O36" s="461" t="s">
        <v>1313</v>
      </c>
      <c r="P36" s="461">
        <v>609051162</v>
      </c>
      <c r="Q36" s="461" t="s">
        <v>8003</v>
      </c>
      <c r="R36" s="461" t="s">
        <v>37</v>
      </c>
      <c r="S36" s="461" t="s">
        <v>3291</v>
      </c>
    </row>
    <row r="37" spans="1:20">
      <c r="A37" s="470">
        <v>44748</v>
      </c>
      <c r="B37" s="461" t="s">
        <v>18</v>
      </c>
      <c r="C37" s="482" t="s">
        <v>7422</v>
      </c>
      <c r="D37" s="483">
        <v>44751</v>
      </c>
      <c r="E37" s="482">
        <v>8000001870</v>
      </c>
      <c r="F37" s="461">
        <v>192240</v>
      </c>
      <c r="G37" s="461" t="s">
        <v>297</v>
      </c>
      <c r="H37" s="461" t="s">
        <v>352</v>
      </c>
      <c r="I37" s="461">
        <v>135</v>
      </c>
      <c r="J37" s="461" t="s">
        <v>1622</v>
      </c>
      <c r="K37" s="461" t="s">
        <v>8111</v>
      </c>
      <c r="L37" s="461" t="s">
        <v>8111</v>
      </c>
      <c r="M37" s="461" t="s">
        <v>8111</v>
      </c>
      <c r="N37" s="461" t="s">
        <v>5402</v>
      </c>
      <c r="O37" s="461" t="s">
        <v>7425</v>
      </c>
      <c r="P37" s="461" t="s">
        <v>8067</v>
      </c>
      <c r="Q37" s="461" t="s">
        <v>52</v>
      </c>
      <c r="R37" s="461" t="s">
        <v>37</v>
      </c>
      <c r="S37" s="461" t="s">
        <v>3291</v>
      </c>
    </row>
    <row r="38" spans="1:20">
      <c r="A38" s="470">
        <v>44749</v>
      </c>
      <c r="B38" s="461" t="s">
        <v>18</v>
      </c>
      <c r="C38" s="466" t="s">
        <v>7019</v>
      </c>
      <c r="D38" s="483">
        <v>44754</v>
      </c>
      <c r="E38" s="461">
        <v>8000002034</v>
      </c>
      <c r="F38" s="461">
        <v>242200</v>
      </c>
      <c r="G38" s="461" t="s">
        <v>7006</v>
      </c>
      <c r="H38" s="461" t="s">
        <v>8082</v>
      </c>
      <c r="I38" s="461">
        <v>175</v>
      </c>
      <c r="J38" s="461">
        <v>7</v>
      </c>
      <c r="K38" s="461" t="s">
        <v>8111</v>
      </c>
      <c r="L38" s="461" t="s">
        <v>8111</v>
      </c>
      <c r="M38" s="461" t="s">
        <v>8111</v>
      </c>
      <c r="N38" s="461" t="s">
        <v>7012</v>
      </c>
      <c r="O38" s="461" t="s">
        <v>5438</v>
      </c>
      <c r="P38" s="461" t="s">
        <v>7020</v>
      </c>
      <c r="Q38" s="461" t="s">
        <v>64</v>
      </c>
      <c r="R38" s="461" t="s">
        <v>37</v>
      </c>
      <c r="S38" s="461" t="s">
        <v>3291</v>
      </c>
    </row>
    <row r="39" spans="1:20">
      <c r="A39" s="468"/>
      <c r="C39" s="469" t="s">
        <v>7022</v>
      </c>
      <c r="D39" s="467">
        <v>44754</v>
      </c>
      <c r="E39" s="461">
        <v>8000002035</v>
      </c>
      <c r="F39" s="461">
        <v>242200</v>
      </c>
      <c r="G39" s="461" t="s">
        <v>7006</v>
      </c>
      <c r="H39" s="461" t="s">
        <v>8082</v>
      </c>
      <c r="I39" s="461">
        <v>175</v>
      </c>
      <c r="J39" s="461">
        <v>7</v>
      </c>
      <c r="K39" s="461" t="s">
        <v>8111</v>
      </c>
      <c r="L39" s="461" t="s">
        <v>8111</v>
      </c>
      <c r="M39" s="461" t="s">
        <v>8111</v>
      </c>
      <c r="N39" s="461" t="s">
        <v>7012</v>
      </c>
      <c r="O39" s="461" t="s">
        <v>5438</v>
      </c>
      <c r="P39" s="461" t="s">
        <v>7940</v>
      </c>
      <c r="Q39" s="461" t="s">
        <v>64</v>
      </c>
      <c r="R39" s="461" t="s">
        <v>37</v>
      </c>
      <c r="S39" s="461" t="s">
        <v>3291</v>
      </c>
    </row>
    <row r="40" spans="1:20">
      <c r="A40" s="470">
        <v>44756</v>
      </c>
      <c r="B40" s="461" t="s">
        <v>18</v>
      </c>
      <c r="C40" s="482" t="s">
        <v>7347</v>
      </c>
      <c r="D40" s="483">
        <v>44760</v>
      </c>
      <c r="E40" s="482">
        <v>8000001839</v>
      </c>
      <c r="F40" s="461">
        <v>215250</v>
      </c>
      <c r="G40" s="461" t="s">
        <v>133</v>
      </c>
      <c r="H40" s="461" t="s">
        <v>238</v>
      </c>
      <c r="I40" s="461">
        <v>500</v>
      </c>
      <c r="J40" s="461" t="s">
        <v>1622</v>
      </c>
      <c r="K40" s="461" t="s">
        <v>8111</v>
      </c>
      <c r="L40" s="461" t="s">
        <v>8111</v>
      </c>
      <c r="M40" s="461" t="s">
        <v>8111</v>
      </c>
      <c r="N40" s="461" t="s">
        <v>5402</v>
      </c>
      <c r="O40" s="461" t="s">
        <v>8028</v>
      </c>
      <c r="P40" s="461" t="s">
        <v>8027</v>
      </c>
      <c r="Q40" s="461" t="s">
        <v>52</v>
      </c>
      <c r="R40" s="461" t="s">
        <v>37</v>
      </c>
      <c r="S40" s="461" t="s">
        <v>3291</v>
      </c>
    </row>
    <row r="41" spans="1:20">
      <c r="A41" s="470">
        <v>44757</v>
      </c>
      <c r="B41" s="461" t="s">
        <v>18</v>
      </c>
      <c r="C41" s="482" t="s">
        <v>7023</v>
      </c>
      <c r="D41" s="483">
        <v>44761</v>
      </c>
      <c r="E41" s="461">
        <v>8000002036</v>
      </c>
      <c r="F41" s="461">
        <v>553600</v>
      </c>
      <c r="G41" s="461" t="s">
        <v>7006</v>
      </c>
      <c r="H41" s="461" t="s">
        <v>8082</v>
      </c>
      <c r="I41" s="461">
        <v>400</v>
      </c>
      <c r="J41" s="461">
        <v>16</v>
      </c>
      <c r="K41" s="461" t="s">
        <v>8111</v>
      </c>
      <c r="L41" s="461" t="s">
        <v>8111</v>
      </c>
      <c r="M41" s="461" t="s">
        <v>8111</v>
      </c>
      <c r="N41" s="461" t="s">
        <v>7012</v>
      </c>
      <c r="O41" s="461" t="s">
        <v>6095</v>
      </c>
      <c r="P41" s="461" t="s">
        <v>7973</v>
      </c>
      <c r="Q41" s="461" t="s">
        <v>64</v>
      </c>
      <c r="R41" s="461" t="s">
        <v>37</v>
      </c>
      <c r="S41" s="461" t="s">
        <v>3291</v>
      </c>
    </row>
    <row r="42" spans="1:20">
      <c r="A42" s="471">
        <v>44759</v>
      </c>
      <c r="B42" s="461" t="s">
        <v>18</v>
      </c>
      <c r="C42" s="482" t="s">
        <v>6764</v>
      </c>
      <c r="D42" s="483">
        <v>44764</v>
      </c>
      <c r="E42" s="482">
        <v>8000001698</v>
      </c>
      <c r="F42" s="461">
        <v>172604.9</v>
      </c>
      <c r="G42" s="461" t="s">
        <v>303</v>
      </c>
      <c r="H42" s="461" t="s">
        <v>380</v>
      </c>
      <c r="I42" s="461">
        <v>214.15</v>
      </c>
      <c r="J42" s="461">
        <v>8</v>
      </c>
      <c r="K42" s="461" t="s">
        <v>8111</v>
      </c>
      <c r="L42" s="461" t="s">
        <v>8111</v>
      </c>
      <c r="M42" s="461" t="s">
        <v>8111</v>
      </c>
      <c r="N42" s="461" t="s">
        <v>6767</v>
      </c>
      <c r="O42" s="461" t="s">
        <v>5438</v>
      </c>
      <c r="P42" s="461" t="s">
        <v>8102</v>
      </c>
      <c r="Q42" s="461" t="s">
        <v>29</v>
      </c>
      <c r="R42" s="461" t="s">
        <v>62</v>
      </c>
      <c r="S42" s="461" t="s">
        <v>3264</v>
      </c>
    </row>
    <row r="43" spans="1:20">
      <c r="A43" s="467">
        <v>44761</v>
      </c>
      <c r="B43" s="461" t="s">
        <v>18</v>
      </c>
      <c r="C43" s="461" t="s">
        <v>7416</v>
      </c>
      <c r="D43" s="467">
        <v>44743</v>
      </c>
      <c r="E43" s="461">
        <v>8000001869</v>
      </c>
      <c r="F43" s="461">
        <v>372810</v>
      </c>
      <c r="G43" s="461" t="s">
        <v>297</v>
      </c>
      <c r="H43" s="461" t="s">
        <v>343</v>
      </c>
      <c r="I43" s="461">
        <v>430</v>
      </c>
      <c r="J43" s="461" t="s">
        <v>1622</v>
      </c>
      <c r="K43" s="461" t="s">
        <v>8111</v>
      </c>
      <c r="L43" s="461" t="s">
        <v>8111</v>
      </c>
      <c r="M43" s="461" t="s">
        <v>8111</v>
      </c>
      <c r="N43" s="461" t="s">
        <v>5402</v>
      </c>
      <c r="O43" s="461" t="s">
        <v>7421</v>
      </c>
      <c r="P43" s="461" t="s">
        <v>7420</v>
      </c>
      <c r="Q43" s="461" t="s">
        <v>52</v>
      </c>
      <c r="R43" s="461" t="s">
        <v>37</v>
      </c>
      <c r="S43" s="461" t="s">
        <v>3291</v>
      </c>
    </row>
    <row r="44" spans="1:20">
      <c r="A44" s="490">
        <v>44764</v>
      </c>
      <c r="B44" s="461" t="s">
        <v>18</v>
      </c>
      <c r="C44" s="482" t="s">
        <v>7063</v>
      </c>
      <c r="D44" s="483">
        <v>44768</v>
      </c>
      <c r="E44" s="482" t="s">
        <v>8111</v>
      </c>
      <c r="F44" s="461">
        <v>811087.2</v>
      </c>
      <c r="G44" s="461" t="s">
        <v>237</v>
      </c>
      <c r="H44" s="461" t="s">
        <v>2</v>
      </c>
      <c r="I44" s="461">
        <v>372.4</v>
      </c>
      <c r="J44" s="461">
        <v>14</v>
      </c>
      <c r="K44" s="461" t="s">
        <v>8111</v>
      </c>
      <c r="L44" s="461" t="s">
        <v>8111</v>
      </c>
      <c r="M44" s="461" t="s">
        <v>8111</v>
      </c>
      <c r="N44" s="461" t="s">
        <v>5402</v>
      </c>
      <c r="O44" s="461" t="s">
        <v>8042</v>
      </c>
      <c r="P44" s="461" t="s">
        <v>8040</v>
      </c>
      <c r="Q44" s="461" t="s">
        <v>41</v>
      </c>
      <c r="R44" s="461" t="s">
        <v>9</v>
      </c>
      <c r="S44" s="461" t="s">
        <v>7062</v>
      </c>
    </row>
    <row r="45" spans="1:20">
      <c r="A45" s="472" t="s">
        <v>8112</v>
      </c>
      <c r="B45" s="473"/>
      <c r="C45" s="473"/>
      <c r="D45" s="473"/>
      <c r="E45" s="473"/>
      <c r="F45" s="473"/>
      <c r="G45" s="473"/>
      <c r="H45" s="473"/>
      <c r="I45" s="473"/>
      <c r="J45" s="473"/>
      <c r="K45" s="473"/>
      <c r="L45" s="473"/>
      <c r="M45" s="473"/>
      <c r="N45" s="473"/>
      <c r="O45" s="473"/>
      <c r="P45" s="473"/>
      <c r="Q45" s="473"/>
      <c r="R45" s="473"/>
      <c r="S45" s="474"/>
    </row>
    <row r="46" spans="1:20" ht="15">
      <c r="A46"/>
      <c r="B46"/>
      <c r="C46"/>
      <c r="D46"/>
      <c r="E46" s="475"/>
      <c r="F46" s="476"/>
      <c r="G46"/>
      <c r="H46"/>
      <c r="I46"/>
      <c r="J46"/>
      <c r="K46"/>
      <c r="L46"/>
      <c r="M46"/>
      <c r="N46"/>
      <c r="O46"/>
      <c r="P46"/>
      <c r="Q46"/>
      <c r="R46"/>
      <c r="S46"/>
      <c r="T46"/>
    </row>
    <row r="47" spans="1:20" ht="15">
      <c r="A47"/>
      <c r="B47"/>
      <c r="C47"/>
      <c r="D47"/>
      <c r="E47" s="475"/>
      <c r="F47" s="476"/>
      <c r="G47"/>
      <c r="H47"/>
      <c r="I47"/>
      <c r="J47"/>
      <c r="K47"/>
      <c r="L47"/>
      <c r="M47"/>
      <c r="N47"/>
      <c r="O47"/>
      <c r="P47"/>
      <c r="Q47"/>
      <c r="R47"/>
      <c r="S47"/>
      <c r="T47"/>
    </row>
    <row r="48" spans="1:20" ht="15">
      <c r="A48"/>
      <c r="B48"/>
      <c r="C48"/>
      <c r="D48"/>
      <c r="E48" s="475"/>
      <c r="F48" s="476"/>
      <c r="G48"/>
      <c r="H48"/>
      <c r="I48"/>
      <c r="J48"/>
      <c r="K48"/>
      <c r="L48"/>
      <c r="M48"/>
      <c r="N48"/>
      <c r="O48"/>
      <c r="P48"/>
      <c r="Q48"/>
      <c r="R48"/>
      <c r="S48"/>
      <c r="T48"/>
    </row>
    <row r="49" spans="1:20" ht="15">
      <c r="A49"/>
      <c r="B49"/>
      <c r="C49"/>
      <c r="D49"/>
      <c r="E49" s="475"/>
      <c r="F49" s="476"/>
      <c r="G49"/>
      <c r="H49"/>
      <c r="I49"/>
      <c r="J49"/>
      <c r="K49"/>
      <c r="L49"/>
      <c r="M49"/>
      <c r="N49"/>
      <c r="O49"/>
      <c r="P49"/>
      <c r="Q49"/>
      <c r="R49"/>
      <c r="S49"/>
      <c r="T49"/>
    </row>
    <row r="50" spans="1:20" ht="15">
      <c r="A50"/>
      <c r="B50"/>
      <c r="C50"/>
      <c r="D50"/>
      <c r="E50" s="475"/>
      <c r="F50" s="476"/>
      <c r="G50"/>
      <c r="H50"/>
      <c r="I50"/>
      <c r="J50"/>
      <c r="K50"/>
      <c r="L50"/>
      <c r="M50"/>
      <c r="N50"/>
      <c r="O50"/>
      <c r="P50"/>
      <c r="Q50"/>
      <c r="R50"/>
      <c r="S50"/>
      <c r="T50"/>
    </row>
    <row r="51" spans="1:20" ht="15">
      <c r="A51"/>
      <c r="B51"/>
      <c r="C51"/>
      <c r="D51"/>
      <c r="E51" s="475"/>
      <c r="F51" s="476"/>
      <c r="G51"/>
      <c r="H51"/>
      <c r="I51"/>
      <c r="J51"/>
      <c r="K51"/>
      <c r="L51"/>
      <c r="M51"/>
      <c r="N51"/>
      <c r="O51"/>
      <c r="P51"/>
      <c r="Q51"/>
      <c r="R51"/>
      <c r="S51"/>
      <c r="T51"/>
    </row>
    <row r="52" spans="1:20" ht="15">
      <c r="A52"/>
      <c r="B52"/>
      <c r="C52"/>
      <c r="D52"/>
      <c r="E52" s="475"/>
      <c r="F52" s="476"/>
      <c r="G52"/>
      <c r="H52"/>
      <c r="I52"/>
      <c r="J52"/>
      <c r="K52"/>
      <c r="L52"/>
      <c r="M52"/>
      <c r="N52"/>
      <c r="O52"/>
      <c r="P52"/>
      <c r="Q52"/>
      <c r="R52"/>
      <c r="S52"/>
      <c r="T52"/>
    </row>
    <row r="53" spans="1:20" ht="15">
      <c r="A53"/>
      <c r="B53"/>
      <c r="C53"/>
      <c r="D53"/>
      <c r="E53" s="475"/>
      <c r="F53" s="476"/>
      <c r="G53"/>
      <c r="H53"/>
      <c r="I53"/>
      <c r="J53"/>
      <c r="K53"/>
      <c r="L53"/>
      <c r="M53"/>
      <c r="N53"/>
      <c r="O53"/>
      <c r="P53"/>
      <c r="Q53"/>
      <c r="R53"/>
      <c r="S53"/>
      <c r="T53"/>
    </row>
    <row r="54" spans="1:20" ht="15">
      <c r="A54"/>
      <c r="B54"/>
      <c r="C54"/>
      <c r="D54"/>
      <c r="E54" s="475"/>
      <c r="F54" s="476"/>
      <c r="G54"/>
      <c r="H54"/>
      <c r="I54"/>
      <c r="J54"/>
      <c r="K54"/>
      <c r="L54"/>
      <c r="M54"/>
      <c r="N54"/>
      <c r="O54"/>
      <c r="P54"/>
      <c r="Q54"/>
      <c r="R54"/>
      <c r="S54"/>
      <c r="T54"/>
    </row>
    <row r="55" spans="1:20" ht="15">
      <c r="A55"/>
      <c r="B55"/>
      <c r="C55"/>
      <c r="D55"/>
      <c r="E55" s="475"/>
      <c r="F55" s="476"/>
      <c r="G55"/>
      <c r="H55"/>
      <c r="I55"/>
      <c r="J55"/>
      <c r="K55"/>
      <c r="L55"/>
      <c r="M55"/>
      <c r="N55"/>
      <c r="O55"/>
      <c r="P55"/>
      <c r="Q55"/>
      <c r="R55"/>
      <c r="S55"/>
      <c r="T55"/>
    </row>
    <row r="56" spans="1:20" ht="15">
      <c r="A56"/>
      <c r="B56"/>
      <c r="C56"/>
      <c r="D56"/>
      <c r="E56" s="475"/>
      <c r="F56" s="476"/>
      <c r="G56"/>
      <c r="H56"/>
      <c r="I56"/>
      <c r="J56"/>
      <c r="K56"/>
      <c r="L56"/>
      <c r="M56"/>
      <c r="N56"/>
      <c r="O56"/>
      <c r="P56"/>
      <c r="Q56"/>
      <c r="R56"/>
      <c r="S56"/>
      <c r="T56"/>
    </row>
    <row r="57" spans="1:20" ht="15">
      <c r="A57"/>
      <c r="B57"/>
      <c r="C57"/>
      <c r="D57"/>
      <c r="E57" s="475"/>
      <c r="F57" s="476"/>
      <c r="G57"/>
      <c r="H57"/>
      <c r="I57"/>
      <c r="J57"/>
      <c r="K57"/>
      <c r="L57"/>
      <c r="M57"/>
      <c r="N57"/>
      <c r="O57"/>
      <c r="P57"/>
      <c r="Q57"/>
      <c r="R57"/>
      <c r="S57"/>
      <c r="T57"/>
    </row>
    <row r="58" spans="1:20" ht="15">
      <c r="A58"/>
      <c r="B58"/>
      <c r="C58"/>
      <c r="D58"/>
      <c r="E58" s="475"/>
      <c r="F58" s="476"/>
      <c r="G58"/>
      <c r="H58"/>
      <c r="I58"/>
      <c r="J58"/>
      <c r="K58"/>
      <c r="L58"/>
      <c r="M58"/>
      <c r="N58"/>
      <c r="O58"/>
      <c r="P58"/>
      <c r="Q58"/>
      <c r="R58"/>
      <c r="S58"/>
      <c r="T58"/>
    </row>
    <row r="59" spans="1:20" ht="15">
      <c r="A59"/>
      <c r="B59"/>
      <c r="C59"/>
      <c r="D59"/>
      <c r="E59" s="475"/>
      <c r="F59" s="476"/>
      <c r="G59"/>
      <c r="H59"/>
      <c r="I59"/>
      <c r="J59"/>
      <c r="K59"/>
      <c r="L59"/>
      <c r="M59"/>
      <c r="N59"/>
      <c r="O59"/>
      <c r="P59"/>
      <c r="Q59"/>
      <c r="R59"/>
      <c r="S59"/>
      <c r="T59"/>
    </row>
    <row r="60" spans="1:20" ht="15">
      <c r="A60"/>
      <c r="B60"/>
      <c r="C60"/>
      <c r="D60"/>
      <c r="E60" s="475"/>
      <c r="F60" s="476"/>
      <c r="G60"/>
      <c r="H60"/>
      <c r="I60"/>
      <c r="J60"/>
      <c r="K60"/>
      <c r="L60"/>
      <c r="M60"/>
      <c r="N60"/>
      <c r="O60"/>
      <c r="P60"/>
      <c r="Q60"/>
      <c r="R60"/>
      <c r="S60"/>
      <c r="T60"/>
    </row>
    <row r="61" spans="1:20" ht="15">
      <c r="A61"/>
      <c r="B61"/>
      <c r="C61"/>
      <c r="D61"/>
      <c r="E61" s="475"/>
      <c r="F61" s="476"/>
      <c r="G61"/>
      <c r="H61"/>
      <c r="I61"/>
      <c r="J61"/>
      <c r="K61"/>
      <c r="L61"/>
      <c r="M61"/>
      <c r="N61"/>
      <c r="O61"/>
      <c r="P61"/>
      <c r="Q61"/>
      <c r="R61"/>
      <c r="S61"/>
      <c r="T61"/>
    </row>
    <row r="62" spans="1:20" ht="15">
      <c r="A62"/>
      <c r="B62"/>
      <c r="C62"/>
      <c r="D62"/>
      <c r="E62" s="475"/>
      <c r="F62" s="476"/>
      <c r="G62"/>
      <c r="H62"/>
      <c r="I62"/>
      <c r="J62"/>
      <c r="K62"/>
      <c r="L62"/>
      <c r="M62"/>
      <c r="N62"/>
      <c r="O62"/>
      <c r="P62"/>
      <c r="Q62"/>
      <c r="R62"/>
      <c r="S62"/>
      <c r="T62"/>
    </row>
    <row r="63" spans="1:20" ht="15">
      <c r="A63"/>
      <c r="B63"/>
      <c r="C63"/>
      <c r="D63"/>
      <c r="E63" s="475"/>
      <c r="F63" s="476"/>
      <c r="G63"/>
      <c r="H63"/>
      <c r="I63"/>
      <c r="J63"/>
      <c r="K63"/>
      <c r="L63"/>
      <c r="M63"/>
      <c r="N63"/>
      <c r="O63"/>
      <c r="P63"/>
      <c r="Q63"/>
      <c r="R63"/>
      <c r="S63"/>
      <c r="T63"/>
    </row>
    <row r="64" spans="1:20" ht="15">
      <c r="A64"/>
      <c r="B64"/>
      <c r="C64"/>
      <c r="D64"/>
      <c r="E64" s="475"/>
      <c r="F64" s="476"/>
      <c r="G64"/>
      <c r="H64"/>
      <c r="I64"/>
      <c r="J64"/>
      <c r="K64"/>
      <c r="L64"/>
      <c r="M64"/>
      <c r="N64"/>
      <c r="O64"/>
      <c r="P64"/>
      <c r="Q64"/>
      <c r="R64"/>
      <c r="S64"/>
      <c r="T64"/>
    </row>
    <row r="65" spans="1:20" ht="15">
      <c r="A65"/>
      <c r="B65"/>
      <c r="C65"/>
      <c r="D65"/>
      <c r="E65" s="475"/>
      <c r="F65" s="476"/>
      <c r="G65"/>
      <c r="H65"/>
      <c r="I65"/>
      <c r="J65"/>
      <c r="K65"/>
      <c r="L65"/>
      <c r="M65"/>
      <c r="N65"/>
      <c r="O65"/>
      <c r="P65"/>
      <c r="Q65"/>
      <c r="R65"/>
      <c r="S65"/>
      <c r="T65"/>
    </row>
    <row r="66" spans="1:20" ht="15">
      <c r="A66"/>
      <c r="B66"/>
      <c r="C66"/>
      <c r="D66"/>
      <c r="E66" s="475"/>
      <c r="F66" s="476"/>
      <c r="G66"/>
      <c r="H66"/>
      <c r="I66"/>
      <c r="J66"/>
      <c r="K66"/>
      <c r="L66"/>
      <c r="M66"/>
      <c r="N66"/>
      <c r="O66"/>
      <c r="P66"/>
      <c r="Q66"/>
      <c r="R66"/>
      <c r="S66"/>
      <c r="T66"/>
    </row>
    <row r="67" spans="1:20" ht="15">
      <c r="A67"/>
      <c r="B67"/>
      <c r="C67"/>
      <c r="D67"/>
      <c r="E67" s="475"/>
      <c r="F67" s="476"/>
      <c r="G67"/>
      <c r="H67"/>
      <c r="I67"/>
      <c r="J67"/>
      <c r="K67"/>
      <c r="L67"/>
      <c r="M67"/>
      <c r="N67"/>
      <c r="O67"/>
      <c r="P67"/>
      <c r="Q67"/>
      <c r="R67"/>
      <c r="S67"/>
      <c r="T67"/>
    </row>
    <row r="68" spans="1:20" ht="15">
      <c r="A68"/>
      <c r="B68"/>
      <c r="C68"/>
      <c r="D68"/>
      <c r="E68" s="475"/>
      <c r="F68" s="476"/>
      <c r="G68"/>
      <c r="H68"/>
      <c r="I68"/>
      <c r="J68"/>
      <c r="K68"/>
      <c r="L68"/>
      <c r="M68"/>
      <c r="N68"/>
      <c r="O68"/>
      <c r="P68"/>
      <c r="Q68"/>
      <c r="R68"/>
      <c r="S68"/>
      <c r="T68"/>
    </row>
    <row r="69" spans="1:20" ht="15">
      <c r="A69"/>
      <c r="B69"/>
      <c r="C69"/>
      <c r="D69"/>
      <c r="E69" s="475"/>
      <c r="F69" s="476"/>
      <c r="G69"/>
      <c r="H69"/>
      <c r="I69"/>
      <c r="J69"/>
      <c r="K69"/>
      <c r="L69"/>
      <c r="M69"/>
      <c r="N69"/>
      <c r="O69"/>
      <c r="P69"/>
      <c r="Q69"/>
      <c r="R69"/>
      <c r="S69"/>
      <c r="T69"/>
    </row>
    <row r="70" spans="1:20" ht="15">
      <c r="A70"/>
      <c r="B70"/>
      <c r="C70"/>
      <c r="D70"/>
      <c r="E70" s="475"/>
      <c r="F70" s="476"/>
      <c r="G70"/>
      <c r="H70"/>
      <c r="I70"/>
      <c r="J70"/>
      <c r="K70"/>
      <c r="L70"/>
      <c r="M70"/>
      <c r="N70"/>
      <c r="O70"/>
      <c r="P70"/>
      <c r="Q70"/>
      <c r="R70"/>
      <c r="S70"/>
      <c r="T70"/>
    </row>
    <row r="71" spans="1:20" ht="15">
      <c r="A71"/>
      <c r="B71"/>
      <c r="C71"/>
      <c r="D71"/>
      <c r="E71" s="475"/>
      <c r="F71" s="476"/>
      <c r="G71"/>
      <c r="H71"/>
      <c r="I71"/>
      <c r="J71"/>
      <c r="K71"/>
      <c r="L71"/>
      <c r="M71"/>
      <c r="N71"/>
      <c r="O71"/>
      <c r="P71"/>
      <c r="Q71"/>
      <c r="R71"/>
      <c r="S71"/>
      <c r="T71"/>
    </row>
    <row r="72" spans="1:20" ht="15">
      <c r="A72"/>
      <c r="B72"/>
      <c r="C72"/>
      <c r="D72"/>
      <c r="E72" s="475"/>
      <c r="F72" s="476"/>
      <c r="G72"/>
      <c r="H72"/>
      <c r="I72"/>
      <c r="J72"/>
      <c r="K72"/>
      <c r="L72"/>
      <c r="M72"/>
      <c r="N72"/>
      <c r="O72"/>
      <c r="P72"/>
      <c r="Q72"/>
      <c r="R72"/>
      <c r="S72"/>
      <c r="T72"/>
    </row>
    <row r="73" spans="1:20" ht="15">
      <c r="A73"/>
      <c r="B73"/>
      <c r="C73"/>
      <c r="D73"/>
      <c r="E73" s="475"/>
      <c r="F73" s="476"/>
      <c r="G73"/>
      <c r="H73"/>
      <c r="I73"/>
      <c r="J73"/>
      <c r="K73"/>
      <c r="L73"/>
      <c r="M73"/>
      <c r="N73"/>
      <c r="O73"/>
      <c r="P73"/>
      <c r="Q73"/>
      <c r="R73"/>
      <c r="S73"/>
      <c r="T73"/>
    </row>
    <row r="74" spans="1:20" ht="15">
      <c r="A74"/>
      <c r="B74"/>
      <c r="C74"/>
      <c r="D74"/>
      <c r="E74" s="475"/>
      <c r="F74" s="476"/>
      <c r="G74"/>
      <c r="H74"/>
      <c r="I74"/>
      <c r="J74"/>
      <c r="K74"/>
      <c r="L74"/>
      <c r="M74"/>
      <c r="N74"/>
      <c r="O74"/>
      <c r="P74"/>
      <c r="Q74"/>
      <c r="R74"/>
      <c r="S74"/>
      <c r="T74"/>
    </row>
    <row r="75" spans="1:20" ht="15">
      <c r="A75"/>
      <c r="B75"/>
      <c r="C75"/>
      <c r="D75"/>
      <c r="E75" s="475"/>
      <c r="F75" s="476"/>
      <c r="G75"/>
      <c r="H75"/>
      <c r="I75"/>
      <c r="J75"/>
      <c r="K75"/>
      <c r="L75"/>
      <c r="M75"/>
      <c r="N75"/>
      <c r="O75"/>
      <c r="P75"/>
      <c r="Q75"/>
      <c r="R75"/>
      <c r="S75"/>
      <c r="T75"/>
    </row>
    <row r="76" spans="1:20" ht="15">
      <c r="A76"/>
      <c r="B76"/>
      <c r="C76"/>
      <c r="D76"/>
      <c r="E76" s="475"/>
      <c r="F76" s="476"/>
      <c r="G76"/>
      <c r="H76"/>
      <c r="I76"/>
      <c r="J76"/>
      <c r="K76"/>
      <c r="L76"/>
      <c r="M76"/>
      <c r="N76"/>
      <c r="O76"/>
      <c r="P76"/>
      <c r="Q76"/>
      <c r="R76"/>
      <c r="S76"/>
      <c r="T76"/>
    </row>
    <row r="77" spans="1:20" ht="15">
      <c r="A77"/>
      <c r="B77"/>
      <c r="C77"/>
      <c r="D77"/>
      <c r="E77" s="475"/>
      <c r="F77" s="476"/>
      <c r="G77"/>
      <c r="H77"/>
      <c r="I77"/>
      <c r="J77"/>
      <c r="K77"/>
      <c r="L77"/>
      <c r="M77"/>
      <c r="N77"/>
      <c r="O77"/>
      <c r="P77"/>
      <c r="Q77"/>
      <c r="R77"/>
      <c r="S77"/>
      <c r="T77"/>
    </row>
    <row r="78" spans="1:20" ht="15">
      <c r="A78"/>
      <c r="B78"/>
      <c r="C78"/>
      <c r="D78"/>
      <c r="E78" s="475"/>
      <c r="F78" s="476"/>
      <c r="G78"/>
      <c r="H78"/>
      <c r="I78"/>
      <c r="J78"/>
      <c r="K78"/>
      <c r="L78"/>
      <c r="M78"/>
      <c r="N78"/>
      <c r="O78"/>
      <c r="P78"/>
      <c r="Q78"/>
      <c r="R78"/>
      <c r="S78"/>
      <c r="T78"/>
    </row>
    <row r="79" spans="1:20" ht="15">
      <c r="A79"/>
      <c r="B79"/>
      <c r="C79"/>
      <c r="D79"/>
      <c r="E79" s="475"/>
      <c r="F79" s="476"/>
      <c r="G79"/>
      <c r="H79"/>
      <c r="I79"/>
      <c r="J79"/>
      <c r="K79"/>
      <c r="L79"/>
      <c r="M79"/>
      <c r="N79"/>
      <c r="O79"/>
      <c r="P79"/>
      <c r="Q79"/>
      <c r="R79"/>
      <c r="S79"/>
      <c r="T79"/>
    </row>
    <row r="80" spans="1:20" ht="15">
      <c r="A80"/>
      <c r="B80"/>
      <c r="C80"/>
      <c r="D80"/>
      <c r="E80" s="475"/>
      <c r="F80" s="476"/>
      <c r="G80"/>
      <c r="H80"/>
      <c r="I80"/>
      <c r="J80"/>
      <c r="K80"/>
      <c r="L80"/>
      <c r="M80"/>
      <c r="N80"/>
      <c r="O80"/>
      <c r="P80"/>
      <c r="Q80"/>
      <c r="R80"/>
      <c r="S80"/>
      <c r="T80"/>
    </row>
    <row r="81" spans="1:20" ht="15">
      <c r="A81"/>
      <c r="B81"/>
      <c r="C81"/>
      <c r="D81"/>
      <c r="E81" s="475"/>
      <c r="F81" s="476"/>
      <c r="G81"/>
      <c r="H81"/>
      <c r="I81"/>
      <c r="J81"/>
      <c r="K81"/>
      <c r="L81"/>
      <c r="M81"/>
      <c r="N81"/>
      <c r="O81"/>
      <c r="P81"/>
      <c r="Q81"/>
      <c r="R81"/>
      <c r="S81"/>
      <c r="T81"/>
    </row>
    <row r="82" spans="1:20" ht="15">
      <c r="A82"/>
      <c r="B82"/>
      <c r="C82"/>
      <c r="D82"/>
      <c r="E82" s="475"/>
      <c r="F82" s="476"/>
      <c r="G82"/>
      <c r="H82"/>
      <c r="I82"/>
      <c r="J82"/>
      <c r="K82"/>
      <c r="L82"/>
      <c r="M82"/>
      <c r="N82"/>
      <c r="O82"/>
      <c r="P82"/>
      <c r="Q82"/>
      <c r="R82"/>
      <c r="S82"/>
      <c r="T82"/>
    </row>
    <row r="83" spans="1:20" ht="15">
      <c r="A83"/>
      <c r="B83"/>
      <c r="C83"/>
      <c r="D83"/>
      <c r="E83" s="475"/>
      <c r="F83" s="476"/>
      <c r="G83"/>
      <c r="H83"/>
      <c r="I83"/>
      <c r="J83"/>
      <c r="K83"/>
      <c r="L83"/>
      <c r="M83"/>
      <c r="N83"/>
      <c r="O83"/>
      <c r="P83"/>
      <c r="Q83"/>
      <c r="R83"/>
      <c r="S83"/>
      <c r="T83"/>
    </row>
    <row r="84" spans="1:20" ht="15">
      <c r="A84" s="475"/>
      <c r="B84"/>
      <c r="C84"/>
      <c r="D84"/>
      <c r="E84" s="475"/>
      <c r="F84" s="476"/>
      <c r="G84"/>
      <c r="H84"/>
      <c r="I84"/>
      <c r="J84"/>
      <c r="K84"/>
      <c r="L84"/>
      <c r="M84"/>
      <c r="N84"/>
      <c r="O84"/>
      <c r="P84"/>
      <c r="Q84"/>
    </row>
    <row r="85" spans="1:20" ht="15">
      <c r="A85" s="475"/>
      <c r="B85"/>
      <c r="C85"/>
      <c r="D85"/>
      <c r="E85" s="475"/>
      <c r="F85" s="476"/>
      <c r="G85"/>
      <c r="H85"/>
      <c r="I85"/>
      <c r="J85"/>
      <c r="K85"/>
      <c r="L85"/>
      <c r="M85"/>
      <c r="N85"/>
      <c r="O85"/>
      <c r="P85"/>
      <c r="Q85"/>
    </row>
    <row r="86" spans="1:20" ht="15">
      <c r="A86" s="475"/>
      <c r="B86"/>
      <c r="C86"/>
      <c r="D86"/>
      <c r="E86" s="475"/>
      <c r="F86" s="476"/>
      <c r="G86"/>
      <c r="H86"/>
      <c r="I86"/>
      <c r="J86"/>
      <c r="K86"/>
      <c r="L86"/>
      <c r="M86"/>
      <c r="N86"/>
      <c r="O86"/>
      <c r="P86"/>
      <c r="Q86"/>
    </row>
    <row r="87" spans="1:20" ht="15">
      <c r="A87" s="475"/>
      <c r="B87"/>
      <c r="C87"/>
      <c r="D87"/>
      <c r="E87" s="475"/>
      <c r="F87" s="476"/>
      <c r="G87"/>
      <c r="H87"/>
      <c r="I87"/>
      <c r="J87"/>
      <c r="K87"/>
      <c r="L87"/>
      <c r="M87"/>
      <c r="N87"/>
      <c r="O87"/>
      <c r="P87"/>
      <c r="Q87"/>
    </row>
    <row r="88" spans="1:20" ht="15">
      <c r="A88" s="475"/>
      <c r="B88"/>
      <c r="C88"/>
      <c r="D88"/>
      <c r="E88" s="475"/>
      <c r="F88" s="476"/>
      <c r="G88"/>
      <c r="H88"/>
      <c r="I88"/>
      <c r="J88"/>
      <c r="K88"/>
      <c r="L88"/>
      <c r="M88"/>
      <c r="N88"/>
      <c r="O88"/>
      <c r="P88"/>
      <c r="Q88"/>
    </row>
    <row r="89" spans="1:20" ht="15">
      <c r="A89" s="475"/>
      <c r="B89"/>
      <c r="C89"/>
      <c r="D89"/>
      <c r="E89" s="475"/>
      <c r="F89" s="476"/>
      <c r="G89"/>
      <c r="H89"/>
      <c r="I89"/>
      <c r="J89"/>
      <c r="K89"/>
      <c r="L89"/>
      <c r="M89"/>
      <c r="N89"/>
      <c r="O89"/>
      <c r="P89"/>
      <c r="Q89"/>
    </row>
    <row r="90" spans="1:20" ht="15">
      <c r="A90" s="475"/>
      <c r="B90"/>
      <c r="C90"/>
      <c r="D90"/>
      <c r="E90" s="475"/>
      <c r="F90" s="476"/>
      <c r="G90"/>
      <c r="H90"/>
      <c r="I90"/>
      <c r="J90"/>
      <c r="K90"/>
      <c r="L90"/>
      <c r="M90"/>
      <c r="N90"/>
      <c r="O90"/>
      <c r="P90"/>
      <c r="Q90"/>
    </row>
    <row r="91" spans="1:20" ht="15">
      <c r="A91" s="475"/>
      <c r="B91"/>
      <c r="C91"/>
      <c r="D91"/>
      <c r="E91" s="475"/>
      <c r="F91" s="476"/>
      <c r="G91"/>
      <c r="H91"/>
      <c r="I91"/>
      <c r="J91"/>
      <c r="K91"/>
      <c r="L91"/>
      <c r="M91"/>
      <c r="N91"/>
      <c r="O91"/>
      <c r="P91"/>
      <c r="Q91"/>
    </row>
    <row r="92" spans="1:20" ht="15">
      <c r="A92" s="475"/>
      <c r="B92"/>
      <c r="C92"/>
      <c r="D92"/>
      <c r="E92" s="475"/>
      <c r="F92" s="476"/>
      <c r="G92"/>
      <c r="H92"/>
      <c r="I92"/>
      <c r="J92"/>
      <c r="K92"/>
      <c r="L92"/>
      <c r="M92"/>
      <c r="N92"/>
      <c r="O92"/>
      <c r="P92"/>
      <c r="Q92"/>
    </row>
    <row r="93" spans="1:20" ht="15">
      <c r="A93" s="475"/>
      <c r="B93"/>
      <c r="C93"/>
      <c r="D93"/>
      <c r="E93" s="475"/>
      <c r="F93" s="476"/>
      <c r="G93"/>
      <c r="H93"/>
      <c r="I93"/>
      <c r="J93"/>
      <c r="K93"/>
      <c r="L93"/>
      <c r="M93"/>
      <c r="N93"/>
      <c r="O93"/>
      <c r="P93"/>
      <c r="Q93"/>
    </row>
    <row r="94" spans="1:20" ht="15">
      <c r="A94" s="475"/>
      <c r="B94"/>
      <c r="C94"/>
      <c r="D94"/>
      <c r="E94" s="475"/>
      <c r="F94" s="476"/>
      <c r="G94"/>
      <c r="H94"/>
      <c r="I94"/>
      <c r="J94"/>
      <c r="K94"/>
      <c r="L94"/>
      <c r="M94"/>
      <c r="N94"/>
      <c r="O94"/>
      <c r="P94"/>
      <c r="Q94"/>
    </row>
    <row r="95" spans="1:20" ht="15">
      <c r="A95" s="475"/>
      <c r="B95"/>
      <c r="C95"/>
      <c r="D95"/>
      <c r="E95" s="475"/>
      <c r="F95" s="476"/>
      <c r="G95"/>
      <c r="H95"/>
      <c r="I95"/>
      <c r="J95"/>
      <c r="K95"/>
      <c r="L95"/>
      <c r="M95"/>
      <c r="N95"/>
      <c r="O95"/>
      <c r="P95"/>
      <c r="Q95"/>
    </row>
    <row r="96" spans="1:20" ht="15">
      <c r="A96" s="475"/>
      <c r="B96"/>
      <c r="C96"/>
      <c r="D96"/>
      <c r="E96" s="475"/>
      <c r="F96" s="476"/>
      <c r="G96"/>
      <c r="H96"/>
      <c r="I96"/>
      <c r="J96"/>
      <c r="K96"/>
      <c r="L96"/>
      <c r="M96"/>
      <c r="N96"/>
      <c r="O96"/>
      <c r="P96"/>
      <c r="Q96"/>
    </row>
    <row r="97" spans="1:17" ht="15">
      <c r="A97" s="475"/>
      <c r="B97"/>
      <c r="C97"/>
      <c r="D97"/>
      <c r="E97" s="475"/>
      <c r="F97" s="476"/>
      <c r="G97"/>
      <c r="H97"/>
      <c r="I97"/>
      <c r="J97"/>
      <c r="K97"/>
      <c r="L97"/>
      <c r="M97"/>
      <c r="N97"/>
      <c r="O97"/>
      <c r="P97"/>
      <c r="Q97"/>
    </row>
    <row r="98" spans="1:17" ht="15">
      <c r="A98" s="475"/>
      <c r="B98"/>
      <c r="C98"/>
      <c r="D98"/>
      <c r="E98" s="475"/>
      <c r="F98" s="476"/>
      <c r="G98"/>
      <c r="H98"/>
      <c r="I98"/>
      <c r="J98"/>
      <c r="K98"/>
      <c r="L98"/>
      <c r="M98"/>
      <c r="N98"/>
      <c r="O98"/>
      <c r="P98"/>
      <c r="Q98"/>
    </row>
    <row r="99" spans="1:17" ht="15">
      <c r="A99" s="475"/>
      <c r="B99"/>
      <c r="C99"/>
      <c r="D99"/>
      <c r="E99" s="475"/>
      <c r="F99" s="476"/>
      <c r="G99"/>
      <c r="H99"/>
      <c r="I99"/>
      <c r="J99"/>
      <c r="K99"/>
      <c r="L99"/>
      <c r="M99"/>
      <c r="N99"/>
      <c r="O99"/>
      <c r="P99"/>
      <c r="Q99"/>
    </row>
    <row r="100" spans="1:17" ht="15">
      <c r="A100" s="475"/>
      <c r="B100"/>
      <c r="C100"/>
      <c r="D100"/>
      <c r="E100" s="475"/>
      <c r="F100" s="476"/>
      <c r="G100"/>
      <c r="H100"/>
      <c r="I100"/>
      <c r="J100"/>
      <c r="K100"/>
      <c r="L100"/>
      <c r="M100"/>
      <c r="N100"/>
      <c r="O100"/>
      <c r="P100"/>
      <c r="Q100"/>
    </row>
    <row r="101" spans="1:17" ht="15">
      <c r="A101" s="475"/>
      <c r="B101"/>
      <c r="C101"/>
      <c r="D101"/>
      <c r="E101" s="475"/>
      <c r="F101" s="476"/>
      <c r="G101"/>
      <c r="H101"/>
      <c r="I101"/>
      <c r="J101"/>
      <c r="K101"/>
      <c r="L101"/>
      <c r="M101"/>
      <c r="N101"/>
      <c r="O101"/>
      <c r="P101"/>
      <c r="Q101"/>
    </row>
    <row r="102" spans="1:17" ht="15">
      <c r="A102" s="475"/>
      <c r="B102"/>
      <c r="C102"/>
      <c r="D102"/>
      <c r="E102" s="475"/>
      <c r="F102" s="476"/>
      <c r="G102"/>
      <c r="H102"/>
      <c r="I102"/>
      <c r="J102"/>
      <c r="K102"/>
      <c r="L102"/>
      <c r="M102"/>
      <c r="N102"/>
      <c r="O102"/>
      <c r="P102"/>
      <c r="Q102"/>
    </row>
    <row r="103" spans="1:17" ht="15">
      <c r="A103" s="475"/>
      <c r="B103"/>
      <c r="C103"/>
      <c r="D103"/>
      <c r="E103" s="475"/>
      <c r="F103" s="476"/>
      <c r="G103"/>
      <c r="H103"/>
      <c r="I103"/>
      <c r="J103"/>
      <c r="K103"/>
      <c r="L103"/>
      <c r="M103"/>
      <c r="N103"/>
      <c r="O103"/>
      <c r="P103"/>
      <c r="Q103"/>
    </row>
    <row r="104" spans="1:17" ht="15">
      <c r="A104" s="475"/>
      <c r="B104"/>
      <c r="C104"/>
      <c r="D104"/>
      <c r="E104" s="475"/>
      <c r="F104" s="476"/>
      <c r="G104"/>
      <c r="H104"/>
      <c r="I104"/>
      <c r="J104"/>
      <c r="K104"/>
      <c r="L104"/>
      <c r="M104"/>
      <c r="N104"/>
      <c r="O104"/>
      <c r="P104"/>
      <c r="Q104"/>
    </row>
    <row r="105" spans="1:17" ht="15">
      <c r="A105" s="475"/>
      <c r="B105"/>
      <c r="C105"/>
      <c r="D105"/>
      <c r="E105" s="475"/>
      <c r="F105" s="476"/>
      <c r="G105"/>
      <c r="H105"/>
      <c r="I105"/>
      <c r="J105"/>
      <c r="K105"/>
      <c r="L105"/>
      <c r="M105"/>
      <c r="N105"/>
      <c r="O105"/>
      <c r="P105"/>
      <c r="Q105"/>
    </row>
    <row r="106" spans="1:17" ht="15">
      <c r="A106" s="475"/>
      <c r="B106"/>
      <c r="C106"/>
      <c r="D106"/>
      <c r="E106" s="475"/>
      <c r="F106" s="476"/>
      <c r="G106"/>
      <c r="H106"/>
      <c r="I106"/>
      <c r="J106"/>
      <c r="K106"/>
      <c r="L106"/>
      <c r="M106"/>
      <c r="N106"/>
      <c r="O106"/>
      <c r="P106"/>
      <c r="Q106"/>
    </row>
    <row r="107" spans="1:17" ht="15">
      <c r="A107" s="475"/>
      <c r="B107"/>
      <c r="C107"/>
      <c r="D107"/>
      <c r="E107" s="475"/>
      <c r="F107" s="476"/>
      <c r="G107"/>
      <c r="H107"/>
      <c r="I107"/>
      <c r="J107"/>
      <c r="K107"/>
      <c r="L107"/>
      <c r="M107"/>
      <c r="N107"/>
      <c r="O107"/>
      <c r="P107"/>
      <c r="Q107"/>
    </row>
    <row r="108" spans="1:17" ht="15">
      <c r="A108" s="475"/>
      <c r="B108"/>
      <c r="C108"/>
      <c r="D108"/>
      <c r="E108" s="475"/>
      <c r="F108" s="476"/>
      <c r="G108"/>
      <c r="H108"/>
      <c r="I108"/>
      <c r="J108"/>
      <c r="K108"/>
      <c r="L108"/>
      <c r="M108"/>
      <c r="N108"/>
      <c r="O108"/>
      <c r="P108"/>
      <c r="Q108"/>
    </row>
    <row r="109" spans="1:17" ht="15">
      <c r="A109" s="475"/>
      <c r="B109"/>
      <c r="C109"/>
      <c r="D109"/>
      <c r="E109" s="475"/>
      <c r="F109" s="476"/>
      <c r="G109"/>
      <c r="H109"/>
      <c r="I109"/>
      <c r="J109"/>
      <c r="K109"/>
      <c r="L109"/>
      <c r="M109"/>
      <c r="N109"/>
      <c r="O109"/>
      <c r="P109"/>
      <c r="Q109"/>
    </row>
    <row r="110" spans="1:17" ht="15">
      <c r="A110" s="475"/>
      <c r="B110"/>
      <c r="C110"/>
      <c r="D110"/>
      <c r="E110" s="475"/>
      <c r="F110" s="476"/>
      <c r="G110"/>
      <c r="H110"/>
      <c r="I110"/>
      <c r="J110"/>
      <c r="K110"/>
      <c r="L110"/>
      <c r="M110"/>
      <c r="N110"/>
      <c r="O110"/>
      <c r="P110"/>
      <c r="Q110"/>
    </row>
    <row r="111" spans="1:17" ht="15">
      <c r="A111" s="475"/>
      <c r="B111"/>
      <c r="C111"/>
      <c r="D111"/>
      <c r="E111" s="475"/>
      <c r="F111" s="476"/>
      <c r="G111"/>
      <c r="H111"/>
      <c r="I111"/>
      <c r="J111"/>
      <c r="K111"/>
      <c r="L111"/>
      <c r="M111"/>
      <c r="N111"/>
      <c r="O111"/>
      <c r="P111"/>
      <c r="Q111"/>
    </row>
    <row r="112" spans="1:17" ht="15">
      <c r="A112" s="475"/>
      <c r="B112"/>
      <c r="C112"/>
      <c r="D112"/>
      <c r="E112" s="475"/>
      <c r="F112" s="476"/>
      <c r="G112"/>
      <c r="H112"/>
      <c r="I112"/>
      <c r="J112"/>
      <c r="K112"/>
      <c r="L112"/>
      <c r="M112"/>
      <c r="N112"/>
      <c r="O112"/>
      <c r="P112"/>
      <c r="Q112"/>
    </row>
    <row r="113" spans="1:17" ht="15">
      <c r="A113" s="475"/>
      <c r="B113"/>
      <c r="C113"/>
      <c r="D113"/>
      <c r="E113" s="475"/>
      <c r="F113" s="476"/>
      <c r="G113"/>
      <c r="H113"/>
      <c r="I113"/>
      <c r="J113"/>
      <c r="K113"/>
      <c r="L113"/>
      <c r="M113"/>
      <c r="N113"/>
      <c r="O113"/>
      <c r="P113"/>
      <c r="Q113"/>
    </row>
    <row r="114" spans="1:17" ht="15">
      <c r="A114" s="475"/>
      <c r="B114"/>
      <c r="C114"/>
      <c r="D114"/>
      <c r="E114" s="475"/>
      <c r="F114" s="476"/>
      <c r="G114"/>
      <c r="H114"/>
      <c r="I114"/>
      <c r="J114"/>
      <c r="K114"/>
      <c r="L114"/>
      <c r="M114"/>
      <c r="N114"/>
      <c r="O114"/>
      <c r="P114"/>
      <c r="Q114"/>
    </row>
    <row r="115" spans="1:17" ht="15">
      <c r="A115" s="475"/>
      <c r="B115"/>
      <c r="C115"/>
      <c r="D115"/>
      <c r="E115" s="475"/>
      <c r="F115" s="476"/>
      <c r="G115"/>
      <c r="H115"/>
      <c r="I115"/>
      <c r="J115"/>
      <c r="K115"/>
      <c r="L115"/>
      <c r="M115"/>
      <c r="N115"/>
      <c r="O115"/>
      <c r="P115"/>
      <c r="Q115"/>
    </row>
    <row r="116" spans="1:17" ht="15">
      <c r="A116" s="475"/>
      <c r="B116"/>
      <c r="C116"/>
      <c r="D116"/>
      <c r="E116" s="475"/>
      <c r="F116" s="476"/>
      <c r="G116"/>
      <c r="H116"/>
      <c r="I116"/>
      <c r="J116"/>
      <c r="K116"/>
      <c r="L116"/>
      <c r="M116"/>
      <c r="N116"/>
      <c r="O116"/>
      <c r="P116"/>
      <c r="Q116"/>
    </row>
    <row r="117" spans="1:17" ht="15">
      <c r="A117" s="475"/>
      <c r="B117"/>
      <c r="C117"/>
      <c r="D117"/>
      <c r="E117" s="475"/>
      <c r="F117" s="476"/>
      <c r="G117"/>
      <c r="H117"/>
      <c r="I117"/>
      <c r="J117"/>
      <c r="K117"/>
      <c r="L117"/>
      <c r="M117"/>
      <c r="N117"/>
      <c r="O117"/>
      <c r="P117"/>
      <c r="Q117"/>
    </row>
    <row r="118" spans="1:17" ht="15">
      <c r="A118" s="475"/>
      <c r="B118"/>
      <c r="C118"/>
      <c r="D118"/>
      <c r="E118" s="475"/>
      <c r="F118" s="476"/>
      <c r="G118"/>
      <c r="H118"/>
      <c r="I118"/>
      <c r="J118"/>
      <c r="K118"/>
      <c r="L118"/>
      <c r="M118"/>
      <c r="N118"/>
      <c r="O118"/>
      <c r="P118"/>
      <c r="Q118"/>
    </row>
    <row r="119" spans="1:17" ht="15">
      <c r="A119" s="475"/>
      <c r="B119"/>
      <c r="C119"/>
      <c r="D119"/>
      <c r="E119" s="475"/>
      <c r="F119" s="476"/>
      <c r="G119"/>
      <c r="H119"/>
      <c r="I119"/>
      <c r="J119"/>
      <c r="K119"/>
      <c r="L119"/>
      <c r="M119"/>
      <c r="N119"/>
      <c r="O119"/>
      <c r="P119"/>
      <c r="Q119"/>
    </row>
    <row r="120" spans="1:17" ht="15">
      <c r="A120" s="475"/>
      <c r="B120"/>
      <c r="C120"/>
      <c r="D120"/>
      <c r="E120" s="475"/>
      <c r="F120" s="476"/>
      <c r="G120"/>
      <c r="H120"/>
      <c r="I120"/>
      <c r="J120"/>
      <c r="K120"/>
      <c r="L120"/>
      <c r="M120"/>
      <c r="N120"/>
      <c r="O120"/>
      <c r="P120"/>
      <c r="Q120"/>
    </row>
    <row r="121" spans="1:17" ht="15">
      <c r="A121" s="475"/>
      <c r="B121"/>
      <c r="C121"/>
      <c r="D121"/>
      <c r="E121" s="475"/>
      <c r="F121" s="476"/>
      <c r="G121"/>
      <c r="H121"/>
      <c r="I121"/>
      <c r="J121"/>
      <c r="K121"/>
      <c r="L121"/>
      <c r="M121"/>
      <c r="N121"/>
      <c r="O121"/>
      <c r="P121"/>
      <c r="Q121"/>
    </row>
    <row r="122" spans="1:17" ht="15">
      <c r="A122" s="475"/>
      <c r="B122"/>
      <c r="C122"/>
      <c r="D122"/>
      <c r="E122" s="475"/>
      <c r="F122" s="476"/>
      <c r="G122"/>
      <c r="H122"/>
      <c r="I122"/>
      <c r="J122"/>
      <c r="K122"/>
      <c r="L122"/>
      <c r="M122"/>
      <c r="N122"/>
      <c r="O122"/>
      <c r="P122"/>
      <c r="Q122"/>
    </row>
    <row r="123" spans="1:17" ht="15">
      <c r="A123" s="475"/>
      <c r="B123"/>
      <c r="C123"/>
      <c r="D123"/>
      <c r="E123" s="475"/>
      <c r="F123" s="476"/>
      <c r="G123"/>
      <c r="H123"/>
      <c r="I123"/>
      <c r="J123"/>
      <c r="K123"/>
      <c r="L123"/>
      <c r="M123"/>
      <c r="N123"/>
      <c r="O123"/>
      <c r="P123"/>
      <c r="Q123"/>
    </row>
    <row r="124" spans="1:17" ht="15">
      <c r="A124" s="475"/>
      <c r="B124"/>
      <c r="C124"/>
      <c r="D124"/>
      <c r="E124" s="475"/>
      <c r="F124" s="476"/>
      <c r="G124"/>
      <c r="H124"/>
      <c r="I124"/>
      <c r="J124"/>
      <c r="K124"/>
      <c r="L124"/>
      <c r="M124"/>
      <c r="N124"/>
      <c r="O124"/>
      <c r="P124"/>
      <c r="Q124"/>
    </row>
    <row r="125" spans="1:17" ht="15">
      <c r="A125" s="475"/>
      <c r="B125"/>
      <c r="C125"/>
      <c r="D125"/>
      <c r="E125" s="475"/>
      <c r="F125" s="476"/>
      <c r="G125"/>
      <c r="H125"/>
      <c r="I125"/>
      <c r="J125"/>
      <c r="K125"/>
      <c r="L125"/>
      <c r="M125"/>
      <c r="N125"/>
      <c r="O125"/>
      <c r="P125"/>
      <c r="Q125"/>
    </row>
    <row r="126" spans="1:17" ht="15">
      <c r="A126" s="475"/>
      <c r="B126"/>
      <c r="C126"/>
      <c r="D126"/>
      <c r="E126" s="475"/>
      <c r="F126" s="476"/>
      <c r="G126"/>
      <c r="H126"/>
      <c r="I126"/>
      <c r="J126"/>
      <c r="K126"/>
      <c r="L126"/>
      <c r="M126"/>
      <c r="N126"/>
      <c r="O126"/>
      <c r="P126"/>
      <c r="Q126"/>
    </row>
    <row r="127" spans="1:17" ht="15">
      <c r="A127" s="475"/>
      <c r="B127"/>
      <c r="C127"/>
      <c r="D127"/>
      <c r="E127" s="475"/>
      <c r="F127" s="476"/>
      <c r="G127"/>
      <c r="H127"/>
      <c r="I127"/>
      <c r="J127"/>
      <c r="K127"/>
      <c r="L127"/>
      <c r="M127"/>
      <c r="N127"/>
      <c r="O127"/>
      <c r="P127"/>
      <c r="Q127"/>
    </row>
    <row r="128" spans="1:17" ht="15">
      <c r="A128" s="475"/>
      <c r="B128"/>
      <c r="C128"/>
      <c r="D128"/>
      <c r="E128" s="475"/>
      <c r="F128" s="476"/>
      <c r="G128"/>
      <c r="H128"/>
      <c r="I128"/>
      <c r="J128"/>
      <c r="K128"/>
      <c r="L128"/>
      <c r="M128"/>
      <c r="N128"/>
      <c r="O128"/>
      <c r="P128"/>
      <c r="Q128"/>
    </row>
    <row r="129" spans="1:17" ht="15">
      <c r="A129" s="475"/>
      <c r="B129"/>
      <c r="C129"/>
      <c r="D129"/>
      <c r="E129" s="475"/>
      <c r="F129" s="476"/>
      <c r="G129"/>
      <c r="H129"/>
      <c r="I129"/>
      <c r="J129"/>
      <c r="K129"/>
      <c r="L129"/>
      <c r="M129"/>
      <c r="N129"/>
      <c r="O129"/>
      <c r="P129"/>
      <c r="Q129"/>
    </row>
    <row r="130" spans="1:17" ht="15">
      <c r="A130" s="475"/>
      <c r="B130"/>
      <c r="C130"/>
      <c r="D130"/>
      <c r="E130" s="475"/>
      <c r="F130" s="476"/>
      <c r="G130"/>
      <c r="H130"/>
      <c r="I130"/>
      <c r="J130"/>
      <c r="K130"/>
      <c r="L130"/>
      <c r="M130"/>
      <c r="N130"/>
      <c r="O130"/>
      <c r="P130"/>
      <c r="Q130"/>
    </row>
    <row r="131" spans="1:17" ht="15">
      <c r="A131" s="475"/>
      <c r="B131"/>
      <c r="C131"/>
      <c r="D131"/>
      <c r="E131" s="475"/>
      <c r="F131" s="476"/>
      <c r="G131"/>
      <c r="H131"/>
      <c r="I131"/>
      <c r="J131"/>
      <c r="K131"/>
      <c r="L131"/>
      <c r="M131"/>
      <c r="N131"/>
      <c r="O131"/>
      <c r="P131"/>
      <c r="Q131"/>
    </row>
    <row r="132" spans="1:17" ht="15">
      <c r="A132" s="475"/>
      <c r="B132"/>
      <c r="C132"/>
      <c r="D132"/>
      <c r="E132" s="475"/>
      <c r="F132" s="476"/>
      <c r="G132"/>
      <c r="H132"/>
      <c r="I132"/>
      <c r="J132"/>
      <c r="K132"/>
      <c r="L132"/>
      <c r="M132"/>
      <c r="N132"/>
      <c r="O132"/>
      <c r="P132"/>
      <c r="Q132"/>
    </row>
    <row r="133" spans="1:17" ht="15">
      <c r="A133" s="475"/>
      <c r="B133"/>
      <c r="C133"/>
      <c r="D133"/>
      <c r="E133" s="475"/>
      <c r="F133" s="476"/>
      <c r="G133"/>
      <c r="H133"/>
      <c r="I133"/>
      <c r="J133"/>
      <c r="K133"/>
      <c r="L133"/>
      <c r="M133"/>
      <c r="N133"/>
      <c r="O133"/>
      <c r="P133"/>
      <c r="Q133"/>
    </row>
    <row r="134" spans="1:17" ht="15">
      <c r="A134" s="475"/>
      <c r="B134"/>
      <c r="C134"/>
      <c r="D134"/>
      <c r="E134" s="475"/>
      <c r="F134" s="476"/>
      <c r="G134"/>
      <c r="H134"/>
      <c r="I134"/>
      <c r="J134"/>
      <c r="K134"/>
      <c r="L134"/>
      <c r="M134"/>
      <c r="N134"/>
      <c r="O134"/>
      <c r="P134"/>
      <c r="Q134"/>
    </row>
    <row r="135" spans="1:17" ht="15">
      <c r="A135" s="475"/>
      <c r="B135"/>
      <c r="C135"/>
      <c r="D135"/>
      <c r="E135" s="475"/>
      <c r="F135" s="476"/>
      <c r="G135"/>
      <c r="H135"/>
      <c r="I135"/>
      <c r="J135"/>
      <c r="K135"/>
      <c r="L135"/>
      <c r="M135"/>
      <c r="N135"/>
      <c r="O135"/>
      <c r="P135"/>
      <c r="Q135"/>
    </row>
    <row r="136" spans="1:17" ht="15">
      <c r="A136" s="475"/>
      <c r="B136"/>
      <c r="C136"/>
      <c r="D136"/>
      <c r="E136" s="475"/>
      <c r="F136" s="476"/>
      <c r="G136"/>
      <c r="H136"/>
      <c r="I136"/>
      <c r="J136"/>
      <c r="K136"/>
      <c r="L136"/>
      <c r="M136"/>
      <c r="N136"/>
      <c r="O136"/>
      <c r="P136"/>
      <c r="Q136"/>
    </row>
    <row r="137" spans="1:17" ht="15">
      <c r="A137" s="475"/>
      <c r="B137"/>
      <c r="C137"/>
      <c r="D137"/>
      <c r="E137" s="475"/>
      <c r="F137" s="476"/>
      <c r="G137"/>
      <c r="H137"/>
      <c r="I137"/>
      <c r="J137"/>
      <c r="K137"/>
      <c r="L137"/>
      <c r="M137"/>
      <c r="N137"/>
      <c r="O137"/>
      <c r="P137"/>
      <c r="Q137"/>
    </row>
    <row r="138" spans="1:17" ht="15">
      <c r="A138" s="475"/>
      <c r="B138"/>
      <c r="C138"/>
      <c r="D138"/>
      <c r="E138" s="475"/>
      <c r="F138" s="476"/>
      <c r="G138"/>
      <c r="H138"/>
      <c r="I138"/>
      <c r="J138"/>
      <c r="K138"/>
      <c r="L138"/>
      <c r="M138"/>
      <c r="N138"/>
      <c r="O138"/>
      <c r="P138"/>
    </row>
    <row r="139" spans="1:17" ht="15">
      <c r="A139" s="475"/>
      <c r="B139"/>
      <c r="C139"/>
      <c r="D139"/>
      <c r="E139" s="475"/>
      <c r="F139" s="476"/>
      <c r="G139"/>
      <c r="H139"/>
      <c r="I139"/>
      <c r="J139"/>
      <c r="K139"/>
      <c r="L139"/>
      <c r="M139"/>
      <c r="N139"/>
      <c r="O139"/>
      <c r="P139"/>
    </row>
    <row r="140" spans="1:17" ht="15">
      <c r="A140" s="475"/>
      <c r="B140"/>
      <c r="C140"/>
      <c r="D140"/>
      <c r="E140" s="475"/>
      <c r="F140" s="476"/>
      <c r="G140"/>
      <c r="H140"/>
      <c r="I140"/>
      <c r="J140"/>
      <c r="K140"/>
      <c r="L140"/>
      <c r="M140"/>
      <c r="N140"/>
      <c r="O140"/>
      <c r="P140"/>
    </row>
    <row r="141" spans="1:17" ht="15">
      <c r="A141" s="475"/>
      <c r="B141"/>
      <c r="C141"/>
      <c r="D141"/>
      <c r="E141" s="475"/>
      <c r="F141" s="476"/>
      <c r="G141"/>
      <c r="H141"/>
      <c r="I141"/>
      <c r="J141"/>
      <c r="K141"/>
      <c r="L141"/>
      <c r="M141"/>
      <c r="N141"/>
      <c r="O141"/>
      <c r="P141"/>
    </row>
    <row r="142" spans="1:17" ht="15">
      <c r="A142" s="475"/>
      <c r="B142"/>
      <c r="C142"/>
      <c r="D142"/>
      <c r="E142" s="475"/>
      <c r="F142" s="476"/>
      <c r="G142"/>
      <c r="H142"/>
      <c r="I142"/>
      <c r="J142"/>
      <c r="K142"/>
      <c r="L142"/>
      <c r="M142"/>
      <c r="N142"/>
      <c r="O142"/>
      <c r="P142"/>
    </row>
    <row r="143" spans="1:17" ht="15">
      <c r="A143" s="475"/>
      <c r="B143"/>
      <c r="C143"/>
      <c r="D143"/>
      <c r="E143" s="475"/>
      <c r="F143" s="476"/>
      <c r="G143"/>
      <c r="H143"/>
      <c r="I143"/>
      <c r="J143"/>
      <c r="K143"/>
      <c r="L143"/>
      <c r="M143"/>
      <c r="N143"/>
      <c r="O143"/>
      <c r="P143"/>
    </row>
    <row r="144" spans="1:17" ht="15">
      <c r="A144" s="475"/>
      <c r="B144"/>
      <c r="C144"/>
      <c r="D144"/>
      <c r="E144" s="475"/>
      <c r="F144" s="476"/>
      <c r="G144"/>
      <c r="H144"/>
      <c r="I144"/>
      <c r="J144"/>
      <c r="K144"/>
      <c r="L144"/>
      <c r="M144"/>
      <c r="N144"/>
      <c r="O144"/>
      <c r="P144"/>
    </row>
    <row r="145" spans="1:16" ht="15">
      <c r="A145" s="475"/>
      <c r="B145"/>
      <c r="C145"/>
      <c r="D145"/>
      <c r="E145" s="475"/>
      <c r="F145" s="476"/>
      <c r="G145"/>
      <c r="H145"/>
      <c r="I145"/>
      <c r="J145"/>
      <c r="K145"/>
      <c r="L145"/>
      <c r="M145"/>
      <c r="N145"/>
      <c r="O145"/>
      <c r="P145"/>
    </row>
    <row r="146" spans="1:16" ht="15">
      <c r="A146" s="475"/>
      <c r="B146"/>
      <c r="C146"/>
      <c r="D146"/>
      <c r="E146" s="475"/>
      <c r="F146" s="476"/>
      <c r="G146"/>
      <c r="H146"/>
      <c r="I146"/>
      <c r="J146"/>
      <c r="K146"/>
      <c r="L146"/>
      <c r="M146"/>
      <c r="N146"/>
      <c r="O146"/>
      <c r="P146"/>
    </row>
    <row r="147" spans="1:16" ht="15">
      <c r="A147" s="475"/>
      <c r="B147"/>
      <c r="C147"/>
      <c r="D147"/>
      <c r="E147" s="475"/>
      <c r="F147" s="476"/>
      <c r="G147"/>
      <c r="H147"/>
      <c r="I147"/>
      <c r="J147"/>
      <c r="K147"/>
      <c r="L147"/>
      <c r="M147"/>
      <c r="N147"/>
      <c r="O147"/>
      <c r="P147"/>
    </row>
    <row r="148" spans="1:16" ht="15">
      <c r="A148" s="475"/>
      <c r="B148"/>
      <c r="C148"/>
      <c r="D148"/>
      <c r="E148" s="475"/>
      <c r="F148" s="476"/>
      <c r="G148"/>
      <c r="H148"/>
      <c r="I148"/>
      <c r="J148"/>
      <c r="K148"/>
      <c r="L148"/>
      <c r="M148"/>
      <c r="N148"/>
      <c r="O148"/>
      <c r="P148"/>
    </row>
    <row r="149" spans="1:16" ht="15">
      <c r="A149" s="475"/>
      <c r="B149"/>
      <c r="C149"/>
      <c r="D149"/>
      <c r="E149" s="475"/>
      <c r="F149" s="476"/>
      <c r="G149"/>
      <c r="H149"/>
      <c r="I149"/>
      <c r="J149"/>
      <c r="K149"/>
      <c r="L149"/>
      <c r="M149"/>
      <c r="N149"/>
      <c r="O149"/>
      <c r="P149"/>
    </row>
    <row r="150" spans="1:16" ht="15">
      <c r="A150" s="475"/>
      <c r="B150"/>
      <c r="C150"/>
      <c r="D150"/>
      <c r="E150" s="475"/>
      <c r="F150" s="476"/>
      <c r="G150"/>
      <c r="H150"/>
      <c r="I150"/>
      <c r="J150"/>
      <c r="K150"/>
      <c r="L150"/>
      <c r="M150"/>
      <c r="N150"/>
      <c r="O150"/>
      <c r="P150"/>
    </row>
    <row r="151" spans="1:16" ht="15">
      <c r="A151" s="475"/>
      <c r="B151"/>
      <c r="C151"/>
      <c r="D151"/>
      <c r="E151" s="475"/>
      <c r="F151" s="476"/>
      <c r="G151"/>
      <c r="H151"/>
      <c r="I151"/>
      <c r="J151"/>
      <c r="K151"/>
      <c r="L151"/>
      <c r="M151"/>
      <c r="N151"/>
      <c r="O151"/>
      <c r="P151"/>
    </row>
    <row r="152" spans="1:16" ht="15">
      <c r="A152" s="475"/>
      <c r="B152"/>
      <c r="C152"/>
      <c r="D152"/>
      <c r="E152" s="475"/>
      <c r="F152" s="476"/>
      <c r="G152"/>
      <c r="H152"/>
      <c r="I152"/>
      <c r="J152"/>
      <c r="K152"/>
      <c r="L152"/>
      <c r="M152"/>
      <c r="N152"/>
      <c r="O152"/>
      <c r="P152"/>
    </row>
    <row r="153" spans="1:16" ht="15">
      <c r="A153" s="475"/>
      <c r="B153"/>
      <c r="C153"/>
      <c r="D153"/>
      <c r="E153" s="475"/>
      <c r="F153" s="476"/>
      <c r="G153"/>
      <c r="H153"/>
      <c r="I153"/>
      <c r="J153"/>
      <c r="K153"/>
      <c r="L153"/>
      <c r="M153"/>
      <c r="N153"/>
      <c r="O153"/>
      <c r="P153"/>
    </row>
    <row r="154" spans="1:16" ht="15">
      <c r="A154" s="475"/>
      <c r="B154"/>
      <c r="C154"/>
      <c r="D154"/>
      <c r="E154" s="475"/>
      <c r="F154" s="476"/>
      <c r="G154"/>
      <c r="H154"/>
      <c r="I154"/>
      <c r="J154"/>
      <c r="K154"/>
      <c r="L154"/>
      <c r="M154"/>
      <c r="N154"/>
      <c r="O154"/>
      <c r="P154"/>
    </row>
    <row r="155" spans="1:16" ht="15">
      <c r="A155" s="475"/>
      <c r="B155"/>
      <c r="C155"/>
      <c r="D155"/>
      <c r="E155" s="475"/>
      <c r="F155" s="476"/>
      <c r="G155"/>
      <c r="H155"/>
      <c r="I155"/>
      <c r="J155"/>
      <c r="K155"/>
      <c r="L155"/>
      <c r="M155"/>
      <c r="N155"/>
      <c r="O155"/>
      <c r="P155"/>
    </row>
    <row r="156" spans="1:16" ht="15">
      <c r="A156" s="475"/>
      <c r="B156"/>
      <c r="C156"/>
      <c r="D156"/>
      <c r="E156" s="475"/>
      <c r="F156" s="476"/>
      <c r="G156"/>
      <c r="H156"/>
      <c r="I156"/>
      <c r="J156"/>
      <c r="K156"/>
      <c r="L156"/>
      <c r="M156"/>
      <c r="N156"/>
      <c r="O156"/>
      <c r="P156"/>
    </row>
    <row r="157" spans="1:16" ht="15">
      <c r="A157" s="475"/>
      <c r="B157"/>
      <c r="C157"/>
      <c r="D157"/>
      <c r="E157" s="475"/>
      <c r="F157" s="476"/>
      <c r="G157"/>
      <c r="H157"/>
      <c r="I157"/>
      <c r="J157"/>
      <c r="K157"/>
      <c r="L157"/>
      <c r="M157"/>
      <c r="N157"/>
      <c r="O157"/>
      <c r="P157"/>
    </row>
    <row r="158" spans="1:16" ht="15">
      <c r="A158" s="475"/>
      <c r="B158"/>
      <c r="C158"/>
      <c r="D158"/>
      <c r="E158" s="475"/>
      <c r="F158" s="476"/>
      <c r="G158"/>
      <c r="H158"/>
      <c r="I158"/>
      <c r="J158"/>
      <c r="K158"/>
      <c r="L158"/>
      <c r="M158"/>
      <c r="N158"/>
      <c r="O158"/>
      <c r="P158"/>
    </row>
    <row r="159" spans="1:16" ht="15">
      <c r="A159" s="475"/>
      <c r="B159"/>
      <c r="C159"/>
      <c r="D159"/>
      <c r="E159" s="475"/>
      <c r="F159" s="476"/>
      <c r="G159"/>
      <c r="H159"/>
      <c r="I159"/>
      <c r="J159"/>
      <c r="K159"/>
      <c r="L159"/>
      <c r="M159"/>
      <c r="N159"/>
      <c r="O159"/>
      <c r="P159"/>
    </row>
    <row r="160" spans="1:16" ht="15">
      <c r="A160" s="475"/>
      <c r="B160"/>
      <c r="C160"/>
      <c r="D160"/>
      <c r="E160" s="475"/>
      <c r="F160" s="476"/>
      <c r="G160"/>
      <c r="H160"/>
      <c r="I160"/>
      <c r="J160"/>
      <c r="K160"/>
      <c r="L160"/>
      <c r="M160"/>
      <c r="N160"/>
      <c r="O160"/>
      <c r="P160"/>
    </row>
    <row r="161" spans="1:16" ht="15">
      <c r="A161" s="475"/>
      <c r="B161"/>
      <c r="C161"/>
      <c r="D161"/>
      <c r="E161" s="475"/>
      <c r="F161" s="476"/>
      <c r="G161"/>
      <c r="H161"/>
      <c r="I161"/>
      <c r="J161"/>
      <c r="K161"/>
      <c r="L161"/>
      <c r="M161"/>
      <c r="N161"/>
      <c r="O161"/>
      <c r="P161"/>
    </row>
    <row r="162" spans="1:16" ht="15">
      <c r="A162" s="475"/>
      <c r="B162"/>
      <c r="C162"/>
      <c r="D162"/>
      <c r="E162" s="475"/>
      <c r="F162" s="476"/>
      <c r="G162"/>
      <c r="H162"/>
      <c r="I162"/>
      <c r="J162"/>
      <c r="K162"/>
      <c r="L162"/>
      <c r="M162"/>
      <c r="N162"/>
      <c r="O162"/>
      <c r="P162"/>
    </row>
    <row r="163" spans="1:16" ht="15">
      <c r="A163" s="475"/>
      <c r="B163"/>
      <c r="C163"/>
      <c r="D163"/>
      <c r="E163" s="475"/>
      <c r="F163" s="476"/>
      <c r="G163"/>
      <c r="H163"/>
      <c r="I163"/>
      <c r="J163"/>
      <c r="K163"/>
      <c r="L163"/>
      <c r="M163"/>
      <c r="N163"/>
      <c r="O163"/>
      <c r="P163"/>
    </row>
    <row r="164" spans="1:16" ht="15">
      <c r="A164" s="475"/>
      <c r="B164"/>
      <c r="C164"/>
      <c r="D164"/>
      <c r="E164" s="475"/>
      <c r="F164" s="476"/>
      <c r="G164"/>
      <c r="H164"/>
      <c r="I164"/>
      <c r="J164"/>
      <c r="K164"/>
      <c r="L164"/>
      <c r="M164"/>
      <c r="N164"/>
      <c r="O164"/>
      <c r="P164"/>
    </row>
    <row r="165" spans="1:16" ht="15">
      <c r="A165" s="475"/>
      <c r="B165"/>
      <c r="C165"/>
      <c r="D165"/>
      <c r="E165" s="475"/>
      <c r="F165" s="476"/>
      <c r="G165"/>
      <c r="H165"/>
      <c r="I165"/>
      <c r="J165"/>
      <c r="K165"/>
      <c r="L165"/>
      <c r="M165"/>
      <c r="N165"/>
      <c r="O165"/>
      <c r="P165"/>
    </row>
    <row r="166" spans="1:16" ht="15">
      <c r="A166" s="475"/>
      <c r="B166"/>
      <c r="C166"/>
      <c r="D166"/>
      <c r="E166" s="475"/>
      <c r="F166" s="476"/>
      <c r="G166"/>
      <c r="H166"/>
      <c r="I166"/>
      <c r="J166"/>
      <c r="K166"/>
      <c r="L166"/>
      <c r="M166"/>
      <c r="N166"/>
      <c r="O166"/>
      <c r="P166"/>
    </row>
    <row r="167" spans="1:16" ht="15">
      <c r="A167" s="475"/>
      <c r="B167"/>
      <c r="C167"/>
      <c r="D167"/>
      <c r="E167" s="475"/>
      <c r="F167" s="476"/>
      <c r="G167"/>
      <c r="H167"/>
      <c r="I167"/>
      <c r="J167"/>
      <c r="K167"/>
      <c r="L167"/>
      <c r="M167"/>
      <c r="N167"/>
      <c r="O167"/>
      <c r="P167"/>
    </row>
    <row r="168" spans="1:16" ht="15">
      <c r="A168" s="475"/>
      <c r="B168"/>
      <c r="C168"/>
      <c r="D168"/>
      <c r="E168" s="475"/>
      <c r="F168" s="476"/>
      <c r="G168"/>
      <c r="H168"/>
      <c r="I168"/>
      <c r="J168"/>
      <c r="K168"/>
      <c r="L168"/>
      <c r="M168"/>
      <c r="N168"/>
      <c r="O168"/>
      <c r="P168"/>
    </row>
    <row r="169" spans="1:16" ht="15">
      <c r="A169" s="475"/>
      <c r="B169"/>
      <c r="C169"/>
      <c r="D169"/>
      <c r="E169" s="475"/>
      <c r="F169" s="476"/>
      <c r="G169"/>
      <c r="H169"/>
      <c r="I169"/>
      <c r="J169"/>
      <c r="K169"/>
      <c r="L169"/>
      <c r="M169"/>
      <c r="N169"/>
      <c r="O169"/>
      <c r="P169"/>
    </row>
    <row r="170" spans="1:16" ht="15">
      <c r="A170" s="475"/>
      <c r="B170"/>
      <c r="C170"/>
      <c r="D170"/>
      <c r="E170" s="475"/>
      <c r="F170" s="476"/>
      <c r="G170"/>
      <c r="H170"/>
      <c r="I170"/>
      <c r="J170"/>
      <c r="K170"/>
      <c r="L170"/>
      <c r="M170"/>
      <c r="N170"/>
      <c r="O170"/>
      <c r="P170"/>
    </row>
    <row r="171" spans="1:16" ht="15">
      <c r="A171" s="475"/>
      <c r="B171"/>
      <c r="C171"/>
      <c r="D171"/>
      <c r="E171" s="475"/>
      <c r="F171" s="476"/>
      <c r="G171"/>
      <c r="H171"/>
      <c r="I171"/>
      <c r="J171"/>
      <c r="K171"/>
      <c r="L171"/>
      <c r="M171"/>
      <c r="N171"/>
      <c r="O171"/>
      <c r="P171"/>
    </row>
    <row r="172" spans="1:16" ht="15">
      <c r="A172" s="475"/>
      <c r="B172"/>
      <c r="C172"/>
      <c r="D172"/>
      <c r="E172" s="475"/>
      <c r="F172" s="476"/>
      <c r="G172"/>
      <c r="H172"/>
      <c r="I172"/>
      <c r="J172"/>
      <c r="K172"/>
      <c r="L172"/>
      <c r="M172"/>
      <c r="N172"/>
      <c r="O172"/>
      <c r="P172"/>
    </row>
    <row r="173" spans="1:16" ht="15">
      <c r="A173" s="475"/>
      <c r="B173"/>
      <c r="C173"/>
      <c r="D173"/>
      <c r="E173" s="475"/>
      <c r="F173" s="476"/>
      <c r="G173"/>
      <c r="H173"/>
      <c r="I173"/>
      <c r="J173"/>
      <c r="K173"/>
      <c r="L173"/>
      <c r="M173"/>
      <c r="N173"/>
      <c r="O173"/>
      <c r="P173"/>
    </row>
    <row r="174" spans="1:16" ht="15">
      <c r="A174" s="475"/>
      <c r="B174"/>
      <c r="C174"/>
      <c r="D174"/>
      <c r="E174" s="475"/>
      <c r="F174" s="476"/>
      <c r="G174"/>
      <c r="H174"/>
      <c r="I174"/>
      <c r="J174"/>
      <c r="K174"/>
      <c r="L174"/>
      <c r="M174"/>
      <c r="N174"/>
      <c r="O174"/>
      <c r="P174"/>
    </row>
    <row r="175" spans="1:16" ht="15">
      <c r="A175" s="475"/>
      <c r="B175"/>
      <c r="C175"/>
      <c r="D175"/>
      <c r="E175" s="475"/>
      <c r="F175" s="476"/>
      <c r="G175"/>
      <c r="H175"/>
      <c r="I175"/>
      <c r="J175"/>
      <c r="K175"/>
      <c r="L175"/>
      <c r="M175"/>
      <c r="N175"/>
      <c r="O175"/>
      <c r="P175"/>
    </row>
    <row r="176" spans="1:16" ht="15">
      <c r="A176" s="475"/>
      <c r="B176"/>
      <c r="C176"/>
      <c r="D176"/>
      <c r="E176" s="475"/>
      <c r="F176" s="476"/>
      <c r="G176"/>
      <c r="H176"/>
      <c r="I176"/>
      <c r="J176"/>
      <c r="K176"/>
      <c r="L176"/>
      <c r="M176"/>
      <c r="N176"/>
      <c r="O176"/>
      <c r="P176"/>
    </row>
    <row r="177" spans="1:16" ht="15">
      <c r="A177" s="475"/>
      <c r="B177"/>
      <c r="C177"/>
      <c r="D177"/>
      <c r="E177" s="475"/>
      <c r="F177" s="476"/>
      <c r="G177"/>
      <c r="H177"/>
      <c r="I177"/>
      <c r="J177"/>
      <c r="K177"/>
      <c r="L177"/>
      <c r="M177"/>
      <c r="N177"/>
      <c r="O177"/>
      <c r="P177"/>
    </row>
    <row r="178" spans="1:16" ht="15">
      <c r="A178" s="475"/>
      <c r="B178"/>
      <c r="C178"/>
      <c r="D178"/>
      <c r="E178" s="475"/>
      <c r="F178" s="476"/>
      <c r="G178"/>
      <c r="H178"/>
      <c r="I178"/>
      <c r="J178"/>
      <c r="K178"/>
      <c r="L178"/>
      <c r="M178"/>
      <c r="N178"/>
      <c r="O178"/>
      <c r="P178"/>
    </row>
    <row r="179" spans="1:16" ht="15">
      <c r="A179" s="475"/>
      <c r="B179"/>
      <c r="C179"/>
      <c r="D179"/>
      <c r="E179" s="475"/>
      <c r="F179" s="476"/>
      <c r="G179"/>
      <c r="H179"/>
      <c r="I179"/>
      <c r="J179"/>
      <c r="K179"/>
      <c r="L179"/>
      <c r="M179"/>
      <c r="N179"/>
      <c r="O179"/>
      <c r="P179"/>
    </row>
    <row r="180" spans="1:16" ht="15">
      <c r="A180" s="475"/>
      <c r="B180"/>
      <c r="C180"/>
      <c r="D180"/>
      <c r="E180" s="475"/>
      <c r="F180" s="476"/>
      <c r="G180"/>
      <c r="H180"/>
      <c r="I180"/>
      <c r="J180"/>
      <c r="K180"/>
      <c r="L180"/>
      <c r="M180"/>
      <c r="N180"/>
      <c r="O180"/>
      <c r="P180"/>
    </row>
    <row r="181" spans="1:16" ht="15">
      <c r="A181" s="475"/>
      <c r="B181"/>
      <c r="C181"/>
      <c r="D181"/>
      <c r="E181" s="475"/>
      <c r="F181" s="476"/>
      <c r="G181"/>
      <c r="H181"/>
      <c r="I181"/>
      <c r="J181"/>
      <c r="K181"/>
      <c r="L181"/>
      <c r="M181"/>
      <c r="N181"/>
      <c r="O181"/>
      <c r="P181"/>
    </row>
    <row r="182" spans="1:16" ht="15">
      <c r="A182" s="475"/>
      <c r="B182"/>
      <c r="C182"/>
      <c r="D182"/>
      <c r="E182" s="475"/>
      <c r="F182" s="476"/>
      <c r="G182"/>
      <c r="H182"/>
      <c r="I182"/>
      <c r="J182"/>
      <c r="K182"/>
      <c r="L182"/>
      <c r="M182"/>
      <c r="N182"/>
      <c r="O182"/>
      <c r="P182"/>
    </row>
    <row r="183" spans="1:16" ht="15">
      <c r="A183" s="475"/>
      <c r="B183"/>
      <c r="C183"/>
      <c r="D183"/>
      <c r="E183" s="475"/>
      <c r="F183" s="476"/>
      <c r="G183"/>
      <c r="H183"/>
      <c r="I183"/>
      <c r="J183"/>
      <c r="K183"/>
      <c r="L183"/>
      <c r="M183"/>
      <c r="N183"/>
      <c r="O183"/>
      <c r="P183"/>
    </row>
    <row r="184" spans="1:16" ht="15">
      <c r="A184" s="475"/>
      <c r="B184"/>
      <c r="C184"/>
      <c r="D184"/>
      <c r="E184" s="475"/>
      <c r="F184" s="476"/>
      <c r="G184"/>
      <c r="H184"/>
      <c r="I184"/>
      <c r="J184"/>
      <c r="K184"/>
      <c r="L184"/>
      <c r="M184"/>
      <c r="N184"/>
      <c r="O184"/>
      <c r="P184"/>
    </row>
    <row r="185" spans="1:16" ht="15">
      <c r="A185" s="475"/>
      <c r="B185"/>
      <c r="C185"/>
      <c r="D185"/>
      <c r="E185" s="475"/>
      <c r="F185" s="476"/>
      <c r="G185"/>
      <c r="H185"/>
      <c r="I185"/>
      <c r="J185"/>
      <c r="K185"/>
      <c r="L185"/>
      <c r="M185"/>
      <c r="N185"/>
      <c r="O185"/>
      <c r="P185"/>
    </row>
    <row r="186" spans="1:16" ht="15">
      <c r="A186" s="475"/>
      <c r="B186"/>
      <c r="C186"/>
      <c r="D186"/>
      <c r="E186" s="475"/>
      <c r="F186" s="476"/>
      <c r="G186"/>
      <c r="H186"/>
      <c r="I186"/>
      <c r="J186"/>
      <c r="K186"/>
      <c r="L186"/>
      <c r="M186"/>
      <c r="N186"/>
      <c r="O186"/>
      <c r="P186"/>
    </row>
    <row r="187" spans="1:16" ht="15">
      <c r="A187" s="475"/>
      <c r="B187"/>
      <c r="C187"/>
      <c r="D187"/>
      <c r="E187" s="475"/>
      <c r="F187" s="476"/>
      <c r="G187"/>
      <c r="H187"/>
      <c r="I187"/>
      <c r="J187"/>
      <c r="K187"/>
      <c r="L187"/>
      <c r="M187"/>
      <c r="N187"/>
      <c r="O187"/>
      <c r="P187"/>
    </row>
    <row r="188" spans="1:16" ht="15">
      <c r="A188" s="475"/>
      <c r="B188"/>
      <c r="C188"/>
      <c r="D188"/>
      <c r="E188" s="475"/>
      <c r="F188" s="476"/>
      <c r="G188"/>
      <c r="H188"/>
      <c r="I188"/>
      <c r="J188"/>
      <c r="K188"/>
      <c r="L188"/>
      <c r="M188"/>
      <c r="N188"/>
      <c r="O188"/>
      <c r="P188"/>
    </row>
    <row r="189" spans="1:16" ht="15">
      <c r="A189" s="475"/>
      <c r="B189"/>
      <c r="C189"/>
      <c r="D189"/>
      <c r="E189" s="475"/>
      <c r="F189" s="476"/>
      <c r="G189"/>
      <c r="H189"/>
      <c r="I189"/>
      <c r="J189"/>
      <c r="K189"/>
      <c r="L189"/>
      <c r="M189"/>
      <c r="N189"/>
      <c r="O189"/>
      <c r="P189"/>
    </row>
    <row r="190" spans="1:16" ht="15">
      <c r="A190" s="475"/>
      <c r="B190"/>
      <c r="C190"/>
      <c r="D190"/>
      <c r="E190" s="475"/>
      <c r="F190" s="476"/>
      <c r="G190"/>
      <c r="H190"/>
      <c r="I190"/>
      <c r="J190"/>
      <c r="K190"/>
      <c r="L190"/>
      <c r="M190"/>
      <c r="N190"/>
      <c r="O190"/>
      <c r="P190"/>
    </row>
    <row r="191" spans="1:16" ht="15">
      <c r="A191" s="475"/>
      <c r="B191"/>
      <c r="C191"/>
      <c r="D191"/>
      <c r="E191" s="475"/>
      <c r="F191" s="476"/>
      <c r="G191"/>
      <c r="H191"/>
      <c r="I191"/>
      <c r="J191"/>
      <c r="K191"/>
      <c r="L191"/>
      <c r="M191"/>
      <c r="N191"/>
      <c r="O191"/>
      <c r="P191"/>
    </row>
    <row r="192" spans="1:16" ht="15">
      <c r="A192" s="475"/>
      <c r="B192"/>
      <c r="C192"/>
      <c r="D192"/>
      <c r="E192" s="475"/>
      <c r="F192" s="476"/>
      <c r="G192"/>
      <c r="H192"/>
      <c r="I192"/>
      <c r="J192"/>
      <c r="K192"/>
      <c r="L192"/>
      <c r="M192"/>
      <c r="N192"/>
      <c r="O192"/>
      <c r="P192"/>
    </row>
    <row r="193" spans="1:16" ht="15">
      <c r="A193" s="475"/>
      <c r="B193"/>
      <c r="C193"/>
      <c r="D193"/>
      <c r="E193" s="475"/>
      <c r="F193" s="476"/>
      <c r="G193"/>
      <c r="H193"/>
      <c r="I193"/>
      <c r="J193"/>
      <c r="K193"/>
      <c r="L193"/>
      <c r="M193"/>
      <c r="N193"/>
      <c r="O193"/>
      <c r="P193"/>
    </row>
    <row r="194" spans="1:16" ht="15">
      <c r="A194" s="475"/>
      <c r="B194"/>
      <c r="C194"/>
      <c r="D194"/>
      <c r="E194" s="475"/>
      <c r="F194" s="476"/>
      <c r="G194"/>
      <c r="H194"/>
      <c r="I194"/>
      <c r="J194"/>
      <c r="K194"/>
      <c r="L194"/>
      <c r="M194"/>
      <c r="N194"/>
      <c r="O194"/>
      <c r="P194"/>
    </row>
    <row r="195" spans="1:16" ht="15">
      <c r="A195" s="475"/>
      <c r="B195"/>
      <c r="C195"/>
      <c r="D195"/>
      <c r="E195" s="475"/>
      <c r="F195" s="476"/>
      <c r="G195"/>
      <c r="H195"/>
      <c r="I195"/>
      <c r="J195"/>
      <c r="K195"/>
      <c r="L195"/>
      <c r="M195"/>
      <c r="N195"/>
      <c r="O195"/>
      <c r="P195"/>
    </row>
    <row r="196" spans="1:16" ht="15">
      <c r="A196" s="475"/>
      <c r="B196"/>
      <c r="C196"/>
      <c r="D196"/>
      <c r="E196" s="475"/>
      <c r="F196" s="476"/>
      <c r="G196"/>
      <c r="H196"/>
      <c r="I196"/>
      <c r="J196"/>
      <c r="K196"/>
      <c r="L196"/>
      <c r="M196"/>
      <c r="N196"/>
      <c r="O196"/>
      <c r="P196"/>
    </row>
    <row r="197" spans="1:16" ht="15">
      <c r="A197" s="475"/>
      <c r="B197"/>
      <c r="C197"/>
      <c r="D197"/>
      <c r="E197" s="475"/>
      <c r="F197" s="476"/>
      <c r="G197"/>
      <c r="H197"/>
      <c r="I197"/>
      <c r="J197"/>
      <c r="K197"/>
      <c r="L197"/>
      <c r="M197"/>
      <c r="N197"/>
      <c r="O197"/>
      <c r="P197"/>
    </row>
    <row r="198" spans="1:16" ht="15">
      <c r="A198" s="475"/>
      <c r="B198"/>
      <c r="C198"/>
      <c r="D198"/>
      <c r="E198" s="475"/>
      <c r="F198" s="476"/>
      <c r="G198"/>
      <c r="H198"/>
      <c r="I198"/>
      <c r="J198"/>
      <c r="K198"/>
      <c r="L198"/>
      <c r="M198"/>
      <c r="N198"/>
      <c r="O198"/>
      <c r="P198"/>
    </row>
    <row r="199" spans="1:16" ht="15">
      <c r="A199" s="475"/>
      <c r="B199"/>
      <c r="C199"/>
      <c r="D199"/>
      <c r="E199" s="475"/>
      <c r="F199" s="476"/>
      <c r="G199"/>
      <c r="H199"/>
      <c r="I199"/>
      <c r="J199"/>
      <c r="K199"/>
      <c r="L199"/>
      <c r="M199"/>
      <c r="N199"/>
      <c r="O199"/>
      <c r="P199"/>
    </row>
    <row r="200" spans="1:16" ht="15">
      <c r="A200" s="475"/>
      <c r="B200"/>
      <c r="C200"/>
      <c r="D200"/>
      <c r="E200" s="475"/>
      <c r="F200" s="476"/>
      <c r="G200"/>
      <c r="H200"/>
      <c r="I200"/>
      <c r="J200"/>
      <c r="K200"/>
      <c r="L200"/>
      <c r="M200"/>
      <c r="N200"/>
      <c r="O200"/>
      <c r="P200"/>
    </row>
    <row r="201" spans="1:16" ht="15">
      <c r="A201" s="475"/>
      <c r="B201"/>
      <c r="C201"/>
      <c r="D201"/>
      <c r="E201" s="475"/>
      <c r="F201" s="476"/>
      <c r="G201"/>
      <c r="H201"/>
      <c r="I201"/>
      <c r="J201"/>
      <c r="K201"/>
      <c r="L201"/>
      <c r="M201"/>
      <c r="N201"/>
      <c r="O201"/>
      <c r="P201"/>
    </row>
    <row r="202" spans="1:16" ht="15">
      <c r="A202" s="475"/>
      <c r="B202"/>
      <c r="C202"/>
      <c r="D202"/>
      <c r="E202" s="475"/>
      <c r="F202" s="476"/>
      <c r="G202"/>
      <c r="H202"/>
      <c r="I202"/>
      <c r="J202"/>
      <c r="K202"/>
      <c r="L202"/>
      <c r="M202"/>
      <c r="N202"/>
      <c r="O202"/>
      <c r="P202"/>
    </row>
    <row r="203" spans="1:16" ht="15">
      <c r="A203" s="475"/>
      <c r="B203"/>
      <c r="C203"/>
      <c r="D203"/>
      <c r="E203" s="475"/>
      <c r="F203" s="476"/>
      <c r="G203"/>
      <c r="H203"/>
      <c r="I203"/>
      <c r="J203"/>
      <c r="K203"/>
      <c r="L203"/>
      <c r="M203"/>
      <c r="N203"/>
      <c r="O203"/>
      <c r="P203"/>
    </row>
    <row r="204" spans="1:16" ht="15">
      <c r="A204" s="475"/>
      <c r="B204"/>
      <c r="C204"/>
      <c r="D204"/>
      <c r="E204" s="475"/>
      <c r="F204" s="476"/>
      <c r="G204"/>
      <c r="H204"/>
      <c r="I204"/>
      <c r="J204"/>
      <c r="K204"/>
      <c r="L204"/>
      <c r="M204"/>
      <c r="N204"/>
      <c r="O204"/>
      <c r="P204"/>
    </row>
    <row r="205" spans="1:16" ht="15">
      <c r="A205" s="475"/>
      <c r="B205"/>
      <c r="C205"/>
      <c r="D205"/>
      <c r="E205" s="475"/>
      <c r="F205" s="476"/>
      <c r="G205"/>
      <c r="H205"/>
      <c r="I205"/>
      <c r="J205"/>
      <c r="K205"/>
      <c r="L205"/>
      <c r="M205"/>
      <c r="N205"/>
      <c r="O205"/>
      <c r="P205"/>
    </row>
    <row r="206" spans="1:16" ht="15">
      <c r="A206" s="475"/>
      <c r="B206"/>
      <c r="C206"/>
      <c r="D206"/>
      <c r="E206" s="475"/>
      <c r="F206" s="476"/>
      <c r="G206"/>
      <c r="H206"/>
      <c r="I206"/>
      <c r="J206"/>
      <c r="K206"/>
      <c r="L206"/>
      <c r="M206"/>
      <c r="N206"/>
      <c r="O206"/>
      <c r="P206"/>
    </row>
    <row r="207" spans="1:16" ht="15">
      <c r="A207" s="475"/>
      <c r="B207"/>
      <c r="C207"/>
      <c r="D207"/>
      <c r="E207" s="475"/>
      <c r="F207" s="476"/>
      <c r="G207"/>
      <c r="H207"/>
      <c r="I207"/>
      <c r="J207"/>
      <c r="K207"/>
      <c r="L207"/>
      <c r="M207"/>
      <c r="N207"/>
      <c r="O207"/>
      <c r="P207"/>
    </row>
    <row r="208" spans="1:16" ht="15">
      <c r="A208" s="475"/>
      <c r="B208"/>
      <c r="C208"/>
      <c r="D208"/>
      <c r="E208" s="475"/>
      <c r="F208" s="476"/>
      <c r="G208"/>
      <c r="H208"/>
      <c r="I208"/>
      <c r="J208"/>
      <c r="K208"/>
      <c r="L208"/>
      <c r="M208"/>
      <c r="N208"/>
      <c r="O208"/>
      <c r="P208"/>
    </row>
    <row r="209" spans="1:16" ht="15">
      <c r="A209" s="475"/>
      <c r="B209"/>
      <c r="C209"/>
      <c r="D209"/>
      <c r="E209" s="475"/>
      <c r="F209" s="476"/>
      <c r="G209"/>
      <c r="H209"/>
      <c r="I209"/>
      <c r="J209"/>
      <c r="K209"/>
      <c r="L209"/>
      <c r="M209"/>
      <c r="N209"/>
      <c r="O209"/>
      <c r="P209"/>
    </row>
    <row r="210" spans="1:16" ht="15">
      <c r="A210" s="475"/>
      <c r="B210"/>
      <c r="C210"/>
      <c r="D210"/>
      <c r="E210" s="475"/>
      <c r="F210" s="476"/>
      <c r="G210"/>
      <c r="H210"/>
      <c r="I210"/>
      <c r="J210"/>
      <c r="K210"/>
      <c r="L210"/>
      <c r="M210"/>
      <c r="N210"/>
      <c r="O210"/>
      <c r="P210"/>
    </row>
    <row r="211" spans="1:16" ht="15">
      <c r="A211" s="475"/>
      <c r="B211"/>
      <c r="C211"/>
      <c r="D211"/>
      <c r="E211" s="475"/>
      <c r="F211" s="476"/>
      <c r="G211"/>
      <c r="H211"/>
      <c r="I211"/>
      <c r="J211"/>
      <c r="K211"/>
      <c r="L211"/>
      <c r="M211"/>
      <c r="N211"/>
      <c r="O211"/>
      <c r="P211"/>
    </row>
    <row r="212" spans="1:16" ht="15">
      <c r="A212" s="475"/>
      <c r="B212"/>
      <c r="C212"/>
      <c r="D212"/>
      <c r="E212" s="475"/>
      <c r="F212" s="476"/>
      <c r="G212"/>
      <c r="H212"/>
      <c r="I212"/>
      <c r="J212"/>
      <c r="K212"/>
      <c r="L212"/>
      <c r="M212"/>
      <c r="N212"/>
      <c r="O212"/>
      <c r="P212"/>
    </row>
    <row r="213" spans="1:16" ht="15">
      <c r="A213" s="475"/>
      <c r="B213"/>
      <c r="C213"/>
      <c r="D213"/>
      <c r="E213" s="475"/>
      <c r="F213" s="476"/>
      <c r="G213"/>
      <c r="H213"/>
      <c r="I213"/>
      <c r="J213"/>
      <c r="K213"/>
      <c r="L213"/>
      <c r="M213"/>
      <c r="N213"/>
      <c r="O213"/>
      <c r="P213"/>
    </row>
    <row r="214" spans="1:16" ht="15">
      <c r="A214" s="475"/>
      <c r="B214"/>
      <c r="C214"/>
      <c r="D214"/>
      <c r="E214" s="475"/>
      <c r="F214" s="476"/>
      <c r="G214"/>
      <c r="H214"/>
      <c r="I214"/>
      <c r="J214"/>
      <c r="K214"/>
      <c r="L214"/>
      <c r="M214"/>
      <c r="N214"/>
      <c r="O214"/>
      <c r="P214"/>
    </row>
    <row r="215" spans="1:16" ht="15">
      <c r="A215" s="475"/>
      <c r="B215"/>
      <c r="C215"/>
      <c r="D215"/>
      <c r="E215" s="475"/>
      <c r="F215" s="476"/>
      <c r="G215"/>
      <c r="H215"/>
      <c r="I215"/>
      <c r="J215"/>
      <c r="K215"/>
      <c r="L215"/>
      <c r="M215"/>
      <c r="N215"/>
      <c r="O215"/>
      <c r="P215"/>
    </row>
    <row r="216" spans="1:16" ht="15">
      <c r="A216" s="475"/>
      <c r="B216"/>
      <c r="C216"/>
      <c r="D216"/>
      <c r="E216" s="475"/>
      <c r="F216" s="476"/>
      <c r="G216"/>
      <c r="H216"/>
      <c r="I216"/>
      <c r="J216"/>
      <c r="K216"/>
      <c r="L216"/>
      <c r="M216"/>
      <c r="N216"/>
      <c r="O216"/>
      <c r="P216"/>
    </row>
    <row r="217" spans="1:16" ht="15">
      <c r="A217" s="475"/>
      <c r="B217"/>
      <c r="C217"/>
      <c r="D217"/>
      <c r="E217" s="475"/>
      <c r="F217" s="476"/>
      <c r="G217"/>
      <c r="H217"/>
      <c r="I217"/>
      <c r="J217"/>
      <c r="K217"/>
      <c r="L217"/>
      <c r="M217"/>
      <c r="N217"/>
      <c r="O217"/>
      <c r="P217"/>
    </row>
    <row r="218" spans="1:16" ht="15">
      <c r="A218" s="475"/>
      <c r="B218"/>
      <c r="C218"/>
      <c r="D218"/>
      <c r="E218" s="475"/>
      <c r="F218" s="476"/>
      <c r="G218"/>
      <c r="H218"/>
      <c r="I218"/>
      <c r="J218"/>
      <c r="K218"/>
      <c r="L218"/>
      <c r="M218"/>
      <c r="N218"/>
      <c r="O218"/>
      <c r="P218"/>
    </row>
    <row r="219" spans="1:16" ht="15">
      <c r="A219" s="475"/>
      <c r="B219"/>
      <c r="C219"/>
      <c r="D219"/>
      <c r="E219" s="475"/>
      <c r="F219" s="476"/>
      <c r="G219"/>
      <c r="H219"/>
      <c r="I219"/>
      <c r="J219"/>
      <c r="K219"/>
      <c r="L219"/>
      <c r="M219"/>
      <c r="N219"/>
      <c r="O219"/>
      <c r="P219"/>
    </row>
    <row r="220" spans="1:16" ht="15">
      <c r="A220" s="475"/>
      <c r="B220"/>
      <c r="C220"/>
      <c r="D220"/>
      <c r="E220" s="475"/>
      <c r="F220" s="476"/>
      <c r="G220"/>
      <c r="H220"/>
      <c r="I220"/>
      <c r="J220"/>
      <c r="K220"/>
      <c r="L220"/>
      <c r="M220"/>
      <c r="N220"/>
      <c r="O220"/>
      <c r="P220"/>
    </row>
    <row r="221" spans="1:16" ht="15">
      <c r="A221" s="475"/>
      <c r="B221"/>
      <c r="C221"/>
      <c r="D221"/>
      <c r="E221" s="475"/>
      <c r="F221" s="476"/>
      <c r="G221"/>
      <c r="H221"/>
      <c r="I221"/>
      <c r="J221"/>
      <c r="K221"/>
      <c r="L221"/>
      <c r="M221"/>
      <c r="N221"/>
      <c r="O221"/>
      <c r="P221"/>
    </row>
    <row r="222" spans="1:16" ht="15">
      <c r="A222" s="475"/>
      <c r="B222"/>
      <c r="C222"/>
      <c r="D222"/>
      <c r="E222" s="475"/>
      <c r="F222" s="476"/>
      <c r="G222"/>
      <c r="H222"/>
      <c r="I222"/>
      <c r="J222"/>
      <c r="K222"/>
      <c r="L222"/>
      <c r="M222"/>
      <c r="N222"/>
      <c r="O222"/>
      <c r="P222"/>
    </row>
    <row r="223" spans="1:16" ht="15">
      <c r="A223" s="475"/>
      <c r="B223"/>
      <c r="C223"/>
      <c r="D223"/>
      <c r="E223" s="475"/>
      <c r="F223" s="476"/>
      <c r="G223"/>
      <c r="H223"/>
      <c r="I223"/>
      <c r="J223"/>
      <c r="K223"/>
      <c r="L223"/>
      <c r="M223"/>
      <c r="N223"/>
      <c r="O223"/>
      <c r="P223"/>
    </row>
    <row r="224" spans="1:16" ht="15">
      <c r="A224" s="475"/>
      <c r="B224"/>
      <c r="C224"/>
      <c r="D224"/>
      <c r="E224" s="475"/>
      <c r="F224" s="476"/>
      <c r="G224"/>
      <c r="H224"/>
      <c r="I224"/>
      <c r="J224"/>
      <c r="K224"/>
      <c r="L224"/>
      <c r="M224"/>
      <c r="N224"/>
      <c r="O224"/>
      <c r="P224"/>
    </row>
    <row r="225" spans="1:16" ht="15">
      <c r="A225" s="475"/>
      <c r="B225"/>
      <c r="C225"/>
      <c r="D225"/>
      <c r="E225" s="475"/>
      <c r="F225" s="476"/>
      <c r="G225"/>
      <c r="H225"/>
      <c r="I225"/>
      <c r="J225"/>
      <c r="K225"/>
      <c r="L225"/>
      <c r="M225"/>
      <c r="N225"/>
      <c r="O225"/>
      <c r="P225"/>
    </row>
    <row r="226" spans="1:16" ht="15">
      <c r="A226" s="475"/>
      <c r="B226"/>
      <c r="C226"/>
      <c r="D226"/>
      <c r="E226" s="475"/>
      <c r="F226" s="476"/>
      <c r="G226"/>
      <c r="H226"/>
      <c r="I226"/>
      <c r="J226"/>
      <c r="K226"/>
      <c r="L226"/>
      <c r="M226"/>
      <c r="N226"/>
      <c r="O226"/>
      <c r="P226"/>
    </row>
    <row r="227" spans="1:16" ht="15">
      <c r="A227" s="475"/>
      <c r="B227"/>
      <c r="C227"/>
      <c r="D227"/>
      <c r="E227" s="475"/>
      <c r="F227" s="476"/>
      <c r="G227"/>
      <c r="H227"/>
      <c r="I227"/>
      <c r="J227"/>
      <c r="K227"/>
      <c r="L227"/>
      <c r="M227"/>
      <c r="N227"/>
      <c r="O227"/>
      <c r="P227"/>
    </row>
    <row r="228" spans="1:16" ht="15">
      <c r="A228" s="475"/>
      <c r="B228"/>
      <c r="C228"/>
      <c r="D228"/>
      <c r="E228" s="475"/>
      <c r="F228" s="476"/>
      <c r="G228"/>
      <c r="H228"/>
      <c r="I228"/>
      <c r="J228"/>
      <c r="K228"/>
      <c r="L228"/>
      <c r="M228"/>
      <c r="N228"/>
      <c r="O228"/>
      <c r="P228"/>
    </row>
    <row r="229" spans="1:16" ht="15">
      <c r="A229" s="475"/>
      <c r="B229"/>
      <c r="C229"/>
      <c r="D229"/>
      <c r="E229" s="475"/>
      <c r="F229" s="476"/>
      <c r="G229"/>
      <c r="H229"/>
      <c r="I229"/>
      <c r="J229"/>
      <c r="K229"/>
      <c r="L229"/>
      <c r="M229"/>
      <c r="N229"/>
      <c r="O229"/>
      <c r="P229"/>
    </row>
    <row r="230" spans="1:16" ht="15">
      <c r="A230" s="475"/>
      <c r="B230"/>
      <c r="C230"/>
      <c r="D230"/>
      <c r="E230" s="475"/>
      <c r="F230" s="476"/>
      <c r="G230"/>
      <c r="H230"/>
      <c r="I230"/>
      <c r="J230"/>
      <c r="K230"/>
      <c r="L230"/>
      <c r="M230"/>
      <c r="N230"/>
      <c r="O230"/>
      <c r="P230"/>
    </row>
    <row r="231" spans="1:16" ht="15">
      <c r="A231" s="475"/>
      <c r="B231"/>
      <c r="C231"/>
      <c r="D231"/>
      <c r="E231" s="475"/>
      <c r="F231" s="476"/>
      <c r="G231"/>
      <c r="H231"/>
      <c r="I231"/>
      <c r="J231"/>
      <c r="K231"/>
      <c r="L231"/>
      <c r="M231"/>
      <c r="N231"/>
      <c r="O231"/>
      <c r="P231"/>
    </row>
    <row r="232" spans="1:16" ht="15">
      <c r="A232" s="475"/>
      <c r="B232"/>
      <c r="C232"/>
      <c r="D232"/>
      <c r="E232" s="475"/>
      <c r="F232" s="476"/>
      <c r="G232"/>
      <c r="H232"/>
      <c r="I232"/>
      <c r="J232"/>
      <c r="K232"/>
      <c r="L232"/>
      <c r="M232"/>
      <c r="N232"/>
      <c r="O232"/>
      <c r="P232"/>
    </row>
    <row r="233" spans="1:16" ht="15">
      <c r="A233" s="475"/>
      <c r="B233"/>
      <c r="C233"/>
      <c r="D233"/>
      <c r="E233" s="475"/>
      <c r="F233" s="476"/>
      <c r="G233"/>
      <c r="H233"/>
      <c r="I233"/>
      <c r="J233"/>
      <c r="K233"/>
      <c r="L233"/>
      <c r="M233"/>
      <c r="N233"/>
      <c r="O233"/>
      <c r="P233"/>
    </row>
    <row r="234" spans="1:16" ht="15">
      <c r="A234" s="475"/>
      <c r="B234"/>
      <c r="C234"/>
      <c r="D234"/>
      <c r="E234" s="475"/>
      <c r="F234" s="476"/>
      <c r="G234"/>
      <c r="H234"/>
      <c r="I234"/>
      <c r="J234"/>
      <c r="K234"/>
      <c r="L234"/>
      <c r="M234"/>
      <c r="N234"/>
      <c r="O234"/>
      <c r="P234"/>
    </row>
    <row r="235" spans="1:16" ht="15">
      <c r="A235" s="475"/>
      <c r="B235"/>
      <c r="C235"/>
      <c r="D235"/>
      <c r="E235" s="475"/>
      <c r="F235" s="476"/>
      <c r="G235"/>
      <c r="H235"/>
      <c r="I235"/>
      <c r="J235"/>
      <c r="K235"/>
      <c r="L235"/>
      <c r="M235"/>
      <c r="N235"/>
      <c r="O235"/>
      <c r="P235"/>
    </row>
    <row r="236" spans="1:16" ht="15">
      <c r="A236" s="475"/>
      <c r="B236"/>
      <c r="C236"/>
      <c r="D236"/>
      <c r="E236" s="475"/>
      <c r="F236" s="476"/>
      <c r="G236"/>
      <c r="H236"/>
      <c r="I236"/>
      <c r="J236"/>
      <c r="K236"/>
      <c r="L236"/>
      <c r="M236"/>
      <c r="N236"/>
      <c r="O236"/>
      <c r="P236"/>
    </row>
    <row r="237" spans="1:16" ht="15">
      <c r="A237" s="475"/>
      <c r="B237"/>
      <c r="C237"/>
      <c r="D237"/>
      <c r="E237" s="475"/>
      <c r="F237" s="476"/>
      <c r="G237"/>
      <c r="H237"/>
      <c r="I237"/>
      <c r="J237"/>
      <c r="K237"/>
      <c r="L237"/>
      <c r="M237"/>
      <c r="N237"/>
      <c r="O237"/>
      <c r="P237"/>
    </row>
    <row r="238" spans="1:16" ht="15">
      <c r="A238" s="475"/>
      <c r="B238"/>
      <c r="C238"/>
      <c r="D238"/>
      <c r="E238" s="475"/>
      <c r="F238" s="476"/>
      <c r="G238"/>
      <c r="H238"/>
      <c r="I238"/>
      <c r="J238"/>
      <c r="K238"/>
      <c r="L238"/>
      <c r="M238"/>
      <c r="N238"/>
      <c r="O238"/>
      <c r="P238"/>
    </row>
    <row r="239" spans="1:16" ht="15">
      <c r="A239" s="475"/>
      <c r="B239"/>
      <c r="C239"/>
      <c r="D239"/>
      <c r="E239" s="475"/>
      <c r="F239" s="476"/>
      <c r="G239"/>
      <c r="H239"/>
      <c r="I239"/>
      <c r="J239"/>
      <c r="K239"/>
      <c r="L239"/>
      <c r="M239"/>
      <c r="N239"/>
      <c r="O239"/>
      <c r="P23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55C2D-7130-4110-BCB0-B20903C4E72B}">
  <sheetPr>
    <tabColor rgb="FFFFFF00"/>
  </sheetPr>
  <dimension ref="A2:V239"/>
  <sheetViews>
    <sheetView showGridLines="0" workbookViewId="0">
      <selection activeCell="E6" sqref="E6"/>
    </sheetView>
  </sheetViews>
  <sheetFormatPr baseColWidth="10" defaultColWidth="11.5703125" defaultRowHeight="12"/>
  <cols>
    <col min="1" max="1" width="10.140625" style="462" customWidth="1"/>
    <col min="2" max="2" width="25.28515625" style="461" bestFit="1" customWidth="1"/>
    <col min="3" max="3" width="10.7109375" style="461" hidden="1" customWidth="1"/>
    <col min="4" max="4" width="13.5703125" style="462" bestFit="1" customWidth="1"/>
    <col min="5" max="5" width="11.140625" style="462" customWidth="1"/>
    <col min="6" max="6" width="13.7109375" style="478" customWidth="1"/>
    <col min="7" max="7" width="20.140625" style="462" customWidth="1"/>
    <col min="8" max="8" width="18.7109375" style="461" customWidth="1"/>
    <col min="9" max="9" width="26.5703125" style="461" customWidth="1"/>
    <col min="10" max="10" width="7.28515625" style="461" customWidth="1"/>
    <col min="11" max="11" width="11.85546875" style="461" bestFit="1" customWidth="1"/>
    <col min="12" max="12" width="12.7109375" style="461" customWidth="1"/>
    <col min="13" max="13" width="9.85546875" style="461" bestFit="1" customWidth="1"/>
    <col min="14" max="14" width="12.140625" style="461" bestFit="1" customWidth="1"/>
    <col min="15" max="20" width="0" style="461" hidden="1" customWidth="1"/>
    <col min="21" max="16384" width="11.5703125" style="461"/>
  </cols>
  <sheetData>
    <row r="2" spans="1:22">
      <c r="A2" s="481" t="s">
        <v>7911</v>
      </c>
      <c r="B2" s="462">
        <v>2022</v>
      </c>
      <c r="C2" s="477" t="s">
        <v>8113</v>
      </c>
    </row>
    <row r="3" spans="1:22">
      <c r="A3" s="481" t="s">
        <v>410</v>
      </c>
      <c r="B3" s="461" t="s">
        <v>5398</v>
      </c>
      <c r="C3" s="477"/>
    </row>
    <row r="4" spans="1:22" ht="9.6" customHeight="1"/>
    <row r="5" spans="1:22" ht="7.15" customHeight="1">
      <c r="B5" s="462"/>
      <c r="C5" s="462"/>
      <c r="F5" s="462"/>
      <c r="H5" s="462"/>
      <c r="I5" s="462"/>
      <c r="J5" s="462"/>
      <c r="K5" s="462"/>
      <c r="L5" s="462"/>
      <c r="M5" s="462"/>
      <c r="T5"/>
      <c r="U5"/>
      <c r="V5"/>
    </row>
    <row r="6" spans="1:22" s="464" customFormat="1" ht="36">
      <c r="A6" s="488" t="s">
        <v>457</v>
      </c>
      <c r="B6" s="488" t="s">
        <v>7916</v>
      </c>
      <c r="C6" s="488" t="s">
        <v>411</v>
      </c>
      <c r="D6" s="488" t="s">
        <v>413</v>
      </c>
      <c r="E6" s="488" t="s">
        <v>460</v>
      </c>
      <c r="F6" s="488" t="s">
        <v>415</v>
      </c>
      <c r="G6" s="488" t="s">
        <v>423</v>
      </c>
      <c r="H6" s="488" t="s">
        <v>422</v>
      </c>
      <c r="I6" s="488" t="s">
        <v>421</v>
      </c>
      <c r="J6" s="488" t="s">
        <v>431</v>
      </c>
      <c r="K6" s="488" t="s">
        <v>445</v>
      </c>
      <c r="L6" s="488" t="s">
        <v>463</v>
      </c>
      <c r="M6" s="488" t="s">
        <v>451</v>
      </c>
      <c r="N6" s="461"/>
      <c r="O6" s="461"/>
      <c r="P6" s="461"/>
      <c r="Q6" s="461"/>
      <c r="R6" s="461"/>
      <c r="S6" s="461"/>
      <c r="T6"/>
      <c r="U6"/>
      <c r="V6" s="21"/>
    </row>
    <row r="7" spans="1:22" ht="15">
      <c r="A7" s="479">
        <v>44715</v>
      </c>
      <c r="B7" s="462" t="s">
        <v>7875</v>
      </c>
      <c r="C7" s="462" t="s">
        <v>3</v>
      </c>
      <c r="D7" s="461" t="s">
        <v>8108</v>
      </c>
      <c r="E7" s="467">
        <v>44715</v>
      </c>
      <c r="F7" s="461">
        <v>8000002037</v>
      </c>
      <c r="G7" s="461" t="s">
        <v>8077</v>
      </c>
      <c r="H7" s="461" t="s">
        <v>6000</v>
      </c>
      <c r="I7" s="461" t="s">
        <v>241</v>
      </c>
      <c r="J7" s="461">
        <v>84</v>
      </c>
      <c r="K7" s="461" t="s">
        <v>7499</v>
      </c>
      <c r="L7" s="461" t="s">
        <v>62</v>
      </c>
      <c r="M7" s="461" t="s">
        <v>3264</v>
      </c>
      <c r="T7"/>
      <c r="U7"/>
      <c r="V7"/>
    </row>
    <row r="8" spans="1:22" ht="15">
      <c r="A8" s="479">
        <v>44720</v>
      </c>
      <c r="B8" s="461" t="s">
        <v>7875</v>
      </c>
      <c r="C8" s="461" t="s">
        <v>3</v>
      </c>
      <c r="D8" s="461" t="s">
        <v>8109</v>
      </c>
      <c r="E8" s="467">
        <v>44720</v>
      </c>
      <c r="F8" s="461">
        <v>8000002038</v>
      </c>
      <c r="G8" s="461" t="s">
        <v>8077</v>
      </c>
      <c r="H8" s="461" t="s">
        <v>6000</v>
      </c>
      <c r="I8" s="461" t="s">
        <v>241</v>
      </c>
      <c r="J8" s="461">
        <v>56</v>
      </c>
      <c r="K8" s="461" t="s">
        <v>7499</v>
      </c>
      <c r="L8" s="461" t="s">
        <v>62</v>
      </c>
      <c r="M8" s="461" t="s">
        <v>3264</v>
      </c>
      <c r="T8"/>
      <c r="U8"/>
      <c r="V8"/>
    </row>
    <row r="9" spans="1:22" ht="15">
      <c r="A9" s="479">
        <v>44722</v>
      </c>
      <c r="B9" s="461" t="s">
        <v>7874</v>
      </c>
      <c r="C9" s="461" t="s">
        <v>3</v>
      </c>
      <c r="D9" s="461" t="s">
        <v>7505</v>
      </c>
      <c r="E9" s="467">
        <v>44722</v>
      </c>
      <c r="F9" s="461" t="s">
        <v>8111</v>
      </c>
      <c r="G9" s="461" t="s">
        <v>8077</v>
      </c>
      <c r="H9" s="461" t="s">
        <v>6000</v>
      </c>
      <c r="I9" s="461" t="s">
        <v>241</v>
      </c>
      <c r="J9" s="461">
        <v>140</v>
      </c>
      <c r="K9" s="461" t="s">
        <v>7499</v>
      </c>
      <c r="L9" s="461" t="s">
        <v>62</v>
      </c>
      <c r="M9" s="461" t="s">
        <v>3264</v>
      </c>
      <c r="T9"/>
      <c r="U9"/>
      <c r="V9"/>
    </row>
    <row r="10" spans="1:22" ht="15">
      <c r="A10" s="479">
        <v>44727</v>
      </c>
      <c r="B10" s="461" t="s">
        <v>7874</v>
      </c>
      <c r="C10" s="461" t="s">
        <v>3</v>
      </c>
      <c r="D10" s="461" t="s">
        <v>7506</v>
      </c>
      <c r="E10" s="467">
        <v>44727</v>
      </c>
      <c r="F10" s="461" t="s">
        <v>8111</v>
      </c>
      <c r="G10" s="461" t="s">
        <v>8077</v>
      </c>
      <c r="H10" s="461" t="s">
        <v>6000</v>
      </c>
      <c r="I10" s="461" t="s">
        <v>241</v>
      </c>
      <c r="J10" s="461">
        <v>140</v>
      </c>
      <c r="K10" s="461" t="s">
        <v>7499</v>
      </c>
      <c r="L10" s="461" t="s">
        <v>62</v>
      </c>
      <c r="M10" s="461" t="s">
        <v>3264</v>
      </c>
      <c r="T10"/>
      <c r="U10"/>
      <c r="V10"/>
    </row>
    <row r="11" spans="1:22" ht="15">
      <c r="B11" s="462" t="s">
        <v>7875</v>
      </c>
      <c r="C11" s="461" t="s">
        <v>3</v>
      </c>
      <c r="D11" s="462" t="s">
        <v>8093</v>
      </c>
      <c r="E11" s="479">
        <v>44733</v>
      </c>
      <c r="F11" s="461" t="s">
        <v>8111</v>
      </c>
      <c r="G11" s="462" t="s">
        <v>7887</v>
      </c>
      <c r="H11" s="462" t="s">
        <v>303</v>
      </c>
      <c r="I11" s="462" t="s">
        <v>383</v>
      </c>
      <c r="J11" s="462">
        <v>378</v>
      </c>
      <c r="K11" s="462" t="s">
        <v>6982</v>
      </c>
      <c r="L11" s="462" t="s">
        <v>9</v>
      </c>
      <c r="M11" s="462" t="s">
        <v>8111</v>
      </c>
      <c r="T11"/>
      <c r="U11"/>
      <c r="V11"/>
    </row>
    <row r="12" spans="1:22" ht="15">
      <c r="B12" s="462"/>
      <c r="D12" s="462" t="s">
        <v>8094</v>
      </c>
      <c r="E12" s="479">
        <v>44734</v>
      </c>
      <c r="F12" s="461" t="s">
        <v>8111</v>
      </c>
      <c r="G12" s="461" t="s">
        <v>7887</v>
      </c>
      <c r="H12" s="461" t="s">
        <v>303</v>
      </c>
      <c r="I12" s="461" t="s">
        <v>383</v>
      </c>
      <c r="J12" s="461">
        <v>378</v>
      </c>
      <c r="K12" s="461" t="s">
        <v>6982</v>
      </c>
      <c r="L12" s="461" t="s">
        <v>9</v>
      </c>
      <c r="M12" s="462" t="s">
        <v>8111</v>
      </c>
      <c r="T12"/>
      <c r="U12"/>
      <c r="V12"/>
    </row>
    <row r="13" spans="1:22" ht="15">
      <c r="A13" s="479">
        <v>44729</v>
      </c>
      <c r="B13" s="462" t="s">
        <v>7874</v>
      </c>
      <c r="C13" s="461" t="s">
        <v>3</v>
      </c>
      <c r="D13" s="461" t="s">
        <v>7507</v>
      </c>
      <c r="E13" s="467">
        <v>44729</v>
      </c>
      <c r="F13" s="461" t="s">
        <v>8111</v>
      </c>
      <c r="G13" s="461" t="s">
        <v>8077</v>
      </c>
      <c r="H13" s="461" t="s">
        <v>6000</v>
      </c>
      <c r="I13" s="461" t="s">
        <v>241</v>
      </c>
      <c r="J13" s="461">
        <v>140</v>
      </c>
      <c r="K13" s="461" t="s">
        <v>7499</v>
      </c>
      <c r="L13" s="461" t="s">
        <v>62</v>
      </c>
      <c r="M13" s="461" t="s">
        <v>3264</v>
      </c>
      <c r="T13"/>
      <c r="U13"/>
      <c r="V13"/>
    </row>
    <row r="14" spans="1:22" ht="15">
      <c r="A14" s="479">
        <v>44733</v>
      </c>
      <c r="B14" s="462" t="s">
        <v>7875</v>
      </c>
      <c r="C14" s="461" t="s">
        <v>3</v>
      </c>
      <c r="D14" s="462" t="s">
        <v>7885</v>
      </c>
      <c r="E14" s="479">
        <v>44736</v>
      </c>
      <c r="F14" s="461" t="s">
        <v>8111</v>
      </c>
      <c r="G14" s="462">
        <v>4600020108</v>
      </c>
      <c r="H14" s="462" t="s">
        <v>303</v>
      </c>
      <c r="I14" s="462" t="s">
        <v>386</v>
      </c>
      <c r="J14" s="462">
        <v>108</v>
      </c>
      <c r="K14" s="462" t="s">
        <v>6218</v>
      </c>
      <c r="L14" s="462" t="s">
        <v>9</v>
      </c>
      <c r="M14" s="462" t="s">
        <v>8111</v>
      </c>
      <c r="T14"/>
      <c r="U14"/>
      <c r="V14"/>
    </row>
    <row r="15" spans="1:22" ht="15">
      <c r="B15" s="462"/>
      <c r="D15" s="462" t="s">
        <v>8087</v>
      </c>
      <c r="E15" s="479">
        <v>44740</v>
      </c>
      <c r="F15" s="461" t="s">
        <v>8111</v>
      </c>
      <c r="G15" s="462">
        <v>4600020186</v>
      </c>
      <c r="H15" s="461" t="s">
        <v>303</v>
      </c>
      <c r="I15" s="462" t="s">
        <v>383</v>
      </c>
      <c r="J15" s="462">
        <v>270</v>
      </c>
      <c r="K15" s="462" t="s">
        <v>6982</v>
      </c>
      <c r="L15" s="461" t="s">
        <v>9</v>
      </c>
      <c r="M15" s="462" t="s">
        <v>8111</v>
      </c>
      <c r="T15"/>
      <c r="U15"/>
      <c r="V15"/>
    </row>
    <row r="16" spans="1:22" ht="15">
      <c r="A16" s="479">
        <v>44734</v>
      </c>
      <c r="B16" s="462" t="s">
        <v>7874</v>
      </c>
      <c r="C16" s="461" t="s">
        <v>3</v>
      </c>
      <c r="D16" s="461" t="s">
        <v>7508</v>
      </c>
      <c r="E16" s="467">
        <v>44734</v>
      </c>
      <c r="F16" s="461" t="s">
        <v>8111</v>
      </c>
      <c r="G16" s="461" t="s">
        <v>8077</v>
      </c>
      <c r="H16" s="461" t="s">
        <v>6000</v>
      </c>
      <c r="I16" s="461" t="s">
        <v>241</v>
      </c>
      <c r="J16" s="461">
        <v>140</v>
      </c>
      <c r="K16" s="461" t="s">
        <v>7499</v>
      </c>
      <c r="L16" s="461" t="s">
        <v>62</v>
      </c>
      <c r="M16" s="461" t="s">
        <v>3264</v>
      </c>
      <c r="T16"/>
      <c r="U16"/>
      <c r="V16"/>
    </row>
    <row r="17" spans="1:22" ht="15">
      <c r="B17" s="462" t="s">
        <v>7875</v>
      </c>
      <c r="C17" s="461" t="s">
        <v>3</v>
      </c>
      <c r="D17" s="462" t="s">
        <v>7883</v>
      </c>
      <c r="E17" s="479">
        <v>44739</v>
      </c>
      <c r="F17" s="461" t="s">
        <v>8111</v>
      </c>
      <c r="G17" s="462">
        <v>4600020106</v>
      </c>
      <c r="H17" s="462" t="s">
        <v>303</v>
      </c>
      <c r="I17" s="462" t="s">
        <v>383</v>
      </c>
      <c r="J17" s="462">
        <v>297</v>
      </c>
      <c r="K17" s="462" t="s">
        <v>6982</v>
      </c>
      <c r="L17" s="462" t="s">
        <v>37</v>
      </c>
      <c r="M17" s="462" t="s">
        <v>8111</v>
      </c>
      <c r="T17"/>
      <c r="U17"/>
      <c r="V17"/>
    </row>
    <row r="18" spans="1:22" ht="15">
      <c r="A18" s="479">
        <v>44736</v>
      </c>
      <c r="B18" s="462" t="s">
        <v>7874</v>
      </c>
      <c r="C18" s="461" t="s">
        <v>3</v>
      </c>
      <c r="D18" s="461" t="s">
        <v>7509</v>
      </c>
      <c r="E18" s="467">
        <v>44736</v>
      </c>
      <c r="F18" s="461" t="s">
        <v>8111</v>
      </c>
      <c r="G18" s="461" t="s">
        <v>8077</v>
      </c>
      <c r="H18" s="461" t="s">
        <v>6000</v>
      </c>
      <c r="I18" s="461" t="s">
        <v>241</v>
      </c>
      <c r="J18" s="461">
        <v>140</v>
      </c>
      <c r="K18" s="461" t="s">
        <v>7499</v>
      </c>
      <c r="L18" s="461" t="s">
        <v>62</v>
      </c>
      <c r="M18" s="461" t="s">
        <v>3264</v>
      </c>
      <c r="T18"/>
      <c r="U18"/>
      <c r="V18"/>
    </row>
    <row r="19" spans="1:22" ht="15">
      <c r="A19" s="479">
        <v>44741</v>
      </c>
      <c r="B19" s="461" t="s">
        <v>7874</v>
      </c>
      <c r="C19" s="461" t="s">
        <v>3</v>
      </c>
      <c r="D19" s="461" t="s">
        <v>7510</v>
      </c>
      <c r="E19" s="467">
        <v>44741</v>
      </c>
      <c r="F19" s="461" t="s">
        <v>8111</v>
      </c>
      <c r="G19" s="461" t="s">
        <v>8077</v>
      </c>
      <c r="H19" s="461" t="s">
        <v>6000</v>
      </c>
      <c r="I19" s="461" t="s">
        <v>241</v>
      </c>
      <c r="J19" s="461">
        <v>140</v>
      </c>
      <c r="K19" s="461" t="s">
        <v>7499</v>
      </c>
      <c r="L19" s="461" t="s">
        <v>62</v>
      </c>
      <c r="M19" s="461" t="s">
        <v>3264</v>
      </c>
      <c r="T19"/>
      <c r="U19"/>
      <c r="V19"/>
    </row>
    <row r="20" spans="1:22" ht="15">
      <c r="D20" s="462" t="s">
        <v>7578</v>
      </c>
      <c r="E20" s="479">
        <v>44716</v>
      </c>
      <c r="F20" s="462">
        <v>8000001950</v>
      </c>
      <c r="G20" s="462" t="s">
        <v>7580</v>
      </c>
      <c r="H20" s="462" t="s">
        <v>303</v>
      </c>
      <c r="I20" s="462" t="s">
        <v>386</v>
      </c>
      <c r="J20" s="462">
        <v>81</v>
      </c>
      <c r="K20" s="462" t="s">
        <v>7581</v>
      </c>
      <c r="L20" s="462" t="s">
        <v>9</v>
      </c>
      <c r="M20" s="462" t="s">
        <v>3264</v>
      </c>
      <c r="T20"/>
      <c r="U20"/>
      <c r="V20"/>
    </row>
    <row r="21" spans="1:22" ht="15">
      <c r="B21" s="462" t="s">
        <v>7875</v>
      </c>
      <c r="C21" s="461" t="s">
        <v>3</v>
      </c>
      <c r="D21" s="462" t="s">
        <v>8088</v>
      </c>
      <c r="E21" s="479">
        <v>44746</v>
      </c>
      <c r="F21" s="480" t="s">
        <v>8111</v>
      </c>
      <c r="G21" s="462">
        <v>4600020187</v>
      </c>
      <c r="H21" s="461" t="s">
        <v>303</v>
      </c>
      <c r="I21" s="462" t="s">
        <v>383</v>
      </c>
      <c r="J21" s="462">
        <v>135</v>
      </c>
      <c r="K21" s="462" t="s">
        <v>6982</v>
      </c>
      <c r="L21" s="462" t="s">
        <v>37</v>
      </c>
      <c r="M21" s="462" t="s">
        <v>8111</v>
      </c>
      <c r="T21"/>
      <c r="U21"/>
      <c r="V21"/>
    </row>
    <row r="22" spans="1:22" ht="15">
      <c r="A22" s="479">
        <v>44743</v>
      </c>
      <c r="B22" s="462" t="s">
        <v>7874</v>
      </c>
      <c r="C22" s="461" t="s">
        <v>3</v>
      </c>
      <c r="D22" s="461" t="s">
        <v>7511</v>
      </c>
      <c r="E22" s="467">
        <v>44743</v>
      </c>
      <c r="F22" s="461" t="s">
        <v>8111</v>
      </c>
      <c r="G22" s="461" t="s">
        <v>8077</v>
      </c>
      <c r="H22" s="461" t="s">
        <v>6000</v>
      </c>
      <c r="I22" s="461" t="s">
        <v>241</v>
      </c>
      <c r="J22" s="461">
        <v>140</v>
      </c>
      <c r="K22" s="461" t="s">
        <v>7499</v>
      </c>
      <c r="L22" s="461" t="s">
        <v>62</v>
      </c>
      <c r="M22" s="461" t="s">
        <v>3264</v>
      </c>
      <c r="T22"/>
      <c r="U22"/>
      <c r="V22"/>
    </row>
    <row r="23" spans="1:22" ht="15">
      <c r="B23" s="462" t="s">
        <v>7875</v>
      </c>
      <c r="C23" s="461" t="s">
        <v>3</v>
      </c>
      <c r="D23" s="462" t="s">
        <v>7884</v>
      </c>
      <c r="E23" s="479">
        <v>44748</v>
      </c>
      <c r="F23" s="461" t="s">
        <v>8111</v>
      </c>
      <c r="G23" s="462">
        <v>4600020107</v>
      </c>
      <c r="H23" s="462" t="s">
        <v>303</v>
      </c>
      <c r="I23" s="462" t="s">
        <v>383</v>
      </c>
      <c r="J23" s="462">
        <v>54</v>
      </c>
      <c r="K23" s="462" t="s">
        <v>6982</v>
      </c>
      <c r="L23" s="461" t="s">
        <v>62</v>
      </c>
      <c r="M23" s="462" t="s">
        <v>8111</v>
      </c>
      <c r="T23"/>
      <c r="U23"/>
      <c r="V23"/>
    </row>
    <row r="24" spans="1:22" ht="15">
      <c r="A24" s="479">
        <v>44748</v>
      </c>
      <c r="B24" s="461" t="s">
        <v>7874</v>
      </c>
      <c r="C24" s="461" t="s">
        <v>3</v>
      </c>
      <c r="D24" s="461" t="s">
        <v>7512</v>
      </c>
      <c r="E24" s="467">
        <v>44748</v>
      </c>
      <c r="F24" s="461" t="s">
        <v>8111</v>
      </c>
      <c r="G24" s="461" t="s">
        <v>8077</v>
      </c>
      <c r="H24" s="461" t="s">
        <v>6000</v>
      </c>
      <c r="I24" s="461" t="s">
        <v>241</v>
      </c>
      <c r="J24" s="461">
        <v>140</v>
      </c>
      <c r="K24" s="461" t="s">
        <v>7499</v>
      </c>
      <c r="L24" s="461" t="s">
        <v>62</v>
      </c>
      <c r="M24" s="461" t="s">
        <v>3264</v>
      </c>
      <c r="T24"/>
      <c r="U24"/>
      <c r="V24"/>
    </row>
    <row r="25" spans="1:22" ht="15">
      <c r="A25" s="479">
        <v>44750</v>
      </c>
      <c r="B25" s="461" t="s">
        <v>7874</v>
      </c>
      <c r="C25" s="461" t="s">
        <v>3</v>
      </c>
      <c r="D25" s="461" t="s">
        <v>7513</v>
      </c>
      <c r="E25" s="467">
        <v>44750</v>
      </c>
      <c r="F25" s="461" t="s">
        <v>8111</v>
      </c>
      <c r="G25" s="461" t="s">
        <v>8077</v>
      </c>
      <c r="H25" s="461" t="s">
        <v>6000</v>
      </c>
      <c r="I25" s="461" t="s">
        <v>241</v>
      </c>
      <c r="J25" s="461">
        <v>56</v>
      </c>
      <c r="K25" s="461" t="s">
        <v>7499</v>
      </c>
      <c r="L25" s="461" t="s">
        <v>62</v>
      </c>
      <c r="M25" s="461" t="s">
        <v>3264</v>
      </c>
      <c r="T25"/>
      <c r="U25"/>
      <c r="V25"/>
    </row>
    <row r="26" spans="1:22" ht="15">
      <c r="D26" s="461" t="s">
        <v>7585</v>
      </c>
      <c r="E26" s="467">
        <v>44754</v>
      </c>
      <c r="F26" s="461">
        <v>8000001951</v>
      </c>
      <c r="G26" s="461" t="s">
        <v>7587</v>
      </c>
      <c r="H26" s="461" t="s">
        <v>303</v>
      </c>
      <c r="I26" s="461" t="s">
        <v>386</v>
      </c>
      <c r="J26" s="461">
        <v>135</v>
      </c>
      <c r="K26" s="461" t="s">
        <v>7581</v>
      </c>
      <c r="L26" s="461" t="s">
        <v>37</v>
      </c>
      <c r="M26" s="461" t="s">
        <v>3291</v>
      </c>
      <c r="T26"/>
      <c r="U26"/>
      <c r="V26"/>
    </row>
    <row r="27" spans="1:22" ht="15">
      <c r="A27" s="479">
        <v>44751</v>
      </c>
      <c r="B27" s="461" t="s">
        <v>7874</v>
      </c>
      <c r="C27" s="461" t="s">
        <v>3</v>
      </c>
      <c r="D27" s="461" t="s">
        <v>7357</v>
      </c>
      <c r="E27" s="467">
        <v>44755</v>
      </c>
      <c r="F27" s="461">
        <v>8000001856</v>
      </c>
      <c r="G27" s="461" t="s">
        <v>7359</v>
      </c>
      <c r="H27" s="461" t="s">
        <v>303</v>
      </c>
      <c r="I27" s="461" t="s">
        <v>403</v>
      </c>
      <c r="J27" s="461">
        <v>16</v>
      </c>
      <c r="K27" s="461" t="s">
        <v>7581</v>
      </c>
      <c r="L27" s="461" t="s">
        <v>37</v>
      </c>
      <c r="M27" s="461" t="s">
        <v>3291</v>
      </c>
      <c r="T27"/>
      <c r="U27"/>
      <c r="V27"/>
    </row>
    <row r="28" spans="1:22" ht="15">
      <c r="A28" s="479">
        <v>44755</v>
      </c>
      <c r="B28" s="461" t="s">
        <v>7874</v>
      </c>
      <c r="C28" s="461" t="s">
        <v>3</v>
      </c>
      <c r="D28" s="461" t="s">
        <v>7601</v>
      </c>
      <c r="E28" s="467">
        <v>44760</v>
      </c>
      <c r="F28" s="461">
        <v>8000001965</v>
      </c>
      <c r="G28" s="461" t="s">
        <v>7880</v>
      </c>
      <c r="H28" s="461" t="s">
        <v>273</v>
      </c>
      <c r="I28" s="461" t="s">
        <v>8059</v>
      </c>
      <c r="J28" s="461">
        <v>3300</v>
      </c>
      <c r="K28" s="461" t="s">
        <v>5402</v>
      </c>
      <c r="L28" s="461" t="s">
        <v>9</v>
      </c>
      <c r="M28" s="461" t="s">
        <v>3264</v>
      </c>
      <c r="T28"/>
      <c r="U28"/>
      <c r="V28"/>
    </row>
    <row r="29" spans="1:22" ht="15">
      <c r="D29" s="461" t="s">
        <v>7609</v>
      </c>
      <c r="E29" s="467">
        <v>44760</v>
      </c>
      <c r="F29" s="487" t="s">
        <v>8111</v>
      </c>
      <c r="G29" s="461" t="s">
        <v>7880</v>
      </c>
      <c r="H29" s="461" t="s">
        <v>273</v>
      </c>
      <c r="I29" s="461" t="s">
        <v>8060</v>
      </c>
      <c r="J29" s="461">
        <v>300</v>
      </c>
      <c r="K29" s="461" t="s">
        <v>5402</v>
      </c>
      <c r="L29" s="461" t="s">
        <v>9</v>
      </c>
      <c r="M29" s="461" t="s">
        <v>3264</v>
      </c>
      <c r="T29"/>
      <c r="U29"/>
      <c r="V29"/>
    </row>
    <row r="30" spans="1:22" ht="15">
      <c r="A30" s="479">
        <v>44756</v>
      </c>
      <c r="B30" s="461" t="s">
        <v>7875</v>
      </c>
      <c r="C30" s="461" t="s">
        <v>3</v>
      </c>
      <c r="D30" s="461" t="s">
        <v>8091</v>
      </c>
      <c r="E30" s="467">
        <v>44762</v>
      </c>
      <c r="F30" s="461">
        <v>8000001947</v>
      </c>
      <c r="G30" s="461" t="s">
        <v>7621</v>
      </c>
      <c r="H30" s="461" t="s">
        <v>303</v>
      </c>
      <c r="I30" s="461" t="s">
        <v>390</v>
      </c>
      <c r="J30" s="461">
        <v>792</v>
      </c>
      <c r="K30" s="461" t="s">
        <v>6982</v>
      </c>
      <c r="L30" s="461" t="s">
        <v>62</v>
      </c>
      <c r="M30" s="461" t="s">
        <v>3264</v>
      </c>
      <c r="T30"/>
      <c r="U30"/>
      <c r="V30"/>
    </row>
    <row r="31" spans="1:22" ht="15">
      <c r="A31" s="479">
        <v>44757</v>
      </c>
      <c r="B31" s="461" t="s">
        <v>7875</v>
      </c>
      <c r="C31" s="461" t="s">
        <v>3</v>
      </c>
      <c r="D31" s="461" t="s">
        <v>7614</v>
      </c>
      <c r="E31" s="467">
        <v>44762</v>
      </c>
      <c r="F31" s="461">
        <v>8000001928</v>
      </c>
      <c r="G31" s="461" t="s">
        <v>944</v>
      </c>
      <c r="H31" s="461" t="s">
        <v>7559</v>
      </c>
      <c r="I31" s="461" t="s">
        <v>339</v>
      </c>
      <c r="J31" s="461">
        <v>700</v>
      </c>
      <c r="K31" s="461" t="s">
        <v>7561</v>
      </c>
      <c r="L31" s="461" t="s">
        <v>37</v>
      </c>
      <c r="M31" s="461" t="s">
        <v>3291</v>
      </c>
      <c r="T31"/>
      <c r="U31"/>
      <c r="V31"/>
    </row>
    <row r="32" spans="1:22" ht="15">
      <c r="A32" s="479">
        <v>44758</v>
      </c>
      <c r="B32" s="461" t="s">
        <v>7874</v>
      </c>
      <c r="C32" s="461" t="s">
        <v>3</v>
      </c>
      <c r="D32" s="461" t="s">
        <v>7602</v>
      </c>
      <c r="E32" s="467">
        <v>44763</v>
      </c>
      <c r="F32" s="487" t="s">
        <v>8111</v>
      </c>
      <c r="G32" s="461" t="s">
        <v>7880</v>
      </c>
      <c r="H32" s="461" t="s">
        <v>273</v>
      </c>
      <c r="I32" s="461" t="s">
        <v>8058</v>
      </c>
      <c r="J32" s="461">
        <v>2750</v>
      </c>
      <c r="K32" s="461" t="s">
        <v>5402</v>
      </c>
      <c r="L32" s="461" t="s">
        <v>25</v>
      </c>
      <c r="M32" s="461" t="s">
        <v>3264</v>
      </c>
      <c r="T32"/>
      <c r="U32"/>
      <c r="V32"/>
    </row>
    <row r="33" spans="1:22" ht="15">
      <c r="D33" s="461" t="s">
        <v>7610</v>
      </c>
      <c r="E33" s="467">
        <v>44763</v>
      </c>
      <c r="F33" s="461" t="s">
        <v>8111</v>
      </c>
      <c r="G33" s="461" t="s">
        <v>7880</v>
      </c>
      <c r="H33" s="461" t="s">
        <v>273</v>
      </c>
      <c r="I33" s="461" t="s">
        <v>8060</v>
      </c>
      <c r="J33" s="461">
        <v>800</v>
      </c>
      <c r="K33" s="461" t="s">
        <v>5402</v>
      </c>
      <c r="L33" s="461" t="s">
        <v>25</v>
      </c>
      <c r="M33" s="461" t="s">
        <v>3264</v>
      </c>
      <c r="T33"/>
      <c r="U33"/>
      <c r="V33"/>
    </row>
    <row r="34" spans="1:22" ht="15">
      <c r="A34" s="479">
        <v>44761</v>
      </c>
      <c r="B34" s="461" t="s">
        <v>7874</v>
      </c>
      <c r="C34" s="461" t="s">
        <v>3</v>
      </c>
      <c r="D34" s="461" t="s">
        <v>7596</v>
      </c>
      <c r="E34" s="467">
        <v>44765</v>
      </c>
      <c r="F34" s="461">
        <v>8000001962</v>
      </c>
      <c r="G34" s="461" t="s">
        <v>7880</v>
      </c>
      <c r="H34" s="461" t="s">
        <v>273</v>
      </c>
      <c r="I34" s="461" t="s">
        <v>351</v>
      </c>
      <c r="J34" s="461">
        <v>1100</v>
      </c>
      <c r="K34" s="461" t="s">
        <v>5402</v>
      </c>
      <c r="L34" s="461" t="s">
        <v>37</v>
      </c>
      <c r="M34" s="461" t="s">
        <v>3291</v>
      </c>
      <c r="T34"/>
      <c r="U34"/>
      <c r="V34"/>
    </row>
    <row r="35" spans="1:22" ht="15">
      <c r="D35" s="461" t="s">
        <v>7603</v>
      </c>
      <c r="E35" s="467">
        <v>44767</v>
      </c>
      <c r="F35" s="461" t="s">
        <v>8111</v>
      </c>
      <c r="G35" s="461" t="s">
        <v>7880</v>
      </c>
      <c r="H35" s="461" t="s">
        <v>273</v>
      </c>
      <c r="I35" s="461" t="s">
        <v>8059</v>
      </c>
      <c r="J35" s="461">
        <v>1300</v>
      </c>
      <c r="K35" s="461" t="s">
        <v>5402</v>
      </c>
      <c r="L35" s="461" t="s">
        <v>37</v>
      </c>
      <c r="M35" s="461" t="s">
        <v>3291</v>
      </c>
      <c r="T35"/>
      <c r="U35"/>
      <c r="V35"/>
    </row>
    <row r="36" spans="1:22" ht="15">
      <c r="D36" s="461" t="s">
        <v>7611</v>
      </c>
      <c r="E36" s="467">
        <v>44768</v>
      </c>
      <c r="F36" s="461" t="s">
        <v>8111</v>
      </c>
      <c r="G36" s="461" t="s">
        <v>7880</v>
      </c>
      <c r="H36" s="461" t="s">
        <v>273</v>
      </c>
      <c r="I36" s="461" t="s">
        <v>8060</v>
      </c>
      <c r="J36" s="461">
        <v>1800</v>
      </c>
      <c r="K36" s="461" t="s">
        <v>5402</v>
      </c>
      <c r="L36" s="461" t="s">
        <v>37</v>
      </c>
      <c r="M36" s="461" t="s">
        <v>3291</v>
      </c>
      <c r="T36"/>
      <c r="U36"/>
      <c r="V36"/>
    </row>
    <row r="37" spans="1:22" ht="15">
      <c r="A37" s="479">
        <v>44763</v>
      </c>
      <c r="B37" s="461" t="s">
        <v>7875</v>
      </c>
      <c r="C37" s="461" t="s">
        <v>3</v>
      </c>
      <c r="D37" s="461" t="s">
        <v>7071</v>
      </c>
      <c r="E37" s="467">
        <v>44767</v>
      </c>
      <c r="F37" s="461">
        <v>8000001954</v>
      </c>
      <c r="G37" s="461" t="s">
        <v>7069</v>
      </c>
      <c r="H37" s="461" t="s">
        <v>110</v>
      </c>
      <c r="I37" s="461" t="s">
        <v>152</v>
      </c>
      <c r="J37" s="461">
        <v>300</v>
      </c>
      <c r="K37" s="461" t="s">
        <v>5402</v>
      </c>
      <c r="L37" s="461" t="s">
        <v>37</v>
      </c>
      <c r="M37" s="461" t="s">
        <v>3291</v>
      </c>
      <c r="T37"/>
      <c r="U37"/>
      <c r="V37"/>
    </row>
    <row r="38" spans="1:22" ht="15">
      <c r="A38" s="479">
        <v>44765</v>
      </c>
      <c r="B38" s="461" t="s">
        <v>7874</v>
      </c>
      <c r="C38" s="461" t="s">
        <v>3</v>
      </c>
      <c r="D38" s="461" t="s">
        <v>7599</v>
      </c>
      <c r="E38" s="467">
        <v>44769</v>
      </c>
      <c r="F38" s="461">
        <v>8000001963</v>
      </c>
      <c r="G38" s="461" t="s">
        <v>7880</v>
      </c>
      <c r="H38" s="461" t="s">
        <v>273</v>
      </c>
      <c r="I38" s="461" t="s">
        <v>8061</v>
      </c>
      <c r="J38" s="461">
        <v>6600</v>
      </c>
      <c r="K38" s="461" t="s">
        <v>5402</v>
      </c>
      <c r="L38" s="461" t="s">
        <v>62</v>
      </c>
      <c r="M38" s="461" t="s">
        <v>3264</v>
      </c>
      <c r="T38"/>
      <c r="U38"/>
      <c r="V38"/>
    </row>
    <row r="39" spans="1:22" ht="15">
      <c r="D39" s="461" t="s">
        <v>7604</v>
      </c>
      <c r="E39" s="467">
        <v>44772</v>
      </c>
      <c r="F39" s="461" t="s">
        <v>8111</v>
      </c>
      <c r="G39" s="461" t="s">
        <v>7880</v>
      </c>
      <c r="H39" s="461" t="s">
        <v>273</v>
      </c>
      <c r="I39" s="461" t="s">
        <v>8059</v>
      </c>
      <c r="J39" s="461">
        <v>350</v>
      </c>
      <c r="K39" s="461" t="s">
        <v>5402</v>
      </c>
      <c r="L39" s="461" t="s">
        <v>62</v>
      </c>
      <c r="M39" s="461" t="s">
        <v>3264</v>
      </c>
      <c r="T39"/>
      <c r="U39"/>
      <c r="V39"/>
    </row>
    <row r="40" spans="1:22" ht="15">
      <c r="D40" s="461" t="s">
        <v>7612</v>
      </c>
      <c r="E40" s="467">
        <v>44772</v>
      </c>
      <c r="F40" s="461">
        <v>8000001964</v>
      </c>
      <c r="G40" s="461" t="s">
        <v>7880</v>
      </c>
      <c r="H40" s="461" t="s">
        <v>273</v>
      </c>
      <c r="I40" s="461" t="s">
        <v>8060</v>
      </c>
      <c r="J40" s="461">
        <v>4600</v>
      </c>
      <c r="K40" s="461" t="s">
        <v>5402</v>
      </c>
      <c r="L40" s="461" t="s">
        <v>62</v>
      </c>
      <c r="M40" s="461" t="s">
        <v>3264</v>
      </c>
      <c r="T40"/>
      <c r="U40"/>
      <c r="V40"/>
    </row>
    <row r="41" spans="1:22" ht="15">
      <c r="A41" s="479">
        <v>44769</v>
      </c>
      <c r="B41" s="461" t="s">
        <v>7874</v>
      </c>
      <c r="C41" s="461" t="s">
        <v>3</v>
      </c>
      <c r="D41" s="461" t="s">
        <v>7892</v>
      </c>
      <c r="E41" s="467">
        <v>44776</v>
      </c>
      <c r="F41" s="461">
        <v>8000001967</v>
      </c>
      <c r="G41" s="461" t="s">
        <v>7617</v>
      </c>
      <c r="H41" s="461" t="s">
        <v>237</v>
      </c>
      <c r="I41" s="461" t="s">
        <v>8062</v>
      </c>
      <c r="J41" s="461">
        <v>1300</v>
      </c>
      <c r="K41" s="461" t="s">
        <v>5402</v>
      </c>
      <c r="L41" s="461" t="s">
        <v>9</v>
      </c>
      <c r="M41" s="461" t="s">
        <v>8111</v>
      </c>
      <c r="T41"/>
      <c r="U41"/>
      <c r="V41"/>
    </row>
    <row r="42" spans="1:22" ht="15">
      <c r="D42" s="461" t="s">
        <v>7964</v>
      </c>
      <c r="E42" s="467">
        <v>44777</v>
      </c>
      <c r="F42" s="461">
        <v>8000002007</v>
      </c>
      <c r="G42" s="461" t="s">
        <v>8047</v>
      </c>
      <c r="H42" s="461" t="s">
        <v>237</v>
      </c>
      <c r="I42" s="461" t="s">
        <v>332</v>
      </c>
      <c r="J42" s="461">
        <v>500</v>
      </c>
      <c r="K42" s="461" t="s">
        <v>5402</v>
      </c>
      <c r="L42" s="461" t="s">
        <v>9</v>
      </c>
      <c r="M42" s="461" t="s">
        <v>8111</v>
      </c>
      <c r="T42"/>
      <c r="U42"/>
      <c r="V42"/>
    </row>
    <row r="43" spans="1:22" ht="15">
      <c r="D43" s="461" t="s">
        <v>8037</v>
      </c>
      <c r="E43" s="467">
        <v>44776</v>
      </c>
      <c r="F43" s="461">
        <v>8000002021</v>
      </c>
      <c r="G43" s="461" t="s">
        <v>8048</v>
      </c>
      <c r="H43" s="461" t="s">
        <v>237</v>
      </c>
      <c r="I43" s="461" t="s">
        <v>357</v>
      </c>
      <c r="J43" s="461">
        <v>1000</v>
      </c>
      <c r="K43" s="461" t="s">
        <v>5402</v>
      </c>
      <c r="L43" s="461" t="s">
        <v>9</v>
      </c>
      <c r="M43" s="461" t="s">
        <v>8111</v>
      </c>
      <c r="T43"/>
      <c r="U43"/>
      <c r="V43"/>
    </row>
    <row r="44" spans="1:22" ht="15">
      <c r="B44" s="461" t="s">
        <v>7875</v>
      </c>
      <c r="C44" s="461" t="s">
        <v>3</v>
      </c>
      <c r="D44" s="461" t="s">
        <v>8092</v>
      </c>
      <c r="E44" s="467">
        <v>44776</v>
      </c>
      <c r="F44" s="461" t="s">
        <v>8111</v>
      </c>
      <c r="G44" s="461" t="s">
        <v>7621</v>
      </c>
      <c r="H44" s="461" t="s">
        <v>303</v>
      </c>
      <c r="I44" s="461" t="s">
        <v>390</v>
      </c>
      <c r="J44" s="461">
        <v>792</v>
      </c>
      <c r="K44" s="461" t="s">
        <v>6982</v>
      </c>
      <c r="L44" s="461" t="s">
        <v>62</v>
      </c>
      <c r="M44" s="461" t="s">
        <v>3264</v>
      </c>
      <c r="T44"/>
      <c r="U44"/>
      <c r="V44"/>
    </row>
    <row r="45" spans="1:22" ht="15">
      <c r="A45" s="479">
        <v>44770</v>
      </c>
      <c r="B45" s="461" t="s">
        <v>7874</v>
      </c>
      <c r="C45" s="461" t="s">
        <v>3</v>
      </c>
      <c r="D45" s="461" t="s">
        <v>6962</v>
      </c>
      <c r="E45" s="467">
        <v>44774</v>
      </c>
      <c r="F45" s="461">
        <v>8000001745</v>
      </c>
      <c r="G45" s="461" t="s">
        <v>6964</v>
      </c>
      <c r="H45" s="461" t="s">
        <v>303</v>
      </c>
      <c r="I45" s="461" t="s">
        <v>6963</v>
      </c>
      <c r="J45" s="461">
        <v>3.96</v>
      </c>
      <c r="K45" s="461" t="s">
        <v>6966</v>
      </c>
      <c r="L45" s="461" t="s">
        <v>37</v>
      </c>
      <c r="M45" s="461" t="s">
        <v>3291</v>
      </c>
      <c r="T45"/>
      <c r="U45"/>
      <c r="V45"/>
    </row>
    <row r="46" spans="1:22" ht="15">
      <c r="D46" s="461" t="s">
        <v>6968</v>
      </c>
      <c r="E46" s="467">
        <v>44774</v>
      </c>
      <c r="F46" s="461">
        <v>8000001746</v>
      </c>
      <c r="G46" s="461" t="s">
        <v>6964</v>
      </c>
      <c r="H46" s="461" t="s">
        <v>303</v>
      </c>
      <c r="I46" s="461" t="s">
        <v>6969</v>
      </c>
      <c r="J46" s="461">
        <v>3.9</v>
      </c>
      <c r="K46" s="461" t="s">
        <v>6966</v>
      </c>
      <c r="L46" s="461" t="s">
        <v>37</v>
      </c>
      <c r="M46" s="461" t="s">
        <v>3291</v>
      </c>
      <c r="T46"/>
      <c r="U46"/>
      <c r="V46"/>
    </row>
    <row r="47" spans="1:22" ht="15">
      <c r="D47" s="461" t="s">
        <v>6970</v>
      </c>
      <c r="E47" s="467">
        <v>44775</v>
      </c>
      <c r="F47" s="461">
        <v>8000001747</v>
      </c>
      <c r="G47" s="461" t="s">
        <v>6964</v>
      </c>
      <c r="H47" s="461" t="s">
        <v>303</v>
      </c>
      <c r="I47" s="461" t="s">
        <v>6971</v>
      </c>
      <c r="J47" s="461">
        <v>1.92</v>
      </c>
      <c r="K47" s="461" t="s">
        <v>6966</v>
      </c>
      <c r="L47" s="461" t="s">
        <v>37</v>
      </c>
      <c r="M47" s="461" t="s">
        <v>3291</v>
      </c>
      <c r="T47"/>
      <c r="U47"/>
      <c r="V47"/>
    </row>
    <row r="48" spans="1:22" ht="15">
      <c r="A48" s="479">
        <v>44772</v>
      </c>
      <c r="B48" s="461" t="s">
        <v>7874</v>
      </c>
      <c r="C48" s="461" t="s">
        <v>3</v>
      </c>
      <c r="D48" s="461" t="s">
        <v>7479</v>
      </c>
      <c r="E48" s="467">
        <v>44776</v>
      </c>
      <c r="F48" s="461">
        <v>8000001906</v>
      </c>
      <c r="G48" s="461" t="s">
        <v>7482</v>
      </c>
      <c r="H48" s="461" t="s">
        <v>297</v>
      </c>
      <c r="I48" s="461" t="s">
        <v>7481</v>
      </c>
      <c r="J48" s="461">
        <v>310</v>
      </c>
      <c r="K48" s="461" t="s">
        <v>5402</v>
      </c>
      <c r="L48" s="461" t="s">
        <v>37</v>
      </c>
      <c r="M48" s="461" t="s">
        <v>3291</v>
      </c>
      <c r="T48"/>
      <c r="U48"/>
      <c r="V48"/>
    </row>
    <row r="49" spans="1:22" ht="15">
      <c r="D49" s="461" t="s">
        <v>7484</v>
      </c>
      <c r="E49" s="467">
        <v>44776</v>
      </c>
      <c r="F49" s="461">
        <v>8000001907</v>
      </c>
      <c r="G49" s="461" t="s">
        <v>7482</v>
      </c>
      <c r="H49" s="461" t="s">
        <v>297</v>
      </c>
      <c r="I49" s="461" t="s">
        <v>7481</v>
      </c>
      <c r="J49" s="461">
        <v>710</v>
      </c>
      <c r="K49" s="461" t="s">
        <v>5402</v>
      </c>
      <c r="L49" s="461" t="s">
        <v>37</v>
      </c>
      <c r="M49" s="461" t="s">
        <v>3291</v>
      </c>
      <c r="T49"/>
      <c r="U49"/>
      <c r="V49"/>
    </row>
    <row r="50" spans="1:22" ht="15">
      <c r="D50" s="461" t="s">
        <v>7893</v>
      </c>
      <c r="E50" s="467">
        <v>44778</v>
      </c>
      <c r="F50" s="461" t="s">
        <v>8111</v>
      </c>
      <c r="G50" s="461" t="s">
        <v>7617</v>
      </c>
      <c r="H50" s="461" t="s">
        <v>237</v>
      </c>
      <c r="I50" s="461" t="s">
        <v>8062</v>
      </c>
      <c r="J50" s="461">
        <v>1700</v>
      </c>
      <c r="K50" s="461" t="s">
        <v>5402</v>
      </c>
      <c r="L50" s="461" t="s">
        <v>25</v>
      </c>
      <c r="M50" s="461" t="s">
        <v>8111</v>
      </c>
      <c r="T50"/>
      <c r="U50"/>
      <c r="V50"/>
    </row>
    <row r="51" spans="1:22" ht="15">
      <c r="D51" s="461" t="s">
        <v>8038</v>
      </c>
      <c r="E51" s="467">
        <v>44779</v>
      </c>
      <c r="F51" s="461">
        <v>8000002022</v>
      </c>
      <c r="G51" s="461" t="s">
        <v>8048</v>
      </c>
      <c r="H51" s="461" t="s">
        <v>237</v>
      </c>
      <c r="I51" s="461" t="s">
        <v>357</v>
      </c>
      <c r="J51" s="461">
        <v>500</v>
      </c>
      <c r="K51" s="461" t="s">
        <v>5402</v>
      </c>
      <c r="L51" s="461" t="s">
        <v>25</v>
      </c>
      <c r="M51" s="461" t="s">
        <v>8111</v>
      </c>
      <c r="T51"/>
      <c r="U51"/>
      <c r="V51"/>
    </row>
    <row r="52" spans="1:22" ht="15">
      <c r="A52" s="479">
        <v>44773</v>
      </c>
      <c r="B52" s="461" t="s">
        <v>7874</v>
      </c>
      <c r="C52" s="461" t="s">
        <v>3</v>
      </c>
      <c r="D52" s="461" t="s">
        <v>7556</v>
      </c>
      <c r="E52" s="467">
        <v>44777</v>
      </c>
      <c r="F52" s="461" t="s">
        <v>8111</v>
      </c>
      <c r="G52" s="461" t="s">
        <v>944</v>
      </c>
      <c r="H52" s="461" t="s">
        <v>7554</v>
      </c>
      <c r="I52" s="461" t="s">
        <v>295</v>
      </c>
      <c r="J52" s="461">
        <v>98</v>
      </c>
      <c r="K52" s="461" t="s">
        <v>7555</v>
      </c>
      <c r="L52" s="461" t="s">
        <v>37</v>
      </c>
      <c r="M52" s="461" t="s">
        <v>3291</v>
      </c>
      <c r="T52"/>
      <c r="U52"/>
      <c r="V52"/>
    </row>
    <row r="53" spans="1:22" ht="15">
      <c r="A53" s="479">
        <v>44774</v>
      </c>
      <c r="B53" s="461" t="s">
        <v>7874</v>
      </c>
      <c r="C53" s="461" t="s">
        <v>3</v>
      </c>
      <c r="D53" s="461" t="s">
        <v>7514</v>
      </c>
      <c r="E53" s="467">
        <v>44777</v>
      </c>
      <c r="F53" s="461">
        <v>8000001901</v>
      </c>
      <c r="G53" s="461" t="s">
        <v>7516</v>
      </c>
      <c r="H53" s="461" t="s">
        <v>297</v>
      </c>
      <c r="I53" s="461" t="s">
        <v>164</v>
      </c>
      <c r="J53" s="461">
        <v>300</v>
      </c>
      <c r="K53" s="461" t="s">
        <v>5402</v>
      </c>
      <c r="L53" s="461" t="s">
        <v>37</v>
      </c>
      <c r="M53" s="461" t="s">
        <v>3291</v>
      </c>
      <c r="T53"/>
      <c r="U53"/>
      <c r="V53"/>
    </row>
    <row r="54" spans="1:22" ht="15">
      <c r="D54" s="461" t="s">
        <v>7624</v>
      </c>
      <c r="E54" s="467">
        <v>44779</v>
      </c>
      <c r="F54" s="461">
        <v>8000001980</v>
      </c>
      <c r="G54" s="461" t="s">
        <v>7626</v>
      </c>
      <c r="H54" s="461" t="s">
        <v>297</v>
      </c>
      <c r="I54" s="461" t="s">
        <v>340</v>
      </c>
      <c r="J54" s="461">
        <v>2000</v>
      </c>
      <c r="K54" s="461" t="s">
        <v>5402</v>
      </c>
      <c r="L54" s="461" t="s">
        <v>37</v>
      </c>
      <c r="M54" s="461" t="s">
        <v>8111</v>
      </c>
      <c r="T54"/>
      <c r="U54"/>
      <c r="V54"/>
    </row>
    <row r="55" spans="1:22" ht="15">
      <c r="A55" s="479">
        <v>44775</v>
      </c>
      <c r="B55" s="461" t="s">
        <v>7874</v>
      </c>
      <c r="C55" s="461" t="s">
        <v>3</v>
      </c>
      <c r="D55" s="461" t="s">
        <v>7894</v>
      </c>
      <c r="E55" s="467">
        <v>44781</v>
      </c>
      <c r="F55" s="461" t="s">
        <v>8111</v>
      </c>
      <c r="G55" s="461" t="s">
        <v>7617</v>
      </c>
      <c r="H55" s="461" t="s">
        <v>237</v>
      </c>
      <c r="I55" s="461" t="s">
        <v>8062</v>
      </c>
      <c r="J55" s="461">
        <v>2000</v>
      </c>
      <c r="K55" s="461" t="s">
        <v>5402</v>
      </c>
      <c r="L55" s="461" t="s">
        <v>37</v>
      </c>
      <c r="M55" s="461" t="s">
        <v>8111</v>
      </c>
      <c r="T55"/>
      <c r="U55"/>
      <c r="V55"/>
    </row>
    <row r="56" spans="1:22" ht="15">
      <c r="D56" s="461" t="s">
        <v>7965</v>
      </c>
      <c r="E56" s="467">
        <v>44779</v>
      </c>
      <c r="F56" s="461">
        <v>8000002009</v>
      </c>
      <c r="G56" s="461" t="s">
        <v>8047</v>
      </c>
      <c r="H56" s="461" t="s">
        <v>237</v>
      </c>
      <c r="I56" s="461" t="s">
        <v>332</v>
      </c>
      <c r="J56" s="461">
        <v>500</v>
      </c>
      <c r="K56" s="461" t="s">
        <v>5402</v>
      </c>
      <c r="L56" s="461" t="s">
        <v>37</v>
      </c>
      <c r="M56" s="461" t="s">
        <v>8111</v>
      </c>
      <c r="T56"/>
      <c r="U56"/>
      <c r="V56"/>
    </row>
    <row r="57" spans="1:22" ht="15">
      <c r="D57" s="461" t="s">
        <v>8039</v>
      </c>
      <c r="E57" s="467">
        <v>44781</v>
      </c>
      <c r="F57" s="461">
        <v>8000002023</v>
      </c>
      <c r="G57" s="461" t="s">
        <v>8048</v>
      </c>
      <c r="H57" s="461" t="s">
        <v>237</v>
      </c>
      <c r="I57" s="461" t="s">
        <v>357</v>
      </c>
      <c r="J57" s="461">
        <v>500</v>
      </c>
      <c r="K57" s="461" t="s">
        <v>5402</v>
      </c>
      <c r="L57" s="461" t="s">
        <v>37</v>
      </c>
      <c r="M57" s="461" t="s">
        <v>8111</v>
      </c>
      <c r="T57"/>
      <c r="U57"/>
      <c r="V57"/>
    </row>
    <row r="58" spans="1:22" ht="15">
      <c r="A58" s="479">
        <v>44778</v>
      </c>
      <c r="B58" s="461" t="s">
        <v>7874</v>
      </c>
      <c r="C58" s="461" t="s">
        <v>3</v>
      </c>
      <c r="D58" s="461" t="s">
        <v>7518</v>
      </c>
      <c r="E58" s="467">
        <v>44781</v>
      </c>
      <c r="F58" s="461">
        <v>8000001904</v>
      </c>
      <c r="G58" s="461" t="s">
        <v>7520</v>
      </c>
      <c r="H58" s="461" t="s">
        <v>297</v>
      </c>
      <c r="I58" s="461" t="s">
        <v>351</v>
      </c>
      <c r="J58" s="461">
        <v>1000</v>
      </c>
      <c r="K58" s="461" t="s">
        <v>5402</v>
      </c>
      <c r="L58" s="461" t="s">
        <v>37</v>
      </c>
      <c r="M58" s="461" t="s">
        <v>3291</v>
      </c>
      <c r="T58"/>
      <c r="U58"/>
      <c r="V58"/>
    </row>
    <row r="59" spans="1:22" ht="15">
      <c r="D59" s="461" t="s">
        <v>7532</v>
      </c>
      <c r="E59" s="467">
        <v>44782</v>
      </c>
      <c r="F59" s="461">
        <v>8000001908</v>
      </c>
      <c r="G59" s="461" t="s">
        <v>7534</v>
      </c>
      <c r="H59" s="461" t="s">
        <v>297</v>
      </c>
      <c r="I59" s="461" t="s">
        <v>152</v>
      </c>
      <c r="J59" s="461">
        <v>1000</v>
      </c>
      <c r="K59" s="461" t="s">
        <v>5402</v>
      </c>
      <c r="L59" s="461" t="s">
        <v>37</v>
      </c>
      <c r="M59" s="461" t="s">
        <v>3291</v>
      </c>
      <c r="T59"/>
      <c r="U59"/>
      <c r="V59"/>
    </row>
    <row r="60" spans="1:22" ht="15">
      <c r="B60" s="461" t="s">
        <v>7875</v>
      </c>
      <c r="C60" s="461" t="s">
        <v>3</v>
      </c>
      <c r="D60" s="461" t="s">
        <v>7522</v>
      </c>
      <c r="E60" s="467">
        <v>44781</v>
      </c>
      <c r="F60" s="461">
        <v>8000001903</v>
      </c>
      <c r="G60" s="461" t="s">
        <v>7524</v>
      </c>
      <c r="H60" s="461" t="s">
        <v>264</v>
      </c>
      <c r="I60" s="461" t="s">
        <v>335</v>
      </c>
      <c r="J60" s="461">
        <v>3500</v>
      </c>
      <c r="K60" s="461" t="s">
        <v>5402</v>
      </c>
      <c r="L60" s="461" t="s">
        <v>37</v>
      </c>
      <c r="M60" s="461" t="s">
        <v>3291</v>
      </c>
      <c r="T60"/>
      <c r="U60"/>
      <c r="V60"/>
    </row>
    <row r="61" spans="1:22" ht="15">
      <c r="D61" s="461" t="s">
        <v>5399</v>
      </c>
      <c r="E61" s="467">
        <v>44782</v>
      </c>
      <c r="F61" s="461">
        <v>8000001634</v>
      </c>
      <c r="G61" s="461" t="s">
        <v>5394</v>
      </c>
      <c r="H61" s="461" t="s">
        <v>264</v>
      </c>
      <c r="I61" s="461" t="s">
        <v>335</v>
      </c>
      <c r="J61" s="461">
        <v>500</v>
      </c>
      <c r="K61" s="461" t="s">
        <v>5402</v>
      </c>
      <c r="L61" s="461" t="s">
        <v>37</v>
      </c>
      <c r="M61" s="461" t="s">
        <v>3291</v>
      </c>
      <c r="T61"/>
      <c r="U61"/>
      <c r="V61"/>
    </row>
    <row r="62" spans="1:22" ht="15">
      <c r="D62" s="461" t="s">
        <v>7618</v>
      </c>
      <c r="E62" s="467">
        <v>44784</v>
      </c>
      <c r="F62" s="461">
        <v>8000001961</v>
      </c>
      <c r="G62" s="461" t="s">
        <v>7619</v>
      </c>
      <c r="H62" s="461" t="s">
        <v>264</v>
      </c>
      <c r="I62" s="461" t="s">
        <v>337</v>
      </c>
      <c r="J62" s="461">
        <v>1401.3</v>
      </c>
      <c r="K62" s="461" t="s">
        <v>5402</v>
      </c>
      <c r="L62" s="461" t="s">
        <v>37</v>
      </c>
      <c r="M62" s="461" t="s">
        <v>3291</v>
      </c>
      <c r="T62"/>
      <c r="U62"/>
      <c r="V62"/>
    </row>
    <row r="63" spans="1:22" ht="15">
      <c r="A63" s="479">
        <v>44785</v>
      </c>
      <c r="B63" s="461" t="s">
        <v>7874</v>
      </c>
      <c r="C63" s="461" t="s">
        <v>3</v>
      </c>
      <c r="D63" s="461" t="s">
        <v>8033</v>
      </c>
      <c r="E63" s="467">
        <v>44791</v>
      </c>
      <c r="F63" s="461">
        <v>8000002020</v>
      </c>
      <c r="G63" s="461" t="s">
        <v>8035</v>
      </c>
      <c r="H63" s="461" t="s">
        <v>183</v>
      </c>
      <c r="I63" s="461" t="s">
        <v>304</v>
      </c>
      <c r="J63" s="461">
        <v>112</v>
      </c>
      <c r="K63" s="461" t="s">
        <v>6966</v>
      </c>
      <c r="L63" s="461" t="s">
        <v>37</v>
      </c>
      <c r="M63" s="461" t="s">
        <v>8111</v>
      </c>
      <c r="T63"/>
      <c r="U63"/>
      <c r="V63"/>
    </row>
    <row r="64" spans="1:22" ht="15">
      <c r="A64" s="479">
        <v>44792</v>
      </c>
      <c r="B64" s="461" t="s">
        <v>7874</v>
      </c>
      <c r="C64" s="461" t="s">
        <v>3</v>
      </c>
      <c r="D64" s="461" t="s">
        <v>7073</v>
      </c>
      <c r="E64" s="467">
        <v>44796</v>
      </c>
      <c r="F64" s="461" t="s">
        <v>8111</v>
      </c>
      <c r="G64" s="461" t="s">
        <v>7069</v>
      </c>
      <c r="H64" s="461" t="s">
        <v>110</v>
      </c>
      <c r="I64" s="461" t="s">
        <v>152</v>
      </c>
      <c r="J64" s="461">
        <v>550</v>
      </c>
      <c r="K64" s="461" t="s">
        <v>5402</v>
      </c>
      <c r="L64" s="461" t="s">
        <v>37</v>
      </c>
      <c r="M64" s="461" t="s">
        <v>3291</v>
      </c>
      <c r="T64"/>
      <c r="U64"/>
      <c r="V64"/>
    </row>
    <row r="65" spans="1:22" ht="15">
      <c r="D65" s="461" t="s">
        <v>8051</v>
      </c>
      <c r="E65" s="467">
        <v>44796</v>
      </c>
      <c r="F65" s="461">
        <v>8000001779</v>
      </c>
      <c r="G65" s="461" t="s">
        <v>7089</v>
      </c>
      <c r="H65" s="461" t="s">
        <v>110</v>
      </c>
      <c r="I65" s="461" t="s">
        <v>7088</v>
      </c>
      <c r="J65" s="461">
        <v>500</v>
      </c>
      <c r="K65" s="461" t="s">
        <v>5402</v>
      </c>
      <c r="L65" s="461" t="s">
        <v>37</v>
      </c>
      <c r="M65" s="461" t="s">
        <v>3291</v>
      </c>
      <c r="T65"/>
      <c r="U65"/>
      <c r="V65"/>
    </row>
    <row r="66" spans="1:22" ht="15">
      <c r="A66" s="479">
        <v>44797</v>
      </c>
      <c r="B66" s="461" t="s">
        <v>7874</v>
      </c>
      <c r="C66" s="461" t="s">
        <v>3</v>
      </c>
      <c r="D66" s="461" t="s">
        <v>7936</v>
      </c>
      <c r="E66" s="467">
        <v>44801</v>
      </c>
      <c r="F66" s="461">
        <v>8000002018</v>
      </c>
      <c r="G66" s="461" t="s">
        <v>8111</v>
      </c>
      <c r="H66" s="461" t="s">
        <v>7559</v>
      </c>
      <c r="I66" s="461" t="s">
        <v>98</v>
      </c>
      <c r="J66" s="461">
        <v>168</v>
      </c>
      <c r="K66" s="461" t="s">
        <v>8111</v>
      </c>
      <c r="L66" s="461" t="s">
        <v>37</v>
      </c>
      <c r="M66" s="461" t="s">
        <v>3291</v>
      </c>
      <c r="T66"/>
      <c r="U66"/>
      <c r="V66"/>
    </row>
    <row r="67" spans="1:22" ht="15">
      <c r="A67" s="479">
        <v>44798</v>
      </c>
      <c r="B67" s="461" t="s">
        <v>7874</v>
      </c>
      <c r="C67" s="461" t="s">
        <v>3</v>
      </c>
      <c r="D67" s="461" t="s">
        <v>7982</v>
      </c>
      <c r="E67" s="467">
        <v>44802</v>
      </c>
      <c r="F67" s="461" t="s">
        <v>8111</v>
      </c>
      <c r="G67" s="461" t="s">
        <v>7538</v>
      </c>
      <c r="H67" s="461" t="s">
        <v>297</v>
      </c>
      <c r="I67" s="461" t="s">
        <v>340</v>
      </c>
      <c r="J67" s="461">
        <v>1000</v>
      </c>
      <c r="K67" s="461" t="s">
        <v>6915</v>
      </c>
      <c r="L67" s="461" t="s">
        <v>37</v>
      </c>
      <c r="M67" s="461" t="s">
        <v>8111</v>
      </c>
      <c r="T67"/>
      <c r="U67"/>
      <c r="V67"/>
    </row>
    <row r="68" spans="1:22" ht="15">
      <c r="D68" s="461" t="s">
        <v>7536</v>
      </c>
      <c r="E68" s="467">
        <v>44802</v>
      </c>
      <c r="F68" s="461">
        <v>8000001970</v>
      </c>
      <c r="G68" s="461" t="s">
        <v>7538</v>
      </c>
      <c r="H68" s="461" t="s">
        <v>297</v>
      </c>
      <c r="I68" s="461" t="s">
        <v>340</v>
      </c>
      <c r="J68" s="461">
        <v>5000</v>
      </c>
      <c r="K68" s="461" t="s">
        <v>6915</v>
      </c>
      <c r="L68" s="461" t="s">
        <v>25</v>
      </c>
      <c r="M68" s="461" t="s">
        <v>8111</v>
      </c>
      <c r="T68"/>
      <c r="U68"/>
      <c r="V68"/>
    </row>
    <row r="69" spans="1:22" ht="15">
      <c r="D69" s="461" t="s">
        <v>7983</v>
      </c>
      <c r="E69" s="467">
        <v>44802</v>
      </c>
      <c r="F69" s="461">
        <v>8000001971</v>
      </c>
      <c r="G69" s="461" t="s">
        <v>7538</v>
      </c>
      <c r="H69" s="461" t="s">
        <v>297</v>
      </c>
      <c r="I69" s="461" t="s">
        <v>340</v>
      </c>
      <c r="J69" s="461">
        <v>2000</v>
      </c>
      <c r="K69" s="461" t="s">
        <v>6915</v>
      </c>
      <c r="L69" s="461" t="s">
        <v>37</v>
      </c>
      <c r="M69" s="461" t="s">
        <v>8111</v>
      </c>
      <c r="T69"/>
      <c r="U69"/>
      <c r="V69"/>
    </row>
    <row r="70" spans="1:22" ht="15">
      <c r="D70" s="461" t="s">
        <v>7592</v>
      </c>
      <c r="E70" s="467">
        <v>44802</v>
      </c>
      <c r="F70" s="461">
        <v>8000001972</v>
      </c>
      <c r="G70" s="461" t="s">
        <v>7594</v>
      </c>
      <c r="H70" s="461" t="s">
        <v>297</v>
      </c>
      <c r="I70" s="461" t="s">
        <v>339</v>
      </c>
      <c r="J70" s="461">
        <v>500</v>
      </c>
      <c r="K70" s="461" t="s">
        <v>6915</v>
      </c>
      <c r="L70" s="461" t="s">
        <v>25</v>
      </c>
      <c r="M70" s="461" t="s">
        <v>3264</v>
      </c>
      <c r="T70"/>
      <c r="U70"/>
      <c r="V70"/>
    </row>
    <row r="71" spans="1:22" ht="15">
      <c r="D71" s="461" t="s">
        <v>8069</v>
      </c>
      <c r="E71" s="467">
        <v>44806</v>
      </c>
      <c r="F71" s="461">
        <v>8000002029</v>
      </c>
      <c r="G71" s="461" t="s">
        <v>8111</v>
      </c>
      <c r="H71" s="461" t="s">
        <v>297</v>
      </c>
      <c r="I71" s="461" t="s">
        <v>340</v>
      </c>
      <c r="J71" s="461">
        <v>3500</v>
      </c>
      <c r="K71" s="461" t="s">
        <v>7259</v>
      </c>
      <c r="L71" s="461" t="s">
        <v>9</v>
      </c>
      <c r="M71" s="461" t="s">
        <v>8111</v>
      </c>
      <c r="T71"/>
      <c r="U71"/>
      <c r="V71"/>
    </row>
    <row r="72" spans="1:22" ht="15">
      <c r="D72" s="461" t="s">
        <v>8070</v>
      </c>
      <c r="E72" s="467">
        <v>44807</v>
      </c>
      <c r="F72" s="461">
        <v>8000002030</v>
      </c>
      <c r="G72" s="461" t="s">
        <v>8111</v>
      </c>
      <c r="H72" s="461" t="s">
        <v>297</v>
      </c>
      <c r="I72" s="461" t="s">
        <v>340</v>
      </c>
      <c r="J72" s="461">
        <v>1500</v>
      </c>
      <c r="K72" s="461" t="s">
        <v>7259</v>
      </c>
      <c r="L72" s="461" t="s">
        <v>37</v>
      </c>
      <c r="M72" s="461" t="s">
        <v>8111</v>
      </c>
      <c r="T72"/>
      <c r="U72"/>
      <c r="V72"/>
    </row>
    <row r="73" spans="1:22" ht="15">
      <c r="A73" s="479">
        <v>44801</v>
      </c>
      <c r="B73" s="461" t="s">
        <v>7874</v>
      </c>
      <c r="C73" s="461" t="s">
        <v>3</v>
      </c>
      <c r="D73" s="461" t="s">
        <v>7942</v>
      </c>
      <c r="E73" s="467">
        <v>44807</v>
      </c>
      <c r="F73" s="461">
        <v>8000002001</v>
      </c>
      <c r="G73" s="461" t="s">
        <v>7989</v>
      </c>
      <c r="H73" s="461" t="s">
        <v>264</v>
      </c>
      <c r="I73" s="461" t="s">
        <v>335</v>
      </c>
      <c r="J73" s="461">
        <v>3500</v>
      </c>
      <c r="K73" s="461" t="s">
        <v>5402</v>
      </c>
      <c r="L73" s="461" t="s">
        <v>9</v>
      </c>
      <c r="M73" s="461" t="s">
        <v>3264</v>
      </c>
      <c r="T73"/>
      <c r="U73"/>
      <c r="V73"/>
    </row>
    <row r="74" spans="1:22" ht="15">
      <c r="A74" s="479">
        <v>44803</v>
      </c>
      <c r="B74" s="461" t="s">
        <v>7874</v>
      </c>
      <c r="C74" s="461" t="s">
        <v>3</v>
      </c>
      <c r="D74" s="461" t="s">
        <v>6798</v>
      </c>
      <c r="E74" s="467">
        <v>44807</v>
      </c>
      <c r="F74" s="461">
        <v>8000001700</v>
      </c>
      <c r="G74" s="461" t="s">
        <v>6799</v>
      </c>
      <c r="H74" s="461" t="s">
        <v>110</v>
      </c>
      <c r="I74" s="461" t="s">
        <v>152</v>
      </c>
      <c r="J74" s="461">
        <v>312</v>
      </c>
      <c r="K74" s="461" t="s">
        <v>5402</v>
      </c>
      <c r="L74" s="461" t="s">
        <v>37</v>
      </c>
      <c r="M74" s="461" t="s">
        <v>3291</v>
      </c>
      <c r="T74"/>
      <c r="U74"/>
      <c r="V74"/>
    </row>
    <row r="75" spans="1:22" ht="15">
      <c r="D75" s="461" t="s">
        <v>6802</v>
      </c>
      <c r="E75" s="467">
        <v>44807</v>
      </c>
      <c r="F75" s="461">
        <v>8000001809</v>
      </c>
      <c r="G75" s="461" t="s">
        <v>6799</v>
      </c>
      <c r="H75" s="461" t="s">
        <v>110</v>
      </c>
      <c r="I75" s="461" t="s">
        <v>152</v>
      </c>
      <c r="J75" s="461">
        <v>488</v>
      </c>
      <c r="K75" s="461" t="s">
        <v>5402</v>
      </c>
      <c r="L75" s="461" t="s">
        <v>37</v>
      </c>
      <c r="M75" s="461" t="s">
        <v>3291</v>
      </c>
      <c r="T75"/>
      <c r="U75"/>
      <c r="V75"/>
    </row>
    <row r="76" spans="1:22" ht="15">
      <c r="D76" s="461" t="s">
        <v>8052</v>
      </c>
      <c r="E76" s="467">
        <v>44807</v>
      </c>
      <c r="F76" s="461">
        <v>8000001779</v>
      </c>
      <c r="G76" s="461" t="s">
        <v>7089</v>
      </c>
      <c r="H76" s="461" t="s">
        <v>110</v>
      </c>
      <c r="I76" s="461" t="s">
        <v>7088</v>
      </c>
      <c r="J76" s="461">
        <v>2500</v>
      </c>
      <c r="K76" s="461" t="s">
        <v>5402</v>
      </c>
      <c r="L76" s="461" t="s">
        <v>37</v>
      </c>
      <c r="M76" s="461" t="s">
        <v>3291</v>
      </c>
      <c r="T76"/>
      <c r="U76"/>
      <c r="V76"/>
    </row>
    <row r="77" spans="1:22" ht="15">
      <c r="A77" s="479">
        <v>44804</v>
      </c>
      <c r="B77" s="461" t="s">
        <v>7874</v>
      </c>
      <c r="C77" s="461" t="s">
        <v>3</v>
      </c>
      <c r="D77" s="461" t="s">
        <v>7945</v>
      </c>
      <c r="E77" s="467">
        <v>44808</v>
      </c>
      <c r="F77" s="461">
        <v>8000002019</v>
      </c>
      <c r="G77" s="461" t="s">
        <v>8111</v>
      </c>
      <c r="H77" s="461" t="s">
        <v>7559</v>
      </c>
      <c r="I77" s="461" t="s">
        <v>98</v>
      </c>
      <c r="J77" s="461">
        <v>336</v>
      </c>
      <c r="K77" s="461" t="s">
        <v>8111</v>
      </c>
      <c r="L77" s="461" t="s">
        <v>9</v>
      </c>
      <c r="M77" s="461" t="s">
        <v>3264</v>
      </c>
      <c r="T77"/>
      <c r="U77"/>
      <c r="V77"/>
    </row>
    <row r="78" spans="1:22" ht="15">
      <c r="A78" s="479">
        <v>44811</v>
      </c>
      <c r="B78" s="461" t="s">
        <v>7874</v>
      </c>
      <c r="C78" s="461" t="s">
        <v>3</v>
      </c>
      <c r="D78" s="461" t="s">
        <v>7941</v>
      </c>
      <c r="E78" s="467">
        <v>44815</v>
      </c>
      <c r="F78" s="461">
        <v>8000002000</v>
      </c>
      <c r="G78" s="461" t="s">
        <v>8111</v>
      </c>
      <c r="H78" s="461" t="s">
        <v>7559</v>
      </c>
      <c r="I78" s="461" t="s">
        <v>336</v>
      </c>
      <c r="J78" s="461">
        <v>42</v>
      </c>
      <c r="K78" s="461" t="s">
        <v>8111</v>
      </c>
      <c r="L78" s="461" t="s">
        <v>9</v>
      </c>
      <c r="M78" s="461" t="s">
        <v>3264</v>
      </c>
      <c r="T78"/>
      <c r="U78"/>
      <c r="V78"/>
    </row>
    <row r="79" spans="1:22" ht="15">
      <c r="A79" s="479">
        <v>44817</v>
      </c>
      <c r="B79" s="461" t="s">
        <v>7874</v>
      </c>
      <c r="C79" s="461" t="s">
        <v>3</v>
      </c>
      <c r="D79" s="461" t="s">
        <v>7349</v>
      </c>
      <c r="E79" s="467">
        <v>44820</v>
      </c>
      <c r="F79" s="461">
        <v>8000001843</v>
      </c>
      <c r="G79" s="461" t="s">
        <v>7350</v>
      </c>
      <c r="H79" s="461" t="s">
        <v>264</v>
      </c>
      <c r="I79" s="461" t="s">
        <v>238</v>
      </c>
      <c r="J79" s="461">
        <v>400</v>
      </c>
      <c r="K79" s="461" t="s">
        <v>5402</v>
      </c>
      <c r="L79" s="461" t="s">
        <v>37</v>
      </c>
      <c r="M79" s="461" t="s">
        <v>3291</v>
      </c>
      <c r="T79"/>
      <c r="U79"/>
      <c r="V79"/>
    </row>
    <row r="80" spans="1:22" ht="15">
      <c r="D80" s="461" t="s">
        <v>7431</v>
      </c>
      <c r="E80" s="467">
        <v>44820</v>
      </c>
      <c r="F80" s="461">
        <v>8000001872</v>
      </c>
      <c r="G80" s="461" t="s">
        <v>7433</v>
      </c>
      <c r="H80" s="461" t="s">
        <v>133</v>
      </c>
      <c r="I80" s="461" t="s">
        <v>316</v>
      </c>
      <c r="J80" s="461">
        <v>1800</v>
      </c>
      <c r="K80" s="461" t="s">
        <v>5402</v>
      </c>
      <c r="L80" s="461" t="s">
        <v>37</v>
      </c>
      <c r="M80" s="461" t="s">
        <v>3264</v>
      </c>
      <c r="T80"/>
      <c r="U80"/>
      <c r="V80"/>
    </row>
    <row r="81" spans="1:22" ht="15">
      <c r="D81" s="461" t="s">
        <v>7435</v>
      </c>
      <c r="E81" s="467">
        <v>44820</v>
      </c>
      <c r="F81" s="461">
        <v>8000001873</v>
      </c>
      <c r="G81" s="461" t="s">
        <v>7437</v>
      </c>
      <c r="H81" s="461" t="s">
        <v>133</v>
      </c>
      <c r="I81" s="461" t="s">
        <v>316</v>
      </c>
      <c r="J81" s="461">
        <v>2200</v>
      </c>
      <c r="K81" s="461" t="s">
        <v>5402</v>
      </c>
      <c r="L81" s="461" t="s">
        <v>9</v>
      </c>
      <c r="M81" s="461" t="s">
        <v>3264</v>
      </c>
      <c r="T81"/>
      <c r="U81"/>
      <c r="V81"/>
    </row>
    <row r="82" spans="1:22" ht="15">
      <c r="D82" s="461" t="s">
        <v>7525</v>
      </c>
      <c r="E82" s="467">
        <v>44820</v>
      </c>
      <c r="F82" s="461">
        <v>8000001905</v>
      </c>
      <c r="G82" s="461" t="s">
        <v>7527</v>
      </c>
      <c r="H82" s="461" t="s">
        <v>297</v>
      </c>
      <c r="I82" s="461" t="s">
        <v>316</v>
      </c>
      <c r="J82" s="461">
        <v>300</v>
      </c>
      <c r="K82" s="461" t="s">
        <v>5402</v>
      </c>
      <c r="L82" s="461" t="s">
        <v>37</v>
      </c>
      <c r="M82" s="461" t="s">
        <v>3291</v>
      </c>
      <c r="T82"/>
      <c r="U82"/>
      <c r="V82"/>
    </row>
    <row r="83" spans="1:22" ht="15">
      <c r="D83" s="461" t="s">
        <v>7589</v>
      </c>
      <c r="E83" s="467">
        <v>44821</v>
      </c>
      <c r="F83" s="461">
        <v>8000001960</v>
      </c>
      <c r="G83" s="461" t="s">
        <v>7591</v>
      </c>
      <c r="H83" s="461" t="s">
        <v>264</v>
      </c>
      <c r="I83" s="461" t="s">
        <v>238</v>
      </c>
      <c r="J83" s="461">
        <v>1500</v>
      </c>
      <c r="K83" s="461" t="s">
        <v>5402</v>
      </c>
      <c r="L83" s="461" t="s">
        <v>37</v>
      </c>
      <c r="M83" s="461" t="s">
        <v>3291</v>
      </c>
      <c r="T83"/>
      <c r="U83"/>
      <c r="V83"/>
    </row>
    <row r="84" spans="1:22" ht="15">
      <c r="D84" s="461" t="s">
        <v>7981</v>
      </c>
      <c r="E84" s="467">
        <v>44823</v>
      </c>
      <c r="F84" s="461">
        <v>8000002003</v>
      </c>
      <c r="G84" s="461" t="s">
        <v>544</v>
      </c>
      <c r="H84" s="461" t="s">
        <v>4498</v>
      </c>
      <c r="I84" s="461" t="s">
        <v>316</v>
      </c>
      <c r="J84" s="461">
        <v>2000</v>
      </c>
      <c r="K84" s="461" t="s">
        <v>5402</v>
      </c>
      <c r="L84" s="461" t="s">
        <v>37</v>
      </c>
      <c r="M84" s="461" t="s">
        <v>3291</v>
      </c>
      <c r="T84"/>
      <c r="U84"/>
      <c r="V84"/>
    </row>
    <row r="85" spans="1:22" ht="15">
      <c r="A85" s="479">
        <v>44818</v>
      </c>
      <c r="B85" s="461" t="s">
        <v>7874</v>
      </c>
      <c r="C85" s="461" t="s">
        <v>3</v>
      </c>
      <c r="D85" s="461" t="s">
        <v>7948</v>
      </c>
      <c r="E85" s="467">
        <v>44825</v>
      </c>
      <c r="F85" s="461">
        <v>8000001997</v>
      </c>
      <c r="G85" s="461" t="s">
        <v>8111</v>
      </c>
      <c r="H85" s="461" t="s">
        <v>309</v>
      </c>
      <c r="I85" s="461" t="s">
        <v>7960</v>
      </c>
      <c r="J85" s="461">
        <v>16.25</v>
      </c>
      <c r="K85" s="461" t="s">
        <v>8111</v>
      </c>
      <c r="L85" s="461" t="s">
        <v>37</v>
      </c>
      <c r="M85" s="461" t="s">
        <v>3291</v>
      </c>
      <c r="T85"/>
      <c r="U85"/>
      <c r="V85"/>
    </row>
    <row r="86" spans="1:22" ht="15">
      <c r="A86" s="462" t="s">
        <v>8112</v>
      </c>
      <c r="B86" s="462"/>
      <c r="C86" s="462"/>
      <c r="F86" s="462"/>
      <c r="H86" s="462"/>
      <c r="I86" s="462"/>
      <c r="J86" s="462"/>
      <c r="K86" s="462"/>
      <c r="L86" s="462"/>
      <c r="M86" s="462"/>
      <c r="T86"/>
      <c r="U86"/>
      <c r="V86"/>
    </row>
    <row r="87" spans="1:22" ht="15">
      <c r="A87"/>
      <c r="B87"/>
      <c r="C87"/>
      <c r="D87"/>
      <c r="E87"/>
      <c r="F87" s="475"/>
      <c r="G87" s="475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</row>
    <row r="88" spans="1:22" ht="15">
      <c r="A88"/>
      <c r="B88"/>
      <c r="C88"/>
      <c r="D88"/>
      <c r="E88"/>
      <c r="F88" s="475"/>
      <c r="G88" s="475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</row>
    <row r="89" spans="1:22" ht="15">
      <c r="A89"/>
      <c r="B89"/>
      <c r="C89"/>
      <c r="D89"/>
      <c r="E89"/>
      <c r="F89" s="475"/>
      <c r="G89" s="475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</row>
    <row r="90" spans="1:22" ht="15">
      <c r="A90"/>
      <c r="B90"/>
      <c r="C90"/>
      <c r="D90"/>
      <c r="E90"/>
      <c r="F90" s="475"/>
      <c r="G90" s="475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</row>
    <row r="91" spans="1:22" ht="15">
      <c r="A91"/>
      <c r="B91"/>
      <c r="C91"/>
      <c r="D91"/>
      <c r="E91"/>
      <c r="F91" s="475"/>
      <c r="G91" s="475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</row>
    <row r="92" spans="1:22" ht="15">
      <c r="A92"/>
      <c r="B92"/>
      <c r="C92"/>
      <c r="D92"/>
      <c r="E92"/>
      <c r="F92" s="475"/>
      <c r="G92" s="475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</row>
    <row r="93" spans="1:22" ht="15">
      <c r="A93"/>
      <c r="B93"/>
      <c r="C93"/>
      <c r="D93"/>
      <c r="E93"/>
      <c r="F93" s="475"/>
      <c r="G93" s="475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</row>
    <row r="94" spans="1:22" ht="15">
      <c r="A94"/>
      <c r="B94"/>
      <c r="C94"/>
      <c r="D94"/>
      <c r="E94"/>
      <c r="F94" s="475"/>
      <c r="G94" s="475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</row>
    <row r="95" spans="1:22" ht="15">
      <c r="A95"/>
      <c r="B95"/>
      <c r="C95"/>
      <c r="D95"/>
      <c r="E95"/>
      <c r="F95" s="475"/>
      <c r="G95" s="47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</row>
    <row r="96" spans="1:22" ht="15">
      <c r="A96"/>
      <c r="B96"/>
      <c r="C96"/>
      <c r="D96"/>
      <c r="E96"/>
      <c r="F96" s="475"/>
      <c r="G96" s="475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</row>
    <row r="97" spans="1:22" ht="15">
      <c r="A97"/>
      <c r="B97"/>
      <c r="C97"/>
      <c r="D97"/>
      <c r="E97"/>
      <c r="F97" s="475"/>
      <c r="G97" s="475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</row>
    <row r="98" spans="1:22" ht="15">
      <c r="A98"/>
      <c r="B98"/>
      <c r="C98"/>
      <c r="D98"/>
      <c r="E98"/>
      <c r="F98" s="475"/>
      <c r="G98" s="475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</row>
    <row r="99" spans="1:22" ht="15">
      <c r="A99"/>
      <c r="B99"/>
      <c r="C99"/>
      <c r="D99"/>
      <c r="E99"/>
      <c r="F99" s="475"/>
      <c r="G99" s="475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</row>
    <row r="100" spans="1:22" ht="15">
      <c r="A100"/>
      <c r="B100"/>
      <c r="C100"/>
      <c r="D100"/>
      <c r="E100"/>
      <c r="F100" s="475"/>
      <c r="G100" s="475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</row>
    <row r="101" spans="1:22" ht="15">
      <c r="A101"/>
      <c r="B101"/>
      <c r="C101"/>
      <c r="D101"/>
      <c r="E101"/>
      <c r="F101" s="475"/>
      <c r="G101" s="475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</row>
    <row r="102" spans="1:22" ht="15">
      <c r="A102"/>
      <c r="B102"/>
      <c r="C102"/>
      <c r="D102"/>
      <c r="E102"/>
      <c r="F102" s="475"/>
      <c r="G102" s="475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</row>
    <row r="103" spans="1:22" ht="15">
      <c r="A103"/>
      <c r="B103"/>
      <c r="C103"/>
      <c r="D103"/>
      <c r="E103"/>
      <c r="F103" s="475"/>
      <c r="G103" s="475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</row>
    <row r="104" spans="1:22" ht="15">
      <c r="A104"/>
      <c r="B104"/>
      <c r="C104"/>
      <c r="D104"/>
      <c r="E104"/>
      <c r="F104" s="475"/>
      <c r="G104" s="475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</row>
    <row r="105" spans="1:22" ht="15">
      <c r="A105"/>
      <c r="B105"/>
      <c r="C105"/>
      <c r="D105"/>
      <c r="E105"/>
      <c r="F105" s="475"/>
      <c r="G105" s="47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</row>
    <row r="106" spans="1:22" ht="15">
      <c r="A106"/>
      <c r="B106"/>
      <c r="C106"/>
      <c r="D106"/>
      <c r="E106"/>
      <c r="F106" s="475"/>
      <c r="G106" s="475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</row>
    <row r="107" spans="1:22" ht="15">
      <c r="A107"/>
      <c r="B107"/>
      <c r="C107"/>
      <c r="D107"/>
      <c r="E107"/>
      <c r="F107" s="475"/>
      <c r="G107" s="475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</row>
    <row r="108" spans="1:22" ht="15">
      <c r="A108"/>
      <c r="B108"/>
      <c r="C108"/>
      <c r="D108"/>
      <c r="E108"/>
      <c r="F108" s="475"/>
      <c r="G108" s="475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</row>
    <row r="109" spans="1:22" ht="15">
      <c r="A109"/>
      <c r="B109"/>
      <c r="C109"/>
      <c r="D109"/>
      <c r="E109"/>
      <c r="F109" s="475"/>
      <c r="G109" s="475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</row>
    <row r="110" spans="1:22" ht="15">
      <c r="A110"/>
      <c r="B110"/>
      <c r="C110"/>
      <c r="D110"/>
      <c r="E110"/>
      <c r="F110" s="475"/>
      <c r="G110" s="475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</row>
    <row r="111" spans="1:22" ht="15">
      <c r="A111"/>
      <c r="B111"/>
      <c r="C111"/>
      <c r="D111"/>
      <c r="E111"/>
      <c r="F111" s="475"/>
      <c r="G111" s="475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</row>
    <row r="112" spans="1:22" ht="15">
      <c r="A112"/>
      <c r="B112"/>
      <c r="C112"/>
      <c r="D112"/>
      <c r="E112"/>
      <c r="F112" s="475"/>
      <c r="G112" s="475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</row>
    <row r="113" spans="1:22" ht="15">
      <c r="A113"/>
      <c r="B113"/>
      <c r="C113"/>
      <c r="D113"/>
      <c r="E113"/>
      <c r="F113" s="475"/>
      <c r="G113" s="475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</row>
    <row r="114" spans="1:22" ht="15">
      <c r="A114"/>
      <c r="B114"/>
      <c r="C114"/>
      <c r="D114"/>
      <c r="E114"/>
      <c r="F114" s="475"/>
      <c r="G114" s="475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</row>
    <row r="115" spans="1:22" ht="15">
      <c r="A115"/>
      <c r="B115"/>
      <c r="C115"/>
      <c r="D115"/>
      <c r="E115"/>
      <c r="F115" s="475"/>
      <c r="G115" s="47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</row>
    <row r="116" spans="1:22" ht="15">
      <c r="A116"/>
      <c r="B116"/>
      <c r="C116"/>
      <c r="D116"/>
      <c r="E116"/>
      <c r="F116" s="475"/>
      <c r="G116" s="475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</row>
    <row r="117" spans="1:22" ht="15">
      <c r="A117"/>
      <c r="B117"/>
      <c r="C117"/>
      <c r="D117"/>
      <c r="E117"/>
      <c r="F117" s="475"/>
      <c r="G117" s="475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</row>
    <row r="118" spans="1:22" ht="15">
      <c r="A118"/>
      <c r="B118"/>
      <c r="C118"/>
      <c r="D118"/>
      <c r="E118"/>
      <c r="F118" s="475"/>
      <c r="G118" s="475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</row>
    <row r="119" spans="1:22" ht="15">
      <c r="A119"/>
      <c r="B119"/>
      <c r="C119"/>
      <c r="D119"/>
      <c r="E119"/>
      <c r="F119" s="475"/>
      <c r="G119" s="475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</row>
    <row r="120" spans="1:22" ht="15">
      <c r="A120"/>
      <c r="B120"/>
      <c r="C120"/>
      <c r="D120"/>
      <c r="E120"/>
      <c r="F120" s="475"/>
      <c r="G120" s="475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</row>
    <row r="121" spans="1:22" ht="15">
      <c r="A121"/>
      <c r="B121"/>
      <c r="C121"/>
      <c r="D121"/>
      <c r="E121"/>
      <c r="F121" s="475"/>
      <c r="G121" s="475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</row>
    <row r="122" spans="1:22" ht="15">
      <c r="A122"/>
      <c r="B122"/>
      <c r="C122"/>
      <c r="D122"/>
      <c r="E122"/>
      <c r="F122" s="475"/>
      <c r="G122" s="475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</row>
    <row r="123" spans="1:22" ht="15">
      <c r="A123"/>
      <c r="B123"/>
      <c r="C123"/>
      <c r="D123"/>
      <c r="E123"/>
      <c r="F123" s="475"/>
      <c r="G123" s="475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</row>
    <row r="124" spans="1:22" ht="15">
      <c r="A124"/>
      <c r="B124"/>
      <c r="C124"/>
      <c r="D124"/>
      <c r="E124"/>
      <c r="F124" s="475"/>
      <c r="G124" s="475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</row>
    <row r="125" spans="1:22" ht="15">
      <c r="A125"/>
      <c r="B125"/>
      <c r="C125"/>
      <c r="D125"/>
      <c r="E125"/>
      <c r="F125" s="475"/>
      <c r="G125" s="47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</row>
    <row r="126" spans="1:22" ht="15">
      <c r="A126"/>
      <c r="B126"/>
      <c r="C126"/>
      <c r="D126"/>
      <c r="E126"/>
      <c r="F126" s="475"/>
      <c r="G126" s="475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</row>
    <row r="127" spans="1:22" ht="15">
      <c r="A127"/>
      <c r="B127"/>
      <c r="C127"/>
      <c r="D127"/>
      <c r="E127"/>
      <c r="F127" s="475"/>
      <c r="G127" s="475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</row>
    <row r="128" spans="1:22" ht="15">
      <c r="A128"/>
      <c r="B128"/>
      <c r="C128"/>
      <c r="D128"/>
      <c r="E128"/>
      <c r="F128" s="475"/>
      <c r="G128" s="475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</row>
    <row r="129" spans="1:21" ht="15">
      <c r="A129"/>
      <c r="B129"/>
      <c r="C129"/>
      <c r="D129"/>
      <c r="E129"/>
      <c r="F129" s="475"/>
      <c r="G129" s="475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</row>
    <row r="130" spans="1:21" ht="15">
      <c r="A130"/>
      <c r="B130"/>
      <c r="C130"/>
      <c r="D130"/>
      <c r="E130"/>
      <c r="F130" s="475"/>
      <c r="G130" s="475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</row>
    <row r="131" spans="1:21" ht="15">
      <c r="A131"/>
      <c r="B131"/>
      <c r="C131"/>
      <c r="D131"/>
      <c r="E131"/>
      <c r="F131" s="475"/>
      <c r="G131" s="475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</row>
    <row r="132" spans="1:21" ht="15">
      <c r="A132"/>
      <c r="B132"/>
      <c r="C132"/>
      <c r="D132"/>
      <c r="E132"/>
      <c r="F132" s="475"/>
      <c r="G132" s="475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</row>
    <row r="133" spans="1:21" ht="15">
      <c r="A133"/>
      <c r="B133"/>
      <c r="C133"/>
      <c r="D133"/>
      <c r="E133"/>
      <c r="F133" s="475"/>
      <c r="G133" s="475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</row>
    <row r="134" spans="1:21" ht="15">
      <c r="A134"/>
      <c r="B134"/>
      <c r="C134"/>
      <c r="D134"/>
      <c r="E134"/>
      <c r="F134" s="475"/>
      <c r="G134" s="475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</row>
    <row r="135" spans="1:21" ht="15">
      <c r="A135"/>
      <c r="B135"/>
      <c r="C135"/>
      <c r="D135"/>
      <c r="E135"/>
      <c r="F135" s="475"/>
      <c r="G135" s="47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</row>
    <row r="136" spans="1:21" ht="15">
      <c r="A136"/>
      <c r="B136"/>
      <c r="C136"/>
      <c r="D136"/>
      <c r="E136"/>
      <c r="F136" s="475"/>
      <c r="G136" s="475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</row>
    <row r="137" spans="1:21" ht="15">
      <c r="A137"/>
      <c r="B137"/>
      <c r="C137"/>
      <c r="D137"/>
      <c r="E137"/>
      <c r="F137" s="475"/>
      <c r="G137" s="475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</row>
    <row r="138" spans="1:21" ht="15">
      <c r="A138"/>
      <c r="B138"/>
      <c r="C138"/>
      <c r="D138"/>
      <c r="E138"/>
      <c r="F138" s="475"/>
      <c r="G138" s="475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</row>
    <row r="139" spans="1:21" ht="15">
      <c r="A139"/>
      <c r="B139"/>
      <c r="C139"/>
      <c r="D139"/>
      <c r="E139"/>
      <c r="F139" s="475"/>
      <c r="G139" s="475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</row>
    <row r="140" spans="1:21" ht="15">
      <c r="A140"/>
      <c r="B140"/>
      <c r="C140"/>
      <c r="D140"/>
      <c r="E140"/>
      <c r="F140" s="475"/>
      <c r="G140" s="475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</row>
    <row r="141" spans="1:21" ht="15">
      <c r="A141"/>
      <c r="B141"/>
      <c r="C141"/>
      <c r="D141"/>
      <c r="E141"/>
      <c r="F141" s="475"/>
      <c r="G141" s="475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</row>
    <row r="142" spans="1:21" ht="15">
      <c r="A142"/>
      <c r="B142"/>
      <c r="C142"/>
      <c r="D142"/>
      <c r="E142"/>
      <c r="F142" s="475"/>
      <c r="G142" s="475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</row>
    <row r="143" spans="1:21" ht="15">
      <c r="A143"/>
      <c r="B143"/>
      <c r="C143"/>
      <c r="D143"/>
      <c r="E143"/>
      <c r="F143" s="475"/>
      <c r="G143" s="475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</row>
    <row r="144" spans="1:21" ht="15">
      <c r="A144"/>
      <c r="B144"/>
      <c r="C144"/>
      <c r="D144"/>
      <c r="E144"/>
      <c r="F144" s="475"/>
      <c r="G144" s="475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</row>
    <row r="145" spans="1:21" ht="15">
      <c r="A145"/>
      <c r="B145"/>
      <c r="C145"/>
      <c r="D145"/>
      <c r="E145"/>
      <c r="F145" s="475"/>
      <c r="G145" s="47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</row>
    <row r="146" spans="1:21" ht="15">
      <c r="A146"/>
      <c r="B146"/>
      <c r="C146"/>
      <c r="D146"/>
      <c r="E146"/>
      <c r="F146" s="475"/>
      <c r="G146" s="475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</row>
    <row r="147" spans="1:21" ht="15">
      <c r="A147"/>
      <c r="B147"/>
      <c r="C147"/>
      <c r="D147"/>
      <c r="E147"/>
      <c r="F147" s="475"/>
      <c r="G147" s="475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</row>
    <row r="148" spans="1:21" ht="15">
      <c r="A148"/>
      <c r="B148"/>
      <c r="C148"/>
      <c r="D148"/>
      <c r="E148"/>
      <c r="F148" s="475"/>
      <c r="G148" s="475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</row>
    <row r="149" spans="1:21" ht="15">
      <c r="A149"/>
      <c r="B149"/>
      <c r="C149"/>
      <c r="D149"/>
      <c r="E149"/>
      <c r="F149" s="475"/>
      <c r="G149" s="475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</row>
    <row r="150" spans="1:21" ht="15">
      <c r="A150"/>
      <c r="B150"/>
      <c r="C150"/>
      <c r="D150"/>
      <c r="E150"/>
      <c r="F150" s="475"/>
      <c r="G150" s="475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</row>
    <row r="151" spans="1:21" ht="15">
      <c r="A151"/>
      <c r="B151"/>
      <c r="C151"/>
      <c r="D151"/>
      <c r="E151"/>
      <c r="F151" s="475"/>
      <c r="G151" s="475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</row>
    <row r="152" spans="1:21" ht="15">
      <c r="A152"/>
      <c r="B152"/>
      <c r="C152"/>
      <c r="D152"/>
      <c r="E152"/>
      <c r="F152" s="475"/>
      <c r="G152" s="475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</row>
    <row r="153" spans="1:21" ht="15">
      <c r="A153"/>
      <c r="B153"/>
      <c r="C153"/>
      <c r="D153"/>
      <c r="E153"/>
      <c r="F153" s="475"/>
      <c r="G153" s="475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</row>
    <row r="154" spans="1:21" ht="15">
      <c r="A154"/>
      <c r="B154"/>
      <c r="C154"/>
      <c r="D154"/>
      <c r="E154"/>
      <c r="F154" s="475"/>
      <c r="G154" s="475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</row>
    <row r="155" spans="1:21" ht="15">
      <c r="A155"/>
      <c r="B155"/>
      <c r="C155"/>
      <c r="D155"/>
      <c r="E155"/>
      <c r="F155" s="475"/>
      <c r="G155" s="47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</row>
    <row r="156" spans="1:21" ht="15">
      <c r="A156"/>
      <c r="B156"/>
      <c r="C156"/>
      <c r="D156"/>
      <c r="E156"/>
      <c r="F156" s="475"/>
      <c r="G156" s="475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</row>
    <row r="157" spans="1:21" ht="15">
      <c r="A157"/>
      <c r="B157"/>
      <c r="C157"/>
      <c r="D157"/>
      <c r="E157"/>
      <c r="F157" s="475"/>
      <c r="G157" s="475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</row>
    <row r="158" spans="1:21" ht="15">
      <c r="A158"/>
      <c r="B158"/>
      <c r="C158"/>
      <c r="D158"/>
      <c r="E158"/>
      <c r="F158" s="475"/>
      <c r="G158" s="475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</row>
    <row r="159" spans="1:21" ht="15">
      <c r="A159"/>
      <c r="B159"/>
      <c r="C159"/>
      <c r="D159"/>
      <c r="E159"/>
      <c r="F159" s="475"/>
      <c r="G159" s="475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</row>
    <row r="160" spans="1:21" ht="15">
      <c r="A160"/>
      <c r="B160"/>
      <c r="C160"/>
      <c r="D160"/>
      <c r="E160"/>
      <c r="F160" s="475"/>
      <c r="G160" s="475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</row>
    <row r="161" spans="1:21" ht="15">
      <c r="A161"/>
      <c r="B161"/>
      <c r="C161"/>
      <c r="D161"/>
      <c r="E161"/>
      <c r="F161" s="475"/>
      <c r="G161" s="475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</row>
    <row r="162" spans="1:21" ht="15">
      <c r="A162"/>
      <c r="B162"/>
      <c r="C162"/>
      <c r="D162"/>
      <c r="E162"/>
      <c r="F162" s="475"/>
      <c r="G162" s="475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</row>
    <row r="163" spans="1:21" ht="15">
      <c r="A163"/>
      <c r="B163"/>
      <c r="C163"/>
      <c r="D163"/>
      <c r="E163"/>
      <c r="F163" s="475"/>
      <c r="G163" s="475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</row>
    <row r="164" spans="1:21" ht="15">
      <c r="A164" s="475"/>
      <c r="B164"/>
      <c r="C164"/>
      <c r="D164"/>
      <c r="E164" s="475"/>
      <c r="F164" s="16"/>
      <c r="G164" s="475"/>
      <c r="H164"/>
      <c r="I164"/>
      <c r="J164"/>
      <c r="K164"/>
      <c r="L164"/>
      <c r="M164"/>
      <c r="N164"/>
      <c r="O164"/>
      <c r="P164"/>
    </row>
    <row r="165" spans="1:21" ht="15">
      <c r="A165" s="475"/>
      <c r="B165"/>
      <c r="C165"/>
      <c r="D165"/>
      <c r="E165" s="475"/>
      <c r="F165" s="16"/>
      <c r="G165" s="475"/>
      <c r="H165"/>
      <c r="I165"/>
      <c r="J165"/>
      <c r="K165"/>
      <c r="L165"/>
      <c r="M165"/>
      <c r="N165"/>
      <c r="O165"/>
      <c r="P165"/>
    </row>
    <row r="166" spans="1:21" ht="15">
      <c r="A166" s="475"/>
      <c r="B166"/>
      <c r="C166"/>
      <c r="D166"/>
      <c r="E166" s="475"/>
      <c r="F166" s="16"/>
      <c r="G166" s="475"/>
      <c r="H166"/>
      <c r="I166"/>
      <c r="J166"/>
      <c r="K166"/>
      <c r="L166"/>
      <c r="M166"/>
      <c r="N166"/>
      <c r="O166"/>
      <c r="P166"/>
    </row>
    <row r="167" spans="1:21" ht="15">
      <c r="A167" s="475"/>
      <c r="B167"/>
      <c r="C167"/>
      <c r="D167"/>
      <c r="E167" s="475"/>
      <c r="F167" s="16"/>
      <c r="G167" s="475"/>
      <c r="H167"/>
      <c r="I167"/>
      <c r="J167"/>
      <c r="K167"/>
      <c r="L167"/>
      <c r="M167"/>
      <c r="N167"/>
      <c r="O167"/>
      <c r="P167"/>
    </row>
    <row r="168" spans="1:21" ht="15">
      <c r="A168" s="475"/>
      <c r="B168"/>
      <c r="C168"/>
      <c r="D168"/>
      <c r="E168" s="475"/>
      <c r="F168" s="16"/>
      <c r="G168" s="475"/>
      <c r="H168"/>
      <c r="I168"/>
      <c r="J168"/>
      <c r="K168"/>
      <c r="L168"/>
      <c r="M168"/>
      <c r="N168"/>
      <c r="O168"/>
      <c r="P168"/>
    </row>
    <row r="169" spans="1:21" ht="15">
      <c r="A169" s="475"/>
      <c r="B169"/>
      <c r="C169"/>
      <c r="D169"/>
      <c r="E169" s="475"/>
      <c r="F169" s="16"/>
      <c r="G169" s="475"/>
      <c r="H169"/>
      <c r="I169"/>
      <c r="J169"/>
      <c r="K169"/>
      <c r="L169"/>
      <c r="M169"/>
      <c r="N169"/>
      <c r="O169"/>
      <c r="P169"/>
    </row>
    <row r="170" spans="1:21" ht="15">
      <c r="A170" s="475"/>
      <c r="B170"/>
      <c r="C170"/>
      <c r="D170"/>
      <c r="E170" s="475"/>
      <c r="F170" s="16"/>
      <c r="G170" s="475"/>
      <c r="H170"/>
      <c r="I170"/>
      <c r="J170"/>
      <c r="K170"/>
      <c r="L170"/>
      <c r="M170"/>
      <c r="N170"/>
      <c r="O170"/>
      <c r="P170"/>
    </row>
    <row r="171" spans="1:21" ht="15">
      <c r="A171" s="475"/>
      <c r="B171"/>
      <c r="C171"/>
      <c r="D171"/>
      <c r="E171" s="475"/>
      <c r="F171" s="16"/>
      <c r="G171" s="475"/>
      <c r="H171"/>
      <c r="I171"/>
      <c r="J171"/>
      <c r="K171"/>
      <c r="L171"/>
      <c r="M171"/>
      <c r="N171"/>
      <c r="O171"/>
      <c r="P171"/>
    </row>
    <row r="172" spans="1:21" ht="15">
      <c r="A172" s="475"/>
      <c r="B172"/>
      <c r="C172"/>
      <c r="D172"/>
      <c r="E172" s="475"/>
      <c r="F172" s="16"/>
      <c r="G172" s="475"/>
      <c r="H172"/>
      <c r="I172"/>
      <c r="J172"/>
      <c r="K172"/>
      <c r="L172"/>
      <c r="M172"/>
      <c r="N172"/>
      <c r="O172"/>
      <c r="P172"/>
    </row>
    <row r="173" spans="1:21" ht="15">
      <c r="A173" s="475"/>
      <c r="B173"/>
      <c r="C173"/>
      <c r="D173"/>
      <c r="E173" s="475"/>
      <c r="F173" s="16"/>
      <c r="G173" s="475"/>
      <c r="H173"/>
      <c r="I173"/>
      <c r="J173"/>
      <c r="K173"/>
      <c r="L173"/>
      <c r="M173"/>
      <c r="N173"/>
      <c r="O173"/>
      <c r="P173"/>
    </row>
    <row r="174" spans="1:21" ht="15">
      <c r="A174" s="475"/>
      <c r="B174"/>
      <c r="C174"/>
      <c r="D174"/>
      <c r="E174" s="475"/>
      <c r="F174" s="16"/>
      <c r="G174" s="475"/>
      <c r="H174"/>
      <c r="I174"/>
      <c r="J174"/>
      <c r="K174"/>
      <c r="L174"/>
      <c r="M174"/>
      <c r="N174"/>
      <c r="O174"/>
      <c r="P174"/>
    </row>
    <row r="175" spans="1:21" ht="15">
      <c r="A175" s="475"/>
      <c r="B175"/>
      <c r="C175"/>
      <c r="D175"/>
      <c r="E175" s="475"/>
      <c r="F175" s="16"/>
      <c r="G175" s="475"/>
      <c r="H175"/>
      <c r="I175"/>
      <c r="J175"/>
      <c r="K175"/>
      <c r="L175"/>
      <c r="M175"/>
      <c r="N175"/>
      <c r="O175"/>
      <c r="P175"/>
    </row>
    <row r="176" spans="1:21" ht="15">
      <c r="A176" s="475"/>
      <c r="B176"/>
      <c r="C176"/>
      <c r="D176"/>
      <c r="E176" s="475"/>
      <c r="F176" s="16"/>
      <c r="G176" s="475"/>
      <c r="H176"/>
      <c r="I176"/>
      <c r="J176"/>
      <c r="K176"/>
      <c r="L176"/>
      <c r="M176"/>
      <c r="N176"/>
      <c r="O176"/>
      <c r="P176"/>
    </row>
    <row r="177" spans="1:16" ht="15">
      <c r="A177" s="475"/>
      <c r="B177"/>
      <c r="C177"/>
      <c r="D177"/>
      <c r="E177" s="475"/>
      <c r="F177" s="16"/>
      <c r="G177" s="475"/>
      <c r="H177"/>
      <c r="I177"/>
      <c r="J177"/>
      <c r="K177"/>
      <c r="L177"/>
      <c r="M177"/>
      <c r="N177"/>
      <c r="O177"/>
      <c r="P177"/>
    </row>
    <row r="178" spans="1:16" ht="15">
      <c r="A178" s="475"/>
      <c r="B178"/>
      <c r="C178"/>
      <c r="D178"/>
      <c r="E178" s="475"/>
      <c r="F178" s="16"/>
      <c r="G178" s="475"/>
      <c r="H178"/>
      <c r="I178"/>
      <c r="J178"/>
      <c r="K178"/>
      <c r="L178"/>
      <c r="M178"/>
      <c r="N178"/>
      <c r="O178"/>
      <c r="P178"/>
    </row>
    <row r="179" spans="1:16" ht="15">
      <c r="A179" s="475"/>
      <c r="B179"/>
      <c r="C179"/>
      <c r="D179"/>
      <c r="E179" s="475"/>
      <c r="F179" s="16"/>
      <c r="G179" s="475"/>
      <c r="H179"/>
      <c r="I179"/>
      <c r="J179"/>
      <c r="K179"/>
      <c r="L179"/>
      <c r="M179"/>
      <c r="N179"/>
      <c r="O179"/>
      <c r="P179"/>
    </row>
    <row r="180" spans="1:16" ht="15">
      <c r="A180" s="475"/>
      <c r="B180"/>
      <c r="C180"/>
      <c r="D180"/>
      <c r="E180" s="475"/>
      <c r="F180" s="16"/>
      <c r="G180" s="475"/>
      <c r="H180"/>
      <c r="I180"/>
      <c r="J180"/>
      <c r="K180"/>
      <c r="L180"/>
      <c r="M180"/>
      <c r="N180"/>
      <c r="O180"/>
      <c r="P180"/>
    </row>
    <row r="181" spans="1:16" ht="15">
      <c r="A181" s="475"/>
      <c r="B181"/>
      <c r="C181"/>
      <c r="D181"/>
      <c r="E181" s="475"/>
      <c r="F181" s="16"/>
      <c r="G181" s="475"/>
      <c r="H181"/>
      <c r="I181"/>
      <c r="J181"/>
      <c r="K181"/>
      <c r="L181"/>
      <c r="M181"/>
      <c r="N181"/>
      <c r="O181"/>
      <c r="P181"/>
    </row>
    <row r="182" spans="1:16" ht="15">
      <c r="A182" s="475"/>
      <c r="B182"/>
      <c r="C182"/>
      <c r="D182"/>
      <c r="E182" s="475"/>
      <c r="F182" s="16"/>
      <c r="G182" s="475"/>
      <c r="H182"/>
      <c r="I182"/>
      <c r="J182"/>
      <c r="K182"/>
      <c r="L182"/>
      <c r="M182"/>
      <c r="N182"/>
      <c r="O182"/>
      <c r="P182"/>
    </row>
    <row r="183" spans="1:16" ht="15">
      <c r="A183" s="475"/>
      <c r="B183"/>
      <c r="C183"/>
      <c r="D183"/>
      <c r="E183" s="475"/>
      <c r="F183" s="16"/>
      <c r="G183" s="475"/>
      <c r="H183"/>
      <c r="I183"/>
      <c r="J183"/>
      <c r="K183"/>
      <c r="L183"/>
      <c r="M183"/>
      <c r="N183"/>
      <c r="O183"/>
      <c r="P183"/>
    </row>
    <row r="184" spans="1:16" ht="15">
      <c r="A184" s="475"/>
      <c r="B184"/>
      <c r="C184"/>
      <c r="D184"/>
      <c r="E184" s="475"/>
      <c r="F184" s="16"/>
      <c r="G184" s="475"/>
      <c r="H184"/>
      <c r="I184"/>
      <c r="J184"/>
      <c r="K184"/>
      <c r="L184"/>
      <c r="M184"/>
      <c r="N184"/>
      <c r="O184"/>
      <c r="P184"/>
    </row>
    <row r="185" spans="1:16" ht="15">
      <c r="A185" s="475"/>
      <c r="B185"/>
      <c r="C185"/>
      <c r="D185"/>
      <c r="E185" s="475"/>
      <c r="F185" s="16"/>
      <c r="G185" s="475"/>
      <c r="H185"/>
      <c r="I185"/>
      <c r="J185"/>
      <c r="K185"/>
      <c r="L185"/>
      <c r="M185"/>
      <c r="N185"/>
      <c r="O185"/>
      <c r="P185"/>
    </row>
    <row r="186" spans="1:16" ht="15">
      <c r="A186" s="475"/>
      <c r="B186"/>
      <c r="C186"/>
      <c r="D186"/>
      <c r="E186" s="475"/>
      <c r="F186" s="16"/>
      <c r="G186" s="475"/>
      <c r="H186"/>
      <c r="I186"/>
      <c r="J186"/>
      <c r="K186"/>
      <c r="L186"/>
      <c r="M186"/>
      <c r="N186"/>
      <c r="O186"/>
      <c r="P186"/>
    </row>
    <row r="187" spans="1:16" ht="15">
      <c r="A187" s="475"/>
      <c r="B187"/>
      <c r="C187"/>
      <c r="D187"/>
      <c r="E187" s="475"/>
      <c r="F187" s="16"/>
      <c r="G187" s="475"/>
      <c r="H187"/>
      <c r="I187"/>
      <c r="J187"/>
      <c r="K187"/>
      <c r="L187"/>
      <c r="M187"/>
      <c r="N187"/>
      <c r="O187"/>
      <c r="P187"/>
    </row>
    <row r="188" spans="1:16" ht="15">
      <c r="A188" s="475"/>
      <c r="B188"/>
      <c r="C188"/>
      <c r="D188"/>
      <c r="E188" s="475"/>
      <c r="F188" s="16"/>
      <c r="G188" s="475"/>
      <c r="H188"/>
      <c r="I188"/>
      <c r="J188"/>
      <c r="K188"/>
      <c r="L188"/>
      <c r="M188"/>
      <c r="N188"/>
      <c r="O188"/>
      <c r="P188"/>
    </row>
    <row r="189" spans="1:16" ht="15">
      <c r="A189" s="475"/>
      <c r="B189"/>
      <c r="C189"/>
      <c r="D189"/>
      <c r="E189" s="475"/>
      <c r="F189" s="16"/>
      <c r="G189" s="475"/>
      <c r="H189"/>
      <c r="I189"/>
      <c r="J189"/>
      <c r="K189"/>
      <c r="L189"/>
      <c r="M189"/>
      <c r="N189"/>
      <c r="O189"/>
      <c r="P189"/>
    </row>
    <row r="190" spans="1:16" ht="15">
      <c r="A190" s="475"/>
      <c r="B190"/>
      <c r="C190"/>
      <c r="D190"/>
      <c r="E190" s="475"/>
      <c r="F190" s="16"/>
      <c r="G190" s="475"/>
      <c r="H190"/>
      <c r="I190"/>
      <c r="J190"/>
      <c r="K190"/>
      <c r="L190"/>
      <c r="M190"/>
      <c r="N190"/>
      <c r="O190"/>
      <c r="P190"/>
    </row>
    <row r="191" spans="1:16" ht="15">
      <c r="A191" s="475"/>
      <c r="B191"/>
      <c r="C191"/>
      <c r="D191"/>
      <c r="E191" s="475"/>
      <c r="F191" s="16"/>
      <c r="G191" s="475"/>
      <c r="H191"/>
      <c r="I191"/>
      <c r="J191"/>
      <c r="K191"/>
      <c r="L191"/>
      <c r="M191"/>
      <c r="N191"/>
      <c r="O191"/>
      <c r="P191"/>
    </row>
    <row r="192" spans="1:16" ht="15">
      <c r="A192" s="475"/>
      <c r="B192"/>
      <c r="C192"/>
      <c r="D192"/>
      <c r="E192" s="475"/>
      <c r="F192" s="16"/>
      <c r="G192" s="475"/>
      <c r="H192"/>
      <c r="I192"/>
      <c r="J192"/>
      <c r="K192"/>
      <c r="L192"/>
      <c r="M192"/>
      <c r="N192"/>
      <c r="O192"/>
      <c r="P192"/>
    </row>
    <row r="193" spans="1:16" ht="15">
      <c r="A193" s="475"/>
      <c r="B193"/>
      <c r="C193"/>
      <c r="D193"/>
      <c r="E193" s="475"/>
      <c r="F193" s="16"/>
      <c r="G193" s="475"/>
      <c r="H193"/>
      <c r="I193"/>
      <c r="J193"/>
      <c r="K193"/>
      <c r="L193"/>
      <c r="M193"/>
      <c r="N193"/>
      <c r="O193"/>
      <c r="P193"/>
    </row>
    <row r="194" spans="1:16" ht="15">
      <c r="A194" s="475"/>
      <c r="B194"/>
      <c r="C194"/>
      <c r="D194"/>
      <c r="E194" s="475"/>
      <c r="F194" s="16"/>
      <c r="G194" s="475"/>
      <c r="H194"/>
      <c r="I194"/>
      <c r="J194"/>
      <c r="K194"/>
      <c r="L194"/>
      <c r="M194"/>
      <c r="N194"/>
      <c r="O194"/>
      <c r="P194"/>
    </row>
    <row r="195" spans="1:16" ht="15">
      <c r="A195" s="475"/>
      <c r="B195"/>
      <c r="C195"/>
      <c r="D195"/>
      <c r="E195" s="475"/>
      <c r="F195" s="16"/>
      <c r="G195" s="475"/>
      <c r="H195"/>
      <c r="I195"/>
      <c r="J195"/>
      <c r="K195"/>
      <c r="L195"/>
      <c r="M195"/>
      <c r="N195"/>
      <c r="O195"/>
      <c r="P195"/>
    </row>
    <row r="196" spans="1:16" ht="15">
      <c r="A196" s="475"/>
      <c r="B196"/>
      <c r="C196"/>
      <c r="D196"/>
      <c r="E196" s="475"/>
      <c r="F196" s="16"/>
      <c r="G196" s="475"/>
      <c r="H196"/>
      <c r="I196"/>
      <c r="J196"/>
      <c r="K196"/>
      <c r="L196"/>
      <c r="M196"/>
      <c r="N196"/>
      <c r="O196"/>
      <c r="P196"/>
    </row>
    <row r="197" spans="1:16" ht="15">
      <c r="A197" s="475"/>
      <c r="B197"/>
      <c r="C197"/>
      <c r="D197"/>
      <c r="E197" s="475"/>
      <c r="F197" s="16"/>
      <c r="G197" s="475"/>
      <c r="H197"/>
      <c r="I197"/>
      <c r="J197"/>
      <c r="K197"/>
      <c r="L197"/>
      <c r="M197"/>
      <c r="N197"/>
      <c r="O197"/>
      <c r="P197"/>
    </row>
    <row r="198" spans="1:16" ht="15">
      <c r="A198" s="475"/>
      <c r="B198"/>
      <c r="C198"/>
      <c r="D198"/>
      <c r="E198" s="475"/>
      <c r="F198" s="16"/>
      <c r="G198" s="475"/>
      <c r="H198"/>
      <c r="I198"/>
      <c r="J198"/>
      <c r="K198"/>
      <c r="L198"/>
      <c r="M198"/>
      <c r="N198"/>
      <c r="O198"/>
      <c r="P198"/>
    </row>
    <row r="199" spans="1:16" ht="15">
      <c r="A199" s="475"/>
      <c r="B199"/>
      <c r="C199"/>
      <c r="D199"/>
      <c r="E199" s="475"/>
      <c r="F199" s="16"/>
      <c r="G199" s="475"/>
      <c r="H199"/>
      <c r="I199"/>
      <c r="J199"/>
      <c r="K199"/>
      <c r="L199"/>
      <c r="M199"/>
      <c r="N199"/>
      <c r="O199"/>
      <c r="P199"/>
    </row>
    <row r="200" spans="1:16" ht="15">
      <c r="A200" s="475"/>
      <c r="B200"/>
      <c r="C200"/>
      <c r="D200"/>
      <c r="E200" s="475"/>
      <c r="F200" s="16"/>
      <c r="G200" s="475"/>
      <c r="H200"/>
      <c r="I200"/>
      <c r="J200"/>
      <c r="K200"/>
      <c r="L200"/>
      <c r="M200"/>
      <c r="N200"/>
      <c r="O200"/>
      <c r="P200"/>
    </row>
    <row r="201" spans="1:16" ht="15">
      <c r="A201" s="475"/>
      <c r="B201"/>
      <c r="C201"/>
      <c r="D201"/>
      <c r="E201" s="475"/>
      <c r="F201" s="16"/>
      <c r="G201" s="475"/>
      <c r="H201"/>
      <c r="I201"/>
      <c r="J201"/>
      <c r="K201"/>
      <c r="L201"/>
      <c r="M201"/>
      <c r="N201"/>
      <c r="O201"/>
      <c r="P201"/>
    </row>
    <row r="202" spans="1:16" ht="15">
      <c r="A202" s="475"/>
      <c r="B202"/>
      <c r="C202"/>
      <c r="D202"/>
      <c r="E202" s="475"/>
      <c r="F202" s="16"/>
      <c r="G202" s="475"/>
      <c r="H202"/>
      <c r="I202"/>
      <c r="J202"/>
      <c r="K202"/>
      <c r="L202"/>
      <c r="M202"/>
      <c r="N202"/>
      <c r="O202"/>
      <c r="P202"/>
    </row>
    <row r="203" spans="1:16" ht="15">
      <c r="A203" s="475"/>
      <c r="B203"/>
      <c r="C203"/>
      <c r="D203"/>
      <c r="E203" s="475"/>
      <c r="F203" s="16"/>
      <c r="G203" s="475"/>
      <c r="H203"/>
      <c r="I203"/>
      <c r="J203"/>
      <c r="K203"/>
      <c r="L203"/>
      <c r="M203"/>
      <c r="N203"/>
      <c r="O203"/>
      <c r="P203"/>
    </row>
    <row r="204" spans="1:16" ht="15">
      <c r="A204" s="475"/>
      <c r="B204"/>
      <c r="C204"/>
      <c r="D204"/>
      <c r="E204" s="475"/>
      <c r="F204" s="16"/>
      <c r="G204" s="475"/>
      <c r="H204"/>
      <c r="I204"/>
      <c r="J204"/>
      <c r="K204"/>
      <c r="L204"/>
      <c r="M204"/>
      <c r="N204"/>
      <c r="O204"/>
      <c r="P204"/>
    </row>
    <row r="205" spans="1:16" ht="15">
      <c r="A205" s="475"/>
      <c r="B205"/>
      <c r="C205"/>
      <c r="D205"/>
      <c r="E205" s="475"/>
      <c r="F205" s="16"/>
      <c r="G205" s="475"/>
      <c r="H205"/>
      <c r="I205"/>
      <c r="J205"/>
      <c r="K205"/>
      <c r="L205"/>
      <c r="M205"/>
      <c r="N205"/>
      <c r="O205"/>
      <c r="P205"/>
    </row>
    <row r="206" spans="1:16" ht="15">
      <c r="A206" s="475"/>
      <c r="B206"/>
      <c r="C206"/>
      <c r="D206"/>
      <c r="E206" s="475"/>
      <c r="F206" s="16"/>
      <c r="G206" s="475"/>
      <c r="H206"/>
      <c r="I206"/>
      <c r="J206"/>
      <c r="K206"/>
      <c r="L206"/>
      <c r="M206"/>
      <c r="N206"/>
      <c r="O206"/>
      <c r="P206"/>
    </row>
    <row r="207" spans="1:16" ht="15">
      <c r="A207" s="475"/>
      <c r="B207"/>
      <c r="C207"/>
      <c r="D207"/>
      <c r="E207" s="475"/>
      <c r="F207" s="16"/>
      <c r="G207" s="475"/>
      <c r="H207"/>
      <c r="I207"/>
      <c r="J207"/>
      <c r="K207"/>
      <c r="L207"/>
      <c r="M207"/>
      <c r="N207"/>
      <c r="O207"/>
      <c r="P207"/>
    </row>
    <row r="208" spans="1:16" ht="15">
      <c r="A208" s="475"/>
      <c r="B208"/>
      <c r="C208"/>
      <c r="D208"/>
      <c r="E208" s="475"/>
      <c r="F208" s="16"/>
      <c r="G208" s="475"/>
      <c r="H208"/>
      <c r="I208"/>
      <c r="J208"/>
      <c r="K208"/>
      <c r="L208"/>
      <c r="M208"/>
      <c r="N208"/>
      <c r="O208"/>
      <c r="P208"/>
    </row>
    <row r="209" spans="1:16" ht="15">
      <c r="A209" s="475"/>
      <c r="B209"/>
      <c r="C209"/>
      <c r="D209"/>
      <c r="E209" s="475"/>
      <c r="F209" s="16"/>
      <c r="G209" s="475"/>
      <c r="H209"/>
      <c r="I209"/>
      <c r="J209"/>
      <c r="K209"/>
      <c r="L209"/>
      <c r="M209"/>
      <c r="N209"/>
      <c r="O209"/>
      <c r="P209"/>
    </row>
    <row r="210" spans="1:16" ht="15">
      <c r="A210" s="475"/>
      <c r="B210"/>
      <c r="C210"/>
      <c r="D210"/>
      <c r="E210" s="475"/>
      <c r="F210" s="16"/>
      <c r="G210" s="475"/>
      <c r="H210"/>
      <c r="I210"/>
      <c r="J210"/>
      <c r="K210"/>
      <c r="L210"/>
      <c r="M210"/>
      <c r="N210"/>
      <c r="O210"/>
      <c r="P210"/>
    </row>
    <row r="211" spans="1:16" ht="15">
      <c r="A211" s="475"/>
      <c r="B211"/>
      <c r="C211"/>
      <c r="D211"/>
      <c r="E211" s="475"/>
      <c r="F211" s="16"/>
      <c r="G211" s="475"/>
      <c r="H211"/>
      <c r="I211"/>
      <c r="J211"/>
      <c r="K211"/>
      <c r="L211"/>
      <c r="M211"/>
      <c r="N211"/>
      <c r="O211"/>
      <c r="P211"/>
    </row>
    <row r="212" spans="1:16" ht="15">
      <c r="A212" s="475"/>
      <c r="B212"/>
      <c r="C212"/>
      <c r="D212"/>
      <c r="E212" s="475"/>
      <c r="F212" s="16"/>
      <c r="G212" s="475"/>
      <c r="H212"/>
      <c r="I212"/>
      <c r="J212"/>
      <c r="K212"/>
      <c r="L212"/>
      <c r="M212"/>
      <c r="N212"/>
      <c r="O212"/>
      <c r="P212"/>
    </row>
    <row r="213" spans="1:16" ht="15">
      <c r="A213" s="475"/>
      <c r="B213"/>
      <c r="C213"/>
      <c r="D213"/>
      <c r="E213" s="475"/>
      <c r="F213" s="16"/>
      <c r="G213" s="475"/>
      <c r="H213"/>
      <c r="I213"/>
      <c r="J213"/>
      <c r="K213"/>
      <c r="L213"/>
      <c r="M213"/>
      <c r="N213"/>
      <c r="O213"/>
      <c r="P213"/>
    </row>
    <row r="214" spans="1:16" ht="15">
      <c r="A214" s="475"/>
      <c r="B214"/>
      <c r="C214"/>
      <c r="D214"/>
      <c r="E214" s="475"/>
      <c r="F214" s="16"/>
      <c r="G214" s="475"/>
      <c r="H214"/>
      <c r="I214"/>
      <c r="J214"/>
      <c r="K214"/>
      <c r="L214"/>
      <c r="M214"/>
      <c r="N214"/>
      <c r="O214"/>
      <c r="P214"/>
    </row>
    <row r="215" spans="1:16" ht="15">
      <c r="A215" s="475"/>
      <c r="B215"/>
      <c r="C215"/>
      <c r="D215"/>
      <c r="E215" s="475"/>
      <c r="F215" s="16"/>
      <c r="G215" s="475"/>
      <c r="H215"/>
      <c r="I215"/>
      <c r="J215"/>
      <c r="K215"/>
      <c r="L215"/>
      <c r="M215"/>
      <c r="N215"/>
      <c r="O215"/>
      <c r="P215"/>
    </row>
    <row r="216" spans="1:16" ht="15">
      <c r="A216" s="475"/>
      <c r="B216"/>
      <c r="C216"/>
      <c r="D216"/>
      <c r="E216" s="475"/>
      <c r="F216" s="16"/>
      <c r="G216" s="475"/>
      <c r="H216"/>
      <c r="I216"/>
      <c r="J216"/>
      <c r="K216"/>
      <c r="L216"/>
      <c r="M216"/>
      <c r="N216"/>
      <c r="O216"/>
      <c r="P216"/>
    </row>
    <row r="217" spans="1:16" ht="15">
      <c r="A217" s="475"/>
      <c r="B217"/>
      <c r="C217"/>
      <c r="D217"/>
      <c r="E217" s="475"/>
      <c r="F217" s="16"/>
      <c r="G217" s="475"/>
      <c r="H217"/>
      <c r="I217"/>
      <c r="J217"/>
      <c r="K217"/>
      <c r="L217"/>
      <c r="M217"/>
      <c r="N217"/>
      <c r="O217"/>
      <c r="P217"/>
    </row>
    <row r="218" spans="1:16" ht="15">
      <c r="A218" s="475"/>
      <c r="B218"/>
      <c r="C218"/>
      <c r="D218"/>
      <c r="E218" s="475"/>
      <c r="F218" s="16"/>
      <c r="G218" s="475"/>
      <c r="H218"/>
      <c r="I218"/>
      <c r="J218"/>
      <c r="K218"/>
      <c r="L218"/>
      <c r="M218"/>
      <c r="N218"/>
      <c r="O218"/>
      <c r="P218"/>
    </row>
    <row r="219" spans="1:16" ht="15">
      <c r="A219" s="475"/>
      <c r="B219"/>
      <c r="C219"/>
      <c r="D219"/>
      <c r="E219" s="475"/>
      <c r="F219" s="16"/>
      <c r="G219" s="475"/>
      <c r="H219"/>
      <c r="I219"/>
      <c r="J219"/>
      <c r="K219"/>
      <c r="L219"/>
      <c r="M219"/>
      <c r="N219"/>
      <c r="O219"/>
      <c r="P219"/>
    </row>
    <row r="220" spans="1:16" ht="15">
      <c r="A220" s="475"/>
      <c r="B220"/>
      <c r="C220"/>
      <c r="D220"/>
      <c r="E220" s="475"/>
      <c r="F220" s="16"/>
      <c r="G220" s="475"/>
      <c r="H220"/>
      <c r="I220"/>
      <c r="J220"/>
      <c r="K220"/>
      <c r="L220"/>
      <c r="M220"/>
      <c r="N220"/>
      <c r="O220"/>
      <c r="P220"/>
    </row>
    <row r="221" spans="1:16" ht="15">
      <c r="A221" s="475"/>
      <c r="B221"/>
      <c r="C221"/>
      <c r="D221"/>
      <c r="E221" s="475"/>
      <c r="F221" s="16"/>
      <c r="G221" s="475"/>
      <c r="H221"/>
      <c r="I221"/>
      <c r="J221"/>
      <c r="K221"/>
      <c r="L221"/>
      <c r="M221"/>
      <c r="N221"/>
      <c r="O221"/>
      <c r="P221"/>
    </row>
    <row r="222" spans="1:16" ht="15">
      <c r="A222" s="475"/>
      <c r="B222"/>
      <c r="C222"/>
      <c r="D222"/>
      <c r="E222" s="475"/>
      <c r="F222" s="16"/>
      <c r="G222" s="475"/>
      <c r="H222"/>
      <c r="I222"/>
      <c r="J222"/>
      <c r="K222"/>
      <c r="L222"/>
      <c r="M222"/>
      <c r="N222"/>
      <c r="O222"/>
      <c r="P222"/>
    </row>
    <row r="223" spans="1:16" ht="15">
      <c r="A223" s="475"/>
      <c r="B223"/>
      <c r="C223"/>
      <c r="D223"/>
      <c r="E223" s="475"/>
      <c r="F223" s="16"/>
      <c r="G223" s="475"/>
      <c r="H223"/>
      <c r="I223"/>
      <c r="J223"/>
      <c r="K223"/>
      <c r="L223"/>
      <c r="M223"/>
      <c r="N223"/>
      <c r="O223"/>
      <c r="P223"/>
    </row>
    <row r="224" spans="1:16" ht="15">
      <c r="A224" s="475"/>
      <c r="B224"/>
      <c r="C224"/>
      <c r="D224"/>
      <c r="E224" s="475"/>
      <c r="F224" s="16"/>
      <c r="G224" s="475"/>
      <c r="H224"/>
      <c r="I224"/>
      <c r="J224"/>
      <c r="K224"/>
      <c r="L224"/>
      <c r="M224"/>
      <c r="N224"/>
      <c r="O224"/>
      <c r="P224"/>
    </row>
    <row r="225" spans="1:16" ht="15">
      <c r="A225" s="475"/>
      <c r="B225"/>
      <c r="C225"/>
      <c r="D225"/>
      <c r="E225" s="475"/>
      <c r="F225" s="16"/>
      <c r="G225" s="475"/>
      <c r="H225"/>
      <c r="I225"/>
      <c r="J225"/>
      <c r="K225"/>
      <c r="L225"/>
      <c r="M225"/>
      <c r="N225"/>
      <c r="O225"/>
      <c r="P225"/>
    </row>
    <row r="226" spans="1:16" ht="15">
      <c r="A226" s="475"/>
      <c r="B226"/>
      <c r="C226"/>
      <c r="D226"/>
      <c r="E226" s="475"/>
      <c r="F226" s="16"/>
      <c r="G226" s="475"/>
      <c r="H226"/>
      <c r="I226"/>
      <c r="J226"/>
      <c r="K226"/>
      <c r="L226"/>
      <c r="M226"/>
      <c r="N226"/>
      <c r="O226"/>
      <c r="P226"/>
    </row>
    <row r="227" spans="1:16" ht="15">
      <c r="A227" s="475"/>
      <c r="B227"/>
      <c r="C227"/>
      <c r="D227"/>
      <c r="E227" s="475"/>
      <c r="F227" s="16"/>
      <c r="G227" s="475"/>
      <c r="H227"/>
      <c r="I227"/>
      <c r="J227"/>
      <c r="K227"/>
      <c r="L227"/>
      <c r="M227"/>
      <c r="N227"/>
      <c r="O227"/>
      <c r="P227"/>
    </row>
    <row r="228" spans="1:16" ht="15">
      <c r="A228" s="475"/>
      <c r="B228"/>
      <c r="C228"/>
      <c r="D228"/>
      <c r="E228" s="475"/>
      <c r="F228" s="16"/>
      <c r="G228" s="475"/>
      <c r="H228"/>
      <c r="I228"/>
      <c r="J228"/>
      <c r="K228"/>
      <c r="L228"/>
      <c r="M228"/>
      <c r="N228"/>
      <c r="O228"/>
      <c r="P228"/>
    </row>
    <row r="229" spans="1:16" ht="15">
      <c r="A229" s="475"/>
      <c r="B229"/>
      <c r="C229"/>
      <c r="D229"/>
      <c r="E229" s="475"/>
      <c r="F229" s="16"/>
      <c r="G229" s="475"/>
      <c r="H229"/>
      <c r="I229"/>
      <c r="J229"/>
      <c r="K229"/>
      <c r="L229"/>
      <c r="M229"/>
      <c r="N229"/>
      <c r="O229"/>
      <c r="P229"/>
    </row>
    <row r="230" spans="1:16" ht="15">
      <c r="A230" s="475"/>
      <c r="B230"/>
      <c r="C230"/>
      <c r="D230"/>
      <c r="E230" s="475"/>
      <c r="F230" s="16"/>
      <c r="G230" s="475"/>
      <c r="H230"/>
      <c r="I230"/>
      <c r="J230"/>
      <c r="K230"/>
      <c r="L230"/>
      <c r="M230"/>
      <c r="N230"/>
      <c r="O230"/>
      <c r="P230"/>
    </row>
    <row r="231" spans="1:16" ht="15">
      <c r="A231" s="475"/>
      <c r="B231"/>
      <c r="C231"/>
      <c r="D231"/>
      <c r="E231" s="475"/>
      <c r="F231" s="16"/>
      <c r="G231" s="475"/>
      <c r="H231"/>
      <c r="I231"/>
      <c r="J231"/>
      <c r="K231"/>
      <c r="L231"/>
      <c r="M231"/>
      <c r="N231"/>
      <c r="O231"/>
      <c r="P231"/>
    </row>
    <row r="232" spans="1:16" ht="15">
      <c r="A232" s="475"/>
      <c r="B232"/>
      <c r="C232"/>
      <c r="D232"/>
      <c r="E232" s="475"/>
      <c r="F232" s="16"/>
      <c r="G232" s="475"/>
      <c r="H232"/>
      <c r="I232"/>
      <c r="J232"/>
      <c r="K232"/>
      <c r="L232"/>
      <c r="M232"/>
      <c r="N232"/>
      <c r="O232"/>
      <c r="P232"/>
    </row>
    <row r="233" spans="1:16" ht="15">
      <c r="A233" s="475"/>
      <c r="B233"/>
      <c r="C233"/>
      <c r="D233"/>
      <c r="E233" s="475"/>
      <c r="F233" s="16"/>
      <c r="G233" s="475"/>
      <c r="H233"/>
      <c r="I233"/>
      <c r="J233"/>
      <c r="K233"/>
      <c r="L233"/>
      <c r="M233"/>
      <c r="N233"/>
      <c r="O233"/>
      <c r="P233"/>
    </row>
    <row r="234" spans="1:16" ht="15">
      <c r="A234" s="475"/>
      <c r="B234"/>
      <c r="C234"/>
      <c r="D234"/>
      <c r="E234" s="475"/>
      <c r="F234" s="16"/>
      <c r="G234" s="475"/>
      <c r="H234"/>
      <c r="I234"/>
      <c r="J234"/>
      <c r="K234"/>
      <c r="L234"/>
      <c r="M234"/>
      <c r="N234"/>
      <c r="O234"/>
      <c r="P234"/>
    </row>
    <row r="235" spans="1:16" ht="15">
      <c r="A235" s="475"/>
      <c r="B235"/>
      <c r="C235"/>
      <c r="D235"/>
      <c r="E235" s="475"/>
      <c r="F235" s="16"/>
      <c r="G235" s="475"/>
      <c r="H235"/>
      <c r="I235"/>
      <c r="J235"/>
      <c r="K235"/>
      <c r="L235"/>
      <c r="M235"/>
      <c r="N235"/>
      <c r="O235"/>
      <c r="P235"/>
    </row>
    <row r="236" spans="1:16" ht="15">
      <c r="A236" s="475"/>
      <c r="B236"/>
      <c r="C236"/>
      <c r="D236"/>
      <c r="E236" s="475"/>
      <c r="F236" s="16"/>
      <c r="G236" s="475"/>
      <c r="H236"/>
      <c r="I236"/>
      <c r="J236"/>
      <c r="K236"/>
      <c r="L236"/>
      <c r="M236"/>
      <c r="N236"/>
      <c r="O236"/>
      <c r="P236"/>
    </row>
    <row r="237" spans="1:16" ht="15">
      <c r="A237" s="475"/>
      <c r="B237"/>
      <c r="C237"/>
      <c r="D237"/>
      <c r="E237" s="475"/>
      <c r="F237" s="16"/>
      <c r="G237" s="475"/>
      <c r="H237"/>
      <c r="I237"/>
      <c r="J237"/>
      <c r="K237"/>
      <c r="L237"/>
      <c r="M237"/>
      <c r="N237"/>
      <c r="O237"/>
      <c r="P237"/>
    </row>
    <row r="238" spans="1:16" ht="15">
      <c r="A238" s="475"/>
      <c r="B238"/>
      <c r="C238"/>
      <c r="D238"/>
      <c r="E238" s="475"/>
      <c r="F238" s="16"/>
      <c r="G238" s="475"/>
      <c r="H238"/>
      <c r="I238"/>
      <c r="J238"/>
      <c r="K238"/>
      <c r="L238"/>
      <c r="M238"/>
      <c r="N238"/>
      <c r="O238"/>
      <c r="P238"/>
    </row>
    <row r="239" spans="1:16" ht="15">
      <c r="A239" s="475"/>
      <c r="B239"/>
      <c r="C239"/>
      <c r="D239"/>
      <c r="E239" s="475"/>
      <c r="F239" s="16"/>
      <c r="G239" s="475"/>
      <c r="H239"/>
      <c r="I239"/>
      <c r="J239"/>
      <c r="K239"/>
      <c r="L239"/>
      <c r="M239"/>
      <c r="N239"/>
      <c r="O239"/>
      <c r="P23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392"/>
  <sheetViews>
    <sheetView showGridLines="0" workbookViewId="0">
      <pane ySplit="1" topLeftCell="A11" activePane="bottomLeft" state="frozen"/>
      <selection activeCell="G19" sqref="G19"/>
      <selection pane="bottomLeft" activeCell="G19" sqref="G19"/>
    </sheetView>
  </sheetViews>
  <sheetFormatPr baseColWidth="10" defaultColWidth="11.42578125" defaultRowHeight="15"/>
  <cols>
    <col min="2" max="3" width="11.5703125"/>
    <col min="5" max="5" width="11.42578125" customWidth="1"/>
    <col min="6" max="6" width="13.28515625" style="14" customWidth="1"/>
    <col min="7" max="7" width="11" style="14" customWidth="1"/>
    <col min="8" max="8" width="10.5703125" style="14" customWidth="1"/>
    <col min="9" max="9" width="11.28515625" style="14" customWidth="1"/>
    <col min="10" max="10" width="10" style="14" customWidth="1"/>
    <col min="11" max="11" width="10.140625" style="14" customWidth="1"/>
    <col min="12" max="12" width="8.7109375" style="14" customWidth="1"/>
    <col min="13" max="13" width="10" style="14" customWidth="1"/>
    <col min="14" max="14" width="11.5703125" hidden="1" customWidth="1"/>
    <col min="15" max="15" width="11.5703125" style="110"/>
    <col min="17" max="17" width="17.140625" customWidth="1"/>
    <col min="19" max="20" width="11.5703125" customWidth="1"/>
    <col min="22" max="22" width="8.7109375" customWidth="1"/>
    <col min="23" max="24" width="0" hidden="1" customWidth="1"/>
  </cols>
  <sheetData>
    <row r="1" spans="1:24" ht="45" customHeight="1">
      <c r="A1" s="45" t="s">
        <v>7628</v>
      </c>
      <c r="B1" s="45" t="s">
        <v>7627</v>
      </c>
      <c r="C1" s="10" t="s">
        <v>7629</v>
      </c>
      <c r="D1" s="10" t="s">
        <v>7630</v>
      </c>
      <c r="E1" s="81" t="s">
        <v>7631</v>
      </c>
      <c r="F1" s="84" t="s">
        <v>7632</v>
      </c>
      <c r="G1" s="82" t="s">
        <v>7633</v>
      </c>
      <c r="H1" s="82" t="s">
        <v>7634</v>
      </c>
      <c r="I1" s="84" t="s">
        <v>7635</v>
      </c>
      <c r="J1" s="82" t="s">
        <v>7633</v>
      </c>
      <c r="K1" s="82" t="s">
        <v>7634</v>
      </c>
      <c r="L1" s="84" t="s">
        <v>7636</v>
      </c>
      <c r="M1" s="81" t="s">
        <v>7633</v>
      </c>
      <c r="N1" s="113" t="s">
        <v>7637</v>
      </c>
      <c r="O1" s="114" t="s">
        <v>7638</v>
      </c>
      <c r="Q1" s="85" t="s">
        <v>7629</v>
      </c>
      <c r="R1" s="85" t="s">
        <v>7639</v>
      </c>
      <c r="S1" s="85"/>
      <c r="T1" s="86" t="s">
        <v>7640</v>
      </c>
      <c r="U1" s="85" t="s">
        <v>7641</v>
      </c>
      <c r="V1" s="86" t="s">
        <v>7642</v>
      </c>
    </row>
    <row r="2" spans="1:24">
      <c r="A2" s="12" t="s">
        <v>5053</v>
      </c>
      <c r="B2" s="108">
        <v>2021</v>
      </c>
      <c r="C2" s="32" t="s">
        <v>7643</v>
      </c>
      <c r="D2" s="1">
        <v>44417</v>
      </c>
      <c r="E2" s="31">
        <f t="shared" ref="E2:E33" si="0">WORKDAY(D2,1,$N$2:$N$12)</f>
        <v>44418</v>
      </c>
      <c r="F2" s="31">
        <v>44413</v>
      </c>
      <c r="G2" s="29" t="str">
        <f t="shared" ref="G2:G43" si="1">+IF(F2&lt;=E2,"SI","NO")</f>
        <v>SI</v>
      </c>
      <c r="H2" s="31">
        <f t="shared" ref="H2:H33" si="2">WORKDAY(D2,2,$N$2:$N$12)</f>
        <v>44419</v>
      </c>
      <c r="I2" s="31">
        <v>44414</v>
      </c>
      <c r="J2" s="29" t="str">
        <f t="shared" ref="J2:J33" si="3">+IF(I2&lt;=H2,"SI","NO")</f>
        <v>SI</v>
      </c>
      <c r="K2" s="90"/>
      <c r="L2" s="29"/>
      <c r="M2" s="29"/>
      <c r="N2" s="115">
        <v>44197</v>
      </c>
      <c r="O2" s="116"/>
      <c r="Q2" s="9" t="s">
        <v>743</v>
      </c>
      <c r="R2" s="9">
        <f>COUNTIF(C:C,Q2)</f>
        <v>0</v>
      </c>
      <c r="S2" s="9">
        <f>COUNTIFS(G:G,"SI",C:C,Q2)</f>
        <v>0</v>
      </c>
      <c r="T2" s="83" t="e">
        <f>+S2/R2</f>
        <v>#DIV/0!</v>
      </c>
      <c r="U2" s="9">
        <f>COUNTIFS(J:J,"SI",C:C,Q2)</f>
        <v>0</v>
      </c>
      <c r="V2" s="83" t="e">
        <f>+U2/R2</f>
        <v>#DIV/0!</v>
      </c>
    </row>
    <row r="3" spans="1:24">
      <c r="A3" s="12" t="s">
        <v>5323</v>
      </c>
      <c r="B3" s="108">
        <v>2021</v>
      </c>
      <c r="C3" s="32" t="s">
        <v>7643</v>
      </c>
      <c r="D3" s="1">
        <v>44417</v>
      </c>
      <c r="E3" s="31">
        <f t="shared" si="0"/>
        <v>44418</v>
      </c>
      <c r="F3" s="31">
        <v>44417</v>
      </c>
      <c r="G3" s="29" t="str">
        <f t="shared" si="1"/>
        <v>SI</v>
      </c>
      <c r="H3" s="31">
        <f t="shared" si="2"/>
        <v>44419</v>
      </c>
      <c r="I3" s="31">
        <v>44420</v>
      </c>
      <c r="J3" s="29" t="str">
        <f t="shared" si="3"/>
        <v>NO</v>
      </c>
      <c r="K3" s="90"/>
      <c r="L3" s="29"/>
      <c r="M3" s="29"/>
      <c r="N3" s="115">
        <v>44287</v>
      </c>
      <c r="O3" s="116"/>
      <c r="Q3" s="9" t="s">
        <v>1727</v>
      </c>
      <c r="R3" s="9">
        <f>COUNTIF(C:C,Q3)</f>
        <v>0</v>
      </c>
      <c r="S3" s="9">
        <f>COUNTIFS(G:G,"SI",C:C,Q3)</f>
        <v>0</v>
      </c>
      <c r="T3" s="83" t="e">
        <f>+S3/R3</f>
        <v>#DIV/0!</v>
      </c>
      <c r="U3" s="9">
        <f>COUNTIFS(J:J,"SI",C:C,Q3)</f>
        <v>0</v>
      </c>
      <c r="V3" s="83" t="e">
        <f>+U3/R3</f>
        <v>#DIV/0!</v>
      </c>
    </row>
    <row r="4" spans="1:24">
      <c r="A4" s="12" t="s">
        <v>5335</v>
      </c>
      <c r="B4" s="108">
        <v>2021</v>
      </c>
      <c r="C4" s="32" t="s">
        <v>7643</v>
      </c>
      <c r="D4" s="1">
        <v>44411</v>
      </c>
      <c r="E4" s="31">
        <f t="shared" si="0"/>
        <v>44412</v>
      </c>
      <c r="F4" s="31">
        <v>44414</v>
      </c>
      <c r="G4" s="29" t="str">
        <f t="shared" si="1"/>
        <v>NO</v>
      </c>
      <c r="H4" s="31">
        <f t="shared" si="2"/>
        <v>44413</v>
      </c>
      <c r="I4" s="31">
        <v>44420</v>
      </c>
      <c r="J4" s="29" t="str">
        <f t="shared" si="3"/>
        <v>NO</v>
      </c>
      <c r="K4" s="90"/>
      <c r="L4" s="29"/>
      <c r="M4" s="29"/>
      <c r="N4" s="115">
        <v>44288</v>
      </c>
      <c r="O4" s="116"/>
      <c r="Q4" s="9" t="s">
        <v>605</v>
      </c>
      <c r="R4" s="9">
        <f>COUNTIF(C:C,Q4)</f>
        <v>0</v>
      </c>
      <c r="S4" s="9">
        <f>COUNTIFS(G:G,"SI",C:C,Q4)</f>
        <v>0</v>
      </c>
      <c r="T4" s="83" t="e">
        <f>+S4/R4</f>
        <v>#DIV/0!</v>
      </c>
      <c r="U4" s="9">
        <f>COUNTIFS(J:J,"SI",C:C,Q4)</f>
        <v>0</v>
      </c>
      <c r="V4" s="83" t="e">
        <f>+U4/R4</f>
        <v>#DIV/0!</v>
      </c>
    </row>
    <row r="5" spans="1:24">
      <c r="A5" s="12" t="s">
        <v>5703</v>
      </c>
      <c r="B5" s="108">
        <v>2021</v>
      </c>
      <c r="C5" s="32" t="s">
        <v>7643</v>
      </c>
      <c r="D5" s="1">
        <v>44414</v>
      </c>
      <c r="E5" s="31">
        <f t="shared" si="0"/>
        <v>44417</v>
      </c>
      <c r="F5" s="31">
        <v>44417</v>
      </c>
      <c r="G5" s="29" t="str">
        <f t="shared" si="1"/>
        <v>SI</v>
      </c>
      <c r="H5" s="31">
        <f t="shared" si="2"/>
        <v>44418</v>
      </c>
      <c r="I5" s="31">
        <v>44420</v>
      </c>
      <c r="J5" s="29" t="str">
        <f t="shared" si="3"/>
        <v>NO</v>
      </c>
      <c r="K5" s="90"/>
      <c r="L5" s="29"/>
      <c r="M5" s="29"/>
      <c r="N5" s="115">
        <v>44317</v>
      </c>
      <c r="O5" s="116"/>
      <c r="Q5" s="9" t="s">
        <v>4795</v>
      </c>
      <c r="R5" s="9">
        <f>COUNTIF(C:C,Q5)</f>
        <v>0</v>
      </c>
      <c r="S5" s="9">
        <f>COUNTIFS(G:G,"SI",C:C,Q5)</f>
        <v>0</v>
      </c>
      <c r="T5" s="83" t="e">
        <f>+S5/R5</f>
        <v>#DIV/0!</v>
      </c>
      <c r="U5" s="9">
        <f>COUNTIFS(J:J,"SI",C:C,Q5)</f>
        <v>0</v>
      </c>
      <c r="V5" s="83" t="e">
        <f>+U5/R5</f>
        <v>#DIV/0!</v>
      </c>
    </row>
    <row r="6" spans="1:24">
      <c r="A6" s="12" t="s">
        <v>5714</v>
      </c>
      <c r="B6" s="108">
        <v>2021</v>
      </c>
      <c r="C6" s="32" t="s">
        <v>7643</v>
      </c>
      <c r="D6" s="1">
        <v>44414</v>
      </c>
      <c r="E6" s="31">
        <f t="shared" si="0"/>
        <v>44417</v>
      </c>
      <c r="F6" s="31">
        <v>44417</v>
      </c>
      <c r="G6" s="29" t="str">
        <f t="shared" si="1"/>
        <v>SI</v>
      </c>
      <c r="H6" s="31">
        <f t="shared" si="2"/>
        <v>44418</v>
      </c>
      <c r="I6" s="31">
        <v>44418</v>
      </c>
      <c r="J6" s="29" t="str">
        <f t="shared" si="3"/>
        <v>SI</v>
      </c>
      <c r="K6" s="90"/>
      <c r="L6" s="29"/>
      <c r="M6" s="29"/>
      <c r="N6" s="115">
        <v>44376</v>
      </c>
      <c r="O6" s="116"/>
      <c r="Q6" s="9" t="s">
        <v>921</v>
      </c>
      <c r="R6" s="9">
        <f>COUNTIF(C:C,Q6)</f>
        <v>0</v>
      </c>
      <c r="S6" s="9">
        <f>COUNTIFS(G:G,"SI",C:C,Q6)</f>
        <v>0</v>
      </c>
      <c r="T6" s="83" t="e">
        <f>+S6/R6</f>
        <v>#DIV/0!</v>
      </c>
      <c r="U6" s="9">
        <f>COUNTIFS(J:J,"SI",C:C,Q6)</f>
        <v>0</v>
      </c>
      <c r="V6" s="83" t="e">
        <f>+U6/R6</f>
        <v>#DIV/0!</v>
      </c>
    </row>
    <row r="7" spans="1:24">
      <c r="A7" s="12" t="s">
        <v>5723</v>
      </c>
      <c r="B7" s="108">
        <v>2021</v>
      </c>
      <c r="C7" s="32" t="s">
        <v>7643</v>
      </c>
      <c r="D7" s="1">
        <v>44411</v>
      </c>
      <c r="E7" s="31">
        <f t="shared" si="0"/>
        <v>44412</v>
      </c>
      <c r="F7" s="31">
        <v>44413</v>
      </c>
      <c r="G7" s="29" t="str">
        <f t="shared" si="1"/>
        <v>NO</v>
      </c>
      <c r="H7" s="31">
        <f t="shared" si="2"/>
        <v>44413</v>
      </c>
      <c r="I7" s="31">
        <v>44413</v>
      </c>
      <c r="J7" s="29" t="str">
        <f t="shared" si="3"/>
        <v>SI</v>
      </c>
      <c r="K7" s="90"/>
      <c r="L7" s="29"/>
      <c r="M7" s="29"/>
      <c r="N7" s="115">
        <v>44405</v>
      </c>
      <c r="O7" s="116"/>
    </row>
    <row r="8" spans="1:24">
      <c r="A8" s="12" t="s">
        <v>5877</v>
      </c>
      <c r="B8" s="108">
        <v>2021</v>
      </c>
      <c r="C8" s="32" t="s">
        <v>7643</v>
      </c>
      <c r="D8" s="1">
        <v>44411</v>
      </c>
      <c r="E8" s="31">
        <f t="shared" si="0"/>
        <v>44412</v>
      </c>
      <c r="F8" s="31">
        <v>44413</v>
      </c>
      <c r="G8" s="29" t="str">
        <f t="shared" si="1"/>
        <v>NO</v>
      </c>
      <c r="H8" s="31">
        <f t="shared" si="2"/>
        <v>44413</v>
      </c>
      <c r="I8" s="31">
        <v>44419</v>
      </c>
      <c r="J8" s="29" t="str">
        <f t="shared" si="3"/>
        <v>NO</v>
      </c>
      <c r="K8" s="90"/>
      <c r="L8" s="29"/>
      <c r="M8" s="29"/>
      <c r="N8" s="115">
        <v>44406</v>
      </c>
      <c r="O8" s="116"/>
      <c r="Q8" s="85" t="s">
        <v>7629</v>
      </c>
      <c r="R8" s="85" t="s">
        <v>7639</v>
      </c>
      <c r="S8" s="85" t="s">
        <v>7644</v>
      </c>
      <c r="T8" s="86" t="s">
        <v>7640</v>
      </c>
      <c r="U8" s="85" t="s">
        <v>7645</v>
      </c>
      <c r="V8" s="86" t="s">
        <v>7640</v>
      </c>
      <c r="W8" s="85" t="s">
        <v>7646</v>
      </c>
      <c r="X8" s="86" t="s">
        <v>7640</v>
      </c>
    </row>
    <row r="9" spans="1:24">
      <c r="A9" s="12" t="s">
        <v>5879</v>
      </c>
      <c r="B9" s="108">
        <v>2021</v>
      </c>
      <c r="C9" s="32" t="s">
        <v>7643</v>
      </c>
      <c r="D9" s="1">
        <v>44412</v>
      </c>
      <c r="E9" s="31">
        <f t="shared" si="0"/>
        <v>44413</v>
      </c>
      <c r="F9" s="31">
        <v>44413</v>
      </c>
      <c r="G9" s="29" t="str">
        <f t="shared" si="1"/>
        <v>SI</v>
      </c>
      <c r="H9" s="31">
        <f t="shared" si="2"/>
        <v>44414</v>
      </c>
      <c r="I9" s="31">
        <v>44419</v>
      </c>
      <c r="J9" s="29" t="str">
        <f t="shared" si="3"/>
        <v>NO</v>
      </c>
      <c r="K9" s="90"/>
      <c r="L9" s="29"/>
      <c r="M9" s="29"/>
      <c r="N9" s="115">
        <v>44438</v>
      </c>
      <c r="O9" s="116"/>
      <c r="Q9" s="9" t="s">
        <v>7647</v>
      </c>
      <c r="R9" s="9">
        <f t="shared" ref="R9:R20" si="4">COUNTIF(C:C,Q9)</f>
        <v>29</v>
      </c>
      <c r="S9" s="9">
        <f>COUNTIFS(G:G,"SI",C:C,Q9)</f>
        <v>0</v>
      </c>
      <c r="T9" s="83">
        <f t="shared" ref="T9:T20" si="5">+S9/R9</f>
        <v>0</v>
      </c>
      <c r="U9" s="9">
        <f t="shared" ref="U9:U20" si="6">COUNTIFS(J:J,"SI",C:C,Q9)</f>
        <v>0</v>
      </c>
      <c r="V9" s="83">
        <f t="shared" ref="V9:V20" si="7">+U9/R9</f>
        <v>0</v>
      </c>
      <c r="W9" s="9">
        <f t="shared" ref="W9:W20" si="8">COUNTIFS(L:L,"SI",E:E,Q9)</f>
        <v>0</v>
      </c>
      <c r="X9" s="83">
        <f>+W9/R9</f>
        <v>0</v>
      </c>
    </row>
    <row r="10" spans="1:24">
      <c r="A10" s="12" t="s">
        <v>5881</v>
      </c>
      <c r="B10" s="108">
        <v>2021</v>
      </c>
      <c r="C10" s="32" t="s">
        <v>7643</v>
      </c>
      <c r="D10" s="1">
        <v>44415</v>
      </c>
      <c r="E10" s="31">
        <f t="shared" si="0"/>
        <v>44417</v>
      </c>
      <c r="F10" s="31">
        <v>44417</v>
      </c>
      <c r="G10" s="29" t="str">
        <f t="shared" si="1"/>
        <v>SI</v>
      </c>
      <c r="H10" s="31">
        <f t="shared" si="2"/>
        <v>44418</v>
      </c>
      <c r="I10" s="31">
        <v>44420</v>
      </c>
      <c r="J10" s="29" t="str">
        <f t="shared" si="3"/>
        <v>NO</v>
      </c>
      <c r="K10" s="90"/>
      <c r="L10" s="29"/>
      <c r="M10" s="29"/>
      <c r="N10" s="115">
        <v>44477</v>
      </c>
      <c r="O10" s="116"/>
      <c r="Q10" s="9" t="s">
        <v>7648</v>
      </c>
      <c r="R10" s="9">
        <f t="shared" si="4"/>
        <v>47</v>
      </c>
      <c r="S10" s="9">
        <f t="shared" ref="S10:S20" si="9">COUNTIFS(G:G,"SI",C:C,Q10)</f>
        <v>0</v>
      </c>
      <c r="T10" s="83">
        <f t="shared" si="5"/>
        <v>0</v>
      </c>
      <c r="U10" s="9">
        <f t="shared" si="6"/>
        <v>0</v>
      </c>
      <c r="V10" s="83">
        <f t="shared" si="7"/>
        <v>0</v>
      </c>
      <c r="W10" s="9">
        <f t="shared" si="8"/>
        <v>0</v>
      </c>
      <c r="X10" s="83">
        <f>+W10/R10</f>
        <v>0</v>
      </c>
    </row>
    <row r="11" spans="1:24">
      <c r="A11" s="12" t="s">
        <v>5887</v>
      </c>
      <c r="B11" s="108">
        <v>2021</v>
      </c>
      <c r="C11" s="32" t="s">
        <v>7643</v>
      </c>
      <c r="D11" s="1">
        <v>44411</v>
      </c>
      <c r="E11" s="31">
        <f t="shared" si="0"/>
        <v>44412</v>
      </c>
      <c r="F11" s="31">
        <v>44413</v>
      </c>
      <c r="G11" s="29" t="str">
        <f t="shared" si="1"/>
        <v>NO</v>
      </c>
      <c r="H11" s="31">
        <f t="shared" si="2"/>
        <v>44413</v>
      </c>
      <c r="I11" s="31">
        <v>44420</v>
      </c>
      <c r="J11" s="29" t="str">
        <f t="shared" si="3"/>
        <v>NO</v>
      </c>
      <c r="K11" s="90"/>
      <c r="L11" s="29"/>
      <c r="M11" s="29"/>
      <c r="N11" s="115">
        <v>44501</v>
      </c>
      <c r="O11" s="116"/>
      <c r="Q11" s="9" t="s">
        <v>7649</v>
      </c>
      <c r="R11" s="9">
        <f t="shared" si="4"/>
        <v>28</v>
      </c>
      <c r="S11" s="9">
        <f t="shared" si="9"/>
        <v>0</v>
      </c>
      <c r="T11" s="83">
        <f t="shared" si="5"/>
        <v>0</v>
      </c>
      <c r="U11" s="9">
        <f t="shared" si="6"/>
        <v>0</v>
      </c>
      <c r="V11" s="83">
        <f t="shared" si="7"/>
        <v>0</v>
      </c>
      <c r="W11" s="9">
        <f t="shared" si="8"/>
        <v>0</v>
      </c>
      <c r="X11" s="83">
        <f>+W11/R11</f>
        <v>0</v>
      </c>
    </row>
    <row r="12" spans="1:24">
      <c r="A12" s="12" t="s">
        <v>5889</v>
      </c>
      <c r="B12" s="108">
        <v>2021</v>
      </c>
      <c r="C12" s="32" t="s">
        <v>7643</v>
      </c>
      <c r="D12" s="1">
        <v>44415</v>
      </c>
      <c r="E12" s="31">
        <f t="shared" si="0"/>
        <v>44417</v>
      </c>
      <c r="F12" s="31">
        <v>44417</v>
      </c>
      <c r="G12" s="29" t="str">
        <f t="shared" si="1"/>
        <v>SI</v>
      </c>
      <c r="H12" s="31">
        <f t="shared" si="2"/>
        <v>44418</v>
      </c>
      <c r="I12" s="31">
        <v>44420</v>
      </c>
      <c r="J12" s="29" t="str">
        <f t="shared" si="3"/>
        <v>NO</v>
      </c>
      <c r="K12" s="90"/>
      <c r="L12" s="29"/>
      <c r="M12" s="29"/>
      <c r="N12" s="115">
        <v>44538</v>
      </c>
      <c r="O12" s="116"/>
      <c r="Q12" s="9" t="s">
        <v>7650</v>
      </c>
      <c r="R12" s="9">
        <f t="shared" si="4"/>
        <v>41</v>
      </c>
      <c r="S12" s="9">
        <f t="shared" si="9"/>
        <v>0</v>
      </c>
      <c r="T12" s="83">
        <f>+S12/R12</f>
        <v>0</v>
      </c>
      <c r="U12" s="9">
        <f t="shared" si="6"/>
        <v>0</v>
      </c>
      <c r="V12" s="83">
        <f t="shared" si="7"/>
        <v>0</v>
      </c>
      <c r="W12" s="9">
        <f t="shared" si="8"/>
        <v>0</v>
      </c>
      <c r="X12" s="83" t="e">
        <f t="shared" ref="X12:X20" si="10">+W12/T12</f>
        <v>#DIV/0!</v>
      </c>
    </row>
    <row r="13" spans="1:24">
      <c r="A13" s="12" t="s">
        <v>5945</v>
      </c>
      <c r="B13" s="108">
        <v>2021</v>
      </c>
      <c r="C13" s="32" t="s">
        <v>7643</v>
      </c>
      <c r="D13" s="1">
        <v>44412</v>
      </c>
      <c r="E13" s="31">
        <f t="shared" si="0"/>
        <v>44413</v>
      </c>
      <c r="F13" s="31">
        <v>44414</v>
      </c>
      <c r="G13" s="29" t="str">
        <f t="shared" si="1"/>
        <v>NO</v>
      </c>
      <c r="H13" s="31">
        <f t="shared" si="2"/>
        <v>44414</v>
      </c>
      <c r="I13" s="31">
        <v>44420</v>
      </c>
      <c r="J13" s="29" t="str">
        <f t="shared" si="3"/>
        <v>NO</v>
      </c>
      <c r="K13" s="90"/>
      <c r="L13" s="29"/>
      <c r="M13" s="29"/>
      <c r="N13" s="117"/>
      <c r="O13" s="116"/>
      <c r="Q13" s="9" t="s">
        <v>7651</v>
      </c>
      <c r="R13" s="9">
        <f t="shared" si="4"/>
        <v>7</v>
      </c>
      <c r="S13" s="9">
        <f t="shared" si="9"/>
        <v>0</v>
      </c>
      <c r="T13" s="83">
        <f t="shared" si="5"/>
        <v>0</v>
      </c>
      <c r="U13" s="9">
        <f t="shared" si="6"/>
        <v>0</v>
      </c>
      <c r="V13" s="83">
        <f t="shared" si="7"/>
        <v>0</v>
      </c>
      <c r="W13" s="9">
        <f t="shared" si="8"/>
        <v>0</v>
      </c>
      <c r="X13" s="83" t="e">
        <f t="shared" si="10"/>
        <v>#DIV/0!</v>
      </c>
    </row>
    <row r="14" spans="1:24">
      <c r="A14" s="12" t="s">
        <v>5973</v>
      </c>
      <c r="B14" s="108">
        <v>2021</v>
      </c>
      <c r="C14" s="32" t="s">
        <v>7643</v>
      </c>
      <c r="D14" s="1">
        <v>44415</v>
      </c>
      <c r="E14" s="31">
        <f t="shared" si="0"/>
        <v>44417</v>
      </c>
      <c r="F14" s="31">
        <v>44417</v>
      </c>
      <c r="G14" s="29" t="str">
        <f t="shared" si="1"/>
        <v>SI</v>
      </c>
      <c r="H14" s="31">
        <f t="shared" si="2"/>
        <v>44418</v>
      </c>
      <c r="I14" s="31">
        <v>44420</v>
      </c>
      <c r="J14" s="29" t="str">
        <f t="shared" si="3"/>
        <v>NO</v>
      </c>
      <c r="K14" s="90"/>
      <c r="L14" s="29"/>
      <c r="M14" s="29"/>
      <c r="N14" s="117"/>
      <c r="O14" s="116"/>
      <c r="Q14" s="9" t="s">
        <v>7652</v>
      </c>
      <c r="R14" s="9">
        <f t="shared" si="4"/>
        <v>0</v>
      </c>
      <c r="S14" s="9">
        <f t="shared" si="9"/>
        <v>0</v>
      </c>
      <c r="T14" s="83" t="e">
        <f t="shared" si="5"/>
        <v>#DIV/0!</v>
      </c>
      <c r="U14" s="9">
        <f t="shared" si="6"/>
        <v>0</v>
      </c>
      <c r="V14" s="83" t="e">
        <f t="shared" si="7"/>
        <v>#DIV/0!</v>
      </c>
      <c r="W14" s="9">
        <f t="shared" si="8"/>
        <v>0</v>
      </c>
      <c r="X14" s="83" t="e">
        <f t="shared" si="10"/>
        <v>#DIV/0!</v>
      </c>
    </row>
    <row r="15" spans="1:24">
      <c r="A15" s="12" t="s">
        <v>5929</v>
      </c>
      <c r="B15" s="108">
        <v>2021</v>
      </c>
      <c r="C15" s="32" t="s">
        <v>7643</v>
      </c>
      <c r="D15" s="1">
        <v>44419</v>
      </c>
      <c r="E15" s="31">
        <f t="shared" si="0"/>
        <v>44420</v>
      </c>
      <c r="F15" s="31">
        <v>44420</v>
      </c>
      <c r="G15" s="29" t="str">
        <f t="shared" si="1"/>
        <v>SI</v>
      </c>
      <c r="H15" s="31">
        <f t="shared" si="2"/>
        <v>44421</v>
      </c>
      <c r="I15" s="31">
        <v>44420</v>
      </c>
      <c r="J15" s="29" t="str">
        <f t="shared" si="3"/>
        <v>SI</v>
      </c>
      <c r="K15" s="90"/>
      <c r="L15" s="29"/>
      <c r="M15" s="29"/>
      <c r="N15" s="117"/>
      <c r="O15" s="116"/>
      <c r="Q15" s="9" t="s">
        <v>7653</v>
      </c>
      <c r="R15" s="9">
        <f t="shared" si="4"/>
        <v>0</v>
      </c>
      <c r="S15" s="9">
        <f t="shared" si="9"/>
        <v>0</v>
      </c>
      <c r="T15" s="83" t="e">
        <f t="shared" si="5"/>
        <v>#DIV/0!</v>
      </c>
      <c r="U15" s="9">
        <f t="shared" si="6"/>
        <v>0</v>
      </c>
      <c r="V15" s="83" t="e">
        <f t="shared" si="7"/>
        <v>#DIV/0!</v>
      </c>
      <c r="W15" s="9">
        <f t="shared" si="8"/>
        <v>0</v>
      </c>
      <c r="X15" s="83" t="e">
        <f t="shared" si="10"/>
        <v>#DIV/0!</v>
      </c>
    </row>
    <row r="16" spans="1:24">
      <c r="A16" s="12" t="s">
        <v>5855</v>
      </c>
      <c r="B16" s="108">
        <v>2021</v>
      </c>
      <c r="C16" s="32" t="s">
        <v>7643</v>
      </c>
      <c r="D16" s="1" t="str">
        <f>+IFERROR(INDEX(IMPORTS!$AT:$AT,MATCH($A16,IMPORTS!#REF!,0)),"")</f>
        <v/>
      </c>
      <c r="E16" s="31" t="e">
        <f t="shared" si="0"/>
        <v>#VALUE!</v>
      </c>
      <c r="F16" s="31">
        <v>44421</v>
      </c>
      <c r="G16" s="29" t="e">
        <f t="shared" si="1"/>
        <v>#VALUE!</v>
      </c>
      <c r="H16" s="31" t="e">
        <f t="shared" si="2"/>
        <v>#VALUE!</v>
      </c>
      <c r="I16" s="31">
        <v>44424</v>
      </c>
      <c r="J16" s="29" t="e">
        <f t="shared" si="3"/>
        <v>#VALUE!</v>
      </c>
      <c r="K16" s="90"/>
      <c r="L16" s="29"/>
      <c r="M16" s="29"/>
      <c r="N16" s="117"/>
      <c r="O16" s="116"/>
      <c r="Q16" s="9" t="s">
        <v>7654</v>
      </c>
      <c r="R16" s="9">
        <f t="shared" si="4"/>
        <v>0</v>
      </c>
      <c r="S16" s="9">
        <f t="shared" si="9"/>
        <v>0</v>
      </c>
      <c r="T16" s="83" t="e">
        <f t="shared" si="5"/>
        <v>#DIV/0!</v>
      </c>
      <c r="U16" s="9">
        <f t="shared" si="6"/>
        <v>0</v>
      </c>
      <c r="V16" s="83" t="e">
        <f t="shared" si="7"/>
        <v>#DIV/0!</v>
      </c>
      <c r="W16" s="9">
        <f t="shared" si="8"/>
        <v>0</v>
      </c>
      <c r="X16" s="83" t="e">
        <f t="shared" si="10"/>
        <v>#DIV/0!</v>
      </c>
    </row>
    <row r="17" spans="1:24">
      <c r="A17" s="12" t="s">
        <v>5317</v>
      </c>
      <c r="B17" s="108">
        <v>2021</v>
      </c>
      <c r="C17" s="32" t="s">
        <v>7643</v>
      </c>
      <c r="D17" s="1" t="str">
        <f>+IFERROR(INDEX(IMPORTS!$AT:$AT,MATCH($A17,IMPORTS!#REF!,0)),"")</f>
        <v/>
      </c>
      <c r="E17" s="31" t="e">
        <f t="shared" si="0"/>
        <v>#VALUE!</v>
      </c>
      <c r="F17" s="31">
        <v>44424</v>
      </c>
      <c r="G17" s="29" t="e">
        <f t="shared" si="1"/>
        <v>#VALUE!</v>
      </c>
      <c r="H17" s="31" t="e">
        <f t="shared" si="2"/>
        <v>#VALUE!</v>
      </c>
      <c r="I17" s="31">
        <v>44425</v>
      </c>
      <c r="J17" s="29" t="e">
        <f t="shared" si="3"/>
        <v>#VALUE!</v>
      </c>
      <c r="K17" s="90"/>
      <c r="L17" s="29"/>
      <c r="M17" s="29"/>
      <c r="N17" s="117"/>
      <c r="O17" s="116"/>
      <c r="Q17" s="9" t="s">
        <v>7655</v>
      </c>
      <c r="R17" s="9">
        <f t="shared" si="4"/>
        <v>39</v>
      </c>
      <c r="S17" s="9">
        <f t="shared" si="9"/>
        <v>0</v>
      </c>
      <c r="T17" s="83">
        <f t="shared" si="5"/>
        <v>0</v>
      </c>
      <c r="U17" s="9">
        <f t="shared" si="6"/>
        <v>0</v>
      </c>
      <c r="V17" s="83">
        <f t="shared" si="7"/>
        <v>0</v>
      </c>
      <c r="W17" s="9">
        <f t="shared" si="8"/>
        <v>0</v>
      </c>
      <c r="X17" s="83" t="e">
        <f t="shared" si="10"/>
        <v>#DIV/0!</v>
      </c>
    </row>
    <row r="18" spans="1:24">
      <c r="A18" s="12" t="s">
        <v>5736</v>
      </c>
      <c r="B18" s="108">
        <v>2021</v>
      </c>
      <c r="C18" s="32" t="s">
        <v>7643</v>
      </c>
      <c r="D18" s="1" t="str">
        <f>+IFERROR(INDEX(IMPORTS!$AT:$AT,MATCH($A18,IMPORTS!#REF!,0)),"")</f>
        <v/>
      </c>
      <c r="E18" s="31" t="e">
        <f t="shared" si="0"/>
        <v>#VALUE!</v>
      </c>
      <c r="F18" s="31">
        <v>44424</v>
      </c>
      <c r="G18" s="29" t="e">
        <f t="shared" si="1"/>
        <v>#VALUE!</v>
      </c>
      <c r="H18" s="31" t="e">
        <f t="shared" si="2"/>
        <v>#VALUE!</v>
      </c>
      <c r="I18" s="31">
        <v>44425</v>
      </c>
      <c r="J18" s="29" t="e">
        <f t="shared" si="3"/>
        <v>#VALUE!</v>
      </c>
      <c r="K18" s="90"/>
      <c r="L18" s="29"/>
      <c r="M18" s="29"/>
      <c r="N18" s="117"/>
      <c r="O18" s="116"/>
      <c r="Q18" s="9" t="s">
        <v>7656</v>
      </c>
      <c r="R18" s="9">
        <f t="shared" si="4"/>
        <v>46</v>
      </c>
      <c r="S18" s="9">
        <f t="shared" si="9"/>
        <v>0</v>
      </c>
      <c r="T18" s="83">
        <f t="shared" si="5"/>
        <v>0</v>
      </c>
      <c r="U18" s="9">
        <f t="shared" si="6"/>
        <v>7</v>
      </c>
      <c r="V18" s="83">
        <f t="shared" si="7"/>
        <v>0.15217391304347827</v>
      </c>
      <c r="W18" s="9">
        <f t="shared" si="8"/>
        <v>0</v>
      </c>
      <c r="X18" s="83" t="e">
        <f t="shared" si="10"/>
        <v>#DIV/0!</v>
      </c>
    </row>
    <row r="19" spans="1:24">
      <c r="A19" s="12" t="s">
        <v>5840</v>
      </c>
      <c r="B19" s="108">
        <v>2021</v>
      </c>
      <c r="C19" s="32" t="s">
        <v>7643</v>
      </c>
      <c r="D19" s="1" t="str">
        <f>+IFERROR(INDEX(IMPORTS!$AT:$AT,MATCH($A19,IMPORTS!#REF!,0)),"")</f>
        <v/>
      </c>
      <c r="E19" s="31" t="e">
        <f t="shared" si="0"/>
        <v>#VALUE!</v>
      </c>
      <c r="F19" s="31">
        <v>44424</v>
      </c>
      <c r="G19" s="29" t="e">
        <f t="shared" si="1"/>
        <v>#VALUE!</v>
      </c>
      <c r="H19" s="31" t="e">
        <f t="shared" si="2"/>
        <v>#VALUE!</v>
      </c>
      <c r="I19" s="31">
        <v>44425</v>
      </c>
      <c r="J19" s="29" t="e">
        <f t="shared" si="3"/>
        <v>#VALUE!</v>
      </c>
      <c r="K19" s="90"/>
      <c r="L19" s="29"/>
      <c r="M19" s="29"/>
      <c r="N19" s="117"/>
      <c r="O19" s="116"/>
      <c r="Q19" s="9" t="s">
        <v>7657</v>
      </c>
      <c r="R19" s="9">
        <f t="shared" si="4"/>
        <v>50</v>
      </c>
      <c r="S19" s="9">
        <f t="shared" si="9"/>
        <v>0</v>
      </c>
      <c r="T19" s="83">
        <f t="shared" si="5"/>
        <v>0</v>
      </c>
      <c r="U19" s="9">
        <f t="shared" si="6"/>
        <v>2</v>
      </c>
      <c r="V19" s="83">
        <f t="shared" si="7"/>
        <v>0.04</v>
      </c>
      <c r="W19" s="9">
        <f t="shared" si="8"/>
        <v>0</v>
      </c>
      <c r="X19" s="83" t="e">
        <f t="shared" si="10"/>
        <v>#DIV/0!</v>
      </c>
    </row>
    <row r="20" spans="1:24">
      <c r="A20" s="12" t="s">
        <v>5933</v>
      </c>
      <c r="B20" s="108">
        <v>2021</v>
      </c>
      <c r="C20" s="32" t="s">
        <v>7643</v>
      </c>
      <c r="D20" s="1" t="str">
        <f>+IFERROR(INDEX(IMPORTS!$AT:$AT,MATCH($A20,IMPORTS!#REF!,0)),"")</f>
        <v/>
      </c>
      <c r="E20" s="31" t="e">
        <f t="shared" si="0"/>
        <v>#VALUE!</v>
      </c>
      <c r="F20" s="31">
        <v>44424</v>
      </c>
      <c r="G20" s="29" t="e">
        <f t="shared" si="1"/>
        <v>#VALUE!</v>
      </c>
      <c r="H20" s="31" t="e">
        <f t="shared" si="2"/>
        <v>#VALUE!</v>
      </c>
      <c r="I20" s="31">
        <v>44426</v>
      </c>
      <c r="J20" s="29" t="e">
        <f t="shared" si="3"/>
        <v>#VALUE!</v>
      </c>
      <c r="K20" s="90"/>
      <c r="L20" s="29"/>
      <c r="M20" s="29"/>
      <c r="N20" s="117"/>
      <c r="O20" s="116"/>
      <c r="Q20" s="9" t="s">
        <v>7658</v>
      </c>
      <c r="R20" s="9">
        <f t="shared" si="4"/>
        <v>62</v>
      </c>
      <c r="S20" s="9">
        <f t="shared" si="9"/>
        <v>0</v>
      </c>
      <c r="T20" s="83">
        <f t="shared" si="5"/>
        <v>0</v>
      </c>
      <c r="U20" s="9">
        <f t="shared" si="6"/>
        <v>0</v>
      </c>
      <c r="V20" s="83">
        <f t="shared" si="7"/>
        <v>0</v>
      </c>
      <c r="W20" s="9">
        <f t="shared" si="8"/>
        <v>0</v>
      </c>
      <c r="X20" s="83" t="e">
        <f t="shared" si="10"/>
        <v>#DIV/0!</v>
      </c>
    </row>
    <row r="21" spans="1:24">
      <c r="A21" s="12" t="s">
        <v>5936</v>
      </c>
      <c r="B21" s="108">
        <v>2021</v>
      </c>
      <c r="C21" s="32" t="s">
        <v>7643</v>
      </c>
      <c r="D21" s="1" t="str">
        <f>+IFERROR(INDEX(IMPORTS!$AT:$AT,MATCH($A21,IMPORTS!#REF!,0)),"")</f>
        <v/>
      </c>
      <c r="E21" s="31" t="e">
        <f t="shared" si="0"/>
        <v>#VALUE!</v>
      </c>
      <c r="F21" s="31">
        <v>44424</v>
      </c>
      <c r="G21" s="29" t="e">
        <f t="shared" si="1"/>
        <v>#VALUE!</v>
      </c>
      <c r="H21" s="31" t="e">
        <f t="shared" si="2"/>
        <v>#VALUE!</v>
      </c>
      <c r="I21" s="31">
        <v>44426</v>
      </c>
      <c r="J21" s="29" t="e">
        <f t="shared" si="3"/>
        <v>#VALUE!</v>
      </c>
      <c r="K21" s="90"/>
      <c r="L21" s="29"/>
      <c r="M21" s="29"/>
      <c r="N21" s="117"/>
      <c r="O21" s="116"/>
    </row>
    <row r="22" spans="1:24">
      <c r="A22" s="12" t="s">
        <v>5481</v>
      </c>
      <c r="B22" s="108">
        <v>2021</v>
      </c>
      <c r="C22" s="32" t="s">
        <v>7643</v>
      </c>
      <c r="D22" s="1" t="str">
        <f>+IFERROR(INDEX(IMPORTS!$AT:$AT,MATCH($A22,IMPORTS!#REF!,0)),"")</f>
        <v/>
      </c>
      <c r="E22" s="31" t="e">
        <f t="shared" si="0"/>
        <v>#VALUE!</v>
      </c>
      <c r="F22" s="31">
        <v>44425</v>
      </c>
      <c r="G22" s="29" t="e">
        <f t="shared" si="1"/>
        <v>#VALUE!</v>
      </c>
      <c r="H22" s="31" t="e">
        <f t="shared" si="2"/>
        <v>#VALUE!</v>
      </c>
      <c r="I22" s="31">
        <v>44426</v>
      </c>
      <c r="J22" s="29" t="e">
        <f t="shared" si="3"/>
        <v>#VALUE!</v>
      </c>
      <c r="K22" s="90"/>
      <c r="L22" s="29"/>
      <c r="M22" s="29"/>
      <c r="N22" s="117"/>
      <c r="O22" s="116"/>
    </row>
    <row r="23" spans="1:24">
      <c r="A23" s="12" t="s">
        <v>5555</v>
      </c>
      <c r="B23" s="108">
        <v>2021</v>
      </c>
      <c r="C23" s="32" t="s">
        <v>7643</v>
      </c>
      <c r="D23" s="1" t="str">
        <f>+IFERROR(INDEX(IMPORTS!$AT:$AT,MATCH($A23,IMPORTS!#REF!,0)),"")</f>
        <v/>
      </c>
      <c r="E23" s="31" t="e">
        <f t="shared" si="0"/>
        <v>#VALUE!</v>
      </c>
      <c r="F23" s="31">
        <v>44427</v>
      </c>
      <c r="G23" s="29" t="e">
        <f t="shared" si="1"/>
        <v>#VALUE!</v>
      </c>
      <c r="H23" s="31" t="e">
        <f t="shared" si="2"/>
        <v>#VALUE!</v>
      </c>
      <c r="I23" s="31">
        <v>44427</v>
      </c>
      <c r="J23" s="29" t="e">
        <f t="shared" si="3"/>
        <v>#VALUE!</v>
      </c>
      <c r="K23" s="90"/>
      <c r="L23" s="29"/>
      <c r="M23" s="29"/>
      <c r="N23" s="117"/>
      <c r="O23" s="116"/>
    </row>
    <row r="24" spans="1:24">
      <c r="A24" s="12" t="s">
        <v>5865</v>
      </c>
      <c r="B24" s="108">
        <v>2021</v>
      </c>
      <c r="C24" s="32" t="s">
        <v>7643</v>
      </c>
      <c r="D24" s="1" t="str">
        <f>+IFERROR(INDEX(IMPORTS!$AT:$AT,MATCH($A24,IMPORTS!#REF!,0)),"")</f>
        <v/>
      </c>
      <c r="E24" s="31" t="e">
        <f t="shared" si="0"/>
        <v>#VALUE!</v>
      </c>
      <c r="F24" s="31">
        <v>44427</v>
      </c>
      <c r="G24" s="29" t="e">
        <f t="shared" si="1"/>
        <v>#VALUE!</v>
      </c>
      <c r="H24" s="31" t="e">
        <f t="shared" si="2"/>
        <v>#VALUE!</v>
      </c>
      <c r="I24" s="31">
        <v>44428</v>
      </c>
      <c r="J24" s="29" t="e">
        <f t="shared" si="3"/>
        <v>#VALUE!</v>
      </c>
      <c r="K24" s="90"/>
      <c r="L24" s="29"/>
      <c r="M24" s="29"/>
      <c r="N24" s="117"/>
      <c r="O24" s="116"/>
    </row>
    <row r="25" spans="1:24">
      <c r="A25" s="12" t="s">
        <v>5949</v>
      </c>
      <c r="B25" s="108">
        <v>2021</v>
      </c>
      <c r="C25" s="32" t="s">
        <v>7643</v>
      </c>
      <c r="D25" s="1" t="str">
        <f>+IFERROR(INDEX(IMPORTS!$AT:$AT,MATCH($A25,IMPORTS!#REF!,0)),"")</f>
        <v/>
      </c>
      <c r="E25" s="31" t="e">
        <f t="shared" si="0"/>
        <v>#VALUE!</v>
      </c>
      <c r="F25" s="31">
        <v>44431</v>
      </c>
      <c r="G25" s="29" t="e">
        <f t="shared" si="1"/>
        <v>#VALUE!</v>
      </c>
      <c r="H25" s="31" t="e">
        <f t="shared" si="2"/>
        <v>#VALUE!</v>
      </c>
      <c r="I25" s="31">
        <v>44431</v>
      </c>
      <c r="J25" s="29" t="e">
        <f t="shared" si="3"/>
        <v>#VALUE!</v>
      </c>
      <c r="K25" s="90"/>
      <c r="L25" s="29"/>
      <c r="M25" s="29"/>
      <c r="N25" s="117"/>
      <c r="O25" s="116"/>
    </row>
    <row r="26" spans="1:24">
      <c r="A26" s="12" t="s">
        <v>5953</v>
      </c>
      <c r="B26" s="108">
        <v>2021</v>
      </c>
      <c r="C26" s="32" t="s">
        <v>7643</v>
      </c>
      <c r="D26" s="1" t="str">
        <f>+IFERROR(INDEX(IMPORTS!$AT:$AT,MATCH($A26,IMPORTS!#REF!,0)),"")</f>
        <v/>
      </c>
      <c r="E26" s="31" t="e">
        <f t="shared" si="0"/>
        <v>#VALUE!</v>
      </c>
      <c r="F26" s="31">
        <v>44433</v>
      </c>
      <c r="G26" s="29" t="e">
        <f t="shared" si="1"/>
        <v>#VALUE!</v>
      </c>
      <c r="H26" s="31" t="e">
        <f t="shared" si="2"/>
        <v>#VALUE!</v>
      </c>
      <c r="I26" s="31">
        <v>44433</v>
      </c>
      <c r="J26" s="29" t="e">
        <f t="shared" si="3"/>
        <v>#VALUE!</v>
      </c>
      <c r="K26" s="90"/>
      <c r="L26" s="29"/>
      <c r="M26" s="29"/>
      <c r="N26" s="117"/>
      <c r="O26" s="116"/>
    </row>
    <row r="27" spans="1:24">
      <c r="A27" s="12" t="s">
        <v>7659</v>
      </c>
      <c r="B27" s="108">
        <v>2021</v>
      </c>
      <c r="C27" s="32" t="s">
        <v>7643</v>
      </c>
      <c r="D27" s="1">
        <v>44433</v>
      </c>
      <c r="E27" s="31">
        <f t="shared" si="0"/>
        <v>44434</v>
      </c>
      <c r="F27" s="31">
        <v>44433</v>
      </c>
      <c r="G27" s="29" t="str">
        <f t="shared" si="1"/>
        <v>SI</v>
      </c>
      <c r="H27" s="31">
        <f t="shared" si="2"/>
        <v>44435</v>
      </c>
      <c r="I27" s="31">
        <v>44433</v>
      </c>
      <c r="J27" s="29" t="str">
        <f t="shared" si="3"/>
        <v>SI</v>
      </c>
      <c r="K27" s="90"/>
      <c r="L27" s="29"/>
      <c r="M27" s="29"/>
      <c r="N27" s="117"/>
      <c r="O27" s="116"/>
    </row>
    <row r="28" spans="1:24">
      <c r="A28" s="12" t="s">
        <v>5959</v>
      </c>
      <c r="B28" s="108">
        <v>2021</v>
      </c>
      <c r="C28" s="32" t="s">
        <v>7643</v>
      </c>
      <c r="D28" s="1" t="str">
        <f>+IFERROR(INDEX(IMPORTS!$AT:$AT,MATCH($A28,IMPORTS!#REF!,0)),"")</f>
        <v/>
      </c>
      <c r="E28" s="31" t="e">
        <f t="shared" si="0"/>
        <v>#VALUE!</v>
      </c>
      <c r="F28" s="31">
        <v>44434</v>
      </c>
      <c r="G28" s="29" t="e">
        <f t="shared" si="1"/>
        <v>#VALUE!</v>
      </c>
      <c r="H28" s="31" t="e">
        <f t="shared" si="2"/>
        <v>#VALUE!</v>
      </c>
      <c r="I28" s="31">
        <v>44434</v>
      </c>
      <c r="J28" s="29" t="e">
        <f t="shared" si="3"/>
        <v>#VALUE!</v>
      </c>
      <c r="K28" s="90"/>
      <c r="L28" s="29"/>
      <c r="M28" s="29"/>
      <c r="N28" s="117"/>
      <c r="O28" s="116"/>
    </row>
    <row r="29" spans="1:24">
      <c r="A29" s="12" t="s">
        <v>6159</v>
      </c>
      <c r="B29" s="108">
        <v>2021</v>
      </c>
      <c r="C29" s="32" t="s">
        <v>7643</v>
      </c>
      <c r="D29" s="1" t="str">
        <f>+IFERROR(INDEX(IMPORTS!$AT:$AT,MATCH($A29,IMPORTS!#REF!,0)),"")</f>
        <v/>
      </c>
      <c r="E29" s="31" t="e">
        <f t="shared" si="0"/>
        <v>#VALUE!</v>
      </c>
      <c r="F29" s="31">
        <v>44434</v>
      </c>
      <c r="G29" s="29" t="e">
        <f t="shared" si="1"/>
        <v>#VALUE!</v>
      </c>
      <c r="H29" s="31" t="e">
        <f t="shared" si="2"/>
        <v>#VALUE!</v>
      </c>
      <c r="I29" s="31">
        <v>44434</v>
      </c>
      <c r="J29" s="29" t="e">
        <f t="shared" si="3"/>
        <v>#VALUE!</v>
      </c>
      <c r="K29" s="90"/>
      <c r="L29" s="29"/>
      <c r="M29" s="29"/>
      <c r="N29" s="117"/>
      <c r="O29" s="116"/>
    </row>
    <row r="30" spans="1:24">
      <c r="A30" s="12" t="s">
        <v>6155</v>
      </c>
      <c r="B30" s="108">
        <v>2021</v>
      </c>
      <c r="C30" s="32" t="s">
        <v>7643</v>
      </c>
      <c r="D30" s="1" t="str">
        <f>+IFERROR(INDEX(IMPORTS!$AT:$AT,MATCH($A30,IMPORTS!#REF!,0)),"")</f>
        <v/>
      </c>
      <c r="E30" s="31" t="e">
        <f t="shared" si="0"/>
        <v>#VALUE!</v>
      </c>
      <c r="F30" s="31">
        <v>44435</v>
      </c>
      <c r="G30" s="29" t="e">
        <f t="shared" si="1"/>
        <v>#VALUE!</v>
      </c>
      <c r="H30" s="31" t="e">
        <f t="shared" si="2"/>
        <v>#VALUE!</v>
      </c>
      <c r="I30" s="31">
        <v>44435</v>
      </c>
      <c r="J30" s="29" t="e">
        <f t="shared" si="3"/>
        <v>#VALUE!</v>
      </c>
      <c r="K30" s="90"/>
      <c r="L30" s="29"/>
      <c r="M30" s="29"/>
      <c r="N30" s="117"/>
      <c r="O30" s="116"/>
    </row>
    <row r="31" spans="1:24">
      <c r="A31" s="12" t="s">
        <v>5772</v>
      </c>
      <c r="B31" s="108">
        <v>2021</v>
      </c>
      <c r="C31" s="32" t="s">
        <v>7643</v>
      </c>
      <c r="D31" s="1" t="str">
        <f>+IFERROR(INDEX(IMPORTS!$AT:$AT,MATCH($A31,IMPORTS!#REF!,0)),"")</f>
        <v/>
      </c>
      <c r="E31" s="31" t="e">
        <f t="shared" si="0"/>
        <v>#VALUE!</v>
      </c>
      <c r="F31" s="31">
        <v>44439</v>
      </c>
      <c r="G31" s="29" t="e">
        <f t="shared" si="1"/>
        <v>#VALUE!</v>
      </c>
      <c r="H31" s="31" t="e">
        <f t="shared" si="2"/>
        <v>#VALUE!</v>
      </c>
      <c r="I31" s="31">
        <v>44439</v>
      </c>
      <c r="J31" s="29" t="e">
        <f t="shared" si="3"/>
        <v>#VALUE!</v>
      </c>
      <c r="K31" s="90"/>
      <c r="L31" s="29"/>
      <c r="M31" s="29"/>
      <c r="N31" s="117"/>
      <c r="O31" s="116"/>
    </row>
    <row r="32" spans="1:24">
      <c r="A32" s="12" t="s">
        <v>5340</v>
      </c>
      <c r="B32" s="108">
        <v>2021</v>
      </c>
      <c r="C32" s="32" t="s">
        <v>7643</v>
      </c>
      <c r="D32" s="1" t="str">
        <f>+IFERROR(INDEX(IMPORTS!$AT:$AT,MATCH($A32,IMPORTS!#REF!,0)),"")</f>
        <v/>
      </c>
      <c r="E32" s="31" t="e">
        <f t="shared" si="0"/>
        <v>#VALUE!</v>
      </c>
      <c r="F32" s="31">
        <v>44439</v>
      </c>
      <c r="G32" s="29" t="e">
        <f t="shared" si="1"/>
        <v>#VALUE!</v>
      </c>
      <c r="H32" s="31" t="e">
        <f t="shared" si="2"/>
        <v>#VALUE!</v>
      </c>
      <c r="I32" s="31">
        <v>44439</v>
      </c>
      <c r="J32" s="29" t="e">
        <f t="shared" si="3"/>
        <v>#VALUE!</v>
      </c>
      <c r="K32" s="90"/>
      <c r="L32" s="29"/>
      <c r="M32" s="29"/>
      <c r="N32" s="117"/>
      <c r="O32" s="116"/>
    </row>
    <row r="33" spans="1:15">
      <c r="A33" s="12" t="s">
        <v>5742</v>
      </c>
      <c r="B33" s="108">
        <v>2021</v>
      </c>
      <c r="C33" s="32" t="s">
        <v>7655</v>
      </c>
      <c r="D33" s="1" t="str">
        <f>+IFERROR(INDEX(IMPORTS!$AT:$AT,MATCH($A33,IMPORTS!#REF!,0)),"")</f>
        <v/>
      </c>
      <c r="E33" s="31" t="e">
        <f t="shared" si="0"/>
        <v>#VALUE!</v>
      </c>
      <c r="F33" s="31">
        <v>44440</v>
      </c>
      <c r="G33" s="29" t="e">
        <f t="shared" si="1"/>
        <v>#VALUE!</v>
      </c>
      <c r="H33" s="31" t="e">
        <f t="shared" si="2"/>
        <v>#VALUE!</v>
      </c>
      <c r="I33" s="31">
        <v>44440</v>
      </c>
      <c r="J33" s="29" t="e">
        <f t="shared" si="3"/>
        <v>#VALUE!</v>
      </c>
      <c r="K33" s="90"/>
      <c r="L33" s="29"/>
      <c r="M33" s="29"/>
      <c r="N33" s="117"/>
      <c r="O33" s="116"/>
    </row>
    <row r="34" spans="1:15">
      <c r="A34" s="12" t="s">
        <v>5754</v>
      </c>
      <c r="B34" s="108">
        <v>2021</v>
      </c>
      <c r="C34" s="32" t="s">
        <v>7655</v>
      </c>
      <c r="D34" s="1" t="str">
        <f>+IFERROR(INDEX(IMPORTS!$AT:$AT,MATCH($A34,IMPORTS!#REF!,0)),"")</f>
        <v/>
      </c>
      <c r="E34" s="31" t="e">
        <f t="shared" ref="E34:E65" si="11">WORKDAY(D34,1,$N$2:$N$12)</f>
        <v>#VALUE!</v>
      </c>
      <c r="F34" s="31">
        <v>44442</v>
      </c>
      <c r="G34" s="29" t="e">
        <f t="shared" si="1"/>
        <v>#VALUE!</v>
      </c>
      <c r="H34" s="31" t="e">
        <f t="shared" ref="H34:H65" si="12">WORKDAY(D34,2,$N$2:$N$12)</f>
        <v>#VALUE!</v>
      </c>
      <c r="I34" s="31">
        <v>44442</v>
      </c>
      <c r="J34" s="29" t="e">
        <f t="shared" ref="J34:J65" si="13">+IF(I34&lt;=H34,"SI","NO")</f>
        <v>#VALUE!</v>
      </c>
      <c r="K34" s="90"/>
      <c r="L34" s="29"/>
      <c r="M34" s="29"/>
      <c r="N34" s="117"/>
      <c r="O34" s="116"/>
    </row>
    <row r="35" spans="1:15">
      <c r="A35" s="12" t="s">
        <v>5759</v>
      </c>
      <c r="B35" s="108">
        <v>2021</v>
      </c>
      <c r="C35" s="32" t="s">
        <v>7655</v>
      </c>
      <c r="D35" s="1" t="str">
        <f>+IFERROR(INDEX(IMPORTS!$AT:$AT,MATCH($A35,IMPORTS!#REF!,0)),"")</f>
        <v/>
      </c>
      <c r="E35" s="31" t="e">
        <f t="shared" si="11"/>
        <v>#VALUE!</v>
      </c>
      <c r="F35" s="31">
        <v>44445</v>
      </c>
      <c r="G35" s="29" t="e">
        <f t="shared" si="1"/>
        <v>#VALUE!</v>
      </c>
      <c r="H35" s="31" t="e">
        <f t="shared" si="12"/>
        <v>#VALUE!</v>
      </c>
      <c r="I35" s="31">
        <v>44446</v>
      </c>
      <c r="J35" s="29" t="e">
        <f t="shared" si="13"/>
        <v>#VALUE!</v>
      </c>
      <c r="K35" s="90"/>
      <c r="L35" s="29"/>
      <c r="M35" s="29"/>
      <c r="N35" s="117"/>
      <c r="O35" s="116"/>
    </row>
    <row r="36" spans="1:15">
      <c r="A36" s="12" t="s">
        <v>6150</v>
      </c>
      <c r="B36" s="108">
        <v>2021</v>
      </c>
      <c r="C36" s="32" t="s">
        <v>7655</v>
      </c>
      <c r="D36" s="1" t="str">
        <f>+IFERROR(INDEX(IMPORTS!$AT:$AT,MATCH($A36,IMPORTS!#REF!,0)),"")</f>
        <v/>
      </c>
      <c r="E36" s="31" t="e">
        <f t="shared" si="11"/>
        <v>#VALUE!</v>
      </c>
      <c r="F36" s="31">
        <v>44442</v>
      </c>
      <c r="G36" s="29" t="e">
        <f t="shared" si="1"/>
        <v>#VALUE!</v>
      </c>
      <c r="H36" s="31" t="e">
        <f t="shared" si="12"/>
        <v>#VALUE!</v>
      </c>
      <c r="I36" s="31">
        <v>44442</v>
      </c>
      <c r="J36" s="29" t="e">
        <f t="shared" si="13"/>
        <v>#VALUE!</v>
      </c>
      <c r="K36" s="90"/>
      <c r="L36" s="29"/>
      <c r="M36" s="29"/>
      <c r="N36" s="117"/>
      <c r="O36" s="116"/>
    </row>
    <row r="37" spans="1:15">
      <c r="A37" s="12" t="s">
        <v>6230</v>
      </c>
      <c r="B37" s="108">
        <v>2021</v>
      </c>
      <c r="C37" s="32" t="s">
        <v>7655</v>
      </c>
      <c r="D37" s="1" t="str">
        <f>+IFERROR(INDEX(IMPORTS!$AT:$AT,MATCH($A37,IMPORTS!#REF!,0)),"")</f>
        <v/>
      </c>
      <c r="E37" s="31" t="e">
        <f t="shared" si="11"/>
        <v>#VALUE!</v>
      </c>
      <c r="F37" s="31">
        <v>44445</v>
      </c>
      <c r="G37" s="29" t="e">
        <f t="shared" si="1"/>
        <v>#VALUE!</v>
      </c>
      <c r="H37" s="31" t="e">
        <f t="shared" si="12"/>
        <v>#VALUE!</v>
      </c>
      <c r="I37" s="31">
        <v>44446</v>
      </c>
      <c r="J37" s="29" t="e">
        <f t="shared" si="13"/>
        <v>#VALUE!</v>
      </c>
      <c r="K37" s="90"/>
      <c r="L37" s="29"/>
      <c r="M37" s="29"/>
      <c r="N37" s="117"/>
      <c r="O37" s="116"/>
    </row>
    <row r="38" spans="1:15" ht="13.9" customHeight="1">
      <c r="A38" s="12" t="s">
        <v>6183</v>
      </c>
      <c r="B38" s="108">
        <v>2021</v>
      </c>
      <c r="C38" s="32" t="s">
        <v>7655</v>
      </c>
      <c r="D38" s="1" t="str">
        <f>+IFERROR(INDEX(IMPORTS!$AT:$AT,MATCH($A38,IMPORTS!#REF!,0)),"")</f>
        <v/>
      </c>
      <c r="E38" s="31" t="e">
        <f t="shared" si="11"/>
        <v>#VALUE!</v>
      </c>
      <c r="F38" s="31">
        <v>44442</v>
      </c>
      <c r="G38" s="29" t="e">
        <f t="shared" si="1"/>
        <v>#VALUE!</v>
      </c>
      <c r="H38" s="31" t="e">
        <f t="shared" si="12"/>
        <v>#VALUE!</v>
      </c>
      <c r="I38" s="31">
        <v>44447</v>
      </c>
      <c r="J38" s="29" t="e">
        <f t="shared" si="13"/>
        <v>#VALUE!</v>
      </c>
      <c r="K38" s="90"/>
      <c r="L38" s="29"/>
      <c r="M38" s="29"/>
      <c r="N38" s="117"/>
      <c r="O38" s="116"/>
    </row>
    <row r="39" spans="1:15">
      <c r="A39" s="12" t="s">
        <v>5589</v>
      </c>
      <c r="B39" s="108">
        <v>2021</v>
      </c>
      <c r="C39" s="32" t="s">
        <v>7655</v>
      </c>
      <c r="D39" s="1" t="str">
        <f>+IFERROR(INDEX(IMPORTS!$AT:$AT,MATCH($A39,IMPORTS!#REF!,0)),"")</f>
        <v/>
      </c>
      <c r="E39" s="31" t="e">
        <f t="shared" si="11"/>
        <v>#VALUE!</v>
      </c>
      <c r="F39" s="31">
        <v>44445</v>
      </c>
      <c r="G39" s="29" t="e">
        <f t="shared" si="1"/>
        <v>#VALUE!</v>
      </c>
      <c r="H39" s="31" t="e">
        <f t="shared" si="12"/>
        <v>#VALUE!</v>
      </c>
      <c r="I39" s="31">
        <v>44452</v>
      </c>
      <c r="J39" s="29" t="e">
        <f t="shared" si="13"/>
        <v>#VALUE!</v>
      </c>
      <c r="K39" s="90"/>
      <c r="L39" s="29"/>
      <c r="M39" s="29"/>
      <c r="N39" s="117"/>
      <c r="O39" s="116"/>
    </row>
    <row r="40" spans="1:15">
      <c r="A40" s="12" t="s">
        <v>5470</v>
      </c>
      <c r="B40" s="108">
        <v>2021</v>
      </c>
      <c r="C40" s="32" t="s">
        <v>7655</v>
      </c>
      <c r="D40" s="1" t="str">
        <f>+IFERROR(INDEX(IMPORTS!$AT:$AT,MATCH($A40,IMPORTS!#REF!,0)),"")</f>
        <v/>
      </c>
      <c r="E40" s="31" t="e">
        <f t="shared" si="11"/>
        <v>#VALUE!</v>
      </c>
      <c r="F40" s="31">
        <v>44446</v>
      </c>
      <c r="G40" s="29" t="e">
        <f t="shared" si="1"/>
        <v>#VALUE!</v>
      </c>
      <c r="H40" s="31" t="e">
        <f t="shared" si="12"/>
        <v>#VALUE!</v>
      </c>
      <c r="I40" s="31">
        <v>44461</v>
      </c>
      <c r="J40" s="29" t="e">
        <f t="shared" si="13"/>
        <v>#VALUE!</v>
      </c>
      <c r="K40" s="90"/>
      <c r="L40" s="29"/>
      <c r="M40" s="29"/>
      <c r="N40" s="117"/>
      <c r="O40" s="116"/>
    </row>
    <row r="41" spans="1:15">
      <c r="A41" s="12" t="s">
        <v>5063</v>
      </c>
      <c r="B41" s="108">
        <v>2021</v>
      </c>
      <c r="C41" s="32" t="s">
        <v>7655</v>
      </c>
      <c r="D41" s="1" t="str">
        <f>+IFERROR(INDEX(IMPORTS!$AT:$AT,MATCH($A41,IMPORTS!#REF!,0)),"")</f>
        <v/>
      </c>
      <c r="E41" s="87" t="e">
        <f t="shared" si="11"/>
        <v>#VALUE!</v>
      </c>
      <c r="F41" s="31">
        <v>44449</v>
      </c>
      <c r="G41" s="29" t="e">
        <f t="shared" si="1"/>
        <v>#VALUE!</v>
      </c>
      <c r="H41" s="31" t="e">
        <f t="shared" si="12"/>
        <v>#VALUE!</v>
      </c>
      <c r="I41" s="31">
        <v>44452</v>
      </c>
      <c r="J41" s="29" t="e">
        <f t="shared" si="13"/>
        <v>#VALUE!</v>
      </c>
      <c r="K41" s="90"/>
      <c r="L41" s="29"/>
      <c r="M41" s="29"/>
      <c r="N41" s="117"/>
      <c r="O41" s="116"/>
    </row>
    <row r="42" spans="1:15">
      <c r="A42" s="12" t="s">
        <v>5197</v>
      </c>
      <c r="B42" s="108">
        <v>2021</v>
      </c>
      <c r="C42" s="32" t="s">
        <v>7655</v>
      </c>
      <c r="D42" s="1" t="str">
        <f>+IFERROR(INDEX(IMPORTS!$AT:$AT,MATCH($A42,IMPORTS!#REF!,0)),"")</f>
        <v/>
      </c>
      <c r="E42" s="87" t="e">
        <f t="shared" si="11"/>
        <v>#VALUE!</v>
      </c>
      <c r="F42" s="31">
        <v>44449</v>
      </c>
      <c r="G42" s="29" t="e">
        <f t="shared" si="1"/>
        <v>#VALUE!</v>
      </c>
      <c r="H42" s="31" t="e">
        <f t="shared" si="12"/>
        <v>#VALUE!</v>
      </c>
      <c r="I42" s="31">
        <v>44452</v>
      </c>
      <c r="J42" s="29" t="e">
        <f t="shared" si="13"/>
        <v>#VALUE!</v>
      </c>
      <c r="K42" s="90"/>
      <c r="L42" s="29"/>
      <c r="M42" s="29"/>
      <c r="N42" s="117"/>
      <c r="O42" s="116"/>
    </row>
    <row r="43" spans="1:15">
      <c r="A43" s="12" t="s">
        <v>5349</v>
      </c>
      <c r="B43" s="108">
        <v>2021</v>
      </c>
      <c r="C43" s="32" t="s">
        <v>7655</v>
      </c>
      <c r="D43" s="1" t="str">
        <f>+IFERROR(INDEX(IMPORTS!$AT:$AT,MATCH($A43,IMPORTS!#REF!,0)),"")</f>
        <v/>
      </c>
      <c r="E43" s="87" t="e">
        <f t="shared" si="11"/>
        <v>#VALUE!</v>
      </c>
      <c r="F43" s="31">
        <v>44449</v>
      </c>
      <c r="G43" s="29" t="e">
        <f t="shared" si="1"/>
        <v>#VALUE!</v>
      </c>
      <c r="H43" s="31" t="e">
        <f t="shared" si="12"/>
        <v>#VALUE!</v>
      </c>
      <c r="I43" s="31">
        <v>44452</v>
      </c>
      <c r="J43" s="29" t="e">
        <f t="shared" si="13"/>
        <v>#VALUE!</v>
      </c>
      <c r="K43" s="90"/>
      <c r="L43" s="29"/>
      <c r="M43" s="29"/>
      <c r="N43" s="117"/>
      <c r="O43" s="116"/>
    </row>
    <row r="44" spans="1:15">
      <c r="A44" s="12" t="s">
        <v>5595</v>
      </c>
      <c r="B44" s="108">
        <v>2021</v>
      </c>
      <c r="C44" s="32" t="s">
        <v>7655</v>
      </c>
      <c r="D44" s="1" t="str">
        <f>+IFERROR(INDEX(IMPORTS!$AT:$AT,MATCH($A44,IMPORTS!#REF!,0)),"")</f>
        <v/>
      </c>
      <c r="E44" s="87" t="e">
        <f t="shared" si="11"/>
        <v>#VALUE!</v>
      </c>
      <c r="F44" s="31">
        <v>44449</v>
      </c>
      <c r="G44" s="29" t="e">
        <f t="shared" ref="G44:G65" si="14">+IF(F44&lt;=E44,"SI","NO")</f>
        <v>#VALUE!</v>
      </c>
      <c r="H44" s="31" t="e">
        <f t="shared" si="12"/>
        <v>#VALUE!</v>
      </c>
      <c r="I44" s="31">
        <v>44461</v>
      </c>
      <c r="J44" s="29" t="e">
        <f t="shared" si="13"/>
        <v>#VALUE!</v>
      </c>
      <c r="K44" s="90"/>
      <c r="L44" s="29"/>
      <c r="M44" s="29"/>
      <c r="N44" s="117"/>
      <c r="O44" s="116"/>
    </row>
    <row r="45" spans="1:15">
      <c r="A45" s="12" t="s">
        <v>5727</v>
      </c>
      <c r="B45" s="108">
        <v>2021</v>
      </c>
      <c r="C45" s="32" t="s">
        <v>7655</v>
      </c>
      <c r="D45" s="1" t="str">
        <f>+IFERROR(INDEX(IMPORTS!$AT:$AT,MATCH($A45,IMPORTS!#REF!,0)),"")</f>
        <v/>
      </c>
      <c r="E45" s="87" t="e">
        <f t="shared" si="11"/>
        <v>#VALUE!</v>
      </c>
      <c r="F45" s="31">
        <v>44449</v>
      </c>
      <c r="G45" s="29" t="e">
        <f t="shared" si="14"/>
        <v>#VALUE!</v>
      </c>
      <c r="H45" s="31" t="e">
        <f t="shared" si="12"/>
        <v>#VALUE!</v>
      </c>
      <c r="I45" s="31">
        <v>44461</v>
      </c>
      <c r="J45" s="29" t="e">
        <f t="shared" si="13"/>
        <v>#VALUE!</v>
      </c>
      <c r="K45" s="90"/>
      <c r="L45" s="29"/>
      <c r="M45" s="29"/>
      <c r="N45" s="117"/>
      <c r="O45" s="116"/>
    </row>
    <row r="46" spans="1:15">
      <c r="A46" s="12" t="s">
        <v>6042</v>
      </c>
      <c r="B46" s="108">
        <v>2021</v>
      </c>
      <c r="C46" s="32" t="s">
        <v>7655</v>
      </c>
      <c r="D46" s="1" t="str">
        <f>+IFERROR(INDEX(IMPORTS!$AT:$AT,MATCH($A46,IMPORTS!#REF!,0)),"")</f>
        <v/>
      </c>
      <c r="E46" s="87" t="e">
        <f t="shared" si="11"/>
        <v>#VALUE!</v>
      </c>
      <c r="F46" s="31">
        <v>44449</v>
      </c>
      <c r="G46" s="29" t="e">
        <f t="shared" si="14"/>
        <v>#VALUE!</v>
      </c>
      <c r="H46" s="31" t="e">
        <f t="shared" si="12"/>
        <v>#VALUE!</v>
      </c>
      <c r="I46" s="31">
        <v>44455</v>
      </c>
      <c r="J46" s="29" t="e">
        <f t="shared" si="13"/>
        <v>#VALUE!</v>
      </c>
      <c r="K46" s="90"/>
      <c r="L46" s="29"/>
      <c r="M46" s="29"/>
      <c r="N46" s="117"/>
      <c r="O46" s="116"/>
    </row>
    <row r="47" spans="1:15">
      <c r="A47" s="12" t="s">
        <v>5493</v>
      </c>
      <c r="B47" s="108">
        <v>2021</v>
      </c>
      <c r="C47" s="32" t="s">
        <v>7655</v>
      </c>
      <c r="D47" s="1" t="str">
        <f>+IFERROR(INDEX(IMPORTS!$AT:$AT,MATCH($A47,IMPORTS!#REF!,0)),"")</f>
        <v/>
      </c>
      <c r="E47" s="87" t="e">
        <f t="shared" si="11"/>
        <v>#VALUE!</v>
      </c>
      <c r="F47" s="31">
        <v>44450</v>
      </c>
      <c r="G47" s="29" t="e">
        <f t="shared" si="14"/>
        <v>#VALUE!</v>
      </c>
      <c r="H47" s="31" t="e">
        <f t="shared" si="12"/>
        <v>#VALUE!</v>
      </c>
      <c r="I47" s="31">
        <v>44453</v>
      </c>
      <c r="J47" s="29" t="e">
        <f t="shared" si="13"/>
        <v>#VALUE!</v>
      </c>
      <c r="K47" s="90"/>
      <c r="L47" s="29"/>
      <c r="M47" s="29"/>
      <c r="N47" s="117"/>
      <c r="O47" s="116"/>
    </row>
    <row r="48" spans="1:15">
      <c r="A48" s="12" t="s">
        <v>5487</v>
      </c>
      <c r="B48" s="108">
        <v>2021</v>
      </c>
      <c r="C48" s="32" t="s">
        <v>7655</v>
      </c>
      <c r="D48" s="1" t="str">
        <f>+IFERROR(INDEX(IMPORTS!$AT:$AT,MATCH($A48,IMPORTS!#REF!,0)),"")</f>
        <v/>
      </c>
      <c r="E48" s="87" t="e">
        <f t="shared" si="11"/>
        <v>#VALUE!</v>
      </c>
      <c r="F48" s="31">
        <v>44450</v>
      </c>
      <c r="G48" s="29" t="e">
        <f t="shared" si="14"/>
        <v>#VALUE!</v>
      </c>
      <c r="H48" s="31" t="e">
        <f t="shared" si="12"/>
        <v>#VALUE!</v>
      </c>
      <c r="I48" s="31">
        <v>44452</v>
      </c>
      <c r="J48" s="29" t="e">
        <f t="shared" si="13"/>
        <v>#VALUE!</v>
      </c>
      <c r="K48" s="90"/>
      <c r="L48" s="29"/>
      <c r="M48" s="29"/>
      <c r="N48" s="117"/>
      <c r="O48" s="116"/>
    </row>
    <row r="49" spans="1:15">
      <c r="A49" s="12" t="s">
        <v>6179</v>
      </c>
      <c r="B49" s="108">
        <v>2021</v>
      </c>
      <c r="C49" s="32" t="s">
        <v>7655</v>
      </c>
      <c r="D49" s="1" t="str">
        <f>+IFERROR(INDEX(IMPORTS!$AT:$AT,MATCH($A49,IMPORTS!#REF!,0)),"")</f>
        <v/>
      </c>
      <c r="E49" s="87" t="e">
        <f t="shared" si="11"/>
        <v>#VALUE!</v>
      </c>
      <c r="F49" s="31">
        <v>44445</v>
      </c>
      <c r="G49" s="29" t="e">
        <f t="shared" si="14"/>
        <v>#VALUE!</v>
      </c>
      <c r="H49" s="31" t="e">
        <f t="shared" si="12"/>
        <v>#VALUE!</v>
      </c>
      <c r="I49" s="31">
        <v>44449</v>
      </c>
      <c r="J49" s="29" t="e">
        <f t="shared" si="13"/>
        <v>#VALUE!</v>
      </c>
      <c r="K49" s="90"/>
      <c r="L49" s="29"/>
      <c r="M49" s="29"/>
      <c r="N49" s="117"/>
      <c r="O49" s="116"/>
    </row>
    <row r="50" spans="1:15">
      <c r="A50" s="12" t="s">
        <v>6226</v>
      </c>
      <c r="B50" s="108">
        <v>2021</v>
      </c>
      <c r="C50" s="32" t="s">
        <v>7655</v>
      </c>
      <c r="D50" s="1" t="str">
        <f>+IFERROR(INDEX(IMPORTS!$AT:$AT,MATCH($A50,IMPORTS!#REF!,0)),"")</f>
        <v/>
      </c>
      <c r="E50" s="87" t="e">
        <f t="shared" si="11"/>
        <v>#VALUE!</v>
      </c>
      <c r="F50" s="31">
        <v>44453</v>
      </c>
      <c r="G50" s="29" t="e">
        <f t="shared" si="14"/>
        <v>#VALUE!</v>
      </c>
      <c r="H50" s="31" t="e">
        <f t="shared" si="12"/>
        <v>#VALUE!</v>
      </c>
      <c r="I50" s="31">
        <v>44456</v>
      </c>
      <c r="J50" s="29" t="e">
        <f t="shared" si="13"/>
        <v>#VALUE!</v>
      </c>
      <c r="K50" s="90"/>
      <c r="L50" s="29"/>
      <c r="M50" s="29"/>
      <c r="N50" s="117"/>
      <c r="O50" s="116"/>
    </row>
    <row r="51" spans="1:15">
      <c r="A51" s="12" t="s">
        <v>6235</v>
      </c>
      <c r="B51" s="108">
        <v>2021</v>
      </c>
      <c r="C51" s="32" t="s">
        <v>7655</v>
      </c>
      <c r="D51" s="1" t="str">
        <f>+IFERROR(INDEX(IMPORTS!$AT:$AT,MATCH($A51,IMPORTS!#REF!,0)),"")</f>
        <v/>
      </c>
      <c r="E51" s="87" t="e">
        <f t="shared" si="11"/>
        <v>#VALUE!</v>
      </c>
      <c r="F51" s="31">
        <v>44453</v>
      </c>
      <c r="G51" s="29" t="e">
        <f t="shared" si="14"/>
        <v>#VALUE!</v>
      </c>
      <c r="H51" s="31" t="e">
        <f t="shared" si="12"/>
        <v>#VALUE!</v>
      </c>
      <c r="I51" s="31">
        <v>44454</v>
      </c>
      <c r="J51" s="29" t="e">
        <f t="shared" si="13"/>
        <v>#VALUE!</v>
      </c>
      <c r="K51" s="90"/>
      <c r="L51" s="29"/>
      <c r="M51" s="29"/>
      <c r="N51" s="117"/>
      <c r="O51" s="116"/>
    </row>
    <row r="52" spans="1:15">
      <c r="A52" s="12" t="s">
        <v>5183</v>
      </c>
      <c r="B52" s="108">
        <v>2021</v>
      </c>
      <c r="C52" s="32" t="s">
        <v>7655</v>
      </c>
      <c r="D52" s="1" t="str">
        <f>+IFERROR(INDEX(IMPORTS!$AT:$AT,MATCH($A52,IMPORTS!#REF!,0)),"")</f>
        <v/>
      </c>
      <c r="E52" s="87" t="e">
        <f t="shared" si="11"/>
        <v>#VALUE!</v>
      </c>
      <c r="F52" s="31">
        <v>44469</v>
      </c>
      <c r="G52" s="29" t="e">
        <f t="shared" si="14"/>
        <v>#VALUE!</v>
      </c>
      <c r="H52" s="31" t="e">
        <f t="shared" si="12"/>
        <v>#VALUE!</v>
      </c>
      <c r="I52" s="31">
        <v>44470</v>
      </c>
      <c r="J52" s="29" t="e">
        <f t="shared" si="13"/>
        <v>#VALUE!</v>
      </c>
      <c r="K52" s="90"/>
      <c r="L52" s="29"/>
      <c r="M52" s="29"/>
      <c r="N52" s="117"/>
      <c r="O52" s="116"/>
    </row>
    <row r="53" spans="1:15">
      <c r="A53" s="12" t="s">
        <v>5504</v>
      </c>
      <c r="B53" s="108">
        <v>2021</v>
      </c>
      <c r="C53" s="32" t="s">
        <v>7655</v>
      </c>
      <c r="D53" s="1" t="str">
        <f>+IFERROR(INDEX(IMPORTS!$AT:$AT,MATCH($A53,IMPORTS!#REF!,0)),"")</f>
        <v/>
      </c>
      <c r="E53" s="87" t="e">
        <f t="shared" si="11"/>
        <v>#VALUE!</v>
      </c>
      <c r="F53" s="31">
        <v>44460</v>
      </c>
      <c r="G53" s="29" t="e">
        <f t="shared" si="14"/>
        <v>#VALUE!</v>
      </c>
      <c r="H53" s="31" t="e">
        <f t="shared" si="12"/>
        <v>#VALUE!</v>
      </c>
      <c r="I53" s="31">
        <v>44461</v>
      </c>
      <c r="J53" s="29" t="e">
        <f t="shared" si="13"/>
        <v>#VALUE!</v>
      </c>
      <c r="K53" s="90"/>
      <c r="L53" s="29"/>
      <c r="M53" s="29"/>
      <c r="N53" s="117"/>
      <c r="O53" s="116"/>
    </row>
    <row r="54" spans="1:15">
      <c r="A54" s="12" t="s">
        <v>5638</v>
      </c>
      <c r="B54" s="108">
        <v>2021</v>
      </c>
      <c r="C54" s="32" t="s">
        <v>7655</v>
      </c>
      <c r="D54" s="1" t="str">
        <f>+IFERROR(INDEX(IMPORTS!$AT:$AT,MATCH($A54,IMPORTS!#REF!,0)),"")</f>
        <v/>
      </c>
      <c r="E54" s="87" t="e">
        <f t="shared" si="11"/>
        <v>#VALUE!</v>
      </c>
      <c r="F54" s="31">
        <v>44456</v>
      </c>
      <c r="G54" s="29" t="e">
        <f t="shared" si="14"/>
        <v>#VALUE!</v>
      </c>
      <c r="H54" s="31" t="e">
        <f t="shared" si="12"/>
        <v>#VALUE!</v>
      </c>
      <c r="I54" s="31">
        <v>44457</v>
      </c>
      <c r="J54" s="29" t="e">
        <f t="shared" si="13"/>
        <v>#VALUE!</v>
      </c>
      <c r="K54" s="90"/>
      <c r="L54" s="29"/>
      <c r="M54" s="29"/>
      <c r="N54" s="117"/>
      <c r="O54" s="116"/>
    </row>
    <row r="55" spans="1:15">
      <c r="A55" s="12" t="s">
        <v>5645</v>
      </c>
      <c r="B55" s="108">
        <v>2021</v>
      </c>
      <c r="C55" s="32" t="s">
        <v>7655</v>
      </c>
      <c r="D55" s="1" t="str">
        <f>+IFERROR(INDEX(IMPORTS!$AT:$AT,MATCH($A55,IMPORTS!#REF!,0)),"")</f>
        <v/>
      </c>
      <c r="E55" s="87" t="e">
        <f t="shared" si="11"/>
        <v>#VALUE!</v>
      </c>
      <c r="F55" s="31">
        <v>44456</v>
      </c>
      <c r="G55" s="29" t="e">
        <f t="shared" si="14"/>
        <v>#VALUE!</v>
      </c>
      <c r="H55" s="31" t="e">
        <f t="shared" si="12"/>
        <v>#VALUE!</v>
      </c>
      <c r="I55" s="31">
        <v>44469</v>
      </c>
      <c r="J55" s="29" t="e">
        <f t="shared" si="13"/>
        <v>#VALUE!</v>
      </c>
      <c r="K55" s="90"/>
      <c r="L55" s="29"/>
      <c r="M55" s="29"/>
      <c r="N55" s="117"/>
      <c r="O55" s="116"/>
    </row>
    <row r="56" spans="1:15">
      <c r="A56" s="12" t="s">
        <v>5657</v>
      </c>
      <c r="B56" s="108">
        <v>2021</v>
      </c>
      <c r="C56" s="32" t="s">
        <v>7655</v>
      </c>
      <c r="D56" s="1" t="str">
        <f>+IFERROR(INDEX(IMPORTS!$AT:$AT,MATCH($A56,IMPORTS!#REF!,0)),"")</f>
        <v/>
      </c>
      <c r="E56" s="87" t="e">
        <f t="shared" si="11"/>
        <v>#VALUE!</v>
      </c>
      <c r="F56" s="31">
        <v>44456</v>
      </c>
      <c r="G56" s="29" t="e">
        <f t="shared" si="14"/>
        <v>#VALUE!</v>
      </c>
      <c r="H56" s="31" t="e">
        <f t="shared" si="12"/>
        <v>#VALUE!</v>
      </c>
      <c r="I56" s="31">
        <v>44466</v>
      </c>
      <c r="J56" s="29" t="e">
        <f t="shared" si="13"/>
        <v>#VALUE!</v>
      </c>
      <c r="K56" s="90"/>
      <c r="L56" s="29"/>
      <c r="M56" s="29"/>
      <c r="N56" s="117"/>
      <c r="O56" s="116"/>
    </row>
    <row r="57" spans="1:15">
      <c r="A57" s="12" t="s">
        <v>5669</v>
      </c>
      <c r="B57" s="108">
        <v>2021</v>
      </c>
      <c r="C57" s="32" t="s">
        <v>7655</v>
      </c>
      <c r="D57" s="1" t="str">
        <f>+IFERROR(INDEX(IMPORTS!$AT:$AT,MATCH($A57,IMPORTS!#REF!,0)),"")</f>
        <v/>
      </c>
      <c r="E57" s="87" t="e">
        <f t="shared" si="11"/>
        <v>#VALUE!</v>
      </c>
      <c r="F57" s="31">
        <v>44456</v>
      </c>
      <c r="G57" s="29" t="e">
        <f t="shared" si="14"/>
        <v>#VALUE!</v>
      </c>
      <c r="H57" s="31" t="e">
        <f t="shared" si="12"/>
        <v>#VALUE!</v>
      </c>
      <c r="I57" s="31">
        <v>44457</v>
      </c>
      <c r="J57" s="29" t="e">
        <f t="shared" si="13"/>
        <v>#VALUE!</v>
      </c>
      <c r="K57" s="90"/>
      <c r="L57" s="29"/>
      <c r="M57" s="29"/>
      <c r="N57" s="117"/>
      <c r="O57" s="116"/>
    </row>
    <row r="58" spans="1:15">
      <c r="A58" s="12" t="s">
        <v>5673</v>
      </c>
      <c r="B58" s="108">
        <v>2021</v>
      </c>
      <c r="C58" s="32" t="s">
        <v>7655</v>
      </c>
      <c r="D58" s="1" t="str">
        <f>+IFERROR(INDEX(IMPORTS!$AT:$AT,MATCH($A58,IMPORTS!#REF!,0)),"")</f>
        <v/>
      </c>
      <c r="E58" s="87" t="e">
        <f t="shared" si="11"/>
        <v>#VALUE!</v>
      </c>
      <c r="F58" s="31">
        <v>44456</v>
      </c>
      <c r="G58" s="29" t="e">
        <f t="shared" si="14"/>
        <v>#VALUE!</v>
      </c>
      <c r="H58" s="31" t="e">
        <f t="shared" si="12"/>
        <v>#VALUE!</v>
      </c>
      <c r="I58" s="31">
        <v>44469</v>
      </c>
      <c r="J58" s="29" t="e">
        <f t="shared" si="13"/>
        <v>#VALUE!</v>
      </c>
      <c r="K58" s="90"/>
      <c r="L58" s="29"/>
      <c r="M58" s="29"/>
      <c r="N58" s="117"/>
      <c r="O58" s="116"/>
    </row>
    <row r="59" spans="1:15">
      <c r="A59" s="12" t="s">
        <v>5684</v>
      </c>
      <c r="B59" s="108">
        <v>2021</v>
      </c>
      <c r="C59" s="32" t="s">
        <v>7655</v>
      </c>
      <c r="D59" s="1" t="str">
        <f>+IFERROR(INDEX(IMPORTS!$AT:$AT,MATCH($A59,IMPORTS!#REF!,0)),"")</f>
        <v/>
      </c>
      <c r="E59" s="87" t="e">
        <f t="shared" si="11"/>
        <v>#VALUE!</v>
      </c>
      <c r="F59" s="31">
        <v>44456</v>
      </c>
      <c r="G59" s="29" t="e">
        <f t="shared" si="14"/>
        <v>#VALUE!</v>
      </c>
      <c r="H59" s="31" t="e">
        <f t="shared" si="12"/>
        <v>#VALUE!</v>
      </c>
      <c r="I59" s="31">
        <v>44466</v>
      </c>
      <c r="J59" s="29" t="e">
        <f t="shared" si="13"/>
        <v>#VALUE!</v>
      </c>
      <c r="K59" s="90"/>
      <c r="L59" s="29"/>
      <c r="M59" s="29"/>
      <c r="N59" s="117"/>
      <c r="O59" s="116"/>
    </row>
    <row r="60" spans="1:15">
      <c r="A60" s="12" t="s">
        <v>5798</v>
      </c>
      <c r="B60" s="108">
        <v>2021</v>
      </c>
      <c r="C60" s="32" t="s">
        <v>7655</v>
      </c>
      <c r="D60" s="1" t="str">
        <f>+IFERROR(INDEX(IMPORTS!$AT:$AT,MATCH($A60,IMPORTS!#REF!,0)),"")</f>
        <v/>
      </c>
      <c r="E60" s="87" t="e">
        <f t="shared" si="11"/>
        <v>#VALUE!</v>
      </c>
      <c r="F60" s="31">
        <v>44455</v>
      </c>
      <c r="G60" s="29" t="e">
        <f t="shared" si="14"/>
        <v>#VALUE!</v>
      </c>
      <c r="H60" s="31" t="e">
        <f t="shared" si="12"/>
        <v>#VALUE!</v>
      </c>
      <c r="I60" s="31">
        <v>44455</v>
      </c>
      <c r="J60" s="29" t="e">
        <f t="shared" si="13"/>
        <v>#VALUE!</v>
      </c>
      <c r="K60" s="90"/>
      <c r="L60" s="29"/>
      <c r="M60" s="29"/>
      <c r="N60" s="117"/>
      <c r="O60" s="116"/>
    </row>
    <row r="61" spans="1:15">
      <c r="A61" s="12" t="s">
        <v>5811</v>
      </c>
      <c r="B61" s="108">
        <v>2021</v>
      </c>
      <c r="C61" s="32" t="s">
        <v>7655</v>
      </c>
      <c r="D61" s="1" t="str">
        <f>+IFERROR(INDEX(IMPORTS!$AT:$AT,MATCH($A61,IMPORTS!#REF!,0)),"")</f>
        <v/>
      </c>
      <c r="E61" s="87" t="e">
        <f t="shared" si="11"/>
        <v>#VALUE!</v>
      </c>
      <c r="F61" s="31">
        <v>44456</v>
      </c>
      <c r="G61" s="29" t="e">
        <f t="shared" si="14"/>
        <v>#VALUE!</v>
      </c>
      <c r="H61" s="31" t="e">
        <f t="shared" si="12"/>
        <v>#VALUE!</v>
      </c>
      <c r="I61" s="31">
        <v>44468</v>
      </c>
      <c r="J61" s="29" t="e">
        <f t="shared" si="13"/>
        <v>#VALUE!</v>
      </c>
      <c r="K61" s="90"/>
      <c r="L61" s="29"/>
      <c r="M61" s="29"/>
      <c r="N61" s="117"/>
      <c r="O61" s="116"/>
    </row>
    <row r="62" spans="1:15">
      <c r="A62" s="12" t="s">
        <v>5868</v>
      </c>
      <c r="B62" s="108">
        <v>2021</v>
      </c>
      <c r="C62" s="32" t="s">
        <v>7655</v>
      </c>
      <c r="D62" s="1" t="str">
        <f>+IFERROR(INDEX(IMPORTS!$AT:$AT,MATCH($A62,IMPORTS!#REF!,0)),"")</f>
        <v/>
      </c>
      <c r="E62" s="87" t="e">
        <f t="shared" si="11"/>
        <v>#VALUE!</v>
      </c>
      <c r="F62" s="31">
        <v>44459</v>
      </c>
      <c r="G62" s="29" t="e">
        <f t="shared" si="14"/>
        <v>#VALUE!</v>
      </c>
      <c r="H62" s="31" t="e">
        <f t="shared" si="12"/>
        <v>#VALUE!</v>
      </c>
      <c r="I62" s="31">
        <v>44460</v>
      </c>
      <c r="J62" s="29" t="e">
        <f t="shared" si="13"/>
        <v>#VALUE!</v>
      </c>
      <c r="K62" s="90"/>
      <c r="L62" s="29"/>
      <c r="M62" s="29"/>
      <c r="N62" s="117"/>
      <c r="O62" s="116"/>
    </row>
    <row r="63" spans="1:15">
      <c r="A63" s="12" t="s">
        <v>5903</v>
      </c>
      <c r="B63" s="108">
        <v>2021</v>
      </c>
      <c r="C63" s="32" t="s">
        <v>7655</v>
      </c>
      <c r="D63" s="1" t="str">
        <f>+IFERROR(INDEX(IMPORTS!$AT:$AT,MATCH($A63,IMPORTS!#REF!,0)),"")</f>
        <v/>
      </c>
      <c r="E63" s="87" t="e">
        <f t="shared" si="11"/>
        <v>#VALUE!</v>
      </c>
      <c r="F63" s="31">
        <v>44469</v>
      </c>
      <c r="G63" s="29" t="e">
        <f t="shared" si="14"/>
        <v>#VALUE!</v>
      </c>
      <c r="H63" s="31" t="e">
        <f t="shared" si="12"/>
        <v>#VALUE!</v>
      </c>
      <c r="I63" s="31">
        <v>44470</v>
      </c>
      <c r="J63" s="29" t="e">
        <f t="shared" si="13"/>
        <v>#VALUE!</v>
      </c>
      <c r="K63" s="90"/>
      <c r="L63" s="29"/>
      <c r="M63" s="29"/>
      <c r="N63" s="117"/>
      <c r="O63" s="116"/>
    </row>
    <row r="64" spans="1:15">
      <c r="A64" s="12" t="s">
        <v>5908</v>
      </c>
      <c r="B64" s="108">
        <v>2021</v>
      </c>
      <c r="C64" s="32" t="s">
        <v>7655</v>
      </c>
      <c r="D64" s="1" t="str">
        <f>+IFERROR(INDEX(IMPORTS!$AT:$AT,MATCH($A64,IMPORTS!#REF!,0)),"")</f>
        <v/>
      </c>
      <c r="E64" s="87" t="e">
        <f t="shared" si="11"/>
        <v>#VALUE!</v>
      </c>
      <c r="F64" s="31">
        <v>44455</v>
      </c>
      <c r="G64" s="29" t="e">
        <f t="shared" si="14"/>
        <v>#VALUE!</v>
      </c>
      <c r="H64" s="31" t="e">
        <f t="shared" si="12"/>
        <v>#VALUE!</v>
      </c>
      <c r="I64" s="31">
        <v>44455</v>
      </c>
      <c r="J64" s="29" t="e">
        <f t="shared" si="13"/>
        <v>#VALUE!</v>
      </c>
      <c r="K64" s="90"/>
      <c r="L64" s="29"/>
      <c r="M64" s="29"/>
      <c r="N64" s="117"/>
      <c r="O64" s="116"/>
    </row>
    <row r="65" spans="1:15">
      <c r="A65" s="12" t="s">
        <v>5988</v>
      </c>
      <c r="B65" s="108">
        <v>2021</v>
      </c>
      <c r="C65" s="32" t="s">
        <v>7655</v>
      </c>
      <c r="D65" s="1" t="str">
        <f>+IFERROR(INDEX(IMPORTS!$AT:$AT,MATCH($A65,IMPORTS!#REF!,0)),"")</f>
        <v/>
      </c>
      <c r="E65" s="87" t="e">
        <f t="shared" si="11"/>
        <v>#VALUE!</v>
      </c>
      <c r="F65" s="31">
        <v>44469</v>
      </c>
      <c r="G65" s="29" t="e">
        <f t="shared" si="14"/>
        <v>#VALUE!</v>
      </c>
      <c r="H65" s="31" t="e">
        <f t="shared" si="12"/>
        <v>#VALUE!</v>
      </c>
      <c r="I65" s="31">
        <v>44469</v>
      </c>
      <c r="J65" s="29" t="e">
        <f t="shared" si="13"/>
        <v>#VALUE!</v>
      </c>
      <c r="K65" s="90"/>
      <c r="L65" s="29"/>
      <c r="M65" s="29"/>
      <c r="N65" s="117"/>
      <c r="O65" s="116"/>
    </row>
    <row r="66" spans="1:15">
      <c r="A66" s="12" t="s">
        <v>6048</v>
      </c>
      <c r="B66" s="108">
        <v>2021</v>
      </c>
      <c r="C66" s="32" t="s">
        <v>7655</v>
      </c>
      <c r="D66" s="1" t="str">
        <f>+IFERROR(INDEX(IMPORTS!$AT:$AT,MATCH($A66,IMPORTS!#REF!,0)),"")</f>
        <v/>
      </c>
      <c r="E66" s="87" t="e">
        <f t="shared" ref="E66:E105" si="15">WORKDAY(D66,1,$N$2:$N$12)</f>
        <v>#VALUE!</v>
      </c>
      <c r="F66" s="31">
        <v>44449</v>
      </c>
      <c r="G66" s="29" t="e">
        <f t="shared" ref="G66:G105" si="16">+IF(F66&lt;=E66,"SI","NO")</f>
        <v>#VALUE!</v>
      </c>
      <c r="H66" s="31" t="e">
        <f t="shared" ref="H66:H105" si="17">WORKDAY(D66,2,$N$2:$N$12)</f>
        <v>#VALUE!</v>
      </c>
      <c r="I66" s="31">
        <v>44449</v>
      </c>
      <c r="J66" s="29" t="e">
        <f t="shared" ref="J66:J77" si="18">+IF(I66&lt;=H66,"SI","NO")</f>
        <v>#VALUE!</v>
      </c>
      <c r="K66" s="90"/>
      <c r="L66" s="29"/>
      <c r="M66" s="29"/>
      <c r="N66" s="117"/>
      <c r="O66" s="116"/>
    </row>
    <row r="67" spans="1:15">
      <c r="A67" s="12" t="s">
        <v>6146</v>
      </c>
      <c r="B67" s="108">
        <v>2021</v>
      </c>
      <c r="C67" s="32" t="s">
        <v>7655</v>
      </c>
      <c r="D67" s="1" t="str">
        <f>+IFERROR(INDEX(IMPORTS!$AT:$AT,MATCH($A67,IMPORTS!#REF!,0)),"")</f>
        <v/>
      </c>
      <c r="E67" s="87" t="e">
        <f t="shared" si="15"/>
        <v>#VALUE!</v>
      </c>
      <c r="F67" s="31">
        <v>44454</v>
      </c>
      <c r="G67" s="29" t="e">
        <f t="shared" si="16"/>
        <v>#VALUE!</v>
      </c>
      <c r="H67" s="31" t="e">
        <f t="shared" si="17"/>
        <v>#VALUE!</v>
      </c>
      <c r="I67" s="31">
        <v>44454</v>
      </c>
      <c r="J67" s="29" t="e">
        <f t="shared" si="18"/>
        <v>#VALUE!</v>
      </c>
      <c r="K67" s="90"/>
      <c r="L67" s="29"/>
      <c r="M67" s="29"/>
      <c r="N67" s="117"/>
      <c r="O67" s="116"/>
    </row>
    <row r="68" spans="1:15">
      <c r="A68" s="12" t="s">
        <v>6222</v>
      </c>
      <c r="B68" s="108">
        <v>2021</v>
      </c>
      <c r="C68" s="32" t="s">
        <v>7655</v>
      </c>
      <c r="D68" s="1" t="str">
        <f>+IFERROR(INDEX(IMPORTS!$AT:$AT,MATCH($A68,IMPORTS!#REF!,0)),"")</f>
        <v/>
      </c>
      <c r="E68" s="87" t="e">
        <f t="shared" si="15"/>
        <v>#VALUE!</v>
      </c>
      <c r="F68" s="31">
        <v>44469</v>
      </c>
      <c r="G68" s="29" t="e">
        <f t="shared" si="16"/>
        <v>#VALUE!</v>
      </c>
      <c r="H68" s="31" t="e">
        <f t="shared" si="17"/>
        <v>#VALUE!</v>
      </c>
      <c r="I68" s="31">
        <v>44470</v>
      </c>
      <c r="J68" s="29" t="e">
        <f t="shared" si="18"/>
        <v>#VALUE!</v>
      </c>
      <c r="K68" s="90"/>
      <c r="L68" s="29"/>
      <c r="M68" s="29"/>
      <c r="N68" s="117"/>
      <c r="O68" s="116"/>
    </row>
    <row r="69" spans="1:15">
      <c r="A69" s="12" t="s">
        <v>6239</v>
      </c>
      <c r="B69" s="108">
        <v>2021</v>
      </c>
      <c r="C69" s="32" t="s">
        <v>7655</v>
      </c>
      <c r="D69" s="1" t="str">
        <f>+IFERROR(INDEX(IMPORTS!$AT:$AT,MATCH($A69,IMPORTS!#REF!,0)),"")</f>
        <v/>
      </c>
      <c r="E69" s="87" t="e">
        <f t="shared" si="15"/>
        <v>#VALUE!</v>
      </c>
      <c r="F69" s="31">
        <v>44459</v>
      </c>
      <c r="G69" s="29" t="e">
        <f t="shared" si="16"/>
        <v>#VALUE!</v>
      </c>
      <c r="H69" s="31" t="e">
        <f t="shared" si="17"/>
        <v>#VALUE!</v>
      </c>
      <c r="I69" s="31">
        <v>44461</v>
      </c>
      <c r="J69" s="29" t="e">
        <f t="shared" si="18"/>
        <v>#VALUE!</v>
      </c>
      <c r="K69" s="90"/>
      <c r="L69" s="29"/>
      <c r="M69" s="29"/>
      <c r="N69" s="117"/>
      <c r="O69" s="116"/>
    </row>
    <row r="70" spans="1:15">
      <c r="A70" s="12" t="s">
        <v>6243</v>
      </c>
      <c r="B70" s="108">
        <v>2021</v>
      </c>
      <c r="C70" s="32" t="s">
        <v>7655</v>
      </c>
      <c r="D70" s="1" t="str">
        <f>+IFERROR(INDEX(IMPORTS!$AT:$AT,MATCH($A70,IMPORTS!#REF!,0)),"")</f>
        <v/>
      </c>
      <c r="E70" s="87" t="e">
        <f t="shared" si="15"/>
        <v>#VALUE!</v>
      </c>
      <c r="F70" s="31">
        <v>44459</v>
      </c>
      <c r="G70" s="29" t="e">
        <f t="shared" si="16"/>
        <v>#VALUE!</v>
      </c>
      <c r="H70" s="31" t="e">
        <f t="shared" si="17"/>
        <v>#VALUE!</v>
      </c>
      <c r="I70" s="31">
        <v>44461</v>
      </c>
      <c r="J70" s="29" t="e">
        <f t="shared" si="18"/>
        <v>#VALUE!</v>
      </c>
      <c r="K70" s="90"/>
      <c r="L70" s="29"/>
      <c r="M70" s="29"/>
      <c r="N70" s="117"/>
      <c r="O70" s="116"/>
    </row>
    <row r="71" spans="1:15">
      <c r="A71" s="12" t="s">
        <v>6251</v>
      </c>
      <c r="B71" s="108">
        <v>2021</v>
      </c>
      <c r="C71" s="32" t="s">
        <v>7655</v>
      </c>
      <c r="D71" s="1" t="str">
        <f>+IFERROR(INDEX(IMPORTS!$AT:$AT,MATCH($A71,IMPORTS!#REF!,0)),"")</f>
        <v/>
      </c>
      <c r="E71" s="87" t="e">
        <f t="shared" si="15"/>
        <v>#VALUE!</v>
      </c>
      <c r="F71" s="31">
        <v>44469</v>
      </c>
      <c r="G71" s="29" t="e">
        <f t="shared" si="16"/>
        <v>#VALUE!</v>
      </c>
      <c r="H71" s="31" t="e">
        <f t="shared" si="17"/>
        <v>#VALUE!</v>
      </c>
      <c r="I71" s="31">
        <v>44469</v>
      </c>
      <c r="J71" s="29" t="e">
        <f t="shared" si="18"/>
        <v>#VALUE!</v>
      </c>
      <c r="K71" s="90"/>
      <c r="L71" s="29"/>
      <c r="M71" s="29"/>
      <c r="N71" s="117"/>
      <c r="O71" s="116"/>
    </row>
    <row r="72" spans="1:15">
      <c r="A72" s="12" t="s">
        <v>5649</v>
      </c>
      <c r="B72" s="108">
        <v>2021</v>
      </c>
      <c r="C72" s="32" t="s">
        <v>7656</v>
      </c>
      <c r="D72" s="1" t="str">
        <f>+IFERROR(INDEX(IMPORTS!$AT:$AT,MATCH($A72,IMPORTS!#REF!,0)),"")</f>
        <v/>
      </c>
      <c r="E72" s="87" t="e">
        <f>WORKDAY(D72,1,$N$2:$N$12)</f>
        <v>#VALUE!</v>
      </c>
      <c r="F72" s="31">
        <v>44459</v>
      </c>
      <c r="G72" s="29" t="e">
        <f t="shared" si="16"/>
        <v>#VALUE!</v>
      </c>
      <c r="H72" s="87" t="e">
        <f t="shared" si="17"/>
        <v>#VALUE!</v>
      </c>
      <c r="I72" s="31">
        <v>44470</v>
      </c>
      <c r="J72" s="29" t="e">
        <f t="shared" si="18"/>
        <v>#VALUE!</v>
      </c>
      <c r="K72" s="90"/>
      <c r="L72" s="29"/>
      <c r="M72" s="29"/>
      <c r="N72" s="117"/>
      <c r="O72" s="116"/>
    </row>
    <row r="73" spans="1:15">
      <c r="A73" s="12" t="s">
        <v>5677</v>
      </c>
      <c r="B73" s="108">
        <v>2021</v>
      </c>
      <c r="C73" s="32" t="s">
        <v>7656</v>
      </c>
      <c r="D73" s="1" t="str">
        <f>+IFERROR(INDEX(IMPORTS!$AT:$AT,MATCH($A73,IMPORTS!#REF!,0)),"")</f>
        <v/>
      </c>
      <c r="E73" s="87" t="e">
        <f t="shared" si="15"/>
        <v>#VALUE!</v>
      </c>
      <c r="F73" s="31">
        <v>44459</v>
      </c>
      <c r="G73" s="29" t="e">
        <f t="shared" si="16"/>
        <v>#VALUE!</v>
      </c>
      <c r="H73" s="87" t="e">
        <f t="shared" si="17"/>
        <v>#VALUE!</v>
      </c>
      <c r="I73" s="31">
        <v>44470</v>
      </c>
      <c r="J73" s="29" t="e">
        <f t="shared" si="18"/>
        <v>#VALUE!</v>
      </c>
      <c r="K73" s="90"/>
      <c r="L73" s="29"/>
      <c r="M73" s="29"/>
      <c r="N73" s="117"/>
      <c r="O73" s="116"/>
    </row>
    <row r="74" spans="1:15">
      <c r="A74" s="12" t="s">
        <v>5688</v>
      </c>
      <c r="B74" s="108">
        <v>2021</v>
      </c>
      <c r="C74" s="32" t="s">
        <v>7656</v>
      </c>
      <c r="D74" s="1" t="str">
        <f>+IFERROR(INDEX(IMPORTS!$AT:$AT,MATCH($A74,IMPORTS!#REF!,0)),"")</f>
        <v/>
      </c>
      <c r="E74" s="87" t="e">
        <f t="shared" si="15"/>
        <v>#VALUE!</v>
      </c>
      <c r="F74" s="31">
        <v>44459</v>
      </c>
      <c r="G74" s="29" t="e">
        <f t="shared" si="16"/>
        <v>#VALUE!</v>
      </c>
      <c r="H74" s="87" t="e">
        <f t="shared" si="17"/>
        <v>#VALUE!</v>
      </c>
      <c r="I74" s="31">
        <v>44470</v>
      </c>
      <c r="J74" s="29" t="e">
        <f t="shared" si="18"/>
        <v>#VALUE!</v>
      </c>
      <c r="K74" s="90"/>
      <c r="L74" s="29"/>
      <c r="M74" s="29"/>
      <c r="N74" s="117"/>
      <c r="O74" s="116"/>
    </row>
    <row r="75" spans="1:15">
      <c r="A75" s="12" t="s">
        <v>5815</v>
      </c>
      <c r="B75" s="108">
        <v>2021</v>
      </c>
      <c r="C75" s="32" t="s">
        <v>7656</v>
      </c>
      <c r="D75" s="1" t="str">
        <f>+IFERROR(INDEX(IMPORTS!$AT:$AT,MATCH($A75,IMPORTS!#REF!,0)),"")</f>
        <v/>
      </c>
      <c r="E75" s="87" t="e">
        <f t="shared" si="15"/>
        <v>#VALUE!</v>
      </c>
      <c r="F75" s="31">
        <v>44473</v>
      </c>
      <c r="G75" s="29" t="e">
        <f t="shared" si="16"/>
        <v>#VALUE!</v>
      </c>
      <c r="H75" s="87" t="e">
        <f t="shared" si="17"/>
        <v>#VALUE!</v>
      </c>
      <c r="I75" s="31">
        <v>44474</v>
      </c>
      <c r="J75" s="29" t="e">
        <f t="shared" si="18"/>
        <v>#VALUE!</v>
      </c>
      <c r="K75" s="90"/>
      <c r="L75" s="29"/>
      <c r="M75" s="29"/>
      <c r="N75" s="117"/>
      <c r="O75" s="116"/>
    </row>
    <row r="76" spans="1:15">
      <c r="A76" s="12" t="s">
        <v>5465</v>
      </c>
      <c r="B76" s="108">
        <v>2021</v>
      </c>
      <c r="C76" s="32" t="s">
        <v>7656</v>
      </c>
      <c r="D76" s="1" t="str">
        <f>+IFERROR(INDEX(IMPORTS!$AT:$AT,MATCH($A76,IMPORTS!#REF!,0)),"")</f>
        <v/>
      </c>
      <c r="E76" s="87" t="e">
        <f t="shared" si="15"/>
        <v>#VALUE!</v>
      </c>
      <c r="F76" s="31">
        <v>44468</v>
      </c>
      <c r="G76" s="29" t="e">
        <f t="shared" si="16"/>
        <v>#VALUE!</v>
      </c>
      <c r="H76" s="87" t="e">
        <f t="shared" si="17"/>
        <v>#VALUE!</v>
      </c>
      <c r="I76" s="31">
        <v>44473</v>
      </c>
      <c r="J76" s="29" t="e">
        <f t="shared" si="18"/>
        <v>#VALUE!</v>
      </c>
      <c r="K76" s="90"/>
      <c r="L76" s="29"/>
      <c r="M76" s="29"/>
      <c r="N76" s="117"/>
      <c r="O76" s="116"/>
    </row>
    <row r="77" spans="1:15">
      <c r="A77" s="12" t="s">
        <v>5660</v>
      </c>
      <c r="B77" s="108">
        <v>2021</v>
      </c>
      <c r="C77" s="32" t="s">
        <v>7656</v>
      </c>
      <c r="D77" s="1" t="str">
        <f>+IFERROR(INDEX(IMPORTS!$AT:$AT,MATCH($A77,IMPORTS!#REF!,0)),"")</f>
        <v/>
      </c>
      <c r="E77" s="87" t="e">
        <f t="shared" si="15"/>
        <v>#VALUE!</v>
      </c>
      <c r="F77" s="31">
        <v>44459</v>
      </c>
      <c r="G77" s="29" t="e">
        <f t="shared" si="16"/>
        <v>#VALUE!</v>
      </c>
      <c r="H77" s="87" t="e">
        <f t="shared" si="17"/>
        <v>#VALUE!</v>
      </c>
      <c r="I77" s="31">
        <v>44473</v>
      </c>
      <c r="J77" s="29" t="e">
        <f t="shared" si="18"/>
        <v>#VALUE!</v>
      </c>
      <c r="K77" s="90"/>
      <c r="L77" s="29"/>
      <c r="M77" s="29"/>
      <c r="N77" s="117"/>
      <c r="O77" s="116"/>
    </row>
    <row r="78" spans="1:15">
      <c r="A78" s="12" t="s">
        <v>6077</v>
      </c>
      <c r="B78" s="108">
        <v>2021</v>
      </c>
      <c r="C78" s="32" t="s">
        <v>7656</v>
      </c>
      <c r="D78" s="1" t="str">
        <f>+IFERROR(INDEX(IMPORTS!$AT:$AT,MATCH($A78,IMPORTS!#REF!,0)),"")</f>
        <v/>
      </c>
      <c r="E78" s="87" t="e">
        <f t="shared" si="15"/>
        <v>#VALUE!</v>
      </c>
      <c r="F78" s="31">
        <v>44479</v>
      </c>
      <c r="G78" s="29" t="e">
        <f t="shared" si="16"/>
        <v>#VALUE!</v>
      </c>
      <c r="H78" s="87" t="e">
        <f t="shared" si="17"/>
        <v>#VALUE!</v>
      </c>
      <c r="I78" s="31">
        <v>44480</v>
      </c>
      <c r="J78" s="29" t="s">
        <v>7660</v>
      </c>
      <c r="K78" s="90"/>
      <c r="L78" s="29"/>
      <c r="M78" s="29"/>
      <c r="N78" s="117"/>
      <c r="O78" s="116"/>
    </row>
    <row r="79" spans="1:15">
      <c r="A79" s="12" t="s">
        <v>6137</v>
      </c>
      <c r="B79" s="108">
        <v>2021</v>
      </c>
      <c r="C79" s="32" t="s">
        <v>7656</v>
      </c>
      <c r="D79" s="1" t="str">
        <f>+IFERROR(INDEX(IMPORTS!$AT:$AT,MATCH($A79,IMPORTS!#REF!,0)),"")</f>
        <v/>
      </c>
      <c r="E79" s="87" t="e">
        <f t="shared" si="15"/>
        <v>#VALUE!</v>
      </c>
      <c r="F79" s="31">
        <v>44479</v>
      </c>
      <c r="G79" s="29" t="e">
        <f t="shared" si="16"/>
        <v>#VALUE!</v>
      </c>
      <c r="H79" s="87" t="e">
        <f t="shared" si="17"/>
        <v>#VALUE!</v>
      </c>
      <c r="I79" s="31">
        <v>44480</v>
      </c>
      <c r="J79" s="29" t="s">
        <v>7660</v>
      </c>
      <c r="K79" s="90"/>
      <c r="L79" s="29"/>
      <c r="M79" s="29"/>
      <c r="N79" s="117"/>
      <c r="O79" s="116"/>
    </row>
    <row r="80" spans="1:15">
      <c r="A80" s="12" t="s">
        <v>6261</v>
      </c>
      <c r="B80" s="108">
        <v>2021</v>
      </c>
      <c r="C80" s="32" t="s">
        <v>7656</v>
      </c>
      <c r="D80" s="1" t="str">
        <f>+IFERROR(INDEX(IMPORTS!$AT:$AT,MATCH($A80,IMPORTS!#REF!,0)),"")</f>
        <v/>
      </c>
      <c r="E80" s="87" t="e">
        <f t="shared" si="15"/>
        <v>#VALUE!</v>
      </c>
      <c r="F80" s="31">
        <v>44474</v>
      </c>
      <c r="G80" s="29" t="e">
        <f t="shared" si="16"/>
        <v>#VALUE!</v>
      </c>
      <c r="H80" s="87" t="e">
        <f t="shared" si="17"/>
        <v>#VALUE!</v>
      </c>
      <c r="I80" s="31">
        <v>44478</v>
      </c>
      <c r="J80" s="29" t="str">
        <f>+IF(I80&lt;=F80,"SI","NO")</f>
        <v>NO</v>
      </c>
      <c r="K80" s="90"/>
      <c r="L80" s="29"/>
      <c r="M80" s="29"/>
      <c r="N80" s="117"/>
      <c r="O80" s="116"/>
    </row>
    <row r="81" spans="1:15">
      <c r="A81" s="12" t="s">
        <v>5666</v>
      </c>
      <c r="B81" s="108">
        <v>2021</v>
      </c>
      <c r="C81" s="32" t="s">
        <v>7656</v>
      </c>
      <c r="D81" s="1" t="str">
        <f>+IFERROR(INDEX(IMPORTS!$AT:$AT,MATCH($A81,IMPORTS!#REF!,0)),"")</f>
        <v/>
      </c>
      <c r="E81" s="87" t="e">
        <f t="shared" si="15"/>
        <v>#VALUE!</v>
      </c>
      <c r="F81" s="31">
        <v>44480</v>
      </c>
      <c r="G81" s="29" t="e">
        <f t="shared" si="16"/>
        <v>#VALUE!</v>
      </c>
      <c r="H81" s="87" t="e">
        <f t="shared" si="17"/>
        <v>#VALUE!</v>
      </c>
      <c r="I81" s="31">
        <v>44480</v>
      </c>
      <c r="J81" s="29" t="e">
        <f>+IF(I81&lt;=H81,"SI","NO")</f>
        <v>#VALUE!</v>
      </c>
      <c r="K81" s="90"/>
      <c r="L81" s="29"/>
      <c r="M81" s="29"/>
      <c r="N81" s="117"/>
      <c r="O81" s="116"/>
    </row>
    <row r="82" spans="1:15">
      <c r="A82" s="12" t="s">
        <v>6255</v>
      </c>
      <c r="B82" s="108">
        <v>2021</v>
      </c>
      <c r="C82" s="32" t="s">
        <v>7656</v>
      </c>
      <c r="D82" s="1" t="str">
        <f>+IFERROR(INDEX(IMPORTS!$AT:$AT,MATCH($A82,IMPORTS!#REF!,0)),"")</f>
        <v/>
      </c>
      <c r="E82" s="87" t="e">
        <f t="shared" si="15"/>
        <v>#VALUE!</v>
      </c>
      <c r="F82" s="31">
        <v>44473</v>
      </c>
      <c r="G82" s="29" t="e">
        <f t="shared" si="16"/>
        <v>#VALUE!</v>
      </c>
      <c r="H82" s="87" t="e">
        <f t="shared" si="17"/>
        <v>#VALUE!</v>
      </c>
      <c r="I82" s="31">
        <v>44473</v>
      </c>
      <c r="J82" s="29" t="e">
        <f>+IF(I82&lt;=H82,"SI","NO")</f>
        <v>#VALUE!</v>
      </c>
      <c r="K82" s="90"/>
      <c r="L82" s="29"/>
      <c r="M82" s="29"/>
      <c r="N82" s="117"/>
      <c r="O82" s="116"/>
    </row>
    <row r="83" spans="1:15">
      <c r="A83" s="12" t="s">
        <v>5403</v>
      </c>
      <c r="B83" s="108">
        <v>2021</v>
      </c>
      <c r="C83" s="32" t="s">
        <v>7656</v>
      </c>
      <c r="D83" s="1" t="str">
        <f>+IFERROR(INDEX(IMPORTS!$AT:$AT,MATCH($A83,IMPORTS!#REF!,0)),"")</f>
        <v/>
      </c>
      <c r="E83" s="87" t="e">
        <f>WORKDAY(D83,1,$N$2:$N$12)</f>
        <v>#VALUE!</v>
      </c>
      <c r="F83" s="31">
        <v>44479</v>
      </c>
      <c r="G83" s="29" t="e">
        <f>+IF(F83&lt;=E83,"SI","NO")</f>
        <v>#VALUE!</v>
      </c>
      <c r="H83" s="87" t="e">
        <f>WORKDAY(D83,2,$N$2:$N$12)</f>
        <v>#VALUE!</v>
      </c>
      <c r="I83" s="31">
        <v>44480</v>
      </c>
      <c r="J83" s="29" t="s">
        <v>7660</v>
      </c>
      <c r="K83" s="90"/>
      <c r="L83" s="29"/>
      <c r="M83" s="29"/>
      <c r="N83" s="117"/>
      <c r="O83" s="116"/>
    </row>
    <row r="84" spans="1:15">
      <c r="A84" s="12" t="s">
        <v>5598</v>
      </c>
      <c r="B84" s="108">
        <v>2021</v>
      </c>
      <c r="C84" s="32" t="s">
        <v>7656</v>
      </c>
      <c r="D84" s="1" t="str">
        <f>+IFERROR(INDEX(IMPORTS!$AT:$AT,MATCH($A84,IMPORTS!#REF!,0)),"")</f>
        <v/>
      </c>
      <c r="E84" s="87" t="e">
        <f t="shared" si="15"/>
        <v>#VALUE!</v>
      </c>
      <c r="F84" s="31">
        <v>44479</v>
      </c>
      <c r="G84" s="29" t="e">
        <f t="shared" si="16"/>
        <v>#VALUE!</v>
      </c>
      <c r="H84" s="87" t="e">
        <f t="shared" si="17"/>
        <v>#VALUE!</v>
      </c>
      <c r="I84" s="31">
        <v>44480</v>
      </c>
      <c r="J84" s="29" t="s">
        <v>7660</v>
      </c>
      <c r="K84" s="90"/>
      <c r="L84" s="29"/>
      <c r="M84" s="29"/>
      <c r="N84" s="117"/>
      <c r="O84" s="116"/>
    </row>
    <row r="85" spans="1:15">
      <c r="A85" s="12" t="s">
        <v>5808</v>
      </c>
      <c r="B85" s="108">
        <v>2021</v>
      </c>
      <c r="C85" s="32" t="s">
        <v>7656</v>
      </c>
      <c r="D85" s="1" t="str">
        <f>+IFERROR(INDEX(IMPORTS!$AT:$AT,MATCH($A85,IMPORTS!#REF!,0)),"")</f>
        <v/>
      </c>
      <c r="E85" s="87" t="e">
        <f t="shared" si="15"/>
        <v>#VALUE!</v>
      </c>
      <c r="F85" s="31">
        <v>44479</v>
      </c>
      <c r="G85" s="29" t="e">
        <f t="shared" si="16"/>
        <v>#VALUE!</v>
      </c>
      <c r="H85" s="87" t="e">
        <f t="shared" si="17"/>
        <v>#VALUE!</v>
      </c>
      <c r="I85" s="31">
        <v>44480</v>
      </c>
      <c r="J85" s="29" t="s">
        <v>7660</v>
      </c>
      <c r="K85" s="90"/>
      <c r="L85" s="29"/>
      <c r="M85" s="29"/>
      <c r="N85" s="117"/>
      <c r="O85" s="116"/>
    </row>
    <row r="86" spans="1:15">
      <c r="A86" s="12" t="s">
        <v>6051</v>
      </c>
      <c r="B86" s="108">
        <v>2021</v>
      </c>
      <c r="C86" s="32" t="s">
        <v>7656</v>
      </c>
      <c r="D86" s="1" t="str">
        <f>+IFERROR(INDEX(IMPORTS!$AT:$AT,MATCH($A86,IMPORTS!#REF!,0)),"")</f>
        <v/>
      </c>
      <c r="E86" s="87" t="e">
        <f t="shared" si="15"/>
        <v>#VALUE!</v>
      </c>
      <c r="F86" s="31">
        <v>44480</v>
      </c>
      <c r="G86" s="29" t="e">
        <f t="shared" si="16"/>
        <v>#VALUE!</v>
      </c>
      <c r="H86" s="87" t="e">
        <f t="shared" si="17"/>
        <v>#VALUE!</v>
      </c>
      <c r="I86" s="31">
        <v>44481</v>
      </c>
      <c r="J86" s="29" t="e">
        <f>+IF(I86&lt;=H86,"SI","NO")</f>
        <v>#VALUE!</v>
      </c>
      <c r="K86" s="90"/>
      <c r="L86" s="29"/>
      <c r="M86" s="29"/>
      <c r="N86" s="117"/>
      <c r="O86" s="116"/>
    </row>
    <row r="87" spans="1:15">
      <c r="A87" s="12" t="s">
        <v>6247</v>
      </c>
      <c r="B87" s="108">
        <v>2021</v>
      </c>
      <c r="C87" s="32" t="s">
        <v>7656</v>
      </c>
      <c r="D87" s="1" t="str">
        <f>+IFERROR(INDEX(IMPORTS!$AT:$AT,MATCH($A87,IMPORTS!#REF!,0)),"")</f>
        <v/>
      </c>
      <c r="E87" s="87" t="e">
        <f t="shared" si="15"/>
        <v>#VALUE!</v>
      </c>
      <c r="F87" s="31">
        <v>44481</v>
      </c>
      <c r="G87" s="29" t="e">
        <f t="shared" si="16"/>
        <v>#VALUE!</v>
      </c>
      <c r="H87" s="87" t="e">
        <f t="shared" si="17"/>
        <v>#VALUE!</v>
      </c>
      <c r="I87" s="31">
        <v>44482</v>
      </c>
      <c r="J87" s="29" t="e">
        <f>+IF(I87&lt;=H87,"SI","NO")</f>
        <v>#VALUE!</v>
      </c>
      <c r="K87" s="90"/>
      <c r="L87" s="29"/>
      <c r="M87" s="29"/>
      <c r="N87" s="117"/>
      <c r="O87" s="116"/>
    </row>
    <row r="88" spans="1:15">
      <c r="A88" s="12" t="s">
        <v>6270</v>
      </c>
      <c r="B88" s="108">
        <v>2021</v>
      </c>
      <c r="C88" s="32" t="s">
        <v>7656</v>
      </c>
      <c r="D88" s="1" t="str">
        <f>+IFERROR(INDEX(IMPORTS!$AT:$AT,MATCH($A88,IMPORTS!#REF!,0)),"")</f>
        <v/>
      </c>
      <c r="E88" s="87" t="e">
        <f t="shared" si="15"/>
        <v>#VALUE!</v>
      </c>
      <c r="F88" s="31">
        <v>44481</v>
      </c>
      <c r="G88" s="29" t="e">
        <f t="shared" si="16"/>
        <v>#VALUE!</v>
      </c>
      <c r="H88" s="87" t="e">
        <f t="shared" si="17"/>
        <v>#VALUE!</v>
      </c>
      <c r="I88" s="31">
        <v>44481</v>
      </c>
      <c r="J88" s="29" t="s">
        <v>7660</v>
      </c>
      <c r="K88" s="90"/>
      <c r="L88" s="29"/>
      <c r="M88" s="29"/>
      <c r="N88" s="117"/>
      <c r="O88" s="116"/>
    </row>
    <row r="89" spans="1:15">
      <c r="A89" s="12" t="s">
        <v>5653</v>
      </c>
      <c r="B89" s="108">
        <v>2021</v>
      </c>
      <c r="C89" s="32" t="s">
        <v>7656</v>
      </c>
      <c r="D89" s="1" t="str">
        <f>+IFERROR(INDEX(IMPORTS!$AT:$AT,MATCH($A89,IMPORTS!#REF!,0)),"")</f>
        <v/>
      </c>
      <c r="E89" s="87" t="e">
        <f t="shared" si="15"/>
        <v>#VALUE!</v>
      </c>
      <c r="F89" s="31">
        <v>44482</v>
      </c>
      <c r="G89" s="29" t="e">
        <f t="shared" si="16"/>
        <v>#VALUE!</v>
      </c>
      <c r="H89" s="87" t="e">
        <f t="shared" si="17"/>
        <v>#VALUE!</v>
      </c>
      <c r="I89" s="31">
        <v>44483</v>
      </c>
      <c r="J89" s="29" t="e">
        <f t="shared" ref="J89:J96" si="19">+IF(I89&lt;=H89,"SI","NO")</f>
        <v>#VALUE!</v>
      </c>
      <c r="K89" s="90"/>
      <c r="L89" s="29"/>
      <c r="M89" s="29"/>
      <c r="N89" s="117"/>
      <c r="O89" s="116"/>
    </row>
    <row r="90" spans="1:15">
      <c r="A90" s="12" t="s">
        <v>5681</v>
      </c>
      <c r="B90" s="108">
        <v>2021</v>
      </c>
      <c r="C90" s="32" t="s">
        <v>7656</v>
      </c>
      <c r="D90" s="1" t="str">
        <f>+IFERROR(INDEX(IMPORTS!$AT:$AT,MATCH($A90,IMPORTS!#REF!,0)),"")</f>
        <v/>
      </c>
      <c r="E90" s="87" t="e">
        <f t="shared" si="15"/>
        <v>#VALUE!</v>
      </c>
      <c r="F90" s="31">
        <v>44483</v>
      </c>
      <c r="G90" s="29" t="e">
        <f t="shared" si="16"/>
        <v>#VALUE!</v>
      </c>
      <c r="H90" s="87" t="e">
        <f t="shared" si="17"/>
        <v>#VALUE!</v>
      </c>
      <c r="I90" s="31">
        <v>44483</v>
      </c>
      <c r="J90" s="29" t="e">
        <f t="shared" si="19"/>
        <v>#VALUE!</v>
      </c>
      <c r="K90" s="90"/>
      <c r="L90" s="29"/>
      <c r="M90" s="29"/>
      <c r="N90" s="117"/>
      <c r="O90" s="116"/>
    </row>
    <row r="91" spans="1:15">
      <c r="A91" s="12" t="s">
        <v>5692</v>
      </c>
      <c r="B91" s="108">
        <v>2021</v>
      </c>
      <c r="C91" s="32" t="s">
        <v>7656</v>
      </c>
      <c r="D91" s="1" t="str">
        <f>+IFERROR(INDEX(IMPORTS!$AT:$AT,MATCH($A91,IMPORTS!#REF!,0)),"")</f>
        <v/>
      </c>
      <c r="E91" s="87" t="e">
        <f t="shared" si="15"/>
        <v>#VALUE!</v>
      </c>
      <c r="F91" s="31">
        <v>44481</v>
      </c>
      <c r="G91" s="29" t="e">
        <f t="shared" si="16"/>
        <v>#VALUE!</v>
      </c>
      <c r="H91" s="87" t="e">
        <f t="shared" si="17"/>
        <v>#VALUE!</v>
      </c>
      <c r="I91" s="31">
        <v>44483</v>
      </c>
      <c r="J91" s="29" t="e">
        <f t="shared" si="19"/>
        <v>#VALUE!</v>
      </c>
      <c r="K91" s="90"/>
      <c r="L91" s="29"/>
      <c r="M91" s="29"/>
      <c r="N91" s="117"/>
      <c r="O91" s="116"/>
    </row>
    <row r="92" spans="1:15">
      <c r="A92" s="12" t="s">
        <v>5663</v>
      </c>
      <c r="B92" s="108">
        <v>2021</v>
      </c>
      <c r="C92" s="32" t="s">
        <v>7656</v>
      </c>
      <c r="D92" s="1" t="str">
        <f>+IFERROR(INDEX(IMPORTS!$AT:$AT,MATCH($A92,IMPORTS!#REF!,0)),"")</f>
        <v/>
      </c>
      <c r="E92" s="87" t="e">
        <f t="shared" si="15"/>
        <v>#VALUE!</v>
      </c>
      <c r="F92" s="31">
        <v>44480</v>
      </c>
      <c r="G92" s="29" t="e">
        <f t="shared" si="16"/>
        <v>#VALUE!</v>
      </c>
      <c r="H92" s="87" t="e">
        <f t="shared" si="17"/>
        <v>#VALUE!</v>
      </c>
      <c r="I92" s="31">
        <v>44483</v>
      </c>
      <c r="J92" s="29" t="e">
        <f t="shared" si="19"/>
        <v>#VALUE!</v>
      </c>
      <c r="K92" s="90"/>
      <c r="L92" s="29"/>
      <c r="M92" s="29"/>
      <c r="N92" s="117"/>
      <c r="O92" s="116"/>
    </row>
    <row r="93" spans="1:15">
      <c r="A93" s="12" t="s">
        <v>5819</v>
      </c>
      <c r="B93" s="108">
        <v>2021</v>
      </c>
      <c r="C93" s="32" t="s">
        <v>7656</v>
      </c>
      <c r="D93" s="1" t="str">
        <f>+IFERROR(INDEX(IMPORTS!$AT:$AT,MATCH($A93,IMPORTS!#REF!,0)),"")</f>
        <v/>
      </c>
      <c r="E93" s="87" t="e">
        <f t="shared" si="15"/>
        <v>#VALUE!</v>
      </c>
      <c r="F93" s="31">
        <v>44481</v>
      </c>
      <c r="G93" s="29" t="e">
        <f t="shared" si="16"/>
        <v>#VALUE!</v>
      </c>
      <c r="H93" s="87" t="e">
        <f t="shared" si="17"/>
        <v>#VALUE!</v>
      </c>
      <c r="I93" s="31">
        <v>44483</v>
      </c>
      <c r="J93" s="29" t="e">
        <f t="shared" si="19"/>
        <v>#VALUE!</v>
      </c>
      <c r="K93" s="90"/>
      <c r="L93" s="29"/>
      <c r="M93" s="29"/>
      <c r="N93" s="117"/>
      <c r="O93" s="116"/>
    </row>
    <row r="94" spans="1:15">
      <c r="A94" s="12" t="s">
        <v>5993</v>
      </c>
      <c r="B94" s="108">
        <v>2021</v>
      </c>
      <c r="C94" s="32" t="s">
        <v>7656</v>
      </c>
      <c r="D94" s="1" t="str">
        <f>+IFERROR(INDEX(IMPORTS!$AT:$AT,MATCH($A94,IMPORTS!#REF!,0)),"")</f>
        <v/>
      </c>
      <c r="E94" s="87" t="e">
        <f t="shared" si="15"/>
        <v>#VALUE!</v>
      </c>
      <c r="F94" s="31">
        <v>44485</v>
      </c>
      <c r="G94" s="29" t="e">
        <f t="shared" si="16"/>
        <v>#VALUE!</v>
      </c>
      <c r="H94" s="87" t="e">
        <f t="shared" si="17"/>
        <v>#VALUE!</v>
      </c>
      <c r="I94" s="31">
        <v>44483</v>
      </c>
      <c r="J94" s="29" t="e">
        <f t="shared" si="19"/>
        <v>#VALUE!</v>
      </c>
      <c r="K94" s="90"/>
      <c r="L94" s="29"/>
      <c r="M94" s="29"/>
      <c r="N94" s="117"/>
      <c r="O94" s="116"/>
    </row>
    <row r="95" spans="1:15">
      <c r="A95" s="12" t="s">
        <v>6274</v>
      </c>
      <c r="B95" s="108">
        <v>2021</v>
      </c>
      <c r="C95" s="32" t="s">
        <v>7656</v>
      </c>
      <c r="D95" s="1" t="str">
        <f>+IFERROR(INDEX(IMPORTS!$AT:$AT,MATCH($A95,IMPORTS!#REF!,0)),"")</f>
        <v/>
      </c>
      <c r="E95" s="87" t="e">
        <f t="shared" si="15"/>
        <v>#VALUE!</v>
      </c>
      <c r="F95" s="31">
        <v>44484</v>
      </c>
      <c r="G95" s="29" t="e">
        <f t="shared" si="16"/>
        <v>#VALUE!</v>
      </c>
      <c r="H95" s="87" t="e">
        <f t="shared" si="17"/>
        <v>#VALUE!</v>
      </c>
      <c r="I95" s="31">
        <v>44487</v>
      </c>
      <c r="J95" s="29" t="e">
        <f t="shared" si="19"/>
        <v>#VALUE!</v>
      </c>
      <c r="K95" s="90"/>
      <c r="L95" s="29"/>
      <c r="M95" s="29"/>
      <c r="N95" s="117"/>
      <c r="O95" s="116"/>
    </row>
    <row r="96" spans="1:15">
      <c r="A96" s="12" t="s">
        <v>5443</v>
      </c>
      <c r="B96" s="108">
        <v>2021</v>
      </c>
      <c r="C96" s="32" t="s">
        <v>7656</v>
      </c>
      <c r="D96" s="1" t="str">
        <f>+IFERROR(INDEX(IMPORTS!$AT:$AT,MATCH($A96,IMPORTS!#REF!,0)),"")</f>
        <v/>
      </c>
      <c r="E96" s="87" t="e">
        <f t="shared" si="15"/>
        <v>#VALUE!</v>
      </c>
      <c r="F96" s="31">
        <v>44487</v>
      </c>
      <c r="G96" s="29" t="e">
        <f t="shared" si="16"/>
        <v>#VALUE!</v>
      </c>
      <c r="H96" s="87" t="e">
        <f t="shared" si="17"/>
        <v>#VALUE!</v>
      </c>
      <c r="I96" s="31">
        <v>44491</v>
      </c>
      <c r="J96" s="29" t="e">
        <f t="shared" si="19"/>
        <v>#VALUE!</v>
      </c>
      <c r="K96" s="90"/>
      <c r="L96" s="29"/>
      <c r="M96" s="29"/>
      <c r="N96" s="117"/>
      <c r="O96" s="116"/>
    </row>
    <row r="97" spans="1:15">
      <c r="A97" s="12" t="s">
        <v>5448</v>
      </c>
      <c r="B97" s="108">
        <v>2021</v>
      </c>
      <c r="C97" s="32" t="s">
        <v>7656</v>
      </c>
      <c r="D97" s="1" t="str">
        <f>+IFERROR(INDEX(IMPORTS!$AT:$AT,MATCH($A97,IMPORTS!#REF!,0)),"")</f>
        <v/>
      </c>
      <c r="E97" s="87" t="e">
        <f t="shared" ref="E97:E104" si="20">WORKDAY(D97,1,$N$2:$N$12)</f>
        <v>#VALUE!</v>
      </c>
      <c r="F97" s="31">
        <v>44495</v>
      </c>
      <c r="G97" s="29" t="e">
        <f t="shared" ref="G97:G104" si="21">+IF(F97&lt;=E97,"SI","NO")</f>
        <v>#VALUE!</v>
      </c>
      <c r="H97" s="87" t="e">
        <f t="shared" ref="H97:H104" si="22">WORKDAY(D97,2,$N$2:$N$12)</f>
        <v>#VALUE!</v>
      </c>
      <c r="I97" s="31">
        <v>44494</v>
      </c>
      <c r="J97" s="29" t="e">
        <f t="shared" ref="J97:J104" si="23">+IF(I97&lt;=H97,"SI","NO")</f>
        <v>#VALUE!</v>
      </c>
      <c r="K97" s="90"/>
      <c r="L97" s="29"/>
      <c r="M97" s="29"/>
      <c r="N97" s="117"/>
      <c r="O97" s="116"/>
    </row>
    <row r="98" spans="1:15">
      <c r="A98" s="12" t="s">
        <v>5822</v>
      </c>
      <c r="B98" s="108">
        <v>2021</v>
      </c>
      <c r="C98" s="32" t="s">
        <v>7656</v>
      </c>
      <c r="D98" s="1" t="str">
        <f>+IFERROR(INDEX(IMPORTS!$AT:$AT,MATCH($A98,IMPORTS!#REF!,0)),"")</f>
        <v/>
      </c>
      <c r="E98" s="87" t="e">
        <f t="shared" si="20"/>
        <v>#VALUE!</v>
      </c>
      <c r="F98" s="31">
        <v>44494</v>
      </c>
      <c r="G98" s="29" t="e">
        <f t="shared" si="21"/>
        <v>#VALUE!</v>
      </c>
      <c r="H98" s="87" t="e">
        <f t="shared" si="22"/>
        <v>#VALUE!</v>
      </c>
      <c r="I98" s="31">
        <v>44496</v>
      </c>
      <c r="J98" s="29" t="e">
        <f t="shared" si="23"/>
        <v>#VALUE!</v>
      </c>
      <c r="K98" s="90"/>
      <c r="L98" s="29"/>
      <c r="M98" s="29"/>
      <c r="N98" s="117"/>
      <c r="O98" s="116"/>
    </row>
    <row r="99" spans="1:15">
      <c r="A99" s="12" t="s">
        <v>5940</v>
      </c>
      <c r="B99" s="108">
        <v>2021</v>
      </c>
      <c r="C99" s="32" t="s">
        <v>7656</v>
      </c>
      <c r="D99" s="1" t="str">
        <f>+IFERROR(INDEX(IMPORTS!$AT:$AT,MATCH($A99,IMPORTS!#REF!,0)),"")</f>
        <v/>
      </c>
      <c r="E99" s="87" t="e">
        <f t="shared" si="20"/>
        <v>#VALUE!</v>
      </c>
      <c r="F99" s="31">
        <v>44483</v>
      </c>
      <c r="G99" s="29" t="e">
        <f t="shared" si="21"/>
        <v>#VALUE!</v>
      </c>
      <c r="H99" s="87" t="e">
        <f t="shared" si="22"/>
        <v>#VALUE!</v>
      </c>
      <c r="I99" s="31">
        <v>44487</v>
      </c>
      <c r="J99" s="29" t="e">
        <f t="shared" si="23"/>
        <v>#VALUE!</v>
      </c>
      <c r="K99" s="90"/>
      <c r="L99" s="29"/>
      <c r="M99" s="29"/>
      <c r="N99" s="117"/>
      <c r="O99" s="116"/>
    </row>
    <row r="100" spans="1:15">
      <c r="A100" s="12" t="s">
        <v>5963</v>
      </c>
      <c r="B100" s="108">
        <v>2021</v>
      </c>
      <c r="C100" s="32" t="s">
        <v>7656</v>
      </c>
      <c r="D100" s="1" t="str">
        <f>+IFERROR(INDEX(IMPORTS!$AT:$AT,MATCH($A100,IMPORTS!#REF!,0)),"")</f>
        <v/>
      </c>
      <c r="E100" s="87" t="e">
        <f t="shared" si="20"/>
        <v>#VALUE!</v>
      </c>
      <c r="F100" s="31">
        <v>44483</v>
      </c>
      <c r="G100" s="29" t="e">
        <f t="shared" si="21"/>
        <v>#VALUE!</v>
      </c>
      <c r="H100" s="87" t="e">
        <f t="shared" si="22"/>
        <v>#VALUE!</v>
      </c>
      <c r="I100" s="31">
        <v>44484</v>
      </c>
      <c r="J100" s="29" t="e">
        <f t="shared" si="23"/>
        <v>#VALUE!</v>
      </c>
      <c r="K100" s="90"/>
      <c r="L100" s="29"/>
      <c r="M100" s="29"/>
      <c r="N100" s="117"/>
      <c r="O100" s="116"/>
    </row>
    <row r="101" spans="1:15">
      <c r="A101" s="12" t="s">
        <v>5977</v>
      </c>
      <c r="B101" s="108">
        <v>2021</v>
      </c>
      <c r="C101" s="32" t="s">
        <v>7656</v>
      </c>
      <c r="D101" s="1" t="str">
        <f>+IFERROR(INDEX(IMPORTS!$AT:$AT,MATCH($A101,IMPORTS!#REF!,0)),"")</f>
        <v/>
      </c>
      <c r="E101" s="87" t="e">
        <f t="shared" si="20"/>
        <v>#VALUE!</v>
      </c>
      <c r="F101" s="31">
        <v>44483</v>
      </c>
      <c r="G101" s="29" t="e">
        <f t="shared" si="21"/>
        <v>#VALUE!</v>
      </c>
      <c r="H101" s="87" t="e">
        <f t="shared" si="22"/>
        <v>#VALUE!</v>
      </c>
      <c r="I101" s="31">
        <v>44490</v>
      </c>
      <c r="J101" s="29" t="e">
        <f t="shared" si="23"/>
        <v>#VALUE!</v>
      </c>
      <c r="K101" s="90"/>
      <c r="L101" s="29"/>
      <c r="M101" s="29"/>
      <c r="N101" s="117"/>
      <c r="O101" s="116"/>
    </row>
    <row r="102" spans="1:15">
      <c r="A102" s="12" t="s">
        <v>5982</v>
      </c>
      <c r="B102" s="108">
        <v>2021</v>
      </c>
      <c r="C102" s="32" t="s">
        <v>7656</v>
      </c>
      <c r="D102" s="1" t="str">
        <f>+IFERROR(INDEX(IMPORTS!$AT:$AT,MATCH($A102,IMPORTS!#REF!,0)),"")</f>
        <v/>
      </c>
      <c r="E102" s="87" t="e">
        <f t="shared" si="20"/>
        <v>#VALUE!</v>
      </c>
      <c r="F102" s="31">
        <v>44494</v>
      </c>
      <c r="G102" s="29" t="e">
        <f t="shared" si="21"/>
        <v>#VALUE!</v>
      </c>
      <c r="H102" s="87" t="e">
        <f t="shared" si="22"/>
        <v>#VALUE!</v>
      </c>
      <c r="I102" s="31">
        <v>44499</v>
      </c>
      <c r="J102" s="29" t="e">
        <f t="shared" si="23"/>
        <v>#VALUE!</v>
      </c>
      <c r="K102" s="90"/>
      <c r="L102" s="29"/>
      <c r="M102" s="29"/>
      <c r="N102" s="117"/>
      <c r="O102" s="116"/>
    </row>
    <row r="103" spans="1:15">
      <c r="A103" s="12" t="s">
        <v>6196</v>
      </c>
      <c r="B103" s="108">
        <v>2021</v>
      </c>
      <c r="C103" s="32" t="s">
        <v>7656</v>
      </c>
      <c r="D103" s="1" t="str">
        <f>+IFERROR(INDEX(IMPORTS!$AT:$AT,MATCH($A103,IMPORTS!#REF!,0)),"")</f>
        <v/>
      </c>
      <c r="E103" s="87" t="e">
        <f t="shared" si="20"/>
        <v>#VALUE!</v>
      </c>
      <c r="F103" s="31">
        <v>44495</v>
      </c>
      <c r="G103" s="29" t="e">
        <f t="shared" si="21"/>
        <v>#VALUE!</v>
      </c>
      <c r="H103" s="87" t="e">
        <f t="shared" si="22"/>
        <v>#VALUE!</v>
      </c>
      <c r="I103" s="31">
        <v>44499</v>
      </c>
      <c r="J103" s="29" t="e">
        <f t="shared" si="23"/>
        <v>#VALUE!</v>
      </c>
      <c r="K103" s="90"/>
      <c r="L103" s="29"/>
      <c r="M103" s="29"/>
      <c r="N103" s="117"/>
      <c r="O103" s="116"/>
    </row>
    <row r="104" spans="1:15">
      <c r="A104" s="12" t="s">
        <v>6199</v>
      </c>
      <c r="B104" s="108">
        <v>2021</v>
      </c>
      <c r="C104" s="32" t="s">
        <v>7656</v>
      </c>
      <c r="D104" s="1" t="str">
        <f>+IFERROR(INDEX(IMPORTS!$AT:$AT,MATCH($A104,IMPORTS!#REF!,0)),"")</f>
        <v/>
      </c>
      <c r="E104" s="87" t="e">
        <f t="shared" si="20"/>
        <v>#VALUE!</v>
      </c>
      <c r="F104" s="31">
        <v>44494</v>
      </c>
      <c r="G104" s="29" t="e">
        <f t="shared" si="21"/>
        <v>#VALUE!</v>
      </c>
      <c r="H104" s="87" t="e">
        <f t="shared" si="22"/>
        <v>#VALUE!</v>
      </c>
      <c r="I104" s="31">
        <v>44491</v>
      </c>
      <c r="J104" s="29" t="e">
        <f t="shared" si="23"/>
        <v>#VALUE!</v>
      </c>
      <c r="K104" s="90"/>
      <c r="L104" s="29"/>
      <c r="M104" s="29"/>
      <c r="N104" s="117"/>
      <c r="O104" s="116"/>
    </row>
    <row r="105" spans="1:15">
      <c r="A105" s="12" t="s">
        <v>6204</v>
      </c>
      <c r="B105" s="108">
        <v>2021</v>
      </c>
      <c r="C105" s="32" t="s">
        <v>7656</v>
      </c>
      <c r="D105" s="1" t="str">
        <f>+IFERROR(INDEX(IMPORTS!$AT:$AT,MATCH($A105,IMPORTS!#REF!,0)),"")</f>
        <v/>
      </c>
      <c r="E105" s="87" t="e">
        <f t="shared" si="15"/>
        <v>#VALUE!</v>
      </c>
      <c r="F105" s="31">
        <v>44487</v>
      </c>
      <c r="G105" s="29" t="e">
        <f t="shared" si="16"/>
        <v>#VALUE!</v>
      </c>
      <c r="H105" s="31" t="e">
        <f t="shared" si="17"/>
        <v>#VALUE!</v>
      </c>
      <c r="I105" s="31">
        <v>44491</v>
      </c>
      <c r="J105" s="29" t="e">
        <f t="shared" ref="J105:J114" si="24">+IF(I105&lt;=H105,"SI","NO")</f>
        <v>#VALUE!</v>
      </c>
      <c r="K105" s="90"/>
      <c r="L105" s="29"/>
      <c r="M105" s="29"/>
      <c r="N105" s="117"/>
      <c r="O105" s="116"/>
    </row>
    <row r="106" spans="1:15">
      <c r="A106" s="12" t="s">
        <v>6265</v>
      </c>
      <c r="B106" s="108">
        <v>2021</v>
      </c>
      <c r="C106" s="32" t="s">
        <v>7656</v>
      </c>
      <c r="D106" s="1" t="str">
        <f>+IFERROR(INDEX(IMPORTS!$AT:$AT,MATCH($A106,IMPORTS!#REF!,0)),"")</f>
        <v/>
      </c>
      <c r="E106" s="87" t="e">
        <f t="shared" ref="E106:E112" si="25">WORKDAY(D106,1,$N$2:$N$12)</f>
        <v>#VALUE!</v>
      </c>
      <c r="F106" s="31">
        <v>44487</v>
      </c>
      <c r="G106" s="29" t="e">
        <f t="shared" ref="G106:G112" si="26">+IF(F106&lt;=E106,"SI","NO")</f>
        <v>#VALUE!</v>
      </c>
      <c r="H106" s="31" t="e">
        <f t="shared" ref="H106:H112" si="27">WORKDAY(D106,2,$N$2:$N$12)</f>
        <v>#VALUE!</v>
      </c>
      <c r="I106" s="31">
        <v>44487</v>
      </c>
      <c r="J106" s="29" t="e">
        <f t="shared" si="24"/>
        <v>#VALUE!</v>
      </c>
      <c r="K106" s="90"/>
      <c r="L106" s="29"/>
      <c r="M106" s="29"/>
      <c r="N106" s="117"/>
      <c r="O106" s="116"/>
    </row>
    <row r="107" spans="1:15">
      <c r="A107" s="12" t="s">
        <v>6279</v>
      </c>
      <c r="B107" s="108">
        <v>2021</v>
      </c>
      <c r="C107" s="32" t="s">
        <v>7656</v>
      </c>
      <c r="D107" s="1" t="str">
        <f>+IFERROR(INDEX(IMPORTS!$AT:$AT,MATCH($A107,IMPORTS!#REF!,0)),"")</f>
        <v/>
      </c>
      <c r="E107" s="87" t="e">
        <f t="shared" si="25"/>
        <v>#VALUE!</v>
      </c>
      <c r="F107" s="31">
        <v>44483</v>
      </c>
      <c r="G107" s="29" t="e">
        <f t="shared" si="26"/>
        <v>#VALUE!</v>
      </c>
      <c r="H107" s="31" t="e">
        <f t="shared" si="27"/>
        <v>#VALUE!</v>
      </c>
      <c r="I107" s="31">
        <v>44486</v>
      </c>
      <c r="J107" s="29" t="e">
        <f t="shared" si="24"/>
        <v>#VALUE!</v>
      </c>
      <c r="K107" s="90"/>
      <c r="L107" s="29"/>
      <c r="M107" s="29"/>
      <c r="N107" s="117"/>
      <c r="O107" s="116"/>
    </row>
    <row r="108" spans="1:15">
      <c r="A108" s="12" t="s">
        <v>6283</v>
      </c>
      <c r="B108" s="108">
        <v>2021</v>
      </c>
      <c r="C108" s="32" t="s">
        <v>7656</v>
      </c>
      <c r="D108" s="1" t="str">
        <f>+IFERROR(INDEX(IMPORTS!$AT:$AT,MATCH($A108,IMPORTS!#REF!,0)),"")</f>
        <v/>
      </c>
      <c r="E108" s="87" t="e">
        <f t="shared" si="25"/>
        <v>#VALUE!</v>
      </c>
      <c r="F108" s="31">
        <v>44496</v>
      </c>
      <c r="G108" s="29" t="e">
        <f t="shared" si="26"/>
        <v>#VALUE!</v>
      </c>
      <c r="H108" s="31" t="e">
        <f t="shared" si="27"/>
        <v>#VALUE!</v>
      </c>
      <c r="I108" s="31">
        <v>44496</v>
      </c>
      <c r="J108" s="29" t="e">
        <f t="shared" si="24"/>
        <v>#VALUE!</v>
      </c>
      <c r="K108" s="90"/>
      <c r="L108" s="29"/>
      <c r="M108" s="29"/>
      <c r="N108" s="117"/>
      <c r="O108" s="116"/>
    </row>
    <row r="109" spans="1:15">
      <c r="A109" s="12" t="s">
        <v>6503</v>
      </c>
      <c r="B109" s="108">
        <v>2021</v>
      </c>
      <c r="C109" s="32" t="s">
        <v>7656</v>
      </c>
      <c r="D109" s="1" t="str">
        <f>+IFERROR(INDEX(IMPORTS!$AT:$AT,MATCH($A109,IMPORTS!#REF!,0)),"")</f>
        <v/>
      </c>
      <c r="E109" s="87" t="e">
        <f t="shared" si="25"/>
        <v>#VALUE!</v>
      </c>
      <c r="F109" s="31">
        <v>44488</v>
      </c>
      <c r="G109" s="29" t="e">
        <f t="shared" si="26"/>
        <v>#VALUE!</v>
      </c>
      <c r="H109" s="31" t="e">
        <f t="shared" si="27"/>
        <v>#VALUE!</v>
      </c>
      <c r="I109" s="31">
        <v>44488</v>
      </c>
      <c r="J109" s="29" t="e">
        <f t="shared" si="24"/>
        <v>#VALUE!</v>
      </c>
      <c r="K109" s="90"/>
      <c r="L109" s="29"/>
      <c r="M109" s="29"/>
      <c r="N109" s="117"/>
      <c r="O109" s="116"/>
    </row>
    <row r="110" spans="1:15">
      <c r="A110" s="12" t="s">
        <v>6604</v>
      </c>
      <c r="B110" s="108">
        <v>2021</v>
      </c>
      <c r="C110" s="32" t="s">
        <v>7656</v>
      </c>
      <c r="D110" s="1" t="str">
        <f>+IFERROR(INDEX(IMPORTS!$AT:$AT,MATCH($A110,IMPORTS!#REF!,0)),"")</f>
        <v/>
      </c>
      <c r="E110" s="87" t="e">
        <f t="shared" si="25"/>
        <v>#VALUE!</v>
      </c>
      <c r="F110" s="31">
        <v>44495</v>
      </c>
      <c r="G110" s="29" t="e">
        <f t="shared" si="26"/>
        <v>#VALUE!</v>
      </c>
      <c r="H110" s="31" t="e">
        <f t="shared" si="27"/>
        <v>#VALUE!</v>
      </c>
      <c r="I110" s="31">
        <v>44482</v>
      </c>
      <c r="J110" s="29" t="e">
        <f t="shared" si="24"/>
        <v>#VALUE!</v>
      </c>
      <c r="K110" s="90"/>
      <c r="L110" s="29"/>
      <c r="M110" s="29"/>
      <c r="N110" s="117"/>
      <c r="O110" s="116"/>
    </row>
    <row r="111" spans="1:15">
      <c r="A111" s="12" t="s">
        <v>6613</v>
      </c>
      <c r="B111" s="108">
        <v>2021</v>
      </c>
      <c r="C111" s="32" t="s">
        <v>7656</v>
      </c>
      <c r="D111" s="1" t="str">
        <f>+IFERROR(INDEX(IMPORTS!$AT:$AT,MATCH($A111,IMPORTS!#REF!,0)),"")</f>
        <v/>
      </c>
      <c r="E111" s="87" t="e">
        <f t="shared" si="25"/>
        <v>#VALUE!</v>
      </c>
      <c r="F111" s="31">
        <v>44489</v>
      </c>
      <c r="G111" s="29" t="e">
        <f t="shared" si="26"/>
        <v>#VALUE!</v>
      </c>
      <c r="H111" s="31" t="e">
        <f t="shared" si="27"/>
        <v>#VALUE!</v>
      </c>
      <c r="I111" s="31">
        <v>44490</v>
      </c>
      <c r="J111" s="29" t="e">
        <f t="shared" si="24"/>
        <v>#VALUE!</v>
      </c>
      <c r="K111" s="90"/>
      <c r="L111" s="29"/>
      <c r="M111" s="29"/>
      <c r="N111" s="117"/>
      <c r="O111" s="116"/>
    </row>
    <row r="112" spans="1:15">
      <c r="A112" s="12" t="s">
        <v>6648</v>
      </c>
      <c r="B112" s="108">
        <v>2021</v>
      </c>
      <c r="C112" s="32" t="s">
        <v>7656</v>
      </c>
      <c r="D112" s="1" t="str">
        <f>+IFERROR(INDEX(IMPORTS!$AT:$AT,MATCH($A112,IMPORTS!#REF!,0)),"")</f>
        <v/>
      </c>
      <c r="E112" s="87" t="e">
        <f t="shared" si="25"/>
        <v>#VALUE!</v>
      </c>
      <c r="F112" s="31">
        <v>44491</v>
      </c>
      <c r="G112" s="29" t="e">
        <f t="shared" si="26"/>
        <v>#VALUE!</v>
      </c>
      <c r="H112" s="31" t="e">
        <f t="shared" si="27"/>
        <v>#VALUE!</v>
      </c>
      <c r="I112" s="31">
        <v>44499</v>
      </c>
      <c r="J112" s="29" t="e">
        <f t="shared" si="24"/>
        <v>#VALUE!</v>
      </c>
      <c r="K112" s="90"/>
      <c r="L112" s="29"/>
      <c r="M112" s="29"/>
      <c r="N112" s="117"/>
      <c r="O112" s="116"/>
    </row>
    <row r="113" spans="1:17">
      <c r="A113" s="12" t="s">
        <v>6415</v>
      </c>
      <c r="B113" s="108">
        <v>2021</v>
      </c>
      <c r="C113" s="32" t="s">
        <v>7656</v>
      </c>
      <c r="D113" s="1" t="str">
        <f>+IFERROR(INDEX(IMPORTS!$AT:$AT,MATCH($A113,IMPORTS!#REF!,0)),"")</f>
        <v/>
      </c>
      <c r="E113" s="87" t="e">
        <f t="shared" ref="E113:E118" si="28">WORKDAY(D113,1,$N$2:$N$12)</f>
        <v>#VALUE!</v>
      </c>
      <c r="F113" s="31">
        <v>44496</v>
      </c>
      <c r="G113" s="29" t="e">
        <f t="shared" ref="G113:G118" si="29">+IF(F113&lt;=E113,"SI","NO")</f>
        <v>#VALUE!</v>
      </c>
      <c r="H113" s="31" t="e">
        <f t="shared" ref="H113:H118" si="30">WORKDAY(D113,2,$N$2:$N$12)</f>
        <v>#VALUE!</v>
      </c>
      <c r="I113" s="31">
        <v>44502</v>
      </c>
      <c r="J113" s="29" t="e">
        <f t="shared" si="24"/>
        <v>#VALUE!</v>
      </c>
      <c r="K113" s="90"/>
      <c r="L113" s="29"/>
      <c r="M113" s="29"/>
      <c r="N113" s="117"/>
      <c r="O113" s="116"/>
    </row>
    <row r="114" spans="1:17">
      <c r="A114" s="12" t="s">
        <v>6422</v>
      </c>
      <c r="B114" s="108">
        <v>2021</v>
      </c>
      <c r="C114" s="32" t="s">
        <v>7656</v>
      </c>
      <c r="D114" s="1" t="str">
        <f>+IFERROR(INDEX(IMPORTS!$AT:$AT,MATCH($A114,IMPORTS!#REF!,0)),"")</f>
        <v/>
      </c>
      <c r="E114" s="87" t="e">
        <f t="shared" si="28"/>
        <v>#VALUE!</v>
      </c>
      <c r="F114" s="31">
        <v>44496</v>
      </c>
      <c r="G114" s="29" t="e">
        <f t="shared" si="29"/>
        <v>#VALUE!</v>
      </c>
      <c r="H114" s="31" t="e">
        <f t="shared" si="30"/>
        <v>#VALUE!</v>
      </c>
      <c r="I114" s="31">
        <v>44497</v>
      </c>
      <c r="J114" s="29" t="e">
        <f t="shared" si="24"/>
        <v>#VALUE!</v>
      </c>
      <c r="K114" s="90"/>
      <c r="L114" s="29"/>
      <c r="M114" s="29"/>
      <c r="N114" s="117"/>
      <c r="O114" s="116"/>
    </row>
    <row r="115" spans="1:17">
      <c r="A115" s="12" t="s">
        <v>6448</v>
      </c>
      <c r="B115" s="108">
        <v>2021</v>
      </c>
      <c r="C115" s="32" t="s">
        <v>7656</v>
      </c>
      <c r="D115" s="1" t="str">
        <f>+IFERROR(INDEX(IMPORTS!$AT:$AT,MATCH($A115,IMPORTS!#REF!,0)),"")</f>
        <v/>
      </c>
      <c r="E115" s="87" t="e">
        <f t="shared" si="28"/>
        <v>#VALUE!</v>
      </c>
      <c r="F115" s="31">
        <v>44499</v>
      </c>
      <c r="G115" s="29" t="e">
        <f t="shared" si="29"/>
        <v>#VALUE!</v>
      </c>
      <c r="H115" s="31" t="e">
        <f t="shared" si="30"/>
        <v>#VALUE!</v>
      </c>
      <c r="I115" s="31">
        <v>44499</v>
      </c>
      <c r="J115" s="29" t="s">
        <v>7660</v>
      </c>
      <c r="K115" s="90"/>
      <c r="L115" s="29"/>
      <c r="M115" s="29"/>
      <c r="N115" s="117"/>
      <c r="O115" s="116"/>
    </row>
    <row r="116" spans="1:17">
      <c r="A116" s="12" t="s">
        <v>6452</v>
      </c>
      <c r="B116" s="108">
        <v>2021</v>
      </c>
      <c r="C116" s="32" t="s">
        <v>7656</v>
      </c>
      <c r="D116" s="1" t="str">
        <f>+IFERROR(INDEX(IMPORTS!$AT:$AT,MATCH($A116,IMPORTS!#REF!,0)),"")</f>
        <v/>
      </c>
      <c r="E116" s="87" t="e">
        <f t="shared" si="28"/>
        <v>#VALUE!</v>
      </c>
      <c r="F116" s="31">
        <v>44499</v>
      </c>
      <c r="G116" s="29" t="e">
        <f t="shared" si="29"/>
        <v>#VALUE!</v>
      </c>
      <c r="H116" s="31" t="e">
        <f t="shared" si="30"/>
        <v>#VALUE!</v>
      </c>
      <c r="I116" s="31">
        <v>44499</v>
      </c>
      <c r="J116" s="29" t="e">
        <f t="shared" ref="J116:J125" si="31">+IF(I116&lt;=H116,"SI","NO")</f>
        <v>#VALUE!</v>
      </c>
      <c r="K116" s="90"/>
      <c r="L116" s="29"/>
      <c r="M116" s="29"/>
      <c r="N116" s="117"/>
      <c r="O116" s="116"/>
    </row>
    <row r="117" spans="1:17">
      <c r="A117" s="12" t="s">
        <v>6454</v>
      </c>
      <c r="B117" s="108">
        <v>2021</v>
      </c>
      <c r="C117" s="32" t="s">
        <v>7656</v>
      </c>
      <c r="D117" s="1" t="str">
        <f>+IFERROR(INDEX(IMPORTS!$AT:$AT,MATCH($A117,IMPORTS!#REF!,0)),"")</f>
        <v/>
      </c>
      <c r="E117" s="87" t="e">
        <f t="shared" si="28"/>
        <v>#VALUE!</v>
      </c>
      <c r="F117" s="31">
        <v>44499</v>
      </c>
      <c r="G117" s="29" t="e">
        <f t="shared" si="29"/>
        <v>#VALUE!</v>
      </c>
      <c r="H117" s="31" t="e">
        <f t="shared" si="30"/>
        <v>#VALUE!</v>
      </c>
      <c r="I117" s="31">
        <v>44499</v>
      </c>
      <c r="J117" s="29" t="e">
        <f t="shared" si="31"/>
        <v>#VALUE!</v>
      </c>
      <c r="K117" s="90"/>
      <c r="L117" s="29"/>
      <c r="M117" s="29"/>
      <c r="N117" s="117"/>
      <c r="O117" s="116"/>
    </row>
    <row r="118" spans="1:17">
      <c r="A118" s="12" t="s">
        <v>6657</v>
      </c>
      <c r="B118" s="108">
        <v>2021</v>
      </c>
      <c r="C118" s="32" t="s">
        <v>7657</v>
      </c>
      <c r="D118" s="1" t="str">
        <f>+IFERROR(INDEX(IMPORTS!$AT:$AT,MATCH($A118,IMPORTS!#REF!,0)),"")</f>
        <v/>
      </c>
      <c r="E118" s="87" t="e">
        <f t="shared" si="28"/>
        <v>#VALUE!</v>
      </c>
      <c r="F118" s="31"/>
      <c r="G118" s="29" t="e">
        <f t="shared" si="29"/>
        <v>#VALUE!</v>
      </c>
      <c r="H118" s="31" t="e">
        <f t="shared" si="30"/>
        <v>#VALUE!</v>
      </c>
      <c r="I118" s="31">
        <v>44503</v>
      </c>
      <c r="J118" s="29" t="e">
        <f t="shared" si="31"/>
        <v>#VALUE!</v>
      </c>
      <c r="K118" s="90"/>
      <c r="L118" s="29"/>
      <c r="M118" s="29"/>
      <c r="N118" s="117"/>
      <c r="O118" s="116"/>
    </row>
    <row r="119" spans="1:17">
      <c r="A119" s="12" t="s">
        <v>6106</v>
      </c>
      <c r="B119" s="108">
        <v>2021</v>
      </c>
      <c r="C119" s="32" t="s">
        <v>7657</v>
      </c>
      <c r="D119" s="1" t="str">
        <f>+IFERROR(INDEX(IMPORTS!$AT:$AT,MATCH($A119,IMPORTS!#REF!,0)),"")</f>
        <v/>
      </c>
      <c r="E119" s="87" t="e">
        <f t="shared" ref="E119:E125" si="32">WORKDAY(D119,1,$N$2:$N$12)</f>
        <v>#VALUE!</v>
      </c>
      <c r="F119" s="31"/>
      <c r="G119" s="29" t="e">
        <f t="shared" ref="G119:G125" si="33">+IF(F119&lt;=E119,"SI","NO")</f>
        <v>#VALUE!</v>
      </c>
      <c r="H119" s="31" t="e">
        <f>WORKDAY(D119,2,$N$2:$N$12)</f>
        <v>#VALUE!</v>
      </c>
      <c r="I119" s="31">
        <v>44505</v>
      </c>
      <c r="J119" s="29" t="e">
        <f t="shared" si="31"/>
        <v>#VALUE!</v>
      </c>
      <c r="K119" s="90"/>
      <c r="L119" s="29"/>
      <c r="M119" s="29"/>
      <c r="N119" s="117"/>
      <c r="O119" s="116"/>
      <c r="P119" s="124"/>
      <c r="Q119" s="124"/>
    </row>
    <row r="120" spans="1:17">
      <c r="A120" s="12" t="s">
        <v>5748</v>
      </c>
      <c r="B120" s="108">
        <v>2021</v>
      </c>
      <c r="C120" s="32" t="s">
        <v>7657</v>
      </c>
      <c r="D120" s="1" t="str">
        <f>+IFERROR(INDEX(IMPORTS!$AT:$AT,MATCH($A120,IMPORTS!#REF!,0)),"")</f>
        <v/>
      </c>
      <c r="E120" s="87" t="e">
        <f t="shared" si="32"/>
        <v>#VALUE!</v>
      </c>
      <c r="F120" s="31"/>
      <c r="G120" s="29" t="e">
        <f t="shared" si="33"/>
        <v>#VALUE!</v>
      </c>
      <c r="H120" s="31" t="e">
        <f>WORKDAY(D120,2,$N$2:$N$12)</f>
        <v>#VALUE!</v>
      </c>
      <c r="I120" s="31">
        <v>44505</v>
      </c>
      <c r="J120" s="29" t="e">
        <f t="shared" si="31"/>
        <v>#VALUE!</v>
      </c>
      <c r="K120" s="90"/>
      <c r="L120" s="29"/>
      <c r="M120" s="29"/>
      <c r="N120" s="117"/>
      <c r="O120" s="116"/>
      <c r="P120" s="124"/>
      <c r="Q120" s="124"/>
    </row>
    <row r="121" spans="1:17">
      <c r="A121" s="12" t="s">
        <v>5073</v>
      </c>
      <c r="B121" s="108">
        <v>2021</v>
      </c>
      <c r="C121" s="32" t="s">
        <v>7657</v>
      </c>
      <c r="D121" s="1" t="str">
        <f>+IFERROR(INDEX(IMPORTS!$AT:$AT,MATCH($A121,IMPORTS!#REF!,0)),"")</f>
        <v/>
      </c>
      <c r="E121" s="87" t="e">
        <f t="shared" si="32"/>
        <v>#VALUE!</v>
      </c>
      <c r="F121" s="31"/>
      <c r="G121" s="29" t="e">
        <f t="shared" si="33"/>
        <v>#VALUE!</v>
      </c>
      <c r="H121" s="31">
        <v>44509</v>
      </c>
      <c r="I121" s="31">
        <v>44509</v>
      </c>
      <c r="J121" s="29" t="str">
        <f t="shared" si="31"/>
        <v>SI</v>
      </c>
      <c r="K121" s="90"/>
      <c r="L121" s="29"/>
      <c r="M121" s="29"/>
      <c r="N121" s="117"/>
      <c r="O121" s="116"/>
      <c r="P121" s="124"/>
      <c r="Q121" s="124"/>
    </row>
    <row r="122" spans="1:17">
      <c r="A122" s="12" t="s">
        <v>6099</v>
      </c>
      <c r="B122" s="108">
        <v>2021</v>
      </c>
      <c r="C122" s="32" t="s">
        <v>7657</v>
      </c>
      <c r="D122" s="1" t="str">
        <f>+IFERROR(INDEX(IMPORTS!$AT:$AT,MATCH($A122,IMPORTS!#REF!,0)),"")</f>
        <v/>
      </c>
      <c r="E122" s="87" t="e">
        <f t="shared" si="32"/>
        <v>#VALUE!</v>
      </c>
      <c r="F122" s="31"/>
      <c r="G122" s="29" t="e">
        <f t="shared" si="33"/>
        <v>#VALUE!</v>
      </c>
      <c r="H122" s="31" t="e">
        <f>WORKDAY(D122,2,$N$2:$N$12)</f>
        <v>#VALUE!</v>
      </c>
      <c r="I122" s="31">
        <v>44509</v>
      </c>
      <c r="J122" s="29" t="e">
        <f t="shared" si="31"/>
        <v>#VALUE!</v>
      </c>
      <c r="K122" s="90"/>
      <c r="L122" s="29"/>
      <c r="M122" s="29"/>
      <c r="N122" s="117"/>
      <c r="O122" s="116"/>
      <c r="P122" s="124"/>
      <c r="Q122" s="124"/>
    </row>
    <row r="123" spans="1:17">
      <c r="A123" s="12" t="s">
        <v>6661</v>
      </c>
      <c r="B123" s="108">
        <v>2021</v>
      </c>
      <c r="C123" s="32" t="s">
        <v>7657</v>
      </c>
      <c r="D123" s="1" t="str">
        <f>+IFERROR(INDEX(IMPORTS!$AT:$AT,MATCH($A123,IMPORTS!#REF!,0)),"")</f>
        <v/>
      </c>
      <c r="E123" s="87" t="e">
        <f t="shared" si="32"/>
        <v>#VALUE!</v>
      </c>
      <c r="F123" s="31"/>
      <c r="G123" s="29" t="e">
        <f t="shared" si="33"/>
        <v>#VALUE!</v>
      </c>
      <c r="H123" s="31" t="e">
        <f>WORKDAY(D123,2,$N$2:$N$12)</f>
        <v>#VALUE!</v>
      </c>
      <c r="I123" s="31">
        <v>44509</v>
      </c>
      <c r="J123" s="29" t="e">
        <f t="shared" si="31"/>
        <v>#VALUE!</v>
      </c>
      <c r="K123" s="90"/>
      <c r="L123" s="29"/>
      <c r="M123" s="29"/>
      <c r="N123" s="117"/>
      <c r="O123" s="116"/>
      <c r="P123" s="124"/>
      <c r="Q123" s="124"/>
    </row>
    <row r="124" spans="1:17">
      <c r="A124" s="12" t="s">
        <v>6507</v>
      </c>
      <c r="B124" s="108">
        <v>2021</v>
      </c>
      <c r="C124" s="32" t="s">
        <v>7657</v>
      </c>
      <c r="D124" s="1" t="str">
        <f>+IFERROR(INDEX(IMPORTS!$AT:$AT,MATCH($A124,IMPORTS!#REF!,0)),"")</f>
        <v/>
      </c>
      <c r="E124" s="87" t="e">
        <f t="shared" si="32"/>
        <v>#VALUE!</v>
      </c>
      <c r="F124" s="31"/>
      <c r="G124" s="29" t="e">
        <f t="shared" si="33"/>
        <v>#VALUE!</v>
      </c>
      <c r="H124" s="31" t="e">
        <f>WORKDAY(D124,2,$N$2:$N$12)</f>
        <v>#VALUE!</v>
      </c>
      <c r="I124" s="31">
        <v>44509</v>
      </c>
      <c r="J124" s="29" t="e">
        <f t="shared" si="31"/>
        <v>#VALUE!</v>
      </c>
      <c r="K124" s="90"/>
      <c r="L124" s="29"/>
      <c r="M124" s="29"/>
      <c r="N124" s="117"/>
      <c r="O124" s="116"/>
      <c r="P124" s="124"/>
      <c r="Q124" s="124"/>
    </row>
    <row r="125" spans="1:17">
      <c r="A125" s="12" t="s">
        <v>6523</v>
      </c>
      <c r="B125" s="108">
        <v>2021</v>
      </c>
      <c r="C125" s="32" t="s">
        <v>7657</v>
      </c>
      <c r="D125" s="1" t="str">
        <f>+IFERROR(INDEX(IMPORTS!$AT:$AT,MATCH($A125,IMPORTS!#REF!,0)),"")</f>
        <v/>
      </c>
      <c r="E125" s="87" t="e">
        <f t="shared" si="32"/>
        <v>#VALUE!</v>
      </c>
      <c r="F125" s="31"/>
      <c r="G125" s="29" t="e">
        <f t="shared" si="33"/>
        <v>#VALUE!</v>
      </c>
      <c r="H125" s="31" t="e">
        <f t="shared" ref="H125:H135" si="34">WORKDAY(D125,2,$N$2:$N$12)</f>
        <v>#VALUE!</v>
      </c>
      <c r="I125" s="31">
        <v>44509</v>
      </c>
      <c r="J125" s="29" t="e">
        <f t="shared" si="31"/>
        <v>#VALUE!</v>
      </c>
      <c r="K125" s="90"/>
      <c r="L125" s="29"/>
      <c r="M125" s="29"/>
      <c r="N125" s="117"/>
      <c r="O125" s="116"/>
      <c r="P125" s="124"/>
      <c r="Q125" s="124"/>
    </row>
    <row r="126" spans="1:17">
      <c r="A126" s="12" t="s">
        <v>5079</v>
      </c>
      <c r="B126" s="108">
        <v>2021</v>
      </c>
      <c r="C126" s="32" t="s">
        <v>7657</v>
      </c>
      <c r="D126" s="1" t="str">
        <f>+IFERROR(INDEX(IMPORTS!$AT:$AT,MATCH($A126,IMPORTS!#REF!,0)),"")</f>
        <v/>
      </c>
      <c r="E126" s="87" t="e">
        <f t="shared" ref="E126:E135" si="35">WORKDAY(D126,1,$N$2:$N$12)</f>
        <v>#VALUE!</v>
      </c>
      <c r="F126" s="31"/>
      <c r="G126" s="29" t="e">
        <f t="shared" ref="G126:G135" si="36">+IF(F126&lt;=E126,"SI","NO")</f>
        <v>#VALUE!</v>
      </c>
      <c r="H126" s="31" t="e">
        <f t="shared" si="34"/>
        <v>#VALUE!</v>
      </c>
      <c r="I126" s="31">
        <v>44518</v>
      </c>
      <c r="J126" s="29" t="e">
        <f t="shared" ref="J126:J135" si="37">+IF(I126&lt;=H126,"SI","NO")</f>
        <v>#VALUE!</v>
      </c>
      <c r="K126" s="90"/>
      <c r="L126" s="29"/>
      <c r="M126" s="29"/>
      <c r="N126" s="117"/>
      <c r="O126" s="116"/>
      <c r="P126" s="124"/>
      <c r="Q126" s="124"/>
    </row>
    <row r="127" spans="1:17">
      <c r="A127" s="12" t="s">
        <v>5584</v>
      </c>
      <c r="B127" s="108">
        <v>2021</v>
      </c>
      <c r="C127" s="32" t="s">
        <v>7657</v>
      </c>
      <c r="D127" s="1" t="str">
        <f>+IFERROR(INDEX(IMPORTS!$AT:$AT,MATCH($A127,IMPORTS!#REF!,0)),"")</f>
        <v/>
      </c>
      <c r="E127" s="87" t="e">
        <f t="shared" si="35"/>
        <v>#VALUE!</v>
      </c>
      <c r="F127" s="31"/>
      <c r="G127" s="29" t="e">
        <f t="shared" si="36"/>
        <v>#VALUE!</v>
      </c>
      <c r="H127" s="31" t="e">
        <f t="shared" si="34"/>
        <v>#VALUE!</v>
      </c>
      <c r="I127" s="31">
        <v>44515</v>
      </c>
      <c r="J127" s="29" t="e">
        <f t="shared" si="37"/>
        <v>#VALUE!</v>
      </c>
      <c r="K127" s="90"/>
      <c r="L127" s="29"/>
      <c r="M127" s="29"/>
      <c r="N127" s="117"/>
      <c r="O127" s="116"/>
      <c r="P127" s="124"/>
      <c r="Q127" s="124"/>
    </row>
    <row r="128" spans="1:17">
      <c r="A128" s="12" t="s">
        <v>5751</v>
      </c>
      <c r="B128" s="108">
        <v>2021</v>
      </c>
      <c r="C128" s="32" t="s">
        <v>7657</v>
      </c>
      <c r="D128" s="1" t="str">
        <f>+IFERROR(INDEX(IMPORTS!$AT:$AT,MATCH($A128,IMPORTS!#REF!,0)),"")</f>
        <v/>
      </c>
      <c r="E128" s="87" t="e">
        <f t="shared" si="35"/>
        <v>#VALUE!</v>
      </c>
      <c r="F128" s="31"/>
      <c r="G128" s="29" t="e">
        <f t="shared" si="36"/>
        <v>#VALUE!</v>
      </c>
      <c r="H128" s="31" t="e">
        <f t="shared" si="34"/>
        <v>#VALUE!</v>
      </c>
      <c r="I128" s="31">
        <v>44512</v>
      </c>
      <c r="J128" s="29" t="e">
        <f t="shared" si="37"/>
        <v>#VALUE!</v>
      </c>
      <c r="K128" s="90"/>
      <c r="L128" s="29"/>
      <c r="M128" s="29"/>
      <c r="N128" s="117"/>
      <c r="O128" s="116"/>
      <c r="P128" s="124"/>
      <c r="Q128" s="124"/>
    </row>
    <row r="129" spans="1:17">
      <c r="A129" s="12" t="s">
        <v>5763</v>
      </c>
      <c r="B129" s="108">
        <v>2021</v>
      </c>
      <c r="C129" s="32" t="s">
        <v>7657</v>
      </c>
      <c r="D129" s="1" t="str">
        <f>+IFERROR(INDEX(IMPORTS!$AT:$AT,MATCH($A129,IMPORTS!#REF!,0)),"")</f>
        <v/>
      </c>
      <c r="E129" s="87" t="e">
        <f t="shared" si="35"/>
        <v>#VALUE!</v>
      </c>
      <c r="F129" s="31"/>
      <c r="G129" s="29" t="e">
        <f t="shared" si="36"/>
        <v>#VALUE!</v>
      </c>
      <c r="H129" s="31" t="e">
        <f t="shared" si="34"/>
        <v>#VALUE!</v>
      </c>
      <c r="I129" s="31">
        <v>44505</v>
      </c>
      <c r="J129" s="29" t="e">
        <f t="shared" si="37"/>
        <v>#VALUE!</v>
      </c>
      <c r="K129" s="90"/>
      <c r="L129" s="29"/>
      <c r="M129" s="29"/>
      <c r="N129" s="117"/>
      <c r="O129" s="116"/>
      <c r="P129" s="124"/>
      <c r="Q129" s="124"/>
    </row>
    <row r="130" spans="1:17">
      <c r="A130" s="12" t="s">
        <v>5913</v>
      </c>
      <c r="B130" s="108">
        <v>2021</v>
      </c>
      <c r="C130" s="32" t="s">
        <v>7657</v>
      </c>
      <c r="D130" s="1" t="str">
        <f>+IFERROR(INDEX(IMPORTS!$AT:$AT,MATCH($A130,IMPORTS!#REF!,0)),"")</f>
        <v/>
      </c>
      <c r="E130" s="87" t="e">
        <f t="shared" si="35"/>
        <v>#VALUE!</v>
      </c>
      <c r="F130" s="31"/>
      <c r="G130" s="29" t="e">
        <f t="shared" si="36"/>
        <v>#VALUE!</v>
      </c>
      <c r="H130" s="31" t="e">
        <f t="shared" si="34"/>
        <v>#VALUE!</v>
      </c>
      <c r="I130" s="31">
        <v>44511</v>
      </c>
      <c r="J130" s="29" t="e">
        <f t="shared" si="37"/>
        <v>#VALUE!</v>
      </c>
      <c r="K130" s="90"/>
      <c r="L130" s="29"/>
      <c r="M130" s="29"/>
      <c r="N130" s="117"/>
      <c r="O130" s="116"/>
      <c r="P130" s="124"/>
      <c r="Q130" s="124"/>
    </row>
    <row r="131" spans="1:17">
      <c r="A131" s="12" t="s">
        <v>6060</v>
      </c>
      <c r="B131" s="108">
        <v>2021</v>
      </c>
      <c r="C131" s="32" t="s">
        <v>7657</v>
      </c>
      <c r="D131" s="1" t="str">
        <f>+IFERROR(INDEX(IMPORTS!$AT:$AT,MATCH($A131,IMPORTS!#REF!,0)),"")</f>
        <v/>
      </c>
      <c r="E131" s="87" t="e">
        <f t="shared" si="35"/>
        <v>#VALUE!</v>
      </c>
      <c r="F131" s="31"/>
      <c r="G131" s="29" t="e">
        <f t="shared" si="36"/>
        <v>#VALUE!</v>
      </c>
      <c r="H131" s="31" t="e">
        <f t="shared" si="34"/>
        <v>#VALUE!</v>
      </c>
      <c r="I131" s="31">
        <v>44517</v>
      </c>
      <c r="J131" s="29" t="e">
        <f t="shared" si="37"/>
        <v>#VALUE!</v>
      </c>
      <c r="K131" s="90"/>
      <c r="L131" s="29"/>
      <c r="M131" s="29"/>
      <c r="N131" s="117"/>
      <c r="O131" s="116"/>
      <c r="P131" s="124"/>
      <c r="Q131" s="124"/>
    </row>
    <row r="132" spans="1:17">
      <c r="A132" s="12" t="s">
        <v>6088</v>
      </c>
      <c r="B132" s="108">
        <v>2021</v>
      </c>
      <c r="C132" s="32" t="s">
        <v>7657</v>
      </c>
      <c r="D132" s="1" t="str">
        <f>+IFERROR(INDEX(IMPORTS!$AT:$AT,MATCH($A132,IMPORTS!#REF!,0)),"")</f>
        <v/>
      </c>
      <c r="E132" s="87" t="e">
        <f t="shared" si="35"/>
        <v>#VALUE!</v>
      </c>
      <c r="F132" s="31"/>
      <c r="G132" s="29" t="e">
        <f t="shared" si="36"/>
        <v>#VALUE!</v>
      </c>
      <c r="H132" s="31" t="e">
        <f t="shared" si="34"/>
        <v>#VALUE!</v>
      </c>
      <c r="I132" s="103">
        <v>44525</v>
      </c>
      <c r="J132" s="29" t="s">
        <v>7660</v>
      </c>
      <c r="K132" s="90"/>
      <c r="L132" s="29"/>
      <c r="M132" s="29"/>
      <c r="N132" s="117"/>
      <c r="O132" s="116"/>
      <c r="P132" s="124"/>
      <c r="Q132" s="124"/>
    </row>
    <row r="133" spans="1:17">
      <c r="A133" s="12" t="s">
        <v>6111</v>
      </c>
      <c r="B133" s="108">
        <v>2021</v>
      </c>
      <c r="C133" s="32" t="s">
        <v>7657</v>
      </c>
      <c r="D133" s="1" t="str">
        <f>+IFERROR(INDEX(IMPORTS!$AT:$AT,MATCH($A133,IMPORTS!#REF!,0)),"")</f>
        <v/>
      </c>
      <c r="E133" s="87" t="e">
        <f t="shared" si="35"/>
        <v>#VALUE!</v>
      </c>
      <c r="F133" s="31"/>
      <c r="G133" s="29" t="e">
        <f t="shared" si="36"/>
        <v>#VALUE!</v>
      </c>
      <c r="H133" s="31" t="e">
        <f t="shared" si="34"/>
        <v>#VALUE!</v>
      </c>
      <c r="I133" s="31">
        <v>44506</v>
      </c>
      <c r="J133" s="29" t="e">
        <f t="shared" si="37"/>
        <v>#VALUE!</v>
      </c>
      <c r="K133" s="90"/>
      <c r="L133" s="29"/>
      <c r="M133" s="29"/>
      <c r="N133" s="117"/>
      <c r="O133" s="116"/>
      <c r="P133" s="124"/>
      <c r="Q133" s="124"/>
    </row>
    <row r="134" spans="1:17">
      <c r="A134" s="12" t="s">
        <v>6114</v>
      </c>
      <c r="B134" s="108">
        <v>2021</v>
      </c>
      <c r="C134" s="32" t="s">
        <v>7657</v>
      </c>
      <c r="D134" s="1" t="str">
        <f>+IFERROR(INDEX(IMPORTS!$AT:$AT,MATCH($A134,IMPORTS!#REF!,0)),"")</f>
        <v/>
      </c>
      <c r="E134" s="87" t="e">
        <f t="shared" si="35"/>
        <v>#VALUE!</v>
      </c>
      <c r="F134" s="31"/>
      <c r="G134" s="29" t="e">
        <f t="shared" si="36"/>
        <v>#VALUE!</v>
      </c>
      <c r="H134" s="31" t="e">
        <f t="shared" si="34"/>
        <v>#VALUE!</v>
      </c>
      <c r="I134" s="31">
        <v>44506</v>
      </c>
      <c r="J134" s="29" t="e">
        <f t="shared" si="37"/>
        <v>#VALUE!</v>
      </c>
      <c r="K134" s="90"/>
      <c r="L134" s="29"/>
      <c r="M134" s="29"/>
      <c r="N134" s="117"/>
      <c r="O134" s="116"/>
      <c r="P134" s="124"/>
      <c r="Q134" s="124"/>
    </row>
    <row r="135" spans="1:17">
      <c r="A135" s="12" t="s">
        <v>6175</v>
      </c>
      <c r="B135" s="108">
        <v>2021</v>
      </c>
      <c r="C135" s="32" t="s">
        <v>7657</v>
      </c>
      <c r="D135" s="1" t="str">
        <f>+IFERROR(INDEX(IMPORTS!$AT:$AT,MATCH($A135,IMPORTS!#REF!,0)),"")</f>
        <v/>
      </c>
      <c r="E135" s="87" t="e">
        <f t="shared" si="35"/>
        <v>#VALUE!</v>
      </c>
      <c r="F135" s="31"/>
      <c r="G135" s="29" t="e">
        <f t="shared" si="36"/>
        <v>#VALUE!</v>
      </c>
      <c r="H135" s="31" t="e">
        <f t="shared" si="34"/>
        <v>#VALUE!</v>
      </c>
      <c r="I135" s="31">
        <v>44512</v>
      </c>
      <c r="J135" s="29" t="e">
        <f t="shared" si="37"/>
        <v>#VALUE!</v>
      </c>
      <c r="K135" s="90"/>
      <c r="L135" s="29"/>
      <c r="M135" s="29"/>
      <c r="N135" s="117"/>
      <c r="O135" s="116"/>
      <c r="P135" s="124"/>
      <c r="Q135" s="124"/>
    </row>
    <row r="136" spans="1:17">
      <c r="A136" s="12" t="s">
        <v>6187</v>
      </c>
      <c r="B136" s="108">
        <v>2021</v>
      </c>
      <c r="C136" s="32" t="s">
        <v>7657</v>
      </c>
      <c r="D136" s="1" t="str">
        <f>+IFERROR(INDEX(IMPORTS!$AT:$AT,MATCH($A136,IMPORTS!#REF!,0)),"")</f>
        <v/>
      </c>
      <c r="E136" s="87" t="e">
        <f>WORKDAY(D136,1,$N$2:$N$12)</f>
        <v>#VALUE!</v>
      </c>
      <c r="F136" s="31"/>
      <c r="G136" s="29" t="e">
        <f>+IF(F136&lt;=E136,"SI","NO")</f>
        <v>#VALUE!</v>
      </c>
      <c r="H136" s="31" t="e">
        <f>WORKDAY(D136,2,$N$2:$N$12)</f>
        <v>#VALUE!</v>
      </c>
      <c r="I136" s="31">
        <v>44512</v>
      </c>
      <c r="J136" s="29" t="e">
        <f>+IF(I136&lt;=H136,"SI","NO")</f>
        <v>#VALUE!</v>
      </c>
      <c r="K136" s="90"/>
      <c r="L136" s="29"/>
      <c r="M136" s="29"/>
      <c r="N136" s="117"/>
      <c r="O136" s="116"/>
      <c r="P136" s="124"/>
      <c r="Q136" s="124"/>
    </row>
    <row r="137" spans="1:17">
      <c r="A137" s="12" t="s">
        <v>6287</v>
      </c>
      <c r="B137" s="108">
        <v>2021</v>
      </c>
      <c r="C137" s="32" t="s">
        <v>7657</v>
      </c>
      <c r="D137" s="1" t="str">
        <f>+IFERROR(INDEX(IMPORTS!$AT:$AT,MATCH($A137,IMPORTS!#REF!,0)),"")</f>
        <v/>
      </c>
      <c r="E137" s="87" t="e">
        <f>WORKDAY(D137,1,$N$2:$N$12)</f>
        <v>#VALUE!</v>
      </c>
      <c r="F137" s="31"/>
      <c r="G137" s="29" t="e">
        <f>+IF(F137&lt;=E137,"SI","NO")</f>
        <v>#VALUE!</v>
      </c>
      <c r="H137" s="31" t="e">
        <f>WORKDAY(D137,2,$N$2:$N$12)</f>
        <v>#VALUE!</v>
      </c>
      <c r="I137" s="31">
        <v>44512</v>
      </c>
      <c r="J137" s="29" t="e">
        <f>+IF(I137&lt;=H137,"SI","NO")</f>
        <v>#VALUE!</v>
      </c>
      <c r="K137" s="90"/>
      <c r="L137" s="29"/>
      <c r="M137" s="29"/>
      <c r="N137" s="117"/>
      <c r="O137" s="116"/>
      <c r="P137" s="124"/>
    </row>
    <row r="138" spans="1:17">
      <c r="A138" s="12" t="s">
        <v>6291</v>
      </c>
      <c r="B138" s="108">
        <v>2021</v>
      </c>
      <c r="C138" s="32" t="s">
        <v>7657</v>
      </c>
      <c r="D138" s="1" t="str">
        <f>+IFERROR(INDEX(IMPORTS!$AT:$AT,MATCH($A138,IMPORTS!#REF!,0)),"")</f>
        <v/>
      </c>
      <c r="E138" s="87" t="e">
        <f>WORKDAY(D138,1,$N$2:$N$12)</f>
        <v>#VALUE!</v>
      </c>
      <c r="F138" s="31"/>
      <c r="G138" s="29" t="e">
        <f>+IF(F138&lt;=E138,"SI","NO")</f>
        <v>#VALUE!</v>
      </c>
      <c r="H138" s="31" t="e">
        <f>WORKDAY(D138,2,$N$2:$N$12)</f>
        <v>#VALUE!</v>
      </c>
      <c r="I138" s="31">
        <v>44512</v>
      </c>
      <c r="J138" s="29" t="e">
        <f>+IF(I138&lt;=H138,"SI","NO")</f>
        <v>#VALUE!</v>
      </c>
      <c r="K138" s="90"/>
      <c r="L138" s="29"/>
      <c r="M138" s="29"/>
      <c r="N138" s="117"/>
      <c r="O138" s="116"/>
      <c r="P138" s="124"/>
    </row>
    <row r="139" spans="1:17">
      <c r="A139" s="12" t="s">
        <v>6296</v>
      </c>
      <c r="B139" s="108">
        <v>2021</v>
      </c>
      <c r="C139" s="32" t="s">
        <v>7657</v>
      </c>
      <c r="D139" s="1" t="str">
        <f>+IFERROR(INDEX(IMPORTS!$AT:$AT,MATCH($A139,IMPORTS!#REF!,0)),"")</f>
        <v/>
      </c>
      <c r="E139" s="87" t="e">
        <f>WORKDAY(D139,1,$N$2:$N$12)</f>
        <v>#VALUE!</v>
      </c>
      <c r="F139" s="31"/>
      <c r="G139" s="29" t="e">
        <f>+IF(F139&lt;=E139,"SI","NO")</f>
        <v>#VALUE!</v>
      </c>
      <c r="H139" s="31" t="e">
        <f>WORKDAY(D139,2,$N$2:$N$12)</f>
        <v>#VALUE!</v>
      </c>
      <c r="I139" s="31">
        <v>44511</v>
      </c>
      <c r="J139" s="29" t="e">
        <f>+IF(I139&lt;=H139,"SI","NO")</f>
        <v>#VALUE!</v>
      </c>
      <c r="K139" s="90"/>
      <c r="L139" s="29"/>
      <c r="M139" s="29"/>
      <c r="N139" s="117"/>
      <c r="O139" s="116"/>
      <c r="P139" s="124"/>
      <c r="Q139" s="124"/>
    </row>
    <row r="140" spans="1:17">
      <c r="A140" s="12" t="s">
        <v>6315</v>
      </c>
      <c r="B140" s="108">
        <v>2021</v>
      </c>
      <c r="C140" s="32" t="s">
        <v>7657</v>
      </c>
      <c r="D140" s="1" t="str">
        <f>+IFERROR(INDEX(IMPORTS!$AT:$AT,MATCH($A140,IMPORTS!#REF!,0)),"")</f>
        <v/>
      </c>
      <c r="E140" s="87" t="e">
        <f>WORKDAY(D140,1,$N$2:$N$12)</f>
        <v>#VALUE!</v>
      </c>
      <c r="F140" s="31"/>
      <c r="G140" s="29" t="e">
        <f>+IF(F140&lt;=E140,"SI","NO")</f>
        <v>#VALUE!</v>
      </c>
      <c r="H140" s="31" t="e">
        <f>WORKDAY(D140,2,$N$2:$N$12)</f>
        <v>#VALUE!</v>
      </c>
      <c r="I140" s="31">
        <v>44513</v>
      </c>
      <c r="J140" s="29" t="e">
        <f>+IF(I140&lt;=H140,"SI","NO")</f>
        <v>#VALUE!</v>
      </c>
      <c r="K140" s="90"/>
      <c r="L140" s="29"/>
      <c r="M140" s="29"/>
      <c r="N140" s="117"/>
      <c r="O140" s="116"/>
      <c r="P140" s="124"/>
      <c r="Q140" s="124"/>
    </row>
    <row r="141" spans="1:17">
      <c r="A141" s="12" t="s">
        <v>6456</v>
      </c>
      <c r="B141" s="108">
        <v>2021</v>
      </c>
      <c r="C141" s="32" t="s">
        <v>7657</v>
      </c>
      <c r="D141" s="1" t="str">
        <f>+IFERROR(INDEX(IMPORTS!$AT:$AT,MATCH($A141,IMPORTS!#REF!,0)),"")</f>
        <v/>
      </c>
      <c r="E141" s="87" t="e">
        <f t="shared" ref="E141:E151" si="38">WORKDAY(D141,1,$N$2:$N$12)</f>
        <v>#VALUE!</v>
      </c>
      <c r="F141" s="31"/>
      <c r="G141" s="29" t="e">
        <f t="shared" ref="G141:G151" si="39">+IF(F141&lt;=E141,"SI","NO")</f>
        <v>#VALUE!</v>
      </c>
      <c r="H141" s="31" t="e">
        <f t="shared" ref="H141:H151" si="40">WORKDAY(D141,2,$N$2:$N$12)</f>
        <v>#VALUE!</v>
      </c>
      <c r="I141" s="31">
        <v>44515</v>
      </c>
      <c r="J141" s="29" t="e">
        <f t="shared" ref="J141:J151" si="41">+IF(I141&lt;=H141,"SI","NO")</f>
        <v>#VALUE!</v>
      </c>
      <c r="K141" s="90"/>
      <c r="L141" s="29"/>
      <c r="M141" s="29"/>
      <c r="N141" s="117"/>
      <c r="O141" s="116"/>
      <c r="P141" s="124"/>
    </row>
    <row r="142" spans="1:17">
      <c r="A142" s="12" t="s">
        <v>6458</v>
      </c>
      <c r="B142" s="108">
        <v>2021</v>
      </c>
      <c r="C142" s="32" t="s">
        <v>7657</v>
      </c>
      <c r="D142" s="1" t="str">
        <f>+IFERROR(INDEX(IMPORTS!$AT:$AT,MATCH($A142,IMPORTS!#REF!,0)),"")</f>
        <v/>
      </c>
      <c r="E142" s="87" t="e">
        <f t="shared" si="38"/>
        <v>#VALUE!</v>
      </c>
      <c r="F142" s="31"/>
      <c r="G142" s="29" t="e">
        <f t="shared" si="39"/>
        <v>#VALUE!</v>
      </c>
      <c r="H142" s="31" t="e">
        <f t="shared" si="40"/>
        <v>#VALUE!</v>
      </c>
      <c r="I142" s="31">
        <v>44515</v>
      </c>
      <c r="J142" s="29" t="e">
        <f t="shared" si="41"/>
        <v>#VALUE!</v>
      </c>
      <c r="K142" s="90"/>
      <c r="L142" s="29"/>
      <c r="M142" s="29"/>
      <c r="N142" s="117"/>
      <c r="O142" s="116"/>
      <c r="P142" s="124"/>
    </row>
    <row r="143" spans="1:17">
      <c r="A143" s="12" t="s">
        <v>6511</v>
      </c>
      <c r="B143" s="108">
        <v>2021</v>
      </c>
      <c r="C143" s="32" t="s">
        <v>7657</v>
      </c>
      <c r="D143" s="1" t="str">
        <f>+IFERROR(INDEX(IMPORTS!$AT:$AT,MATCH($A143,IMPORTS!#REF!,0)),"")</f>
        <v/>
      </c>
      <c r="E143" s="87" t="e">
        <f t="shared" si="38"/>
        <v>#VALUE!</v>
      </c>
      <c r="F143" s="31"/>
      <c r="G143" s="29" t="e">
        <f t="shared" si="39"/>
        <v>#VALUE!</v>
      </c>
      <c r="H143" s="31" t="e">
        <f t="shared" si="40"/>
        <v>#VALUE!</v>
      </c>
      <c r="I143" s="31">
        <v>44513</v>
      </c>
      <c r="J143" s="29" t="e">
        <f t="shared" si="41"/>
        <v>#VALUE!</v>
      </c>
      <c r="K143" s="90"/>
      <c r="L143" s="29"/>
      <c r="M143" s="29"/>
      <c r="N143" s="117"/>
      <c r="O143" s="116"/>
      <c r="P143" s="124"/>
      <c r="Q143" s="124"/>
    </row>
    <row r="144" spans="1:17">
      <c r="A144" s="12" t="s">
        <v>6639</v>
      </c>
      <c r="B144" s="108">
        <v>2021</v>
      </c>
      <c r="C144" s="32" t="s">
        <v>7657</v>
      </c>
      <c r="D144" s="1" t="str">
        <f>+IFERROR(INDEX(IMPORTS!$AT:$AT,MATCH($A144,IMPORTS!#REF!,0)),"")</f>
        <v/>
      </c>
      <c r="E144" s="87" t="e">
        <f t="shared" si="38"/>
        <v>#VALUE!</v>
      </c>
      <c r="F144" s="31"/>
      <c r="G144" s="29" t="e">
        <f t="shared" si="39"/>
        <v>#VALUE!</v>
      </c>
      <c r="H144" s="31" t="e">
        <f t="shared" si="40"/>
        <v>#VALUE!</v>
      </c>
      <c r="I144" s="31">
        <v>44505</v>
      </c>
      <c r="J144" s="29" t="e">
        <f t="shared" si="41"/>
        <v>#VALUE!</v>
      </c>
      <c r="K144" s="90"/>
      <c r="L144" s="29"/>
      <c r="M144" s="29"/>
      <c r="N144" s="117"/>
      <c r="O144" s="116"/>
      <c r="P144" s="124"/>
      <c r="Q144" s="124"/>
    </row>
    <row r="145" spans="1:17">
      <c r="A145" s="12" t="s">
        <v>6697</v>
      </c>
      <c r="B145" s="108">
        <v>2021</v>
      </c>
      <c r="C145" s="32" t="s">
        <v>7657</v>
      </c>
      <c r="D145" s="1" t="str">
        <f>+IFERROR(INDEX(IMPORTS!$AT:$AT,MATCH($A145,IMPORTS!#REF!,0)),"")</f>
        <v/>
      </c>
      <c r="E145" s="87" t="e">
        <f t="shared" si="38"/>
        <v>#VALUE!</v>
      </c>
      <c r="F145" s="31"/>
      <c r="G145" s="29" t="e">
        <f t="shared" si="39"/>
        <v>#VALUE!</v>
      </c>
      <c r="H145" s="31" t="e">
        <f t="shared" si="40"/>
        <v>#VALUE!</v>
      </c>
      <c r="I145" s="31">
        <v>44516</v>
      </c>
      <c r="J145" s="29" t="e">
        <f t="shared" si="41"/>
        <v>#VALUE!</v>
      </c>
      <c r="K145" s="90"/>
      <c r="L145" s="29"/>
      <c r="M145" s="29"/>
      <c r="N145" s="117"/>
      <c r="O145" s="116"/>
      <c r="P145" s="124"/>
      <c r="Q145" s="124"/>
    </row>
    <row r="146" spans="1:17">
      <c r="A146" s="12" t="s">
        <v>6515</v>
      </c>
      <c r="B146" s="108">
        <v>2021</v>
      </c>
      <c r="C146" s="32" t="s">
        <v>7657</v>
      </c>
      <c r="D146" s="1" t="str">
        <f>+IFERROR(INDEX(IMPORTS!$AT:$AT,MATCH($A146,IMPORTS!#REF!,0)),"")</f>
        <v/>
      </c>
      <c r="E146" s="87" t="e">
        <f t="shared" si="38"/>
        <v>#VALUE!</v>
      </c>
      <c r="F146" s="31"/>
      <c r="G146" s="29" t="e">
        <f t="shared" si="39"/>
        <v>#VALUE!</v>
      </c>
      <c r="H146" s="31" t="e">
        <f t="shared" si="40"/>
        <v>#VALUE!</v>
      </c>
      <c r="I146" s="31">
        <v>44516</v>
      </c>
      <c r="J146" s="29" t="e">
        <f t="shared" si="41"/>
        <v>#VALUE!</v>
      </c>
      <c r="K146" s="90"/>
      <c r="L146" s="29"/>
      <c r="M146" s="29"/>
      <c r="N146" s="117"/>
      <c r="O146" s="116"/>
      <c r="P146" s="124"/>
    </row>
    <row r="147" spans="1:17">
      <c r="A147" s="12" t="s">
        <v>6460</v>
      </c>
      <c r="B147" s="108">
        <v>2021</v>
      </c>
      <c r="C147" s="32" t="s">
        <v>7657</v>
      </c>
      <c r="D147" s="1" t="str">
        <f>+IFERROR(INDEX(IMPORTS!$AT:$AT,MATCH($A147,IMPORTS!#REF!,0)),"")</f>
        <v/>
      </c>
      <c r="E147" s="87" t="e">
        <f t="shared" si="38"/>
        <v>#VALUE!</v>
      </c>
      <c r="F147" s="31"/>
      <c r="G147" s="29" t="e">
        <f t="shared" si="39"/>
        <v>#VALUE!</v>
      </c>
      <c r="H147" s="31" t="e">
        <f t="shared" si="40"/>
        <v>#VALUE!</v>
      </c>
      <c r="I147" s="31">
        <v>44516</v>
      </c>
      <c r="J147" s="29" t="e">
        <f t="shared" si="41"/>
        <v>#VALUE!</v>
      </c>
      <c r="K147" s="90"/>
      <c r="L147" s="29"/>
      <c r="M147" s="29"/>
      <c r="N147" s="117"/>
      <c r="O147" s="116"/>
      <c r="P147" s="124"/>
      <c r="Q147" s="124"/>
    </row>
    <row r="148" spans="1:17">
      <c r="A148" s="12" t="s">
        <v>6169</v>
      </c>
      <c r="B148" s="108">
        <v>2021</v>
      </c>
      <c r="C148" s="32" t="s">
        <v>7657</v>
      </c>
      <c r="D148" s="1" t="str">
        <f>+IFERROR(INDEX(IMPORTS!$AT:$AT,MATCH($A148,IMPORTS!#REF!,0)),"")</f>
        <v/>
      </c>
      <c r="E148" s="87" t="e">
        <f t="shared" si="38"/>
        <v>#VALUE!</v>
      </c>
      <c r="F148" s="31"/>
      <c r="G148" s="29" t="e">
        <f t="shared" si="39"/>
        <v>#VALUE!</v>
      </c>
      <c r="H148" s="31" t="e">
        <f t="shared" si="40"/>
        <v>#VALUE!</v>
      </c>
      <c r="I148" s="31">
        <v>44517</v>
      </c>
      <c r="J148" s="29" t="e">
        <f t="shared" si="41"/>
        <v>#VALUE!</v>
      </c>
      <c r="K148" s="90"/>
      <c r="L148" s="29"/>
      <c r="M148" s="29"/>
      <c r="N148" s="117"/>
      <c r="O148" s="116"/>
      <c r="P148" s="124"/>
      <c r="Q148" s="124"/>
    </row>
    <row r="149" spans="1:17">
      <c r="A149" s="12" t="s">
        <v>6082</v>
      </c>
      <c r="B149" s="108">
        <v>2021</v>
      </c>
      <c r="C149" s="32" t="s">
        <v>7657</v>
      </c>
      <c r="D149" s="1" t="str">
        <f>+IFERROR(INDEX(IMPORTS!$AT:$AT,MATCH($A149,IMPORTS!#REF!,0)),"")</f>
        <v/>
      </c>
      <c r="E149" s="87" t="e">
        <f t="shared" si="38"/>
        <v>#VALUE!</v>
      </c>
      <c r="F149" s="31"/>
      <c r="G149" s="29" t="e">
        <f t="shared" si="39"/>
        <v>#VALUE!</v>
      </c>
      <c r="H149" s="31" t="e">
        <f t="shared" si="40"/>
        <v>#VALUE!</v>
      </c>
      <c r="I149" s="31">
        <v>44518</v>
      </c>
      <c r="J149" s="29" t="e">
        <f t="shared" si="41"/>
        <v>#VALUE!</v>
      </c>
      <c r="K149" s="90"/>
      <c r="L149" s="29"/>
      <c r="M149" s="29"/>
      <c r="N149" s="117"/>
      <c r="O149" s="116"/>
      <c r="P149" s="124"/>
      <c r="Q149" s="124"/>
    </row>
    <row r="150" spans="1:17">
      <c r="A150" s="12" t="s">
        <v>6162</v>
      </c>
      <c r="B150" s="108">
        <v>2021</v>
      </c>
      <c r="C150" s="32" t="s">
        <v>7657</v>
      </c>
      <c r="D150" s="1" t="str">
        <f>+IFERROR(INDEX(IMPORTS!$AT:$AT,MATCH($A150,IMPORTS!#REF!,0)),"")</f>
        <v/>
      </c>
      <c r="E150" s="87" t="e">
        <f t="shared" si="38"/>
        <v>#VALUE!</v>
      </c>
      <c r="F150" s="31"/>
      <c r="G150" s="29" t="e">
        <f t="shared" si="39"/>
        <v>#VALUE!</v>
      </c>
      <c r="H150" s="31" t="e">
        <f t="shared" si="40"/>
        <v>#VALUE!</v>
      </c>
      <c r="I150" s="31">
        <v>44523</v>
      </c>
      <c r="J150" s="29" t="e">
        <f t="shared" si="41"/>
        <v>#VALUE!</v>
      </c>
      <c r="K150" s="90"/>
      <c r="L150" s="29"/>
      <c r="M150" s="29"/>
      <c r="N150" s="117"/>
      <c r="O150" s="116"/>
      <c r="P150" s="124"/>
      <c r="Q150" s="124"/>
    </row>
    <row r="151" spans="1:17">
      <c r="A151" s="12" t="s">
        <v>6419</v>
      </c>
      <c r="B151" s="108">
        <v>2021</v>
      </c>
      <c r="C151" s="32" t="s">
        <v>7657</v>
      </c>
      <c r="D151" s="1" t="str">
        <f>+IFERROR(INDEX(IMPORTS!$AT:$AT,MATCH($A151,IMPORTS!#REF!,0)),"")</f>
        <v/>
      </c>
      <c r="E151" s="87" t="e">
        <f t="shared" si="38"/>
        <v>#VALUE!</v>
      </c>
      <c r="F151" s="31"/>
      <c r="G151" s="29" t="e">
        <f t="shared" si="39"/>
        <v>#VALUE!</v>
      </c>
      <c r="H151" s="31" t="e">
        <f t="shared" si="40"/>
        <v>#VALUE!</v>
      </c>
      <c r="I151" s="31">
        <v>44523</v>
      </c>
      <c r="J151" s="29" t="e">
        <f t="shared" si="41"/>
        <v>#VALUE!</v>
      </c>
      <c r="K151" s="90"/>
      <c r="L151" s="29"/>
      <c r="M151" s="29"/>
      <c r="N151" s="117"/>
      <c r="O151" s="116"/>
      <c r="P151" s="124"/>
    </row>
    <row r="152" spans="1:17">
      <c r="A152" s="12" t="s">
        <v>6426</v>
      </c>
      <c r="B152" s="108">
        <v>2021</v>
      </c>
      <c r="C152" s="32" t="s">
        <v>7657</v>
      </c>
      <c r="D152" s="1" t="str">
        <f>+IFERROR(INDEX(IMPORTS!$AT:$AT,MATCH($A152,IMPORTS!#REF!,0)),"")</f>
        <v/>
      </c>
      <c r="E152" s="87" t="e">
        <f t="shared" ref="E152:E166" si="42">WORKDAY(D152,1,$N$2:$N$12)</f>
        <v>#VALUE!</v>
      </c>
      <c r="F152" s="31"/>
      <c r="G152" s="29" t="e">
        <f t="shared" ref="G152:G166" si="43">+IF(F152&lt;=E152,"SI","NO")</f>
        <v>#VALUE!</v>
      </c>
      <c r="H152" s="31" t="e">
        <f t="shared" ref="H152:H166" si="44">WORKDAY(D152,2,$N$2:$N$12)</f>
        <v>#VALUE!</v>
      </c>
      <c r="I152" s="31">
        <v>44523</v>
      </c>
      <c r="J152" s="29" t="e">
        <f t="shared" ref="J152:J166" si="45">+IF(I152&lt;=H152,"SI","NO")</f>
        <v>#VALUE!</v>
      </c>
      <c r="K152" s="90"/>
      <c r="L152" s="29"/>
      <c r="M152" s="29"/>
      <c r="N152" s="117"/>
      <c r="O152" s="116"/>
      <c r="P152" s="124"/>
    </row>
    <row r="153" spans="1:17">
      <c r="A153" s="12" t="s">
        <v>6463</v>
      </c>
      <c r="B153" s="108">
        <v>2021</v>
      </c>
      <c r="C153" s="32" t="s">
        <v>7657</v>
      </c>
      <c r="D153" s="1" t="str">
        <f>+IFERROR(INDEX(IMPORTS!$AT:$AT,MATCH($A153,IMPORTS!#REF!,0)),"")</f>
        <v/>
      </c>
      <c r="E153" s="87" t="e">
        <f t="shared" si="42"/>
        <v>#VALUE!</v>
      </c>
      <c r="F153" s="31"/>
      <c r="G153" s="29" t="e">
        <f t="shared" si="43"/>
        <v>#VALUE!</v>
      </c>
      <c r="H153" s="31" t="e">
        <f t="shared" si="44"/>
        <v>#VALUE!</v>
      </c>
      <c r="I153" s="31">
        <v>44523</v>
      </c>
      <c r="J153" s="29" t="e">
        <f t="shared" si="45"/>
        <v>#VALUE!</v>
      </c>
      <c r="K153" s="90"/>
      <c r="L153" s="29"/>
      <c r="M153" s="29"/>
      <c r="N153" s="117"/>
      <c r="O153" s="116"/>
      <c r="P153" s="124"/>
    </row>
    <row r="154" spans="1:17">
      <c r="A154" s="12" t="s">
        <v>6537</v>
      </c>
      <c r="B154" s="108">
        <v>2021</v>
      </c>
      <c r="C154" s="32" t="s">
        <v>7657</v>
      </c>
      <c r="D154" s="1" t="str">
        <f>+IFERROR(INDEX(IMPORTS!$AT:$AT,MATCH($A154,IMPORTS!#REF!,0)),"")</f>
        <v/>
      </c>
      <c r="E154" s="87" t="e">
        <f t="shared" si="42"/>
        <v>#VALUE!</v>
      </c>
      <c r="F154" s="31"/>
      <c r="G154" s="29" t="e">
        <f t="shared" si="43"/>
        <v>#VALUE!</v>
      </c>
      <c r="H154" s="31" t="e">
        <f t="shared" si="44"/>
        <v>#VALUE!</v>
      </c>
      <c r="I154" s="31">
        <v>44518</v>
      </c>
      <c r="J154" s="29" t="e">
        <f t="shared" si="45"/>
        <v>#VALUE!</v>
      </c>
      <c r="K154" s="90"/>
      <c r="L154" s="29"/>
      <c r="M154" s="29"/>
      <c r="N154" s="117"/>
      <c r="O154" s="116"/>
      <c r="P154" s="124"/>
    </row>
    <row r="155" spans="1:17">
      <c r="A155" s="12" t="s">
        <v>6547</v>
      </c>
      <c r="B155" s="108">
        <v>2021</v>
      </c>
      <c r="C155" s="32" t="s">
        <v>7657</v>
      </c>
      <c r="D155" s="1" t="str">
        <f>+IFERROR(INDEX(IMPORTS!$AT:$AT,MATCH($A155,IMPORTS!#REF!,0)),"")</f>
        <v/>
      </c>
      <c r="E155" s="87" t="e">
        <f t="shared" si="42"/>
        <v>#VALUE!</v>
      </c>
      <c r="F155" s="31"/>
      <c r="G155" s="29" t="e">
        <f t="shared" si="43"/>
        <v>#VALUE!</v>
      </c>
      <c r="H155" s="31" t="e">
        <f t="shared" si="44"/>
        <v>#VALUE!</v>
      </c>
      <c r="I155" s="31">
        <v>44518</v>
      </c>
      <c r="J155" s="29" t="e">
        <f t="shared" si="45"/>
        <v>#VALUE!</v>
      </c>
      <c r="K155" s="90"/>
      <c r="L155" s="29"/>
      <c r="M155" s="29"/>
      <c r="N155" s="117"/>
      <c r="O155" s="116"/>
      <c r="P155" s="124"/>
      <c r="Q155" s="124"/>
    </row>
    <row r="156" spans="1:17">
      <c r="A156" s="12" t="s">
        <v>6555</v>
      </c>
      <c r="B156" s="108">
        <v>2021</v>
      </c>
      <c r="C156" s="32" t="s">
        <v>7657</v>
      </c>
      <c r="D156" s="1" t="str">
        <f>+IFERROR(INDEX(IMPORTS!$AT:$AT,MATCH($A156,IMPORTS!#REF!,0)),"")</f>
        <v/>
      </c>
      <c r="E156" s="87" t="e">
        <f t="shared" si="42"/>
        <v>#VALUE!</v>
      </c>
      <c r="F156" s="31"/>
      <c r="G156" s="29" t="e">
        <f t="shared" si="43"/>
        <v>#VALUE!</v>
      </c>
      <c r="H156" s="31" t="e">
        <f t="shared" si="44"/>
        <v>#VALUE!</v>
      </c>
      <c r="I156" s="31">
        <v>44518</v>
      </c>
      <c r="J156" s="29" t="e">
        <f t="shared" si="45"/>
        <v>#VALUE!</v>
      </c>
      <c r="K156" s="90"/>
      <c r="L156" s="29"/>
      <c r="M156" s="29"/>
      <c r="N156" s="117"/>
      <c r="O156" s="116"/>
      <c r="P156" s="124"/>
      <c r="Q156" s="124"/>
    </row>
    <row r="157" spans="1:17">
      <c r="A157" s="12" t="s">
        <v>6557</v>
      </c>
      <c r="B157" s="108">
        <v>2021</v>
      </c>
      <c r="C157" s="32" t="s">
        <v>7657</v>
      </c>
      <c r="D157" s="1" t="str">
        <f>+IFERROR(INDEX(IMPORTS!$AT:$AT,MATCH($A157,IMPORTS!#REF!,0)),"")</f>
        <v/>
      </c>
      <c r="E157" s="87" t="e">
        <f t="shared" si="42"/>
        <v>#VALUE!</v>
      </c>
      <c r="F157" s="31"/>
      <c r="G157" s="29" t="e">
        <f t="shared" si="43"/>
        <v>#VALUE!</v>
      </c>
      <c r="H157" s="31" t="e">
        <f t="shared" si="44"/>
        <v>#VALUE!</v>
      </c>
      <c r="I157" s="31">
        <v>44517</v>
      </c>
      <c r="J157" s="29" t="e">
        <f t="shared" si="45"/>
        <v>#VALUE!</v>
      </c>
      <c r="K157" s="90"/>
      <c r="L157" s="29"/>
      <c r="M157" s="29"/>
      <c r="N157" s="117"/>
      <c r="O157" s="116"/>
      <c r="P157" s="124"/>
      <c r="Q157" s="124"/>
    </row>
    <row r="158" spans="1:17">
      <c r="A158" s="12" t="s">
        <v>6543</v>
      </c>
      <c r="B158" s="108">
        <v>2021</v>
      </c>
      <c r="C158" s="32" t="s">
        <v>7657</v>
      </c>
      <c r="D158" s="1" t="str">
        <f>+IFERROR(INDEX(IMPORTS!$AT:$AT,MATCH($A158,IMPORTS!#REF!,0)),"")</f>
        <v/>
      </c>
      <c r="E158" s="87" t="e">
        <f t="shared" si="42"/>
        <v>#VALUE!</v>
      </c>
      <c r="F158" s="31"/>
      <c r="G158" s="29" t="e">
        <f t="shared" si="43"/>
        <v>#VALUE!</v>
      </c>
      <c r="H158" s="31" t="e">
        <f t="shared" si="44"/>
        <v>#VALUE!</v>
      </c>
      <c r="I158" s="31">
        <v>44524</v>
      </c>
      <c r="J158" s="29" t="e">
        <f t="shared" si="45"/>
        <v>#VALUE!</v>
      </c>
      <c r="K158" s="90"/>
      <c r="L158" s="29"/>
      <c r="M158" s="29"/>
      <c r="N158" s="117"/>
      <c r="O158" s="116"/>
      <c r="P158" s="124"/>
      <c r="Q158" s="124"/>
    </row>
    <row r="159" spans="1:17">
      <c r="A159" s="12" t="s">
        <v>6550</v>
      </c>
      <c r="B159" s="108">
        <v>2021</v>
      </c>
      <c r="C159" s="32" t="s">
        <v>7657</v>
      </c>
      <c r="D159" s="1" t="str">
        <f>+IFERROR(INDEX(IMPORTS!$AT:$AT,MATCH($A159,IMPORTS!#REF!,0)),"")</f>
        <v/>
      </c>
      <c r="E159" s="87" t="e">
        <f t="shared" si="42"/>
        <v>#VALUE!</v>
      </c>
      <c r="F159" s="31"/>
      <c r="G159" s="29" t="e">
        <f t="shared" si="43"/>
        <v>#VALUE!</v>
      </c>
      <c r="H159" s="31" t="e">
        <f t="shared" si="44"/>
        <v>#VALUE!</v>
      </c>
      <c r="I159" s="31">
        <v>44524</v>
      </c>
      <c r="J159" s="29" t="e">
        <f t="shared" si="45"/>
        <v>#VALUE!</v>
      </c>
      <c r="K159" s="90"/>
      <c r="L159" s="29"/>
      <c r="M159" s="29"/>
      <c r="N159" s="117"/>
      <c r="O159" s="116"/>
      <c r="P159" s="124"/>
    </row>
    <row r="160" spans="1:17">
      <c r="A160" s="12" t="s">
        <v>6465</v>
      </c>
      <c r="B160" s="108">
        <v>2021</v>
      </c>
      <c r="C160" s="32" t="s">
        <v>7657</v>
      </c>
      <c r="D160" s="1" t="str">
        <f>+IFERROR(INDEX(IMPORTS!$AT:$AT,MATCH($A160,IMPORTS!#REF!,0)),"")</f>
        <v/>
      </c>
      <c r="E160" s="87" t="e">
        <f t="shared" si="42"/>
        <v>#VALUE!</v>
      </c>
      <c r="F160" s="31"/>
      <c r="G160" s="29" t="e">
        <f t="shared" si="43"/>
        <v>#VALUE!</v>
      </c>
      <c r="H160" s="31" t="e">
        <f t="shared" si="44"/>
        <v>#VALUE!</v>
      </c>
      <c r="I160" s="31">
        <v>44525</v>
      </c>
      <c r="J160" s="29" t="e">
        <f t="shared" si="45"/>
        <v>#VALUE!</v>
      </c>
      <c r="K160" s="90"/>
      <c r="L160" s="29"/>
      <c r="M160" s="29"/>
      <c r="N160" s="117"/>
      <c r="O160" s="116"/>
      <c r="P160" s="124"/>
    </row>
    <row r="161" spans="1:16">
      <c r="A161" s="12" t="s">
        <v>6466</v>
      </c>
      <c r="B161" s="108">
        <v>2021</v>
      </c>
      <c r="C161" s="32" t="s">
        <v>7657</v>
      </c>
      <c r="D161" s="1" t="str">
        <f>+IFERROR(INDEX(IMPORTS!$AT:$AT,MATCH($A161,IMPORTS!#REF!,0)),"")</f>
        <v/>
      </c>
      <c r="E161" s="87" t="e">
        <f t="shared" si="42"/>
        <v>#VALUE!</v>
      </c>
      <c r="F161" s="31"/>
      <c r="G161" s="29" t="e">
        <f t="shared" si="43"/>
        <v>#VALUE!</v>
      </c>
      <c r="H161" s="31" t="e">
        <f t="shared" si="44"/>
        <v>#VALUE!</v>
      </c>
      <c r="I161" s="31">
        <v>44525</v>
      </c>
      <c r="J161" s="29" t="e">
        <f t="shared" si="45"/>
        <v>#VALUE!</v>
      </c>
      <c r="K161" s="90"/>
      <c r="L161" s="29"/>
      <c r="M161" s="29"/>
      <c r="N161" s="117"/>
      <c r="O161" s="116"/>
      <c r="P161" s="124"/>
    </row>
    <row r="162" spans="1:16">
      <c r="A162" s="12" t="s">
        <v>6092</v>
      </c>
      <c r="B162" s="108">
        <v>2021</v>
      </c>
      <c r="C162" s="32" t="s">
        <v>7657</v>
      </c>
      <c r="D162" s="1" t="str">
        <f>+IFERROR(INDEX(IMPORTS!$AT:$AT,MATCH($A162,IMPORTS!#REF!,0)),"")</f>
        <v/>
      </c>
      <c r="E162" s="87" t="e">
        <f t="shared" si="42"/>
        <v>#VALUE!</v>
      </c>
      <c r="F162" s="31"/>
      <c r="G162" s="29" t="e">
        <f t="shared" si="43"/>
        <v>#VALUE!</v>
      </c>
      <c r="H162" s="31" t="e">
        <f t="shared" si="44"/>
        <v>#VALUE!</v>
      </c>
      <c r="I162" s="31">
        <v>44525</v>
      </c>
      <c r="J162" s="29" t="e">
        <f t="shared" si="45"/>
        <v>#VALUE!</v>
      </c>
      <c r="K162" s="90"/>
      <c r="L162" s="29"/>
      <c r="M162" s="29"/>
      <c r="N162" s="117"/>
      <c r="O162" s="116"/>
    </row>
    <row r="163" spans="1:16">
      <c r="A163" s="12" t="s">
        <v>6065</v>
      </c>
      <c r="B163" s="108">
        <v>2021</v>
      </c>
      <c r="C163" s="32" t="s">
        <v>7657</v>
      </c>
      <c r="D163" s="1" t="str">
        <f>+IFERROR(INDEX(IMPORTS!$AT:$AT,MATCH($A163,IMPORTS!#REF!,0)),"")</f>
        <v/>
      </c>
      <c r="E163" s="87" t="e">
        <f t="shared" si="42"/>
        <v>#VALUE!</v>
      </c>
      <c r="F163" s="31"/>
      <c r="G163" s="29" t="e">
        <f t="shared" si="43"/>
        <v>#VALUE!</v>
      </c>
      <c r="H163" s="31" t="e">
        <f t="shared" si="44"/>
        <v>#VALUE!</v>
      </c>
      <c r="I163" s="31">
        <v>44529</v>
      </c>
      <c r="J163" s="29" t="e">
        <f t="shared" si="45"/>
        <v>#VALUE!</v>
      </c>
      <c r="K163" s="90"/>
      <c r="L163" s="29"/>
      <c r="M163" s="29"/>
      <c r="N163" s="117"/>
      <c r="O163" s="116"/>
    </row>
    <row r="164" spans="1:16">
      <c r="A164" s="12" t="s">
        <v>6561</v>
      </c>
      <c r="B164" s="108">
        <v>2021</v>
      </c>
      <c r="C164" s="32" t="s">
        <v>7657</v>
      </c>
      <c r="D164" s="1" t="str">
        <f>+IFERROR(INDEX(IMPORTS!$AT:$AT,MATCH($A164,IMPORTS!#REF!,0)),"")</f>
        <v/>
      </c>
      <c r="E164" s="87" t="e">
        <f t="shared" si="42"/>
        <v>#VALUE!</v>
      </c>
      <c r="F164" s="31"/>
      <c r="G164" s="29" t="e">
        <f t="shared" si="43"/>
        <v>#VALUE!</v>
      </c>
      <c r="H164" s="31" t="e">
        <f t="shared" si="44"/>
        <v>#VALUE!</v>
      </c>
      <c r="I164" s="31">
        <v>44529</v>
      </c>
      <c r="J164" s="29" t="e">
        <f t="shared" si="45"/>
        <v>#VALUE!</v>
      </c>
      <c r="K164" s="90"/>
      <c r="L164" s="29"/>
      <c r="M164" s="29"/>
      <c r="N164" s="117"/>
      <c r="O164" s="116"/>
    </row>
    <row r="165" spans="1:16">
      <c r="A165" s="12" t="s">
        <v>6575</v>
      </c>
      <c r="B165" s="108">
        <v>2021</v>
      </c>
      <c r="C165" s="32" t="s">
        <v>7657</v>
      </c>
      <c r="D165" s="1" t="str">
        <f>+IFERROR(INDEX(IMPORTS!$AT:$AT,MATCH($A165,IMPORTS!#REF!,0)),"")</f>
        <v/>
      </c>
      <c r="E165" s="87" t="e">
        <f t="shared" si="42"/>
        <v>#VALUE!</v>
      </c>
      <c r="F165" s="31"/>
      <c r="G165" s="29" t="e">
        <f t="shared" si="43"/>
        <v>#VALUE!</v>
      </c>
      <c r="H165" s="31" t="e">
        <f t="shared" si="44"/>
        <v>#VALUE!</v>
      </c>
      <c r="I165" s="31">
        <v>44530</v>
      </c>
      <c r="J165" s="29" t="e">
        <f t="shared" si="45"/>
        <v>#VALUE!</v>
      </c>
      <c r="K165" s="90"/>
      <c r="L165" s="29"/>
      <c r="M165" s="29"/>
      <c r="N165" s="117"/>
      <c r="O165" s="116"/>
    </row>
    <row r="166" spans="1:16">
      <c r="A166" s="12" t="s">
        <v>6693</v>
      </c>
      <c r="B166" s="108">
        <v>2021</v>
      </c>
      <c r="C166" s="32" t="s">
        <v>7657</v>
      </c>
      <c r="D166" s="1" t="str">
        <f>+IFERROR(INDEX(IMPORTS!$AT:$AT,MATCH($A166,IMPORTS!#REF!,0)),"")</f>
        <v/>
      </c>
      <c r="E166" s="87" t="e">
        <f t="shared" si="42"/>
        <v>#VALUE!</v>
      </c>
      <c r="F166" s="31"/>
      <c r="G166" s="29" t="e">
        <f t="shared" si="43"/>
        <v>#VALUE!</v>
      </c>
      <c r="H166" s="31" t="e">
        <f t="shared" si="44"/>
        <v>#VALUE!</v>
      </c>
      <c r="I166" s="31">
        <v>44530</v>
      </c>
      <c r="J166" s="29" t="e">
        <f t="shared" si="45"/>
        <v>#VALUE!</v>
      </c>
      <c r="K166" s="90"/>
      <c r="L166" s="29"/>
      <c r="M166" s="29"/>
      <c r="N166" s="117"/>
      <c r="O166" s="116"/>
    </row>
    <row r="167" spans="1:16">
      <c r="A167" s="12" t="s">
        <v>6709</v>
      </c>
      <c r="B167" s="108">
        <v>2021</v>
      </c>
      <c r="C167" s="32" t="s">
        <v>7657</v>
      </c>
      <c r="D167" s="1" t="str">
        <f>+IFERROR(INDEX(IMPORTS!$AT:$AT,MATCH($A167,IMPORTS!#REF!,0)),"")</f>
        <v/>
      </c>
      <c r="E167" s="87" t="e">
        <f>WORKDAY(D167,1,$N$2:$N$12)</f>
        <v>#VALUE!</v>
      </c>
      <c r="F167" s="31"/>
      <c r="G167" s="29" t="e">
        <f>+IF(F167&lt;=E167,"SI","NO")</f>
        <v>#VALUE!</v>
      </c>
      <c r="H167" s="31" t="e">
        <f>WORKDAY(D167,2,$N$2:$N$12)</f>
        <v>#VALUE!</v>
      </c>
      <c r="I167" s="31">
        <v>44530</v>
      </c>
      <c r="J167" s="29" t="e">
        <f>+IF(I167&lt;=H167,"SI","NO")</f>
        <v>#VALUE!</v>
      </c>
      <c r="K167" s="90"/>
      <c r="L167" s="29"/>
      <c r="M167" s="29"/>
      <c r="N167" s="117"/>
      <c r="O167" s="116"/>
    </row>
    <row r="168" spans="1:16">
      <c r="A168" s="12" t="s">
        <v>5803</v>
      </c>
      <c r="B168" s="108">
        <v>2021</v>
      </c>
      <c r="C168" s="32" t="s">
        <v>7658</v>
      </c>
      <c r="D168" s="1" t="str">
        <f>+IFERROR(INDEX(IMPORTS!$AT:$AT,MATCH($A168,IMPORTS!#REF!,0)),"")</f>
        <v/>
      </c>
      <c r="E168" s="87" t="e">
        <f>WORKDAY(D168,1,$N$2:$N$12)</f>
        <v>#VALUE!</v>
      </c>
      <c r="F168" s="31"/>
      <c r="G168" s="29" t="e">
        <f>+IF(F168&lt;=E168,"SI","NO")</f>
        <v>#VALUE!</v>
      </c>
      <c r="H168" s="31" t="e">
        <f>WORKDAY(D168,2,$N$2:$N$12)</f>
        <v>#VALUE!</v>
      </c>
      <c r="I168" s="31">
        <v>44540</v>
      </c>
      <c r="J168" s="29" t="e">
        <f>+IF(I168&lt;=H168,"SI","NO")</f>
        <v>#VALUE!</v>
      </c>
      <c r="K168" s="90"/>
      <c r="L168" s="29"/>
      <c r="M168" s="29"/>
      <c r="N168" s="117"/>
      <c r="O168" s="116"/>
    </row>
    <row r="169" spans="1:16">
      <c r="A169" s="12" t="s">
        <v>5969</v>
      </c>
      <c r="B169" s="108">
        <v>2021</v>
      </c>
      <c r="C169" s="32" t="s">
        <v>7658</v>
      </c>
      <c r="D169" s="1" t="str">
        <f>+IFERROR(INDEX(IMPORTS!$AT:$AT,MATCH($A169,IMPORTS!#REF!,0)),"")</f>
        <v/>
      </c>
      <c r="E169" s="87" t="e">
        <f>WORKDAY(D169,1,$N$2:$N$12)</f>
        <v>#VALUE!</v>
      </c>
      <c r="F169" s="31"/>
      <c r="G169" s="29" t="e">
        <f>+IF(F169&lt;=E169,"SI","NO")</f>
        <v>#VALUE!</v>
      </c>
      <c r="H169" s="31" t="e">
        <f>WORKDAY(D169,2,$N$2:$N$12)</f>
        <v>#VALUE!</v>
      </c>
      <c r="I169" s="31">
        <v>44532</v>
      </c>
      <c r="J169" s="29" t="e">
        <f>+IF(I169&lt;=H169,"SI","NO")</f>
        <v>#VALUE!</v>
      </c>
      <c r="K169" s="90"/>
      <c r="L169" s="29"/>
      <c r="M169" s="29"/>
      <c r="N169" s="117"/>
      <c r="O169" s="116"/>
    </row>
    <row r="170" spans="1:16">
      <c r="A170" s="12" t="s">
        <v>6037</v>
      </c>
      <c r="B170" s="108">
        <v>2021</v>
      </c>
      <c r="C170" s="32" t="s">
        <v>7658</v>
      </c>
      <c r="D170" s="1" t="str">
        <f>+IFERROR(INDEX(IMPORTS!$AT:$AT,MATCH($A170,IMPORTS!#REF!,0)),"")</f>
        <v/>
      </c>
      <c r="E170" s="87" t="e">
        <f t="shared" ref="E170:E186" si="46">WORKDAY(D170,1,$N$2:$N$12)</f>
        <v>#VALUE!</v>
      </c>
      <c r="F170" s="31"/>
      <c r="G170" s="29" t="e">
        <f t="shared" ref="G170:G186" si="47">+IF(F170&lt;=E170,"SI","NO")</f>
        <v>#VALUE!</v>
      </c>
      <c r="H170" s="31" t="e">
        <f t="shared" ref="H170:H186" si="48">WORKDAY(D170,2,$N$2:$N$12)</f>
        <v>#VALUE!</v>
      </c>
      <c r="I170" s="31">
        <v>44553</v>
      </c>
      <c r="J170" s="29" t="e">
        <f t="shared" ref="J170:J186" si="49">+IF(I170&lt;=H170,"SI","NO")</f>
        <v>#VALUE!</v>
      </c>
      <c r="K170" s="90"/>
      <c r="L170" s="29"/>
      <c r="M170" s="29"/>
      <c r="N170" s="117"/>
      <c r="O170" s="116"/>
    </row>
    <row r="171" spans="1:16">
      <c r="A171" s="12" t="s">
        <v>6053</v>
      </c>
      <c r="B171" s="108">
        <v>2021</v>
      </c>
      <c r="C171" s="32" t="s">
        <v>7658</v>
      </c>
      <c r="D171" s="1" t="str">
        <f>+IFERROR(INDEX(IMPORTS!$AT:$AT,MATCH($A171,IMPORTS!#REF!,0)),"")</f>
        <v/>
      </c>
      <c r="E171" s="87" t="e">
        <f t="shared" si="46"/>
        <v>#VALUE!</v>
      </c>
      <c r="F171" s="31"/>
      <c r="G171" s="29" t="e">
        <f t="shared" si="47"/>
        <v>#VALUE!</v>
      </c>
      <c r="H171" s="31" t="e">
        <f t="shared" si="48"/>
        <v>#VALUE!</v>
      </c>
      <c r="I171" s="31">
        <v>44532</v>
      </c>
      <c r="J171" s="29" t="e">
        <f t="shared" si="49"/>
        <v>#VALUE!</v>
      </c>
      <c r="K171" s="90"/>
      <c r="L171" s="29"/>
      <c r="M171" s="29"/>
      <c r="N171" s="117"/>
      <c r="O171" s="116"/>
    </row>
    <row r="172" spans="1:16">
      <c r="A172" s="12" t="s">
        <v>6058</v>
      </c>
      <c r="B172" s="108">
        <v>2021</v>
      </c>
      <c r="C172" s="32" t="s">
        <v>7658</v>
      </c>
      <c r="D172" s="1" t="str">
        <f>+IFERROR(INDEX(IMPORTS!$AT:$AT,MATCH($A172,IMPORTS!#REF!,0)),"")</f>
        <v/>
      </c>
      <c r="E172" s="87" t="e">
        <f t="shared" si="46"/>
        <v>#VALUE!</v>
      </c>
      <c r="F172" s="31"/>
      <c r="G172" s="29" t="e">
        <f t="shared" si="47"/>
        <v>#VALUE!</v>
      </c>
      <c r="H172" s="31" t="e">
        <f t="shared" si="48"/>
        <v>#VALUE!</v>
      </c>
      <c r="I172" s="31">
        <v>44532</v>
      </c>
      <c r="J172" s="29" t="e">
        <f t="shared" si="49"/>
        <v>#VALUE!</v>
      </c>
      <c r="K172" s="90"/>
      <c r="L172" s="29"/>
      <c r="M172" s="29"/>
      <c r="N172" s="117"/>
      <c r="O172" s="116"/>
    </row>
    <row r="173" spans="1:16">
      <c r="A173" s="12" t="s">
        <v>6071</v>
      </c>
      <c r="B173" s="108">
        <v>2021</v>
      </c>
      <c r="C173" s="32" t="s">
        <v>7658</v>
      </c>
      <c r="D173" s="1" t="str">
        <f>+IFERROR(INDEX(IMPORTS!$AT:$AT,MATCH($A173,IMPORTS!#REF!,0)),"")</f>
        <v/>
      </c>
      <c r="E173" s="87" t="e">
        <f t="shared" si="46"/>
        <v>#VALUE!</v>
      </c>
      <c r="F173" s="31"/>
      <c r="G173" s="29" t="e">
        <f t="shared" si="47"/>
        <v>#VALUE!</v>
      </c>
      <c r="H173" s="31" t="e">
        <f t="shared" si="48"/>
        <v>#VALUE!</v>
      </c>
      <c r="I173" s="31">
        <v>44533</v>
      </c>
      <c r="J173" s="29" t="e">
        <f t="shared" si="49"/>
        <v>#VALUE!</v>
      </c>
      <c r="K173" s="90"/>
      <c r="L173" s="29"/>
      <c r="M173" s="29"/>
      <c r="N173" s="117"/>
      <c r="O173" s="116"/>
    </row>
    <row r="174" spans="1:16">
      <c r="A174" s="12" t="s">
        <v>6128</v>
      </c>
      <c r="B174" s="108">
        <v>2021</v>
      </c>
      <c r="C174" s="32" t="s">
        <v>7658</v>
      </c>
      <c r="D174" s="1" t="str">
        <f>+IFERROR(INDEX(IMPORTS!$AT:$AT,MATCH($A174,IMPORTS!#REF!,0)),"")</f>
        <v/>
      </c>
      <c r="E174" s="87" t="e">
        <f t="shared" si="46"/>
        <v>#VALUE!</v>
      </c>
      <c r="F174" s="31"/>
      <c r="G174" s="29" t="e">
        <f t="shared" si="47"/>
        <v>#VALUE!</v>
      </c>
      <c r="H174" s="31" t="e">
        <f t="shared" si="48"/>
        <v>#VALUE!</v>
      </c>
      <c r="I174" s="31">
        <v>44532</v>
      </c>
      <c r="J174" s="29" t="e">
        <f t="shared" si="49"/>
        <v>#VALUE!</v>
      </c>
      <c r="K174" s="90"/>
      <c r="L174" s="29"/>
      <c r="M174" s="29"/>
      <c r="N174" s="117"/>
      <c r="O174" s="116"/>
    </row>
    <row r="175" spans="1:16">
      <c r="A175" s="12" t="s">
        <v>6133</v>
      </c>
      <c r="B175" s="108">
        <v>2021</v>
      </c>
      <c r="C175" s="32" t="s">
        <v>7658</v>
      </c>
      <c r="D175" s="1" t="str">
        <f>+IFERROR(INDEX(IMPORTS!$AT:$AT,MATCH($A175,IMPORTS!#REF!,0)),"")</f>
        <v/>
      </c>
      <c r="E175" s="87" t="e">
        <f t="shared" si="46"/>
        <v>#VALUE!</v>
      </c>
      <c r="F175" s="31"/>
      <c r="G175" s="29" t="e">
        <f t="shared" si="47"/>
        <v>#VALUE!</v>
      </c>
      <c r="H175" s="31" t="e">
        <f t="shared" si="48"/>
        <v>#VALUE!</v>
      </c>
      <c r="I175" s="31">
        <v>44532</v>
      </c>
      <c r="J175" s="29" t="e">
        <f t="shared" si="49"/>
        <v>#VALUE!</v>
      </c>
      <c r="K175" s="90"/>
      <c r="L175" s="29"/>
      <c r="M175" s="29"/>
      <c r="N175" s="117"/>
      <c r="O175" s="116"/>
    </row>
    <row r="176" spans="1:16">
      <c r="A176" s="12" t="s">
        <v>6141</v>
      </c>
      <c r="B176" s="108">
        <v>2021</v>
      </c>
      <c r="C176" s="32" t="s">
        <v>7658</v>
      </c>
      <c r="D176" s="1" t="str">
        <f>+IFERROR(INDEX(IMPORTS!$AT:$AT,MATCH($A176,IMPORTS!#REF!,0)),"")</f>
        <v/>
      </c>
      <c r="E176" s="87" t="e">
        <f t="shared" si="46"/>
        <v>#VALUE!</v>
      </c>
      <c r="F176" s="31"/>
      <c r="G176" s="29" t="e">
        <f t="shared" si="47"/>
        <v>#VALUE!</v>
      </c>
      <c r="H176" s="31" t="e">
        <f t="shared" si="48"/>
        <v>#VALUE!</v>
      </c>
      <c r="I176" s="31">
        <v>44532</v>
      </c>
      <c r="J176" s="29" t="e">
        <f t="shared" si="49"/>
        <v>#VALUE!</v>
      </c>
      <c r="K176" s="90"/>
      <c r="L176" s="29"/>
      <c r="M176" s="29"/>
      <c r="N176" s="117"/>
      <c r="O176" s="116"/>
    </row>
    <row r="177" spans="1:15">
      <c r="A177" s="12" t="s">
        <v>6192</v>
      </c>
      <c r="B177" s="108">
        <v>2021</v>
      </c>
      <c r="C177" s="32" t="s">
        <v>7658</v>
      </c>
      <c r="D177" s="1" t="str">
        <f>+IFERROR(INDEX(IMPORTS!$AT:$AT,MATCH($A177,IMPORTS!#REF!,0)),"")</f>
        <v/>
      </c>
      <c r="E177" s="87" t="e">
        <f t="shared" si="46"/>
        <v>#VALUE!</v>
      </c>
      <c r="F177" s="31"/>
      <c r="G177" s="29" t="e">
        <f t="shared" si="47"/>
        <v>#VALUE!</v>
      </c>
      <c r="H177" s="31" t="e">
        <f t="shared" si="48"/>
        <v>#VALUE!</v>
      </c>
      <c r="I177" s="31">
        <v>44546</v>
      </c>
      <c r="J177" s="29" t="e">
        <f t="shared" si="49"/>
        <v>#VALUE!</v>
      </c>
      <c r="K177" s="90"/>
      <c r="L177" s="29"/>
      <c r="M177" s="29"/>
      <c r="N177" s="117"/>
      <c r="O177" s="116"/>
    </row>
    <row r="178" spans="1:15">
      <c r="A178" s="12" t="s">
        <v>6289</v>
      </c>
      <c r="B178" s="108">
        <v>2021</v>
      </c>
      <c r="C178" s="32" t="s">
        <v>7658</v>
      </c>
      <c r="D178" s="1" t="str">
        <f>+IFERROR(INDEX(IMPORTS!$AT:$AT,MATCH($A178,IMPORTS!#REF!,0)),"")</f>
        <v/>
      </c>
      <c r="E178" s="87" t="e">
        <f t="shared" si="46"/>
        <v>#VALUE!</v>
      </c>
      <c r="F178" s="31"/>
      <c r="G178" s="29" t="e">
        <f t="shared" si="47"/>
        <v>#VALUE!</v>
      </c>
      <c r="H178" s="31" t="e">
        <f t="shared" si="48"/>
        <v>#VALUE!</v>
      </c>
      <c r="I178" s="31">
        <v>44546</v>
      </c>
      <c r="J178" s="29" t="e">
        <f t="shared" si="49"/>
        <v>#VALUE!</v>
      </c>
      <c r="K178" s="90"/>
      <c r="L178" s="29"/>
      <c r="M178" s="29"/>
      <c r="N178" s="117"/>
      <c r="O178" s="116"/>
    </row>
    <row r="179" spans="1:15">
      <c r="A179" s="12" t="s">
        <v>6294</v>
      </c>
      <c r="B179" s="108">
        <v>2021</v>
      </c>
      <c r="C179" s="32" t="s">
        <v>7658</v>
      </c>
      <c r="D179" s="1" t="str">
        <f>+IFERROR(INDEX(IMPORTS!$AT:$AT,MATCH($A179,IMPORTS!#REF!,0)),"")</f>
        <v/>
      </c>
      <c r="E179" s="87" t="e">
        <f t="shared" si="46"/>
        <v>#VALUE!</v>
      </c>
      <c r="F179" s="31"/>
      <c r="G179" s="29" t="e">
        <f t="shared" si="47"/>
        <v>#VALUE!</v>
      </c>
      <c r="H179" s="31" t="e">
        <f t="shared" si="48"/>
        <v>#VALUE!</v>
      </c>
      <c r="I179" s="31">
        <v>44546</v>
      </c>
      <c r="J179" s="29" t="e">
        <f t="shared" si="49"/>
        <v>#VALUE!</v>
      </c>
      <c r="K179" s="90"/>
      <c r="L179" s="29"/>
      <c r="M179" s="29"/>
      <c r="N179" s="117"/>
      <c r="O179" s="116"/>
    </row>
    <row r="180" spans="1:15">
      <c r="A180" s="12" t="s">
        <v>6302</v>
      </c>
      <c r="B180" s="108">
        <v>2021</v>
      </c>
      <c r="C180" s="32" t="s">
        <v>7658</v>
      </c>
      <c r="D180" s="1" t="str">
        <f>+IFERROR(INDEX(IMPORTS!$AT:$AT,MATCH($A180,IMPORTS!#REF!,0)),"")</f>
        <v/>
      </c>
      <c r="E180" s="87" t="e">
        <f t="shared" si="46"/>
        <v>#VALUE!</v>
      </c>
      <c r="F180" s="31"/>
      <c r="G180" s="29" t="e">
        <f t="shared" si="47"/>
        <v>#VALUE!</v>
      </c>
      <c r="H180" s="31" t="e">
        <f t="shared" si="48"/>
        <v>#VALUE!</v>
      </c>
      <c r="I180" s="31">
        <v>44540</v>
      </c>
      <c r="J180" s="29" t="e">
        <f t="shared" si="49"/>
        <v>#VALUE!</v>
      </c>
      <c r="K180" s="90"/>
      <c r="L180" s="29"/>
      <c r="M180" s="29"/>
      <c r="N180" s="117"/>
      <c r="O180" s="116"/>
    </row>
    <row r="181" spans="1:15">
      <c r="A181" s="12" t="s">
        <v>6309</v>
      </c>
      <c r="B181" s="108">
        <v>2021</v>
      </c>
      <c r="C181" s="32" t="s">
        <v>7658</v>
      </c>
      <c r="D181" s="1" t="str">
        <f>+IFERROR(INDEX(IMPORTS!$AT:$AT,MATCH($A181,IMPORTS!#REF!,0)),"")</f>
        <v/>
      </c>
      <c r="E181" s="87" t="e">
        <f t="shared" si="46"/>
        <v>#VALUE!</v>
      </c>
      <c r="F181" s="31"/>
      <c r="G181" s="29" t="e">
        <f t="shared" si="47"/>
        <v>#VALUE!</v>
      </c>
      <c r="H181" s="31" t="e">
        <f t="shared" si="48"/>
        <v>#VALUE!</v>
      </c>
      <c r="I181" s="31">
        <v>44533</v>
      </c>
      <c r="J181" s="29" t="e">
        <f t="shared" si="49"/>
        <v>#VALUE!</v>
      </c>
      <c r="K181" s="90"/>
      <c r="L181" s="29"/>
      <c r="M181" s="29"/>
      <c r="N181" s="117"/>
      <c r="O181" s="116"/>
    </row>
    <row r="182" spans="1:15">
      <c r="A182" s="12" t="s">
        <v>6332</v>
      </c>
      <c r="B182" s="108">
        <v>2021</v>
      </c>
      <c r="C182" s="32" t="s">
        <v>7658</v>
      </c>
      <c r="D182" s="1" t="str">
        <f>+IFERROR(INDEX(IMPORTS!$AT:$AT,MATCH($A182,IMPORTS!#REF!,0)),"")</f>
        <v/>
      </c>
      <c r="E182" s="87" t="e">
        <f t="shared" si="46"/>
        <v>#VALUE!</v>
      </c>
      <c r="F182" s="31"/>
      <c r="G182" s="29" t="e">
        <f t="shared" si="47"/>
        <v>#VALUE!</v>
      </c>
      <c r="H182" s="31" t="e">
        <f t="shared" si="48"/>
        <v>#VALUE!</v>
      </c>
      <c r="I182" s="31">
        <v>44546</v>
      </c>
      <c r="J182" s="29" t="e">
        <f t="shared" si="49"/>
        <v>#VALUE!</v>
      </c>
      <c r="K182" s="90"/>
      <c r="L182" s="29"/>
      <c r="M182" s="29"/>
      <c r="N182" s="117"/>
      <c r="O182" s="116"/>
    </row>
    <row r="183" spans="1:15">
      <c r="A183" s="12" t="s">
        <v>6339</v>
      </c>
      <c r="B183" s="108">
        <v>2021</v>
      </c>
      <c r="C183" s="32" t="s">
        <v>7658</v>
      </c>
      <c r="D183" s="1" t="str">
        <f>+IFERROR(INDEX(IMPORTS!$AT:$AT,MATCH($A183,IMPORTS!#REF!,0)),"")</f>
        <v/>
      </c>
      <c r="E183" s="87" t="e">
        <f t="shared" si="46"/>
        <v>#VALUE!</v>
      </c>
      <c r="F183" s="31"/>
      <c r="G183" s="29" t="e">
        <f t="shared" si="47"/>
        <v>#VALUE!</v>
      </c>
      <c r="H183" s="31" t="e">
        <f t="shared" si="48"/>
        <v>#VALUE!</v>
      </c>
      <c r="I183" s="31">
        <v>44558</v>
      </c>
      <c r="J183" s="29" t="e">
        <f t="shared" si="49"/>
        <v>#VALUE!</v>
      </c>
      <c r="K183" s="90"/>
      <c r="L183" s="29"/>
      <c r="M183" s="29"/>
      <c r="N183" s="117"/>
      <c r="O183" s="116"/>
    </row>
    <row r="184" spans="1:15">
      <c r="A184" s="12" t="s">
        <v>6342</v>
      </c>
      <c r="B184" s="108">
        <v>2021</v>
      </c>
      <c r="C184" s="32" t="s">
        <v>7658</v>
      </c>
      <c r="D184" s="1" t="str">
        <f>+IFERROR(INDEX(IMPORTS!$AT:$AT,MATCH($A184,IMPORTS!#REF!,0)),"")</f>
        <v/>
      </c>
      <c r="E184" s="87" t="e">
        <f t="shared" si="46"/>
        <v>#VALUE!</v>
      </c>
      <c r="F184" s="31"/>
      <c r="G184" s="29" t="e">
        <f t="shared" si="47"/>
        <v>#VALUE!</v>
      </c>
      <c r="H184" s="31" t="e">
        <f t="shared" si="48"/>
        <v>#VALUE!</v>
      </c>
      <c r="I184" s="31">
        <v>44560</v>
      </c>
      <c r="J184" s="29" t="e">
        <f t="shared" si="49"/>
        <v>#VALUE!</v>
      </c>
      <c r="K184" s="90"/>
      <c r="L184" s="29"/>
      <c r="M184" s="29"/>
      <c r="N184" s="117"/>
      <c r="O184" s="116"/>
    </row>
    <row r="185" spans="1:15">
      <c r="A185" s="12" t="s">
        <v>6348</v>
      </c>
      <c r="B185" s="108">
        <v>2021</v>
      </c>
      <c r="C185" s="32" t="s">
        <v>7658</v>
      </c>
      <c r="D185" s="1" t="str">
        <f>+IFERROR(INDEX(IMPORTS!$AT:$AT,MATCH($A185,IMPORTS!#REF!,0)),"")</f>
        <v/>
      </c>
      <c r="E185" s="87" t="e">
        <f t="shared" si="46"/>
        <v>#VALUE!</v>
      </c>
      <c r="F185" s="31"/>
      <c r="G185" s="29" t="e">
        <f t="shared" si="47"/>
        <v>#VALUE!</v>
      </c>
      <c r="H185" s="31" t="e">
        <f t="shared" si="48"/>
        <v>#VALUE!</v>
      </c>
      <c r="I185" s="31">
        <v>44553</v>
      </c>
      <c r="J185" s="29" t="e">
        <f t="shared" si="49"/>
        <v>#VALUE!</v>
      </c>
      <c r="K185" s="90"/>
      <c r="L185" s="29"/>
      <c r="M185" s="29"/>
      <c r="N185" s="117"/>
      <c r="O185" s="116"/>
    </row>
    <row r="186" spans="1:15">
      <c r="A186" s="12" t="s">
        <v>6351</v>
      </c>
      <c r="B186" s="108">
        <v>2021</v>
      </c>
      <c r="C186" s="32" t="s">
        <v>7658</v>
      </c>
      <c r="D186" s="1" t="str">
        <f>+IFERROR(INDEX(IMPORTS!$AT:$AT,MATCH($A186,IMPORTS!#REF!,0)),"")</f>
        <v/>
      </c>
      <c r="E186" s="87" t="e">
        <f t="shared" si="46"/>
        <v>#VALUE!</v>
      </c>
      <c r="F186" s="31"/>
      <c r="G186" s="29" t="e">
        <f t="shared" si="47"/>
        <v>#VALUE!</v>
      </c>
      <c r="H186" s="31" t="e">
        <f t="shared" si="48"/>
        <v>#VALUE!</v>
      </c>
      <c r="I186" s="31">
        <v>44558</v>
      </c>
      <c r="J186" s="29" t="e">
        <f t="shared" si="49"/>
        <v>#VALUE!</v>
      </c>
      <c r="K186" s="90"/>
      <c r="L186" s="29"/>
      <c r="M186" s="29"/>
      <c r="N186" s="117"/>
      <c r="O186" s="116"/>
    </row>
    <row r="187" spans="1:15">
      <c r="A187" s="12" t="s">
        <v>6354</v>
      </c>
      <c r="B187" s="108">
        <v>2021</v>
      </c>
      <c r="C187" s="32" t="s">
        <v>7658</v>
      </c>
      <c r="D187" s="1" t="str">
        <f>+IFERROR(INDEX(IMPORTS!$AT:$AT,MATCH($A187,IMPORTS!#REF!,0)),"")</f>
        <v/>
      </c>
      <c r="E187" s="87" t="e">
        <f t="shared" ref="E187:E203" si="50">WORKDAY(D187,1,$N$2:$N$12)</f>
        <v>#VALUE!</v>
      </c>
      <c r="F187" s="31"/>
      <c r="G187" s="29" t="e">
        <f t="shared" ref="G187:G203" si="51">+IF(F187&lt;=E187,"SI","NO")</f>
        <v>#VALUE!</v>
      </c>
      <c r="H187" s="31" t="e">
        <f t="shared" ref="H187:H203" si="52">WORKDAY(D187,2,$N$2:$N$12)</f>
        <v>#VALUE!</v>
      </c>
      <c r="I187" s="31">
        <v>44560</v>
      </c>
      <c r="J187" s="29" t="e">
        <f t="shared" ref="J187:J203" si="53">+IF(I187&lt;=H187,"SI","NO")</f>
        <v>#VALUE!</v>
      </c>
      <c r="K187" s="90"/>
      <c r="L187" s="29"/>
      <c r="M187" s="29"/>
      <c r="N187" s="117"/>
      <c r="O187" s="116"/>
    </row>
    <row r="188" spans="1:15">
      <c r="A188" s="12" t="s">
        <v>6374</v>
      </c>
      <c r="B188" s="108">
        <v>2021</v>
      </c>
      <c r="C188" s="32" t="s">
        <v>7658</v>
      </c>
      <c r="D188" s="1" t="str">
        <f>+IFERROR(INDEX(IMPORTS!$AT:$AT,MATCH($A188,IMPORTS!#REF!,0)),"")</f>
        <v/>
      </c>
      <c r="E188" s="87" t="e">
        <f t="shared" si="50"/>
        <v>#VALUE!</v>
      </c>
      <c r="F188" s="31"/>
      <c r="G188" s="29" t="e">
        <f t="shared" si="51"/>
        <v>#VALUE!</v>
      </c>
      <c r="H188" s="31" t="e">
        <f t="shared" si="52"/>
        <v>#VALUE!</v>
      </c>
      <c r="I188" s="31">
        <v>44532</v>
      </c>
      <c r="J188" s="29" t="e">
        <f t="shared" si="53"/>
        <v>#VALUE!</v>
      </c>
      <c r="K188" s="90"/>
      <c r="L188" s="29"/>
      <c r="M188" s="29"/>
      <c r="N188" s="117"/>
      <c r="O188" s="116"/>
    </row>
    <row r="189" spans="1:15">
      <c r="A189" s="11" t="s">
        <v>6471</v>
      </c>
      <c r="B189" s="108">
        <v>2021</v>
      </c>
      <c r="C189" s="32" t="s">
        <v>7658</v>
      </c>
      <c r="D189" s="1" t="str">
        <f>+IFERROR(INDEX(IMPORTS!$AT:$AT,MATCH($A189,IMPORTS!#REF!,0)),"")</f>
        <v/>
      </c>
      <c r="E189" s="87" t="e">
        <f t="shared" si="50"/>
        <v>#VALUE!</v>
      </c>
      <c r="F189" s="31"/>
      <c r="G189" s="29" t="e">
        <f t="shared" si="51"/>
        <v>#VALUE!</v>
      </c>
      <c r="H189" s="31" t="e">
        <f t="shared" si="52"/>
        <v>#VALUE!</v>
      </c>
      <c r="I189" s="31">
        <v>44540</v>
      </c>
      <c r="J189" s="29" t="e">
        <f t="shared" si="53"/>
        <v>#VALUE!</v>
      </c>
      <c r="K189" s="90"/>
      <c r="L189" s="29"/>
      <c r="M189" s="29"/>
      <c r="N189" s="117"/>
      <c r="O189" s="116"/>
    </row>
    <row r="190" spans="1:15">
      <c r="A190" s="11" t="s">
        <v>6473</v>
      </c>
      <c r="B190" s="108">
        <v>2021</v>
      </c>
      <c r="C190" s="32" t="s">
        <v>7658</v>
      </c>
      <c r="D190" s="1" t="str">
        <f>+IFERROR(INDEX(IMPORTS!$AT:$AT,MATCH($A190,IMPORTS!#REF!,0)),"")</f>
        <v/>
      </c>
      <c r="E190" s="87" t="e">
        <f t="shared" si="50"/>
        <v>#VALUE!</v>
      </c>
      <c r="F190" s="31"/>
      <c r="G190" s="29" t="e">
        <f t="shared" si="51"/>
        <v>#VALUE!</v>
      </c>
      <c r="H190" s="31" t="e">
        <f t="shared" si="52"/>
        <v>#VALUE!</v>
      </c>
      <c r="I190" s="31">
        <v>44540</v>
      </c>
      <c r="J190" s="29" t="e">
        <f t="shared" si="53"/>
        <v>#VALUE!</v>
      </c>
      <c r="K190" s="90"/>
      <c r="L190" s="29"/>
      <c r="M190" s="29"/>
      <c r="N190" s="117"/>
      <c r="O190" s="116"/>
    </row>
    <row r="191" spans="1:15">
      <c r="A191" s="12" t="s">
        <v>6475</v>
      </c>
      <c r="B191" s="108">
        <v>2021</v>
      </c>
      <c r="C191" s="32" t="s">
        <v>7658</v>
      </c>
      <c r="D191" s="1" t="str">
        <f>+IFERROR(INDEX(IMPORTS!$AT:$AT,MATCH($A191,IMPORTS!#REF!,0)),"")</f>
        <v/>
      </c>
      <c r="E191" s="87" t="e">
        <f t="shared" si="50"/>
        <v>#VALUE!</v>
      </c>
      <c r="F191" s="31"/>
      <c r="G191" s="29" t="e">
        <f t="shared" si="51"/>
        <v>#VALUE!</v>
      </c>
      <c r="H191" s="31" t="e">
        <f t="shared" si="52"/>
        <v>#VALUE!</v>
      </c>
      <c r="I191" s="31">
        <v>44547</v>
      </c>
      <c r="J191" s="29" t="e">
        <f t="shared" si="53"/>
        <v>#VALUE!</v>
      </c>
      <c r="K191" s="90"/>
      <c r="L191" s="29"/>
      <c r="M191" s="29"/>
      <c r="N191" s="117"/>
      <c r="O191" s="116"/>
    </row>
    <row r="192" spans="1:15">
      <c r="A192" s="12" t="s">
        <v>6476</v>
      </c>
      <c r="B192" s="108">
        <v>2021</v>
      </c>
      <c r="C192" s="32" t="s">
        <v>7658</v>
      </c>
      <c r="D192" s="1" t="str">
        <f>+IFERROR(INDEX(IMPORTS!$AT:$AT,MATCH($A192,IMPORTS!#REF!,0)),"")</f>
        <v/>
      </c>
      <c r="E192" s="87" t="e">
        <f t="shared" si="50"/>
        <v>#VALUE!</v>
      </c>
      <c r="F192" s="31"/>
      <c r="G192" s="29" t="e">
        <f t="shared" si="51"/>
        <v>#VALUE!</v>
      </c>
      <c r="H192" s="31" t="e">
        <f t="shared" si="52"/>
        <v>#VALUE!</v>
      </c>
      <c r="I192" s="31">
        <v>44544</v>
      </c>
      <c r="J192" s="29" t="e">
        <f t="shared" si="53"/>
        <v>#VALUE!</v>
      </c>
      <c r="K192" s="90"/>
      <c r="L192" s="29"/>
      <c r="M192" s="29"/>
      <c r="N192" s="117"/>
      <c r="O192" s="116"/>
    </row>
    <row r="193" spans="1:15">
      <c r="A193" s="12" t="s">
        <v>6478</v>
      </c>
      <c r="B193" s="108">
        <v>2021</v>
      </c>
      <c r="C193" s="32" t="s">
        <v>7658</v>
      </c>
      <c r="D193" s="1" t="str">
        <f>+IFERROR(INDEX(IMPORTS!$AT:$AT,MATCH($A193,IMPORTS!#REF!,0)),"")</f>
        <v/>
      </c>
      <c r="E193" s="87" t="e">
        <f t="shared" si="50"/>
        <v>#VALUE!</v>
      </c>
      <c r="F193" s="31"/>
      <c r="G193" s="29" t="e">
        <f t="shared" si="51"/>
        <v>#VALUE!</v>
      </c>
      <c r="H193" s="31" t="e">
        <f t="shared" si="52"/>
        <v>#VALUE!</v>
      </c>
      <c r="I193" s="31">
        <v>44547</v>
      </c>
      <c r="J193" s="29" t="e">
        <f t="shared" si="53"/>
        <v>#VALUE!</v>
      </c>
      <c r="K193" s="90"/>
      <c r="L193" s="29"/>
      <c r="M193" s="29"/>
      <c r="N193" s="117"/>
      <c r="O193" s="116"/>
    </row>
    <row r="194" spans="1:15">
      <c r="A194" s="12" t="s">
        <v>6480</v>
      </c>
      <c r="B194" s="108">
        <v>2021</v>
      </c>
      <c r="C194" s="32" t="s">
        <v>7658</v>
      </c>
      <c r="D194" s="1" t="str">
        <f>+IFERROR(INDEX(IMPORTS!$AT:$AT,MATCH($A194,IMPORTS!#REF!,0)),"")</f>
        <v/>
      </c>
      <c r="E194" s="87" t="e">
        <f t="shared" si="50"/>
        <v>#VALUE!</v>
      </c>
      <c r="F194" s="31"/>
      <c r="G194" s="29" t="e">
        <f t="shared" si="51"/>
        <v>#VALUE!</v>
      </c>
      <c r="H194" s="31" t="e">
        <f t="shared" si="52"/>
        <v>#VALUE!</v>
      </c>
      <c r="I194" s="31">
        <v>44553</v>
      </c>
      <c r="J194" s="29" t="e">
        <f t="shared" si="53"/>
        <v>#VALUE!</v>
      </c>
      <c r="K194" s="90"/>
      <c r="L194" s="29"/>
      <c r="M194" s="29"/>
      <c r="N194" s="117"/>
      <c r="O194" s="116"/>
    </row>
    <row r="195" spans="1:15">
      <c r="A195" s="12" t="s">
        <v>6481</v>
      </c>
      <c r="B195" s="108">
        <v>2021</v>
      </c>
      <c r="C195" s="32" t="s">
        <v>7658</v>
      </c>
      <c r="D195" s="1" t="str">
        <f>+IFERROR(INDEX(IMPORTS!$AT:$AT,MATCH($A195,IMPORTS!#REF!,0)),"")</f>
        <v/>
      </c>
      <c r="E195" s="87" t="e">
        <f t="shared" si="50"/>
        <v>#VALUE!</v>
      </c>
      <c r="F195" s="31"/>
      <c r="G195" s="29" t="e">
        <f t="shared" si="51"/>
        <v>#VALUE!</v>
      </c>
      <c r="H195" s="31" t="e">
        <f t="shared" si="52"/>
        <v>#VALUE!</v>
      </c>
      <c r="I195" s="31">
        <v>44553</v>
      </c>
      <c r="J195" s="29" t="e">
        <f t="shared" si="53"/>
        <v>#VALUE!</v>
      </c>
      <c r="K195" s="90"/>
      <c r="L195" s="29"/>
      <c r="M195" s="29"/>
      <c r="N195" s="117"/>
      <c r="O195" s="116"/>
    </row>
    <row r="196" spans="1:15">
      <c r="A196" s="12" t="s">
        <v>6482</v>
      </c>
      <c r="B196" s="108">
        <v>2021</v>
      </c>
      <c r="C196" s="32" t="s">
        <v>7658</v>
      </c>
      <c r="D196" s="1" t="str">
        <f>+IFERROR(INDEX(IMPORTS!$AT:$AT,MATCH($A196,IMPORTS!#REF!,0)),"")</f>
        <v/>
      </c>
      <c r="E196" s="87" t="e">
        <f t="shared" si="50"/>
        <v>#VALUE!</v>
      </c>
      <c r="F196" s="31"/>
      <c r="G196" s="29" t="e">
        <f t="shared" si="51"/>
        <v>#VALUE!</v>
      </c>
      <c r="H196" s="31" t="e">
        <f t="shared" si="52"/>
        <v>#VALUE!</v>
      </c>
      <c r="I196" s="31">
        <v>44553</v>
      </c>
      <c r="J196" s="29" t="e">
        <f t="shared" si="53"/>
        <v>#VALUE!</v>
      </c>
      <c r="K196" s="90"/>
      <c r="L196" s="29"/>
      <c r="M196" s="29"/>
      <c r="N196" s="117"/>
      <c r="O196" s="116"/>
    </row>
    <row r="197" spans="1:15">
      <c r="A197" s="12" t="s">
        <v>6519</v>
      </c>
      <c r="B197" s="108">
        <v>2021</v>
      </c>
      <c r="C197" s="32" t="s">
        <v>7658</v>
      </c>
      <c r="D197" s="1" t="str">
        <f>+IFERROR(INDEX(IMPORTS!$AT:$AT,MATCH($A197,IMPORTS!#REF!,0)),"")</f>
        <v/>
      </c>
      <c r="E197" s="87" t="e">
        <f t="shared" si="50"/>
        <v>#VALUE!</v>
      </c>
      <c r="F197" s="31"/>
      <c r="G197" s="29" t="e">
        <f t="shared" si="51"/>
        <v>#VALUE!</v>
      </c>
      <c r="H197" s="31" t="e">
        <f t="shared" si="52"/>
        <v>#VALUE!</v>
      </c>
      <c r="I197" s="31">
        <v>44546</v>
      </c>
      <c r="J197" s="29" t="e">
        <f t="shared" si="53"/>
        <v>#VALUE!</v>
      </c>
      <c r="K197" s="90"/>
      <c r="L197" s="29"/>
      <c r="M197" s="29"/>
      <c r="N197" s="117"/>
      <c r="O197" s="116"/>
    </row>
    <row r="198" spans="1:15">
      <c r="A198" s="12" t="s">
        <v>6528</v>
      </c>
      <c r="B198" s="108">
        <v>2021</v>
      </c>
      <c r="C198" s="32" t="s">
        <v>7658</v>
      </c>
      <c r="D198" s="1" t="str">
        <f>+IFERROR(INDEX(IMPORTS!$AT:$AT,MATCH($A198,IMPORTS!#REF!,0)),"")</f>
        <v/>
      </c>
      <c r="E198" s="87" t="e">
        <f t="shared" si="50"/>
        <v>#VALUE!</v>
      </c>
      <c r="F198" s="31"/>
      <c r="G198" s="29" t="e">
        <f t="shared" si="51"/>
        <v>#VALUE!</v>
      </c>
      <c r="H198" s="31" t="e">
        <f t="shared" si="52"/>
        <v>#VALUE!</v>
      </c>
      <c r="I198" s="31">
        <v>44540</v>
      </c>
      <c r="J198" s="29" t="e">
        <f t="shared" si="53"/>
        <v>#VALUE!</v>
      </c>
      <c r="K198" s="90"/>
      <c r="L198" s="29"/>
      <c r="M198" s="29"/>
      <c r="N198" s="117"/>
      <c r="O198" s="116"/>
    </row>
    <row r="199" spans="1:15">
      <c r="A199" s="12" t="s">
        <v>6564</v>
      </c>
      <c r="B199" s="108">
        <v>2021</v>
      </c>
      <c r="C199" s="32" t="s">
        <v>7658</v>
      </c>
      <c r="D199" s="1" t="str">
        <f>+IFERROR(INDEX(IMPORTS!$AT:$AT,MATCH($A199,IMPORTS!#REF!,0)),"")</f>
        <v/>
      </c>
      <c r="E199" s="87" t="e">
        <f t="shared" si="50"/>
        <v>#VALUE!</v>
      </c>
      <c r="F199" s="31"/>
      <c r="G199" s="29" t="e">
        <f t="shared" si="51"/>
        <v>#VALUE!</v>
      </c>
      <c r="H199" s="31" t="e">
        <f t="shared" si="52"/>
        <v>#VALUE!</v>
      </c>
      <c r="I199" s="31">
        <v>44552</v>
      </c>
      <c r="J199" s="29" t="e">
        <f t="shared" si="53"/>
        <v>#VALUE!</v>
      </c>
      <c r="K199" s="90"/>
      <c r="L199" s="29"/>
      <c r="M199" s="29"/>
      <c r="N199" s="117"/>
      <c r="O199" s="116"/>
    </row>
    <row r="200" spans="1:15">
      <c r="A200" s="12" t="s">
        <v>6567</v>
      </c>
      <c r="B200" s="108">
        <v>2021</v>
      </c>
      <c r="C200" s="32" t="s">
        <v>7658</v>
      </c>
      <c r="D200" s="1" t="str">
        <f>+IFERROR(INDEX(IMPORTS!$AT:$AT,MATCH($A200,IMPORTS!#REF!,0)),"")</f>
        <v/>
      </c>
      <c r="E200" s="87" t="e">
        <f t="shared" si="50"/>
        <v>#VALUE!</v>
      </c>
      <c r="F200" s="31"/>
      <c r="G200" s="29" t="e">
        <f t="shared" si="51"/>
        <v>#VALUE!</v>
      </c>
      <c r="H200" s="31" t="e">
        <f t="shared" si="52"/>
        <v>#VALUE!</v>
      </c>
      <c r="I200" s="31">
        <v>44558</v>
      </c>
      <c r="J200" s="29" t="e">
        <f t="shared" si="53"/>
        <v>#VALUE!</v>
      </c>
      <c r="K200" s="90"/>
      <c r="L200" s="29"/>
      <c r="M200" s="29"/>
      <c r="N200" s="117"/>
      <c r="O200" s="116"/>
    </row>
    <row r="201" spans="1:15">
      <c r="A201" s="12" t="s">
        <v>6582</v>
      </c>
      <c r="B201" s="108">
        <v>2021</v>
      </c>
      <c r="C201" s="32" t="s">
        <v>7658</v>
      </c>
      <c r="D201" s="1" t="str">
        <f>+IFERROR(INDEX(IMPORTS!$AT:$AT,MATCH($A201,IMPORTS!#REF!,0)),"")</f>
        <v/>
      </c>
      <c r="E201" s="87" t="e">
        <f t="shared" si="50"/>
        <v>#VALUE!</v>
      </c>
      <c r="F201" s="31"/>
      <c r="G201" s="29" t="e">
        <f t="shared" si="51"/>
        <v>#VALUE!</v>
      </c>
      <c r="H201" s="31" t="e">
        <f t="shared" si="52"/>
        <v>#VALUE!</v>
      </c>
      <c r="I201" s="31">
        <v>44532</v>
      </c>
      <c r="J201" s="29" t="e">
        <f t="shared" si="53"/>
        <v>#VALUE!</v>
      </c>
      <c r="K201" s="90"/>
      <c r="L201" s="29"/>
      <c r="M201" s="29"/>
      <c r="N201" s="117"/>
      <c r="O201" s="116"/>
    </row>
    <row r="202" spans="1:15">
      <c r="A202" s="12" t="s">
        <v>6587</v>
      </c>
      <c r="B202" s="108">
        <v>2021</v>
      </c>
      <c r="C202" s="32" t="s">
        <v>7658</v>
      </c>
      <c r="D202" s="1" t="str">
        <f>+IFERROR(INDEX(IMPORTS!$AT:$AT,MATCH($A202,IMPORTS!#REF!,0)),"")</f>
        <v/>
      </c>
      <c r="E202" s="87" t="e">
        <f t="shared" si="50"/>
        <v>#VALUE!</v>
      </c>
      <c r="F202" s="31"/>
      <c r="G202" s="29" t="e">
        <f t="shared" si="51"/>
        <v>#VALUE!</v>
      </c>
      <c r="H202" s="31" t="e">
        <f t="shared" si="52"/>
        <v>#VALUE!</v>
      </c>
      <c r="I202" s="31">
        <v>44560</v>
      </c>
      <c r="J202" s="29" t="e">
        <f t="shared" si="53"/>
        <v>#VALUE!</v>
      </c>
      <c r="K202" s="90"/>
      <c r="L202" s="29"/>
      <c r="M202" s="29"/>
      <c r="N202" s="117"/>
      <c r="O202" s="116"/>
    </row>
    <row r="203" spans="1:15">
      <c r="A203" s="12" t="s">
        <v>6623</v>
      </c>
      <c r="B203" s="108">
        <v>2021</v>
      </c>
      <c r="C203" s="32" t="s">
        <v>7658</v>
      </c>
      <c r="D203" s="1" t="str">
        <f>+IFERROR(INDEX(IMPORTS!$AT:$AT,MATCH($A203,IMPORTS!#REF!,0)),"")</f>
        <v/>
      </c>
      <c r="E203" s="87" t="e">
        <f t="shared" si="50"/>
        <v>#VALUE!</v>
      </c>
      <c r="F203" s="31"/>
      <c r="G203" s="29" t="e">
        <f t="shared" si="51"/>
        <v>#VALUE!</v>
      </c>
      <c r="H203" s="31" t="e">
        <f t="shared" si="52"/>
        <v>#VALUE!</v>
      </c>
      <c r="I203" s="31">
        <v>44560</v>
      </c>
      <c r="J203" s="29" t="e">
        <f t="shared" si="53"/>
        <v>#VALUE!</v>
      </c>
      <c r="K203" s="90"/>
      <c r="L203" s="29"/>
      <c r="M203" s="29"/>
      <c r="N203" s="117"/>
      <c r="O203" s="116"/>
    </row>
    <row r="204" spans="1:15">
      <c r="A204" s="12" t="s">
        <v>6630</v>
      </c>
      <c r="B204" s="108">
        <v>2021</v>
      </c>
      <c r="C204" s="32" t="s">
        <v>7658</v>
      </c>
      <c r="D204" s="1" t="str">
        <f>+IFERROR(INDEX(IMPORTS!$AT:$AT,MATCH($A204,IMPORTS!#REF!,0)),"")</f>
        <v/>
      </c>
      <c r="E204" s="87" t="e">
        <f t="shared" ref="E204:E266" si="54">WORKDAY(D204,1,$N$2:$N$12)</f>
        <v>#VALUE!</v>
      </c>
      <c r="F204" s="31"/>
      <c r="G204" s="29" t="e">
        <f t="shared" ref="G204:G266" si="55">+IF(F204&lt;=E204,"SI","NO")</f>
        <v>#VALUE!</v>
      </c>
      <c r="H204" s="31" t="e">
        <f t="shared" ref="H204:H266" si="56">WORKDAY(D204,2,$N$2:$N$12)</f>
        <v>#VALUE!</v>
      </c>
      <c r="I204" s="31">
        <v>44553</v>
      </c>
      <c r="J204" s="29" t="e">
        <f t="shared" ref="J204:J229" si="57">+IF(I204&lt;=H204,"SI","NO")</f>
        <v>#VALUE!</v>
      </c>
      <c r="K204" s="90"/>
      <c r="L204" s="29"/>
      <c r="M204" s="29"/>
      <c r="N204" s="117"/>
      <c r="O204" s="116"/>
    </row>
    <row r="205" spans="1:15">
      <c r="A205" s="12" t="s">
        <v>6685</v>
      </c>
      <c r="B205" s="108">
        <v>2021</v>
      </c>
      <c r="C205" s="32" t="s">
        <v>7658</v>
      </c>
      <c r="D205" s="1" t="str">
        <f>+IFERROR(INDEX(IMPORTS!$AT:$AT,MATCH($A205,IMPORTS!#REF!,0)),"")</f>
        <v/>
      </c>
      <c r="E205" s="87" t="e">
        <f t="shared" si="54"/>
        <v>#VALUE!</v>
      </c>
      <c r="F205" s="31"/>
      <c r="G205" s="29" t="e">
        <f t="shared" si="55"/>
        <v>#VALUE!</v>
      </c>
      <c r="H205" s="31" t="e">
        <f t="shared" si="56"/>
        <v>#VALUE!</v>
      </c>
      <c r="I205" s="31">
        <v>44553</v>
      </c>
      <c r="J205" s="29" t="e">
        <f t="shared" si="57"/>
        <v>#VALUE!</v>
      </c>
      <c r="K205" s="90"/>
      <c r="L205" s="29"/>
      <c r="M205" s="29"/>
      <c r="N205" s="117"/>
      <c r="O205" s="116"/>
    </row>
    <row r="206" spans="1:15">
      <c r="A206" s="12" t="s">
        <v>6689</v>
      </c>
      <c r="B206" s="108">
        <v>2021</v>
      </c>
      <c r="C206" s="32" t="s">
        <v>7658</v>
      </c>
      <c r="D206" s="1" t="str">
        <f>+IFERROR(INDEX(IMPORTS!$AT:$AT,MATCH($A206,IMPORTS!#REF!,0)),"")</f>
        <v/>
      </c>
      <c r="E206" s="87" t="e">
        <f t="shared" si="54"/>
        <v>#VALUE!</v>
      </c>
      <c r="F206" s="31"/>
      <c r="G206" s="29" t="e">
        <f t="shared" si="55"/>
        <v>#VALUE!</v>
      </c>
      <c r="H206" s="31" t="e">
        <f t="shared" si="56"/>
        <v>#VALUE!</v>
      </c>
      <c r="I206" s="31">
        <v>44553</v>
      </c>
      <c r="J206" s="29" t="e">
        <f t="shared" si="57"/>
        <v>#VALUE!</v>
      </c>
      <c r="K206" s="90"/>
      <c r="L206" s="29"/>
      <c r="M206" s="29"/>
      <c r="N206" s="117"/>
      <c r="O206" s="116"/>
    </row>
    <row r="207" spans="1:15">
      <c r="A207" s="12" t="s">
        <v>6713</v>
      </c>
      <c r="B207" s="108">
        <v>2021</v>
      </c>
      <c r="C207" s="32" t="s">
        <v>7658</v>
      </c>
      <c r="D207" s="1" t="str">
        <f>+IFERROR(INDEX(IMPORTS!$AT:$AT,MATCH($A207,IMPORTS!#REF!,0)),"")</f>
        <v/>
      </c>
      <c r="E207" s="87" t="e">
        <f t="shared" si="54"/>
        <v>#VALUE!</v>
      </c>
      <c r="F207" s="31"/>
      <c r="G207" s="29" t="e">
        <f t="shared" si="55"/>
        <v>#VALUE!</v>
      </c>
      <c r="H207" s="31" t="e">
        <f t="shared" si="56"/>
        <v>#VALUE!</v>
      </c>
      <c r="I207" s="31">
        <v>44553</v>
      </c>
      <c r="J207" s="29" t="e">
        <f t="shared" si="57"/>
        <v>#VALUE!</v>
      </c>
      <c r="K207" s="90"/>
      <c r="L207" s="29"/>
      <c r="M207" s="29"/>
      <c r="N207" s="117"/>
      <c r="O207" s="116"/>
    </row>
    <row r="208" spans="1:15">
      <c r="A208" s="12" t="s">
        <v>6717</v>
      </c>
      <c r="B208" s="108">
        <v>2021</v>
      </c>
      <c r="C208" s="32" t="s">
        <v>7658</v>
      </c>
      <c r="D208" s="1" t="str">
        <f>+IFERROR(INDEX(IMPORTS!$AT:$AT,MATCH($A208,IMPORTS!#REF!,0)),"")</f>
        <v/>
      </c>
      <c r="E208" s="87" t="e">
        <f t="shared" si="54"/>
        <v>#VALUE!</v>
      </c>
      <c r="F208" s="31"/>
      <c r="G208" s="29" t="e">
        <f t="shared" si="55"/>
        <v>#VALUE!</v>
      </c>
      <c r="H208" s="31" t="e">
        <f t="shared" si="56"/>
        <v>#VALUE!</v>
      </c>
      <c r="I208" s="31">
        <v>44536</v>
      </c>
      <c r="J208" s="29" t="e">
        <f t="shared" si="57"/>
        <v>#VALUE!</v>
      </c>
      <c r="K208" s="90"/>
      <c r="L208" s="29"/>
      <c r="M208" s="29"/>
      <c r="N208" s="117"/>
      <c r="O208" s="116"/>
    </row>
    <row r="209" spans="1:15">
      <c r="A209" s="12" t="s">
        <v>6720</v>
      </c>
      <c r="B209" s="108">
        <v>2021</v>
      </c>
      <c r="C209" s="32" t="s">
        <v>7658</v>
      </c>
      <c r="D209" s="1" t="str">
        <f>+IFERROR(INDEX(IMPORTS!$AT:$AT,MATCH($A209,IMPORTS!#REF!,0)),"")</f>
        <v/>
      </c>
      <c r="E209" s="87" t="e">
        <f t="shared" si="54"/>
        <v>#VALUE!</v>
      </c>
      <c r="F209" s="31"/>
      <c r="G209" s="29" t="e">
        <f t="shared" si="55"/>
        <v>#VALUE!</v>
      </c>
      <c r="H209" s="31" t="e">
        <f t="shared" si="56"/>
        <v>#VALUE!</v>
      </c>
      <c r="I209" s="31">
        <v>44544</v>
      </c>
      <c r="J209" s="29" t="e">
        <f t="shared" si="57"/>
        <v>#VALUE!</v>
      </c>
      <c r="K209" s="90"/>
      <c r="L209" s="29"/>
      <c r="M209" s="29"/>
      <c r="N209" s="117"/>
      <c r="O209" s="116"/>
    </row>
    <row r="210" spans="1:15">
      <c r="A210" s="12" t="s">
        <v>6733</v>
      </c>
      <c r="B210" s="108">
        <v>2021</v>
      </c>
      <c r="C210" s="32" t="s">
        <v>7658</v>
      </c>
      <c r="D210" s="1" t="str">
        <f>+IFERROR(INDEX(IMPORTS!$AT:$AT,MATCH($A210,IMPORTS!#REF!,0)),"")</f>
        <v/>
      </c>
      <c r="E210" s="87" t="e">
        <f t="shared" si="54"/>
        <v>#VALUE!</v>
      </c>
      <c r="F210" s="31"/>
      <c r="G210" s="29" t="e">
        <f t="shared" si="55"/>
        <v>#VALUE!</v>
      </c>
      <c r="H210" s="31" t="e">
        <f t="shared" si="56"/>
        <v>#VALUE!</v>
      </c>
      <c r="I210" s="31">
        <v>44539</v>
      </c>
      <c r="J210" s="29" t="e">
        <f t="shared" si="57"/>
        <v>#VALUE!</v>
      </c>
      <c r="K210" s="90"/>
      <c r="L210" s="29"/>
      <c r="M210" s="29"/>
      <c r="N210" s="117"/>
      <c r="O210" s="116"/>
    </row>
    <row r="211" spans="1:15">
      <c r="A211" s="12" t="s">
        <v>6738</v>
      </c>
      <c r="B211" s="108">
        <v>2021</v>
      </c>
      <c r="C211" s="32" t="s">
        <v>7658</v>
      </c>
      <c r="D211" s="1" t="str">
        <f>+IFERROR(INDEX(IMPORTS!$AT:$AT,MATCH($A211,IMPORTS!#REF!,0)),"")</f>
        <v/>
      </c>
      <c r="E211" s="87" t="e">
        <f t="shared" si="54"/>
        <v>#VALUE!</v>
      </c>
      <c r="F211" s="31"/>
      <c r="G211" s="29" t="e">
        <f t="shared" si="55"/>
        <v>#VALUE!</v>
      </c>
      <c r="H211" s="31" t="e">
        <f t="shared" si="56"/>
        <v>#VALUE!</v>
      </c>
      <c r="I211" s="31">
        <v>44536</v>
      </c>
      <c r="J211" s="29" t="e">
        <f t="shared" si="57"/>
        <v>#VALUE!</v>
      </c>
      <c r="K211" s="90"/>
      <c r="L211" s="29"/>
      <c r="M211" s="29"/>
      <c r="N211" s="117"/>
      <c r="O211" s="116"/>
    </row>
    <row r="212" spans="1:15">
      <c r="A212" s="12" t="s">
        <v>6741</v>
      </c>
      <c r="B212" s="108">
        <v>2021</v>
      </c>
      <c r="C212" s="32" t="s">
        <v>7658</v>
      </c>
      <c r="D212" s="1" t="str">
        <f>+IFERROR(INDEX(IMPORTS!$AT:$AT,MATCH($A212,IMPORTS!#REF!,0)),"")</f>
        <v/>
      </c>
      <c r="E212" s="87" t="e">
        <f t="shared" si="54"/>
        <v>#VALUE!</v>
      </c>
      <c r="F212" s="31"/>
      <c r="G212" s="29" t="e">
        <f t="shared" si="55"/>
        <v>#VALUE!</v>
      </c>
      <c r="H212" s="31" t="e">
        <f t="shared" si="56"/>
        <v>#VALUE!</v>
      </c>
      <c r="I212" s="31">
        <v>44544</v>
      </c>
      <c r="J212" s="29" t="e">
        <f t="shared" si="57"/>
        <v>#VALUE!</v>
      </c>
      <c r="K212" s="90"/>
      <c r="L212" s="29"/>
      <c r="M212" s="29"/>
      <c r="N212" s="117"/>
      <c r="O212" s="116"/>
    </row>
    <row r="213" spans="1:15">
      <c r="A213" s="12" t="s">
        <v>6746</v>
      </c>
      <c r="B213" s="108">
        <v>2021</v>
      </c>
      <c r="C213" s="32" t="s">
        <v>7658</v>
      </c>
      <c r="D213" s="1" t="str">
        <f>+IFERROR(INDEX(IMPORTS!$AT:$AT,MATCH($A213,IMPORTS!#REF!,0)),"")</f>
        <v/>
      </c>
      <c r="E213" s="87" t="e">
        <f t="shared" si="54"/>
        <v>#VALUE!</v>
      </c>
      <c r="F213" s="31"/>
      <c r="G213" s="29" t="e">
        <f t="shared" si="55"/>
        <v>#VALUE!</v>
      </c>
      <c r="H213" s="31" t="e">
        <f t="shared" si="56"/>
        <v>#VALUE!</v>
      </c>
      <c r="I213" s="31">
        <v>44546</v>
      </c>
      <c r="J213" s="29" t="e">
        <f t="shared" si="57"/>
        <v>#VALUE!</v>
      </c>
      <c r="K213" s="90"/>
      <c r="L213" s="29"/>
      <c r="M213" s="29"/>
      <c r="N213" s="117"/>
      <c r="O213" s="116"/>
    </row>
    <row r="214" spans="1:15">
      <c r="A214" s="12" t="s">
        <v>6749</v>
      </c>
      <c r="B214" s="108">
        <v>2021</v>
      </c>
      <c r="C214" s="32" t="s">
        <v>7658</v>
      </c>
      <c r="D214" s="1" t="str">
        <f>+IFERROR(INDEX(IMPORTS!$AT:$AT,MATCH($A214,IMPORTS!#REF!,0)),"")</f>
        <v/>
      </c>
      <c r="E214" s="87" t="e">
        <f t="shared" si="54"/>
        <v>#VALUE!</v>
      </c>
      <c r="F214" s="31"/>
      <c r="G214" s="29" t="e">
        <f t="shared" si="55"/>
        <v>#VALUE!</v>
      </c>
      <c r="H214" s="31" t="e">
        <f t="shared" si="56"/>
        <v>#VALUE!</v>
      </c>
      <c r="I214" s="31">
        <v>44553</v>
      </c>
      <c r="J214" s="29" t="e">
        <f t="shared" si="57"/>
        <v>#VALUE!</v>
      </c>
      <c r="K214" s="90"/>
      <c r="L214" s="29"/>
      <c r="M214" s="29"/>
      <c r="N214" s="117"/>
      <c r="O214" s="116"/>
    </row>
    <row r="215" spans="1:15">
      <c r="A215" s="12" t="s">
        <v>6751</v>
      </c>
      <c r="B215" s="108">
        <v>2021</v>
      </c>
      <c r="C215" s="32" t="s">
        <v>7658</v>
      </c>
      <c r="D215" s="1" t="str">
        <f>+IFERROR(INDEX(IMPORTS!$AT:$AT,MATCH($A215,IMPORTS!#REF!,0)),"")</f>
        <v/>
      </c>
      <c r="E215" s="87" t="e">
        <f t="shared" si="54"/>
        <v>#VALUE!</v>
      </c>
      <c r="F215" s="31"/>
      <c r="G215" s="29" t="e">
        <f t="shared" si="55"/>
        <v>#VALUE!</v>
      </c>
      <c r="H215" s="31" t="e">
        <f t="shared" si="56"/>
        <v>#VALUE!</v>
      </c>
      <c r="I215" s="31">
        <v>44552</v>
      </c>
      <c r="J215" s="29" t="e">
        <f t="shared" si="57"/>
        <v>#VALUE!</v>
      </c>
      <c r="K215" s="90"/>
      <c r="L215" s="29"/>
      <c r="M215" s="29"/>
      <c r="N215" s="117"/>
      <c r="O215" s="116"/>
    </row>
    <row r="216" spans="1:15">
      <c r="A216" s="12" t="s">
        <v>6753</v>
      </c>
      <c r="B216" s="108">
        <v>2021</v>
      </c>
      <c r="C216" s="32" t="s">
        <v>7658</v>
      </c>
      <c r="D216" s="1" t="str">
        <f>+IFERROR(INDEX(IMPORTS!$AT:$AT,MATCH($A216,IMPORTS!#REF!,0)),"")</f>
        <v/>
      </c>
      <c r="E216" s="87" t="e">
        <f t="shared" si="54"/>
        <v>#VALUE!</v>
      </c>
      <c r="F216" s="31"/>
      <c r="G216" s="29" t="e">
        <f t="shared" si="55"/>
        <v>#VALUE!</v>
      </c>
      <c r="H216" s="31" t="e">
        <f t="shared" si="56"/>
        <v>#VALUE!</v>
      </c>
      <c r="I216" s="31">
        <v>44553</v>
      </c>
      <c r="J216" s="29" t="e">
        <f t="shared" si="57"/>
        <v>#VALUE!</v>
      </c>
      <c r="K216" s="90"/>
      <c r="L216" s="29"/>
      <c r="M216" s="29"/>
      <c r="N216" s="117"/>
      <c r="O216" s="116"/>
    </row>
    <row r="217" spans="1:15">
      <c r="A217" s="12" t="s">
        <v>6755</v>
      </c>
      <c r="B217" s="108">
        <v>2021</v>
      </c>
      <c r="C217" s="32" t="s">
        <v>7658</v>
      </c>
      <c r="D217" s="1" t="str">
        <f>+IFERROR(INDEX(IMPORTS!$AT:$AT,MATCH($A217,IMPORTS!#REF!,0)),"")</f>
        <v/>
      </c>
      <c r="E217" s="87" t="e">
        <f t="shared" si="54"/>
        <v>#VALUE!</v>
      </c>
      <c r="F217" s="31"/>
      <c r="G217" s="29" t="e">
        <f t="shared" si="55"/>
        <v>#VALUE!</v>
      </c>
      <c r="H217" s="31" t="e">
        <f t="shared" si="56"/>
        <v>#VALUE!</v>
      </c>
      <c r="I217" s="31">
        <v>44558</v>
      </c>
      <c r="J217" s="29" t="e">
        <f t="shared" si="57"/>
        <v>#VALUE!</v>
      </c>
      <c r="K217" s="90"/>
      <c r="L217" s="29"/>
      <c r="M217" s="29"/>
      <c r="N217" s="117"/>
      <c r="O217" s="116"/>
    </row>
    <row r="218" spans="1:15">
      <c r="A218" s="12" t="s">
        <v>6768</v>
      </c>
      <c r="B218" s="108">
        <v>2021</v>
      </c>
      <c r="C218" s="32" t="s">
        <v>7658</v>
      </c>
      <c r="D218" s="1" t="str">
        <f>+IFERROR(INDEX(IMPORTS!$AT:$AT,MATCH($A218,IMPORTS!#REF!,0)),"")</f>
        <v/>
      </c>
      <c r="E218" s="87" t="e">
        <f t="shared" si="54"/>
        <v>#VALUE!</v>
      </c>
      <c r="F218" s="31"/>
      <c r="G218" s="29" t="e">
        <f t="shared" si="55"/>
        <v>#VALUE!</v>
      </c>
      <c r="H218" s="31" t="e">
        <f t="shared" si="56"/>
        <v>#VALUE!</v>
      </c>
      <c r="I218" s="31">
        <v>44544</v>
      </c>
      <c r="J218" s="29" t="e">
        <f t="shared" si="57"/>
        <v>#VALUE!</v>
      </c>
      <c r="K218" s="90"/>
      <c r="L218" s="29"/>
      <c r="M218" s="29"/>
      <c r="N218" s="117"/>
      <c r="O218" s="116"/>
    </row>
    <row r="219" spans="1:15">
      <c r="A219" s="12" t="s">
        <v>6772</v>
      </c>
      <c r="B219" s="108">
        <v>2021</v>
      </c>
      <c r="C219" s="32" t="s">
        <v>7658</v>
      </c>
      <c r="D219" s="1" t="str">
        <f>+IFERROR(INDEX(IMPORTS!$AT:$AT,MATCH($A219,IMPORTS!#REF!,0)),"")</f>
        <v/>
      </c>
      <c r="E219" s="87" t="e">
        <f t="shared" si="54"/>
        <v>#VALUE!</v>
      </c>
      <c r="F219" s="31"/>
      <c r="G219" s="29" t="e">
        <f t="shared" si="55"/>
        <v>#VALUE!</v>
      </c>
      <c r="H219" s="31" t="e">
        <f t="shared" si="56"/>
        <v>#VALUE!</v>
      </c>
      <c r="I219" s="31">
        <v>44547</v>
      </c>
      <c r="J219" s="29" t="e">
        <f t="shared" si="57"/>
        <v>#VALUE!</v>
      </c>
      <c r="K219" s="90"/>
      <c r="L219" s="29"/>
      <c r="M219" s="29"/>
      <c r="N219" s="117"/>
      <c r="O219" s="116"/>
    </row>
    <row r="220" spans="1:15">
      <c r="A220" s="12" t="s">
        <v>6774</v>
      </c>
      <c r="B220" s="108">
        <v>2021</v>
      </c>
      <c r="C220" s="32" t="s">
        <v>7658</v>
      </c>
      <c r="D220" s="1" t="str">
        <f>+IFERROR(INDEX(IMPORTS!$AT:$AT,MATCH($A220,IMPORTS!#REF!,0)),"")</f>
        <v/>
      </c>
      <c r="E220" s="87" t="e">
        <f t="shared" si="54"/>
        <v>#VALUE!</v>
      </c>
      <c r="F220" s="31"/>
      <c r="G220" s="29" t="e">
        <f t="shared" si="55"/>
        <v>#VALUE!</v>
      </c>
      <c r="H220" s="31" t="e">
        <f t="shared" si="56"/>
        <v>#VALUE!</v>
      </c>
      <c r="I220" s="31">
        <v>44553</v>
      </c>
      <c r="J220" s="29" t="e">
        <f t="shared" si="57"/>
        <v>#VALUE!</v>
      </c>
      <c r="K220" s="90"/>
      <c r="L220" s="29"/>
      <c r="M220" s="29"/>
      <c r="N220" s="117"/>
      <c r="O220" s="116"/>
    </row>
    <row r="221" spans="1:15">
      <c r="A221" s="12" t="s">
        <v>6777</v>
      </c>
      <c r="B221" s="108">
        <v>2021</v>
      </c>
      <c r="C221" s="32" t="s">
        <v>7658</v>
      </c>
      <c r="D221" s="1" t="str">
        <f>+IFERROR(INDEX(IMPORTS!$AT:$AT,MATCH($A221,IMPORTS!#REF!,0)),"")</f>
        <v/>
      </c>
      <c r="E221" s="87" t="e">
        <f t="shared" si="54"/>
        <v>#VALUE!</v>
      </c>
      <c r="F221" s="31"/>
      <c r="G221" s="29" t="e">
        <f t="shared" si="55"/>
        <v>#VALUE!</v>
      </c>
      <c r="H221" s="31" t="e">
        <f t="shared" si="56"/>
        <v>#VALUE!</v>
      </c>
      <c r="I221" s="31">
        <v>44553</v>
      </c>
      <c r="J221" s="29" t="e">
        <f t="shared" si="57"/>
        <v>#VALUE!</v>
      </c>
      <c r="K221" s="90"/>
      <c r="L221" s="29"/>
      <c r="M221" s="29"/>
      <c r="N221" s="117"/>
      <c r="O221" s="116"/>
    </row>
    <row r="222" spans="1:15">
      <c r="A222" s="12" t="s">
        <v>6779</v>
      </c>
      <c r="B222" s="108">
        <v>2021</v>
      </c>
      <c r="C222" s="32" t="s">
        <v>7658</v>
      </c>
      <c r="D222" s="1" t="str">
        <f>+IFERROR(INDEX(IMPORTS!$AT:$AT,MATCH($A222,IMPORTS!#REF!,0)),"")</f>
        <v/>
      </c>
      <c r="E222" s="87" t="e">
        <f t="shared" si="54"/>
        <v>#VALUE!</v>
      </c>
      <c r="F222" s="31"/>
      <c r="G222" s="29" t="e">
        <f t="shared" si="55"/>
        <v>#VALUE!</v>
      </c>
      <c r="H222" s="31" t="e">
        <f t="shared" si="56"/>
        <v>#VALUE!</v>
      </c>
      <c r="I222" s="31">
        <v>44558</v>
      </c>
      <c r="J222" s="29" t="e">
        <f t="shared" si="57"/>
        <v>#VALUE!</v>
      </c>
      <c r="K222" s="90"/>
      <c r="L222" s="29"/>
      <c r="M222" s="29"/>
      <c r="N222" s="117"/>
      <c r="O222" s="116"/>
    </row>
    <row r="223" spans="1:15">
      <c r="A223" s="12" t="s">
        <v>6781</v>
      </c>
      <c r="B223" s="108">
        <v>2021</v>
      </c>
      <c r="C223" s="32" t="s">
        <v>7658</v>
      </c>
      <c r="D223" s="1" t="str">
        <f>+IFERROR(INDEX(IMPORTS!$AT:$AT,MATCH($A223,IMPORTS!#REF!,0)),"")</f>
        <v/>
      </c>
      <c r="E223" s="87" t="e">
        <f t="shared" si="54"/>
        <v>#VALUE!</v>
      </c>
      <c r="F223" s="31"/>
      <c r="G223" s="29" t="e">
        <f t="shared" si="55"/>
        <v>#VALUE!</v>
      </c>
      <c r="H223" s="31" t="e">
        <f t="shared" si="56"/>
        <v>#VALUE!</v>
      </c>
      <c r="I223" s="31">
        <v>44544</v>
      </c>
      <c r="J223" s="29" t="e">
        <f t="shared" si="57"/>
        <v>#VALUE!</v>
      </c>
      <c r="K223" s="90"/>
      <c r="L223" s="29"/>
      <c r="M223" s="29"/>
      <c r="N223" s="117"/>
      <c r="O223" s="116"/>
    </row>
    <row r="224" spans="1:15">
      <c r="A224" s="12" t="s">
        <v>6784</v>
      </c>
      <c r="B224" s="108">
        <v>2021</v>
      </c>
      <c r="C224" s="32" t="s">
        <v>7658</v>
      </c>
      <c r="D224" s="1" t="str">
        <f>+IFERROR(INDEX(IMPORTS!$AT:$AT,MATCH($A224,IMPORTS!#REF!,0)),"")</f>
        <v/>
      </c>
      <c r="E224" s="87" t="e">
        <f t="shared" si="54"/>
        <v>#VALUE!</v>
      </c>
      <c r="F224" s="31"/>
      <c r="G224" s="29" t="e">
        <f t="shared" si="55"/>
        <v>#VALUE!</v>
      </c>
      <c r="H224" s="31" t="e">
        <f t="shared" si="56"/>
        <v>#VALUE!</v>
      </c>
      <c r="I224" s="31">
        <v>44547</v>
      </c>
      <c r="J224" s="29" t="e">
        <f t="shared" si="57"/>
        <v>#VALUE!</v>
      </c>
      <c r="K224" s="90"/>
      <c r="L224" s="29"/>
      <c r="M224" s="29"/>
      <c r="N224" s="117"/>
      <c r="O224" s="116"/>
    </row>
    <row r="225" spans="1:15">
      <c r="A225" s="12" t="s">
        <v>6787</v>
      </c>
      <c r="B225" s="108">
        <v>2021</v>
      </c>
      <c r="C225" s="32" t="s">
        <v>7658</v>
      </c>
      <c r="D225" s="1" t="str">
        <f>+IFERROR(INDEX(IMPORTS!$AT:$AT,MATCH($A225,IMPORTS!#REF!,0)),"")</f>
        <v/>
      </c>
      <c r="E225" s="87" t="e">
        <f t="shared" si="54"/>
        <v>#VALUE!</v>
      </c>
      <c r="F225" s="31"/>
      <c r="G225" s="29" t="e">
        <f t="shared" si="55"/>
        <v>#VALUE!</v>
      </c>
      <c r="H225" s="31" t="e">
        <f t="shared" si="56"/>
        <v>#VALUE!</v>
      </c>
      <c r="I225" s="31">
        <v>44552</v>
      </c>
      <c r="J225" s="29" t="e">
        <f t="shared" si="57"/>
        <v>#VALUE!</v>
      </c>
      <c r="K225" s="90"/>
      <c r="L225" s="29"/>
      <c r="M225" s="29"/>
      <c r="N225" s="117"/>
      <c r="O225" s="116"/>
    </row>
    <row r="226" spans="1:15">
      <c r="A226" s="12" t="s">
        <v>6789</v>
      </c>
      <c r="B226" s="108">
        <v>2021</v>
      </c>
      <c r="C226" s="32" t="s">
        <v>7658</v>
      </c>
      <c r="D226" s="1" t="str">
        <f>+IFERROR(INDEX(IMPORTS!$AT:$AT,MATCH($A226,IMPORTS!#REF!,0)),"")</f>
        <v/>
      </c>
      <c r="E226" s="87" t="e">
        <f t="shared" si="54"/>
        <v>#VALUE!</v>
      </c>
      <c r="F226" s="31"/>
      <c r="G226" s="29" t="e">
        <f t="shared" si="55"/>
        <v>#VALUE!</v>
      </c>
      <c r="H226" s="31" t="e">
        <f t="shared" si="56"/>
        <v>#VALUE!</v>
      </c>
      <c r="I226" s="31">
        <v>44558</v>
      </c>
      <c r="J226" s="29" t="e">
        <f t="shared" si="57"/>
        <v>#VALUE!</v>
      </c>
      <c r="K226" s="90"/>
      <c r="L226" s="29"/>
      <c r="M226" s="29"/>
      <c r="N226" s="117"/>
      <c r="O226" s="116"/>
    </row>
    <row r="227" spans="1:15">
      <c r="A227" s="12" t="s">
        <v>6821</v>
      </c>
      <c r="B227" s="108">
        <v>2021</v>
      </c>
      <c r="C227" s="32" t="s">
        <v>7658</v>
      </c>
      <c r="D227" s="1" t="str">
        <f>+IFERROR(INDEX(IMPORTS!$AT:$AT,MATCH($A227,IMPORTS!#REF!,0)),"")</f>
        <v/>
      </c>
      <c r="E227" s="87" t="e">
        <f t="shared" si="54"/>
        <v>#VALUE!</v>
      </c>
      <c r="F227" s="31"/>
      <c r="G227" s="29" t="e">
        <f t="shared" si="55"/>
        <v>#VALUE!</v>
      </c>
      <c r="H227" s="31" t="e">
        <f t="shared" si="56"/>
        <v>#VALUE!</v>
      </c>
      <c r="I227" s="31">
        <v>44553</v>
      </c>
      <c r="J227" s="29" t="e">
        <f t="shared" si="57"/>
        <v>#VALUE!</v>
      </c>
      <c r="K227" s="90"/>
      <c r="L227" s="29"/>
      <c r="M227" s="29"/>
      <c r="N227" s="117"/>
      <c r="O227" s="116"/>
    </row>
    <row r="228" spans="1:15">
      <c r="A228" s="12" t="s">
        <v>6825</v>
      </c>
      <c r="B228" s="108">
        <v>2021</v>
      </c>
      <c r="C228" s="32" t="s">
        <v>7658</v>
      </c>
      <c r="D228" s="1" t="str">
        <f>+IFERROR(INDEX(IMPORTS!$AT:$AT,MATCH($A228,IMPORTS!#REF!,0)),"")</f>
        <v/>
      </c>
      <c r="E228" s="87" t="e">
        <f t="shared" si="54"/>
        <v>#VALUE!</v>
      </c>
      <c r="F228" s="31"/>
      <c r="G228" s="29" t="e">
        <f t="shared" si="55"/>
        <v>#VALUE!</v>
      </c>
      <c r="H228" s="31" t="e">
        <f t="shared" si="56"/>
        <v>#VALUE!</v>
      </c>
      <c r="I228" s="31">
        <v>44560</v>
      </c>
      <c r="J228" s="29" t="e">
        <f t="shared" si="57"/>
        <v>#VALUE!</v>
      </c>
      <c r="K228" s="90"/>
      <c r="L228" s="29"/>
      <c r="M228" s="29"/>
      <c r="N228" s="117"/>
      <c r="O228" s="116"/>
    </row>
    <row r="229" spans="1:15">
      <c r="A229" s="12" t="s">
        <v>6839</v>
      </c>
      <c r="B229" s="108">
        <v>2021</v>
      </c>
      <c r="C229" s="32" t="s">
        <v>7658</v>
      </c>
      <c r="D229" s="1" t="str">
        <f>+IFERROR(INDEX(IMPORTS!$AT:$AT,MATCH($A229,IMPORTS!#REF!,0)),"")</f>
        <v/>
      </c>
      <c r="E229" s="87" t="e">
        <f t="shared" si="54"/>
        <v>#VALUE!</v>
      </c>
      <c r="F229" s="31"/>
      <c r="G229" s="29" t="e">
        <f t="shared" si="55"/>
        <v>#VALUE!</v>
      </c>
      <c r="H229" s="31" t="e">
        <f t="shared" si="56"/>
        <v>#VALUE!</v>
      </c>
      <c r="I229" s="31">
        <v>44540</v>
      </c>
      <c r="J229" s="29" t="e">
        <f t="shared" si="57"/>
        <v>#VALUE!</v>
      </c>
      <c r="K229" s="90"/>
      <c r="L229" s="29"/>
      <c r="M229" s="29"/>
      <c r="N229" s="117"/>
      <c r="O229" s="116"/>
    </row>
    <row r="230" spans="1:15">
      <c r="A230" s="12" t="s">
        <v>5083</v>
      </c>
      <c r="B230" s="108">
        <v>2022</v>
      </c>
      <c r="C230" s="32" t="s">
        <v>7647</v>
      </c>
      <c r="D230" s="1" t="e">
        <f>VLOOKUP(A230,IMPORTS!H2:AT2014,40,0)</f>
        <v>#REF!</v>
      </c>
      <c r="E230" s="87" t="e">
        <f>WORKDAY(D230,1,$N$2:$N$12)</f>
        <v>#REF!</v>
      </c>
      <c r="F230" s="31">
        <v>44580</v>
      </c>
      <c r="G230" s="29" t="e">
        <f>+IF(F230&lt;=E230,"SI","NO")</f>
        <v>#REF!</v>
      </c>
      <c r="H230" s="31" t="e">
        <f>WORKDAY(D230,2,$N$2:$N$12)</f>
        <v>#REF!</v>
      </c>
      <c r="I230" s="31">
        <v>44580</v>
      </c>
      <c r="J230" s="29" t="e">
        <f t="shared" ref="J230:J261" si="58">+IF(I230&lt;=H230,"SI","NO")</f>
        <v>#REF!</v>
      </c>
      <c r="K230" s="90"/>
      <c r="L230" s="29"/>
      <c r="M230" s="29"/>
      <c r="N230" s="117"/>
      <c r="O230" s="116"/>
    </row>
    <row r="231" spans="1:15">
      <c r="A231" s="12" t="s">
        <v>5169</v>
      </c>
      <c r="B231" s="108">
        <v>2022</v>
      </c>
      <c r="C231" s="32" t="s">
        <v>7647</v>
      </c>
      <c r="D231" s="1" t="e">
        <f>VLOOKUP(A231,IMPORTS!H3:AT2015,40,0)</f>
        <v>#REF!</v>
      </c>
      <c r="E231" s="87" t="e">
        <f>WORKDAY(D231,1,$N$2:$N$12)</f>
        <v>#REF!</v>
      </c>
      <c r="F231" s="31">
        <v>44572</v>
      </c>
      <c r="G231" s="29" t="e">
        <f>+IF(F231&lt;=E231,"SI","NO")</f>
        <v>#REF!</v>
      </c>
      <c r="H231" s="31" t="e">
        <f>WORKDAY(D231,2,$N$2:$N$12)</f>
        <v>#REF!</v>
      </c>
      <c r="I231" s="31">
        <v>44572</v>
      </c>
      <c r="J231" s="29" t="e">
        <f t="shared" si="58"/>
        <v>#REF!</v>
      </c>
      <c r="K231" s="90"/>
      <c r="L231" s="29"/>
      <c r="M231" s="29"/>
      <c r="N231" s="117"/>
      <c r="O231" s="116"/>
    </row>
    <row r="232" spans="1:15">
      <c r="A232" s="12" t="s">
        <v>6345</v>
      </c>
      <c r="B232" s="108">
        <v>2022</v>
      </c>
      <c r="C232" s="32" t="s">
        <v>7647</v>
      </c>
      <c r="D232" s="1" t="e">
        <f>VLOOKUP(A232,IMPORTS!H4:AT2017,40,0)</f>
        <v>#REF!</v>
      </c>
      <c r="E232" s="87" t="e">
        <f t="shared" si="54"/>
        <v>#REF!</v>
      </c>
      <c r="F232" s="31">
        <v>44565</v>
      </c>
      <c r="G232" s="29" t="e">
        <f t="shared" si="55"/>
        <v>#REF!</v>
      </c>
      <c r="H232" s="31" t="e">
        <f t="shared" si="56"/>
        <v>#REF!</v>
      </c>
      <c r="I232" s="31">
        <v>44565</v>
      </c>
      <c r="J232" s="29" t="e">
        <f t="shared" si="58"/>
        <v>#REF!</v>
      </c>
      <c r="K232" s="90"/>
      <c r="L232" s="29"/>
      <c r="M232" s="29"/>
      <c r="N232" s="117"/>
      <c r="O232" s="116"/>
    </row>
    <row r="233" spans="1:15">
      <c r="A233" s="12" t="s">
        <v>6357</v>
      </c>
      <c r="B233" s="108">
        <v>2022</v>
      </c>
      <c r="C233" s="32" t="s">
        <v>7647</v>
      </c>
      <c r="D233" s="1" t="e">
        <f>VLOOKUP(A233,IMPORTS!H5:AT2018,40,0)</f>
        <v>#REF!</v>
      </c>
      <c r="E233" s="87" t="e">
        <f t="shared" si="54"/>
        <v>#REF!</v>
      </c>
      <c r="F233" s="31">
        <v>44566</v>
      </c>
      <c r="G233" s="29" t="e">
        <f t="shared" si="55"/>
        <v>#REF!</v>
      </c>
      <c r="H233" s="31" t="e">
        <f t="shared" si="56"/>
        <v>#REF!</v>
      </c>
      <c r="I233" s="31">
        <v>44566</v>
      </c>
      <c r="J233" s="29" t="e">
        <f t="shared" si="58"/>
        <v>#REF!</v>
      </c>
      <c r="K233" s="90"/>
      <c r="L233" s="29"/>
      <c r="M233" s="29"/>
      <c r="N233" s="117"/>
      <c r="O233" s="116"/>
    </row>
    <row r="234" spans="1:15">
      <c r="A234" s="12" t="s">
        <v>6361</v>
      </c>
      <c r="B234" s="108">
        <v>2022</v>
      </c>
      <c r="C234" s="32" t="s">
        <v>7647</v>
      </c>
      <c r="D234" s="1" t="e">
        <f>VLOOKUP(A234,IMPORTS!H6:AT2019,40,0)</f>
        <v>#REF!</v>
      </c>
      <c r="E234" s="87" t="e">
        <f t="shared" si="54"/>
        <v>#REF!</v>
      </c>
      <c r="F234" s="31">
        <v>44566</v>
      </c>
      <c r="G234" s="29" t="e">
        <f t="shared" si="55"/>
        <v>#REF!</v>
      </c>
      <c r="H234" s="31" t="e">
        <f t="shared" si="56"/>
        <v>#REF!</v>
      </c>
      <c r="I234" s="31">
        <v>44566</v>
      </c>
      <c r="J234" s="29" t="e">
        <f t="shared" si="58"/>
        <v>#REF!</v>
      </c>
      <c r="K234" s="90"/>
      <c r="L234" s="29"/>
      <c r="M234" s="29"/>
      <c r="N234" s="117"/>
      <c r="O234" s="116"/>
    </row>
    <row r="235" spans="1:15">
      <c r="A235" s="12" t="s">
        <v>6365</v>
      </c>
      <c r="B235" s="108">
        <v>2022</v>
      </c>
      <c r="C235" s="32" t="s">
        <v>7647</v>
      </c>
      <c r="D235" s="1" t="e">
        <f>VLOOKUP(A235,IMPORTS!H7:AT2020,40,0)</f>
        <v>#REF!</v>
      </c>
      <c r="E235" s="87" t="e">
        <f t="shared" si="54"/>
        <v>#REF!</v>
      </c>
      <c r="F235" s="31">
        <v>44566</v>
      </c>
      <c r="G235" s="29" t="e">
        <f t="shared" si="55"/>
        <v>#REF!</v>
      </c>
      <c r="H235" s="31" t="e">
        <f t="shared" si="56"/>
        <v>#REF!</v>
      </c>
      <c r="I235" s="31">
        <v>44566</v>
      </c>
      <c r="J235" s="29" t="e">
        <f t="shared" si="58"/>
        <v>#REF!</v>
      </c>
      <c r="K235" s="90"/>
      <c r="L235" s="29"/>
      <c r="M235" s="29"/>
      <c r="N235" s="117"/>
      <c r="O235" s="116"/>
    </row>
    <row r="236" spans="1:15">
      <c r="A236" s="12" t="s">
        <v>6484</v>
      </c>
      <c r="B236" s="108">
        <v>2022</v>
      </c>
      <c r="C236" s="32" t="s">
        <v>7647</v>
      </c>
      <c r="D236" s="1" t="e">
        <f>VLOOKUP(A236,IMPORTS!H8:AT2020,40,0)</f>
        <v>#REF!</v>
      </c>
      <c r="E236" s="87" t="e">
        <f t="shared" si="54"/>
        <v>#REF!</v>
      </c>
      <c r="F236" s="31">
        <v>44575</v>
      </c>
      <c r="G236" s="29" t="e">
        <f t="shared" si="55"/>
        <v>#REF!</v>
      </c>
      <c r="H236" s="31" t="e">
        <f t="shared" si="56"/>
        <v>#REF!</v>
      </c>
      <c r="I236" s="31">
        <v>44575</v>
      </c>
      <c r="J236" s="29" t="e">
        <f t="shared" si="58"/>
        <v>#REF!</v>
      </c>
      <c r="K236" s="90"/>
      <c r="L236" s="29"/>
      <c r="M236" s="29"/>
      <c r="N236" s="117"/>
      <c r="O236" s="116"/>
    </row>
    <row r="237" spans="1:15">
      <c r="A237" s="12" t="s">
        <v>6486</v>
      </c>
      <c r="B237" s="108">
        <v>2022</v>
      </c>
      <c r="C237" s="32" t="s">
        <v>7647</v>
      </c>
      <c r="D237" s="1" t="e">
        <f>VLOOKUP(A237,IMPORTS!H9:AT2021,40,0)</f>
        <v>#REF!</v>
      </c>
      <c r="E237" s="87" t="e">
        <f t="shared" si="54"/>
        <v>#REF!</v>
      </c>
      <c r="F237" s="31">
        <v>44578</v>
      </c>
      <c r="G237" s="29" t="e">
        <f t="shared" si="55"/>
        <v>#REF!</v>
      </c>
      <c r="H237" s="31" t="e">
        <f t="shared" si="56"/>
        <v>#REF!</v>
      </c>
      <c r="I237" s="31">
        <v>44578</v>
      </c>
      <c r="J237" s="29" t="e">
        <f t="shared" si="58"/>
        <v>#REF!</v>
      </c>
      <c r="K237" s="90"/>
      <c r="L237" s="29"/>
      <c r="M237" s="29"/>
      <c r="N237" s="117"/>
      <c r="O237" s="116"/>
    </row>
    <row r="238" spans="1:15">
      <c r="A238" s="12" t="s">
        <v>6488</v>
      </c>
      <c r="B238" s="108">
        <v>2022</v>
      </c>
      <c r="C238" s="32" t="s">
        <v>7647</v>
      </c>
      <c r="D238" s="1" t="e">
        <f>VLOOKUP(A238,IMPORTS!H10:AT2021,40,0)</f>
        <v>#REF!</v>
      </c>
      <c r="E238" s="87" t="e">
        <f>WORKDAY(D238,1,$N$2:$N$12)</f>
        <v>#REF!</v>
      </c>
      <c r="F238" s="31">
        <v>44580</v>
      </c>
      <c r="G238" s="29" t="e">
        <f>+IF(F238&lt;=E238,"SI","NO")</f>
        <v>#REF!</v>
      </c>
      <c r="H238" s="31" t="e">
        <f>WORKDAY(D238,2,$N$2:$N$12)</f>
        <v>#REF!</v>
      </c>
      <c r="I238" s="31">
        <v>44580</v>
      </c>
      <c r="J238" s="29" t="e">
        <f t="shared" si="58"/>
        <v>#REF!</v>
      </c>
      <c r="K238" s="90"/>
      <c r="L238" s="29"/>
      <c r="M238" s="29"/>
      <c r="N238" s="117"/>
      <c r="O238" s="116"/>
    </row>
    <row r="239" spans="1:15">
      <c r="A239" s="12" t="s">
        <v>6570</v>
      </c>
      <c r="B239" s="108">
        <v>2022</v>
      </c>
      <c r="C239" s="32" t="s">
        <v>7647</v>
      </c>
      <c r="D239" s="1" t="e">
        <f>VLOOKUP(A239,IMPORTS!H11:AT2022,40,0)</f>
        <v>#REF!</v>
      </c>
      <c r="E239" s="87" t="e">
        <f t="shared" si="54"/>
        <v>#REF!</v>
      </c>
      <c r="F239" s="31">
        <v>44566</v>
      </c>
      <c r="G239" s="29" t="e">
        <f t="shared" si="55"/>
        <v>#REF!</v>
      </c>
      <c r="H239" s="31" t="e">
        <f t="shared" si="56"/>
        <v>#REF!</v>
      </c>
      <c r="I239" s="31">
        <v>44566</v>
      </c>
      <c r="J239" s="29" t="e">
        <f t="shared" si="58"/>
        <v>#REF!</v>
      </c>
      <c r="K239" s="90"/>
      <c r="L239" s="29"/>
      <c r="M239" s="29"/>
      <c r="N239" s="117"/>
      <c r="O239" s="116"/>
    </row>
    <row r="240" spans="1:15">
      <c r="A240" s="12" t="s">
        <v>6627</v>
      </c>
      <c r="B240" s="108">
        <v>2022</v>
      </c>
      <c r="C240" s="32" t="s">
        <v>7647</v>
      </c>
      <c r="D240" s="1" t="e">
        <f>VLOOKUP(A240,IMPORTS!H12:AT2023,40,0)</f>
        <v>#REF!</v>
      </c>
      <c r="E240" s="87" t="e">
        <f t="shared" si="54"/>
        <v>#REF!</v>
      </c>
      <c r="F240" s="31">
        <v>44566</v>
      </c>
      <c r="G240" s="29" t="e">
        <f t="shared" si="55"/>
        <v>#REF!</v>
      </c>
      <c r="H240" s="31" t="e">
        <f t="shared" si="56"/>
        <v>#REF!</v>
      </c>
      <c r="I240" s="31">
        <v>44566</v>
      </c>
      <c r="J240" s="29" t="e">
        <f t="shared" si="58"/>
        <v>#REF!</v>
      </c>
      <c r="K240" s="90"/>
      <c r="L240" s="29"/>
      <c r="M240" s="29"/>
      <c r="N240" s="117"/>
      <c r="O240" s="116"/>
    </row>
    <row r="241" spans="1:15">
      <c r="A241" s="12" t="s">
        <v>6643</v>
      </c>
      <c r="B241" s="108">
        <v>2022</v>
      </c>
      <c r="C241" s="32" t="s">
        <v>7647</v>
      </c>
      <c r="D241" s="1" t="e">
        <f>VLOOKUP(A241,IMPORTS!H13:AT2024,40,0)</f>
        <v>#REF!</v>
      </c>
      <c r="E241" s="87" t="e">
        <f t="shared" si="54"/>
        <v>#REF!</v>
      </c>
      <c r="F241" s="31">
        <v>44566</v>
      </c>
      <c r="G241" s="29" t="e">
        <f t="shared" si="55"/>
        <v>#REF!</v>
      </c>
      <c r="H241" s="31" t="e">
        <f t="shared" si="56"/>
        <v>#REF!</v>
      </c>
      <c r="I241" s="31">
        <v>44566</v>
      </c>
      <c r="J241" s="29" t="e">
        <f t="shared" si="58"/>
        <v>#REF!</v>
      </c>
      <c r="K241" s="90"/>
      <c r="L241" s="29"/>
      <c r="M241" s="29"/>
      <c r="N241" s="117"/>
      <c r="O241" s="116"/>
    </row>
    <row r="242" spans="1:15">
      <c r="A242" s="12" t="s">
        <v>6805</v>
      </c>
      <c r="B242" s="108">
        <v>2022</v>
      </c>
      <c r="C242" s="32" t="s">
        <v>7647</v>
      </c>
      <c r="D242" s="1" t="e">
        <f>VLOOKUP(A242,IMPORTS!H14:AT2025,40,0)</f>
        <v>#REF!</v>
      </c>
      <c r="E242" s="87" t="e">
        <f t="shared" si="54"/>
        <v>#REF!</v>
      </c>
      <c r="F242" s="31">
        <v>44565</v>
      </c>
      <c r="G242" s="29" t="e">
        <f t="shared" si="55"/>
        <v>#REF!</v>
      </c>
      <c r="H242" s="31" t="e">
        <f t="shared" si="56"/>
        <v>#REF!</v>
      </c>
      <c r="I242" s="31">
        <v>44565</v>
      </c>
      <c r="J242" s="29" t="e">
        <f t="shared" si="58"/>
        <v>#REF!</v>
      </c>
      <c r="K242" s="90"/>
      <c r="L242" s="29"/>
      <c r="M242" s="29"/>
      <c r="N242" s="117"/>
      <c r="O242" s="116"/>
    </row>
    <row r="243" spans="1:15">
      <c r="A243" s="12" t="s">
        <v>6810</v>
      </c>
      <c r="B243" s="108">
        <v>2022</v>
      </c>
      <c r="C243" s="32" t="s">
        <v>7647</v>
      </c>
      <c r="D243" s="1" t="e">
        <f>VLOOKUP(A243,IMPORTS!H15:AT2027,40,0)</f>
        <v>#REF!</v>
      </c>
      <c r="E243" s="87" t="e">
        <f t="shared" si="54"/>
        <v>#REF!</v>
      </c>
      <c r="F243" s="31">
        <v>44575</v>
      </c>
      <c r="G243" s="29" t="e">
        <f t="shared" si="55"/>
        <v>#REF!</v>
      </c>
      <c r="H243" s="31" t="e">
        <f t="shared" si="56"/>
        <v>#REF!</v>
      </c>
      <c r="I243" s="31">
        <v>44575</v>
      </c>
      <c r="J243" s="29" t="e">
        <f t="shared" si="58"/>
        <v>#REF!</v>
      </c>
      <c r="K243" s="90"/>
      <c r="L243" s="29"/>
      <c r="M243" s="29"/>
      <c r="N243" s="117"/>
      <c r="O243" s="116"/>
    </row>
    <row r="244" spans="1:15">
      <c r="A244" s="12" t="s">
        <v>6828</v>
      </c>
      <c r="B244" s="108">
        <v>2022</v>
      </c>
      <c r="C244" s="32" t="s">
        <v>7647</v>
      </c>
      <c r="D244" s="1" t="e">
        <f>VLOOKUP(A244,IMPORTS!H16:AT2028,40,0)</f>
        <v>#REF!</v>
      </c>
      <c r="E244" s="87" t="e">
        <f t="shared" si="54"/>
        <v>#REF!</v>
      </c>
      <c r="F244" s="31">
        <v>44568</v>
      </c>
      <c r="G244" s="29" t="e">
        <f t="shared" si="55"/>
        <v>#REF!</v>
      </c>
      <c r="H244" s="31" t="e">
        <f t="shared" si="56"/>
        <v>#REF!</v>
      </c>
      <c r="I244" s="31">
        <v>44568</v>
      </c>
      <c r="J244" s="29" t="e">
        <f t="shared" si="58"/>
        <v>#REF!</v>
      </c>
      <c r="K244" s="90"/>
      <c r="L244" s="29"/>
      <c r="M244" s="29"/>
      <c r="N244" s="117"/>
      <c r="O244" s="116"/>
    </row>
    <row r="245" spans="1:15">
      <c r="A245" s="12" t="s">
        <v>6832</v>
      </c>
      <c r="B245" s="108">
        <v>2022</v>
      </c>
      <c r="C245" s="32" t="s">
        <v>7647</v>
      </c>
      <c r="D245" s="1" t="e">
        <f>VLOOKUP(A245,IMPORTS!H17:AT2029,40,0)</f>
        <v>#REF!</v>
      </c>
      <c r="E245" s="87" t="e">
        <f t="shared" si="54"/>
        <v>#REF!</v>
      </c>
      <c r="F245" s="31">
        <v>44575</v>
      </c>
      <c r="G245" s="29" t="e">
        <f t="shared" si="55"/>
        <v>#REF!</v>
      </c>
      <c r="H245" s="31" t="e">
        <f t="shared" si="56"/>
        <v>#REF!</v>
      </c>
      <c r="I245" s="31">
        <v>44575</v>
      </c>
      <c r="J245" s="29" t="e">
        <f t="shared" si="58"/>
        <v>#REF!</v>
      </c>
      <c r="K245" s="90"/>
      <c r="L245" s="29"/>
      <c r="M245" s="29"/>
      <c r="N245" s="117"/>
      <c r="O245" s="116"/>
    </row>
    <row r="246" spans="1:15">
      <c r="A246" s="12" t="s">
        <v>6835</v>
      </c>
      <c r="B246" s="108">
        <v>2022</v>
      </c>
      <c r="C246" s="32" t="s">
        <v>7647</v>
      </c>
      <c r="D246" s="1" t="e">
        <f>VLOOKUP(A246,IMPORTS!H18:AT2029,40,0)</f>
        <v>#REF!</v>
      </c>
      <c r="E246" s="87" t="e">
        <f t="shared" si="54"/>
        <v>#REF!</v>
      </c>
      <c r="F246" s="31">
        <v>44567</v>
      </c>
      <c r="G246" s="29" t="e">
        <f t="shared" si="55"/>
        <v>#REF!</v>
      </c>
      <c r="H246" s="31" t="e">
        <f t="shared" si="56"/>
        <v>#REF!</v>
      </c>
      <c r="I246" s="31">
        <v>44567</v>
      </c>
      <c r="J246" s="29" t="e">
        <f t="shared" si="58"/>
        <v>#REF!</v>
      </c>
      <c r="K246" s="90"/>
      <c r="L246" s="29"/>
      <c r="M246" s="29"/>
      <c r="N246" s="117"/>
      <c r="O246" s="116"/>
    </row>
    <row r="247" spans="1:15">
      <c r="A247" s="12" t="s">
        <v>6843</v>
      </c>
      <c r="B247" s="108">
        <v>2022</v>
      </c>
      <c r="C247" s="32" t="s">
        <v>7647</v>
      </c>
      <c r="D247" s="1" t="e">
        <f>VLOOKUP(A247,IMPORTS!H19:AT2030,40,0)</f>
        <v>#REF!</v>
      </c>
      <c r="E247" s="87" t="e">
        <f t="shared" si="54"/>
        <v>#REF!</v>
      </c>
      <c r="F247" s="31">
        <v>44572</v>
      </c>
      <c r="G247" s="29" t="e">
        <f t="shared" si="55"/>
        <v>#REF!</v>
      </c>
      <c r="H247" s="31" t="e">
        <f t="shared" si="56"/>
        <v>#REF!</v>
      </c>
      <c r="I247" s="31">
        <v>44572</v>
      </c>
      <c r="J247" s="29" t="e">
        <f t="shared" si="58"/>
        <v>#REF!</v>
      </c>
      <c r="K247" s="90"/>
      <c r="L247" s="29"/>
      <c r="M247" s="29"/>
      <c r="N247" s="117"/>
      <c r="O247" s="116"/>
    </row>
    <row r="248" spans="1:15">
      <c r="A248" s="12" t="s">
        <v>6939</v>
      </c>
      <c r="B248" s="108">
        <v>2022</v>
      </c>
      <c r="C248" s="32" t="s">
        <v>7647</v>
      </c>
      <c r="D248" s="1" t="e">
        <f>VLOOKUP(A248,IMPORTS!H20:AT2031,40,0)</f>
        <v>#REF!</v>
      </c>
      <c r="E248" s="87" t="e">
        <f t="shared" si="54"/>
        <v>#REF!</v>
      </c>
      <c r="F248" s="31">
        <v>44571</v>
      </c>
      <c r="G248" s="29" t="e">
        <f t="shared" si="55"/>
        <v>#REF!</v>
      </c>
      <c r="H248" s="31" t="e">
        <f t="shared" si="56"/>
        <v>#REF!</v>
      </c>
      <c r="I248" s="31">
        <v>44571</v>
      </c>
      <c r="J248" s="29" t="e">
        <f t="shared" si="58"/>
        <v>#REF!</v>
      </c>
      <c r="K248" s="90"/>
      <c r="L248" s="29"/>
      <c r="M248" s="29"/>
      <c r="N248" s="117"/>
      <c r="O248" s="116"/>
    </row>
    <row r="249" spans="1:15">
      <c r="A249" s="12" t="s">
        <v>6944</v>
      </c>
      <c r="B249" s="108">
        <v>2022</v>
      </c>
      <c r="C249" s="32" t="s">
        <v>7647</v>
      </c>
      <c r="D249" s="1" t="e">
        <f>VLOOKUP(A249,IMPORTS!H21:AT2032,40,0)</f>
        <v>#REF!</v>
      </c>
      <c r="E249" s="87" t="e">
        <f>WORKDAY(D249,1,$N$2:$N$12)</f>
        <v>#REF!</v>
      </c>
      <c r="F249" s="31">
        <v>44580</v>
      </c>
      <c r="G249" s="29" t="e">
        <f>+IF(F249&lt;=E249,"SI","NO")</f>
        <v>#REF!</v>
      </c>
      <c r="H249" s="31" t="e">
        <f>WORKDAY(D249,2,$N$2:$N$12)</f>
        <v>#REF!</v>
      </c>
      <c r="I249" s="31">
        <v>44580</v>
      </c>
      <c r="J249" s="29" t="e">
        <f t="shared" si="58"/>
        <v>#REF!</v>
      </c>
      <c r="K249" s="90"/>
      <c r="L249" s="29"/>
      <c r="M249" s="29"/>
      <c r="N249" s="117"/>
      <c r="O249" s="116"/>
    </row>
    <row r="250" spans="1:15">
      <c r="A250" s="12" t="s">
        <v>6946</v>
      </c>
      <c r="B250" s="108">
        <v>2022</v>
      </c>
      <c r="C250" s="32" t="s">
        <v>7647</v>
      </c>
      <c r="D250" s="1" t="e">
        <f>VLOOKUP(A250,IMPORTS!H22:AT2033,40,0)</f>
        <v>#REF!</v>
      </c>
      <c r="E250" s="87" t="e">
        <f t="shared" si="54"/>
        <v>#REF!</v>
      </c>
      <c r="F250" s="31">
        <v>44571</v>
      </c>
      <c r="G250" s="29" t="e">
        <f>+IF(F250&lt;=E250,"SI","NO")</f>
        <v>#REF!</v>
      </c>
      <c r="H250" s="31" t="e">
        <f t="shared" si="56"/>
        <v>#REF!</v>
      </c>
      <c r="I250" s="31">
        <v>44571</v>
      </c>
      <c r="J250" s="29" t="e">
        <f t="shared" si="58"/>
        <v>#REF!</v>
      </c>
      <c r="K250" s="90"/>
      <c r="L250" s="29"/>
      <c r="M250" s="29"/>
      <c r="N250" s="117"/>
      <c r="O250" s="116"/>
    </row>
    <row r="251" spans="1:15">
      <c r="A251" s="12" t="s">
        <v>6949</v>
      </c>
      <c r="B251" s="108">
        <v>2022</v>
      </c>
      <c r="C251" s="32" t="s">
        <v>7647</v>
      </c>
      <c r="D251" s="1" t="e">
        <f>VLOOKUP(A251,IMPORTS!H23:AT2034,40,0)</f>
        <v>#REF!</v>
      </c>
      <c r="E251" s="87" t="e">
        <f t="shared" si="54"/>
        <v>#REF!</v>
      </c>
      <c r="F251" s="31">
        <v>44571</v>
      </c>
      <c r="G251" s="29" t="e">
        <f t="shared" si="55"/>
        <v>#REF!</v>
      </c>
      <c r="H251" s="31" t="e">
        <f t="shared" si="56"/>
        <v>#REF!</v>
      </c>
      <c r="I251" s="31">
        <v>44571</v>
      </c>
      <c r="J251" s="29" t="e">
        <f t="shared" si="58"/>
        <v>#REF!</v>
      </c>
      <c r="K251" s="90"/>
      <c r="L251" s="29"/>
      <c r="M251" s="29"/>
      <c r="N251" s="117"/>
      <c r="O251" s="116"/>
    </row>
    <row r="252" spans="1:15">
      <c r="A252" s="12" t="s">
        <v>6951</v>
      </c>
      <c r="B252" s="108">
        <v>2022</v>
      </c>
      <c r="C252" s="32" t="s">
        <v>7647</v>
      </c>
      <c r="D252" s="1" t="e">
        <f>VLOOKUP(A252,IMPORTS!H24:AT2035,40,0)</f>
        <v>#REF!</v>
      </c>
      <c r="E252" s="87" t="e">
        <f t="shared" si="54"/>
        <v>#REF!</v>
      </c>
      <c r="F252" s="31">
        <v>44580</v>
      </c>
      <c r="G252" s="29" t="e">
        <f t="shared" si="55"/>
        <v>#REF!</v>
      </c>
      <c r="H252" s="31" t="e">
        <f t="shared" si="56"/>
        <v>#REF!</v>
      </c>
      <c r="I252" s="31">
        <v>44580</v>
      </c>
      <c r="J252" s="29" t="e">
        <f t="shared" si="58"/>
        <v>#REF!</v>
      </c>
      <c r="K252" s="90"/>
      <c r="L252" s="29"/>
      <c r="M252" s="29"/>
      <c r="N252" s="117"/>
      <c r="O252" s="116"/>
    </row>
    <row r="253" spans="1:15">
      <c r="A253" s="12" t="s">
        <v>6409</v>
      </c>
      <c r="B253" s="108">
        <v>2022</v>
      </c>
      <c r="C253" s="32" t="s">
        <v>7647</v>
      </c>
      <c r="D253" s="1" t="e">
        <f>VLOOKUP(A253,IMPORTS!H25:AT2036,40,0)</f>
        <v>#REF!</v>
      </c>
      <c r="E253" s="87" t="e">
        <f t="shared" si="54"/>
        <v>#REF!</v>
      </c>
      <c r="F253" s="31">
        <v>44585</v>
      </c>
      <c r="G253" s="29" t="e">
        <f t="shared" si="55"/>
        <v>#REF!</v>
      </c>
      <c r="H253" s="31" t="e">
        <f t="shared" si="56"/>
        <v>#REF!</v>
      </c>
      <c r="I253" s="31">
        <v>44585</v>
      </c>
      <c r="J253" s="29" t="e">
        <f t="shared" si="58"/>
        <v>#REF!</v>
      </c>
      <c r="K253" s="90"/>
      <c r="L253" s="29"/>
      <c r="M253" s="29"/>
      <c r="N253" s="117"/>
      <c r="O253" s="116"/>
    </row>
    <row r="254" spans="1:15">
      <c r="A254" s="12" t="s">
        <v>6491</v>
      </c>
      <c r="B254" s="108">
        <v>2022</v>
      </c>
      <c r="C254" s="32" t="s">
        <v>7647</v>
      </c>
      <c r="D254" s="1" t="e">
        <f>VLOOKUP(A254,IMPORTS!H26:AT2037,40,0)</f>
        <v>#REF!</v>
      </c>
      <c r="E254" s="87" t="e">
        <f t="shared" si="54"/>
        <v>#REF!</v>
      </c>
      <c r="F254" s="31">
        <v>44585</v>
      </c>
      <c r="G254" s="29" t="e">
        <f t="shared" si="55"/>
        <v>#REF!</v>
      </c>
      <c r="H254" s="31" t="e">
        <f t="shared" si="56"/>
        <v>#REF!</v>
      </c>
      <c r="I254" s="31">
        <v>44585</v>
      </c>
      <c r="J254" s="29" t="e">
        <f t="shared" si="58"/>
        <v>#REF!</v>
      </c>
      <c r="K254" s="90"/>
      <c r="L254" s="29"/>
      <c r="M254" s="29"/>
      <c r="N254" s="117"/>
      <c r="O254" s="116"/>
    </row>
    <row r="255" spans="1:15">
      <c r="A255" s="12" t="s">
        <v>6493</v>
      </c>
      <c r="B255" s="108">
        <v>2022</v>
      </c>
      <c r="C255" s="32" t="s">
        <v>7647</v>
      </c>
      <c r="D255" s="1" t="e">
        <f>VLOOKUP(A255,IMPORTS!H27:AT2038,40,0)</f>
        <v>#REF!</v>
      </c>
      <c r="E255" s="87" t="e">
        <f t="shared" si="54"/>
        <v>#REF!</v>
      </c>
      <c r="F255" s="31">
        <v>44593</v>
      </c>
      <c r="G255" s="29" t="e">
        <f t="shared" si="55"/>
        <v>#REF!</v>
      </c>
      <c r="H255" s="31" t="e">
        <f t="shared" si="56"/>
        <v>#REF!</v>
      </c>
      <c r="I255" s="31">
        <v>44593</v>
      </c>
      <c r="J255" s="29" t="e">
        <f t="shared" si="58"/>
        <v>#REF!</v>
      </c>
      <c r="K255" s="90"/>
      <c r="L255" s="29"/>
      <c r="M255" s="29"/>
      <c r="N255" s="117"/>
      <c r="O255" s="116"/>
    </row>
    <row r="256" spans="1:15">
      <c r="A256" s="12" t="s">
        <v>6495</v>
      </c>
      <c r="B256" s="108">
        <v>2022</v>
      </c>
      <c r="C256" s="32" t="s">
        <v>7647</v>
      </c>
      <c r="D256" s="1" t="e">
        <f>VLOOKUP(A256,IMPORTS!H28:AT2039,40,0)</f>
        <v>#REF!</v>
      </c>
      <c r="E256" s="87" t="e">
        <f t="shared" si="54"/>
        <v>#REF!</v>
      </c>
      <c r="F256" s="31">
        <v>44593</v>
      </c>
      <c r="G256" s="29" t="e">
        <f t="shared" si="55"/>
        <v>#REF!</v>
      </c>
      <c r="H256" s="31" t="e">
        <f t="shared" si="56"/>
        <v>#REF!</v>
      </c>
      <c r="I256" s="31">
        <v>44593</v>
      </c>
      <c r="J256" s="29" t="e">
        <f t="shared" si="58"/>
        <v>#REF!</v>
      </c>
      <c r="K256" s="90"/>
      <c r="L256" s="29"/>
      <c r="M256" s="29"/>
      <c r="N256" s="117"/>
      <c r="O256" s="116"/>
    </row>
    <row r="257" spans="1:15">
      <c r="A257" s="12" t="s">
        <v>6593</v>
      </c>
      <c r="B257" s="108">
        <v>2022</v>
      </c>
      <c r="C257" s="32" t="s">
        <v>7647</v>
      </c>
      <c r="D257" s="1" t="e">
        <f>VLOOKUP(A257,IMPORTS!H29:AT2040,40,0)</f>
        <v>#REF!</v>
      </c>
      <c r="E257" s="87" t="e">
        <f t="shared" si="54"/>
        <v>#REF!</v>
      </c>
      <c r="F257" s="31">
        <v>44585</v>
      </c>
      <c r="G257" s="29" t="e">
        <f t="shared" si="55"/>
        <v>#REF!</v>
      </c>
      <c r="H257" s="31" t="e">
        <f t="shared" si="56"/>
        <v>#REF!</v>
      </c>
      <c r="I257" s="31">
        <v>44585</v>
      </c>
      <c r="J257" s="29" t="e">
        <f t="shared" si="58"/>
        <v>#REF!</v>
      </c>
      <c r="K257" s="90"/>
      <c r="L257" s="29"/>
      <c r="M257" s="29"/>
      <c r="N257" s="117"/>
      <c r="O257" s="116"/>
    </row>
    <row r="258" spans="1:15">
      <c r="A258" s="12" t="s">
        <v>7074</v>
      </c>
      <c r="B258" s="108">
        <v>2022</v>
      </c>
      <c r="C258" s="32" t="s">
        <v>7647</v>
      </c>
      <c r="D258" s="1" t="e">
        <f>VLOOKUP(A258,IMPORTS!H30:AT2041,40,0)</f>
        <v>#REF!</v>
      </c>
      <c r="E258" s="87" t="e">
        <f t="shared" si="54"/>
        <v>#REF!</v>
      </c>
      <c r="F258" s="31">
        <v>44593</v>
      </c>
      <c r="G258" s="29" t="e">
        <f t="shared" si="55"/>
        <v>#REF!</v>
      </c>
      <c r="H258" s="31" t="e">
        <f t="shared" si="56"/>
        <v>#REF!</v>
      </c>
      <c r="I258" s="31">
        <v>44593</v>
      </c>
      <c r="J258" s="29" t="e">
        <f t="shared" si="58"/>
        <v>#REF!</v>
      </c>
      <c r="K258" s="90"/>
      <c r="L258" s="29"/>
      <c r="M258" s="29"/>
      <c r="N258" s="117"/>
      <c r="O258" s="116"/>
    </row>
    <row r="259" spans="1:15">
      <c r="A259" s="12" t="s">
        <v>5088</v>
      </c>
      <c r="B259" s="108">
        <v>2022</v>
      </c>
      <c r="C259" s="32" t="s">
        <v>7648</v>
      </c>
      <c r="D259" s="1" t="e">
        <f>VLOOKUP(A259,IMPORTS!H31:AT2042,40,0)</f>
        <v>#REF!</v>
      </c>
      <c r="E259" s="87" t="e">
        <f t="shared" si="54"/>
        <v>#REF!</v>
      </c>
      <c r="F259" s="31">
        <v>44594</v>
      </c>
      <c r="G259" s="29" t="e">
        <f t="shared" si="55"/>
        <v>#REF!</v>
      </c>
      <c r="H259" s="31" t="e">
        <f t="shared" si="56"/>
        <v>#REF!</v>
      </c>
      <c r="I259" s="31">
        <v>44594</v>
      </c>
      <c r="J259" s="29" t="e">
        <f t="shared" si="58"/>
        <v>#REF!</v>
      </c>
      <c r="K259" s="90"/>
      <c r="L259" s="29"/>
      <c r="M259" s="29"/>
      <c r="N259" s="117"/>
      <c r="O259" s="116"/>
    </row>
    <row r="260" spans="1:15">
      <c r="A260" s="12" t="s">
        <v>5999</v>
      </c>
      <c r="B260" s="108">
        <v>2022</v>
      </c>
      <c r="C260" s="32" t="s">
        <v>7648</v>
      </c>
      <c r="D260" s="1" t="e">
        <f>VLOOKUP(A260,IMPORTS!H32:AT2043,40,0)</f>
        <v>#REF!</v>
      </c>
      <c r="E260" s="87" t="e">
        <f t="shared" si="54"/>
        <v>#REF!</v>
      </c>
      <c r="F260" s="31">
        <v>44613</v>
      </c>
      <c r="G260" s="29" t="e">
        <f t="shared" si="55"/>
        <v>#REF!</v>
      </c>
      <c r="H260" s="31" t="e">
        <f t="shared" si="56"/>
        <v>#REF!</v>
      </c>
      <c r="I260" s="31">
        <v>44613</v>
      </c>
      <c r="J260" s="29" t="e">
        <f t="shared" si="58"/>
        <v>#REF!</v>
      </c>
      <c r="K260" s="90"/>
      <c r="L260" s="29"/>
      <c r="M260" s="29"/>
      <c r="N260" s="117"/>
      <c r="O260" s="116"/>
    </row>
    <row r="261" spans="1:15">
      <c r="A261" s="12" t="s">
        <v>6006</v>
      </c>
      <c r="B261" s="108">
        <v>2022</v>
      </c>
      <c r="C261" s="32" t="s">
        <v>7648</v>
      </c>
      <c r="D261" s="1" t="e">
        <f>VLOOKUP(A261,IMPORTS!H33:AT2044,40,0)</f>
        <v>#REF!</v>
      </c>
      <c r="E261" s="87" t="e">
        <f t="shared" si="54"/>
        <v>#REF!</v>
      </c>
      <c r="F261" s="31">
        <v>44613</v>
      </c>
      <c r="G261" s="29" t="e">
        <f t="shared" si="55"/>
        <v>#REF!</v>
      </c>
      <c r="H261" s="31" t="e">
        <f t="shared" si="56"/>
        <v>#REF!</v>
      </c>
      <c r="I261" s="31">
        <v>44613</v>
      </c>
      <c r="J261" s="29" t="e">
        <f t="shared" si="58"/>
        <v>#REF!</v>
      </c>
      <c r="K261" s="90"/>
      <c r="L261" s="29"/>
      <c r="M261" s="29"/>
      <c r="N261" s="117"/>
      <c r="O261" s="116"/>
    </row>
    <row r="262" spans="1:15">
      <c r="A262" s="12" t="s">
        <v>6009</v>
      </c>
      <c r="B262" s="108">
        <v>2022</v>
      </c>
      <c r="C262" s="32" t="s">
        <v>7648</v>
      </c>
      <c r="D262" s="1" t="e">
        <f>VLOOKUP(A262,IMPORTS!H34:AT2045,40,0)</f>
        <v>#REF!</v>
      </c>
      <c r="E262" s="87" t="e">
        <f t="shared" si="54"/>
        <v>#REF!</v>
      </c>
      <c r="F262" s="31">
        <v>44615</v>
      </c>
      <c r="G262" s="29" t="e">
        <f t="shared" si="55"/>
        <v>#REF!</v>
      </c>
      <c r="H262" s="31" t="e">
        <f t="shared" si="56"/>
        <v>#REF!</v>
      </c>
      <c r="I262" s="31">
        <v>44615</v>
      </c>
      <c r="J262" s="29" t="e">
        <f t="shared" ref="J262:J293" si="59">+IF(I262&lt;=H262,"SI","NO")</f>
        <v>#REF!</v>
      </c>
      <c r="K262" s="90"/>
      <c r="L262" s="29"/>
      <c r="M262" s="29"/>
      <c r="N262" s="117"/>
      <c r="O262" s="116"/>
    </row>
    <row r="263" spans="1:15">
      <c r="A263" s="12" t="s">
        <v>6012</v>
      </c>
      <c r="B263" s="108">
        <v>2022</v>
      </c>
      <c r="C263" s="32" t="s">
        <v>7648</v>
      </c>
      <c r="D263" s="1" t="e">
        <f>VLOOKUP(A263,IMPORTS!H35:AT2046,40,0)</f>
        <v>#REF!</v>
      </c>
      <c r="E263" s="87" t="e">
        <f t="shared" si="54"/>
        <v>#REF!</v>
      </c>
      <c r="F263" s="31">
        <v>44615</v>
      </c>
      <c r="G263" s="29" t="e">
        <f t="shared" si="55"/>
        <v>#REF!</v>
      </c>
      <c r="H263" s="31" t="e">
        <f t="shared" si="56"/>
        <v>#REF!</v>
      </c>
      <c r="I263" s="31">
        <v>44615</v>
      </c>
      <c r="J263" s="29" t="e">
        <f t="shared" si="59"/>
        <v>#REF!</v>
      </c>
      <c r="K263" s="90"/>
      <c r="L263" s="29"/>
      <c r="M263" s="29"/>
      <c r="N263" s="117"/>
      <c r="O263" s="116"/>
    </row>
    <row r="264" spans="1:15">
      <c r="A264" s="12" t="s">
        <v>6015</v>
      </c>
      <c r="B264" s="108">
        <v>2022</v>
      </c>
      <c r="C264" s="32" t="s">
        <v>7648</v>
      </c>
      <c r="D264" s="1" t="e">
        <f>VLOOKUP(A264,IMPORTS!H36:AT2047,40,0)</f>
        <v>#REF!</v>
      </c>
      <c r="E264" s="87" t="e">
        <f t="shared" si="54"/>
        <v>#REF!</v>
      </c>
      <c r="F264" s="31">
        <v>44615</v>
      </c>
      <c r="G264" s="29" t="e">
        <f t="shared" si="55"/>
        <v>#REF!</v>
      </c>
      <c r="H264" s="31" t="e">
        <f t="shared" si="56"/>
        <v>#REF!</v>
      </c>
      <c r="I264" s="31">
        <v>44615</v>
      </c>
      <c r="J264" s="29" t="e">
        <f t="shared" si="59"/>
        <v>#REF!</v>
      </c>
      <c r="K264" s="90"/>
      <c r="L264" s="29"/>
      <c r="M264" s="29"/>
      <c r="N264" s="117"/>
      <c r="O264" s="116"/>
    </row>
    <row r="265" spans="1:15">
      <c r="A265" s="12" t="s">
        <v>6017</v>
      </c>
      <c r="B265" s="108">
        <v>2022</v>
      </c>
      <c r="C265" s="32" t="s">
        <v>7648</v>
      </c>
      <c r="D265" s="1" t="e">
        <f>VLOOKUP(A265,IMPORTS!H37:AT2048,40,0)</f>
        <v>#REF!</v>
      </c>
      <c r="E265" s="87" t="e">
        <f t="shared" si="54"/>
        <v>#REF!</v>
      </c>
      <c r="F265" s="31">
        <v>44620</v>
      </c>
      <c r="G265" s="29" t="e">
        <f t="shared" si="55"/>
        <v>#REF!</v>
      </c>
      <c r="H265" s="31" t="e">
        <f t="shared" si="56"/>
        <v>#REF!</v>
      </c>
      <c r="I265" s="31">
        <v>44620</v>
      </c>
      <c r="J265" s="29" t="e">
        <f t="shared" si="59"/>
        <v>#REF!</v>
      </c>
      <c r="K265" s="90"/>
      <c r="L265" s="29"/>
      <c r="M265" s="29"/>
      <c r="N265" s="117"/>
      <c r="O265" s="116"/>
    </row>
    <row r="266" spans="1:15">
      <c r="A266" s="12" t="s">
        <v>6429</v>
      </c>
      <c r="B266" s="108">
        <v>2022</v>
      </c>
      <c r="C266" s="32" t="s">
        <v>7648</v>
      </c>
      <c r="D266" s="1" t="e">
        <f>VLOOKUP(A266,IMPORTS!H38:AT2049,40,0)</f>
        <v>#REF!</v>
      </c>
      <c r="E266" s="87" t="e">
        <f t="shared" si="54"/>
        <v>#REF!</v>
      </c>
      <c r="F266" s="31">
        <v>44595</v>
      </c>
      <c r="G266" s="29" t="e">
        <f t="shared" si="55"/>
        <v>#REF!</v>
      </c>
      <c r="H266" s="31" t="e">
        <f t="shared" si="56"/>
        <v>#REF!</v>
      </c>
      <c r="I266" s="31">
        <v>44595</v>
      </c>
      <c r="J266" s="29" t="e">
        <f t="shared" si="59"/>
        <v>#REF!</v>
      </c>
      <c r="K266" s="90"/>
      <c r="L266" s="29"/>
      <c r="M266" s="29"/>
      <c r="N266" s="117"/>
      <c r="O266" s="116"/>
    </row>
    <row r="267" spans="1:15">
      <c r="A267" s="12" t="s">
        <v>6435</v>
      </c>
      <c r="B267" s="108">
        <v>2022</v>
      </c>
      <c r="C267" s="32" t="s">
        <v>7648</v>
      </c>
      <c r="D267" s="1" t="e">
        <f>VLOOKUP(A267,IMPORTS!H39:AT2050,40,0)</f>
        <v>#REF!</v>
      </c>
      <c r="E267" s="87" t="e">
        <f t="shared" ref="E267:E298" si="60">WORKDAY(D267,1,$N$2:$N$12)</f>
        <v>#REF!</v>
      </c>
      <c r="F267" s="31">
        <v>44620</v>
      </c>
      <c r="G267" s="29" t="e">
        <f t="shared" ref="G267:G298" si="61">+IF(F267&lt;=E267,"SI","NO")</f>
        <v>#REF!</v>
      </c>
      <c r="H267" s="31" t="e">
        <f t="shared" ref="H267:H298" si="62">WORKDAY(D267,2,$N$2:$N$12)</f>
        <v>#REF!</v>
      </c>
      <c r="I267" s="31">
        <v>44620</v>
      </c>
      <c r="J267" s="29" t="e">
        <f t="shared" si="59"/>
        <v>#REF!</v>
      </c>
      <c r="K267" s="90"/>
      <c r="L267" s="29"/>
      <c r="M267" s="29"/>
      <c r="N267" s="117"/>
      <c r="O267" s="116"/>
    </row>
    <row r="268" spans="1:15">
      <c r="A268" s="12" t="s">
        <v>6437</v>
      </c>
      <c r="B268" s="108">
        <v>2022</v>
      </c>
      <c r="C268" s="32" t="s">
        <v>7648</v>
      </c>
      <c r="D268" s="1" t="e">
        <f>VLOOKUP(A268,IMPORTS!H40:AT2051,40,0)</f>
        <v>#REF!</v>
      </c>
      <c r="E268" s="87" t="e">
        <f t="shared" si="60"/>
        <v>#REF!</v>
      </c>
      <c r="F268" s="31">
        <v>44596</v>
      </c>
      <c r="G268" s="29" t="e">
        <f t="shared" si="61"/>
        <v>#REF!</v>
      </c>
      <c r="H268" s="31" t="e">
        <f t="shared" si="62"/>
        <v>#REF!</v>
      </c>
      <c r="I268" s="31">
        <v>44596</v>
      </c>
      <c r="J268" s="29" t="e">
        <f t="shared" si="59"/>
        <v>#REF!</v>
      </c>
      <c r="K268" s="90"/>
      <c r="L268" s="29"/>
      <c r="M268" s="29"/>
      <c r="N268" s="117"/>
      <c r="O268" s="116"/>
    </row>
    <row r="269" spans="1:15">
      <c r="A269" s="12" t="s">
        <v>6497</v>
      </c>
      <c r="B269" s="108">
        <v>2022</v>
      </c>
      <c r="C269" s="32" t="s">
        <v>7648</v>
      </c>
      <c r="D269" s="1" t="e">
        <f>VLOOKUP(A269,IMPORTS!H41:AT2052,40,0)</f>
        <v>#REF!</v>
      </c>
      <c r="E269" s="87" t="e">
        <f t="shared" si="60"/>
        <v>#REF!</v>
      </c>
      <c r="F269" s="31">
        <v>44608</v>
      </c>
      <c r="G269" s="29" t="e">
        <f t="shared" si="61"/>
        <v>#REF!</v>
      </c>
      <c r="H269" s="31" t="e">
        <f t="shared" si="62"/>
        <v>#REF!</v>
      </c>
      <c r="I269" s="31">
        <v>44608</v>
      </c>
      <c r="J269" s="29" t="e">
        <f t="shared" si="59"/>
        <v>#REF!</v>
      </c>
      <c r="K269" s="90"/>
      <c r="L269" s="29"/>
      <c r="M269" s="29"/>
      <c r="N269" s="117"/>
      <c r="O269" s="116"/>
    </row>
    <row r="270" spans="1:15">
      <c r="A270" s="12" t="s">
        <v>6500</v>
      </c>
      <c r="B270" s="108">
        <v>2022</v>
      </c>
      <c r="C270" s="32" t="s">
        <v>7648</v>
      </c>
      <c r="D270" s="1" t="e">
        <f>VLOOKUP(A270,IMPORTS!H42:AT2053,40,0)</f>
        <v>#REF!</v>
      </c>
      <c r="E270" s="87" t="e">
        <f t="shared" si="60"/>
        <v>#REF!</v>
      </c>
      <c r="F270" s="31">
        <v>44601</v>
      </c>
      <c r="G270" s="29" t="e">
        <f t="shared" si="61"/>
        <v>#REF!</v>
      </c>
      <c r="H270" s="31" t="e">
        <f t="shared" si="62"/>
        <v>#REF!</v>
      </c>
      <c r="I270" s="31">
        <v>44601</v>
      </c>
      <c r="J270" s="29" t="e">
        <f t="shared" si="59"/>
        <v>#REF!</v>
      </c>
      <c r="K270" s="90"/>
      <c r="L270" s="29"/>
      <c r="M270" s="29"/>
      <c r="N270" s="117"/>
      <c r="O270" s="116"/>
    </row>
    <row r="271" spans="1:15">
      <c r="A271" s="12" t="s">
        <v>6531</v>
      </c>
      <c r="B271" s="108">
        <v>2022</v>
      </c>
      <c r="C271" s="32" t="s">
        <v>7648</v>
      </c>
      <c r="D271" s="1" t="e">
        <f>VLOOKUP(A271,IMPORTS!H43:AT2054,40,0)</f>
        <v>#REF!</v>
      </c>
      <c r="E271" s="87" t="e">
        <f t="shared" si="60"/>
        <v>#REF!</v>
      </c>
      <c r="F271" s="31">
        <v>44595</v>
      </c>
      <c r="G271" s="29" t="e">
        <f t="shared" si="61"/>
        <v>#REF!</v>
      </c>
      <c r="H271" s="31" t="e">
        <f t="shared" si="62"/>
        <v>#REF!</v>
      </c>
      <c r="I271" s="31">
        <v>44595</v>
      </c>
      <c r="J271" s="29" t="e">
        <f t="shared" si="59"/>
        <v>#REF!</v>
      </c>
      <c r="K271" s="90"/>
      <c r="L271" s="29"/>
      <c r="M271" s="29"/>
      <c r="N271" s="117"/>
      <c r="O271" s="116"/>
    </row>
    <row r="272" spans="1:15">
      <c r="A272" s="12" t="s">
        <v>6608</v>
      </c>
      <c r="B272" s="108">
        <v>2022</v>
      </c>
      <c r="C272" s="32" t="s">
        <v>7648</v>
      </c>
      <c r="D272" s="1" t="e">
        <f>VLOOKUP(A272,IMPORTS!H44:AT2055,40,0)</f>
        <v>#REF!</v>
      </c>
      <c r="E272" s="87" t="e">
        <f t="shared" si="60"/>
        <v>#REF!</v>
      </c>
      <c r="F272" s="31">
        <v>44596</v>
      </c>
      <c r="G272" s="29" t="e">
        <f t="shared" si="61"/>
        <v>#REF!</v>
      </c>
      <c r="H272" s="31" t="e">
        <f t="shared" si="62"/>
        <v>#REF!</v>
      </c>
      <c r="I272" s="31">
        <v>44596</v>
      </c>
      <c r="J272" s="29" t="e">
        <f t="shared" si="59"/>
        <v>#REF!</v>
      </c>
      <c r="K272" s="90"/>
      <c r="L272" s="29"/>
      <c r="M272" s="29"/>
      <c r="N272" s="117"/>
      <c r="O272" s="116"/>
    </row>
    <row r="273" spans="1:15">
      <c r="A273" s="12" t="s">
        <v>6665</v>
      </c>
      <c r="B273" s="108">
        <v>2022</v>
      </c>
      <c r="C273" s="32" t="s">
        <v>7648</v>
      </c>
      <c r="D273" s="1" t="e">
        <f>VLOOKUP(A273,IMPORTS!H45:AT2056,40,0)</f>
        <v>#REF!</v>
      </c>
      <c r="E273" s="87" t="e">
        <f t="shared" si="60"/>
        <v>#REF!</v>
      </c>
      <c r="F273" s="31">
        <v>44595</v>
      </c>
      <c r="G273" s="29" t="e">
        <f t="shared" si="61"/>
        <v>#REF!</v>
      </c>
      <c r="H273" s="31" t="e">
        <f t="shared" si="62"/>
        <v>#REF!</v>
      </c>
      <c r="I273" s="31">
        <v>44595</v>
      </c>
      <c r="J273" s="29" t="e">
        <f t="shared" si="59"/>
        <v>#REF!</v>
      </c>
      <c r="K273" s="90"/>
      <c r="L273" s="29"/>
      <c r="M273" s="29"/>
      <c r="N273" s="117"/>
      <c r="O273" s="116"/>
    </row>
    <row r="274" spans="1:15">
      <c r="A274" s="12" t="s">
        <v>6729</v>
      </c>
      <c r="B274" s="108">
        <v>2022</v>
      </c>
      <c r="C274" s="32" t="s">
        <v>7648</v>
      </c>
      <c r="D274" s="1" t="e">
        <f>VLOOKUP(A274,IMPORTS!H46:AT2057,40,0)</f>
        <v>#REF!</v>
      </c>
      <c r="E274" s="87" t="e">
        <f t="shared" si="60"/>
        <v>#REF!</v>
      </c>
      <c r="F274" s="31">
        <v>44595</v>
      </c>
      <c r="G274" s="29" t="e">
        <f t="shared" si="61"/>
        <v>#REF!</v>
      </c>
      <c r="H274" s="31" t="e">
        <f t="shared" si="62"/>
        <v>#REF!</v>
      </c>
      <c r="I274" s="31">
        <v>44595</v>
      </c>
      <c r="J274" s="29" t="e">
        <f t="shared" si="59"/>
        <v>#REF!</v>
      </c>
      <c r="K274" s="90"/>
      <c r="L274" s="29"/>
      <c r="M274" s="29"/>
      <c r="N274" s="117"/>
      <c r="O274" s="116"/>
    </row>
    <row r="275" spans="1:15">
      <c r="A275" s="12" t="s">
        <v>6817</v>
      </c>
      <c r="B275" s="108">
        <v>2022</v>
      </c>
      <c r="C275" s="32" t="s">
        <v>7648</v>
      </c>
      <c r="D275" s="1" t="e">
        <f>VLOOKUP(A275,IMPORTS!H47:AT2058,40,0)</f>
        <v>#REF!</v>
      </c>
      <c r="E275" s="87" t="e">
        <f t="shared" si="60"/>
        <v>#REF!</v>
      </c>
      <c r="F275" s="31">
        <v>44596</v>
      </c>
      <c r="G275" s="29" t="e">
        <f t="shared" si="61"/>
        <v>#REF!</v>
      </c>
      <c r="H275" s="31" t="e">
        <f t="shared" si="62"/>
        <v>#REF!</v>
      </c>
      <c r="I275" s="31">
        <v>44596</v>
      </c>
      <c r="J275" s="29" t="e">
        <f t="shared" si="59"/>
        <v>#REF!</v>
      </c>
      <c r="K275" s="90"/>
      <c r="L275" s="29"/>
      <c r="M275" s="29"/>
      <c r="N275" s="117"/>
      <c r="O275" s="116"/>
    </row>
    <row r="276" spans="1:15">
      <c r="A276" s="12" t="s">
        <v>6847</v>
      </c>
      <c r="B276" s="108">
        <v>2022</v>
      </c>
      <c r="C276" s="32" t="s">
        <v>7648</v>
      </c>
      <c r="D276" s="1" t="e">
        <f>VLOOKUP(A276,IMPORTS!H48:AT2059,40,0)</f>
        <v>#REF!</v>
      </c>
      <c r="E276" s="87" t="e">
        <f t="shared" si="60"/>
        <v>#REF!</v>
      </c>
      <c r="F276" s="31">
        <v>44617</v>
      </c>
      <c r="G276" s="29" t="e">
        <f t="shared" si="61"/>
        <v>#REF!</v>
      </c>
      <c r="H276" s="31" t="e">
        <f t="shared" si="62"/>
        <v>#REF!</v>
      </c>
      <c r="I276" s="31">
        <v>44617</v>
      </c>
      <c r="J276" s="29" t="e">
        <f t="shared" si="59"/>
        <v>#REF!</v>
      </c>
      <c r="K276" s="90"/>
      <c r="L276" s="29"/>
      <c r="M276" s="29"/>
      <c r="N276" s="117"/>
      <c r="O276" s="116"/>
    </row>
    <row r="277" spans="1:15">
      <c r="A277" s="12" t="s">
        <v>6864</v>
      </c>
      <c r="B277" s="108">
        <v>2022</v>
      </c>
      <c r="C277" s="32" t="s">
        <v>7648</v>
      </c>
      <c r="D277" s="1" t="e">
        <f>VLOOKUP(A277,IMPORTS!H49:AT2060,40,0)</f>
        <v>#REF!</v>
      </c>
      <c r="E277" s="87" t="e">
        <f t="shared" si="60"/>
        <v>#REF!</v>
      </c>
      <c r="F277" s="31">
        <v>44603</v>
      </c>
      <c r="G277" s="29" t="e">
        <f t="shared" si="61"/>
        <v>#REF!</v>
      </c>
      <c r="H277" s="31" t="e">
        <f t="shared" si="62"/>
        <v>#REF!</v>
      </c>
      <c r="I277" s="31">
        <v>44603</v>
      </c>
      <c r="J277" s="29" t="e">
        <f t="shared" si="59"/>
        <v>#REF!</v>
      </c>
      <c r="K277" s="90"/>
      <c r="L277" s="29"/>
      <c r="M277" s="29"/>
      <c r="N277" s="117"/>
      <c r="O277" s="116"/>
    </row>
    <row r="278" spans="1:15">
      <c r="A278" s="12" t="s">
        <v>6870</v>
      </c>
      <c r="B278" s="108">
        <v>2022</v>
      </c>
      <c r="C278" s="32" t="s">
        <v>7648</v>
      </c>
      <c r="D278" s="1" t="e">
        <f>VLOOKUP(A278,IMPORTS!H50:AT2061,40,0)</f>
        <v>#REF!</v>
      </c>
      <c r="E278" s="87" t="e">
        <f t="shared" si="60"/>
        <v>#REF!</v>
      </c>
      <c r="F278" s="31">
        <v>44608</v>
      </c>
      <c r="G278" s="29" t="e">
        <f t="shared" si="61"/>
        <v>#REF!</v>
      </c>
      <c r="H278" s="31" t="e">
        <f t="shared" si="62"/>
        <v>#REF!</v>
      </c>
      <c r="I278" s="31">
        <v>44608</v>
      </c>
      <c r="J278" s="29" t="e">
        <f t="shared" si="59"/>
        <v>#REF!</v>
      </c>
      <c r="K278" s="90"/>
      <c r="L278" s="29"/>
      <c r="M278" s="29"/>
      <c r="N278" s="117"/>
      <c r="O278" s="116"/>
    </row>
    <row r="279" spans="1:15">
      <c r="A279" s="12" t="s">
        <v>6874</v>
      </c>
      <c r="B279" s="108">
        <v>2022</v>
      </c>
      <c r="C279" s="32" t="s">
        <v>7648</v>
      </c>
      <c r="D279" s="1" t="e">
        <f>VLOOKUP(A279,IMPORTS!H51:AT2062,40,0)</f>
        <v>#REF!</v>
      </c>
      <c r="E279" s="87" t="e">
        <f t="shared" si="60"/>
        <v>#REF!</v>
      </c>
      <c r="F279" s="31">
        <v>44613</v>
      </c>
      <c r="G279" s="29" t="e">
        <f t="shared" si="61"/>
        <v>#REF!</v>
      </c>
      <c r="H279" s="31" t="e">
        <f t="shared" si="62"/>
        <v>#REF!</v>
      </c>
      <c r="I279" s="31">
        <v>44613</v>
      </c>
      <c r="J279" s="29" t="e">
        <f t="shared" si="59"/>
        <v>#REF!</v>
      </c>
      <c r="K279" s="90"/>
      <c r="L279" s="29"/>
      <c r="M279" s="29"/>
      <c r="N279" s="117"/>
      <c r="O279" s="116"/>
    </row>
    <row r="280" spans="1:15">
      <c r="A280" s="12" t="s">
        <v>6878</v>
      </c>
      <c r="B280" s="108">
        <v>2022</v>
      </c>
      <c r="C280" s="32" t="s">
        <v>7648</v>
      </c>
      <c r="D280" s="1" t="e">
        <f>VLOOKUP(A280,IMPORTS!H52:AT2063,40,0)</f>
        <v>#REF!</v>
      </c>
      <c r="E280" s="87" t="e">
        <f t="shared" si="60"/>
        <v>#REF!</v>
      </c>
      <c r="F280" s="31">
        <v>44614</v>
      </c>
      <c r="G280" s="29" t="e">
        <f t="shared" si="61"/>
        <v>#REF!</v>
      </c>
      <c r="H280" s="31" t="e">
        <f t="shared" si="62"/>
        <v>#REF!</v>
      </c>
      <c r="I280" s="31">
        <v>44614</v>
      </c>
      <c r="J280" s="29" t="e">
        <f t="shared" si="59"/>
        <v>#REF!</v>
      </c>
      <c r="K280" s="90"/>
      <c r="L280" s="29"/>
      <c r="M280" s="29"/>
      <c r="N280" s="117"/>
      <c r="O280" s="116"/>
    </row>
    <row r="281" spans="1:15">
      <c r="A281" s="12" t="s">
        <v>6882</v>
      </c>
      <c r="B281" s="108">
        <v>2022</v>
      </c>
      <c r="C281" s="32" t="s">
        <v>7648</v>
      </c>
      <c r="D281" s="1" t="e">
        <f>VLOOKUP(A281,IMPORTS!H53:AT2064,40,0)</f>
        <v>#REF!</v>
      </c>
      <c r="E281" s="87" t="e">
        <f t="shared" si="60"/>
        <v>#REF!</v>
      </c>
      <c r="F281" s="31">
        <v>44603</v>
      </c>
      <c r="G281" s="29" t="e">
        <f t="shared" si="61"/>
        <v>#REF!</v>
      </c>
      <c r="H281" s="31" t="e">
        <f t="shared" si="62"/>
        <v>#REF!</v>
      </c>
      <c r="I281" s="31">
        <v>44603</v>
      </c>
      <c r="J281" s="29" t="e">
        <f t="shared" si="59"/>
        <v>#REF!</v>
      </c>
      <c r="K281" s="90"/>
      <c r="L281" s="29"/>
      <c r="M281" s="29"/>
      <c r="N281" s="117"/>
      <c r="O281" s="116"/>
    </row>
    <row r="282" spans="1:15">
      <c r="A282" s="12" t="s">
        <v>6886</v>
      </c>
      <c r="B282" s="108">
        <v>2022</v>
      </c>
      <c r="C282" s="32" t="s">
        <v>7648</v>
      </c>
      <c r="D282" s="1" t="e">
        <f>VLOOKUP(A282,IMPORTS!H54:AT2065,40,0)</f>
        <v>#REF!</v>
      </c>
      <c r="E282" s="87" t="e">
        <f t="shared" si="60"/>
        <v>#REF!</v>
      </c>
      <c r="F282" s="31">
        <v>44613</v>
      </c>
      <c r="G282" s="29" t="e">
        <f t="shared" si="61"/>
        <v>#REF!</v>
      </c>
      <c r="H282" s="31" t="e">
        <f t="shared" si="62"/>
        <v>#REF!</v>
      </c>
      <c r="I282" s="31">
        <v>44613</v>
      </c>
      <c r="J282" s="29" t="e">
        <f t="shared" si="59"/>
        <v>#REF!</v>
      </c>
      <c r="K282" s="90"/>
      <c r="L282" s="29"/>
      <c r="M282" s="29"/>
      <c r="N282" s="117"/>
      <c r="O282" s="116"/>
    </row>
    <row r="283" spans="1:15">
      <c r="A283" s="12" t="s">
        <v>6890</v>
      </c>
      <c r="B283" s="108">
        <v>2022</v>
      </c>
      <c r="C283" s="32" t="s">
        <v>7648</v>
      </c>
      <c r="D283" s="1" t="e">
        <f>VLOOKUP(A283,IMPORTS!H55:AT2066,40,0)</f>
        <v>#REF!</v>
      </c>
      <c r="E283" s="87" t="e">
        <f t="shared" si="60"/>
        <v>#REF!</v>
      </c>
      <c r="F283" s="31">
        <v>44614</v>
      </c>
      <c r="G283" s="29" t="e">
        <f t="shared" si="61"/>
        <v>#REF!</v>
      </c>
      <c r="H283" s="31" t="e">
        <f t="shared" si="62"/>
        <v>#REF!</v>
      </c>
      <c r="I283" s="31">
        <v>44614</v>
      </c>
      <c r="J283" s="29" t="e">
        <f t="shared" si="59"/>
        <v>#REF!</v>
      </c>
      <c r="K283" s="90"/>
      <c r="L283" s="29"/>
      <c r="M283" s="29"/>
      <c r="N283" s="117"/>
      <c r="O283" s="116"/>
    </row>
    <row r="284" spans="1:15">
      <c r="A284" s="12" t="s">
        <v>6894</v>
      </c>
      <c r="B284" s="108">
        <v>2022</v>
      </c>
      <c r="C284" s="32" t="s">
        <v>7648</v>
      </c>
      <c r="D284" s="1" t="e">
        <f>VLOOKUP(A284,IMPORTS!H56:AT2067,40,0)</f>
        <v>#REF!</v>
      </c>
      <c r="E284" s="87" t="e">
        <f t="shared" si="60"/>
        <v>#REF!</v>
      </c>
      <c r="F284" s="31">
        <v>44595</v>
      </c>
      <c r="G284" s="29" t="e">
        <f t="shared" si="61"/>
        <v>#REF!</v>
      </c>
      <c r="H284" s="31" t="e">
        <f t="shared" si="62"/>
        <v>#REF!</v>
      </c>
      <c r="I284" s="31">
        <v>44595</v>
      </c>
      <c r="J284" s="29" t="e">
        <f t="shared" si="59"/>
        <v>#REF!</v>
      </c>
      <c r="K284" s="90"/>
      <c r="L284" s="29"/>
      <c r="M284" s="29"/>
      <c r="N284" s="117"/>
      <c r="O284" s="116"/>
    </row>
    <row r="285" spans="1:15">
      <c r="A285" s="12" t="s">
        <v>6898</v>
      </c>
      <c r="B285" s="108">
        <v>2022</v>
      </c>
      <c r="C285" s="32" t="s">
        <v>7648</v>
      </c>
      <c r="D285" s="1" t="e">
        <f>VLOOKUP(A285,IMPORTS!H57:AT2068,40,0)</f>
        <v>#REF!</v>
      </c>
      <c r="E285" s="87" t="e">
        <f t="shared" si="60"/>
        <v>#REF!</v>
      </c>
      <c r="F285" s="31">
        <v>44595</v>
      </c>
      <c r="G285" s="29" t="e">
        <f t="shared" si="61"/>
        <v>#REF!</v>
      </c>
      <c r="H285" s="31" t="e">
        <f t="shared" si="62"/>
        <v>#REF!</v>
      </c>
      <c r="I285" s="31">
        <v>44595</v>
      </c>
      <c r="J285" s="29" t="e">
        <f t="shared" si="59"/>
        <v>#REF!</v>
      </c>
      <c r="K285" s="90"/>
      <c r="L285" s="29"/>
      <c r="M285" s="29"/>
      <c r="N285" s="117"/>
      <c r="O285" s="116"/>
    </row>
    <row r="286" spans="1:15">
      <c r="A286" s="12" t="s">
        <v>6926</v>
      </c>
      <c r="B286" s="108">
        <v>2022</v>
      </c>
      <c r="C286" s="32" t="s">
        <v>7648</v>
      </c>
      <c r="D286" s="1" t="e">
        <f>VLOOKUP(A286,IMPORTS!H58:AT2069,40,0)</f>
        <v>#REF!</v>
      </c>
      <c r="E286" s="87" t="e">
        <f t="shared" si="60"/>
        <v>#REF!</v>
      </c>
      <c r="F286" s="31">
        <v>44607</v>
      </c>
      <c r="G286" s="29" t="e">
        <f t="shared" si="61"/>
        <v>#REF!</v>
      </c>
      <c r="H286" s="31" t="e">
        <f t="shared" si="62"/>
        <v>#REF!</v>
      </c>
      <c r="I286" s="31">
        <v>44607</v>
      </c>
      <c r="J286" s="29" t="e">
        <f t="shared" si="59"/>
        <v>#REF!</v>
      </c>
      <c r="K286" s="90"/>
      <c r="L286" s="29"/>
      <c r="M286" s="29"/>
      <c r="N286" s="117"/>
      <c r="O286" s="116"/>
    </row>
    <row r="287" spans="1:15">
      <c r="A287" s="12" t="s">
        <v>6934</v>
      </c>
      <c r="B287" s="108">
        <v>2022</v>
      </c>
      <c r="C287" s="32" t="s">
        <v>7648</v>
      </c>
      <c r="D287" s="1" t="e">
        <f>VLOOKUP(A287,IMPORTS!H59:AT2070,40,0)</f>
        <v>#REF!</v>
      </c>
      <c r="E287" s="87" t="e">
        <f t="shared" si="60"/>
        <v>#REF!</v>
      </c>
      <c r="F287" s="31">
        <v>44595</v>
      </c>
      <c r="G287" s="29" t="e">
        <f t="shared" si="61"/>
        <v>#REF!</v>
      </c>
      <c r="H287" s="31" t="e">
        <f t="shared" si="62"/>
        <v>#REF!</v>
      </c>
      <c r="I287" s="31">
        <v>44595</v>
      </c>
      <c r="J287" s="29" t="e">
        <f t="shared" si="59"/>
        <v>#REF!</v>
      </c>
      <c r="K287" s="90"/>
      <c r="L287" s="29"/>
      <c r="M287" s="29"/>
      <c r="N287" s="117"/>
      <c r="O287" s="116"/>
    </row>
    <row r="288" spans="1:15">
      <c r="A288" s="12" t="s">
        <v>6985</v>
      </c>
      <c r="B288" s="108">
        <v>2022</v>
      </c>
      <c r="C288" s="32" t="s">
        <v>7648</v>
      </c>
      <c r="D288" s="1" t="e">
        <f>VLOOKUP(A288,IMPORTS!H60:AT2071,40,0)</f>
        <v>#REF!</v>
      </c>
      <c r="E288" s="87" t="e">
        <f t="shared" si="60"/>
        <v>#REF!</v>
      </c>
      <c r="F288" s="31">
        <v>44596</v>
      </c>
      <c r="G288" s="29" t="e">
        <f t="shared" si="61"/>
        <v>#REF!</v>
      </c>
      <c r="H288" s="31" t="e">
        <f t="shared" si="62"/>
        <v>#REF!</v>
      </c>
      <c r="I288" s="31">
        <v>44596</v>
      </c>
      <c r="J288" s="29" t="e">
        <f t="shared" si="59"/>
        <v>#REF!</v>
      </c>
      <c r="K288" s="90"/>
      <c r="L288" s="29"/>
      <c r="M288" s="29"/>
      <c r="N288" s="117"/>
      <c r="O288" s="116"/>
    </row>
    <row r="289" spans="1:15">
      <c r="A289" s="12" t="s">
        <v>6990</v>
      </c>
      <c r="B289" s="108">
        <v>2022</v>
      </c>
      <c r="C289" s="32" t="s">
        <v>7648</v>
      </c>
      <c r="D289" s="1" t="e">
        <f>VLOOKUP(A289,IMPORTS!H61:AT2072,40,0)</f>
        <v>#REF!</v>
      </c>
      <c r="E289" s="87" t="e">
        <f t="shared" si="60"/>
        <v>#REF!</v>
      </c>
      <c r="F289" s="31">
        <v>44597</v>
      </c>
      <c r="G289" s="29" t="e">
        <f t="shared" si="61"/>
        <v>#REF!</v>
      </c>
      <c r="H289" s="31" t="e">
        <f t="shared" si="62"/>
        <v>#REF!</v>
      </c>
      <c r="I289" s="31">
        <v>44597</v>
      </c>
      <c r="J289" s="29" t="e">
        <f t="shared" si="59"/>
        <v>#REF!</v>
      </c>
      <c r="K289" s="90"/>
      <c r="L289" s="29"/>
      <c r="M289" s="29"/>
      <c r="N289" s="117"/>
      <c r="O289" s="116"/>
    </row>
    <row r="290" spans="1:15">
      <c r="A290" s="12" t="s">
        <v>6994</v>
      </c>
      <c r="B290" s="108">
        <v>2022</v>
      </c>
      <c r="C290" s="32" t="s">
        <v>7648</v>
      </c>
      <c r="D290" s="1" t="e">
        <f>VLOOKUP(A290,IMPORTS!H62:AT2073,40,0)</f>
        <v>#REF!</v>
      </c>
      <c r="E290" s="87" t="e">
        <f t="shared" si="60"/>
        <v>#REF!</v>
      </c>
      <c r="F290" s="31">
        <v>44610</v>
      </c>
      <c r="G290" s="29" t="e">
        <f t="shared" si="61"/>
        <v>#REF!</v>
      </c>
      <c r="H290" s="31" t="e">
        <f t="shared" si="62"/>
        <v>#REF!</v>
      </c>
      <c r="I290" s="31">
        <v>44610</v>
      </c>
      <c r="J290" s="29" t="e">
        <f t="shared" si="59"/>
        <v>#REF!</v>
      </c>
      <c r="K290" s="90"/>
      <c r="L290" s="29"/>
      <c r="M290" s="29"/>
      <c r="N290" s="117"/>
      <c r="O290" s="116"/>
    </row>
    <row r="291" spans="1:15">
      <c r="A291" s="12" t="s">
        <v>6999</v>
      </c>
      <c r="B291" s="108">
        <v>2022</v>
      </c>
      <c r="C291" s="32" t="s">
        <v>7648</v>
      </c>
      <c r="D291" s="1" t="e">
        <f>VLOOKUP(A291,IMPORTS!H63:AT2074,40,0)</f>
        <v>#REF!</v>
      </c>
      <c r="E291" s="87" t="e">
        <f t="shared" si="60"/>
        <v>#REF!</v>
      </c>
      <c r="F291" s="31">
        <v>44613</v>
      </c>
      <c r="G291" s="29" t="e">
        <f t="shared" si="61"/>
        <v>#REF!</v>
      </c>
      <c r="H291" s="31" t="e">
        <f t="shared" si="62"/>
        <v>#REF!</v>
      </c>
      <c r="I291" s="31">
        <v>44613</v>
      </c>
      <c r="J291" s="29" t="e">
        <f t="shared" si="59"/>
        <v>#REF!</v>
      </c>
      <c r="K291" s="90"/>
      <c r="L291" s="29"/>
      <c r="M291" s="29"/>
      <c r="N291" s="117"/>
      <c r="O291" s="116"/>
    </row>
    <row r="292" spans="1:15">
      <c r="A292" s="12" t="s">
        <v>7091</v>
      </c>
      <c r="B292" s="108">
        <v>2022</v>
      </c>
      <c r="C292" s="32" t="s">
        <v>7648</v>
      </c>
      <c r="D292" s="1" t="e">
        <f>VLOOKUP(A292,IMPORTS!H64:AT2075,40,0)</f>
        <v>#REF!</v>
      </c>
      <c r="E292" s="87" t="e">
        <f t="shared" si="60"/>
        <v>#REF!</v>
      </c>
      <c r="F292" s="31">
        <v>44600</v>
      </c>
      <c r="G292" s="29" t="e">
        <f t="shared" si="61"/>
        <v>#REF!</v>
      </c>
      <c r="H292" s="31" t="e">
        <f t="shared" si="62"/>
        <v>#REF!</v>
      </c>
      <c r="I292" s="31">
        <v>44600</v>
      </c>
      <c r="J292" s="29" t="e">
        <f t="shared" si="59"/>
        <v>#REF!</v>
      </c>
      <c r="K292" s="90"/>
      <c r="L292" s="29"/>
      <c r="M292" s="29"/>
      <c r="N292" s="117"/>
      <c r="O292" s="116"/>
    </row>
    <row r="293" spans="1:15">
      <c r="A293" s="12" t="s">
        <v>7095</v>
      </c>
      <c r="B293" s="108">
        <v>2022</v>
      </c>
      <c r="C293" s="32" t="s">
        <v>7648</v>
      </c>
      <c r="D293" s="1" t="e">
        <f>VLOOKUP(A293,IMPORTS!H65:AT2076,40,0)</f>
        <v>#REF!</v>
      </c>
      <c r="E293" s="87" t="e">
        <f t="shared" si="60"/>
        <v>#REF!</v>
      </c>
      <c r="F293" s="31">
        <v>44613</v>
      </c>
      <c r="G293" s="29" t="e">
        <f t="shared" si="61"/>
        <v>#REF!</v>
      </c>
      <c r="H293" s="31" t="e">
        <f t="shared" si="62"/>
        <v>#REF!</v>
      </c>
      <c r="I293" s="31">
        <v>44613</v>
      </c>
      <c r="J293" s="29" t="e">
        <f t="shared" si="59"/>
        <v>#REF!</v>
      </c>
      <c r="K293" s="90"/>
      <c r="L293" s="29"/>
      <c r="M293" s="29"/>
      <c r="N293" s="117"/>
      <c r="O293" s="116"/>
    </row>
    <row r="294" spans="1:15">
      <c r="A294" s="12" t="s">
        <v>7100</v>
      </c>
      <c r="B294" s="108">
        <v>2022</v>
      </c>
      <c r="C294" s="32" t="s">
        <v>7648</v>
      </c>
      <c r="D294" s="1" t="e">
        <f>VLOOKUP(A294,IMPORTS!H66:AT2077,40,0)</f>
        <v>#REF!</v>
      </c>
      <c r="E294" s="87" t="e">
        <f t="shared" si="60"/>
        <v>#REF!</v>
      </c>
      <c r="F294" s="31">
        <v>44613</v>
      </c>
      <c r="G294" s="29" t="e">
        <f t="shared" si="61"/>
        <v>#REF!</v>
      </c>
      <c r="H294" s="31" t="e">
        <f t="shared" si="62"/>
        <v>#REF!</v>
      </c>
      <c r="I294" s="31">
        <v>44613</v>
      </c>
      <c r="J294" s="29" t="e">
        <f t="shared" ref="J294:J320" si="63">+IF(I294&lt;=H294,"SI","NO")</f>
        <v>#REF!</v>
      </c>
      <c r="K294" s="90"/>
      <c r="L294" s="29"/>
      <c r="M294" s="29"/>
      <c r="N294" s="117"/>
      <c r="O294" s="116"/>
    </row>
    <row r="295" spans="1:15">
      <c r="A295" s="12" t="s">
        <v>7105</v>
      </c>
      <c r="B295" s="108">
        <v>2022</v>
      </c>
      <c r="C295" s="32" t="s">
        <v>7648</v>
      </c>
      <c r="D295" s="1" t="e">
        <f>VLOOKUP(A295,IMPORTS!H67:AT2078,40,0)</f>
        <v>#REF!</v>
      </c>
      <c r="E295" s="87" t="e">
        <f t="shared" si="60"/>
        <v>#REF!</v>
      </c>
      <c r="F295" s="31">
        <v>44613</v>
      </c>
      <c r="G295" s="29" t="e">
        <f t="shared" si="61"/>
        <v>#REF!</v>
      </c>
      <c r="H295" s="31" t="e">
        <f t="shared" si="62"/>
        <v>#REF!</v>
      </c>
      <c r="I295" s="31">
        <v>44613</v>
      </c>
      <c r="J295" s="29" t="e">
        <f t="shared" si="63"/>
        <v>#REF!</v>
      </c>
      <c r="K295" s="90"/>
      <c r="L295" s="29"/>
      <c r="M295" s="29"/>
      <c r="N295" s="117"/>
      <c r="O295" s="116"/>
    </row>
    <row r="296" spans="1:15">
      <c r="A296" s="12" t="s">
        <v>7108</v>
      </c>
      <c r="B296" s="108">
        <v>2022</v>
      </c>
      <c r="C296" s="32" t="s">
        <v>7648</v>
      </c>
      <c r="D296" s="1" t="e">
        <f>VLOOKUP(A296,IMPORTS!H68:AT2079,40,0)</f>
        <v>#REF!</v>
      </c>
      <c r="E296" s="87" t="e">
        <f t="shared" si="60"/>
        <v>#REF!</v>
      </c>
      <c r="F296" s="31">
        <v>44603</v>
      </c>
      <c r="G296" s="29" t="e">
        <f t="shared" si="61"/>
        <v>#REF!</v>
      </c>
      <c r="H296" s="31" t="e">
        <f t="shared" si="62"/>
        <v>#REF!</v>
      </c>
      <c r="I296" s="31">
        <v>44603</v>
      </c>
      <c r="J296" s="29" t="e">
        <f t="shared" si="63"/>
        <v>#REF!</v>
      </c>
      <c r="K296" s="90"/>
      <c r="L296" s="29"/>
      <c r="M296" s="29"/>
      <c r="N296" s="117"/>
      <c r="O296" s="116"/>
    </row>
    <row r="297" spans="1:15">
      <c r="A297" s="12" t="s">
        <v>7112</v>
      </c>
      <c r="B297" s="108">
        <v>2022</v>
      </c>
      <c r="C297" s="32" t="s">
        <v>7648</v>
      </c>
      <c r="D297" s="1" t="e">
        <f>VLOOKUP(A297,IMPORTS!H69:AT2080,40,0)</f>
        <v>#REF!</v>
      </c>
      <c r="E297" s="87" t="e">
        <f t="shared" si="60"/>
        <v>#REF!</v>
      </c>
      <c r="F297" s="31">
        <v>44607</v>
      </c>
      <c r="G297" s="29" t="e">
        <f t="shared" si="61"/>
        <v>#REF!</v>
      </c>
      <c r="H297" s="31" t="e">
        <f t="shared" si="62"/>
        <v>#REF!</v>
      </c>
      <c r="I297" s="31">
        <v>44607</v>
      </c>
      <c r="J297" s="29" t="e">
        <f t="shared" si="63"/>
        <v>#REF!</v>
      </c>
      <c r="K297" s="90"/>
      <c r="L297" s="29"/>
      <c r="M297" s="29"/>
      <c r="N297" s="117"/>
      <c r="O297" s="116"/>
    </row>
    <row r="298" spans="1:15">
      <c r="A298" s="12" t="s">
        <v>7116</v>
      </c>
      <c r="B298" s="108">
        <v>2022</v>
      </c>
      <c r="C298" s="32" t="s">
        <v>7648</v>
      </c>
      <c r="D298" s="1" t="e">
        <f>VLOOKUP(A298,IMPORTS!H70:AT2081,40,0)</f>
        <v>#REF!</v>
      </c>
      <c r="E298" s="87" t="e">
        <f t="shared" si="60"/>
        <v>#REF!</v>
      </c>
      <c r="F298" s="31">
        <v>44603</v>
      </c>
      <c r="G298" s="29" t="e">
        <f t="shared" si="61"/>
        <v>#REF!</v>
      </c>
      <c r="H298" s="31" t="e">
        <f t="shared" si="62"/>
        <v>#REF!</v>
      </c>
      <c r="I298" s="31">
        <v>44603</v>
      </c>
      <c r="J298" s="29" t="e">
        <f t="shared" si="63"/>
        <v>#REF!</v>
      </c>
      <c r="K298" s="90"/>
      <c r="L298" s="29"/>
      <c r="M298" s="29"/>
      <c r="N298" s="117"/>
      <c r="O298" s="116"/>
    </row>
    <row r="299" spans="1:15">
      <c r="A299" s="12" t="s">
        <v>7120</v>
      </c>
      <c r="B299" s="108">
        <v>2022</v>
      </c>
      <c r="C299" s="32" t="s">
        <v>7648</v>
      </c>
      <c r="D299" s="1" t="e">
        <f>VLOOKUP(A299,IMPORTS!H71:AT2082,40,0)</f>
        <v>#REF!</v>
      </c>
      <c r="E299" s="87" t="e">
        <f t="shared" ref="E299:E324" si="64">WORKDAY(D299,1,$N$2:$N$12)</f>
        <v>#REF!</v>
      </c>
      <c r="F299" s="31">
        <v>44607</v>
      </c>
      <c r="G299" s="29" t="e">
        <f t="shared" ref="G299:G324" si="65">+IF(F299&lt;=E299,"SI","NO")</f>
        <v>#REF!</v>
      </c>
      <c r="H299" s="31" t="e">
        <f t="shared" ref="H299:H324" si="66">WORKDAY(D299,2,$N$2:$N$12)</f>
        <v>#REF!</v>
      </c>
      <c r="I299" s="31">
        <v>44607</v>
      </c>
      <c r="J299" s="29" t="e">
        <f t="shared" si="63"/>
        <v>#REF!</v>
      </c>
      <c r="K299" s="90"/>
      <c r="L299" s="29"/>
      <c r="M299" s="29"/>
      <c r="N299" s="117"/>
      <c r="O299" s="116"/>
    </row>
    <row r="300" spans="1:15">
      <c r="A300" s="12" t="s">
        <v>7172</v>
      </c>
      <c r="B300" s="108">
        <v>2022</v>
      </c>
      <c r="C300" s="32" t="s">
        <v>7648</v>
      </c>
      <c r="D300" s="1" t="e">
        <f>VLOOKUP(A300,IMPORTS!H72:AT2083,40,0)</f>
        <v>#REF!</v>
      </c>
      <c r="E300" s="87" t="e">
        <f t="shared" si="64"/>
        <v>#REF!</v>
      </c>
      <c r="F300" s="31">
        <v>44596</v>
      </c>
      <c r="G300" s="29" t="e">
        <f t="shared" si="65"/>
        <v>#REF!</v>
      </c>
      <c r="H300" s="31" t="e">
        <f t="shared" si="66"/>
        <v>#REF!</v>
      </c>
      <c r="I300" s="31">
        <v>44596</v>
      </c>
      <c r="J300" s="29" t="e">
        <f t="shared" si="63"/>
        <v>#REF!</v>
      </c>
      <c r="K300" s="90"/>
      <c r="L300" s="29"/>
      <c r="M300" s="29"/>
      <c r="N300" s="117"/>
      <c r="O300" s="116"/>
    </row>
    <row r="301" spans="1:15">
      <c r="A301" s="12" t="s">
        <v>7177</v>
      </c>
      <c r="B301" s="108">
        <v>2022</v>
      </c>
      <c r="C301" s="32" t="s">
        <v>7648</v>
      </c>
      <c r="D301" s="1" t="e">
        <f>VLOOKUP(A301,IMPORTS!H73:AT2084,40,0)</f>
        <v>#REF!</v>
      </c>
      <c r="E301" s="87" t="e">
        <f t="shared" si="64"/>
        <v>#REF!</v>
      </c>
      <c r="F301" s="31">
        <v>44596</v>
      </c>
      <c r="G301" s="29" t="e">
        <f t="shared" si="65"/>
        <v>#REF!</v>
      </c>
      <c r="H301" s="31" t="e">
        <f t="shared" si="66"/>
        <v>#REF!</v>
      </c>
      <c r="I301" s="31">
        <v>44596</v>
      </c>
      <c r="J301" s="29" t="e">
        <f t="shared" si="63"/>
        <v>#REF!</v>
      </c>
      <c r="K301" s="90"/>
      <c r="L301" s="29"/>
      <c r="M301" s="29"/>
      <c r="N301" s="117"/>
      <c r="O301" s="116"/>
    </row>
    <row r="302" spans="1:15">
      <c r="A302" s="12" t="s">
        <v>7181</v>
      </c>
      <c r="B302" s="108">
        <v>2022</v>
      </c>
      <c r="C302" s="32" t="s">
        <v>7648</v>
      </c>
      <c r="D302" s="1" t="e">
        <f>VLOOKUP(A302,IMPORTS!H74:AT2085,40,0)</f>
        <v>#REF!</v>
      </c>
      <c r="E302" s="87" t="e">
        <f t="shared" si="64"/>
        <v>#REF!</v>
      </c>
      <c r="F302" s="31">
        <v>44613</v>
      </c>
      <c r="G302" s="29" t="e">
        <f t="shared" si="65"/>
        <v>#REF!</v>
      </c>
      <c r="H302" s="31" t="e">
        <f t="shared" si="66"/>
        <v>#REF!</v>
      </c>
      <c r="I302" s="31">
        <v>44613</v>
      </c>
      <c r="J302" s="29" t="e">
        <f t="shared" si="63"/>
        <v>#REF!</v>
      </c>
      <c r="K302" s="90"/>
      <c r="L302" s="29"/>
      <c r="M302" s="29"/>
      <c r="N302" s="117"/>
      <c r="O302" s="116"/>
    </row>
    <row r="303" spans="1:15">
      <c r="A303" s="12" t="s">
        <v>7185</v>
      </c>
      <c r="B303" s="108">
        <v>2022</v>
      </c>
      <c r="C303" s="32" t="s">
        <v>7648</v>
      </c>
      <c r="D303" s="1" t="e">
        <f>VLOOKUP(A303,IMPORTS!H75:AT2086,40,0)</f>
        <v>#REF!</v>
      </c>
      <c r="E303" s="87" t="e">
        <f t="shared" si="64"/>
        <v>#REF!</v>
      </c>
      <c r="F303" s="31">
        <v>44596</v>
      </c>
      <c r="G303" s="29" t="e">
        <f t="shared" si="65"/>
        <v>#REF!</v>
      </c>
      <c r="H303" s="31" t="e">
        <f t="shared" si="66"/>
        <v>#REF!</v>
      </c>
      <c r="I303" s="31">
        <v>44596</v>
      </c>
      <c r="J303" s="29" t="e">
        <f t="shared" si="63"/>
        <v>#REF!</v>
      </c>
      <c r="K303" s="90"/>
      <c r="L303" s="29"/>
      <c r="M303" s="29"/>
      <c r="N303" s="117"/>
      <c r="O303" s="116"/>
    </row>
    <row r="304" spans="1:15">
      <c r="A304" s="12" t="s">
        <v>7187</v>
      </c>
      <c r="B304" s="108">
        <v>2022</v>
      </c>
      <c r="C304" s="32" t="s">
        <v>7648</v>
      </c>
      <c r="D304" s="1" t="e">
        <f>VLOOKUP(A304,IMPORTS!H76:AT2087,40,0)</f>
        <v>#REF!</v>
      </c>
      <c r="E304" s="87" t="e">
        <f t="shared" si="64"/>
        <v>#REF!</v>
      </c>
      <c r="F304" s="31">
        <v>44613</v>
      </c>
      <c r="G304" s="29" t="e">
        <f t="shared" si="65"/>
        <v>#REF!</v>
      </c>
      <c r="H304" s="31" t="e">
        <f t="shared" si="66"/>
        <v>#REF!</v>
      </c>
      <c r="I304" s="31">
        <v>44613</v>
      </c>
      <c r="J304" s="29" t="e">
        <f t="shared" si="63"/>
        <v>#REF!</v>
      </c>
      <c r="K304" s="90"/>
      <c r="L304" s="29"/>
      <c r="M304" s="29"/>
      <c r="N304" s="117"/>
      <c r="O304" s="116"/>
    </row>
    <row r="305" spans="1:18">
      <c r="A305" s="12" t="s">
        <v>7192</v>
      </c>
      <c r="B305" s="108">
        <v>2022</v>
      </c>
      <c r="C305" s="32" t="s">
        <v>7648</v>
      </c>
      <c r="D305" s="1" t="e">
        <f>VLOOKUP(A305,IMPORTS!H77:AT2088,40,0)</f>
        <v>#REF!</v>
      </c>
      <c r="E305" s="87" t="e">
        <f t="shared" si="64"/>
        <v>#REF!</v>
      </c>
      <c r="F305" s="31">
        <v>44617</v>
      </c>
      <c r="G305" s="29" t="e">
        <f t="shared" si="65"/>
        <v>#REF!</v>
      </c>
      <c r="H305" s="31" t="e">
        <f t="shared" si="66"/>
        <v>#REF!</v>
      </c>
      <c r="I305" s="31">
        <v>44617</v>
      </c>
      <c r="J305" s="29" t="e">
        <f t="shared" si="63"/>
        <v>#REF!</v>
      </c>
      <c r="K305" s="90"/>
      <c r="L305" s="29"/>
      <c r="M305" s="29"/>
      <c r="N305" s="117"/>
      <c r="O305" s="116"/>
    </row>
    <row r="306" spans="1:18">
      <c r="A306" s="12" t="s">
        <v>6025</v>
      </c>
      <c r="B306" s="108">
        <v>2022</v>
      </c>
      <c r="C306" s="32" t="s">
        <v>7649</v>
      </c>
      <c r="D306" s="1" t="e">
        <f>VLOOKUP(A306,IMPORTS!H78:AT2089,40,0)</f>
        <v>#REF!</v>
      </c>
      <c r="E306" s="87" t="e">
        <f t="shared" si="64"/>
        <v>#REF!</v>
      </c>
      <c r="F306" s="31">
        <v>44620</v>
      </c>
      <c r="G306" s="29" t="e">
        <f t="shared" si="65"/>
        <v>#REF!</v>
      </c>
      <c r="H306" s="31" t="e">
        <f t="shared" si="66"/>
        <v>#REF!</v>
      </c>
      <c r="I306" s="31">
        <v>44620</v>
      </c>
      <c r="J306" s="29" t="e">
        <f>+IF(I306&lt;=H306,"SI","NO")</f>
        <v>#REF!</v>
      </c>
      <c r="K306" s="31" t="e">
        <f>WORKDAY(D306,2,$N$2:$N$12)</f>
        <v>#REF!</v>
      </c>
      <c r="L306" s="31">
        <v>44623</v>
      </c>
      <c r="M306" s="29" t="e">
        <f t="shared" ref="M306:M320" si="67">+IF(L306&lt;=K306,"SI","NO")</f>
        <v>#REF!</v>
      </c>
      <c r="N306" s="117"/>
      <c r="O306" s="116" t="s">
        <v>7641</v>
      </c>
    </row>
    <row r="307" spans="1:18">
      <c r="A307" s="12" t="s">
        <v>6208</v>
      </c>
      <c r="B307" s="108">
        <v>2022</v>
      </c>
      <c r="C307" s="32" t="s">
        <v>7649</v>
      </c>
      <c r="D307" s="1" t="e">
        <f>VLOOKUP(A307,IMPORTS!H79:AT2090,40,0)</f>
        <v>#REF!</v>
      </c>
      <c r="E307" s="87" t="e">
        <f t="shared" si="64"/>
        <v>#REF!</v>
      </c>
      <c r="F307" s="31">
        <v>44621</v>
      </c>
      <c r="G307" s="29" t="e">
        <f t="shared" si="65"/>
        <v>#REF!</v>
      </c>
      <c r="H307" s="31" t="e">
        <f t="shared" si="66"/>
        <v>#REF!</v>
      </c>
      <c r="I307" s="31">
        <v>44621</v>
      </c>
      <c r="J307" s="29" t="e">
        <f t="shared" si="63"/>
        <v>#REF!</v>
      </c>
      <c r="K307" s="31" t="e">
        <f t="shared" ref="K307:K320" si="68">WORKDAY(D307,2,$N$2:$N$12)</f>
        <v>#REF!</v>
      </c>
      <c r="L307" s="31">
        <v>44623</v>
      </c>
      <c r="M307" s="29" t="e">
        <f t="shared" si="67"/>
        <v>#REF!</v>
      </c>
      <c r="N307" s="117"/>
      <c r="O307" s="116" t="s">
        <v>7641</v>
      </c>
    </row>
    <row r="308" spans="1:18">
      <c r="A308" s="12" t="s">
        <v>6443</v>
      </c>
      <c r="B308" s="108">
        <v>2022</v>
      </c>
      <c r="C308" s="32" t="s">
        <v>7649</v>
      </c>
      <c r="D308" s="1" t="e">
        <f>VLOOKUP(A308,IMPORTS!H80:AT2091,40,0)</f>
        <v>#REF!</v>
      </c>
      <c r="E308" s="87" t="e">
        <f t="shared" si="64"/>
        <v>#REF!</v>
      </c>
      <c r="F308" s="31">
        <v>44621</v>
      </c>
      <c r="G308" s="29" t="e">
        <f t="shared" si="65"/>
        <v>#REF!</v>
      </c>
      <c r="H308" s="31" t="e">
        <f t="shared" si="66"/>
        <v>#REF!</v>
      </c>
      <c r="I308" s="31">
        <v>44621</v>
      </c>
      <c r="J308" s="29" t="e">
        <f t="shared" si="63"/>
        <v>#REF!</v>
      </c>
      <c r="K308" s="31" t="e">
        <f t="shared" si="68"/>
        <v>#REF!</v>
      </c>
      <c r="L308" s="31">
        <v>44623</v>
      </c>
      <c r="M308" s="29" t="e">
        <f t="shared" si="67"/>
        <v>#REF!</v>
      </c>
      <c r="N308" s="117"/>
      <c r="O308" s="116" t="s">
        <v>7641</v>
      </c>
    </row>
    <row r="309" spans="1:18">
      <c r="A309" s="12" t="s">
        <v>6616</v>
      </c>
      <c r="B309" s="108">
        <v>2022</v>
      </c>
      <c r="C309" s="32" t="s">
        <v>7649</v>
      </c>
      <c r="D309" s="1" t="e">
        <f>VLOOKUP(A309,IMPORTS!H81:AT2092,40,0)</f>
        <v>#REF!</v>
      </c>
      <c r="E309" s="87" t="e">
        <f t="shared" si="64"/>
        <v>#REF!</v>
      </c>
      <c r="F309" s="31">
        <v>44620</v>
      </c>
      <c r="G309" s="29" t="e">
        <f t="shared" si="65"/>
        <v>#REF!</v>
      </c>
      <c r="H309" s="31" t="e">
        <f t="shared" si="66"/>
        <v>#REF!</v>
      </c>
      <c r="I309" s="31">
        <v>44620</v>
      </c>
      <c r="J309" s="29" t="e">
        <f t="shared" si="63"/>
        <v>#REF!</v>
      </c>
      <c r="K309" s="31" t="e">
        <f t="shared" si="68"/>
        <v>#REF!</v>
      </c>
      <c r="L309" s="31">
        <v>44623</v>
      </c>
      <c r="M309" s="29" t="e">
        <f>+IF(L309&lt;=K309,"SI","NO")</f>
        <v>#REF!</v>
      </c>
      <c r="N309" s="117"/>
      <c r="O309" s="116" t="s">
        <v>7641</v>
      </c>
    </row>
    <row r="310" spans="1:18">
      <c r="A310" s="12" t="s">
        <v>7204</v>
      </c>
      <c r="B310" s="108">
        <v>2022</v>
      </c>
      <c r="C310" s="32" t="s">
        <v>7649</v>
      </c>
      <c r="D310" s="1" t="e">
        <f>VLOOKUP(A310,IMPORTS!H82:AT2093,40,0)</f>
        <v>#REF!</v>
      </c>
      <c r="E310" s="87" t="e">
        <f t="shared" si="64"/>
        <v>#REF!</v>
      </c>
      <c r="F310" s="31">
        <v>44621</v>
      </c>
      <c r="G310" s="29" t="e">
        <f t="shared" si="65"/>
        <v>#REF!</v>
      </c>
      <c r="H310" s="31" t="e">
        <f t="shared" si="66"/>
        <v>#REF!</v>
      </c>
      <c r="I310" s="31">
        <v>44621</v>
      </c>
      <c r="J310" s="29" t="e">
        <f t="shared" si="63"/>
        <v>#REF!</v>
      </c>
      <c r="K310" s="31" t="e">
        <f t="shared" si="68"/>
        <v>#REF!</v>
      </c>
      <c r="L310" s="31">
        <v>44623</v>
      </c>
      <c r="M310" s="29" t="e">
        <f t="shared" si="67"/>
        <v>#REF!</v>
      </c>
      <c r="N310" s="117"/>
      <c r="O310" s="116" t="s">
        <v>7641</v>
      </c>
    </row>
    <row r="311" spans="1:18">
      <c r="A311" s="12" t="s">
        <v>7208</v>
      </c>
      <c r="B311" s="108">
        <v>2022</v>
      </c>
      <c r="C311" s="32" t="s">
        <v>7649</v>
      </c>
      <c r="D311" s="1" t="e">
        <f>VLOOKUP(A311,IMPORTS!H83:AT2094,40,0)</f>
        <v>#REF!</v>
      </c>
      <c r="E311" s="87" t="e">
        <f t="shared" si="64"/>
        <v>#REF!</v>
      </c>
      <c r="F311" s="31">
        <v>44623</v>
      </c>
      <c r="G311" s="29" t="e">
        <f t="shared" si="65"/>
        <v>#REF!</v>
      </c>
      <c r="H311" s="31" t="e">
        <f t="shared" si="66"/>
        <v>#REF!</v>
      </c>
      <c r="I311" s="31">
        <v>44623</v>
      </c>
      <c r="J311" s="29" t="e">
        <f t="shared" si="63"/>
        <v>#REF!</v>
      </c>
      <c r="K311" s="31" t="e">
        <f t="shared" si="68"/>
        <v>#REF!</v>
      </c>
      <c r="L311" s="31">
        <v>44623</v>
      </c>
      <c r="M311" s="29" t="e">
        <f t="shared" si="67"/>
        <v>#REF!</v>
      </c>
      <c r="N311" s="117"/>
      <c r="O311" s="116" t="s">
        <v>7641</v>
      </c>
    </row>
    <row r="312" spans="1:18">
      <c r="A312" s="12" t="s">
        <v>7064</v>
      </c>
      <c r="B312" s="108">
        <v>2022</v>
      </c>
      <c r="C312" s="32" t="s">
        <v>7649</v>
      </c>
      <c r="D312" s="1" t="e">
        <f>VLOOKUP(A312,IMPORTS!H84:AT2095,40,0)</f>
        <v>#REF!</v>
      </c>
      <c r="E312" s="87" t="e">
        <f t="shared" si="64"/>
        <v>#REF!</v>
      </c>
      <c r="F312" s="31">
        <v>44626</v>
      </c>
      <c r="G312" s="29" t="e">
        <f t="shared" si="65"/>
        <v>#REF!</v>
      </c>
      <c r="H312" s="31" t="e">
        <f t="shared" si="66"/>
        <v>#REF!</v>
      </c>
      <c r="I312" s="31">
        <v>44626</v>
      </c>
      <c r="J312" s="29" t="e">
        <f t="shared" si="63"/>
        <v>#REF!</v>
      </c>
      <c r="K312" s="31" t="e">
        <f t="shared" si="68"/>
        <v>#REF!</v>
      </c>
      <c r="L312" s="31">
        <v>44626</v>
      </c>
      <c r="M312" s="29" t="e">
        <f t="shared" si="67"/>
        <v>#REF!</v>
      </c>
      <c r="N312" s="117"/>
      <c r="O312" s="116" t="s">
        <v>7641</v>
      </c>
    </row>
    <row r="313" spans="1:18">
      <c r="A313" s="12" t="s">
        <v>6124</v>
      </c>
      <c r="B313" s="108">
        <v>2022</v>
      </c>
      <c r="C313" s="32" t="s">
        <v>7649</v>
      </c>
      <c r="D313" s="1" t="e">
        <f>VLOOKUP(A313,IMPORTS!H85:AT2096,40,0)</f>
        <v>#REF!</v>
      </c>
      <c r="E313" s="87" t="e">
        <f t="shared" si="64"/>
        <v>#REF!</v>
      </c>
      <c r="F313" s="31">
        <v>44626</v>
      </c>
      <c r="G313" s="29" t="e">
        <f t="shared" si="65"/>
        <v>#REF!</v>
      </c>
      <c r="H313" s="31" t="e">
        <f t="shared" si="66"/>
        <v>#REF!</v>
      </c>
      <c r="I313" s="31">
        <v>44628</v>
      </c>
      <c r="J313" s="29" t="e">
        <f>+IF(I313&lt;=H313,"SI","NO")</f>
        <v>#REF!</v>
      </c>
      <c r="K313" s="31" t="e">
        <f t="shared" si="68"/>
        <v>#REF!</v>
      </c>
      <c r="L313" s="31">
        <v>44628</v>
      </c>
      <c r="M313" s="29" t="e">
        <f t="shared" si="67"/>
        <v>#REF!</v>
      </c>
      <c r="N313" s="117"/>
      <c r="O313" s="116"/>
    </row>
    <row r="314" spans="1:18">
      <c r="A314" s="12" t="s">
        <v>6117</v>
      </c>
      <c r="B314" s="108">
        <v>2022</v>
      </c>
      <c r="C314" s="32" t="s">
        <v>7649</v>
      </c>
      <c r="D314" s="1" t="e">
        <f>VLOOKUP(A314,IMPORTS!H86:AT2097,40,0)</f>
        <v>#REF!</v>
      </c>
      <c r="E314" s="87" t="e">
        <f t="shared" si="64"/>
        <v>#REF!</v>
      </c>
      <c r="F314" s="31">
        <v>44626</v>
      </c>
      <c r="G314" s="29" t="e">
        <f t="shared" si="65"/>
        <v>#REF!</v>
      </c>
      <c r="H314" s="31" t="e">
        <f t="shared" si="66"/>
        <v>#REF!</v>
      </c>
      <c r="I314" s="103">
        <v>44630</v>
      </c>
      <c r="J314" s="29" t="e">
        <f>+IF(L314&lt;=H314,"SI","NO")</f>
        <v>#REF!</v>
      </c>
      <c r="K314" s="31" t="e">
        <f t="shared" si="68"/>
        <v>#REF!</v>
      </c>
      <c r="L314" s="31">
        <v>44630</v>
      </c>
      <c r="M314" s="29" t="e">
        <f>+IF(L314&lt;=K314,"SI","NO")</f>
        <v>#REF!</v>
      </c>
      <c r="N314" s="117"/>
      <c r="O314" s="116"/>
    </row>
    <row r="315" spans="1:18">
      <c r="A315" s="12" t="s">
        <v>6903</v>
      </c>
      <c r="B315" s="108">
        <v>2022</v>
      </c>
      <c r="C315" s="32" t="s">
        <v>7649</v>
      </c>
      <c r="D315" s="1" t="e">
        <f>VLOOKUP(A315,IMPORTS!H87:AT2098,40,0)</f>
        <v>#REF!</v>
      </c>
      <c r="E315" s="87" t="e">
        <f t="shared" si="64"/>
        <v>#REF!</v>
      </c>
      <c r="F315" s="31">
        <v>44626</v>
      </c>
      <c r="G315" s="29" t="e">
        <f t="shared" si="65"/>
        <v>#REF!</v>
      </c>
      <c r="H315" s="31" t="e">
        <f t="shared" si="66"/>
        <v>#REF!</v>
      </c>
      <c r="I315" s="31">
        <v>44630</v>
      </c>
      <c r="J315" s="29" t="e">
        <f t="shared" si="63"/>
        <v>#REF!</v>
      </c>
      <c r="K315" s="31" t="e">
        <f t="shared" si="68"/>
        <v>#REF!</v>
      </c>
      <c r="L315" s="103">
        <v>44630</v>
      </c>
      <c r="M315" s="29" t="e">
        <f t="shared" si="67"/>
        <v>#REF!</v>
      </c>
      <c r="N315" s="117"/>
      <c r="O315" s="116"/>
    </row>
    <row r="316" spans="1:18">
      <c r="A316" s="12" t="s">
        <v>7198</v>
      </c>
      <c r="B316" s="108">
        <v>2022</v>
      </c>
      <c r="C316" s="32" t="s">
        <v>7649</v>
      </c>
      <c r="D316" s="1" t="e">
        <f>VLOOKUP(A316,IMPORTS!H88:AT2099,40,0)</f>
        <v>#REF!</v>
      </c>
      <c r="E316" s="87" t="e">
        <f t="shared" si="64"/>
        <v>#REF!</v>
      </c>
      <c r="F316" s="31">
        <v>44626</v>
      </c>
      <c r="G316" s="29" t="e">
        <f t="shared" si="65"/>
        <v>#REF!</v>
      </c>
      <c r="H316" s="31" t="e">
        <f t="shared" si="66"/>
        <v>#REF!</v>
      </c>
      <c r="I316" s="31">
        <v>44628</v>
      </c>
      <c r="J316" s="29" t="e">
        <f t="shared" si="63"/>
        <v>#REF!</v>
      </c>
      <c r="K316" s="31" t="e">
        <f t="shared" si="68"/>
        <v>#REF!</v>
      </c>
      <c r="L316" s="31">
        <v>44648</v>
      </c>
      <c r="M316" s="29" t="e">
        <f t="shared" si="67"/>
        <v>#REF!</v>
      </c>
      <c r="N316" s="117"/>
      <c r="O316" s="116"/>
    </row>
    <row r="317" spans="1:18">
      <c r="A317" s="12" t="s">
        <v>7246</v>
      </c>
      <c r="B317" s="108">
        <v>2022</v>
      </c>
      <c r="C317" s="32" t="s">
        <v>7649</v>
      </c>
      <c r="D317" s="1" t="e">
        <f>VLOOKUP(A317,IMPORTS!H89:AT2100,40,0)</f>
        <v>#REF!</v>
      </c>
      <c r="E317" s="87" t="e">
        <f t="shared" si="64"/>
        <v>#REF!</v>
      </c>
      <c r="F317" s="31">
        <v>44629</v>
      </c>
      <c r="G317" s="29" t="e">
        <f t="shared" si="65"/>
        <v>#REF!</v>
      </c>
      <c r="H317" s="31" t="e">
        <f t="shared" si="66"/>
        <v>#REF!</v>
      </c>
      <c r="I317" s="31">
        <v>44630</v>
      </c>
      <c r="J317" s="29" t="e">
        <f t="shared" si="63"/>
        <v>#REF!</v>
      </c>
      <c r="K317" s="31" t="e">
        <f t="shared" si="68"/>
        <v>#REF!</v>
      </c>
      <c r="L317" s="31">
        <v>44648</v>
      </c>
      <c r="M317" s="29" t="e">
        <f t="shared" si="67"/>
        <v>#REF!</v>
      </c>
      <c r="N317" s="117"/>
      <c r="O317" s="116"/>
    </row>
    <row r="318" spans="1:18">
      <c r="A318" s="12" t="s">
        <v>7327</v>
      </c>
      <c r="B318" s="108">
        <v>2022</v>
      </c>
      <c r="C318" s="32" t="s">
        <v>7649</v>
      </c>
      <c r="D318" s="1" t="e">
        <f>VLOOKUP(A318,IMPORTS!H90:AT2101,40,0)</f>
        <v>#REF!</v>
      </c>
      <c r="E318" s="87" t="e">
        <f t="shared" si="64"/>
        <v>#REF!</v>
      </c>
      <c r="F318" s="31">
        <v>44635</v>
      </c>
      <c r="G318" s="29" t="e">
        <f t="shared" si="65"/>
        <v>#REF!</v>
      </c>
      <c r="H318" s="31" t="e">
        <f t="shared" si="66"/>
        <v>#REF!</v>
      </c>
      <c r="I318" s="31">
        <v>44630</v>
      </c>
      <c r="J318" s="29" t="e">
        <f t="shared" si="63"/>
        <v>#REF!</v>
      </c>
      <c r="K318" s="31" t="e">
        <f t="shared" si="68"/>
        <v>#REF!</v>
      </c>
      <c r="L318" s="31">
        <v>44648</v>
      </c>
      <c r="M318" s="29" t="e">
        <f t="shared" si="67"/>
        <v>#REF!</v>
      </c>
      <c r="N318" s="117"/>
      <c r="O318" s="118"/>
      <c r="R318" s="124"/>
    </row>
    <row r="319" spans="1:18">
      <c r="A319" s="12" t="s">
        <v>6379</v>
      </c>
      <c r="B319" s="108">
        <v>2022</v>
      </c>
      <c r="C319" s="32" t="s">
        <v>7649</v>
      </c>
      <c r="D319" s="1" t="e">
        <f>VLOOKUP(A319,IMPORTS!H91:AT2102,40,0)</f>
        <v>#REF!</v>
      </c>
      <c r="E319" s="87" t="e">
        <f t="shared" si="64"/>
        <v>#REF!</v>
      </c>
      <c r="F319" s="31">
        <v>44635</v>
      </c>
      <c r="G319" s="29" t="e">
        <f t="shared" si="65"/>
        <v>#REF!</v>
      </c>
      <c r="H319" s="31" t="e">
        <f t="shared" si="66"/>
        <v>#REF!</v>
      </c>
      <c r="I319" s="31">
        <v>44635</v>
      </c>
      <c r="J319" s="29" t="e">
        <f t="shared" si="63"/>
        <v>#REF!</v>
      </c>
      <c r="K319" s="31" t="e">
        <f t="shared" si="68"/>
        <v>#REF!</v>
      </c>
      <c r="L319" s="107" t="s">
        <v>7661</v>
      </c>
      <c r="M319" s="29" t="e">
        <f t="shared" si="67"/>
        <v>#REF!</v>
      </c>
      <c r="N319" s="117"/>
      <c r="O319" s="116"/>
      <c r="R319" s="124"/>
    </row>
    <row r="320" spans="1:18">
      <c r="A320" s="12" t="s">
        <v>6396</v>
      </c>
      <c r="B320" s="108">
        <v>2022</v>
      </c>
      <c r="C320" s="32" t="s">
        <v>7649</v>
      </c>
      <c r="D320" s="1" t="e">
        <f>VLOOKUP(A320,IMPORTS!H92:AT2103,40,0)</f>
        <v>#REF!</v>
      </c>
      <c r="E320" s="87" t="e">
        <f t="shared" si="64"/>
        <v>#REF!</v>
      </c>
      <c r="F320" s="31">
        <v>44641</v>
      </c>
      <c r="G320" s="29" t="e">
        <f t="shared" si="65"/>
        <v>#REF!</v>
      </c>
      <c r="H320" s="31" t="e">
        <f t="shared" si="66"/>
        <v>#REF!</v>
      </c>
      <c r="I320" s="31">
        <v>44641</v>
      </c>
      <c r="J320" s="29" t="e">
        <f t="shared" si="63"/>
        <v>#REF!</v>
      </c>
      <c r="K320" s="31" t="e">
        <f t="shared" si="68"/>
        <v>#REF!</v>
      </c>
      <c r="L320" s="31">
        <v>44648</v>
      </c>
      <c r="M320" s="29" t="e">
        <f t="shared" si="67"/>
        <v>#REF!</v>
      </c>
      <c r="N320" s="117"/>
      <c r="O320" s="119" t="s">
        <v>7662</v>
      </c>
      <c r="R320" s="124"/>
    </row>
    <row r="321" spans="1:18">
      <c r="A321" s="12" t="s">
        <v>7213</v>
      </c>
      <c r="B321" s="108">
        <v>2022</v>
      </c>
      <c r="C321" s="32" t="s">
        <v>7649</v>
      </c>
      <c r="D321" s="1" t="e">
        <f>VLOOKUP(A321,IMPORTS!H93:AT2104,40,0)</f>
        <v>#REF!</v>
      </c>
      <c r="E321" s="87" t="e">
        <f t="shared" si="64"/>
        <v>#REF!</v>
      </c>
      <c r="F321" s="31">
        <v>44642</v>
      </c>
      <c r="G321" s="29" t="e">
        <f t="shared" si="65"/>
        <v>#REF!</v>
      </c>
      <c r="H321" s="31" t="e">
        <f t="shared" si="66"/>
        <v>#REF!</v>
      </c>
      <c r="I321" s="31">
        <v>44641</v>
      </c>
      <c r="J321" s="29" t="e">
        <f t="shared" ref="J321:J331" si="69">+IF(I321&lt;=H321,"SI","NO")</f>
        <v>#REF!</v>
      </c>
      <c r="K321" s="31" t="e">
        <f t="shared" ref="K321:K331" si="70">WORKDAY(D321,2,$N$2:$N$12)</f>
        <v>#REF!</v>
      </c>
      <c r="L321" s="31">
        <v>44648</v>
      </c>
      <c r="M321" s="29" t="e">
        <f t="shared" ref="M321:M331" si="71">+IF(L321&lt;=K321,"SI","NO")</f>
        <v>#REF!</v>
      </c>
      <c r="N321" s="117"/>
      <c r="O321" s="116"/>
      <c r="R321" s="124"/>
    </row>
    <row r="322" spans="1:18">
      <c r="A322" s="12" t="s">
        <v>7024</v>
      </c>
      <c r="B322" s="108">
        <v>2022</v>
      </c>
      <c r="C322" s="32" t="s">
        <v>7649</v>
      </c>
      <c r="D322" s="1" t="e">
        <f>VLOOKUP(A322,IMPORTS!H94:AT2105,40,0)</f>
        <v>#REF!</v>
      </c>
      <c r="E322" s="87" t="e">
        <f t="shared" si="64"/>
        <v>#REF!</v>
      </c>
      <c r="F322" s="31">
        <v>44643</v>
      </c>
      <c r="G322" s="29" t="e">
        <f t="shared" si="65"/>
        <v>#REF!</v>
      </c>
      <c r="H322" s="31" t="e">
        <f t="shared" si="66"/>
        <v>#REF!</v>
      </c>
      <c r="I322" s="31">
        <v>44649</v>
      </c>
      <c r="J322" s="29" t="e">
        <f t="shared" si="69"/>
        <v>#REF!</v>
      </c>
      <c r="K322" s="31" t="e">
        <f>WORKDAY(D322,2,$N$2:$N$12)</f>
        <v>#REF!</v>
      </c>
      <c r="L322" s="31">
        <v>44650</v>
      </c>
      <c r="M322" s="29" t="e">
        <f t="shared" si="71"/>
        <v>#REF!</v>
      </c>
      <c r="N322" s="117"/>
      <c r="O322" s="118" t="s">
        <v>7663</v>
      </c>
      <c r="R322" s="124"/>
    </row>
    <row r="323" spans="1:18">
      <c r="A323" s="12" t="s">
        <v>7242</v>
      </c>
      <c r="B323" s="108">
        <v>2022</v>
      </c>
      <c r="C323" s="32" t="s">
        <v>7649</v>
      </c>
      <c r="D323" s="1" t="e">
        <f>VLOOKUP(A323,IMPORTS!H95:AT2106,40,0)</f>
        <v>#REF!</v>
      </c>
      <c r="E323" s="87" t="e">
        <f t="shared" si="64"/>
        <v>#REF!</v>
      </c>
      <c r="F323" s="31">
        <v>44643</v>
      </c>
      <c r="G323" s="29" t="e">
        <f t="shared" si="65"/>
        <v>#REF!</v>
      </c>
      <c r="H323" s="31" t="e">
        <f t="shared" si="66"/>
        <v>#REF!</v>
      </c>
      <c r="I323" s="31">
        <v>44648</v>
      </c>
      <c r="J323" s="29" t="e">
        <f t="shared" si="69"/>
        <v>#REF!</v>
      </c>
      <c r="K323" s="31" t="e">
        <f t="shared" si="70"/>
        <v>#REF!</v>
      </c>
      <c r="L323" s="31">
        <v>44648</v>
      </c>
      <c r="M323" s="29" t="e">
        <f t="shared" si="71"/>
        <v>#REF!</v>
      </c>
      <c r="N323" s="117"/>
      <c r="O323" s="116" t="s">
        <v>3</v>
      </c>
    </row>
    <row r="324" spans="1:18">
      <c r="A324" s="12" t="s">
        <v>6757</v>
      </c>
      <c r="B324" s="108">
        <v>2022</v>
      </c>
      <c r="C324" s="32" t="s">
        <v>7649</v>
      </c>
      <c r="D324" s="1" t="e">
        <f>VLOOKUP(A324,IMPORTS!H96:AT2107,40,0)</f>
        <v>#REF!</v>
      </c>
      <c r="E324" s="87" t="e">
        <f t="shared" si="64"/>
        <v>#REF!</v>
      </c>
      <c r="F324" s="31">
        <v>44643</v>
      </c>
      <c r="G324" s="29" t="e">
        <f t="shared" si="65"/>
        <v>#REF!</v>
      </c>
      <c r="H324" s="31" t="e">
        <f t="shared" si="66"/>
        <v>#REF!</v>
      </c>
      <c r="I324" s="31">
        <v>44648</v>
      </c>
      <c r="J324" s="29" t="e">
        <f t="shared" si="69"/>
        <v>#REF!</v>
      </c>
      <c r="K324" s="31" t="e">
        <f t="shared" si="70"/>
        <v>#REF!</v>
      </c>
      <c r="L324" s="31">
        <v>44648</v>
      </c>
      <c r="M324" s="29" t="e">
        <f t="shared" si="71"/>
        <v>#REF!</v>
      </c>
      <c r="N324" s="117"/>
      <c r="O324" s="116"/>
    </row>
    <row r="325" spans="1:18">
      <c r="A325" s="12" t="s">
        <v>6953</v>
      </c>
      <c r="B325" s="108">
        <v>2022</v>
      </c>
      <c r="C325" s="32" t="s">
        <v>7649</v>
      </c>
      <c r="D325" s="1" t="e">
        <f>VLOOKUP(A325,IMPORTS!H97:AT2108,40,0)</f>
        <v>#REF!</v>
      </c>
      <c r="E325" s="87" t="e">
        <f t="shared" ref="E325:E331" si="72">WORKDAY(D325,1,$N$2:$N$12)</f>
        <v>#REF!</v>
      </c>
      <c r="F325" s="31">
        <v>44607</v>
      </c>
      <c r="G325" s="29" t="e">
        <f t="shared" ref="G325:G331" si="73">+IF(F325&lt;=E325,"SI","NO")</f>
        <v>#REF!</v>
      </c>
      <c r="H325" s="31" t="e">
        <f t="shared" ref="H325:H331" si="74">WORKDAY(D325,2,$N$2:$N$12)</f>
        <v>#REF!</v>
      </c>
      <c r="I325" s="31">
        <v>44634</v>
      </c>
      <c r="J325" s="29" t="e">
        <f t="shared" si="69"/>
        <v>#REF!</v>
      </c>
      <c r="K325" s="31" t="e">
        <f t="shared" si="70"/>
        <v>#REF!</v>
      </c>
      <c r="L325" s="109" t="s">
        <v>7641</v>
      </c>
      <c r="M325" s="29" t="e">
        <f t="shared" si="71"/>
        <v>#REF!</v>
      </c>
      <c r="N325" s="117"/>
      <c r="O325" s="116" t="s">
        <v>7641</v>
      </c>
    </row>
    <row r="326" spans="1:18">
      <c r="A326" s="12" t="s">
        <v>7338</v>
      </c>
      <c r="B326" s="108">
        <v>2022</v>
      </c>
      <c r="C326" s="32" t="s">
        <v>7649</v>
      </c>
      <c r="D326" s="1" t="e">
        <f>VLOOKUP(A326,IMPORTS!H98:AT2109,40,0)</f>
        <v>#REF!</v>
      </c>
      <c r="E326" s="87" t="e">
        <f t="shared" si="72"/>
        <v>#REF!</v>
      </c>
      <c r="F326" s="31">
        <v>44642</v>
      </c>
      <c r="G326" s="29" t="e">
        <f t="shared" si="73"/>
        <v>#REF!</v>
      </c>
      <c r="H326" s="31" t="e">
        <f t="shared" si="74"/>
        <v>#REF!</v>
      </c>
      <c r="I326" s="31">
        <v>44642</v>
      </c>
      <c r="J326" s="29" t="e">
        <f t="shared" si="69"/>
        <v>#REF!</v>
      </c>
      <c r="K326" s="31" t="e">
        <f t="shared" si="70"/>
        <v>#REF!</v>
      </c>
      <c r="L326" s="31">
        <v>44650</v>
      </c>
      <c r="M326" s="29" t="e">
        <f t="shared" si="71"/>
        <v>#REF!</v>
      </c>
      <c r="N326" s="117"/>
      <c r="O326" s="119" t="s">
        <v>56</v>
      </c>
    </row>
    <row r="327" spans="1:18">
      <c r="A327" s="12" t="s">
        <v>7342</v>
      </c>
      <c r="B327" s="108">
        <v>2022</v>
      </c>
      <c r="C327" s="32" t="s">
        <v>7649</v>
      </c>
      <c r="D327" s="1" t="e">
        <f>VLOOKUP(A327,IMPORTS!H99:AT2110,40,0)</f>
        <v>#REF!</v>
      </c>
      <c r="E327" s="87" t="e">
        <f t="shared" si="72"/>
        <v>#REF!</v>
      </c>
      <c r="F327" s="31">
        <v>44642</v>
      </c>
      <c r="G327" s="29" t="e">
        <f t="shared" si="73"/>
        <v>#REF!</v>
      </c>
      <c r="H327" s="31" t="e">
        <f t="shared" si="74"/>
        <v>#REF!</v>
      </c>
      <c r="I327" s="31">
        <v>44642</v>
      </c>
      <c r="J327" s="29" t="e">
        <f t="shared" si="69"/>
        <v>#REF!</v>
      </c>
      <c r="K327" s="31" t="e">
        <f t="shared" si="70"/>
        <v>#REF!</v>
      </c>
      <c r="L327" s="31">
        <v>44650</v>
      </c>
      <c r="M327" s="29" t="e">
        <f t="shared" si="71"/>
        <v>#REF!</v>
      </c>
      <c r="N327" s="117"/>
      <c r="O327" s="119" t="s">
        <v>56</v>
      </c>
    </row>
    <row r="328" spans="1:18">
      <c r="A328" s="12" t="s">
        <v>7333</v>
      </c>
      <c r="B328" s="108">
        <v>2022</v>
      </c>
      <c r="C328" s="32" t="s">
        <v>7649</v>
      </c>
      <c r="D328" s="1" t="e">
        <f>VLOOKUP(A328,IMPORTS!H100:AT2111,40,0)</f>
        <v>#REF!</v>
      </c>
      <c r="E328" s="87" t="e">
        <f t="shared" si="72"/>
        <v>#REF!</v>
      </c>
      <c r="F328" s="31">
        <v>44642</v>
      </c>
      <c r="G328" s="29" t="e">
        <f t="shared" si="73"/>
        <v>#REF!</v>
      </c>
      <c r="H328" s="31" t="e">
        <f t="shared" si="74"/>
        <v>#REF!</v>
      </c>
      <c r="I328" s="31">
        <v>44642</v>
      </c>
      <c r="J328" s="29" t="e">
        <f t="shared" si="69"/>
        <v>#REF!</v>
      </c>
      <c r="K328" s="31" t="e">
        <f t="shared" si="70"/>
        <v>#REF!</v>
      </c>
      <c r="L328" s="31">
        <v>44650</v>
      </c>
      <c r="M328" s="29" t="e">
        <f t="shared" si="71"/>
        <v>#REF!</v>
      </c>
      <c r="N328" s="117"/>
      <c r="O328" s="119" t="s">
        <v>56</v>
      </c>
    </row>
    <row r="329" spans="1:18">
      <c r="A329" s="12" t="s">
        <v>6597</v>
      </c>
      <c r="B329" s="108">
        <v>2022</v>
      </c>
      <c r="C329" s="32" t="s">
        <v>7649</v>
      </c>
      <c r="D329" s="1" t="e">
        <f>VLOOKUP(A329,IMPORTS!H101:AT2112,40,0)</f>
        <v>#REF!</v>
      </c>
      <c r="E329" s="87" t="e">
        <f t="shared" si="72"/>
        <v>#REF!</v>
      </c>
      <c r="F329" s="31">
        <v>44627</v>
      </c>
      <c r="G329" s="29" t="e">
        <f t="shared" si="73"/>
        <v>#REF!</v>
      </c>
      <c r="H329" s="31" t="e">
        <f t="shared" si="74"/>
        <v>#REF!</v>
      </c>
      <c r="I329" s="31">
        <v>44655</v>
      </c>
      <c r="J329" s="29" t="e">
        <f t="shared" si="69"/>
        <v>#REF!</v>
      </c>
      <c r="K329" s="31" t="e">
        <f t="shared" si="70"/>
        <v>#REF!</v>
      </c>
      <c r="L329" s="29"/>
      <c r="M329" s="29" t="e">
        <f t="shared" si="71"/>
        <v>#REF!</v>
      </c>
      <c r="N329" s="117"/>
      <c r="O329" s="116"/>
    </row>
    <row r="330" spans="1:18">
      <c r="A330" s="12" t="s">
        <v>6791</v>
      </c>
      <c r="B330" s="108">
        <v>2022</v>
      </c>
      <c r="C330" s="32" t="s">
        <v>7649</v>
      </c>
      <c r="D330" s="1" t="e">
        <f>VLOOKUP(A330,IMPORTS!H102:AT2113,40,0)</f>
        <v>#REF!</v>
      </c>
      <c r="E330" s="87" t="e">
        <f t="shared" si="72"/>
        <v>#REF!</v>
      </c>
      <c r="F330" s="31">
        <v>44627</v>
      </c>
      <c r="G330" s="29" t="e">
        <f t="shared" si="73"/>
        <v>#REF!</v>
      </c>
      <c r="H330" s="31" t="e">
        <f t="shared" si="74"/>
        <v>#REF!</v>
      </c>
      <c r="I330" s="31">
        <v>44657</v>
      </c>
      <c r="J330" s="29" t="e">
        <f t="shared" si="69"/>
        <v>#REF!</v>
      </c>
      <c r="K330" s="31" t="e">
        <f t="shared" si="70"/>
        <v>#REF!</v>
      </c>
      <c r="L330" s="29"/>
      <c r="M330" s="29" t="e">
        <f t="shared" si="71"/>
        <v>#REF!</v>
      </c>
      <c r="N330" s="117"/>
      <c r="O330" s="116"/>
    </row>
    <row r="331" spans="1:18">
      <c r="A331" s="12" t="s">
        <v>7219</v>
      </c>
      <c r="B331" s="108">
        <v>2022</v>
      </c>
      <c r="C331" s="32" t="s">
        <v>7649</v>
      </c>
      <c r="D331" s="1" t="e">
        <f>VLOOKUP(A331,IMPORTS!H103:AT2114,40,0)</f>
        <v>#REF!</v>
      </c>
      <c r="E331" s="87" t="e">
        <f t="shared" si="72"/>
        <v>#REF!</v>
      </c>
      <c r="F331" s="31">
        <v>44643</v>
      </c>
      <c r="G331" s="29" t="e">
        <f t="shared" si="73"/>
        <v>#REF!</v>
      </c>
      <c r="H331" s="31" t="e">
        <f t="shared" si="74"/>
        <v>#REF!</v>
      </c>
      <c r="I331" s="31">
        <v>44651</v>
      </c>
      <c r="J331" s="29" t="e">
        <f t="shared" si="69"/>
        <v>#REF!</v>
      </c>
      <c r="K331" s="31" t="e">
        <f t="shared" si="70"/>
        <v>#REF!</v>
      </c>
      <c r="L331" s="31">
        <v>44651</v>
      </c>
      <c r="M331" s="29" t="e">
        <f t="shared" si="71"/>
        <v>#REF!</v>
      </c>
      <c r="N331" s="117"/>
      <c r="O331" s="116"/>
    </row>
    <row r="332" spans="1:18">
      <c r="A332" s="12" t="s">
        <v>6851</v>
      </c>
      <c r="B332" s="108">
        <v>2022</v>
      </c>
      <c r="C332" s="32" t="s">
        <v>7649</v>
      </c>
      <c r="D332" s="1" t="e">
        <f>VLOOKUP(A332,IMPORTS!H104:AT2115,40,0)</f>
        <v>#REF!</v>
      </c>
      <c r="E332" s="87" t="e">
        <f t="shared" ref="E332:E363" si="75">WORKDAY(D332,1,$N$2:$N$12)</f>
        <v>#REF!</v>
      </c>
      <c r="F332" s="31">
        <v>44627</v>
      </c>
      <c r="G332" s="29" t="e">
        <f t="shared" ref="G332:G363" si="76">+IF(F332&lt;=E332,"SI","NO")</f>
        <v>#REF!</v>
      </c>
      <c r="H332" s="31" t="e">
        <f t="shared" ref="H332:H363" si="77">WORKDAY(D332,2,$N$2:$N$12)</f>
        <v>#REF!</v>
      </c>
      <c r="I332" s="31">
        <v>44656</v>
      </c>
      <c r="J332" s="29" t="e">
        <f t="shared" ref="J332:J363" si="78">+IF(I332&lt;=H332,"SI","NO")</f>
        <v>#REF!</v>
      </c>
      <c r="K332" s="31" t="e">
        <f t="shared" ref="K332:K363" si="79">WORKDAY(D332,2,$N$2:$N$12)</f>
        <v>#REF!</v>
      </c>
      <c r="L332" s="29"/>
      <c r="M332" s="29" t="e">
        <f t="shared" ref="M332:M363" si="80">+IF(L332&lt;=K332,"SI","NO")</f>
        <v>#REF!</v>
      </c>
      <c r="N332" s="117"/>
      <c r="O332" s="119"/>
    </row>
    <row r="333" spans="1:18">
      <c r="A333" s="12" t="s">
        <v>6854</v>
      </c>
      <c r="B333" s="108">
        <v>2022</v>
      </c>
      <c r="C333" s="32" t="s">
        <v>7649</v>
      </c>
      <c r="D333" s="1" t="e">
        <f>VLOOKUP(A333,IMPORTS!H105:AT2116,40,0)</f>
        <v>#REF!</v>
      </c>
      <c r="E333" s="87" t="e">
        <f t="shared" si="75"/>
        <v>#REF!</v>
      </c>
      <c r="F333" s="31">
        <v>44627</v>
      </c>
      <c r="G333" s="29" t="e">
        <f t="shared" si="76"/>
        <v>#REF!</v>
      </c>
      <c r="H333" s="31" t="e">
        <f t="shared" si="77"/>
        <v>#REF!</v>
      </c>
      <c r="I333" s="31">
        <v>44659</v>
      </c>
      <c r="J333" s="29" t="e">
        <f t="shared" si="78"/>
        <v>#REF!</v>
      </c>
      <c r="K333" s="31" t="e">
        <f t="shared" si="79"/>
        <v>#REF!</v>
      </c>
      <c r="L333" s="29"/>
      <c r="M333" s="29" t="e">
        <f t="shared" si="80"/>
        <v>#REF!</v>
      </c>
      <c r="N333" s="117"/>
      <c r="O333" s="116"/>
    </row>
    <row r="334" spans="1:18">
      <c r="A334" s="12" t="s">
        <v>6214</v>
      </c>
      <c r="B334" s="108">
        <v>2022</v>
      </c>
      <c r="C334" s="32" t="s">
        <v>7650</v>
      </c>
      <c r="D334" s="1" t="e">
        <f>VLOOKUP(A334,IMPORTS!H1594:AT1888,40,0)</f>
        <v>#REF!</v>
      </c>
      <c r="E334" s="87" t="e">
        <f t="shared" si="75"/>
        <v>#REF!</v>
      </c>
      <c r="F334" s="31">
        <v>44657</v>
      </c>
      <c r="G334" s="29" t="e">
        <f t="shared" si="76"/>
        <v>#REF!</v>
      </c>
      <c r="H334" s="31" t="e">
        <f t="shared" si="77"/>
        <v>#REF!</v>
      </c>
      <c r="I334" s="31">
        <v>44657</v>
      </c>
      <c r="J334" s="29" t="e">
        <f t="shared" si="78"/>
        <v>#REF!</v>
      </c>
      <c r="K334" s="31" t="e">
        <f t="shared" si="79"/>
        <v>#REF!</v>
      </c>
      <c r="L334" s="29"/>
      <c r="M334" s="29" t="e">
        <f t="shared" si="80"/>
        <v>#REF!</v>
      </c>
      <c r="N334" s="117"/>
      <c r="O334" s="116" t="s">
        <v>7664</v>
      </c>
    </row>
    <row r="335" spans="1:18">
      <c r="A335" s="12" t="s">
        <v>6403</v>
      </c>
      <c r="B335" s="108">
        <v>2022</v>
      </c>
      <c r="C335" s="32" t="s">
        <v>7650</v>
      </c>
      <c r="D335" s="1" t="e">
        <f>VLOOKUP(A335,IMPORTS!H1595:AT1889,40,0)</f>
        <v>#REF!</v>
      </c>
      <c r="E335" s="87" t="e">
        <f t="shared" si="75"/>
        <v>#REF!</v>
      </c>
      <c r="F335" s="31">
        <v>44670</v>
      </c>
      <c r="G335" s="29" t="e">
        <f t="shared" si="76"/>
        <v>#REF!</v>
      </c>
      <c r="H335" s="31" t="e">
        <f t="shared" si="77"/>
        <v>#REF!</v>
      </c>
      <c r="I335" s="31">
        <v>44671</v>
      </c>
      <c r="J335" s="29" t="e">
        <f t="shared" si="78"/>
        <v>#REF!</v>
      </c>
      <c r="K335" s="31" t="e">
        <f t="shared" si="79"/>
        <v>#REF!</v>
      </c>
      <c r="L335" s="29"/>
      <c r="M335" s="29" t="e">
        <f t="shared" si="80"/>
        <v>#REF!</v>
      </c>
      <c r="N335" s="117"/>
      <c r="O335" s="116" t="s">
        <v>7665</v>
      </c>
    </row>
    <row r="336" spans="1:18">
      <c r="A336" s="12" t="s">
        <v>6634</v>
      </c>
      <c r="B336" s="108">
        <v>2022</v>
      </c>
      <c r="C336" s="32" t="s">
        <v>7650</v>
      </c>
      <c r="D336" s="1" t="e">
        <f>VLOOKUP(A336,IMPORTS!H1596:AT1890,40,0)</f>
        <v>#REF!</v>
      </c>
      <c r="E336" s="87" t="e">
        <f t="shared" si="75"/>
        <v>#REF!</v>
      </c>
      <c r="F336" s="31">
        <v>44670</v>
      </c>
      <c r="G336" s="29" t="e">
        <f t="shared" si="76"/>
        <v>#REF!</v>
      </c>
      <c r="H336" s="31" t="e">
        <f t="shared" si="77"/>
        <v>#REF!</v>
      </c>
      <c r="I336" s="31">
        <v>44659</v>
      </c>
      <c r="J336" s="29" t="e">
        <f t="shared" si="78"/>
        <v>#REF!</v>
      </c>
      <c r="K336" s="31" t="e">
        <f t="shared" si="79"/>
        <v>#REF!</v>
      </c>
      <c r="L336" s="29"/>
      <c r="M336" s="29" t="e">
        <f t="shared" si="80"/>
        <v>#REF!</v>
      </c>
      <c r="N336" s="117"/>
      <c r="O336" s="116"/>
    </row>
    <row r="337" spans="1:15">
      <c r="A337" s="12" t="s">
        <v>6701</v>
      </c>
      <c r="B337" s="108">
        <v>2022</v>
      </c>
      <c r="C337" s="32" t="s">
        <v>7650</v>
      </c>
      <c r="D337" s="1" t="e">
        <f>VLOOKUP(A337,IMPORTS!H1597:AT1891,40,0)</f>
        <v>#REF!</v>
      </c>
      <c r="E337" s="87" t="e">
        <f t="shared" si="75"/>
        <v>#REF!</v>
      </c>
      <c r="F337" s="31">
        <v>44658</v>
      </c>
      <c r="G337" s="29" t="e">
        <f t="shared" si="76"/>
        <v>#REF!</v>
      </c>
      <c r="H337" s="31" t="e">
        <f t="shared" si="77"/>
        <v>#REF!</v>
      </c>
      <c r="I337" s="31">
        <v>44658</v>
      </c>
      <c r="J337" s="29" t="e">
        <f t="shared" si="78"/>
        <v>#REF!</v>
      </c>
      <c r="K337" s="31" t="e">
        <f t="shared" si="79"/>
        <v>#REF!</v>
      </c>
      <c r="L337" s="29"/>
      <c r="M337" s="29" t="e">
        <f t="shared" si="80"/>
        <v>#REF!</v>
      </c>
      <c r="N337" s="117"/>
      <c r="O337" s="116"/>
    </row>
    <row r="338" spans="1:15">
      <c r="A338" s="12" t="s">
        <v>6791</v>
      </c>
      <c r="B338" s="108">
        <v>2022</v>
      </c>
      <c r="C338" s="32" t="s">
        <v>7650</v>
      </c>
      <c r="D338" s="1" t="e">
        <f>VLOOKUP(A338,IMPORTS!H1598:AT1892,40,0)</f>
        <v>#REF!</v>
      </c>
      <c r="E338" s="87" t="e">
        <f t="shared" si="75"/>
        <v>#REF!</v>
      </c>
      <c r="F338" s="31">
        <v>44658</v>
      </c>
      <c r="G338" s="29" t="e">
        <f t="shared" si="76"/>
        <v>#REF!</v>
      </c>
      <c r="H338" s="31" t="e">
        <f t="shared" si="77"/>
        <v>#REF!</v>
      </c>
      <c r="I338" s="31">
        <v>44657</v>
      </c>
      <c r="J338" s="29" t="e">
        <f t="shared" si="78"/>
        <v>#REF!</v>
      </c>
      <c r="K338" s="31" t="e">
        <f t="shared" si="79"/>
        <v>#REF!</v>
      </c>
      <c r="L338" s="29"/>
      <c r="M338" s="29" t="e">
        <f t="shared" si="80"/>
        <v>#REF!</v>
      </c>
      <c r="N338" s="117"/>
      <c r="O338" s="116"/>
    </row>
    <row r="339" spans="1:15">
      <c r="A339" s="12" t="s">
        <v>6851</v>
      </c>
      <c r="B339" s="108">
        <v>2022</v>
      </c>
      <c r="C339" s="32" t="s">
        <v>7650</v>
      </c>
      <c r="D339" s="1" t="e">
        <f>VLOOKUP(A339,IMPORTS!H1599:AT1893,40,0)</f>
        <v>#REF!</v>
      </c>
      <c r="E339" s="87" t="e">
        <f t="shared" si="75"/>
        <v>#REF!</v>
      </c>
      <c r="F339" s="31">
        <v>44662</v>
      </c>
      <c r="G339" s="29" t="e">
        <f t="shared" si="76"/>
        <v>#REF!</v>
      </c>
      <c r="H339" s="31" t="e">
        <f t="shared" si="77"/>
        <v>#REF!</v>
      </c>
      <c r="I339" s="31">
        <v>44656</v>
      </c>
      <c r="J339" s="29" t="e">
        <f t="shared" si="78"/>
        <v>#REF!</v>
      </c>
      <c r="K339" s="31" t="e">
        <f t="shared" si="79"/>
        <v>#REF!</v>
      </c>
      <c r="L339" s="29"/>
      <c r="M339" s="29" t="e">
        <f t="shared" si="80"/>
        <v>#REF!</v>
      </c>
      <c r="N339" s="117"/>
      <c r="O339" s="116"/>
    </row>
    <row r="340" spans="1:15">
      <c r="A340" s="12" t="s">
        <v>6854</v>
      </c>
      <c r="B340" s="108">
        <v>2022</v>
      </c>
      <c r="C340" s="32" t="s">
        <v>7650</v>
      </c>
      <c r="D340" s="1" t="e">
        <f>VLOOKUP(A340,IMPORTS!H1600:AT1894,40,0)</f>
        <v>#REF!</v>
      </c>
      <c r="E340" s="87" t="e">
        <f t="shared" si="75"/>
        <v>#REF!</v>
      </c>
      <c r="F340" s="31">
        <v>44627</v>
      </c>
      <c r="G340" s="29" t="e">
        <f t="shared" si="76"/>
        <v>#REF!</v>
      </c>
      <c r="H340" s="31" t="e">
        <f t="shared" si="77"/>
        <v>#REF!</v>
      </c>
      <c r="I340" s="31">
        <v>44659</v>
      </c>
      <c r="J340" s="29" t="e">
        <f t="shared" si="78"/>
        <v>#REF!</v>
      </c>
      <c r="K340" s="31" t="e">
        <f t="shared" si="79"/>
        <v>#REF!</v>
      </c>
      <c r="L340" s="29"/>
      <c r="M340" s="29" t="e">
        <f t="shared" si="80"/>
        <v>#REF!</v>
      </c>
      <c r="N340" s="117"/>
      <c r="O340" s="116"/>
    </row>
    <row r="341" spans="1:15">
      <c r="A341" s="12" t="s">
        <v>6976</v>
      </c>
      <c r="B341" s="108">
        <v>2022</v>
      </c>
      <c r="C341" s="32" t="s">
        <v>7650</v>
      </c>
      <c r="D341" s="1" t="e">
        <f>VLOOKUP(A341,IMPORTS!H1601:AT1895,40,0)</f>
        <v>#REF!</v>
      </c>
      <c r="E341" s="87" t="e">
        <f t="shared" si="75"/>
        <v>#REF!</v>
      </c>
      <c r="F341" s="31">
        <v>44627</v>
      </c>
      <c r="G341" s="29" t="e">
        <f t="shared" si="76"/>
        <v>#REF!</v>
      </c>
      <c r="H341" s="31" t="e">
        <f t="shared" si="77"/>
        <v>#REF!</v>
      </c>
      <c r="I341" s="31">
        <v>44670</v>
      </c>
      <c r="J341" s="29" t="e">
        <f t="shared" si="78"/>
        <v>#REF!</v>
      </c>
      <c r="K341" s="31" t="e">
        <f t="shared" si="79"/>
        <v>#REF!</v>
      </c>
      <c r="L341" s="29"/>
      <c r="M341" s="29" t="e">
        <f t="shared" si="80"/>
        <v>#REF!</v>
      </c>
      <c r="N341" s="117"/>
      <c r="O341" s="116" t="s">
        <v>7666</v>
      </c>
    </row>
    <row r="342" spans="1:15">
      <c r="A342" s="12" t="s">
        <v>7034</v>
      </c>
      <c r="B342" s="108">
        <v>2022</v>
      </c>
      <c r="C342" s="32" t="s">
        <v>7650</v>
      </c>
      <c r="D342" s="1" t="e">
        <f>VLOOKUP(A342,IMPORTS!H1602:AT1896,40,0)</f>
        <v>#REF!</v>
      </c>
      <c r="E342" s="87" t="e">
        <f t="shared" si="75"/>
        <v>#REF!</v>
      </c>
      <c r="F342" s="31">
        <v>44662</v>
      </c>
      <c r="G342" s="29" t="e">
        <f t="shared" si="76"/>
        <v>#REF!</v>
      </c>
      <c r="H342" s="31" t="e">
        <f t="shared" si="77"/>
        <v>#REF!</v>
      </c>
      <c r="I342" s="31">
        <v>44670</v>
      </c>
      <c r="J342" s="29" t="e">
        <f t="shared" si="78"/>
        <v>#REF!</v>
      </c>
      <c r="K342" s="31" t="e">
        <f t="shared" si="79"/>
        <v>#REF!</v>
      </c>
      <c r="L342" s="29"/>
      <c r="M342" s="29" t="e">
        <f t="shared" si="80"/>
        <v>#REF!</v>
      </c>
      <c r="N342" s="117"/>
      <c r="O342" s="116" t="s">
        <v>7666</v>
      </c>
    </row>
    <row r="343" spans="1:15">
      <c r="A343" s="12" t="s">
        <v>7042</v>
      </c>
      <c r="B343" s="108">
        <v>2022</v>
      </c>
      <c r="C343" s="32" t="s">
        <v>7650</v>
      </c>
      <c r="D343" s="1" t="e">
        <f>VLOOKUP(A343,IMPORTS!H1603:AT1897,40,0)</f>
        <v>#REF!</v>
      </c>
      <c r="E343" s="87" t="e">
        <f t="shared" si="75"/>
        <v>#REF!</v>
      </c>
      <c r="F343" s="31">
        <v>44662</v>
      </c>
      <c r="G343" s="29" t="e">
        <f t="shared" si="76"/>
        <v>#REF!</v>
      </c>
      <c r="H343" s="31" t="e">
        <f t="shared" si="77"/>
        <v>#REF!</v>
      </c>
      <c r="I343" s="31">
        <v>44671</v>
      </c>
      <c r="J343" s="29" t="e">
        <f t="shared" si="78"/>
        <v>#REF!</v>
      </c>
      <c r="K343" s="31" t="e">
        <f t="shared" si="79"/>
        <v>#REF!</v>
      </c>
      <c r="L343" s="29"/>
      <c r="M343" s="29" t="e">
        <f t="shared" si="80"/>
        <v>#REF!</v>
      </c>
      <c r="N343" s="117"/>
      <c r="O343" s="116" t="s">
        <v>7666</v>
      </c>
    </row>
    <row r="344" spans="1:15">
      <c r="A344" s="12" t="s">
        <v>7049</v>
      </c>
      <c r="B344" s="108">
        <v>2022</v>
      </c>
      <c r="C344" s="32" t="s">
        <v>7650</v>
      </c>
      <c r="D344" s="1" t="e">
        <f>VLOOKUP(A344,IMPORTS!H1604:AT1898,40,0)</f>
        <v>#REF!</v>
      </c>
      <c r="E344" s="87" t="e">
        <f t="shared" si="75"/>
        <v>#REF!</v>
      </c>
      <c r="F344" s="31">
        <v>44670</v>
      </c>
      <c r="G344" s="29" t="e">
        <f t="shared" si="76"/>
        <v>#REF!</v>
      </c>
      <c r="H344" s="31" t="e">
        <f t="shared" si="77"/>
        <v>#REF!</v>
      </c>
      <c r="I344" s="31">
        <v>44676</v>
      </c>
      <c r="J344" s="29" t="e">
        <f t="shared" si="78"/>
        <v>#REF!</v>
      </c>
      <c r="K344" s="31" t="e">
        <f t="shared" si="79"/>
        <v>#REF!</v>
      </c>
      <c r="L344" s="29"/>
      <c r="M344" s="29" t="e">
        <f t="shared" si="80"/>
        <v>#REF!</v>
      </c>
      <c r="N344" s="117"/>
      <c r="O344" s="116" t="s">
        <v>6087</v>
      </c>
    </row>
    <row r="345" spans="1:15">
      <c r="A345" s="12" t="s">
        <v>7079</v>
      </c>
      <c r="B345" s="108">
        <v>2022</v>
      </c>
      <c r="C345" s="32" t="s">
        <v>7650</v>
      </c>
      <c r="D345" s="1" t="e">
        <f>VLOOKUP(A345,IMPORTS!H1605:AT1899,40,0)</f>
        <v>#REF!</v>
      </c>
      <c r="E345" s="87" t="e">
        <f t="shared" si="75"/>
        <v>#REF!</v>
      </c>
      <c r="F345" s="31">
        <v>44672</v>
      </c>
      <c r="G345" s="29" t="e">
        <f t="shared" si="76"/>
        <v>#REF!</v>
      </c>
      <c r="H345" s="31" t="e">
        <f t="shared" si="77"/>
        <v>#REF!</v>
      </c>
      <c r="I345" s="31">
        <v>44672</v>
      </c>
      <c r="J345" s="29" t="e">
        <f t="shared" si="78"/>
        <v>#REF!</v>
      </c>
      <c r="K345" s="31" t="e">
        <f t="shared" si="79"/>
        <v>#REF!</v>
      </c>
      <c r="L345" s="29"/>
      <c r="M345" s="29" t="e">
        <f t="shared" si="80"/>
        <v>#REF!</v>
      </c>
      <c r="N345" s="117"/>
      <c r="O345" s="116"/>
    </row>
    <row r="346" spans="1:15">
      <c r="A346" s="12" t="s">
        <v>7085</v>
      </c>
      <c r="B346" s="108">
        <v>2022</v>
      </c>
      <c r="C346" s="32" t="s">
        <v>7650</v>
      </c>
      <c r="D346" s="1" t="e">
        <f>VLOOKUP(A346,IMPORTS!H1606:AT1900,40,0)</f>
        <v>#REF!</v>
      </c>
      <c r="E346" s="87" t="e">
        <f t="shared" si="75"/>
        <v>#REF!</v>
      </c>
      <c r="F346" s="31">
        <v>44670</v>
      </c>
      <c r="G346" s="29" t="e">
        <f t="shared" si="76"/>
        <v>#REF!</v>
      </c>
      <c r="H346" s="31" t="e">
        <f t="shared" si="77"/>
        <v>#REF!</v>
      </c>
      <c r="I346" s="31">
        <v>44672</v>
      </c>
      <c r="J346" s="29" t="e">
        <f t="shared" si="78"/>
        <v>#REF!</v>
      </c>
      <c r="K346" s="31" t="e">
        <f t="shared" si="79"/>
        <v>#REF!</v>
      </c>
      <c r="L346" s="29"/>
      <c r="M346" s="29" t="e">
        <f t="shared" si="80"/>
        <v>#REF!</v>
      </c>
      <c r="N346" s="117"/>
      <c r="O346" s="116"/>
    </row>
    <row r="347" spans="1:15">
      <c r="A347" s="12" t="s">
        <v>7125</v>
      </c>
      <c r="B347" s="108">
        <v>2022</v>
      </c>
      <c r="C347" s="32" t="s">
        <v>7650</v>
      </c>
      <c r="D347" s="1" t="e">
        <f>VLOOKUP(A347,IMPORTS!H1607:AT1901,40,0)</f>
        <v>#REF!</v>
      </c>
      <c r="E347" s="87" t="e">
        <f t="shared" si="75"/>
        <v>#REF!</v>
      </c>
      <c r="F347" s="31">
        <v>44671</v>
      </c>
      <c r="G347" s="29" t="e">
        <f t="shared" si="76"/>
        <v>#REF!</v>
      </c>
      <c r="H347" s="31" t="e">
        <f t="shared" si="77"/>
        <v>#REF!</v>
      </c>
      <c r="I347" s="31">
        <v>44658</v>
      </c>
      <c r="J347" s="29" t="e">
        <f t="shared" si="78"/>
        <v>#REF!</v>
      </c>
      <c r="K347" s="31" t="e">
        <f t="shared" si="79"/>
        <v>#REF!</v>
      </c>
      <c r="L347" s="29"/>
      <c r="M347" s="29" t="e">
        <f t="shared" si="80"/>
        <v>#REF!</v>
      </c>
      <c r="N347" s="117"/>
      <c r="O347" s="116"/>
    </row>
    <row r="348" spans="1:15">
      <c r="A348" s="12" t="s">
        <v>7133</v>
      </c>
      <c r="B348" s="108">
        <v>2022</v>
      </c>
      <c r="C348" s="32" t="s">
        <v>7650</v>
      </c>
      <c r="D348" s="1" t="e">
        <f>VLOOKUP(A348,IMPORTS!H1608:AT1902,40,0)</f>
        <v>#REF!</v>
      </c>
      <c r="E348" s="87" t="e">
        <f t="shared" si="75"/>
        <v>#REF!</v>
      </c>
      <c r="F348" s="31">
        <v>44657</v>
      </c>
      <c r="G348" s="29" t="e">
        <f t="shared" si="76"/>
        <v>#REF!</v>
      </c>
      <c r="H348" s="31" t="e">
        <f t="shared" si="77"/>
        <v>#REF!</v>
      </c>
      <c r="I348" s="31">
        <v>44656</v>
      </c>
      <c r="J348" s="29" t="e">
        <f t="shared" si="78"/>
        <v>#REF!</v>
      </c>
      <c r="K348" s="31" t="e">
        <f t="shared" si="79"/>
        <v>#REF!</v>
      </c>
      <c r="L348" s="29"/>
      <c r="M348" s="29" t="e">
        <f t="shared" si="80"/>
        <v>#REF!</v>
      </c>
      <c r="N348" s="117"/>
      <c r="O348" s="116"/>
    </row>
    <row r="349" spans="1:15">
      <c r="A349" s="12" t="s">
        <v>7223</v>
      </c>
      <c r="B349" s="108">
        <v>2022</v>
      </c>
      <c r="C349" s="32" t="s">
        <v>7650</v>
      </c>
      <c r="D349" s="1" t="e">
        <f>VLOOKUP(A349,IMPORTS!H1609:AT1903,40,0)</f>
        <v>#REF!</v>
      </c>
      <c r="E349" s="87" t="e">
        <f t="shared" si="75"/>
        <v>#REF!</v>
      </c>
      <c r="F349" s="31">
        <v>44656</v>
      </c>
      <c r="G349" s="29" t="e">
        <f t="shared" si="76"/>
        <v>#REF!</v>
      </c>
      <c r="H349" s="31" t="e">
        <f t="shared" si="77"/>
        <v>#REF!</v>
      </c>
      <c r="I349" s="31">
        <v>44672</v>
      </c>
      <c r="J349" s="29" t="e">
        <f t="shared" si="78"/>
        <v>#REF!</v>
      </c>
      <c r="K349" s="31" t="e">
        <f t="shared" si="79"/>
        <v>#REF!</v>
      </c>
      <c r="L349" s="29"/>
      <c r="M349" s="29" t="e">
        <f t="shared" si="80"/>
        <v>#REF!</v>
      </c>
      <c r="N349" s="117"/>
      <c r="O349" s="116"/>
    </row>
    <row r="350" spans="1:15">
      <c r="A350" s="12" t="s">
        <v>7228</v>
      </c>
      <c r="B350" s="108">
        <v>2022</v>
      </c>
      <c r="C350" s="32" t="s">
        <v>7650</v>
      </c>
      <c r="D350" s="1" t="e">
        <f>VLOOKUP(A350,IMPORTS!H1610:AT1904,40,0)</f>
        <v>#REF!</v>
      </c>
      <c r="E350" s="87" t="e">
        <f t="shared" si="75"/>
        <v>#REF!</v>
      </c>
      <c r="F350" s="31">
        <v>44670</v>
      </c>
      <c r="G350" s="29" t="e">
        <f t="shared" si="76"/>
        <v>#REF!</v>
      </c>
      <c r="H350" s="31" t="e">
        <f t="shared" si="77"/>
        <v>#REF!</v>
      </c>
      <c r="I350" s="31">
        <v>44672</v>
      </c>
      <c r="J350" s="29" t="e">
        <f t="shared" si="78"/>
        <v>#REF!</v>
      </c>
      <c r="K350" s="31" t="e">
        <f t="shared" si="79"/>
        <v>#REF!</v>
      </c>
      <c r="L350" s="29"/>
      <c r="M350" s="29" t="e">
        <f t="shared" si="80"/>
        <v>#REF!</v>
      </c>
      <c r="N350" s="117"/>
      <c r="O350" s="116"/>
    </row>
    <row r="351" spans="1:15">
      <c r="A351" s="12" t="s">
        <v>7232</v>
      </c>
      <c r="B351" s="108">
        <v>2022</v>
      </c>
      <c r="C351" s="32" t="s">
        <v>7650</v>
      </c>
      <c r="D351" s="1" t="e">
        <f>VLOOKUP(A351,IMPORTS!H1611:AT1905,40,0)</f>
        <v>#REF!</v>
      </c>
      <c r="E351" s="87" t="e">
        <f t="shared" si="75"/>
        <v>#REF!</v>
      </c>
      <c r="F351" s="31">
        <v>44670</v>
      </c>
      <c r="G351" s="29" t="e">
        <f t="shared" si="76"/>
        <v>#REF!</v>
      </c>
      <c r="H351" s="31" t="e">
        <f t="shared" si="77"/>
        <v>#REF!</v>
      </c>
      <c r="I351" s="31">
        <v>44672</v>
      </c>
      <c r="J351" s="29" t="e">
        <f t="shared" si="78"/>
        <v>#REF!</v>
      </c>
      <c r="K351" s="31" t="e">
        <f t="shared" si="79"/>
        <v>#REF!</v>
      </c>
      <c r="L351" s="29"/>
      <c r="M351" s="29" t="e">
        <f t="shared" si="80"/>
        <v>#REF!</v>
      </c>
      <c r="N351" s="117"/>
      <c r="O351" s="116" t="s">
        <v>7666</v>
      </c>
    </row>
    <row r="352" spans="1:15">
      <c r="A352" s="12" t="s">
        <v>7238</v>
      </c>
      <c r="B352" s="108">
        <v>2022</v>
      </c>
      <c r="C352" s="32" t="s">
        <v>7650</v>
      </c>
      <c r="D352" s="1" t="e">
        <f>VLOOKUP(A352,IMPORTS!H1612:AT1906,40,0)</f>
        <v>#REF!</v>
      </c>
      <c r="E352" s="87" t="e">
        <f t="shared" si="75"/>
        <v>#REF!</v>
      </c>
      <c r="F352" s="31">
        <v>44662</v>
      </c>
      <c r="G352" s="29" t="e">
        <f t="shared" si="76"/>
        <v>#REF!</v>
      </c>
      <c r="H352" s="31" t="e">
        <f>WORKDAY(D352,2,$N$2:$N$12)</f>
        <v>#REF!</v>
      </c>
      <c r="I352" s="31">
        <v>44672</v>
      </c>
      <c r="J352" s="29" t="e">
        <f t="shared" si="78"/>
        <v>#REF!</v>
      </c>
      <c r="K352" s="31" t="e">
        <f t="shared" si="79"/>
        <v>#REF!</v>
      </c>
      <c r="L352" s="29"/>
      <c r="M352" s="29" t="e">
        <f t="shared" si="80"/>
        <v>#REF!</v>
      </c>
      <c r="N352" s="117"/>
      <c r="O352" s="116"/>
    </row>
    <row r="353" spans="1:15">
      <c r="A353" s="12" t="s">
        <v>7286</v>
      </c>
      <c r="B353" s="108">
        <v>2022</v>
      </c>
      <c r="C353" s="32" t="s">
        <v>7650</v>
      </c>
      <c r="D353" s="1" t="e">
        <f>VLOOKUP(A353,IMPORTS!H1613:AT1907,40,0)</f>
        <v>#REF!</v>
      </c>
      <c r="E353" s="87" t="e">
        <f t="shared" si="75"/>
        <v>#REF!</v>
      </c>
      <c r="F353" s="31">
        <v>44671</v>
      </c>
      <c r="G353" s="29" t="e">
        <f t="shared" si="76"/>
        <v>#REF!</v>
      </c>
      <c r="H353" s="31" t="e">
        <f t="shared" si="77"/>
        <v>#REF!</v>
      </c>
      <c r="I353" s="31">
        <v>44673</v>
      </c>
      <c r="J353" s="29" t="e">
        <f t="shared" si="78"/>
        <v>#REF!</v>
      </c>
      <c r="K353" s="31" t="e">
        <f t="shared" si="79"/>
        <v>#REF!</v>
      </c>
      <c r="L353" s="29"/>
      <c r="M353" s="29" t="e">
        <f t="shared" si="80"/>
        <v>#REF!</v>
      </c>
      <c r="N353" s="117"/>
      <c r="O353" s="116" t="s">
        <v>7666</v>
      </c>
    </row>
    <row r="354" spans="1:15">
      <c r="A354" s="12" t="s">
        <v>7301</v>
      </c>
      <c r="B354" s="108">
        <v>2022</v>
      </c>
      <c r="C354" s="32" t="s">
        <v>7650</v>
      </c>
      <c r="D354" s="1" t="e">
        <f>VLOOKUP(A354,IMPORTS!H1614:AT1908,40,0)</f>
        <v>#REF!</v>
      </c>
      <c r="E354" s="87" t="e">
        <f t="shared" si="75"/>
        <v>#REF!</v>
      </c>
      <c r="F354" s="31">
        <v>44672</v>
      </c>
      <c r="G354" s="29" t="e">
        <f t="shared" si="76"/>
        <v>#REF!</v>
      </c>
      <c r="H354" s="31" t="e">
        <f t="shared" si="77"/>
        <v>#REF!</v>
      </c>
      <c r="I354" s="31">
        <v>44662</v>
      </c>
      <c r="J354" s="29" t="e">
        <f t="shared" si="78"/>
        <v>#REF!</v>
      </c>
      <c r="K354" s="31" t="e">
        <f t="shared" si="79"/>
        <v>#REF!</v>
      </c>
      <c r="L354" s="29"/>
      <c r="M354" s="29" t="e">
        <f t="shared" si="80"/>
        <v>#REF!</v>
      </c>
      <c r="N354" s="117"/>
      <c r="O354" s="116"/>
    </row>
    <row r="355" spans="1:15">
      <c r="A355" s="12" t="s">
        <v>7306</v>
      </c>
      <c r="B355" s="108">
        <v>2022</v>
      </c>
      <c r="C355" s="32" t="s">
        <v>7650</v>
      </c>
      <c r="D355" s="1" t="e">
        <f>VLOOKUP(A355,IMPORTS!H1615:AT1909,40,0)</f>
        <v>#REF!</v>
      </c>
      <c r="E355" s="87" t="e">
        <f t="shared" si="75"/>
        <v>#REF!</v>
      </c>
      <c r="F355" s="31">
        <v>44662</v>
      </c>
      <c r="G355" s="29" t="e">
        <f t="shared" si="76"/>
        <v>#REF!</v>
      </c>
      <c r="H355" s="31" t="e">
        <f t="shared" si="77"/>
        <v>#REF!</v>
      </c>
      <c r="I355" s="31">
        <v>44670</v>
      </c>
      <c r="J355" s="29" t="e">
        <f t="shared" si="78"/>
        <v>#REF!</v>
      </c>
      <c r="K355" s="31" t="e">
        <f t="shared" si="79"/>
        <v>#REF!</v>
      </c>
      <c r="L355" s="29"/>
      <c r="M355" s="29" t="e">
        <f t="shared" si="80"/>
        <v>#REF!</v>
      </c>
      <c r="N355" s="117"/>
      <c r="O355" s="116"/>
    </row>
    <row r="356" spans="1:15">
      <c r="A356" s="12" t="s">
        <v>7314</v>
      </c>
      <c r="B356" s="108">
        <v>2022</v>
      </c>
      <c r="C356" s="32" t="s">
        <v>7650</v>
      </c>
      <c r="D356" s="1" t="e">
        <f>VLOOKUP(A356,IMPORTS!H1616:AT1910,40,0)</f>
        <v>#REF!</v>
      </c>
      <c r="E356" s="87" t="e">
        <f t="shared" si="75"/>
        <v>#REF!</v>
      </c>
      <c r="F356" s="31">
        <v>44670</v>
      </c>
      <c r="G356" s="29" t="e">
        <f t="shared" si="76"/>
        <v>#REF!</v>
      </c>
      <c r="H356" s="31" t="e">
        <f t="shared" si="77"/>
        <v>#REF!</v>
      </c>
      <c r="I356" s="31">
        <v>44670</v>
      </c>
      <c r="J356" s="29" t="e">
        <f t="shared" si="78"/>
        <v>#REF!</v>
      </c>
      <c r="K356" s="31" t="e">
        <f t="shared" si="79"/>
        <v>#REF!</v>
      </c>
      <c r="L356" s="29"/>
      <c r="M356" s="29" t="e">
        <f t="shared" si="80"/>
        <v>#REF!</v>
      </c>
      <c r="N356" s="117"/>
      <c r="O356" s="116"/>
    </row>
    <row r="357" spans="1:15">
      <c r="A357" s="12" t="s">
        <v>7361</v>
      </c>
      <c r="B357" s="108">
        <v>2022</v>
      </c>
      <c r="C357" s="32" t="s">
        <v>7650</v>
      </c>
      <c r="D357" s="1" t="e">
        <f>VLOOKUP(A357,IMPORTS!H1617:AT1911,40,0)</f>
        <v>#REF!</v>
      </c>
      <c r="E357" s="87" t="e">
        <f t="shared" si="75"/>
        <v>#REF!</v>
      </c>
      <c r="F357" s="31">
        <v>44670</v>
      </c>
      <c r="G357" s="29" t="e">
        <f t="shared" si="76"/>
        <v>#REF!</v>
      </c>
      <c r="H357" s="31" t="e">
        <f t="shared" si="77"/>
        <v>#REF!</v>
      </c>
      <c r="I357" s="31">
        <v>44673</v>
      </c>
      <c r="J357" s="29" t="e">
        <f t="shared" si="78"/>
        <v>#REF!</v>
      </c>
      <c r="K357" s="31" t="e">
        <f t="shared" si="79"/>
        <v>#REF!</v>
      </c>
      <c r="L357" s="29"/>
      <c r="M357" s="29" t="e">
        <f t="shared" si="80"/>
        <v>#REF!</v>
      </c>
      <c r="N357" s="117"/>
      <c r="O357" s="116"/>
    </row>
    <row r="358" spans="1:15">
      <c r="A358" s="12" t="s">
        <v>7371</v>
      </c>
      <c r="B358" s="108">
        <v>2022</v>
      </c>
      <c r="C358" s="32" t="s">
        <v>7650</v>
      </c>
      <c r="D358" s="1" t="e">
        <f>VLOOKUP(A358,IMPORTS!H1618:AT1912,40,0)</f>
        <v>#REF!</v>
      </c>
      <c r="E358" s="87" t="e">
        <f t="shared" si="75"/>
        <v>#REF!</v>
      </c>
      <c r="F358" s="31">
        <v>44672</v>
      </c>
      <c r="G358" s="29" t="e">
        <f t="shared" si="76"/>
        <v>#REF!</v>
      </c>
      <c r="H358" s="31" t="e">
        <f t="shared" si="77"/>
        <v>#REF!</v>
      </c>
      <c r="I358" s="31">
        <v>44673</v>
      </c>
      <c r="J358" s="29" t="e">
        <f t="shared" si="78"/>
        <v>#REF!</v>
      </c>
      <c r="K358" s="31" t="e">
        <f t="shared" si="79"/>
        <v>#REF!</v>
      </c>
      <c r="L358" s="29"/>
      <c r="M358" s="29" t="e">
        <f t="shared" si="80"/>
        <v>#REF!</v>
      </c>
      <c r="N358" s="117"/>
      <c r="O358" s="116"/>
    </row>
    <row r="359" spans="1:15">
      <c r="A359" s="12" t="s">
        <v>7375</v>
      </c>
      <c r="B359" s="108">
        <v>2022</v>
      </c>
      <c r="C359" s="32" t="s">
        <v>7650</v>
      </c>
      <c r="D359" s="1" t="e">
        <f>VLOOKUP(A359,IMPORTS!H1619:AT1913,40,0)</f>
        <v>#REF!</v>
      </c>
      <c r="E359" s="87" t="e">
        <f t="shared" si="75"/>
        <v>#REF!</v>
      </c>
      <c r="F359" s="31">
        <v>44676</v>
      </c>
      <c r="G359" s="29" t="e">
        <f t="shared" si="76"/>
        <v>#REF!</v>
      </c>
      <c r="H359" s="31" t="e">
        <f t="shared" si="77"/>
        <v>#REF!</v>
      </c>
      <c r="I359" s="31">
        <v>44677</v>
      </c>
      <c r="J359" s="29" t="e">
        <f t="shared" si="78"/>
        <v>#REF!</v>
      </c>
      <c r="K359" s="31" t="e">
        <f t="shared" si="79"/>
        <v>#REF!</v>
      </c>
      <c r="L359" s="29"/>
      <c r="M359" s="29" t="e">
        <f t="shared" si="80"/>
        <v>#REF!</v>
      </c>
      <c r="N359" s="117"/>
      <c r="O359" s="116"/>
    </row>
    <row r="360" spans="1:15">
      <c r="A360" s="12" t="s">
        <v>7405</v>
      </c>
      <c r="B360" s="108">
        <v>2022</v>
      </c>
      <c r="C360" s="32" t="s">
        <v>7650</v>
      </c>
      <c r="D360" s="1" t="e">
        <f>VLOOKUP(A360,IMPORTS!H1620:AT1914,40,0)</f>
        <v>#REF!</v>
      </c>
      <c r="E360" s="87" t="e">
        <f t="shared" si="75"/>
        <v>#REF!</v>
      </c>
      <c r="F360" s="31">
        <v>44670</v>
      </c>
      <c r="G360" s="29" t="e">
        <f t="shared" si="76"/>
        <v>#REF!</v>
      </c>
      <c r="H360" s="31" t="e">
        <f t="shared" si="77"/>
        <v>#REF!</v>
      </c>
      <c r="I360" s="31">
        <v>44670</v>
      </c>
      <c r="J360" s="29" t="e">
        <f t="shared" si="78"/>
        <v>#REF!</v>
      </c>
      <c r="K360" s="31" t="e">
        <f t="shared" si="79"/>
        <v>#REF!</v>
      </c>
      <c r="L360" s="29"/>
      <c r="M360" s="29" t="e">
        <f t="shared" si="80"/>
        <v>#REF!</v>
      </c>
      <c r="N360" s="117"/>
      <c r="O360" s="116"/>
    </row>
    <row r="361" spans="1:15">
      <c r="A361" s="112" t="s">
        <v>6384</v>
      </c>
      <c r="B361" s="108">
        <v>2022</v>
      </c>
      <c r="C361" s="32" t="s">
        <v>7650</v>
      </c>
      <c r="D361" s="1" t="e">
        <f>VLOOKUP(A361,IMPORTS!H1621:AT1915,40,0)</f>
        <v>#REF!</v>
      </c>
      <c r="E361" s="87" t="e">
        <f t="shared" si="75"/>
        <v>#REF!</v>
      </c>
      <c r="F361" s="31">
        <v>44672</v>
      </c>
      <c r="G361" s="29" t="e">
        <f t="shared" si="76"/>
        <v>#REF!</v>
      </c>
      <c r="H361" s="31" t="e">
        <f t="shared" si="77"/>
        <v>#REF!</v>
      </c>
      <c r="I361" s="31">
        <v>44671</v>
      </c>
      <c r="J361" s="29" t="e">
        <f t="shared" si="78"/>
        <v>#REF!</v>
      </c>
      <c r="K361" s="31" t="e">
        <f t="shared" si="79"/>
        <v>#REF!</v>
      </c>
      <c r="L361" s="29"/>
      <c r="M361" s="29" t="e">
        <f t="shared" si="80"/>
        <v>#REF!</v>
      </c>
      <c r="N361" s="117"/>
      <c r="O361" s="116"/>
    </row>
    <row r="362" spans="1:15">
      <c r="A362" s="112" t="s">
        <v>6855</v>
      </c>
      <c r="B362" s="108">
        <v>2022</v>
      </c>
      <c r="C362" s="32" t="s">
        <v>7650</v>
      </c>
      <c r="D362" s="1" t="e">
        <f>VLOOKUP(A362,IMPORTS!H1622:AT1916,40,0)</f>
        <v>#REF!</v>
      </c>
      <c r="E362" s="87" t="e">
        <f t="shared" si="75"/>
        <v>#REF!</v>
      </c>
      <c r="F362" s="31">
        <v>44672</v>
      </c>
      <c r="G362" s="29" t="e">
        <f t="shared" si="76"/>
        <v>#REF!</v>
      </c>
      <c r="H362" s="31" t="e">
        <f t="shared" si="77"/>
        <v>#REF!</v>
      </c>
      <c r="I362" s="31">
        <v>44686</v>
      </c>
      <c r="J362" s="29" t="e">
        <f t="shared" si="78"/>
        <v>#REF!</v>
      </c>
      <c r="K362" s="31" t="e">
        <f t="shared" si="79"/>
        <v>#REF!</v>
      </c>
      <c r="L362" s="29"/>
      <c r="M362" s="29" t="e">
        <f t="shared" si="80"/>
        <v>#REF!</v>
      </c>
      <c r="N362" s="117"/>
      <c r="O362" s="116"/>
    </row>
    <row r="363" spans="1:15">
      <c r="A363" s="112" t="s">
        <v>6859</v>
      </c>
      <c r="B363" s="108">
        <v>2022</v>
      </c>
      <c r="C363" s="32" t="s">
        <v>7650</v>
      </c>
      <c r="D363" s="1" t="e">
        <f>VLOOKUP(A363,IMPORTS!H1623:AT1917,40,0)</f>
        <v>#REF!</v>
      </c>
      <c r="E363" s="87" t="e">
        <f t="shared" si="75"/>
        <v>#REF!</v>
      </c>
      <c r="F363" s="31">
        <v>44672</v>
      </c>
      <c r="G363" s="29" t="e">
        <f t="shared" si="76"/>
        <v>#REF!</v>
      </c>
      <c r="H363" s="31" t="e">
        <f t="shared" si="77"/>
        <v>#REF!</v>
      </c>
      <c r="I363" s="31">
        <v>44678</v>
      </c>
      <c r="J363" s="29" t="e">
        <f t="shared" si="78"/>
        <v>#REF!</v>
      </c>
      <c r="K363" s="31" t="e">
        <f t="shared" si="79"/>
        <v>#REF!</v>
      </c>
      <c r="L363" s="29"/>
      <c r="M363" s="29" t="e">
        <f t="shared" si="80"/>
        <v>#REF!</v>
      </c>
      <c r="N363" s="117"/>
      <c r="O363" s="116" t="s">
        <v>7667</v>
      </c>
    </row>
    <row r="364" spans="1:15">
      <c r="A364" s="112" t="s">
        <v>6322</v>
      </c>
      <c r="B364" s="108">
        <v>2022</v>
      </c>
      <c r="C364" s="32" t="s">
        <v>7650</v>
      </c>
      <c r="D364" s="1" t="e">
        <f>VLOOKUP(A364,IMPORTS!H1624:AT1918,40,0)</f>
        <v>#REF!</v>
      </c>
      <c r="E364" s="87" t="e">
        <f t="shared" ref="E364:E381" si="81">WORKDAY(D364,1,$N$2:$N$12)</f>
        <v>#REF!</v>
      </c>
      <c r="F364" s="31">
        <v>44671</v>
      </c>
      <c r="G364" s="29" t="e">
        <f t="shared" ref="G364:G381" si="82">+IF(F364&lt;=E364,"SI","NO")</f>
        <v>#REF!</v>
      </c>
      <c r="H364" s="31" t="e">
        <f t="shared" ref="H364:H381" si="83">WORKDAY(D364,2,$N$2:$N$12)</f>
        <v>#REF!</v>
      </c>
      <c r="I364" s="31">
        <v>44683</v>
      </c>
      <c r="J364" s="29" t="e">
        <f t="shared" ref="J364:J381" si="84">+IF(I364&lt;=H364,"SI","NO")</f>
        <v>#REF!</v>
      </c>
      <c r="K364" s="31" t="e">
        <f t="shared" ref="K364:K381" si="85">WORKDAY(D364,2,$N$2:$N$12)</f>
        <v>#REF!</v>
      </c>
      <c r="L364" s="29"/>
      <c r="M364" s="29" t="e">
        <f t="shared" ref="M364:M381" si="86">+IF(L364&lt;=K364,"SI","NO")</f>
        <v>#REF!</v>
      </c>
      <c r="N364" s="117"/>
      <c r="O364" s="116"/>
    </row>
    <row r="365" spans="1:15">
      <c r="A365" s="112" t="s">
        <v>6724</v>
      </c>
      <c r="B365" s="108">
        <v>2022</v>
      </c>
      <c r="C365" s="32" t="s">
        <v>7650</v>
      </c>
      <c r="D365" s="1" t="e">
        <f>VLOOKUP(A365,IMPORTS!H1625:AT1919,40,0)</f>
        <v>#REF!</v>
      </c>
      <c r="E365" s="87" t="e">
        <f t="shared" si="81"/>
        <v>#REF!</v>
      </c>
      <c r="F365" s="31">
        <v>44671</v>
      </c>
      <c r="G365" s="29" t="e">
        <f t="shared" si="82"/>
        <v>#REF!</v>
      </c>
      <c r="H365" s="31" t="e">
        <f t="shared" si="83"/>
        <v>#REF!</v>
      </c>
      <c r="I365" s="31">
        <v>44685</v>
      </c>
      <c r="J365" s="29" t="e">
        <f t="shared" si="84"/>
        <v>#REF!</v>
      </c>
      <c r="K365" s="31" t="e">
        <f t="shared" si="85"/>
        <v>#REF!</v>
      </c>
      <c r="L365" s="29"/>
      <c r="M365" s="29" t="e">
        <f t="shared" si="86"/>
        <v>#REF!</v>
      </c>
      <c r="N365" s="117"/>
      <c r="O365" s="116"/>
    </row>
    <row r="366" spans="1:15">
      <c r="A366" s="112" t="s">
        <v>6675</v>
      </c>
      <c r="B366" s="108">
        <v>2022</v>
      </c>
      <c r="C366" s="32" t="s">
        <v>7650</v>
      </c>
      <c r="D366" s="1" t="e">
        <f>VLOOKUP(A366,IMPORTS!H1626:AT1920,40,0)</f>
        <v>#REF!</v>
      </c>
      <c r="E366" s="87" t="e">
        <f t="shared" si="81"/>
        <v>#REF!</v>
      </c>
      <c r="F366" s="31">
        <v>44673</v>
      </c>
      <c r="G366" s="29" t="e">
        <f t="shared" si="82"/>
        <v>#REF!</v>
      </c>
      <c r="H366" s="31" t="e">
        <f t="shared" si="83"/>
        <v>#REF!</v>
      </c>
      <c r="I366" s="31">
        <v>44683</v>
      </c>
      <c r="J366" s="29" t="e">
        <f t="shared" si="84"/>
        <v>#REF!</v>
      </c>
      <c r="K366" s="31" t="e">
        <f t="shared" si="85"/>
        <v>#REF!</v>
      </c>
      <c r="L366" s="29"/>
      <c r="M366" s="29" t="e">
        <f t="shared" si="86"/>
        <v>#REF!</v>
      </c>
      <c r="N366" s="117"/>
      <c r="O366" s="116"/>
    </row>
    <row r="367" spans="1:15">
      <c r="A367" s="12" t="s">
        <v>7380</v>
      </c>
      <c r="B367" s="108">
        <v>2022</v>
      </c>
      <c r="C367" s="32" t="s">
        <v>7650</v>
      </c>
      <c r="D367" s="1" t="e">
        <f>VLOOKUP(A367,IMPORTS!H1627:AT1921,40,0)</f>
        <v>#REF!</v>
      </c>
      <c r="E367" s="87" t="e">
        <f t="shared" si="81"/>
        <v>#REF!</v>
      </c>
      <c r="F367" s="31">
        <v>44676</v>
      </c>
      <c r="G367" s="29" t="e">
        <f t="shared" si="82"/>
        <v>#REF!</v>
      </c>
      <c r="H367" s="31" t="e">
        <f t="shared" si="83"/>
        <v>#REF!</v>
      </c>
      <c r="I367" s="31">
        <v>44680</v>
      </c>
      <c r="J367" s="29" t="e">
        <f t="shared" si="84"/>
        <v>#REF!</v>
      </c>
      <c r="K367" s="31" t="e">
        <f t="shared" si="85"/>
        <v>#REF!</v>
      </c>
      <c r="L367" s="29"/>
      <c r="M367" s="29" t="e">
        <f t="shared" si="86"/>
        <v>#REF!</v>
      </c>
      <c r="N367" s="117"/>
      <c r="O367" s="116"/>
    </row>
    <row r="368" spans="1:15">
      <c r="A368" s="12" t="s">
        <v>6908</v>
      </c>
      <c r="B368" s="108">
        <v>2022</v>
      </c>
      <c r="C368" s="32" t="s">
        <v>7650</v>
      </c>
      <c r="D368" s="1" t="e">
        <f>VLOOKUP(A368,IMPORTS!H1628:AT1922,40,0)</f>
        <v>#REF!</v>
      </c>
      <c r="E368" s="87" t="e">
        <f t="shared" si="81"/>
        <v>#REF!</v>
      </c>
      <c r="F368" s="31">
        <v>44676</v>
      </c>
      <c r="G368" s="29" t="e">
        <f t="shared" si="82"/>
        <v>#REF!</v>
      </c>
      <c r="H368" s="31" t="e">
        <f t="shared" si="83"/>
        <v>#REF!</v>
      </c>
      <c r="I368" s="31">
        <v>44683</v>
      </c>
      <c r="J368" s="29" t="e">
        <f t="shared" si="84"/>
        <v>#REF!</v>
      </c>
      <c r="K368" s="31" t="e">
        <f t="shared" si="85"/>
        <v>#REF!</v>
      </c>
      <c r="L368" s="29"/>
      <c r="M368" s="29" t="e">
        <f t="shared" si="86"/>
        <v>#REF!</v>
      </c>
      <c r="N368" s="117"/>
      <c r="O368" s="120" t="s">
        <v>7668</v>
      </c>
    </row>
    <row r="369" spans="1:15">
      <c r="A369" s="12" t="s">
        <v>7352</v>
      </c>
      <c r="B369" s="108">
        <v>2022</v>
      </c>
      <c r="C369" s="32" t="s">
        <v>7650</v>
      </c>
      <c r="D369" s="1" t="e">
        <f>VLOOKUP(A369,IMPORTS!H1629:AT1923,40,0)</f>
        <v>#REF!</v>
      </c>
      <c r="E369" s="87" t="e">
        <f t="shared" si="81"/>
        <v>#REF!</v>
      </c>
      <c r="F369" s="31">
        <v>44676</v>
      </c>
      <c r="G369" s="29" t="e">
        <f t="shared" si="82"/>
        <v>#REF!</v>
      </c>
      <c r="H369" s="31" t="e">
        <f t="shared" si="83"/>
        <v>#REF!</v>
      </c>
      <c r="I369" s="31">
        <v>44683</v>
      </c>
      <c r="J369" s="29" t="e">
        <f t="shared" si="84"/>
        <v>#REF!</v>
      </c>
      <c r="K369" s="31" t="e">
        <f t="shared" si="85"/>
        <v>#REF!</v>
      </c>
      <c r="L369" s="29"/>
      <c r="M369" s="29" t="e">
        <f t="shared" si="86"/>
        <v>#REF!</v>
      </c>
      <c r="N369" s="117"/>
      <c r="O369" s="120" t="s">
        <v>7668</v>
      </c>
    </row>
    <row r="370" spans="1:15">
      <c r="A370" s="12" t="s">
        <v>7149</v>
      </c>
      <c r="B370" s="108">
        <v>2022</v>
      </c>
      <c r="C370" s="32" t="s">
        <v>7650</v>
      </c>
      <c r="D370" s="1" t="e">
        <f>VLOOKUP(A370,IMPORTS!H1630:AT1924,40,0)</f>
        <v>#REF!</v>
      </c>
      <c r="E370" s="87" t="e">
        <f t="shared" si="81"/>
        <v>#REF!</v>
      </c>
      <c r="F370" s="31">
        <v>44678</v>
      </c>
      <c r="G370" s="29" t="e">
        <f t="shared" si="82"/>
        <v>#REF!</v>
      </c>
      <c r="H370" s="31" t="e">
        <f t="shared" si="83"/>
        <v>#REF!</v>
      </c>
      <c r="I370" s="31">
        <v>44680</v>
      </c>
      <c r="J370" s="29" t="e">
        <f t="shared" si="84"/>
        <v>#REF!</v>
      </c>
      <c r="K370" s="31" t="e">
        <f t="shared" si="85"/>
        <v>#REF!</v>
      </c>
      <c r="L370" s="29"/>
      <c r="M370" s="29" t="e">
        <f t="shared" si="86"/>
        <v>#REF!</v>
      </c>
      <c r="N370" s="117"/>
      <c r="O370" s="120" t="s">
        <v>7668</v>
      </c>
    </row>
    <row r="371" spans="1:15">
      <c r="A371" s="12" t="s">
        <v>7309</v>
      </c>
      <c r="B371" s="108">
        <v>2022</v>
      </c>
      <c r="C371" s="32" t="s">
        <v>7650</v>
      </c>
      <c r="D371" s="1" t="e">
        <f>VLOOKUP(A371,IMPORTS!H1631:AT1925,40,0)</f>
        <v>#REF!</v>
      </c>
      <c r="E371" s="87" t="e">
        <f t="shared" si="81"/>
        <v>#REF!</v>
      </c>
      <c r="F371" s="31">
        <v>44678</v>
      </c>
      <c r="G371" s="29" t="e">
        <f t="shared" si="82"/>
        <v>#REF!</v>
      </c>
      <c r="H371" s="31" t="e">
        <f t="shared" si="83"/>
        <v>#REF!</v>
      </c>
      <c r="I371" s="31">
        <v>44683</v>
      </c>
      <c r="J371" s="29" t="e">
        <f t="shared" si="84"/>
        <v>#REF!</v>
      </c>
      <c r="K371" s="31" t="e">
        <f t="shared" si="85"/>
        <v>#REF!</v>
      </c>
      <c r="L371" s="29"/>
      <c r="M371" s="29" t="e">
        <f t="shared" si="86"/>
        <v>#REF!</v>
      </c>
      <c r="N371" s="117"/>
      <c r="O371" s="120" t="s">
        <v>7669</v>
      </c>
    </row>
    <row r="372" spans="1:15">
      <c r="A372" s="12" t="s">
        <v>7318</v>
      </c>
      <c r="B372" s="108">
        <v>2022</v>
      </c>
      <c r="C372" s="32" t="s">
        <v>7650</v>
      </c>
      <c r="D372" s="1" t="e">
        <f>VLOOKUP(A372,IMPORTS!H1632:AT1926,40,0)</f>
        <v>#REF!</v>
      </c>
      <c r="E372" s="87" t="e">
        <f t="shared" si="81"/>
        <v>#REF!</v>
      </c>
      <c r="F372" s="31">
        <v>44678</v>
      </c>
      <c r="G372" s="29" t="e">
        <f t="shared" si="82"/>
        <v>#REF!</v>
      </c>
      <c r="H372" s="31" t="e">
        <f t="shared" si="83"/>
        <v>#REF!</v>
      </c>
      <c r="I372" s="31">
        <v>44681</v>
      </c>
      <c r="J372" s="29" t="e">
        <f t="shared" si="84"/>
        <v>#REF!</v>
      </c>
      <c r="K372" s="31" t="e">
        <f t="shared" si="85"/>
        <v>#REF!</v>
      </c>
      <c r="L372" s="29"/>
      <c r="M372" s="29" t="e">
        <f t="shared" si="86"/>
        <v>#REF!</v>
      </c>
      <c r="N372" s="117"/>
      <c r="O372" s="120" t="s">
        <v>7669</v>
      </c>
    </row>
    <row r="373" spans="1:15">
      <c r="A373" s="12" t="s">
        <v>7384</v>
      </c>
      <c r="B373" s="108">
        <v>2022</v>
      </c>
      <c r="C373" s="32" t="s">
        <v>7650</v>
      </c>
      <c r="D373" s="1" t="e">
        <f>VLOOKUP(A373,IMPORTS!H1633:AT1927,40,0)</f>
        <v>#REF!</v>
      </c>
      <c r="E373" s="87" t="e">
        <f t="shared" si="81"/>
        <v>#REF!</v>
      </c>
      <c r="F373" s="31">
        <v>44678</v>
      </c>
      <c r="G373" s="29" t="e">
        <f t="shared" si="82"/>
        <v>#REF!</v>
      </c>
      <c r="H373" s="31" t="e">
        <f t="shared" si="83"/>
        <v>#REF!</v>
      </c>
      <c r="I373" s="31">
        <v>44680</v>
      </c>
      <c r="J373" s="29" t="e">
        <f t="shared" si="84"/>
        <v>#REF!</v>
      </c>
      <c r="K373" s="31" t="e">
        <f t="shared" si="85"/>
        <v>#REF!</v>
      </c>
      <c r="L373" s="29"/>
      <c r="M373" s="29" t="e">
        <f t="shared" si="86"/>
        <v>#REF!</v>
      </c>
      <c r="N373" s="117"/>
      <c r="O373" s="120" t="s">
        <v>7668</v>
      </c>
    </row>
    <row r="374" spans="1:15">
      <c r="A374" s="12" t="s">
        <v>7389</v>
      </c>
      <c r="B374" s="108">
        <v>2022</v>
      </c>
      <c r="C374" s="32" t="s">
        <v>7650</v>
      </c>
      <c r="D374" s="1" t="e">
        <f>VLOOKUP(A374,IMPORTS!H1634:AT1928,40,0)</f>
        <v>#REF!</v>
      </c>
      <c r="E374" s="87" t="e">
        <f>WORKDAY(D374,1,$N$2:$N$12)</f>
        <v>#REF!</v>
      </c>
      <c r="F374" s="31">
        <v>44678</v>
      </c>
      <c r="G374" s="29" t="e">
        <f t="shared" si="82"/>
        <v>#REF!</v>
      </c>
      <c r="H374" s="31" t="e">
        <f t="shared" si="83"/>
        <v>#REF!</v>
      </c>
      <c r="I374" s="31">
        <v>44679</v>
      </c>
      <c r="J374" s="29" t="e">
        <f t="shared" si="84"/>
        <v>#REF!</v>
      </c>
      <c r="K374" s="31" t="e">
        <f t="shared" si="85"/>
        <v>#REF!</v>
      </c>
      <c r="L374" s="29"/>
      <c r="M374" s="29" t="e">
        <f t="shared" si="86"/>
        <v>#REF!</v>
      </c>
      <c r="N374" s="117"/>
      <c r="O374" s="120" t="s">
        <v>7668</v>
      </c>
    </row>
    <row r="375" spans="1:15">
      <c r="A375" s="12" t="s">
        <v>6921</v>
      </c>
      <c r="B375" s="108">
        <v>2022</v>
      </c>
      <c r="C375" s="32" t="s">
        <v>7651</v>
      </c>
      <c r="D375" s="1" t="e">
        <f>VLOOKUP(A375,IMPORTS!H147:AT2158,40,0)</f>
        <v>#REF!</v>
      </c>
      <c r="E375" s="87" t="e">
        <f t="shared" si="81"/>
        <v>#REF!</v>
      </c>
      <c r="F375" s="31">
        <v>44683</v>
      </c>
      <c r="G375" s="29" t="e">
        <f t="shared" si="82"/>
        <v>#REF!</v>
      </c>
      <c r="H375" s="31" t="e">
        <f t="shared" si="83"/>
        <v>#REF!</v>
      </c>
      <c r="I375" s="31"/>
      <c r="J375" s="29" t="e">
        <f t="shared" si="84"/>
        <v>#REF!</v>
      </c>
      <c r="K375" s="31" t="e">
        <f t="shared" si="85"/>
        <v>#REF!</v>
      </c>
      <c r="L375" s="29"/>
      <c r="M375" s="29" t="e">
        <f t="shared" si="86"/>
        <v>#REF!</v>
      </c>
      <c r="N375" s="117"/>
      <c r="O375" s="120" t="s">
        <v>7670</v>
      </c>
    </row>
    <row r="376" spans="1:15">
      <c r="A376" s="12" t="s">
        <v>7494</v>
      </c>
      <c r="B376" s="108">
        <v>2022</v>
      </c>
      <c r="C376" s="32" t="s">
        <v>7651</v>
      </c>
      <c r="D376" s="1" t="e">
        <f>VLOOKUP(A376,IMPORTS!H148:AT2159,40,0)</f>
        <v>#REF!</v>
      </c>
      <c r="E376" s="87" t="e">
        <f t="shared" si="81"/>
        <v>#REF!</v>
      </c>
      <c r="F376" s="31">
        <v>44684</v>
      </c>
      <c r="G376" s="29" t="e">
        <f t="shared" si="82"/>
        <v>#REF!</v>
      </c>
      <c r="H376" s="31" t="e">
        <f t="shared" si="83"/>
        <v>#REF!</v>
      </c>
      <c r="I376" s="31"/>
      <c r="J376" s="29" t="e">
        <f t="shared" si="84"/>
        <v>#REF!</v>
      </c>
      <c r="K376" s="31" t="e">
        <f t="shared" si="85"/>
        <v>#REF!</v>
      </c>
      <c r="L376" s="29"/>
      <c r="M376" s="29" t="e">
        <f t="shared" si="86"/>
        <v>#REF!</v>
      </c>
      <c r="N376" s="117"/>
      <c r="O376" s="116"/>
    </row>
    <row r="377" spans="1:15">
      <c r="A377" s="12" t="s">
        <v>7501</v>
      </c>
      <c r="B377" s="108">
        <v>2022</v>
      </c>
      <c r="C377" s="32" t="s">
        <v>7651</v>
      </c>
      <c r="D377" s="1" t="e">
        <f>VLOOKUP(A377,IMPORTS!H149:AT2160,40,0)</f>
        <v>#REF!</v>
      </c>
      <c r="E377" s="87" t="e">
        <f t="shared" si="81"/>
        <v>#REF!</v>
      </c>
      <c r="F377" s="31">
        <v>44684</v>
      </c>
      <c r="G377" s="29" t="e">
        <f t="shared" si="82"/>
        <v>#REF!</v>
      </c>
      <c r="H377" s="31" t="e">
        <f t="shared" si="83"/>
        <v>#REF!</v>
      </c>
      <c r="I377" s="31"/>
      <c r="J377" s="29" t="e">
        <f t="shared" si="84"/>
        <v>#REF!</v>
      </c>
      <c r="K377" s="31" t="e">
        <f t="shared" si="85"/>
        <v>#REF!</v>
      </c>
      <c r="L377" s="29"/>
      <c r="M377" s="29" t="e">
        <f t="shared" si="86"/>
        <v>#REF!</v>
      </c>
      <c r="N377" s="117"/>
      <c r="O377" s="116"/>
    </row>
    <row r="378" spans="1:15">
      <c r="A378" s="12" t="s">
        <v>7164</v>
      </c>
      <c r="B378" s="108">
        <v>2022</v>
      </c>
      <c r="C378" s="32" t="s">
        <v>7651</v>
      </c>
      <c r="D378" s="1" t="e">
        <f>VLOOKUP(A378,IMPORTS!H150:AT2161,40,0)</f>
        <v>#REF!</v>
      </c>
      <c r="E378" s="87" t="e">
        <f t="shared" si="81"/>
        <v>#REF!</v>
      </c>
      <c r="F378" s="31">
        <v>44684</v>
      </c>
      <c r="G378" s="29" t="e">
        <f t="shared" si="82"/>
        <v>#REF!</v>
      </c>
      <c r="H378" s="31" t="e">
        <f t="shared" si="83"/>
        <v>#REF!</v>
      </c>
      <c r="I378" s="31"/>
      <c r="J378" s="29" t="e">
        <f t="shared" si="84"/>
        <v>#REF!</v>
      </c>
      <c r="K378" s="31" t="e">
        <f t="shared" si="85"/>
        <v>#REF!</v>
      </c>
      <c r="L378" s="29"/>
      <c r="M378" s="29" t="e">
        <f t="shared" si="86"/>
        <v>#REF!</v>
      </c>
      <c r="N378" s="117"/>
      <c r="O378" s="116"/>
    </row>
    <row r="379" spans="1:15">
      <c r="A379" s="12" t="s">
        <v>7140</v>
      </c>
      <c r="B379" s="108">
        <v>2022</v>
      </c>
      <c r="C379" s="32" t="s">
        <v>7651</v>
      </c>
      <c r="D379" s="1" t="e">
        <f>VLOOKUP(A379,IMPORTS!H151:AT2162,40,0)</f>
        <v>#REF!</v>
      </c>
      <c r="E379" s="87" t="e">
        <f t="shared" si="81"/>
        <v>#REF!</v>
      </c>
      <c r="F379" s="31">
        <v>44656</v>
      </c>
      <c r="G379" s="29" t="e">
        <f t="shared" si="82"/>
        <v>#REF!</v>
      </c>
      <c r="H379" s="31" t="e">
        <f t="shared" si="83"/>
        <v>#REF!</v>
      </c>
      <c r="I379" s="31"/>
      <c r="J379" s="29" t="e">
        <f t="shared" si="84"/>
        <v>#REF!</v>
      </c>
      <c r="K379" s="31" t="e">
        <f t="shared" si="85"/>
        <v>#REF!</v>
      </c>
      <c r="L379" s="29"/>
      <c r="M379" s="29" t="e">
        <f t="shared" si="86"/>
        <v>#REF!</v>
      </c>
      <c r="N379" s="117"/>
      <c r="O379" s="116"/>
    </row>
    <row r="380" spans="1:15">
      <c r="A380" s="383" t="s">
        <v>7448</v>
      </c>
      <c r="B380" s="108">
        <v>2022</v>
      </c>
      <c r="C380" s="32" t="s">
        <v>7651</v>
      </c>
      <c r="D380" s="1" t="e">
        <f>VLOOKUP(A380,IMPORTS!H152:AT2163,40,0)</f>
        <v>#REF!</v>
      </c>
      <c r="E380" s="87" t="e">
        <f t="shared" si="81"/>
        <v>#REF!</v>
      </c>
      <c r="F380" s="31">
        <v>44656</v>
      </c>
      <c r="G380" s="29" t="e">
        <f t="shared" si="82"/>
        <v>#REF!</v>
      </c>
      <c r="H380" s="31" t="e">
        <f t="shared" si="83"/>
        <v>#REF!</v>
      </c>
      <c r="I380" s="31"/>
      <c r="J380" s="29" t="e">
        <f t="shared" si="84"/>
        <v>#REF!</v>
      </c>
      <c r="K380" s="31" t="e">
        <f t="shared" si="85"/>
        <v>#REF!</v>
      </c>
      <c r="L380" s="29"/>
      <c r="M380" s="29" t="e">
        <f t="shared" si="86"/>
        <v>#REF!</v>
      </c>
      <c r="N380" s="117"/>
      <c r="O380" s="116"/>
    </row>
    <row r="381" spans="1:15">
      <c r="A381" s="12" t="s">
        <v>7455</v>
      </c>
      <c r="B381" s="108">
        <v>2022</v>
      </c>
      <c r="C381" s="32" t="s">
        <v>7651</v>
      </c>
      <c r="D381" s="1" t="e">
        <f>VLOOKUP(A381,IMPORTS!H153:AT2164,40,0)</f>
        <v>#REF!</v>
      </c>
      <c r="E381" s="87" t="e">
        <f t="shared" si="81"/>
        <v>#REF!</v>
      </c>
      <c r="F381" s="31">
        <v>44656</v>
      </c>
      <c r="G381" s="29" t="e">
        <f t="shared" si="82"/>
        <v>#REF!</v>
      </c>
      <c r="H381" s="31" t="e">
        <f t="shared" si="83"/>
        <v>#REF!</v>
      </c>
      <c r="I381" s="31"/>
      <c r="J381" s="29" t="e">
        <f t="shared" si="84"/>
        <v>#REF!</v>
      </c>
      <c r="K381" s="31" t="e">
        <f t="shared" si="85"/>
        <v>#REF!</v>
      </c>
      <c r="L381" s="29"/>
      <c r="M381" s="29" t="e">
        <f t="shared" si="86"/>
        <v>#REF!</v>
      </c>
      <c r="N381" s="117"/>
      <c r="O381" s="116"/>
    </row>
    <row r="382" spans="1:15">
      <c r="A382" s="12"/>
      <c r="B382" s="108"/>
      <c r="C382" s="32"/>
      <c r="D382" s="1"/>
      <c r="E382" s="87"/>
      <c r="F382" s="31"/>
      <c r="G382" s="29"/>
      <c r="H382" s="31"/>
      <c r="I382" s="31"/>
      <c r="J382" s="29"/>
      <c r="K382" s="31"/>
      <c r="L382" s="29"/>
      <c r="M382" s="29"/>
      <c r="N382" s="117"/>
      <c r="O382" s="116"/>
    </row>
    <row r="383" spans="1:15">
      <c r="A383" s="12"/>
      <c r="B383" s="108"/>
      <c r="C383" s="32"/>
      <c r="D383" s="1"/>
      <c r="E383" s="87"/>
      <c r="F383" s="31"/>
      <c r="G383" s="29"/>
      <c r="H383" s="31"/>
      <c r="I383" s="31"/>
      <c r="J383" s="29"/>
      <c r="K383" s="31"/>
      <c r="L383" s="29"/>
      <c r="M383" s="29"/>
      <c r="N383" s="117"/>
      <c r="O383" s="116"/>
    </row>
    <row r="384" spans="1:15">
      <c r="A384" s="12"/>
      <c r="B384" s="108"/>
      <c r="C384" s="32"/>
      <c r="D384" s="1"/>
      <c r="E384" s="87"/>
      <c r="F384" s="31"/>
      <c r="G384" s="29"/>
      <c r="H384" s="31"/>
      <c r="I384" s="31"/>
      <c r="J384" s="29"/>
      <c r="K384" s="31"/>
      <c r="L384" s="29"/>
      <c r="M384" s="29"/>
      <c r="N384" s="117"/>
      <c r="O384" s="116"/>
    </row>
    <row r="385" spans="1:15">
      <c r="A385" s="12"/>
      <c r="B385" s="108"/>
      <c r="C385" s="32"/>
      <c r="D385" s="1"/>
      <c r="E385" s="87"/>
      <c r="F385" s="31"/>
      <c r="G385" s="29"/>
      <c r="H385" s="31"/>
      <c r="I385" s="31"/>
      <c r="J385" s="29"/>
      <c r="K385" s="31"/>
      <c r="L385" s="29"/>
      <c r="M385" s="29"/>
      <c r="N385" s="117"/>
      <c r="O385" s="116"/>
    </row>
    <row r="386" spans="1:15">
      <c r="A386" s="12"/>
      <c r="B386" s="108"/>
      <c r="C386" s="32"/>
      <c r="D386" s="1"/>
      <c r="E386" s="87"/>
      <c r="F386" s="31"/>
      <c r="G386" s="29"/>
      <c r="H386" s="31"/>
      <c r="I386" s="31"/>
      <c r="J386" s="29"/>
      <c r="K386" s="31"/>
      <c r="L386" s="29"/>
      <c r="M386" s="29"/>
      <c r="N386" s="117"/>
      <c r="O386" s="116"/>
    </row>
    <row r="387" spans="1:15">
      <c r="A387" s="12"/>
      <c r="B387" s="108"/>
      <c r="C387" s="32"/>
      <c r="D387" s="1"/>
      <c r="E387" s="87"/>
      <c r="F387" s="31"/>
      <c r="G387" s="29"/>
      <c r="H387" s="31"/>
      <c r="I387" s="31"/>
      <c r="J387" s="29"/>
      <c r="K387" s="31"/>
      <c r="L387" s="29"/>
      <c r="M387" s="29"/>
      <c r="N387" s="117"/>
      <c r="O387" s="116"/>
    </row>
    <row r="388" spans="1:15">
      <c r="A388" s="12"/>
      <c r="B388" s="108"/>
      <c r="C388" s="32"/>
      <c r="D388" s="1"/>
      <c r="E388" s="87"/>
      <c r="F388" s="31"/>
      <c r="G388" s="29"/>
      <c r="H388" s="31"/>
      <c r="I388" s="31"/>
      <c r="J388" s="29"/>
      <c r="K388" s="31"/>
      <c r="L388" s="29"/>
      <c r="M388" s="29"/>
      <c r="N388" s="117"/>
      <c r="O388" s="116"/>
    </row>
    <row r="389" spans="1:15">
      <c r="A389" s="12"/>
      <c r="B389" s="108"/>
      <c r="C389" s="32"/>
      <c r="D389" s="1"/>
      <c r="E389" s="87"/>
      <c r="F389" s="31"/>
      <c r="G389" s="29"/>
      <c r="H389" s="31"/>
      <c r="I389" s="31"/>
      <c r="J389" s="29"/>
      <c r="K389" s="31"/>
      <c r="L389" s="29"/>
      <c r="M389" s="29"/>
      <c r="N389" s="117"/>
      <c r="O389" s="116"/>
    </row>
    <row r="390" spans="1:15">
      <c r="A390" s="12"/>
      <c r="B390" s="108"/>
      <c r="C390" s="32"/>
      <c r="D390" s="1"/>
      <c r="E390" s="87"/>
      <c r="F390" s="31"/>
      <c r="G390" s="29"/>
      <c r="H390" s="31"/>
      <c r="I390" s="31"/>
      <c r="J390" s="29"/>
      <c r="K390" s="31"/>
      <c r="L390" s="29"/>
      <c r="M390" s="29"/>
      <c r="N390" s="117"/>
      <c r="O390" s="116"/>
    </row>
    <row r="391" spans="1:15">
      <c r="A391" s="12"/>
      <c r="B391" s="108"/>
      <c r="C391" s="32"/>
      <c r="D391" s="1"/>
      <c r="E391" s="87"/>
      <c r="F391" s="31"/>
      <c r="G391" s="29"/>
      <c r="H391" s="31"/>
      <c r="I391" s="31"/>
      <c r="J391" s="29"/>
      <c r="K391" s="31"/>
      <c r="L391" s="29"/>
      <c r="M391" s="29"/>
      <c r="N391" s="117"/>
      <c r="O391" s="116"/>
    </row>
    <row r="392" spans="1:15">
      <c r="A392" s="12"/>
      <c r="B392" s="108"/>
      <c r="C392" s="32"/>
      <c r="D392" s="1"/>
      <c r="E392" s="87"/>
      <c r="F392" s="31"/>
      <c r="G392" s="29"/>
      <c r="H392" s="31"/>
      <c r="I392" s="31"/>
      <c r="J392" s="29"/>
      <c r="K392" s="31"/>
      <c r="L392" s="29"/>
      <c r="M392" s="29"/>
      <c r="N392" s="117"/>
      <c r="O392" s="116"/>
    </row>
  </sheetData>
  <autoFilter ref="A1:O381" xr:uid="{00000000-0001-0000-0400-000000000000}"/>
  <customSheetViews>
    <customSheetView guid="{C3BDEBE1-7FE5-4B62-8359-C0142BCD2F22}" showGridLines="0" showAutoFilter="1" hiddenColumns="1">
      <pane ySplit="1" topLeftCell="A367" activePane="bottomLeft" state="frozen"/>
      <selection pane="bottomLeft" activeCell="I1" sqref="A1:I1"/>
      <pageMargins left="0" right="0" top="0" bottom="0" header="0" footer="0"/>
      <pageSetup paperSize="9" orientation="portrait" horizontalDpi="200" verticalDpi="200" r:id="rId1"/>
      <autoFilter ref="A1:N381" xr:uid="{F1371665-8A55-4DD5-8B2A-6223ACE75F97}"/>
    </customSheetView>
    <customSheetView guid="{220F5BDC-E9AE-407F-A093-9337F2810863}" showPageBreaks="1" showGridLines="0" showAutoFilter="1" hiddenColumns="1" topLeftCell="A199">
      <selection activeCell="H192" sqref="H192:H194"/>
      <pageMargins left="0" right="0" top="0" bottom="0" header="0" footer="0"/>
      <pageSetup paperSize="9" orientation="portrait" horizontalDpi="200" verticalDpi="200" r:id="rId2"/>
      <autoFilter ref="A1:J203" xr:uid="{BDDAE746-1BF3-49CF-AB98-2AD2292AADA2}"/>
    </customSheetView>
    <customSheetView guid="{B055717C-E0BF-453A-AEA8-EC68CC771452}" state="hidden">
      <pageMargins left="0" right="0" top="0" bottom="0" header="0" footer="0"/>
    </customSheetView>
    <customSheetView guid="{498F950A-284B-4B7A-9B00-46A2CF82C173}" state="hidden">
      <pageMargins left="0" right="0" top="0" bottom="0" header="0" footer="0"/>
    </customSheetView>
    <customSheetView guid="{CC36E1BD-DF5E-4D5B-9FC2-B924ABF96C1E}" showGridLines="0" showAutoFilter="1" hiddenColumns="1" topLeftCell="A28">
      <selection activeCell="L44" sqref="L44"/>
      <pageMargins left="0" right="0" top="0" bottom="0" header="0" footer="0"/>
      <pageSetup paperSize="9" orientation="portrait" horizontalDpi="200" verticalDpi="200" r:id="rId3"/>
      <autoFilter ref="A1:J55" xr:uid="{791AFE63-EE0B-4314-B0FF-2A926D41F05A}"/>
    </customSheetView>
    <customSheetView guid="{E2CEA185-21A6-4032-89CA-3467498190CE}" showPageBreaks="1">
      <selection activeCell="H23" sqref="H23"/>
      <pageMargins left="0" right="0" top="0" bottom="0" header="0" footer="0"/>
      <pageSetup paperSize="9" orientation="portrait" r:id="rId4"/>
    </customSheetView>
    <customSheetView guid="{3AED3352-1813-42FB-AD00-B0300DBB9DDD}" showAutoFilter="1" topLeftCell="B1">
      <pane ySplit="1" topLeftCell="A2" activePane="bottomLeft" state="frozen"/>
      <selection pane="bottomLeft" activeCell="M4" sqref="M4:P5"/>
      <pageMargins left="0" right="0" top="0" bottom="0" header="0" footer="0"/>
      <pageSetup paperSize="9" orientation="portrait" horizontalDpi="200" verticalDpi="200" r:id="rId5"/>
      <autoFilter ref="A1:J169" xr:uid="{04B82CE3-FFAD-459F-9DD2-3308904BBEE0}"/>
    </customSheetView>
    <customSheetView guid="{47D365F7-A5C0-4967-9195-712416C433A6}" showGridLines="0" showAutoFilter="1" hiddenColumns="1" topLeftCell="A145">
      <selection activeCell="A249" sqref="A249:XFD249"/>
      <pageMargins left="0" right="0" top="0" bottom="0" header="0" footer="0"/>
      <pageSetup paperSize="9" orientation="portrait" horizontalDpi="200" verticalDpi="200" r:id="rId6"/>
      <autoFilter ref="A1:N334" xr:uid="{4E71CC0B-542E-46CE-BDCA-CE55E75BDC5C}"/>
    </customSheetView>
    <customSheetView guid="{033F40BA-1316-4994-A3E1-6A590246BC17}" showGridLines="0" showAutoFilter="1" hiddenColumns="1" topLeftCell="A306">
      <selection activeCell="A331" sqref="A331:XFD331"/>
      <pageMargins left="0" right="0" top="0" bottom="0" header="0" footer="0"/>
      <pageSetup paperSize="9" orientation="portrait" horizontalDpi="200" verticalDpi="200" r:id="rId7"/>
      <autoFilter ref="A1:N333" xr:uid="{614C7202-7126-4F7A-9350-6390A12CE3C8}"/>
    </customSheetView>
    <customSheetView guid="{B8744A8F-5701-468A-980B-669E92146399}" showGridLines="0" showAutoFilter="1" hiddenColumns="1" topLeftCell="A184">
      <selection activeCell="A331" sqref="A331:XFD331"/>
      <pageMargins left="0" right="0" top="0" bottom="0" header="0" footer="0"/>
      <pageSetup paperSize="9" orientation="portrait" horizontalDpi="200" verticalDpi="200" r:id="rId8"/>
      <autoFilter ref="A1:N333" xr:uid="{668EA406-3079-45F4-A67B-84E6C017E32A}"/>
    </customSheetView>
    <customSheetView guid="{49F08520-9D55-4669-904F-FCC3B78183BE}" showGridLines="0" showAutoFilter="1" hiddenColumns="1" topLeftCell="A34">
      <selection activeCell="A331" sqref="A331:XFD331"/>
      <pageMargins left="0" right="0" top="0" bottom="0" header="0" footer="0"/>
      <pageSetup paperSize="9" orientation="portrait" horizontalDpi="200" verticalDpi="200" r:id="rId9"/>
      <autoFilter ref="A1:N333" xr:uid="{24A0B952-AC2C-46FB-AFDA-817B3924EBE2}"/>
    </customSheetView>
    <customSheetView guid="{64DD6D4C-DC7E-42A4-8293-23757F1E95CA}" showGridLines="0" showAutoFilter="1" hiddenColumns="1" topLeftCell="A184">
      <selection activeCell="H211" sqref="H211"/>
      <pageMargins left="0" right="0" top="0" bottom="0" header="0" footer="0"/>
      <pageSetup paperSize="9" orientation="portrait" horizontalDpi="200" verticalDpi="200" r:id="rId10"/>
      <autoFilter ref="A1:N333" xr:uid="{B43170D0-19A6-4353-A3EE-00E184C8E0B7}"/>
    </customSheetView>
    <customSheetView guid="{20DDCD40-9DEC-4E0C-BDFD-5753C11CFC19}" showGridLines="0" showAutoFilter="1" hiddenColumns="1">
      <selection activeCell="A367" sqref="A367:XFD367"/>
      <pageMargins left="0" right="0" top="0" bottom="0" header="0" footer="0"/>
      <pageSetup paperSize="9" orientation="portrait" horizontalDpi="200" verticalDpi="200" r:id="rId11"/>
      <autoFilter ref="A1:N381" xr:uid="{A5C0C29D-93D3-4F28-BC04-89C218442BAA}"/>
    </customSheetView>
    <customSheetView guid="{4E878A97-87CB-403A-861C-A937390C8303}" showGridLines="0" showAutoFilter="1" hiddenColumns="1">
      <pane ySplit="1" topLeftCell="A369" activePane="bottomLeft" state="frozen"/>
      <selection pane="bottomLeft" sqref="A1:XFD1"/>
      <pageMargins left="0" right="0" top="0" bottom="0" header="0" footer="0"/>
      <pageSetup paperSize="9" orientation="portrait" horizontalDpi="200" verticalDpi="200" r:id="rId12"/>
      <autoFilter ref="A1:N381" xr:uid="{858B67A1-2BAF-4B49-8019-0322360E236D}"/>
    </customSheetView>
    <customSheetView guid="{FAB61CF4-5569-4DB9-9F8E-D118164D900A}" showGridLines="0" showAutoFilter="1" hiddenColumns="1">
      <selection activeCell="A367" sqref="A367:XFD367"/>
      <pageMargins left="0" right="0" top="0" bottom="0" header="0" footer="0"/>
      <pageSetup paperSize="9" orientation="portrait" horizontalDpi="200" verticalDpi="200" r:id="rId13"/>
      <autoFilter ref="A1:N381" xr:uid="{1C0B12D2-11DF-49EE-B014-8DBC154ADCF5}"/>
    </customSheetView>
  </customSheetViews>
  <pageMargins left="0.7" right="0.7" top="0.75" bottom="0.75" header="0.3" footer="0.3"/>
  <pageSetup paperSize="9" orientation="portrait" horizontalDpi="200" verticalDpi="200" r:id="rId14"/>
  <legacyDrawing r:id="rId1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B3:M15"/>
  <sheetViews>
    <sheetView showGridLines="0" topLeftCell="A2" workbookViewId="0">
      <selection activeCell="G19" sqref="G19"/>
    </sheetView>
  </sheetViews>
  <sheetFormatPr baseColWidth="10" defaultColWidth="11.42578125" defaultRowHeight="15"/>
  <cols>
    <col min="1" max="1" width="11.5703125"/>
    <col min="2" max="2" width="25.85546875" customWidth="1"/>
    <col min="3" max="3" width="15.42578125" bestFit="1" customWidth="1"/>
    <col min="4" max="5" width="16.28515625" customWidth="1"/>
    <col min="6" max="6" width="9.42578125" customWidth="1"/>
    <col min="7" max="7" width="43.140625" bestFit="1" customWidth="1"/>
    <col min="9" max="9" width="1.5703125" customWidth="1"/>
    <col min="11" max="11" width="13.140625" customWidth="1"/>
    <col min="12" max="12" width="2" customWidth="1"/>
    <col min="13" max="13" width="10.5703125" customWidth="1"/>
  </cols>
  <sheetData>
    <row r="3" spans="2:13">
      <c r="B3" s="105" t="s">
        <v>7671</v>
      </c>
      <c r="C3" s="106" t="s">
        <v>7672</v>
      </c>
      <c r="D3" s="106" t="s">
        <v>7673</v>
      </c>
      <c r="E3" s="106" t="s">
        <v>7674</v>
      </c>
      <c r="F3" s="106" t="s">
        <v>7675</v>
      </c>
      <c r="G3" s="106" t="s">
        <v>7676</v>
      </c>
      <c r="H3" s="106" t="s">
        <v>7677</v>
      </c>
      <c r="J3" s="106" t="s">
        <v>7678</v>
      </c>
      <c r="K3" s="106" t="s">
        <v>7679</v>
      </c>
    </row>
    <row r="4" spans="2:13">
      <c r="B4" s="9" t="s">
        <v>7680</v>
      </c>
      <c r="C4" s="66">
        <v>44488</v>
      </c>
      <c r="D4" s="66">
        <v>44853</v>
      </c>
      <c r="E4" s="66">
        <f ca="1">TODAY()</f>
        <v>44715</v>
      </c>
      <c r="F4" s="123">
        <f t="shared" ref="F4:F7" ca="1" si="0">(+D4-E4)/30</f>
        <v>4.5999999999999996</v>
      </c>
      <c r="G4" s="9" t="s">
        <v>241</v>
      </c>
      <c r="H4" s="494">
        <v>15000</v>
      </c>
      <c r="J4" s="104">
        <f>SUMIFS(IMPORTS!AB:AB,IMPORTS!P:P,SUCAMEC!G4,IMPORTS!AQ:AQ,"&gt;19/10/2021",IMPORTS!AR:AR,"&lt;19/10/2022",IMPORTS!D:D,"TERMINADO")</f>
        <v>8547.7000000000007</v>
      </c>
      <c r="K4" s="494">
        <f>+H4-J4-J5</f>
        <v>6340.2999999999993</v>
      </c>
      <c r="M4" s="496"/>
    </row>
    <row r="5" spans="2:13">
      <c r="B5" s="9" t="s">
        <v>7680</v>
      </c>
      <c r="C5" s="66">
        <v>44488</v>
      </c>
      <c r="D5" s="66">
        <v>44853</v>
      </c>
      <c r="E5" s="66">
        <f t="shared" ref="E5:E7" ca="1" si="1">TODAY()</f>
        <v>44715</v>
      </c>
      <c r="F5" s="123">
        <f t="shared" ca="1" si="0"/>
        <v>4.5999999999999996</v>
      </c>
      <c r="G5" s="9" t="s">
        <v>387</v>
      </c>
      <c r="H5" s="495"/>
      <c r="J5" s="104">
        <f>SUMIFS(IMPORTS!AB:AB,IMPORTS!P:P,SUCAMEC!G5,IMPORTS!AQ:AQ,"&gt;19/10/2021",IMPORTS!AR:AR,"&lt;19/10/2022",IMPORTS!D:D,"TERMINADO")</f>
        <v>112</v>
      </c>
      <c r="K5" s="495"/>
      <c r="M5" s="496"/>
    </row>
    <row r="6" spans="2:13">
      <c r="B6" s="9" t="s">
        <v>7680</v>
      </c>
      <c r="C6" s="66">
        <v>44488</v>
      </c>
      <c r="D6" s="66">
        <v>44853</v>
      </c>
      <c r="E6" s="66">
        <f t="shared" ca="1" si="1"/>
        <v>44715</v>
      </c>
      <c r="F6" s="123">
        <f t="shared" ca="1" si="0"/>
        <v>4.5999999999999996</v>
      </c>
      <c r="G6" s="9" t="s">
        <v>226</v>
      </c>
      <c r="H6" s="104">
        <v>50000</v>
      </c>
      <c r="J6" s="104">
        <f>SUMIFS(IMPORTS!AB:AB,IMPORTS!P:P,SUCAMEC!G6,IMPORTS!AQ:AQ,"&gt;19/10/2021",IMPORTS!AR:AR,"&lt;19/10/2022",IMPORTS!D:D,"TERMINADO")</f>
        <v>18500</v>
      </c>
      <c r="K6" s="104">
        <f>+H6-J6</f>
        <v>31500</v>
      </c>
    </row>
    <row r="7" spans="2:13">
      <c r="B7" s="9" t="s">
        <v>7681</v>
      </c>
      <c r="C7" s="66">
        <v>44672</v>
      </c>
      <c r="D7" s="66">
        <v>45037</v>
      </c>
      <c r="E7" s="66">
        <f t="shared" ca="1" si="1"/>
        <v>44715</v>
      </c>
      <c r="F7" s="123">
        <f t="shared" ca="1" si="0"/>
        <v>10.733333333333333</v>
      </c>
      <c r="G7" s="9" t="s">
        <v>7481</v>
      </c>
      <c r="H7" s="104">
        <v>10000</v>
      </c>
      <c r="J7" s="104">
        <f>SUMIFS(IMPORTS!AB:AB,IMPORTS!P:P,SUCAMEC!G7,IMPORTS!AQ:AQ,"&gt;19/10/2021",IMPORTS!AR:AR,"&lt;19/10/2022",IMPORTS!D:D,"TERMINADO")</f>
        <v>0</v>
      </c>
      <c r="K7" s="104">
        <f>+H7-J7</f>
        <v>10000</v>
      </c>
    </row>
    <row r="10" spans="2:13">
      <c r="E10" t="s">
        <v>3242</v>
      </c>
    </row>
    <row r="13" spans="2:13">
      <c r="G13" s="121"/>
    </row>
    <row r="14" spans="2:13">
      <c r="G14" s="122"/>
    </row>
    <row r="15" spans="2:13">
      <c r="G15" s="122"/>
    </row>
  </sheetData>
  <customSheetViews>
    <customSheetView guid="{C3BDEBE1-7FE5-4B62-8359-C0142BCD2F22}" showGridLines="0" hiddenColumns="1">
      <selection activeCell="G20" sqref="G20"/>
      <pageMargins left="0" right="0" top="0" bottom="0" header="0" footer="0"/>
    </customSheetView>
    <customSheetView guid="{47D365F7-A5C0-4967-9195-712416C433A6}" showGridLines="0">
      <selection sqref="A1:A1048576"/>
      <pageMargins left="0" right="0" top="0" bottom="0" header="0" footer="0"/>
    </customSheetView>
    <customSheetView guid="{033F40BA-1316-4994-A3E1-6A590246BC17}" showGridLines="0">
      <selection sqref="A1:A1048576"/>
      <pageMargins left="0" right="0" top="0" bottom="0" header="0" footer="0"/>
    </customSheetView>
    <customSheetView guid="{B8744A8F-5701-468A-980B-669E92146399}" showGridLines="0">
      <selection sqref="A1:A1048576"/>
      <pageMargins left="0" right="0" top="0" bottom="0" header="0" footer="0"/>
    </customSheetView>
    <customSheetView guid="{49F08520-9D55-4669-904F-FCC3B78183BE}" showGridLines="0">
      <selection sqref="A1:A1048576"/>
      <pageMargins left="0" right="0" top="0" bottom="0" header="0" footer="0"/>
    </customSheetView>
    <customSheetView guid="{64DD6D4C-DC7E-42A4-8293-23757F1E95CA}" showGridLines="0">
      <selection sqref="A1:A1048576"/>
      <pageMargins left="0" right="0" top="0" bottom="0" header="0" footer="0"/>
    </customSheetView>
    <customSheetView guid="{20DDCD40-9DEC-4E0C-BDFD-5753C11CFC19}" showGridLines="0">
      <selection activeCell="E12" sqref="E12"/>
      <pageMargins left="0" right="0" top="0" bottom="0" header="0" footer="0"/>
    </customSheetView>
    <customSheetView guid="{4E878A97-87CB-403A-861C-A937390C8303}" showGridLines="0">
      <selection sqref="A1:A1048576"/>
      <pageMargins left="0" right="0" top="0" bottom="0" header="0" footer="0"/>
    </customSheetView>
    <customSheetView guid="{FAB61CF4-5569-4DB9-9F8E-D118164D900A}" showGridLines="0">
      <selection sqref="A1:A1048576"/>
      <pageMargins left="0" right="0" top="0" bottom="0" header="0" footer="0"/>
    </customSheetView>
  </customSheetViews>
  <mergeCells count="3">
    <mergeCell ref="H4:H5"/>
    <mergeCell ref="K4:K5"/>
    <mergeCell ref="M4:M5"/>
  </mergeCells>
  <conditionalFormatting sqref="K4:K5">
    <cfRule type="iconSet" priority="6">
      <iconSet iconSet="3TrafficLights2">
        <cfvo type="percent" val="0"/>
        <cfvo type="num" val="3000"/>
        <cfvo type="num" val="5000"/>
      </iconSet>
    </cfRule>
  </conditionalFormatting>
  <conditionalFormatting sqref="K6">
    <cfRule type="iconSet" priority="5">
      <iconSet iconSet="3TrafficLights2">
        <cfvo type="percent" val="0"/>
        <cfvo type="num" val="12000"/>
        <cfvo type="num" val="20000"/>
      </iconSet>
    </cfRule>
  </conditionalFormatting>
  <conditionalFormatting sqref="K7">
    <cfRule type="iconSet" priority="4">
      <iconSet iconSet="3TrafficLights2">
        <cfvo type="percent" val="0"/>
        <cfvo type="num" val="3000"/>
        <cfvo type="num" val="5000"/>
      </iconSet>
    </cfRule>
  </conditionalFormatting>
  <conditionalFormatting sqref="F4:F7">
    <cfRule type="iconSet" priority="2">
      <iconSet iconSet="3TrafficLights2">
        <cfvo type="percent" val="0"/>
        <cfvo type="percent" val="33"/>
        <cfvo type="percent" val="67"/>
      </iconSet>
    </cfRule>
  </conditionalFormatting>
  <conditionalFormatting sqref="F4:F7">
    <cfRule type="iconSet" priority="1">
      <iconSet iconSet="3TrafficLights2">
        <cfvo type="percent" val="0"/>
        <cfvo type="num" val="2"/>
        <cfvo type="num" val="4"/>
      </iconSet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51"/>
  <sheetViews>
    <sheetView zoomScaleNormal="70" workbookViewId="0">
      <selection activeCell="G19" sqref="G19"/>
    </sheetView>
  </sheetViews>
  <sheetFormatPr baseColWidth="10" defaultColWidth="11.42578125" defaultRowHeight="15"/>
  <cols>
    <col min="1" max="1" width="44.28515625" customWidth="1"/>
    <col min="2" max="2" width="15.7109375" customWidth="1"/>
    <col min="3" max="3" width="24.42578125" customWidth="1"/>
  </cols>
  <sheetData>
    <row r="1" spans="1:3">
      <c r="A1" s="29" t="s">
        <v>421</v>
      </c>
      <c r="B1" s="29" t="s">
        <v>7683</v>
      </c>
      <c r="C1" s="29" t="s">
        <v>7684</v>
      </c>
    </row>
    <row r="2" spans="1:3">
      <c r="A2" s="3" t="s">
        <v>2</v>
      </c>
      <c r="B2" s="9" t="s">
        <v>7685</v>
      </c>
      <c r="C2" s="9" t="s">
        <v>7686</v>
      </c>
    </row>
    <row r="3" spans="1:3">
      <c r="A3" s="3" t="s">
        <v>17</v>
      </c>
      <c r="B3" s="9" t="s">
        <v>7687</v>
      </c>
      <c r="C3" s="9" t="s">
        <v>7688</v>
      </c>
    </row>
    <row r="4" spans="1:3">
      <c r="A4" s="3" t="s">
        <v>31</v>
      </c>
      <c r="B4" s="9" t="s">
        <v>7687</v>
      </c>
      <c r="C4" s="9" t="s">
        <v>7688</v>
      </c>
    </row>
    <row r="5" spans="1:3">
      <c r="A5" s="3" t="s">
        <v>98</v>
      </c>
      <c r="B5" s="9" t="s">
        <v>7687</v>
      </c>
      <c r="C5" s="9" t="s">
        <v>7689</v>
      </c>
    </row>
    <row r="6" spans="1:3">
      <c r="A6" s="3" t="s">
        <v>104</v>
      </c>
      <c r="B6" s="9" t="s">
        <v>7687</v>
      </c>
      <c r="C6" s="9" t="s">
        <v>7689</v>
      </c>
    </row>
    <row r="7" spans="1:3">
      <c r="A7" s="3" t="s">
        <v>120</v>
      </c>
      <c r="B7" s="9" t="s">
        <v>7687</v>
      </c>
      <c r="C7" s="9" t="s">
        <v>7688</v>
      </c>
    </row>
    <row r="8" spans="1:3">
      <c r="A8" s="3" t="s">
        <v>142</v>
      </c>
      <c r="B8" s="9" t="s">
        <v>7687</v>
      </c>
      <c r="C8" s="9" t="s">
        <v>7689</v>
      </c>
    </row>
    <row r="9" spans="1:3">
      <c r="A9" s="3" t="s">
        <v>147</v>
      </c>
      <c r="B9" s="9" t="s">
        <v>7687</v>
      </c>
      <c r="C9" s="9" t="s">
        <v>7689</v>
      </c>
    </row>
    <row r="10" spans="1:3">
      <c r="A10" s="3" t="s">
        <v>152</v>
      </c>
      <c r="B10" s="9" t="s">
        <v>7687</v>
      </c>
      <c r="C10" s="9" t="s">
        <v>7686</v>
      </c>
    </row>
    <row r="11" spans="1:3">
      <c r="A11" s="3" t="s">
        <v>155</v>
      </c>
      <c r="B11" s="9" t="s">
        <v>7687</v>
      </c>
      <c r="C11" s="9" t="s">
        <v>7686</v>
      </c>
    </row>
    <row r="12" spans="1:3">
      <c r="A12" s="3" t="s">
        <v>196</v>
      </c>
      <c r="B12" s="9" t="s">
        <v>7687</v>
      </c>
      <c r="C12" s="9" t="s">
        <v>7688</v>
      </c>
    </row>
    <row r="13" spans="1:3">
      <c r="A13" s="3" t="s">
        <v>200</v>
      </c>
      <c r="B13" s="9" t="s">
        <v>7687</v>
      </c>
      <c r="C13" s="9" t="s">
        <v>7688</v>
      </c>
    </row>
    <row r="14" spans="1:3">
      <c r="A14" s="3" t="s">
        <v>204</v>
      </c>
      <c r="B14" s="9" t="s">
        <v>7687</v>
      </c>
      <c r="C14" s="9" t="s">
        <v>7688</v>
      </c>
    </row>
    <row r="15" spans="1:3">
      <c r="A15" s="3" t="s">
        <v>211</v>
      </c>
      <c r="B15" s="9" t="s">
        <v>7687</v>
      </c>
      <c r="C15" s="9" t="s">
        <v>7688</v>
      </c>
    </row>
    <row r="16" spans="1:3">
      <c r="A16" s="3" t="s">
        <v>214</v>
      </c>
      <c r="B16" s="9" t="s">
        <v>7687</v>
      </c>
      <c r="C16" s="9" t="s">
        <v>7688</v>
      </c>
    </row>
    <row r="17" spans="1:3">
      <c r="A17" s="3" t="s">
        <v>217</v>
      </c>
      <c r="B17" s="9" t="s">
        <v>7687</v>
      </c>
      <c r="C17" s="9" t="s">
        <v>7688</v>
      </c>
    </row>
    <row r="18" spans="1:3">
      <c r="A18" s="3" t="s">
        <v>220</v>
      </c>
      <c r="B18" s="9" t="s">
        <v>7687</v>
      </c>
      <c r="C18" s="9" t="s">
        <v>7688</v>
      </c>
    </row>
    <row r="19" spans="1:3">
      <c r="A19" s="3" t="s">
        <v>223</v>
      </c>
      <c r="B19" s="9" t="s">
        <v>7687</v>
      </c>
      <c r="C19" s="9" t="s">
        <v>7688</v>
      </c>
    </row>
    <row r="20" spans="1:3">
      <c r="A20" s="3" t="s">
        <v>226</v>
      </c>
      <c r="B20" s="9" t="s">
        <v>7690</v>
      </c>
      <c r="C20" s="9" t="s">
        <v>7689</v>
      </c>
    </row>
    <row r="21" spans="1:3">
      <c r="A21" s="3" t="s">
        <v>229</v>
      </c>
      <c r="B21" s="9" t="s">
        <v>7687</v>
      </c>
      <c r="C21" s="9" t="s">
        <v>7686</v>
      </c>
    </row>
    <row r="22" spans="1:3">
      <c r="A22" s="3" t="s">
        <v>232</v>
      </c>
      <c r="B22" s="9" t="s">
        <v>7685</v>
      </c>
      <c r="C22" s="9" t="s">
        <v>7686</v>
      </c>
    </row>
    <row r="23" spans="1:3">
      <c r="A23" s="3" t="s">
        <v>238</v>
      </c>
      <c r="B23" s="9" t="s">
        <v>7687</v>
      </c>
      <c r="C23" s="9" t="s">
        <v>7686</v>
      </c>
    </row>
    <row r="24" spans="1:3">
      <c r="A24" s="3" t="s">
        <v>241</v>
      </c>
      <c r="B24" s="9" t="s">
        <v>7690</v>
      </c>
      <c r="C24" s="9" t="s">
        <v>7686</v>
      </c>
    </row>
    <row r="25" spans="1:3">
      <c r="A25" s="3" t="s">
        <v>244</v>
      </c>
      <c r="B25" s="9" t="s">
        <v>7690</v>
      </c>
      <c r="C25" s="9" t="s">
        <v>7686</v>
      </c>
    </row>
    <row r="26" spans="1:3">
      <c r="A26" s="3" t="s">
        <v>247</v>
      </c>
      <c r="B26" s="9" t="s">
        <v>7687</v>
      </c>
      <c r="C26" s="9" t="s">
        <v>7688</v>
      </c>
    </row>
    <row r="27" spans="1:3">
      <c r="A27" s="3" t="s">
        <v>250</v>
      </c>
      <c r="B27" s="9" t="s">
        <v>7687</v>
      </c>
      <c r="C27" s="9" t="s">
        <v>7688</v>
      </c>
    </row>
    <row r="28" spans="1:3">
      <c r="A28" s="3" t="s">
        <v>253</v>
      </c>
      <c r="B28" s="9" t="s">
        <v>7687</v>
      </c>
      <c r="C28" s="9" t="s">
        <v>7688</v>
      </c>
    </row>
    <row r="29" spans="1:3">
      <c r="A29" s="3" t="s">
        <v>256</v>
      </c>
      <c r="B29" s="9" t="s">
        <v>7687</v>
      </c>
      <c r="C29" s="9" t="s">
        <v>7688</v>
      </c>
    </row>
    <row r="30" spans="1:3">
      <c r="A30" s="3" t="s">
        <v>259</v>
      </c>
      <c r="B30" s="9" t="s">
        <v>7687</v>
      </c>
      <c r="C30" s="9" t="s">
        <v>7688</v>
      </c>
    </row>
    <row r="31" spans="1:3">
      <c r="A31" s="3" t="s">
        <v>262</v>
      </c>
      <c r="B31" s="9" t="s">
        <v>7687</v>
      </c>
      <c r="C31" s="9" t="s">
        <v>7688</v>
      </c>
    </row>
    <row r="32" spans="1:3">
      <c r="A32" s="3" t="s">
        <v>265</v>
      </c>
      <c r="B32" s="9" t="s">
        <v>7687</v>
      </c>
      <c r="C32" s="9" t="s">
        <v>7688</v>
      </c>
    </row>
    <row r="33" spans="1:3">
      <c r="A33" s="3" t="s">
        <v>268</v>
      </c>
      <c r="B33" s="9" t="s">
        <v>7687</v>
      </c>
      <c r="C33" s="9" t="s">
        <v>7688</v>
      </c>
    </row>
    <row r="34" spans="1:3">
      <c r="A34" s="3" t="s">
        <v>271</v>
      </c>
      <c r="B34" s="9" t="s">
        <v>7687</v>
      </c>
      <c r="C34" s="9" t="s">
        <v>7688</v>
      </c>
    </row>
    <row r="35" spans="1:3">
      <c r="A35" s="3" t="s">
        <v>274</v>
      </c>
      <c r="B35" s="9" t="s">
        <v>7687</v>
      </c>
      <c r="C35" s="9" t="s">
        <v>7688</v>
      </c>
    </row>
    <row r="36" spans="1:3" s="39" customFormat="1" ht="15.75" customHeight="1">
      <c r="A36" s="37" t="s">
        <v>7691</v>
      </c>
      <c r="B36" s="38" t="s">
        <v>7687</v>
      </c>
      <c r="C36" s="38" t="s">
        <v>7688</v>
      </c>
    </row>
    <row r="37" spans="1:3" s="39" customFormat="1">
      <c r="A37" s="37" t="s">
        <v>7692</v>
      </c>
      <c r="B37" s="38" t="s">
        <v>7687</v>
      </c>
      <c r="C37" s="38" t="s">
        <v>7688</v>
      </c>
    </row>
    <row r="38" spans="1:3" s="39" customFormat="1">
      <c r="A38" s="37" t="s">
        <v>7693</v>
      </c>
      <c r="B38" s="38" t="s">
        <v>7687</v>
      </c>
      <c r="C38" s="38" t="s">
        <v>7688</v>
      </c>
    </row>
    <row r="39" spans="1:3">
      <c r="A39" s="3" t="s">
        <v>295</v>
      </c>
      <c r="B39" s="9" t="s">
        <v>7687</v>
      </c>
      <c r="C39" s="9" t="s">
        <v>7688</v>
      </c>
    </row>
    <row r="40" spans="1:3">
      <c r="A40" s="3" t="s">
        <v>298</v>
      </c>
      <c r="B40" s="9" t="s">
        <v>7687</v>
      </c>
      <c r="C40" s="9" t="s">
        <v>7688</v>
      </c>
    </row>
    <row r="41" spans="1:3">
      <c r="A41" s="3" t="s">
        <v>301</v>
      </c>
      <c r="B41" s="9" t="s">
        <v>7687</v>
      </c>
      <c r="C41" s="9" t="s">
        <v>7688</v>
      </c>
    </row>
    <row r="42" spans="1:3">
      <c r="A42" s="3" t="s">
        <v>310</v>
      </c>
      <c r="B42" s="9" t="s">
        <v>7687</v>
      </c>
      <c r="C42" s="9" t="s">
        <v>7688</v>
      </c>
    </row>
    <row r="43" spans="1:3">
      <c r="A43" s="3" t="s">
        <v>312</v>
      </c>
      <c r="B43" s="9" t="s">
        <v>7687</v>
      </c>
      <c r="C43" s="9" t="s">
        <v>7688</v>
      </c>
    </row>
    <row r="44" spans="1:3">
      <c r="A44" s="3" t="s">
        <v>314</v>
      </c>
      <c r="B44" s="9" t="s">
        <v>7687</v>
      </c>
      <c r="C44" s="9" t="s">
        <v>7688</v>
      </c>
    </row>
    <row r="45" spans="1:3">
      <c r="A45" s="3" t="s">
        <v>316</v>
      </c>
      <c r="B45" s="9" t="s">
        <v>7687</v>
      </c>
      <c r="C45" s="9" t="s">
        <v>7686</v>
      </c>
    </row>
    <row r="46" spans="1:3">
      <c r="A46" s="3" t="s">
        <v>330</v>
      </c>
      <c r="B46" s="9" t="s">
        <v>7687</v>
      </c>
      <c r="C46" s="9" t="s">
        <v>7689</v>
      </c>
    </row>
    <row r="47" spans="1:3">
      <c r="A47" s="3" t="s">
        <v>331</v>
      </c>
      <c r="B47" s="9" t="s">
        <v>7687</v>
      </c>
      <c r="C47" s="9" t="s">
        <v>7689</v>
      </c>
    </row>
    <row r="48" spans="1:3">
      <c r="A48" s="3" t="s">
        <v>332</v>
      </c>
      <c r="B48" s="9" t="s">
        <v>7687</v>
      </c>
      <c r="C48" s="9" t="s">
        <v>7689</v>
      </c>
    </row>
    <row r="49" spans="1:3">
      <c r="A49" s="3" t="s">
        <v>333</v>
      </c>
      <c r="B49" s="9" t="s">
        <v>7687</v>
      </c>
      <c r="C49" s="9" t="s">
        <v>7689</v>
      </c>
    </row>
    <row r="50" spans="1:3">
      <c r="A50" s="3" t="s">
        <v>357</v>
      </c>
      <c r="B50" s="9" t="s">
        <v>7687</v>
      </c>
      <c r="C50" s="9" t="s">
        <v>7689</v>
      </c>
    </row>
    <row r="51" spans="1:3">
      <c r="A51" s="3" t="s">
        <v>335</v>
      </c>
      <c r="B51" s="9" t="s">
        <v>7687</v>
      </c>
      <c r="C51" s="9" t="s">
        <v>7686</v>
      </c>
    </row>
    <row r="52" spans="1:3">
      <c r="A52" s="3" t="s">
        <v>336</v>
      </c>
      <c r="B52" s="9" t="s">
        <v>7687</v>
      </c>
      <c r="C52" s="9" t="s">
        <v>7688</v>
      </c>
    </row>
    <row r="53" spans="1:3">
      <c r="A53" s="3" t="s">
        <v>337</v>
      </c>
      <c r="B53" s="9" t="s">
        <v>7687</v>
      </c>
      <c r="C53" s="9" t="s">
        <v>7689</v>
      </c>
    </row>
    <row r="54" spans="1:3">
      <c r="A54" s="3" t="s">
        <v>338</v>
      </c>
      <c r="B54" s="9" t="s">
        <v>7687</v>
      </c>
      <c r="C54" s="9" t="s">
        <v>7689</v>
      </c>
    </row>
    <row r="55" spans="1:3">
      <c r="A55" s="3" t="s">
        <v>339</v>
      </c>
      <c r="B55" s="9" t="s">
        <v>7687</v>
      </c>
      <c r="C55" s="9" t="s">
        <v>7689</v>
      </c>
    </row>
    <row r="56" spans="1:3">
      <c r="A56" s="3" t="s">
        <v>340</v>
      </c>
      <c r="B56" s="9" t="s">
        <v>7687</v>
      </c>
      <c r="C56" s="9" t="s">
        <v>7686</v>
      </c>
    </row>
    <row r="57" spans="1:3">
      <c r="A57" s="3" t="s">
        <v>341</v>
      </c>
      <c r="B57" s="9" t="s">
        <v>7687</v>
      </c>
      <c r="C57" s="9" t="s">
        <v>7688</v>
      </c>
    </row>
    <row r="58" spans="1:3">
      <c r="A58" s="3" t="s">
        <v>342</v>
      </c>
      <c r="B58" s="9" t="s">
        <v>7687</v>
      </c>
      <c r="C58" s="9" t="s">
        <v>7688</v>
      </c>
    </row>
    <row r="59" spans="1:3">
      <c r="A59" s="3" t="s">
        <v>343</v>
      </c>
      <c r="B59" s="9" t="s">
        <v>7685</v>
      </c>
      <c r="C59" s="9" t="s">
        <v>7686</v>
      </c>
    </row>
    <row r="60" spans="1:3">
      <c r="A60" s="3" t="s">
        <v>344</v>
      </c>
      <c r="B60" s="9" t="s">
        <v>7687</v>
      </c>
      <c r="C60" s="9" t="s">
        <v>7686</v>
      </c>
    </row>
    <row r="61" spans="1:3">
      <c r="A61" s="3" t="s">
        <v>351</v>
      </c>
      <c r="B61" s="9" t="s">
        <v>7687</v>
      </c>
      <c r="C61" s="9" t="s">
        <v>7688</v>
      </c>
    </row>
    <row r="62" spans="1:3">
      <c r="A62" s="3" t="s">
        <v>353</v>
      </c>
      <c r="B62" s="9" t="s">
        <v>7687</v>
      </c>
      <c r="C62" s="9" t="s">
        <v>7689</v>
      </c>
    </row>
    <row r="63" spans="1:3">
      <c r="A63" s="3" t="s">
        <v>354</v>
      </c>
      <c r="B63" s="9" t="s">
        <v>7687</v>
      </c>
      <c r="C63" s="9" t="s">
        <v>7689</v>
      </c>
    </row>
    <row r="64" spans="1:3">
      <c r="A64" s="3" t="s">
        <v>355</v>
      </c>
      <c r="B64" s="9" t="s">
        <v>7687</v>
      </c>
      <c r="C64" s="9"/>
    </row>
    <row r="65" spans="1:3">
      <c r="A65" s="3" t="s">
        <v>43</v>
      </c>
      <c r="B65" s="9" t="s">
        <v>7687</v>
      </c>
      <c r="C65" s="9" t="s">
        <v>7694</v>
      </c>
    </row>
    <row r="66" spans="1:3">
      <c r="A66" s="3" t="s">
        <v>55</v>
      </c>
      <c r="B66" s="9" t="s">
        <v>7687</v>
      </c>
      <c r="C66" s="9" t="s">
        <v>7694</v>
      </c>
    </row>
    <row r="67" spans="1:3">
      <c r="A67" s="3" t="s">
        <v>67</v>
      </c>
      <c r="B67" s="9" t="s">
        <v>7687</v>
      </c>
      <c r="C67" s="9" t="s">
        <v>7694</v>
      </c>
    </row>
    <row r="68" spans="1:3">
      <c r="A68" s="3" t="s">
        <v>76</v>
      </c>
      <c r="B68" s="9" t="s">
        <v>7687</v>
      </c>
      <c r="C68" s="9" t="s">
        <v>7694</v>
      </c>
    </row>
    <row r="69" spans="1:3">
      <c r="A69" s="3" t="s">
        <v>85</v>
      </c>
      <c r="B69" s="9" t="s">
        <v>7687</v>
      </c>
      <c r="C69" s="9" t="s">
        <v>7694</v>
      </c>
    </row>
    <row r="70" spans="1:3">
      <c r="A70" s="3" t="s">
        <v>91</v>
      </c>
      <c r="B70" s="9"/>
      <c r="C70" s="9" t="s">
        <v>7688</v>
      </c>
    </row>
    <row r="71" spans="1:3">
      <c r="A71" s="3" t="s">
        <v>111</v>
      </c>
      <c r="B71" s="9" t="s">
        <v>7687</v>
      </c>
      <c r="C71" s="9" t="s">
        <v>7688</v>
      </c>
    </row>
    <row r="72" spans="1:3">
      <c r="A72" s="3" t="s">
        <v>116</v>
      </c>
      <c r="B72" s="9" t="s">
        <v>7687</v>
      </c>
      <c r="C72" s="9" t="s">
        <v>7688</v>
      </c>
    </row>
    <row r="73" spans="1:3">
      <c r="A73" s="3" t="s">
        <v>123</v>
      </c>
      <c r="B73" s="9" t="s">
        <v>7687</v>
      </c>
      <c r="C73" s="9" t="s">
        <v>7694</v>
      </c>
    </row>
    <row r="74" spans="1:3">
      <c r="A74" s="3" t="s">
        <v>130</v>
      </c>
      <c r="B74" s="9" t="s">
        <v>7687</v>
      </c>
      <c r="C74" s="9" t="s">
        <v>7694</v>
      </c>
    </row>
    <row r="75" spans="1:3">
      <c r="A75" s="3" t="s">
        <v>134</v>
      </c>
      <c r="B75" s="9" t="s">
        <v>7687</v>
      </c>
      <c r="C75" s="9" t="s">
        <v>7694</v>
      </c>
    </row>
    <row r="76" spans="1:3">
      <c r="A76" s="3" t="s">
        <v>137</v>
      </c>
      <c r="B76" s="9" t="s">
        <v>7687</v>
      </c>
      <c r="C76" s="9" t="s">
        <v>7694</v>
      </c>
    </row>
    <row r="77" spans="1:3">
      <c r="A77" s="3" t="s">
        <v>160</v>
      </c>
      <c r="B77" s="9" t="s">
        <v>7687</v>
      </c>
      <c r="C77" s="9" t="s">
        <v>7688</v>
      </c>
    </row>
    <row r="78" spans="1:3">
      <c r="A78" t="s">
        <v>164</v>
      </c>
      <c r="B78" s="9" t="s">
        <v>7687</v>
      </c>
      <c r="C78" s="9" t="s">
        <v>7688</v>
      </c>
    </row>
    <row r="79" spans="1:3">
      <c r="A79" s="3" t="s">
        <v>168</v>
      </c>
      <c r="B79" s="9" t="s">
        <v>7687</v>
      </c>
      <c r="C79" s="9" t="s">
        <v>7694</v>
      </c>
    </row>
    <row r="80" spans="1:3">
      <c r="A80" s="3" t="s">
        <v>172</v>
      </c>
      <c r="B80" s="9" t="s">
        <v>7687</v>
      </c>
      <c r="C80" s="9" t="s">
        <v>7694</v>
      </c>
    </row>
    <row r="81" spans="1:3">
      <c r="A81" s="3" t="s">
        <v>176</v>
      </c>
      <c r="B81" s="9" t="s">
        <v>7687</v>
      </c>
      <c r="C81" s="9" t="s">
        <v>7694</v>
      </c>
    </row>
    <row r="82" spans="1:3">
      <c r="A82" s="3" t="s">
        <v>180</v>
      </c>
      <c r="B82" s="9" t="s">
        <v>7687</v>
      </c>
      <c r="C82" s="9" t="s">
        <v>7694</v>
      </c>
    </row>
    <row r="83" spans="1:3">
      <c r="A83" s="3" t="s">
        <v>184</v>
      </c>
      <c r="B83" s="9" t="s">
        <v>7687</v>
      </c>
      <c r="C83" s="9" t="s">
        <v>7694</v>
      </c>
    </row>
    <row r="84" spans="1:3">
      <c r="A84" s="3" t="s">
        <v>188</v>
      </c>
      <c r="B84" s="9" t="s">
        <v>7687</v>
      </c>
      <c r="C84" s="9" t="s">
        <v>7694</v>
      </c>
    </row>
    <row r="85" spans="1:3">
      <c r="A85" s="3" t="s">
        <v>192</v>
      </c>
      <c r="B85" s="9"/>
      <c r="C85" s="9"/>
    </row>
    <row r="86" spans="1:3">
      <c r="A86" s="3" t="s">
        <v>208</v>
      </c>
      <c r="B86" s="9" t="s">
        <v>7687</v>
      </c>
      <c r="C86" s="9" t="s">
        <v>7688</v>
      </c>
    </row>
    <row r="87" spans="1:3">
      <c r="A87" s="3" t="s">
        <v>235</v>
      </c>
      <c r="B87" s="9" t="s">
        <v>7687</v>
      </c>
      <c r="C87" s="9" t="s">
        <v>7686</v>
      </c>
    </row>
    <row r="88" spans="1:3">
      <c r="A88" s="3" t="s">
        <v>277</v>
      </c>
      <c r="B88" s="9" t="s">
        <v>7687</v>
      </c>
      <c r="C88" s="9" t="s">
        <v>7688</v>
      </c>
    </row>
    <row r="89" spans="1:3">
      <c r="A89" s="44" t="s">
        <v>280</v>
      </c>
      <c r="B89" s="9" t="s">
        <v>7687</v>
      </c>
      <c r="C89" s="9" t="s">
        <v>7688</v>
      </c>
    </row>
    <row r="90" spans="1:3">
      <c r="A90" s="44" t="s">
        <v>283</v>
      </c>
      <c r="B90" s="9" t="s">
        <v>7687</v>
      </c>
      <c r="C90" s="9" t="s">
        <v>7688</v>
      </c>
    </row>
    <row r="91" spans="1:3">
      <c r="A91" s="44" t="s">
        <v>286</v>
      </c>
      <c r="B91" s="9" t="s">
        <v>7687</v>
      </c>
      <c r="C91" s="9" t="s">
        <v>7688</v>
      </c>
    </row>
    <row r="92" spans="1:3">
      <c r="A92" s="3" t="s">
        <v>289</v>
      </c>
      <c r="B92" s="9" t="s">
        <v>7687</v>
      </c>
      <c r="C92" s="9" t="s">
        <v>7688</v>
      </c>
    </row>
    <row r="93" spans="1:3">
      <c r="A93" s="3" t="s">
        <v>292</v>
      </c>
      <c r="B93" s="9" t="s">
        <v>7687</v>
      </c>
      <c r="C93" s="9" t="s">
        <v>7688</v>
      </c>
    </row>
    <row r="94" spans="1:3">
      <c r="A94" s="3" t="s">
        <v>304</v>
      </c>
      <c r="B94" s="9" t="s">
        <v>7687</v>
      </c>
      <c r="C94" s="9" t="s">
        <v>7688</v>
      </c>
    </row>
    <row r="95" spans="1:3">
      <c r="A95" s="3" t="s">
        <v>307</v>
      </c>
      <c r="B95" s="9" t="s">
        <v>7687</v>
      </c>
      <c r="C95" s="9" t="s">
        <v>7694</v>
      </c>
    </row>
    <row r="96" spans="1:3">
      <c r="A96" s="3" t="s">
        <v>318</v>
      </c>
      <c r="B96" s="9" t="s">
        <v>7687</v>
      </c>
      <c r="C96" s="9" t="s">
        <v>7694</v>
      </c>
    </row>
    <row r="97" spans="1:3">
      <c r="A97" s="3" t="s">
        <v>320</v>
      </c>
      <c r="B97" s="9" t="s">
        <v>7687</v>
      </c>
      <c r="C97" s="9" t="s">
        <v>7694</v>
      </c>
    </row>
    <row r="98" spans="1:3">
      <c r="A98" s="3" t="s">
        <v>322</v>
      </c>
      <c r="B98" s="9" t="s">
        <v>7687</v>
      </c>
      <c r="C98" s="9" t="s">
        <v>7694</v>
      </c>
    </row>
    <row r="99" spans="1:3">
      <c r="A99" s="3" t="s">
        <v>324</v>
      </c>
      <c r="B99" s="9" t="s">
        <v>7687</v>
      </c>
      <c r="C99" s="9" t="s">
        <v>7694</v>
      </c>
    </row>
    <row r="100" spans="1:3">
      <c r="A100" s="3" t="s">
        <v>325</v>
      </c>
      <c r="B100" s="9" t="s">
        <v>7687</v>
      </c>
      <c r="C100" s="9" t="s">
        <v>7694</v>
      </c>
    </row>
    <row r="101" spans="1:3">
      <c r="A101" s="3" t="s">
        <v>326</v>
      </c>
      <c r="B101" s="9" t="s">
        <v>7687</v>
      </c>
      <c r="C101" s="9" t="s">
        <v>7694</v>
      </c>
    </row>
    <row r="102" spans="1:3">
      <c r="A102" s="3" t="s">
        <v>327</v>
      </c>
      <c r="B102" s="9" t="s">
        <v>7687</v>
      </c>
      <c r="C102" s="9" t="s">
        <v>7694</v>
      </c>
    </row>
    <row r="103" spans="1:3">
      <c r="A103" s="3" t="s">
        <v>328</v>
      </c>
      <c r="B103" s="9" t="s">
        <v>7687</v>
      </c>
      <c r="C103" s="9" t="s">
        <v>7694</v>
      </c>
    </row>
    <row r="104" spans="1:3">
      <c r="A104" s="3" t="s">
        <v>329</v>
      </c>
      <c r="B104" s="9" t="s">
        <v>7687</v>
      </c>
      <c r="C104" s="9" t="s">
        <v>7694</v>
      </c>
    </row>
    <row r="105" spans="1:3">
      <c r="A105" s="3" t="s">
        <v>334</v>
      </c>
      <c r="B105" s="9" t="s">
        <v>7687</v>
      </c>
      <c r="C105" s="9" t="s">
        <v>7686</v>
      </c>
    </row>
    <row r="106" spans="1:3">
      <c r="A106" s="3" t="s">
        <v>345</v>
      </c>
      <c r="B106" s="9" t="s">
        <v>7687</v>
      </c>
      <c r="C106" s="9" t="s">
        <v>7689</v>
      </c>
    </row>
    <row r="107" spans="1:3">
      <c r="A107" s="3" t="s">
        <v>346</v>
      </c>
      <c r="B107" s="9" t="s">
        <v>7687</v>
      </c>
      <c r="C107" s="9" t="s">
        <v>7689</v>
      </c>
    </row>
    <row r="108" spans="1:3">
      <c r="A108" s="3" t="s">
        <v>347</v>
      </c>
      <c r="B108" s="9" t="s">
        <v>7687</v>
      </c>
      <c r="C108" s="9" t="s">
        <v>7694</v>
      </c>
    </row>
    <row r="109" spans="1:3">
      <c r="A109" s="3" t="s">
        <v>348</v>
      </c>
      <c r="B109" s="9" t="s">
        <v>7687</v>
      </c>
      <c r="C109" s="9" t="s">
        <v>7688</v>
      </c>
    </row>
    <row r="110" spans="1:3">
      <c r="A110" s="3" t="s">
        <v>349</v>
      </c>
      <c r="B110" s="9" t="s">
        <v>7687</v>
      </c>
      <c r="C110" s="9" t="s">
        <v>7688</v>
      </c>
    </row>
    <row r="111" spans="1:3">
      <c r="A111" s="3" t="s">
        <v>350</v>
      </c>
      <c r="B111" s="9" t="s">
        <v>7687</v>
      </c>
      <c r="C111" s="9" t="s">
        <v>7688</v>
      </c>
    </row>
    <row r="112" spans="1:3">
      <c r="A112" s="15" t="s">
        <v>352</v>
      </c>
      <c r="B112" s="9" t="s">
        <v>7687</v>
      </c>
      <c r="C112" s="9" t="s">
        <v>7686</v>
      </c>
    </row>
    <row r="113" spans="1:3">
      <c r="A113" s="3" t="s">
        <v>356</v>
      </c>
      <c r="B113" s="9" t="s">
        <v>7687</v>
      </c>
      <c r="C113" s="9" t="s">
        <v>7694</v>
      </c>
    </row>
    <row r="114" spans="1:3">
      <c r="A114" s="3" t="s">
        <v>359</v>
      </c>
      <c r="B114" s="9" t="s">
        <v>7687</v>
      </c>
      <c r="C114" s="9" t="s">
        <v>7695</v>
      </c>
    </row>
    <row r="115" spans="1:3">
      <c r="A115" s="3" t="s">
        <v>360</v>
      </c>
      <c r="B115" s="9" t="s">
        <v>7687</v>
      </c>
      <c r="C115" s="9" t="s">
        <v>7695</v>
      </c>
    </row>
    <row r="116" spans="1:3">
      <c r="A116" s="3" t="s">
        <v>361</v>
      </c>
      <c r="B116" s="9" t="s">
        <v>7687</v>
      </c>
      <c r="C116" s="9" t="s">
        <v>7695</v>
      </c>
    </row>
    <row r="117" spans="1:3">
      <c r="A117" s="3" t="s">
        <v>362</v>
      </c>
      <c r="B117" s="9" t="s">
        <v>7687</v>
      </c>
      <c r="C117" s="9" t="s">
        <v>7695</v>
      </c>
    </row>
    <row r="118" spans="1:3">
      <c r="A118" s="3" t="s">
        <v>363</v>
      </c>
      <c r="B118" s="9" t="s">
        <v>7687</v>
      </c>
      <c r="C118" s="9" t="s">
        <v>7695</v>
      </c>
    </row>
    <row r="119" spans="1:3">
      <c r="A119" s="3" t="s">
        <v>364</v>
      </c>
      <c r="B119" s="9" t="s">
        <v>7687</v>
      </c>
      <c r="C119" s="9" t="s">
        <v>7695</v>
      </c>
    </row>
    <row r="120" spans="1:3">
      <c r="A120" s="3" t="s">
        <v>365</v>
      </c>
      <c r="B120" s="9" t="s">
        <v>7687</v>
      </c>
      <c r="C120" s="9" t="s">
        <v>7695</v>
      </c>
    </row>
    <row r="121" spans="1:3">
      <c r="A121" s="3" t="s">
        <v>366</v>
      </c>
      <c r="B121" s="9" t="s">
        <v>7687</v>
      </c>
      <c r="C121" s="9" t="s">
        <v>7695</v>
      </c>
    </row>
    <row r="122" spans="1:3">
      <c r="A122" s="3" t="s">
        <v>367</v>
      </c>
      <c r="B122" s="9" t="s">
        <v>7687</v>
      </c>
      <c r="C122" s="9" t="s">
        <v>7695</v>
      </c>
    </row>
    <row r="123" spans="1:3">
      <c r="A123" s="3" t="s">
        <v>368</v>
      </c>
      <c r="B123" s="9" t="s">
        <v>7687</v>
      </c>
      <c r="C123" s="9" t="s">
        <v>7695</v>
      </c>
    </row>
    <row r="124" spans="1:3">
      <c r="A124" s="3" t="s">
        <v>370</v>
      </c>
      <c r="B124" s="9" t="s">
        <v>7687</v>
      </c>
      <c r="C124" s="9" t="s">
        <v>7695</v>
      </c>
    </row>
    <row r="125" spans="1:3">
      <c r="A125" s="3" t="s">
        <v>369</v>
      </c>
      <c r="B125" s="9" t="s">
        <v>7687</v>
      </c>
      <c r="C125" s="9" t="s">
        <v>7695</v>
      </c>
    </row>
    <row r="126" spans="1:3">
      <c r="A126" s="3" t="s">
        <v>371</v>
      </c>
      <c r="B126" s="9" t="s">
        <v>7687</v>
      </c>
      <c r="C126" s="9" t="s">
        <v>7695</v>
      </c>
    </row>
    <row r="127" spans="1:3">
      <c r="A127" s="3" t="s">
        <v>372</v>
      </c>
      <c r="B127" s="9" t="s">
        <v>7687</v>
      </c>
      <c r="C127" s="9" t="s">
        <v>7695</v>
      </c>
    </row>
    <row r="128" spans="1:3">
      <c r="A128" s="3" t="s">
        <v>373</v>
      </c>
      <c r="B128" s="9" t="s">
        <v>7687</v>
      </c>
      <c r="C128" s="9" t="s">
        <v>7695</v>
      </c>
    </row>
    <row r="129" spans="1:3">
      <c r="A129" s="3" t="s">
        <v>374</v>
      </c>
      <c r="B129" s="9" t="s">
        <v>7687</v>
      </c>
      <c r="C129" s="9" t="s">
        <v>7695</v>
      </c>
    </row>
    <row r="130" spans="1:3">
      <c r="A130" s="46" t="s">
        <v>375</v>
      </c>
      <c r="B130" s="60" t="s">
        <v>7687</v>
      </c>
      <c r="C130" s="60" t="s">
        <v>7695</v>
      </c>
    </row>
    <row r="131" spans="1:3">
      <c r="A131" s="3" t="s">
        <v>376</v>
      </c>
      <c r="B131" s="9" t="s">
        <v>7688</v>
      </c>
      <c r="C131" s="9" t="s">
        <v>7688</v>
      </c>
    </row>
    <row r="132" spans="1:3">
      <c r="A132" s="61" t="s">
        <v>377</v>
      </c>
      <c r="B132" s="40"/>
      <c r="C132" s="40"/>
    </row>
    <row r="133" spans="1:3">
      <c r="A133" s="3" t="s">
        <v>379</v>
      </c>
      <c r="B133" s="9" t="s">
        <v>7687</v>
      </c>
      <c r="C133" s="9" t="s">
        <v>7696</v>
      </c>
    </row>
    <row r="134" spans="1:3">
      <c r="A134" s="3" t="s">
        <v>380</v>
      </c>
      <c r="B134" s="9" t="s">
        <v>7687</v>
      </c>
      <c r="C134" s="9" t="s">
        <v>7696</v>
      </c>
    </row>
    <row r="135" spans="1:3">
      <c r="A135" s="3" t="s">
        <v>381</v>
      </c>
      <c r="B135" s="9" t="s">
        <v>7687</v>
      </c>
      <c r="C135" s="9" t="s">
        <v>7696</v>
      </c>
    </row>
    <row r="136" spans="1:3">
      <c r="A136" s="3" t="s">
        <v>383</v>
      </c>
      <c r="B136" s="9" t="s">
        <v>7687</v>
      </c>
      <c r="C136" s="9" t="s">
        <v>7697</v>
      </c>
    </row>
    <row r="137" spans="1:3">
      <c r="A137" s="3" t="s">
        <v>382</v>
      </c>
      <c r="B137" s="9" t="s">
        <v>7687</v>
      </c>
      <c r="C137" s="9" t="s">
        <v>7697</v>
      </c>
    </row>
    <row r="138" spans="1:3">
      <c r="A138" s="3" t="s">
        <v>384</v>
      </c>
      <c r="B138" s="9" t="s">
        <v>7687</v>
      </c>
      <c r="C138" s="9" t="s">
        <v>7697</v>
      </c>
    </row>
    <row r="139" spans="1:3">
      <c r="A139" s="3" t="s">
        <v>385</v>
      </c>
      <c r="B139" s="9" t="s">
        <v>7687</v>
      </c>
      <c r="C139" s="9" t="s">
        <v>7697</v>
      </c>
    </row>
    <row r="140" spans="1:3">
      <c r="A140" s="3" t="s">
        <v>386</v>
      </c>
      <c r="B140" s="9" t="s">
        <v>7687</v>
      </c>
      <c r="C140" s="9" t="s">
        <v>7696</v>
      </c>
    </row>
    <row r="141" spans="1:3">
      <c r="A141" s="3" t="s">
        <v>387</v>
      </c>
      <c r="B141" s="9" t="s">
        <v>7687</v>
      </c>
      <c r="C141" s="9" t="s">
        <v>7686</v>
      </c>
    </row>
    <row r="142" spans="1:3">
      <c r="A142" s="3" t="s">
        <v>388</v>
      </c>
      <c r="B142" s="9" t="s">
        <v>7687</v>
      </c>
      <c r="C142" s="9" t="s">
        <v>7688</v>
      </c>
    </row>
    <row r="143" spans="1:3">
      <c r="A143" s="3" t="s">
        <v>389</v>
      </c>
      <c r="B143" s="9" t="s">
        <v>7687</v>
      </c>
      <c r="C143" s="9" t="s">
        <v>7696</v>
      </c>
    </row>
    <row r="144" spans="1:3">
      <c r="A144" s="3" t="s">
        <v>390</v>
      </c>
      <c r="B144" s="9" t="s">
        <v>7687</v>
      </c>
      <c r="C144" s="9" t="s">
        <v>7696</v>
      </c>
    </row>
    <row r="145" spans="1:3">
      <c r="A145" s="3" t="s">
        <v>391</v>
      </c>
      <c r="B145" s="9" t="s">
        <v>7687</v>
      </c>
      <c r="C145" s="9" t="s">
        <v>7697</v>
      </c>
    </row>
    <row r="146" spans="1:3">
      <c r="A146" s="3" t="s">
        <v>392</v>
      </c>
      <c r="B146" s="9" t="s">
        <v>7687</v>
      </c>
      <c r="C146" s="9" t="s">
        <v>7696</v>
      </c>
    </row>
    <row r="147" spans="1:3">
      <c r="A147" s="3" t="s">
        <v>393</v>
      </c>
      <c r="B147" s="9" t="s">
        <v>7687</v>
      </c>
      <c r="C147" s="9" t="s">
        <v>7697</v>
      </c>
    </row>
    <row r="148" spans="1:3">
      <c r="A148" s="3" t="s">
        <v>394</v>
      </c>
      <c r="B148" s="9"/>
      <c r="C148" s="9"/>
    </row>
    <row r="149" spans="1:3">
      <c r="A149" s="3" t="s">
        <v>395</v>
      </c>
      <c r="B149" s="9"/>
      <c r="C149" s="9"/>
    </row>
    <row r="150" spans="1:3">
      <c r="A150" s="3" t="s">
        <v>396</v>
      </c>
      <c r="B150" s="9"/>
      <c r="C150" s="9"/>
    </row>
    <row r="151" spans="1:3">
      <c r="A151" s="3" t="s">
        <v>397</v>
      </c>
      <c r="B151" s="9"/>
      <c r="C151" s="9"/>
    </row>
  </sheetData>
  <autoFilter ref="A1:C151" xr:uid="{00000000-0009-0000-0000-000008000000}"/>
  <customSheetViews>
    <customSheetView guid="{C3BDEBE1-7FE5-4B62-8359-C0142BCD2F22}" showAutoFilter="1" topLeftCell="A61">
      <selection activeCell="A88" sqref="A88"/>
      <pageMargins left="0" right="0" top="0" bottom="0" header="0" footer="0"/>
      <pageSetup paperSize="9" orientation="portrait" r:id="rId1"/>
      <autoFilter ref="A1:C151" xr:uid="{37F19600-1CA8-41E9-BB9F-AA1D972627C1}"/>
    </customSheetView>
    <customSheetView guid="{220F5BDC-E9AE-407F-A093-9337F2810863}" showPageBreaks="1" showAutoFilter="1" topLeftCell="A101">
      <selection activeCell="A111" sqref="A111"/>
      <pageMargins left="0" right="0" top="0" bottom="0" header="0" footer="0"/>
      <pageSetup paperSize="9" orientation="portrait" r:id="rId2"/>
      <autoFilter ref="A1:D151" xr:uid="{BD14D3F7-3F1F-4746-9055-970C54680F21}"/>
    </customSheetView>
    <customSheetView guid="{B055717C-E0BF-453A-AEA8-EC68CC771452}" showAutoFilter="1" topLeftCell="A126">
      <selection activeCell="B147" sqref="B147"/>
      <pageMargins left="0" right="0" top="0" bottom="0" header="0" footer="0"/>
      <pageSetup paperSize="9" orientation="portrait" r:id="rId3"/>
      <autoFilter ref="A1:D151" xr:uid="{A9CB987F-26C6-441F-9CF0-B95120454DD2}"/>
    </customSheetView>
    <customSheetView guid="{68CC2FEA-F53F-4571-B62F-1D319462DEF1}" showAutoFilter="1">
      <selection activeCell="B101" sqref="B101"/>
      <pageMargins left="0" right="0" top="0" bottom="0" header="0" footer="0"/>
      <autoFilter ref="A1:C115" xr:uid="{98ECD429-C4E9-425F-91F0-084683B20581}"/>
    </customSheetView>
    <customSheetView guid="{F6BC0BF9-6519-4B94-B0E7-47C212373C08}" filter="1" showAutoFilter="1">
      <selection activeCell="B123" sqref="B123"/>
      <pageMargins left="0" right="0" top="0" bottom="0" header="0" footer="0"/>
      <autoFilter ref="A1:D115" xr:uid="{065D91AF-4BA1-4F0C-8560-24D4AD394ECB}">
        <filterColumn colId="0">
          <filters>
            <filter val="SULFATO DE ZINC HEPTAHIDRATADO"/>
          </filters>
        </filterColumn>
      </autoFilter>
    </customSheetView>
    <customSheetView guid="{ADD83179-2936-4280-B4DE-3112CF12D693}" showAutoFilter="1" topLeftCell="A114">
      <selection activeCell="A128" sqref="A128"/>
      <pageMargins left="0" right="0" top="0" bottom="0" header="0" footer="0"/>
      <pageSetup paperSize="9" orientation="portrait" r:id="rId4"/>
      <autoFilter ref="A1:D143" xr:uid="{FB759AFA-A997-4D90-A3E6-5112E8502DE6}"/>
    </customSheetView>
    <customSheetView guid="{AEFBDBB7-289B-444B-BF38-32A692FA795A}" showAutoFilter="1" topLeftCell="A129">
      <selection activeCell="A149" sqref="A149"/>
      <pageMargins left="0" right="0" top="0" bottom="0" header="0" footer="0"/>
      <pageSetup paperSize="9" orientation="portrait" r:id="rId5"/>
      <autoFilter ref="A1:D146" xr:uid="{1B302E83-DAB5-41B7-B3B4-C58EDAC229F5}"/>
    </customSheetView>
    <customSheetView guid="{498F950A-284B-4B7A-9B00-46A2CF82C173}" showAutoFilter="1" topLeftCell="A126">
      <selection activeCell="B147" sqref="B147"/>
      <pageMargins left="0" right="0" top="0" bottom="0" header="0" footer="0"/>
      <pageSetup paperSize="9" orientation="portrait" r:id="rId6"/>
      <autoFilter ref="A1:D151" xr:uid="{7EEFBD30-F2A1-4A3F-864D-86D2E167ABE4}"/>
    </customSheetView>
    <customSheetView guid="{CC36E1BD-DF5E-4D5B-9FC2-B924ABF96C1E}" showAutoFilter="1" topLeftCell="A95">
      <selection activeCell="A111" sqref="A111"/>
      <pageMargins left="0" right="0" top="0" bottom="0" header="0" footer="0"/>
      <pageSetup paperSize="9" orientation="portrait" r:id="rId7"/>
      <autoFilter ref="A1:D151" xr:uid="{C73B04AC-DFFE-46CE-B511-AA533233591F}"/>
    </customSheetView>
    <customSheetView guid="{E2CEA185-21A6-4032-89CA-3467498190CE}" showPageBreaks="1" showAutoFilter="1">
      <selection activeCell="D2" sqref="D2"/>
      <pageMargins left="0" right="0" top="0" bottom="0" header="0" footer="0"/>
      <pageSetup paperSize="9" orientation="portrait" r:id="rId8"/>
      <autoFilter ref="A1:D151" xr:uid="{05791459-1B6D-4C58-84CB-3D50BA86BB20}"/>
    </customSheetView>
    <customSheetView guid="{3AED3352-1813-42FB-AD00-B0300DBB9DDD}" showAutoFilter="1" state="hidden" topLeftCell="A95">
      <selection activeCell="A111" sqref="A111"/>
      <pageMargins left="0" right="0" top="0" bottom="0" header="0" footer="0"/>
      <pageSetup paperSize="9" orientation="portrait" r:id="rId9"/>
      <autoFilter ref="A1:D151" xr:uid="{547B9441-CF02-4650-9F28-88F5358D7CEC}"/>
    </customSheetView>
    <customSheetView guid="{47D365F7-A5C0-4967-9195-712416C433A6}" showAutoFilter="1" topLeftCell="A61">
      <selection activeCell="C1" sqref="C1"/>
      <pageMargins left="0" right="0" top="0" bottom="0" header="0" footer="0"/>
      <pageSetup paperSize="9" orientation="portrait" r:id="rId10"/>
      <autoFilter ref="A1:C151" xr:uid="{C9FB4EA3-43A4-446E-B99F-BD74565C1847}"/>
    </customSheetView>
    <customSheetView guid="{033F40BA-1316-4994-A3E1-6A590246BC17}" showAutoFilter="1" topLeftCell="A61">
      <selection activeCell="C1" sqref="C1"/>
      <pageMargins left="0" right="0" top="0" bottom="0" header="0" footer="0"/>
      <pageSetup paperSize="9" orientation="portrait" r:id="rId11"/>
      <autoFilter ref="A1:C151" xr:uid="{2097F76C-60DA-4662-A41D-B380246D4FBE}"/>
    </customSheetView>
    <customSheetView guid="{B8744A8F-5701-468A-980B-669E92146399}" showAutoFilter="1" topLeftCell="A61">
      <selection activeCell="C1" sqref="C1"/>
      <pageMargins left="0" right="0" top="0" bottom="0" header="0" footer="0"/>
      <pageSetup paperSize="9" orientation="portrait" r:id="rId12"/>
      <autoFilter ref="A1:C151" xr:uid="{1A23037B-072B-4344-ABB0-DA536FE6C8E2}"/>
    </customSheetView>
    <customSheetView guid="{49F08520-9D55-4669-904F-FCC3B78183BE}" showAutoFilter="1" topLeftCell="A61">
      <selection activeCell="C1" sqref="C1"/>
      <pageMargins left="0" right="0" top="0" bottom="0" header="0" footer="0"/>
      <pageSetup paperSize="9" orientation="portrait" r:id="rId13"/>
      <autoFilter ref="A1:C151" xr:uid="{22C694B9-205C-49A0-83FB-C21896677A89}"/>
    </customSheetView>
    <customSheetView guid="{64DD6D4C-DC7E-42A4-8293-23757F1E95CA}" showAutoFilter="1" topLeftCell="A61">
      <selection activeCell="C1" sqref="C1"/>
      <pageMargins left="0" right="0" top="0" bottom="0" header="0" footer="0"/>
      <pageSetup paperSize="9" orientation="portrait" r:id="rId14"/>
      <autoFilter ref="A1:C151" xr:uid="{6DEA5EDB-C68B-41D4-B127-AB25177E1506}"/>
    </customSheetView>
    <customSheetView guid="{20DDCD40-9DEC-4E0C-BDFD-5753C11CFC19}" showAutoFilter="1" topLeftCell="A61">
      <selection activeCell="A88" sqref="A88"/>
      <pageMargins left="0" right="0" top="0" bottom="0" header="0" footer="0"/>
      <pageSetup paperSize="9" orientation="portrait" r:id="rId15"/>
      <autoFilter ref="A1:C151" xr:uid="{063DF534-E4E2-41A3-AC2A-30D5A0DE8C0F}"/>
    </customSheetView>
    <customSheetView guid="{4E878A97-87CB-403A-861C-A937390C8303}" showAutoFilter="1" topLeftCell="A61">
      <selection activeCell="C1" sqref="C1"/>
      <pageMargins left="0" right="0" top="0" bottom="0" header="0" footer="0"/>
      <pageSetup paperSize="9" orientation="portrait" r:id="rId16"/>
      <autoFilter ref="A1:C151" xr:uid="{02B228CE-176F-4759-ABEE-4129249D2906}"/>
    </customSheetView>
    <customSheetView guid="{FAB61CF4-5569-4DB9-9F8E-D118164D900A}" showAutoFilter="1" topLeftCell="A61">
      <selection activeCell="C1" sqref="C1"/>
      <pageMargins left="0" right="0" top="0" bottom="0" header="0" footer="0"/>
      <pageSetup paperSize="9" orientation="portrait" r:id="rId17"/>
      <autoFilter ref="A1:C151" xr:uid="{15F90778-9063-4F48-A0BF-7D8E547E5F4A}"/>
    </customSheetView>
  </customSheetViews>
  <pageMargins left="0.7" right="0.7" top="0.75" bottom="0.75" header="0.3" footer="0.3"/>
  <pageSetup paperSize="9" orientation="portrait" r:id="rId18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2:H150"/>
  <sheetViews>
    <sheetView topLeftCell="A28" workbookViewId="0">
      <selection activeCell="G19" sqref="G19"/>
    </sheetView>
  </sheetViews>
  <sheetFormatPr baseColWidth="10" defaultColWidth="11.5703125" defaultRowHeight="15"/>
  <cols>
    <col min="2" max="2" width="40.28515625" customWidth="1"/>
    <col min="3" max="3" width="16.28515625" customWidth="1"/>
    <col min="4" max="4" width="11.5703125" hidden="1" customWidth="1"/>
    <col min="6" max="6" width="36.7109375" customWidth="1"/>
  </cols>
  <sheetData>
    <row r="2" spans="2:8">
      <c r="F2" s="67" t="s">
        <v>421</v>
      </c>
      <c r="G2" s="67" t="s">
        <v>7699</v>
      </c>
      <c r="H2" s="67" t="s">
        <v>7684</v>
      </c>
    </row>
    <row r="3" spans="2:8">
      <c r="B3" s="68" t="s">
        <v>7700</v>
      </c>
      <c r="C3" s="68" t="s">
        <v>7701</v>
      </c>
      <c r="D3" s="68" t="s">
        <v>7684</v>
      </c>
      <c r="F3" s="69" t="s">
        <v>6704</v>
      </c>
      <c r="G3" s="9" t="s">
        <v>7702</v>
      </c>
      <c r="H3" s="70" t="s">
        <v>7703</v>
      </c>
    </row>
    <row r="4" spans="2:8">
      <c r="B4" s="71" t="s">
        <v>354</v>
      </c>
      <c r="C4" s="72" t="s">
        <v>7704</v>
      </c>
      <c r="D4" s="70" t="s">
        <v>7705</v>
      </c>
      <c r="F4" s="69" t="s">
        <v>7706</v>
      </c>
      <c r="G4" s="9" t="s">
        <v>7702</v>
      </c>
      <c r="H4" s="70" t="s">
        <v>7705</v>
      </c>
    </row>
    <row r="5" spans="2:8">
      <c r="B5" s="71" t="s">
        <v>226</v>
      </c>
      <c r="C5" s="72" t="s">
        <v>7704</v>
      </c>
      <c r="D5" s="70" t="s">
        <v>7705</v>
      </c>
      <c r="F5" s="69" t="s">
        <v>7707</v>
      </c>
      <c r="G5" s="9" t="s">
        <v>7702</v>
      </c>
      <c r="H5" s="70" t="s">
        <v>7708</v>
      </c>
    </row>
    <row r="6" spans="2:8">
      <c r="B6" s="73" t="s">
        <v>383</v>
      </c>
      <c r="C6" s="74" t="s">
        <v>7709</v>
      </c>
      <c r="F6" s="69" t="s">
        <v>7710</v>
      </c>
      <c r="G6" s="9" t="s">
        <v>7702</v>
      </c>
      <c r="H6" s="70" t="s">
        <v>7708</v>
      </c>
    </row>
    <row r="7" spans="2:8">
      <c r="B7" s="73" t="s">
        <v>357</v>
      </c>
      <c r="C7" s="74" t="s">
        <v>7709</v>
      </c>
      <c r="F7" s="69" t="s">
        <v>7711</v>
      </c>
      <c r="G7" s="9" t="s">
        <v>7702</v>
      </c>
      <c r="H7" s="70" t="s">
        <v>7705</v>
      </c>
    </row>
    <row r="8" spans="2:8">
      <c r="B8" s="73" t="s">
        <v>142</v>
      </c>
      <c r="C8" s="74" t="s">
        <v>7709</v>
      </c>
      <c r="D8" s="70" t="s">
        <v>7705</v>
      </c>
      <c r="F8" s="69" t="s">
        <v>379</v>
      </c>
      <c r="G8" s="9" t="s">
        <v>7702</v>
      </c>
      <c r="H8" s="70" t="s">
        <v>7712</v>
      </c>
    </row>
    <row r="9" spans="2:8">
      <c r="B9" s="73" t="s">
        <v>340</v>
      </c>
      <c r="C9" s="74" t="s">
        <v>7709</v>
      </c>
      <c r="F9" s="69" t="s">
        <v>7713</v>
      </c>
      <c r="G9" s="9" t="s">
        <v>7702</v>
      </c>
      <c r="H9" s="70" t="s">
        <v>7705</v>
      </c>
    </row>
    <row r="10" spans="2:8">
      <c r="B10" s="73" t="s">
        <v>104</v>
      </c>
      <c r="C10" s="74" t="s">
        <v>7709</v>
      </c>
      <c r="F10" s="69" t="s">
        <v>381</v>
      </c>
      <c r="G10" s="9" t="s">
        <v>7702</v>
      </c>
      <c r="H10" s="70" t="s">
        <v>7712</v>
      </c>
    </row>
    <row r="11" spans="2:8">
      <c r="B11" s="73" t="s">
        <v>335</v>
      </c>
      <c r="C11" s="74" t="s">
        <v>7709</v>
      </c>
      <c r="F11" s="69" t="s">
        <v>2</v>
      </c>
      <c r="G11" s="9" t="s">
        <v>7702</v>
      </c>
      <c r="H11" s="70" t="s">
        <v>7708</v>
      </c>
    </row>
    <row r="12" spans="2:8">
      <c r="B12" s="73" t="s">
        <v>147</v>
      </c>
      <c r="C12" s="74" t="s">
        <v>7709</v>
      </c>
      <c r="F12" s="69" t="s">
        <v>353</v>
      </c>
      <c r="G12" s="9" t="s">
        <v>7702</v>
      </c>
      <c r="H12" s="70" t="s">
        <v>7705</v>
      </c>
    </row>
    <row r="13" spans="2:8">
      <c r="B13" s="73" t="s">
        <v>7714</v>
      </c>
      <c r="C13" s="74" t="s">
        <v>7709</v>
      </c>
      <c r="F13" s="69" t="s">
        <v>7715</v>
      </c>
      <c r="G13" s="9" t="s">
        <v>7702</v>
      </c>
      <c r="H13" s="70" t="s">
        <v>7705</v>
      </c>
    </row>
    <row r="14" spans="2:8">
      <c r="B14" s="73" t="s">
        <v>2</v>
      </c>
      <c r="C14" s="74" t="s">
        <v>7709</v>
      </c>
      <c r="F14" s="69" t="s">
        <v>7716</v>
      </c>
      <c r="G14" s="9" t="s">
        <v>7702</v>
      </c>
      <c r="H14" s="70" t="s">
        <v>7717</v>
      </c>
    </row>
    <row r="15" spans="2:8">
      <c r="B15" s="75" t="s">
        <v>7718</v>
      </c>
      <c r="C15" s="76" t="s">
        <v>407</v>
      </c>
      <c r="F15" s="69" t="s">
        <v>7719</v>
      </c>
      <c r="G15" s="9" t="s">
        <v>7702</v>
      </c>
      <c r="H15" s="70" t="s">
        <v>7708</v>
      </c>
    </row>
    <row r="16" spans="2:8">
      <c r="B16" s="75" t="s">
        <v>241</v>
      </c>
      <c r="C16" s="76" t="s">
        <v>407</v>
      </c>
      <c r="F16" s="69" t="s">
        <v>7720</v>
      </c>
      <c r="G16" s="9" t="s">
        <v>407</v>
      </c>
      <c r="H16" s="70" t="s">
        <v>7705</v>
      </c>
    </row>
    <row r="17" spans="2:8">
      <c r="B17" s="75" t="s">
        <v>353</v>
      </c>
      <c r="C17" s="76" t="s">
        <v>407</v>
      </c>
      <c r="F17" s="69" t="s">
        <v>7721</v>
      </c>
      <c r="G17" s="9" t="s">
        <v>407</v>
      </c>
      <c r="H17" s="70" t="s">
        <v>7717</v>
      </c>
    </row>
    <row r="18" spans="2:8">
      <c r="B18" s="75" t="s">
        <v>7722</v>
      </c>
      <c r="C18" s="76" t="s">
        <v>407</v>
      </c>
      <c r="F18" s="69" t="s">
        <v>7723</v>
      </c>
      <c r="G18" s="9" t="s">
        <v>407</v>
      </c>
      <c r="H18" s="70" t="s">
        <v>7724</v>
      </c>
    </row>
    <row r="19" spans="2:8">
      <c r="B19" s="75" t="s">
        <v>339</v>
      </c>
      <c r="C19" s="76" t="s">
        <v>407</v>
      </c>
      <c r="F19" s="69" t="s">
        <v>7725</v>
      </c>
      <c r="G19" s="9" t="s">
        <v>407</v>
      </c>
      <c r="H19" s="70" t="s">
        <v>7705</v>
      </c>
    </row>
    <row r="20" spans="2:8">
      <c r="B20" s="75" t="s">
        <v>386</v>
      </c>
      <c r="C20" s="76" t="s">
        <v>407</v>
      </c>
      <c r="F20" s="69" t="s">
        <v>7726</v>
      </c>
      <c r="G20" s="9" t="s">
        <v>407</v>
      </c>
      <c r="H20" s="70" t="s">
        <v>7712</v>
      </c>
    </row>
    <row r="21" spans="2:8">
      <c r="B21" s="75" t="s">
        <v>343</v>
      </c>
      <c r="C21" s="76" t="s">
        <v>407</v>
      </c>
      <c r="F21" s="69" t="s">
        <v>7727</v>
      </c>
      <c r="G21" s="9" t="s">
        <v>407</v>
      </c>
      <c r="H21" s="70" t="s">
        <v>7708</v>
      </c>
    </row>
    <row r="22" spans="2:8">
      <c r="B22" s="75" t="s">
        <v>238</v>
      </c>
      <c r="C22" s="76" t="s">
        <v>407</v>
      </c>
      <c r="F22" s="69" t="s">
        <v>7728</v>
      </c>
      <c r="G22" s="9" t="s">
        <v>407</v>
      </c>
      <c r="H22" s="70" t="s">
        <v>7708</v>
      </c>
    </row>
    <row r="23" spans="2:8">
      <c r="B23" s="77" t="s">
        <v>152</v>
      </c>
      <c r="C23" s="78" t="s">
        <v>7729</v>
      </c>
      <c r="F23" s="69" t="s">
        <v>7730</v>
      </c>
      <c r="G23" s="9" t="s">
        <v>407</v>
      </c>
      <c r="H23" s="70" t="s">
        <v>7731</v>
      </c>
    </row>
    <row r="24" spans="2:8">
      <c r="B24" s="77" t="s">
        <v>298</v>
      </c>
      <c r="C24" s="78" t="s">
        <v>7729</v>
      </c>
      <c r="F24" s="69" t="s">
        <v>7732</v>
      </c>
      <c r="G24" s="9" t="s">
        <v>7729</v>
      </c>
      <c r="H24" s="70" t="s">
        <v>7708</v>
      </c>
    </row>
    <row r="25" spans="2:8">
      <c r="B25" s="77" t="s">
        <v>7733</v>
      </c>
      <c r="C25" s="78" t="s">
        <v>7729</v>
      </c>
      <c r="F25" s="69" t="s">
        <v>7734</v>
      </c>
      <c r="G25" s="9" t="s">
        <v>7729</v>
      </c>
      <c r="H25" s="70" t="s">
        <v>7735</v>
      </c>
    </row>
    <row r="26" spans="2:8">
      <c r="B26" s="77" t="s">
        <v>7736</v>
      </c>
      <c r="C26" s="78" t="s">
        <v>7729</v>
      </c>
      <c r="F26" s="69" t="s">
        <v>7737</v>
      </c>
      <c r="G26" s="9" t="s">
        <v>7729</v>
      </c>
      <c r="H26" s="70" t="s">
        <v>7705</v>
      </c>
    </row>
    <row r="27" spans="2:8">
      <c r="B27" s="77" t="s">
        <v>337</v>
      </c>
      <c r="C27" s="78" t="s">
        <v>7729</v>
      </c>
      <c r="F27" s="69" t="s">
        <v>298</v>
      </c>
      <c r="G27" s="9" t="s">
        <v>7729</v>
      </c>
      <c r="H27" s="70" t="s">
        <v>7735</v>
      </c>
    </row>
    <row r="28" spans="2:8">
      <c r="B28" s="77" t="s">
        <v>7738</v>
      </c>
      <c r="C28" s="78" t="s">
        <v>7729</v>
      </c>
      <c r="F28" s="69" t="s">
        <v>7739</v>
      </c>
      <c r="G28" s="9" t="s">
        <v>7729</v>
      </c>
      <c r="H28" s="70" t="s">
        <v>7740</v>
      </c>
    </row>
    <row r="29" spans="2:8">
      <c r="B29" s="77" t="s">
        <v>7741</v>
      </c>
      <c r="C29" s="78" t="s">
        <v>7729</v>
      </c>
      <c r="F29" s="69" t="s">
        <v>7742</v>
      </c>
      <c r="G29" s="9" t="s">
        <v>7729</v>
      </c>
      <c r="H29" s="70" t="s">
        <v>7740</v>
      </c>
    </row>
    <row r="30" spans="2:8">
      <c r="B30" s="77" t="s">
        <v>7743</v>
      </c>
      <c r="C30" s="78" t="s">
        <v>7729</v>
      </c>
      <c r="F30" s="69" t="s">
        <v>7744</v>
      </c>
      <c r="G30" s="9" t="s">
        <v>7729</v>
      </c>
      <c r="H30" s="70" t="s">
        <v>7740</v>
      </c>
    </row>
    <row r="31" spans="2:8">
      <c r="B31" s="77" t="s">
        <v>344</v>
      </c>
      <c r="C31" s="78" t="s">
        <v>7729</v>
      </c>
      <c r="F31" s="69" t="s">
        <v>7745</v>
      </c>
      <c r="G31" s="9" t="s">
        <v>7729</v>
      </c>
      <c r="H31" s="70" t="s">
        <v>7705</v>
      </c>
    </row>
    <row r="32" spans="2:8">
      <c r="B32" s="77" t="s">
        <v>295</v>
      </c>
      <c r="C32" s="78" t="s">
        <v>7729</v>
      </c>
      <c r="F32" s="69" t="s">
        <v>7746</v>
      </c>
      <c r="G32" s="9" t="s">
        <v>7729</v>
      </c>
      <c r="H32" s="70" t="s">
        <v>7724</v>
      </c>
    </row>
    <row r="33" spans="2:8">
      <c r="B33" s="79" t="s">
        <v>390</v>
      </c>
      <c r="C33" s="80" t="s">
        <v>7729</v>
      </c>
      <c r="F33" s="69" t="s">
        <v>7747</v>
      </c>
      <c r="G33" s="9" t="s">
        <v>7729</v>
      </c>
      <c r="H33" s="70" t="s">
        <v>7724</v>
      </c>
    </row>
    <row r="34" spans="2:8">
      <c r="B34" s="79" t="s">
        <v>392</v>
      </c>
      <c r="C34" s="80" t="s">
        <v>7729</v>
      </c>
      <c r="F34" s="69" t="s">
        <v>7748</v>
      </c>
      <c r="G34" s="9" t="s">
        <v>7729</v>
      </c>
      <c r="H34" s="70" t="s">
        <v>7712</v>
      </c>
    </row>
    <row r="35" spans="2:8">
      <c r="B35" s="79" t="s">
        <v>304</v>
      </c>
      <c r="C35" s="80" t="s">
        <v>7729</v>
      </c>
      <c r="F35" s="69" t="s">
        <v>7749</v>
      </c>
      <c r="G35" s="9" t="s">
        <v>7729</v>
      </c>
      <c r="H35" s="70" t="s">
        <v>7724</v>
      </c>
    </row>
    <row r="36" spans="2:8">
      <c r="B36" s="79" t="s">
        <v>123</v>
      </c>
      <c r="C36" s="80" t="s">
        <v>7729</v>
      </c>
      <c r="F36" s="69" t="s">
        <v>7750</v>
      </c>
      <c r="G36" s="9" t="s">
        <v>7729</v>
      </c>
      <c r="H36" s="70" t="s">
        <v>7740</v>
      </c>
    </row>
    <row r="37" spans="2:8">
      <c r="B37" s="79" t="s">
        <v>351</v>
      </c>
      <c r="C37" s="80" t="s">
        <v>7729</v>
      </c>
      <c r="F37" s="69" t="s">
        <v>7751</v>
      </c>
      <c r="G37" s="9" t="s">
        <v>7729</v>
      </c>
      <c r="H37" s="70" t="s">
        <v>7740</v>
      </c>
    </row>
    <row r="38" spans="2:8">
      <c r="B38" s="79" t="s">
        <v>164</v>
      </c>
      <c r="C38" s="80" t="s">
        <v>7729</v>
      </c>
      <c r="F38" s="69" t="s">
        <v>247</v>
      </c>
      <c r="G38" s="9" t="s">
        <v>7729</v>
      </c>
      <c r="H38" s="70" t="s">
        <v>7712</v>
      </c>
    </row>
    <row r="39" spans="2:8">
      <c r="B39" s="79" t="s">
        <v>111</v>
      </c>
      <c r="C39" s="80" t="s">
        <v>7729</v>
      </c>
      <c r="F39" s="69" t="s">
        <v>7752</v>
      </c>
      <c r="G39" s="9" t="s">
        <v>7729</v>
      </c>
      <c r="H39" s="70" t="s">
        <v>7712</v>
      </c>
    </row>
    <row r="40" spans="2:8">
      <c r="B40" s="79" t="s">
        <v>5096</v>
      </c>
      <c r="C40" s="80" t="s">
        <v>7729</v>
      </c>
      <c r="F40" s="69" t="s">
        <v>7753</v>
      </c>
      <c r="G40" s="9" t="s">
        <v>7729</v>
      </c>
      <c r="H40" s="70" t="s">
        <v>7724</v>
      </c>
    </row>
    <row r="41" spans="2:8">
      <c r="B41" s="79" t="s">
        <v>391</v>
      </c>
      <c r="C41" s="80" t="s">
        <v>7729</v>
      </c>
      <c r="F41" s="69" t="s">
        <v>7738</v>
      </c>
      <c r="G41" s="9" t="s">
        <v>7729</v>
      </c>
      <c r="H41" s="70" t="s">
        <v>7708</v>
      </c>
    </row>
    <row r="42" spans="2:8">
      <c r="B42" s="79" t="s">
        <v>393</v>
      </c>
      <c r="C42" s="80" t="s">
        <v>7729</v>
      </c>
      <c r="F42" s="69" t="s">
        <v>7754</v>
      </c>
      <c r="G42" s="9" t="s">
        <v>7729</v>
      </c>
      <c r="H42" s="70" t="s">
        <v>7740</v>
      </c>
    </row>
    <row r="43" spans="2:8">
      <c r="B43" s="79" t="s">
        <v>405</v>
      </c>
      <c r="C43" s="80" t="s">
        <v>7729</v>
      </c>
      <c r="F43" s="69" t="s">
        <v>7755</v>
      </c>
      <c r="G43" s="9" t="s">
        <v>7729</v>
      </c>
      <c r="H43" s="70" t="s">
        <v>7724</v>
      </c>
    </row>
    <row r="44" spans="2:8">
      <c r="B44" s="79"/>
      <c r="C44" s="80"/>
      <c r="F44" s="69" t="s">
        <v>7756</v>
      </c>
      <c r="G44" s="9" t="s">
        <v>7729</v>
      </c>
      <c r="H44" s="70" t="s">
        <v>7735</v>
      </c>
    </row>
    <row r="45" spans="2:8">
      <c r="B45" s="79"/>
      <c r="C45" s="79"/>
      <c r="F45" s="69" t="s">
        <v>7757</v>
      </c>
      <c r="G45" s="9" t="s">
        <v>7729</v>
      </c>
      <c r="H45" s="70" t="s">
        <v>7740</v>
      </c>
    </row>
    <row r="46" spans="2:8">
      <c r="B46" s="79"/>
      <c r="C46" s="79"/>
      <c r="F46" s="69" t="s">
        <v>7758</v>
      </c>
      <c r="G46" s="9" t="s">
        <v>7729</v>
      </c>
      <c r="H46" s="70" t="s">
        <v>7724</v>
      </c>
    </row>
    <row r="47" spans="2:8">
      <c r="B47" s="79"/>
      <c r="C47" s="79"/>
      <c r="F47" s="69" t="s">
        <v>7759</v>
      </c>
      <c r="G47" s="9" t="s">
        <v>7729</v>
      </c>
      <c r="H47" s="70" t="s">
        <v>7735</v>
      </c>
    </row>
    <row r="48" spans="2:8">
      <c r="F48" s="69" t="s">
        <v>7760</v>
      </c>
      <c r="G48" s="9" t="s">
        <v>7729</v>
      </c>
      <c r="H48" s="70" t="s">
        <v>7708</v>
      </c>
    </row>
    <row r="49" spans="6:8">
      <c r="F49" s="69" t="s">
        <v>7761</v>
      </c>
      <c r="G49" s="9" t="s">
        <v>7729</v>
      </c>
      <c r="H49" s="70" t="s">
        <v>7705</v>
      </c>
    </row>
    <row r="50" spans="6:8">
      <c r="F50" s="69" t="s">
        <v>7762</v>
      </c>
      <c r="G50" s="9" t="s">
        <v>7729</v>
      </c>
      <c r="H50" s="70" t="s">
        <v>7703</v>
      </c>
    </row>
    <row r="51" spans="6:8">
      <c r="F51" s="69" t="s">
        <v>7763</v>
      </c>
      <c r="G51" s="9" t="s">
        <v>7729</v>
      </c>
      <c r="H51" s="70" t="s">
        <v>7708</v>
      </c>
    </row>
    <row r="52" spans="6:8">
      <c r="F52" s="69" t="s">
        <v>7764</v>
      </c>
      <c r="G52" s="9" t="s">
        <v>7729</v>
      </c>
      <c r="H52" s="70" t="s">
        <v>7740</v>
      </c>
    </row>
    <row r="53" spans="6:8">
      <c r="F53" s="69" t="s">
        <v>7765</v>
      </c>
      <c r="G53" s="9" t="s">
        <v>7729</v>
      </c>
      <c r="H53" s="70" t="s">
        <v>7740</v>
      </c>
    </row>
    <row r="54" spans="6:8">
      <c r="F54" s="69" t="s">
        <v>7766</v>
      </c>
      <c r="G54" s="9" t="s">
        <v>7729</v>
      </c>
      <c r="H54" s="70" t="s">
        <v>7740</v>
      </c>
    </row>
    <row r="55" spans="6:8">
      <c r="F55" s="69" t="s">
        <v>7767</v>
      </c>
      <c r="G55" s="9" t="s">
        <v>7729</v>
      </c>
      <c r="H55" s="70" t="s">
        <v>7740</v>
      </c>
    </row>
    <row r="56" spans="6:8">
      <c r="F56" s="69" t="s">
        <v>7768</v>
      </c>
      <c r="G56" s="9" t="s">
        <v>7729</v>
      </c>
      <c r="H56" s="70" t="s">
        <v>7740</v>
      </c>
    </row>
    <row r="57" spans="6:8">
      <c r="F57" s="69" t="s">
        <v>7769</v>
      </c>
      <c r="G57" s="9" t="s">
        <v>7729</v>
      </c>
      <c r="H57" s="70" t="s">
        <v>7724</v>
      </c>
    </row>
    <row r="58" spans="6:8">
      <c r="F58" s="69" t="s">
        <v>7770</v>
      </c>
      <c r="G58" s="9" t="s">
        <v>7729</v>
      </c>
      <c r="H58" s="70" t="s">
        <v>7735</v>
      </c>
    </row>
    <row r="59" spans="6:8">
      <c r="F59" s="69" t="s">
        <v>7771</v>
      </c>
      <c r="G59" s="9" t="s">
        <v>7729</v>
      </c>
      <c r="H59" s="70" t="s">
        <v>7740</v>
      </c>
    </row>
    <row r="60" spans="6:8">
      <c r="F60" s="69" t="s">
        <v>7772</v>
      </c>
      <c r="G60" s="9" t="s">
        <v>7729</v>
      </c>
      <c r="H60" s="70" t="s">
        <v>7724</v>
      </c>
    </row>
    <row r="61" spans="6:8">
      <c r="F61" s="69" t="s">
        <v>7773</v>
      </c>
      <c r="G61" s="9" t="s">
        <v>7729</v>
      </c>
      <c r="H61" s="70" t="s">
        <v>7708</v>
      </c>
    </row>
    <row r="62" spans="6:8">
      <c r="F62" s="69" t="s">
        <v>7774</v>
      </c>
      <c r="G62" s="9" t="s">
        <v>7729</v>
      </c>
      <c r="H62" s="70" t="s">
        <v>7735</v>
      </c>
    </row>
    <row r="63" spans="6:8">
      <c r="F63" s="69" t="s">
        <v>7775</v>
      </c>
      <c r="G63" s="9" t="s">
        <v>7729</v>
      </c>
      <c r="H63" s="70" t="s">
        <v>7735</v>
      </c>
    </row>
    <row r="64" spans="6:8">
      <c r="F64" s="69" t="s">
        <v>7776</v>
      </c>
      <c r="G64" s="9" t="s">
        <v>7729</v>
      </c>
      <c r="H64" s="70" t="s">
        <v>7717</v>
      </c>
    </row>
    <row r="65" spans="6:8">
      <c r="F65" s="69" t="s">
        <v>7777</v>
      </c>
      <c r="G65" s="9" t="s">
        <v>7729</v>
      </c>
      <c r="H65" s="70" t="s">
        <v>7705</v>
      </c>
    </row>
    <row r="66" spans="6:8">
      <c r="F66" s="69" t="s">
        <v>7778</v>
      </c>
      <c r="G66" s="9" t="s">
        <v>7729</v>
      </c>
      <c r="H66" s="70" t="s">
        <v>7724</v>
      </c>
    </row>
    <row r="67" spans="6:8">
      <c r="F67" s="69" t="s">
        <v>7779</v>
      </c>
      <c r="G67" s="9" t="s">
        <v>7729</v>
      </c>
      <c r="H67" s="70" t="s">
        <v>7740</v>
      </c>
    </row>
    <row r="68" spans="6:8">
      <c r="F68" s="69" t="s">
        <v>7780</v>
      </c>
      <c r="G68" s="9" t="s">
        <v>7729</v>
      </c>
      <c r="H68" s="70" t="s">
        <v>7740</v>
      </c>
    </row>
    <row r="69" spans="6:8">
      <c r="F69" s="69" t="s">
        <v>7781</v>
      </c>
      <c r="G69" s="9" t="s">
        <v>7729</v>
      </c>
      <c r="H69" s="70" t="s">
        <v>7708</v>
      </c>
    </row>
    <row r="70" spans="6:8">
      <c r="F70" s="69" t="s">
        <v>7782</v>
      </c>
      <c r="G70" s="9" t="s">
        <v>7729</v>
      </c>
      <c r="H70" s="70" t="s">
        <v>7740</v>
      </c>
    </row>
    <row r="71" spans="6:8">
      <c r="F71" s="69" t="s">
        <v>7783</v>
      </c>
      <c r="G71" s="9" t="s">
        <v>7729</v>
      </c>
      <c r="H71" s="70" t="s">
        <v>7740</v>
      </c>
    </row>
    <row r="72" spans="6:8">
      <c r="F72" s="69" t="s">
        <v>7784</v>
      </c>
      <c r="G72" s="9" t="s">
        <v>7729</v>
      </c>
      <c r="H72" s="70" t="s">
        <v>7724</v>
      </c>
    </row>
    <row r="73" spans="6:8">
      <c r="F73" s="69" t="s">
        <v>7785</v>
      </c>
      <c r="G73" s="9" t="s">
        <v>7729</v>
      </c>
      <c r="H73" s="70" t="s">
        <v>7740</v>
      </c>
    </row>
    <row r="74" spans="6:8">
      <c r="F74" s="69" t="s">
        <v>7786</v>
      </c>
      <c r="G74" s="9" t="s">
        <v>7729</v>
      </c>
      <c r="H74" s="70" t="s">
        <v>7708</v>
      </c>
    </row>
    <row r="75" spans="6:8">
      <c r="F75" s="69" t="s">
        <v>7787</v>
      </c>
      <c r="G75" s="9" t="s">
        <v>7729</v>
      </c>
      <c r="H75" s="70" t="s">
        <v>7740</v>
      </c>
    </row>
    <row r="76" spans="6:8">
      <c r="F76" s="69" t="s">
        <v>295</v>
      </c>
      <c r="G76" s="9" t="s">
        <v>7729</v>
      </c>
      <c r="H76" s="70" t="s">
        <v>7735</v>
      </c>
    </row>
    <row r="77" spans="6:8">
      <c r="F77" s="69" t="s">
        <v>7788</v>
      </c>
      <c r="G77" s="9" t="s">
        <v>7729</v>
      </c>
      <c r="H77" s="70" t="s">
        <v>7740</v>
      </c>
    </row>
    <row r="78" spans="6:8">
      <c r="F78" s="69" t="s">
        <v>7789</v>
      </c>
      <c r="G78" s="9" t="s">
        <v>7729</v>
      </c>
      <c r="H78" s="70" t="s">
        <v>7712</v>
      </c>
    </row>
    <row r="79" spans="6:8">
      <c r="F79" s="69" t="s">
        <v>7790</v>
      </c>
      <c r="G79" s="9" t="s">
        <v>7729</v>
      </c>
      <c r="H79" s="70" t="s">
        <v>7740</v>
      </c>
    </row>
    <row r="80" spans="6:8">
      <c r="F80" s="69" t="s">
        <v>7791</v>
      </c>
      <c r="G80" s="9" t="s">
        <v>7729</v>
      </c>
      <c r="H80" s="70" t="s">
        <v>7740</v>
      </c>
    </row>
    <row r="81" spans="6:8">
      <c r="F81" s="69" t="s">
        <v>7792</v>
      </c>
      <c r="G81" s="9" t="s">
        <v>7729</v>
      </c>
      <c r="H81" s="70" t="s">
        <v>7724</v>
      </c>
    </row>
    <row r="82" spans="6:8">
      <c r="F82" s="69" t="s">
        <v>7793</v>
      </c>
      <c r="G82" s="9" t="s">
        <v>7729</v>
      </c>
      <c r="H82" s="70" t="s">
        <v>7740</v>
      </c>
    </row>
    <row r="83" spans="6:8">
      <c r="F83" s="69" t="s">
        <v>7794</v>
      </c>
      <c r="G83" s="9" t="s">
        <v>7729</v>
      </c>
      <c r="H83" s="70" t="s">
        <v>7724</v>
      </c>
    </row>
    <row r="84" spans="6:8">
      <c r="F84" s="69" t="s">
        <v>7795</v>
      </c>
      <c r="G84" s="9" t="s">
        <v>7729</v>
      </c>
      <c r="H84" s="70" t="s">
        <v>7735</v>
      </c>
    </row>
    <row r="85" spans="6:8">
      <c r="F85" s="69" t="s">
        <v>7796</v>
      </c>
      <c r="G85" s="9" t="s">
        <v>7729</v>
      </c>
      <c r="H85" s="70" t="s">
        <v>7740</v>
      </c>
    </row>
    <row r="86" spans="6:8">
      <c r="F86" s="69" t="s">
        <v>7797</v>
      </c>
      <c r="G86" s="9" t="s">
        <v>7729</v>
      </c>
      <c r="H86" s="70" t="s">
        <v>7703</v>
      </c>
    </row>
    <row r="87" spans="6:8">
      <c r="F87" s="69" t="s">
        <v>7798</v>
      </c>
      <c r="G87" s="9" t="s">
        <v>7729</v>
      </c>
      <c r="H87" s="70" t="s">
        <v>7735</v>
      </c>
    </row>
    <row r="88" spans="6:8">
      <c r="F88" s="69" t="s">
        <v>7799</v>
      </c>
      <c r="G88" s="9" t="s">
        <v>7729</v>
      </c>
      <c r="H88" s="70" t="s">
        <v>7735</v>
      </c>
    </row>
    <row r="89" spans="6:8">
      <c r="F89" s="69" t="s">
        <v>7800</v>
      </c>
      <c r="G89" s="9" t="s">
        <v>7729</v>
      </c>
      <c r="H89" s="70" t="s">
        <v>7724</v>
      </c>
    </row>
    <row r="90" spans="6:8">
      <c r="F90" s="69" t="s">
        <v>7801</v>
      </c>
      <c r="G90" s="9" t="s">
        <v>7729</v>
      </c>
      <c r="H90" s="70" t="s">
        <v>7740</v>
      </c>
    </row>
    <row r="91" spans="6:8">
      <c r="F91" s="69" t="s">
        <v>7802</v>
      </c>
      <c r="G91" s="9" t="s">
        <v>7729</v>
      </c>
      <c r="H91" s="70" t="s">
        <v>7735</v>
      </c>
    </row>
    <row r="92" spans="6:8">
      <c r="F92" s="69" t="s">
        <v>7803</v>
      </c>
      <c r="G92" s="9" t="s">
        <v>7729</v>
      </c>
      <c r="H92" s="70" t="s">
        <v>7705</v>
      </c>
    </row>
    <row r="93" spans="6:8">
      <c r="F93" s="69" t="s">
        <v>7804</v>
      </c>
      <c r="G93" s="9" t="s">
        <v>7729</v>
      </c>
      <c r="H93" s="70" t="s">
        <v>7735</v>
      </c>
    </row>
    <row r="94" spans="6:8">
      <c r="F94" s="69" t="s">
        <v>7805</v>
      </c>
      <c r="G94" s="9" t="s">
        <v>7729</v>
      </c>
      <c r="H94" s="70" t="s">
        <v>7806</v>
      </c>
    </row>
    <row r="95" spans="6:8">
      <c r="F95" s="69" t="s">
        <v>7807</v>
      </c>
      <c r="G95" s="9" t="s">
        <v>7729</v>
      </c>
      <c r="H95" s="70" t="s">
        <v>7735</v>
      </c>
    </row>
    <row r="96" spans="6:8">
      <c r="F96" s="69" t="s">
        <v>7808</v>
      </c>
      <c r="G96" s="9" t="s">
        <v>7729</v>
      </c>
      <c r="H96" s="70" t="s">
        <v>7731</v>
      </c>
    </row>
    <row r="97" spans="6:8">
      <c r="F97" s="69" t="s">
        <v>7809</v>
      </c>
      <c r="G97" s="9" t="s">
        <v>7729</v>
      </c>
      <c r="H97" s="70" t="s">
        <v>7735</v>
      </c>
    </row>
    <row r="98" spans="6:8">
      <c r="F98" s="69" t="s">
        <v>376</v>
      </c>
      <c r="G98" s="9" t="s">
        <v>7729</v>
      </c>
      <c r="H98" s="70" t="s">
        <v>7735</v>
      </c>
    </row>
    <row r="99" spans="6:8">
      <c r="F99" s="9" t="s">
        <v>7810</v>
      </c>
      <c r="G99" s="9" t="s">
        <v>7729</v>
      </c>
      <c r="H99" s="70" t="s">
        <v>7735</v>
      </c>
    </row>
    <row r="100" spans="6:8">
      <c r="F100" s="9" t="s">
        <v>7811</v>
      </c>
      <c r="G100" s="9" t="s">
        <v>7729</v>
      </c>
      <c r="H100" s="70" t="s">
        <v>7812</v>
      </c>
    </row>
    <row r="101" spans="6:8">
      <c r="F101" s="9" t="s">
        <v>7813</v>
      </c>
      <c r="G101" s="9" t="s">
        <v>7729</v>
      </c>
      <c r="H101" s="70" t="s">
        <v>7735</v>
      </c>
    </row>
    <row r="102" spans="6:8">
      <c r="F102" s="9" t="s">
        <v>7814</v>
      </c>
      <c r="G102" s="9" t="s">
        <v>7729</v>
      </c>
      <c r="H102" s="70" t="s">
        <v>7735</v>
      </c>
    </row>
    <row r="103" spans="6:8">
      <c r="F103" s="9" t="s">
        <v>7815</v>
      </c>
      <c r="G103" s="9" t="s">
        <v>7729</v>
      </c>
      <c r="H103" s="70" t="s">
        <v>7735</v>
      </c>
    </row>
    <row r="104" spans="6:8">
      <c r="F104" s="9" t="s">
        <v>7816</v>
      </c>
      <c r="G104" s="9" t="s">
        <v>7729</v>
      </c>
      <c r="H104" s="70" t="s">
        <v>7812</v>
      </c>
    </row>
    <row r="105" spans="6:8">
      <c r="F105" s="9" t="s">
        <v>7817</v>
      </c>
      <c r="G105" s="9" t="s">
        <v>7729</v>
      </c>
      <c r="H105" s="70" t="s">
        <v>7812</v>
      </c>
    </row>
    <row r="106" spans="6:8">
      <c r="F106" s="9" t="s">
        <v>7818</v>
      </c>
      <c r="G106" s="9" t="s">
        <v>7729</v>
      </c>
      <c r="H106" s="70" t="s">
        <v>7740</v>
      </c>
    </row>
    <row r="107" spans="6:8">
      <c r="F107" s="9" t="s">
        <v>7819</v>
      </c>
      <c r="G107" s="9" t="s">
        <v>7729</v>
      </c>
      <c r="H107" s="70" t="s">
        <v>7812</v>
      </c>
    </row>
    <row r="108" spans="6:8">
      <c r="F108" s="9" t="s">
        <v>7820</v>
      </c>
      <c r="G108" s="9" t="s">
        <v>7729</v>
      </c>
      <c r="H108" s="70" t="s">
        <v>7812</v>
      </c>
    </row>
    <row r="109" spans="6:8">
      <c r="F109" s="9" t="s">
        <v>7821</v>
      </c>
      <c r="G109" s="9" t="s">
        <v>7729</v>
      </c>
      <c r="H109" s="70" t="s">
        <v>7735</v>
      </c>
    </row>
    <row r="110" spans="6:8">
      <c r="F110" s="9" t="s">
        <v>7822</v>
      </c>
      <c r="G110" s="9" t="s">
        <v>7729</v>
      </c>
      <c r="H110" s="70" t="s">
        <v>7717</v>
      </c>
    </row>
    <row r="111" spans="6:8">
      <c r="F111" s="9" t="s">
        <v>7823</v>
      </c>
      <c r="G111" s="9" t="s">
        <v>7729</v>
      </c>
      <c r="H111" s="70" t="s">
        <v>7812</v>
      </c>
    </row>
    <row r="112" spans="6:8">
      <c r="F112" s="9" t="s">
        <v>7824</v>
      </c>
      <c r="G112" s="9" t="s">
        <v>7729</v>
      </c>
      <c r="H112" s="70" t="s">
        <v>7735</v>
      </c>
    </row>
    <row r="113" spans="6:8">
      <c r="F113" s="9" t="s">
        <v>7825</v>
      </c>
      <c r="G113" s="9" t="s">
        <v>7729</v>
      </c>
      <c r="H113" s="70" t="s">
        <v>7812</v>
      </c>
    </row>
    <row r="114" spans="6:8">
      <c r="F114" s="9" t="s">
        <v>7826</v>
      </c>
      <c r="G114" s="9" t="s">
        <v>7729</v>
      </c>
      <c r="H114" s="70" t="s">
        <v>7735</v>
      </c>
    </row>
    <row r="115" spans="6:8">
      <c r="F115" s="9" t="s">
        <v>7827</v>
      </c>
      <c r="G115" s="9" t="s">
        <v>7729</v>
      </c>
      <c r="H115" s="70" t="s">
        <v>7828</v>
      </c>
    </row>
    <row r="116" spans="6:8">
      <c r="F116" s="9" t="s">
        <v>7829</v>
      </c>
      <c r="G116" s="9" t="s">
        <v>7729</v>
      </c>
      <c r="H116" s="70" t="s">
        <v>7828</v>
      </c>
    </row>
    <row r="117" spans="6:8">
      <c r="F117" s="9" t="s">
        <v>7830</v>
      </c>
      <c r="G117" s="9" t="s">
        <v>7729</v>
      </c>
      <c r="H117" s="70" t="s">
        <v>7812</v>
      </c>
    </row>
    <row r="118" spans="6:8">
      <c r="F118" s="9" t="s">
        <v>7831</v>
      </c>
      <c r="G118" s="9" t="s">
        <v>7729</v>
      </c>
      <c r="H118" s="70" t="s">
        <v>7735</v>
      </c>
    </row>
    <row r="119" spans="6:8">
      <c r="F119" s="9" t="s">
        <v>7832</v>
      </c>
      <c r="G119" s="9" t="s">
        <v>7729</v>
      </c>
      <c r="H119" s="70" t="s">
        <v>7735</v>
      </c>
    </row>
    <row r="120" spans="6:8">
      <c r="F120" s="9" t="s">
        <v>7833</v>
      </c>
      <c r="G120" s="9" t="s">
        <v>7729</v>
      </c>
      <c r="H120" s="70" t="s">
        <v>7735</v>
      </c>
    </row>
    <row r="121" spans="6:8">
      <c r="F121" s="9" t="s">
        <v>7834</v>
      </c>
      <c r="G121" s="9" t="s">
        <v>7729</v>
      </c>
      <c r="H121" s="70" t="s">
        <v>7735</v>
      </c>
    </row>
    <row r="122" spans="6:8">
      <c r="F122" s="9" t="s">
        <v>7835</v>
      </c>
      <c r="G122" s="9" t="s">
        <v>7729</v>
      </c>
      <c r="H122" s="70" t="s">
        <v>7836</v>
      </c>
    </row>
    <row r="123" spans="6:8">
      <c r="F123" s="9" t="s">
        <v>7837</v>
      </c>
      <c r="G123" s="9" t="s">
        <v>7729</v>
      </c>
      <c r="H123" s="70" t="s">
        <v>7838</v>
      </c>
    </row>
    <row r="124" spans="6:8">
      <c r="F124" s="9" t="s">
        <v>7839</v>
      </c>
      <c r="G124" s="9" t="s">
        <v>7729</v>
      </c>
      <c r="H124" s="70" t="s">
        <v>7838</v>
      </c>
    </row>
    <row r="125" spans="6:8">
      <c r="F125" s="9" t="s">
        <v>7840</v>
      </c>
      <c r="G125" s="9" t="s">
        <v>7729</v>
      </c>
      <c r="H125" s="70" t="s">
        <v>7735</v>
      </c>
    </row>
    <row r="126" spans="6:8">
      <c r="F126" s="9" t="s">
        <v>7841</v>
      </c>
      <c r="G126" s="9" t="s">
        <v>7729</v>
      </c>
      <c r="H126" s="70" t="s">
        <v>7735</v>
      </c>
    </row>
    <row r="127" spans="6:8">
      <c r="F127" s="9" t="s">
        <v>7842</v>
      </c>
      <c r="G127" s="9" t="s">
        <v>7729</v>
      </c>
      <c r="H127" s="70" t="s">
        <v>7812</v>
      </c>
    </row>
    <row r="128" spans="6:8">
      <c r="F128" s="9" t="s">
        <v>7843</v>
      </c>
      <c r="G128" s="9" t="s">
        <v>7729</v>
      </c>
      <c r="H128" s="70" t="s">
        <v>7838</v>
      </c>
    </row>
    <row r="129" spans="6:8">
      <c r="F129" s="9" t="s">
        <v>7844</v>
      </c>
      <c r="G129" s="9" t="s">
        <v>7729</v>
      </c>
      <c r="H129" s="70" t="s">
        <v>7838</v>
      </c>
    </row>
    <row r="130" spans="6:8">
      <c r="F130" s="9" t="s">
        <v>7845</v>
      </c>
      <c r="G130" s="9" t="s">
        <v>7729</v>
      </c>
      <c r="H130" s="70" t="s">
        <v>7838</v>
      </c>
    </row>
    <row r="131" spans="6:8">
      <c r="F131" s="9" t="s">
        <v>7846</v>
      </c>
      <c r="G131" s="9" t="s">
        <v>7729</v>
      </c>
      <c r="H131" s="70" t="s">
        <v>7735</v>
      </c>
    </row>
    <row r="132" spans="6:8">
      <c r="F132" s="9" t="s">
        <v>7847</v>
      </c>
      <c r="G132" s="9" t="s">
        <v>7729</v>
      </c>
      <c r="H132" s="70" t="s">
        <v>7735</v>
      </c>
    </row>
    <row r="133" spans="6:8">
      <c r="F133" s="9" t="s">
        <v>7848</v>
      </c>
      <c r="G133" s="9" t="s">
        <v>7729</v>
      </c>
      <c r="H133" s="70" t="s">
        <v>7838</v>
      </c>
    </row>
    <row r="134" spans="6:8">
      <c r="F134" s="9" t="s">
        <v>7849</v>
      </c>
      <c r="G134" s="9" t="s">
        <v>7729</v>
      </c>
      <c r="H134" s="70" t="s">
        <v>7838</v>
      </c>
    </row>
    <row r="135" spans="6:8">
      <c r="F135" s="9" t="s">
        <v>7850</v>
      </c>
      <c r="G135" s="9" t="s">
        <v>7729</v>
      </c>
      <c r="H135" s="70" t="s">
        <v>7838</v>
      </c>
    </row>
    <row r="136" spans="6:8">
      <c r="F136" s="9" t="s">
        <v>7851</v>
      </c>
      <c r="G136" s="9" t="s">
        <v>7729</v>
      </c>
      <c r="H136" s="70" t="s">
        <v>7828</v>
      </c>
    </row>
    <row r="137" spans="6:8">
      <c r="F137" s="9" t="s">
        <v>7852</v>
      </c>
      <c r="G137" s="9" t="s">
        <v>7729</v>
      </c>
      <c r="H137" s="70" t="s">
        <v>7812</v>
      </c>
    </row>
    <row r="138" spans="6:8">
      <c r="F138" s="9" t="s">
        <v>7853</v>
      </c>
      <c r="G138" s="9" t="s">
        <v>7729</v>
      </c>
      <c r="H138" s="70" t="s">
        <v>7838</v>
      </c>
    </row>
    <row r="139" spans="6:8">
      <c r="F139" s="9" t="s">
        <v>7854</v>
      </c>
      <c r="G139" s="9" t="s">
        <v>7729</v>
      </c>
      <c r="H139" s="70" t="s">
        <v>7838</v>
      </c>
    </row>
    <row r="140" spans="6:8">
      <c r="F140" s="9" t="s">
        <v>7855</v>
      </c>
      <c r="G140" s="9" t="s">
        <v>7729</v>
      </c>
      <c r="H140" s="70" t="s">
        <v>7812</v>
      </c>
    </row>
    <row r="141" spans="6:8">
      <c r="F141" s="9" t="s">
        <v>7856</v>
      </c>
      <c r="G141" s="9" t="s">
        <v>7729</v>
      </c>
      <c r="H141" s="70" t="s">
        <v>7735</v>
      </c>
    </row>
    <row r="142" spans="6:8">
      <c r="F142" s="9" t="s">
        <v>7857</v>
      </c>
      <c r="G142" s="9" t="s">
        <v>7729</v>
      </c>
      <c r="H142" s="70" t="s">
        <v>7828</v>
      </c>
    </row>
    <row r="143" spans="6:8">
      <c r="F143" s="9" t="s">
        <v>7858</v>
      </c>
      <c r="G143" s="9" t="s">
        <v>7729</v>
      </c>
      <c r="H143" s="70" t="s">
        <v>7838</v>
      </c>
    </row>
    <row r="144" spans="6:8">
      <c r="F144" s="9" t="s">
        <v>7859</v>
      </c>
      <c r="G144" s="9" t="s">
        <v>7729</v>
      </c>
      <c r="H144" s="70" t="s">
        <v>7838</v>
      </c>
    </row>
    <row r="145" spans="6:8">
      <c r="F145" s="9" t="s">
        <v>7860</v>
      </c>
      <c r="G145" s="9" t="s">
        <v>7729</v>
      </c>
      <c r="H145" s="70" t="s">
        <v>7735</v>
      </c>
    </row>
    <row r="146" spans="6:8">
      <c r="F146" s="9" t="s">
        <v>7861</v>
      </c>
      <c r="G146" s="9" t="s">
        <v>7729</v>
      </c>
      <c r="H146" s="70" t="s">
        <v>7838</v>
      </c>
    </row>
    <row r="147" spans="6:8">
      <c r="F147" s="9" t="s">
        <v>7862</v>
      </c>
      <c r="G147" s="9" t="s">
        <v>7729</v>
      </c>
      <c r="H147" s="70" t="s">
        <v>7735</v>
      </c>
    </row>
    <row r="148" spans="6:8">
      <c r="F148" s="9" t="s">
        <v>7863</v>
      </c>
      <c r="G148" s="9" t="s">
        <v>7729</v>
      </c>
      <c r="H148" s="70" t="s">
        <v>7838</v>
      </c>
    </row>
    <row r="149" spans="6:8">
      <c r="F149" s="9" t="s">
        <v>7864</v>
      </c>
      <c r="G149" s="9" t="s">
        <v>7729</v>
      </c>
      <c r="H149" s="70" t="s">
        <v>7828</v>
      </c>
    </row>
    <row r="150" spans="6:8">
      <c r="F150" s="9" t="s">
        <v>7865</v>
      </c>
      <c r="G150" s="9" t="s">
        <v>7729</v>
      </c>
      <c r="H150" s="70" t="s">
        <v>7724</v>
      </c>
    </row>
  </sheetData>
  <customSheetViews>
    <customSheetView guid="{C3BDEBE1-7FE5-4B62-8359-C0142BCD2F22}" hiddenColumns="1" topLeftCell="A16">
      <selection activeCell="F41" sqref="F41"/>
      <pageMargins left="0" right="0" top="0" bottom="0" header="0" footer="0"/>
    </customSheetView>
    <customSheetView guid="{220F5BDC-E9AE-407F-A093-9337F2810863}" showPageBreaks="1" hiddenColumns="1">
      <selection activeCell="L21" sqref="L21"/>
      <pageMargins left="0" right="0" top="0" bottom="0" header="0" footer="0"/>
      <pageSetup orientation="portrait" r:id="rId1"/>
    </customSheetView>
    <customSheetView guid="{CC36E1BD-DF5E-4D5B-9FC2-B924ABF96C1E}" topLeftCell="A15">
      <selection sqref="A1:XFD1048576"/>
      <pageMargins left="0" right="0" top="0" bottom="0" header="0" footer="0"/>
    </customSheetView>
    <customSheetView guid="{E2CEA185-21A6-4032-89CA-3467498190CE}" showPageBreaks="1" topLeftCell="A15">
      <selection sqref="A1:XFD1048576"/>
      <pageMargins left="0" right="0" top="0" bottom="0" header="0" footer="0"/>
      <pageSetup paperSize="9" orientation="portrait" r:id="rId2"/>
    </customSheetView>
    <customSheetView guid="{3AED3352-1813-42FB-AD00-B0300DBB9DDD}" state="hidden" topLeftCell="A15">
      <selection sqref="A1:XFD1048576"/>
      <pageMargins left="0" right="0" top="0" bottom="0" header="0" footer="0"/>
      <pageSetup paperSize="9" orientation="portrait" r:id="rId3"/>
    </customSheetView>
    <customSheetView guid="{47D365F7-A5C0-4967-9195-712416C433A6}" hiddenColumns="1" topLeftCell="A91">
      <selection activeCell="E13" sqref="E13"/>
      <pageMargins left="0" right="0" top="0" bottom="0" header="0" footer="0"/>
    </customSheetView>
    <customSheetView guid="{033F40BA-1316-4994-A3E1-6A590246BC17}" hiddenColumns="1">
      <selection activeCell="B6" sqref="B6:C14"/>
      <pageMargins left="0" right="0" top="0" bottom="0" header="0" footer="0"/>
    </customSheetView>
    <customSheetView guid="{B8744A8F-5701-468A-980B-669E92146399}" hiddenColumns="1">
      <selection activeCell="B6" sqref="B6:C14"/>
      <pageMargins left="0" right="0" top="0" bottom="0" header="0" footer="0"/>
    </customSheetView>
    <customSheetView guid="{49F08520-9D55-4669-904F-FCC3B78183BE}" hiddenColumns="1">
      <selection activeCell="B6" sqref="B6:C14"/>
      <pageMargins left="0" right="0" top="0" bottom="0" header="0" footer="0"/>
    </customSheetView>
    <customSheetView guid="{64DD6D4C-DC7E-42A4-8293-23757F1E95CA}" hiddenColumns="1">
      <selection activeCell="B6" sqref="B6:C14"/>
      <pageMargins left="0" right="0" top="0" bottom="0" header="0" footer="0"/>
    </customSheetView>
    <customSheetView guid="{20DDCD40-9DEC-4E0C-BDFD-5753C11CFC19}" hiddenColumns="1" topLeftCell="A16">
      <selection activeCell="F22" sqref="F22"/>
      <pageMargins left="0" right="0" top="0" bottom="0" header="0" footer="0"/>
    </customSheetView>
    <customSheetView guid="{4E878A97-87CB-403A-861C-A937390C8303}" hiddenColumns="1">
      <selection activeCell="B6" sqref="B6:C14"/>
      <pageMargins left="0" right="0" top="0" bottom="0" header="0" footer="0"/>
    </customSheetView>
    <customSheetView guid="{FAB61CF4-5569-4DB9-9F8E-D118164D900A}" hiddenColumns="1">
      <selection activeCell="B6" sqref="B6:C14"/>
      <pageMargins left="0" right="0" top="0" bottom="0" header="0" footer="0"/>
    </customSheetView>
  </customSheetView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21"/>
  <sheetViews>
    <sheetView workbookViewId="0">
      <selection activeCell="A2" sqref="A2"/>
    </sheetView>
  </sheetViews>
  <sheetFormatPr baseColWidth="10" defaultColWidth="11.42578125" defaultRowHeight="15"/>
  <cols>
    <col min="1" max="1" width="16.5703125" customWidth="1"/>
    <col min="2" max="2" width="17.7109375" customWidth="1"/>
    <col min="3" max="3" width="19.140625" customWidth="1"/>
  </cols>
  <sheetData>
    <row r="1" spans="1:4" ht="15.75" thickBot="1">
      <c r="A1" s="91" t="s">
        <v>7866</v>
      </c>
      <c r="B1" s="92" t="s">
        <v>7682</v>
      </c>
      <c r="C1" s="92" t="s">
        <v>7698</v>
      </c>
      <c r="D1" s="93" t="s">
        <v>7867</v>
      </c>
    </row>
    <row r="2" spans="1:4" ht="15.75" thickTop="1">
      <c r="A2" s="94" t="str">
        <f>CONCATENATE(B2,C2)</f>
        <v>PAITACONTENEDORES</v>
      </c>
      <c r="B2" s="95" t="s">
        <v>9</v>
      </c>
      <c r="C2" s="95" t="s">
        <v>7868</v>
      </c>
      <c r="D2" s="96">
        <v>4</v>
      </c>
    </row>
    <row r="3" spans="1:4">
      <c r="A3" s="97" t="str">
        <f t="shared" ref="A3:A21" si="0">CONCATENATE(B3,C3)</f>
        <v>SALAVERRYCONTENEDORES</v>
      </c>
      <c r="B3" s="98" t="s">
        <v>25</v>
      </c>
      <c r="C3" s="98" t="s">
        <v>7868</v>
      </c>
      <c r="D3" s="99">
        <v>3</v>
      </c>
    </row>
    <row r="4" spans="1:4">
      <c r="A4" s="94" t="str">
        <f t="shared" si="0"/>
        <v>CALLAOCONTENEDORES</v>
      </c>
      <c r="B4" s="95" t="s">
        <v>37</v>
      </c>
      <c r="C4" s="95" t="s">
        <v>7868</v>
      </c>
      <c r="D4" s="96">
        <v>4</v>
      </c>
    </row>
    <row r="5" spans="1:4">
      <c r="A5" s="97" t="str">
        <f t="shared" si="0"/>
        <v>PISCOCONTENEDORES</v>
      </c>
      <c r="B5" s="98" t="s">
        <v>50</v>
      </c>
      <c r="C5" s="98" t="s">
        <v>7868</v>
      </c>
      <c r="D5" s="99">
        <v>3</v>
      </c>
    </row>
    <row r="6" spans="1:4">
      <c r="A6" s="94" t="str">
        <f t="shared" si="0"/>
        <v>MATARANICONTENEDORES</v>
      </c>
      <c r="B6" s="95" t="s">
        <v>62</v>
      </c>
      <c r="C6" s="95" t="s">
        <v>7868</v>
      </c>
      <c r="D6" s="96">
        <v>3</v>
      </c>
    </row>
    <row r="7" spans="1:4">
      <c r="A7" s="97" t="str">
        <f t="shared" si="0"/>
        <v>PAITAGRANEL</v>
      </c>
      <c r="B7" s="98" t="s">
        <v>9</v>
      </c>
      <c r="C7" s="98" t="s">
        <v>7869</v>
      </c>
      <c r="D7" s="99">
        <v>2</v>
      </c>
    </row>
    <row r="8" spans="1:4">
      <c r="A8" s="94" t="str">
        <f t="shared" si="0"/>
        <v>SALAVERRYGRANEL</v>
      </c>
      <c r="B8" s="95" t="s">
        <v>25</v>
      </c>
      <c r="C8" s="95" t="s">
        <v>7869</v>
      </c>
      <c r="D8" s="96">
        <v>2</v>
      </c>
    </row>
    <row r="9" spans="1:4">
      <c r="A9" s="97" t="str">
        <f t="shared" si="0"/>
        <v>CALLAOGRANEL</v>
      </c>
      <c r="B9" s="98" t="s">
        <v>37</v>
      </c>
      <c r="C9" s="98" t="s">
        <v>7869</v>
      </c>
      <c r="D9" s="99">
        <v>3</v>
      </c>
    </row>
    <row r="10" spans="1:4">
      <c r="A10" s="94" t="str">
        <f t="shared" si="0"/>
        <v>PISCOGRANEL</v>
      </c>
      <c r="B10" s="95" t="s">
        <v>50</v>
      </c>
      <c r="C10" s="95" t="s">
        <v>7869</v>
      </c>
      <c r="D10" s="96">
        <v>1</v>
      </c>
    </row>
    <row r="11" spans="1:4">
      <c r="A11" s="97" t="str">
        <f t="shared" si="0"/>
        <v>MATARANIGRANEL</v>
      </c>
      <c r="B11" s="98" t="s">
        <v>62</v>
      </c>
      <c r="C11" s="98" t="s">
        <v>7869</v>
      </c>
      <c r="D11" s="99">
        <v>1</v>
      </c>
    </row>
    <row r="12" spans="1:4">
      <c r="A12" s="94" t="str">
        <f t="shared" si="0"/>
        <v>PAITABREAKBULK</v>
      </c>
      <c r="B12" s="95" t="s">
        <v>9</v>
      </c>
      <c r="C12" s="95" t="s">
        <v>7870</v>
      </c>
      <c r="D12" s="96">
        <v>7</v>
      </c>
    </row>
    <row r="13" spans="1:4">
      <c r="A13" s="97" t="str">
        <f t="shared" si="0"/>
        <v>SALAVERRYBREAKBULK</v>
      </c>
      <c r="B13" s="98" t="s">
        <v>25</v>
      </c>
      <c r="C13" s="98" t="s">
        <v>7870</v>
      </c>
      <c r="D13" s="99">
        <v>2</v>
      </c>
    </row>
    <row r="14" spans="1:4">
      <c r="A14" s="94" t="str">
        <f t="shared" si="0"/>
        <v>CALLAOBREAKBULK</v>
      </c>
      <c r="B14" s="95" t="s">
        <v>37</v>
      </c>
      <c r="C14" s="95" t="s">
        <v>7870</v>
      </c>
      <c r="D14" s="96">
        <v>10</v>
      </c>
    </row>
    <row r="15" spans="1:4">
      <c r="A15" s="97" t="str">
        <f t="shared" si="0"/>
        <v>PISCOBREAKBULK</v>
      </c>
      <c r="B15" s="98" t="s">
        <v>50</v>
      </c>
      <c r="C15" s="98" t="s">
        <v>7870</v>
      </c>
      <c r="D15" s="99">
        <v>1</v>
      </c>
    </row>
    <row r="16" spans="1:4">
      <c r="A16" s="94" t="str">
        <f t="shared" si="0"/>
        <v>MATARANIBREAKBULK</v>
      </c>
      <c r="B16" s="95" t="s">
        <v>62</v>
      </c>
      <c r="C16" s="95" t="s">
        <v>7870</v>
      </c>
      <c r="D16" s="96">
        <v>1</v>
      </c>
    </row>
    <row r="17" spans="1:4">
      <c r="A17" s="97" t="str">
        <f t="shared" si="0"/>
        <v>PAITACAMION</v>
      </c>
      <c r="B17" s="98" t="s">
        <v>9</v>
      </c>
      <c r="C17" s="98" t="s">
        <v>6003</v>
      </c>
      <c r="D17" s="99">
        <v>1</v>
      </c>
    </row>
    <row r="18" spans="1:4">
      <c r="A18" s="94" t="str">
        <f t="shared" si="0"/>
        <v>SALAVERRYCAMION</v>
      </c>
      <c r="B18" s="95" t="s">
        <v>25</v>
      </c>
      <c r="C18" s="95" t="s">
        <v>6003</v>
      </c>
      <c r="D18" s="96">
        <v>1</v>
      </c>
    </row>
    <row r="19" spans="1:4">
      <c r="A19" s="97" t="str">
        <f t="shared" si="0"/>
        <v>CALLAOCAMION</v>
      </c>
      <c r="B19" s="98" t="s">
        <v>37</v>
      </c>
      <c r="C19" s="98" t="s">
        <v>6003</v>
      </c>
      <c r="D19" s="99">
        <v>1</v>
      </c>
    </row>
    <row r="20" spans="1:4">
      <c r="A20" s="94" t="str">
        <f t="shared" si="0"/>
        <v>PISCOCAMION</v>
      </c>
      <c r="B20" s="95" t="s">
        <v>50</v>
      </c>
      <c r="C20" s="95" t="s">
        <v>6003</v>
      </c>
      <c r="D20" s="96">
        <v>1</v>
      </c>
    </row>
    <row r="21" spans="1:4">
      <c r="A21" s="100" t="str">
        <f t="shared" si="0"/>
        <v>MATARANICAMION</v>
      </c>
      <c r="B21" s="101" t="s">
        <v>62</v>
      </c>
      <c r="C21" s="101" t="s">
        <v>6003</v>
      </c>
      <c r="D21" s="102">
        <v>1</v>
      </c>
    </row>
  </sheetData>
  <customSheetViews>
    <customSheetView guid="{C3BDEBE1-7FE5-4B62-8359-C0142BCD2F22}" state="hidden">
      <selection activeCell="G28" sqref="G28"/>
      <pageMargins left="0" right="0" top="0" bottom="0" header="0" footer="0"/>
    </customSheetView>
    <customSheetView guid="{220F5BDC-E9AE-407F-A093-9337F2810863}" showPageBreaks="1" state="hidden">
      <selection activeCell="A2" sqref="A2"/>
      <pageMargins left="0" right="0" top="0" bottom="0" header="0" footer="0"/>
      <pageSetup orientation="portrait" r:id="rId1"/>
    </customSheetView>
    <customSheetView guid="{3AED3352-1813-42FB-AD00-B0300DBB9DDD}">
      <selection activeCell="A2" sqref="A2"/>
      <pageMargins left="0" right="0" top="0" bottom="0" header="0" footer="0"/>
    </customSheetView>
    <customSheetView guid="{47D365F7-A5C0-4967-9195-712416C433A6}" state="hidden">
      <selection activeCell="A2" sqref="A2"/>
      <pageMargins left="0" right="0" top="0" bottom="0" header="0" footer="0"/>
    </customSheetView>
    <customSheetView guid="{033F40BA-1316-4994-A3E1-6A590246BC17}" state="hidden">
      <selection activeCell="A2" sqref="A2"/>
      <pageMargins left="0" right="0" top="0" bottom="0" header="0" footer="0"/>
    </customSheetView>
    <customSheetView guid="{B8744A8F-5701-468A-980B-669E92146399}" state="hidden">
      <selection activeCell="A2" sqref="A2"/>
      <pageMargins left="0" right="0" top="0" bottom="0" header="0" footer="0"/>
    </customSheetView>
    <customSheetView guid="{49F08520-9D55-4669-904F-FCC3B78183BE}" state="hidden">
      <selection activeCell="A2" sqref="A2"/>
      <pageMargins left="0" right="0" top="0" bottom="0" header="0" footer="0"/>
    </customSheetView>
    <customSheetView guid="{64DD6D4C-DC7E-42A4-8293-23757F1E95CA}" state="hidden">
      <selection activeCell="A2" sqref="A2"/>
      <pageMargins left="0" right="0" top="0" bottom="0" header="0" footer="0"/>
    </customSheetView>
    <customSheetView guid="{20DDCD40-9DEC-4E0C-BDFD-5753C11CFC19}" state="hidden">
      <selection activeCell="A2" sqref="A2"/>
      <pageMargins left="0" right="0" top="0" bottom="0" header="0" footer="0"/>
    </customSheetView>
    <customSheetView guid="{4E878A97-87CB-403A-861C-A937390C8303}" state="hidden">
      <selection activeCell="A2" sqref="A2"/>
      <pageMargins left="0" right="0" top="0" bottom="0" header="0" footer="0"/>
    </customSheetView>
    <customSheetView guid="{FAB61CF4-5569-4DB9-9F8E-D118164D900A}" state="hidden">
      <selection activeCell="A2" sqref="A2"/>
      <pageMargins left="0" right="0" top="0" bottom="0" header="0" footer="0"/>
    </customSheetView>
  </customSheetView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DDACBDCB015A9549BF70B474C98E22A8" ma:contentTypeVersion="2" ma:contentTypeDescription="Crear nuevo documento." ma:contentTypeScope="" ma:versionID="fe074da2daca2a3a5a15f2bbd1d5f22a">
  <xsd:schema xmlns:xsd="http://www.w3.org/2001/XMLSchema" xmlns:xs="http://www.w3.org/2001/XMLSchema" xmlns:p="http://schemas.microsoft.com/office/2006/metadata/properties" xmlns:ns2="8d3d49fb-d07c-4d51-bd8b-18744f1e40ca" targetNamespace="http://schemas.microsoft.com/office/2006/metadata/properties" ma:root="true" ma:fieldsID="e1952f94b5b8b62bd661fa685ddf0f09" ns2:_="">
    <xsd:import namespace="8d3d49fb-d07c-4d51-bd8b-18744f1e40c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d3d49fb-d07c-4d51-bd8b-18744f1e40c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8721047-8B82-43CB-B407-2B5B18A0239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C5DBA95-3B1A-4086-9018-3B0880BF4AD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d3d49fb-d07c-4d51-bd8b-18744f1e40c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476E778-E0F0-4EA5-88AB-42D44BC93E26}">
  <ds:schemaRefs>
    <ds:schemaRef ds:uri="http://schemas.microsoft.com/office/2006/documentManagement/types"/>
    <ds:schemaRef ds:uri="http://purl.org/dc/terms/"/>
    <ds:schemaRef ds:uri="http://purl.org/dc/dcmitype/"/>
    <ds:schemaRef ds:uri="http://schemas.openxmlformats.org/package/2006/metadata/core-properties"/>
    <ds:schemaRef ds:uri="http://purl.org/dc/elements/1.1/"/>
    <ds:schemaRef ds:uri="http://schemas.microsoft.com/office/infopath/2007/PartnerControls"/>
    <ds:schemaRef ds:uri="8d3d49fb-d07c-4d51-bd8b-18744f1e40ca"/>
    <ds:schemaRef ds:uri="http://schemas.microsoft.com/office/2006/metadata/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21</vt:i4>
      </vt:variant>
    </vt:vector>
  </HeadingPairs>
  <TitlesOfParts>
    <vt:vector size="30" baseType="lpstr">
      <vt:lpstr>BDD</vt:lpstr>
      <vt:lpstr>IMPORTS</vt:lpstr>
      <vt:lpstr>REPORTE 1 </vt:lpstr>
      <vt:lpstr>REPORTE 2 </vt:lpstr>
      <vt:lpstr>INGRESOS OC's</vt:lpstr>
      <vt:lpstr>SUCAMEC</vt:lpstr>
      <vt:lpstr>FAM-CLASS</vt:lpstr>
      <vt:lpstr>ABC</vt:lpstr>
      <vt:lpstr>Hoja3</vt:lpstr>
      <vt:lpstr>BL</vt:lpstr>
      <vt:lpstr>CANAL</vt:lpstr>
      <vt:lpstr>DIRECCIONAMIENTO</vt:lpstr>
      <vt:lpstr>ESTADOdePAGO</vt:lpstr>
      <vt:lpstr>INCOTERMS</vt:lpstr>
      <vt:lpstr>MATERIALES</vt:lpstr>
      <vt:lpstr>MATRIZ1</vt:lpstr>
      <vt:lpstr>NAVIERA</vt:lpstr>
      <vt:lpstr>NEGOCIO</vt:lpstr>
      <vt:lpstr>PLAZOdePAGO</vt:lpstr>
      <vt:lpstr>PLAZOdePAGO2</vt:lpstr>
      <vt:lpstr>PRESENTACIÓN</vt:lpstr>
      <vt:lpstr>PROVEEDORES</vt:lpstr>
      <vt:lpstr>PTOdeENTRADA</vt:lpstr>
      <vt:lpstr>PTOdeSALIDA</vt:lpstr>
      <vt:lpstr>RÉGIMEN</vt:lpstr>
      <vt:lpstr>SEGUIMIENTO</vt:lpstr>
      <vt:lpstr>STATUS_RETRASO</vt:lpstr>
      <vt:lpstr>STATUSdocs</vt:lpstr>
      <vt:lpstr>TIPOdeCARGA</vt:lpstr>
      <vt:lpstr>TIPOdeDESPACHO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MSaldanaR@equilibra.pe;JLunaCar@equilibra.pe;pcabezav@equilibra.pe;PSanchezP@equilibra.pe</dc:creator>
  <cp:keywords/>
  <dc:description/>
  <cp:lastModifiedBy>Ernesto Fuentes Angulo</cp:lastModifiedBy>
  <cp:revision/>
  <dcterms:created xsi:type="dcterms:W3CDTF">2020-02-24T23:03:50Z</dcterms:created>
  <dcterms:modified xsi:type="dcterms:W3CDTF">2022-06-03T21:18:31Z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0x010100DDACBDCB015A9549BF70B474C98E22A8</vt:lpwstr>
  </property>
</Properties>
</file>